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data" ContentType="application/vnd.openxmlformats-officedocument.model+data"/>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pivotCache/pivotCacheDefinition1.xml" ContentType="application/vnd.openxmlformats-officedocument.spreadsheetml.pivotCacheDefinition+xml"/>
  <Override PartName="/xl/pivotCache/pivotCacheDefinition2.xml" ContentType="application/vnd.openxmlformats-officedocument.spreadsheetml.pivotCacheDefinition+xml"/>
  <Override PartName="/xl/pivotCache/pivotCacheDefinition3.xml" ContentType="application/vnd.openxmlformats-officedocument.spreadsheetml.pivotCacheDefinition+xml"/>
  <Override PartName="/xl/pivotCache/pivotCacheDefinition4.xml" ContentType="application/vnd.openxmlformats-officedocument.spreadsheetml.pivotCacheDefinition+xml"/>
  <Override PartName="/xl/pivotCache/pivotCacheDefinition5.xml" ContentType="application/vnd.openxmlformats-officedocument.spreadsheetml.pivotCacheDefinition+xml"/>
  <Override PartName="/xl/pivotCache/pivotCacheDefinition6.xml" ContentType="application/vnd.openxmlformats-officedocument.spreadsheetml.pivotCacheDefinition+xml"/>
  <Override PartName="/xl/pivotCache/pivotCacheDefinition7.xml" ContentType="application/vnd.openxmlformats-officedocument.spreadsheetml.pivotCacheDefinition+xml"/>
  <Override PartName="/xl/pivotCache/pivotCacheDefinition8.xml" ContentType="application/vnd.openxmlformats-officedocument.spreadsheetml.pivotCacheDefinition+xml"/>
  <Override PartName="/xl/pivotCache/pivotCacheDefinition9.xml" ContentType="application/vnd.openxmlformats-officedocument.spreadsheetml.pivotCacheDefinition+xml"/>
  <Override PartName="/xl/pivotCache/pivotCacheDefinition10.xml" ContentType="application/vnd.openxmlformats-officedocument.spreadsheetml.pivotCacheDefinition+xml"/>
  <Override PartName="/xl/pivotCache/pivotCacheDefinition11.xml" ContentType="application/vnd.openxmlformats-officedocument.spreadsheetml.pivotCacheDefinition+xml"/>
  <Override PartName="/xl/pivotCache/pivotCacheDefinition12.xml" ContentType="application/vnd.openxmlformats-officedocument.spreadsheetml.pivotCacheDefinition+xml"/>
  <Override PartName="/xl/pivotCache/pivotCacheDefinition13.xml" ContentType="application/vnd.openxmlformats-officedocument.spreadsheetml.pivotCacheDefinition+xml"/>
  <Override PartName="/xl/pivotCache/pivotCacheDefinition14.xml" ContentType="application/vnd.openxmlformats-officedocument.spreadsheetml.pivotCacheDefinition+xml"/>
  <Override PartName="/xl/pivotCache/pivotCacheDefinition15.xml" ContentType="application/vnd.openxmlformats-officedocument.spreadsheetml.pivotCacheDefinition+xml"/>
  <Override PartName="/xl/pivotCache/pivotCacheDefinition16.xml" ContentType="application/vnd.openxmlformats-officedocument.spreadsheetml.pivotCacheDefinition+xml"/>
  <Override PartName="/xl/pivotCache/pivotCacheDefinition17.xml" ContentType="application/vnd.openxmlformats-officedocument.spreadsheetml.pivotCacheDefinition+xml"/>
  <Override PartName="/xl/pivotCache/pivotCacheDefinition18.xml" ContentType="application/vnd.openxmlformats-officedocument.spreadsheetml.pivotCacheDefinition+xml"/>
  <Override PartName="/xl/pivotCache/pivotCacheDefinition19.xml" ContentType="application/vnd.openxmlformats-officedocument.spreadsheetml.pivotCacheDefinition+xml"/>
  <Override PartName="/xl/pivotCache/pivotCacheDefinition20.xml" ContentType="application/vnd.openxmlformats-officedocument.spreadsheetml.pivotCacheDefinition+xml"/>
  <Override PartName="/xl/pivotCache/pivotCacheDefinition21.xml" ContentType="application/vnd.openxmlformats-officedocument.spreadsheetml.pivotCacheDefinition+xml"/>
  <Override PartName="/xl/pivotCache/pivotCacheDefinition22.xml" ContentType="application/vnd.openxmlformats-officedocument.spreadsheetml.pivotCacheDefinition+xml"/>
  <Override PartName="/xl/pivotCache/pivotCacheDefinition23.xml" ContentType="application/vnd.openxmlformats-officedocument.spreadsheetml.pivotCacheDefinition+xml"/>
  <Override PartName="/xl/pivotCache/pivotCacheDefinition24.xml" ContentType="application/vnd.openxmlformats-officedocument.spreadsheetml.pivotCacheDefinition+xml"/>
  <Override PartName="/xl/pivotCache/pivotCacheDefinition25.xml" ContentType="application/vnd.openxmlformats-officedocument.spreadsheetml.pivotCacheDefinition+xml"/>
  <Override PartName="/xl/pivotCache/pivotCacheDefinition26.xml" ContentType="application/vnd.openxmlformats-officedocument.spreadsheetml.pivotCacheDefinition+xml"/>
  <Override PartName="/xl/pivotCache/pivotCacheDefinition27.xml" ContentType="application/vnd.openxmlformats-officedocument.spreadsheetml.pivotCacheDefinition+xml"/>
  <Override PartName="/xl/pivotCache/pivotCacheDefinition28.xml" ContentType="application/vnd.openxmlformats-officedocument.spreadsheetml.pivotCacheDefinition+xml"/>
  <Override PartName="/xl/pivotCache/pivotCacheDefinition29.xml" ContentType="application/vnd.openxmlformats-officedocument.spreadsheetml.pivotCacheDefinition+xml"/>
  <Override PartName="/xl/pivotCache/pivotCacheDefinition30.xml" ContentType="application/vnd.openxmlformats-officedocument.spreadsheetml.pivotCacheDefinition+xml"/>
  <Override PartName="/xl/pivotCache/pivotCacheDefinition31.xml" ContentType="application/vnd.openxmlformats-officedocument.spreadsheetml.pivotCacheDefinition+xml"/>
  <Override PartName="/xl/pivotCache/pivotCacheDefinition32.xml" ContentType="application/vnd.openxmlformats-officedocument.spreadsheetml.pivotCacheDefinition+xml"/>
  <Override PartName="/xl/pivotCache/pivotCacheDefinition33.xml" ContentType="application/vnd.openxmlformats-officedocument.spreadsheetml.pivotCacheDefinition+xml"/>
  <Override PartName="/xl/pivotCache/pivotCacheDefinition34.xml" ContentType="application/vnd.openxmlformats-officedocument.spreadsheetml.pivotCacheDefinition+xml"/>
  <Override PartName="/xl/pivotCache/pivotCacheDefinition35.xml" ContentType="application/vnd.openxmlformats-officedocument.spreadsheetml.pivotCacheDefinition+xml"/>
  <Override PartName="/xl/pivotCache/pivotCacheDefinition36.xml" ContentType="application/vnd.openxmlformats-officedocument.spreadsheetml.pivotCacheDefinition+xml"/>
  <Override PartName="/xl/pivotCache/pivotCacheDefinition37.xml" ContentType="application/vnd.openxmlformats-officedocument.spreadsheetml.pivotCacheDefinition+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slicerCaches/slicerCache7.xml" ContentType="application/vnd.ms-excel.slicerCache+xml"/>
  <Override PartName="/xl/slicerCaches/slicerCache8.xml" ContentType="application/vnd.ms-excel.slicerCache+xml"/>
  <Override PartName="/xl/slicerCaches/slicerCache9.xml" ContentType="application/vnd.ms-excel.slicerCache+xml"/>
  <Override PartName="/xl/slicerCaches/slicerCache10.xml" ContentType="application/vnd.ms-excel.slicerCache+xml"/>
  <Override PartName="/xl/slicerCaches/slicerCache11.xml" ContentType="application/vnd.ms-excel.slicerCache+xml"/>
  <Override PartName="/xl/slicerCaches/slicerCache12.xml" ContentType="application/vnd.ms-excel.slicerCache+xml"/>
  <Override PartName="/xl/slicerCaches/slicerCache13.xml" ContentType="application/vnd.ms-excel.slicerCache+xml"/>
  <Override PartName="/xl/slicerCaches/slicerCache14.xml" ContentType="application/vnd.ms-excel.slicerCache+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tables/table1.xml" ContentType="application/vnd.openxmlformats-officedocument.spreadsheetml.table+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drawings/drawing1.xml" ContentType="application/vnd.openxmlformats-officedocument.drawing+xml"/>
  <Override PartName="/xl/slicers/slicer1.xml" ContentType="application/vnd.ms-excel.slicer+xml"/>
  <Override PartName="/xl/pivotTables/pivotTable4.xml" ContentType="application/vnd.openxmlformats-officedocument.spreadsheetml.pivotTable+xml"/>
  <Override PartName="/xl/drawings/drawing2.xml" ContentType="application/vnd.openxmlformats-officedocument.drawing+xml"/>
  <Override PartName="/xl/slicers/slicer2.xml" ContentType="application/vnd.ms-excel.slicer+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drawings/drawing3.xml" ContentType="application/vnd.openxmlformats-officedocument.drawing+xml"/>
  <Override PartName="/xl/slicers/slicer3.xml" ContentType="application/vnd.ms-excel.slicer+xml"/>
  <Override PartName="/xl/comments1.xml" ContentType="application/vnd.openxmlformats-officedocument.spreadsheetml.comments+xml"/>
  <Override PartName="/xl/pivotTables/pivotTable8.xml" ContentType="application/vnd.openxmlformats-officedocument.spreadsheetml.pivotTable+xml"/>
  <Override PartName="/xl/pivotTables/pivotTable9.xml" ContentType="application/vnd.openxmlformats-officedocument.spreadsheetml.pivotTable+xml"/>
  <Override PartName="/xl/pivotTables/pivotTable10.xml" ContentType="application/vnd.openxmlformats-officedocument.spreadsheetml.pivotTable+xml"/>
  <Override PartName="/xl/pivotTables/pivotTable11.xml" ContentType="application/vnd.openxmlformats-officedocument.spreadsheetml.pivotTable+xml"/>
  <Override PartName="/xl/pivotTables/pivotTable12.xml" ContentType="application/vnd.openxmlformats-officedocument.spreadsheetml.pivotTable+xml"/>
  <Override PartName="/xl/drawings/drawing4.xml" ContentType="application/vnd.openxmlformats-officedocument.drawing+xml"/>
  <Override PartName="/xl/slicers/slicer4.xml" ContentType="application/vnd.ms-excel.slicer+xml"/>
  <Override PartName="/xl/pivotTables/pivotTable13.xml" ContentType="application/vnd.openxmlformats-officedocument.spreadsheetml.pivotTable+xml"/>
  <Override PartName="/xl/pivotTables/pivotTable14.xml" ContentType="application/vnd.openxmlformats-officedocument.spreadsheetml.pivotTable+xml"/>
  <Override PartName="/xl/comments2.xml" ContentType="application/vnd.openxmlformats-officedocument.spreadsheetml.comments+xml"/>
  <Override PartName="/xl/pivotTables/pivotTable15.xml" ContentType="application/vnd.openxmlformats-officedocument.spreadsheetml.pivotTable+xml"/>
  <Override PartName="/xl/drawings/drawing5.xml" ContentType="application/vnd.openxmlformats-officedocument.drawing+xml"/>
  <Override PartName="/xl/slicers/slicer5.xml" ContentType="application/vnd.ms-excel.slicer+xml"/>
  <Override PartName="/xl/pivotTables/pivotTable16.xml" ContentType="application/vnd.openxmlformats-officedocument.spreadsheetml.pivotTable+xml"/>
  <Override PartName="/xl/drawings/drawing6.xml" ContentType="application/vnd.openxmlformats-officedocument.drawing+xml"/>
  <Override PartName="/xl/slicers/slicer6.xml" ContentType="application/vnd.ms-excel.slicer+xml"/>
  <Override PartName="/xl/drawings/drawing7.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pivotTables/pivotTable17.xml" ContentType="application/vnd.openxmlformats-officedocument.spreadsheetml.pivotTable+xml"/>
  <Override PartName="/xl/drawings/drawing8.xml" ContentType="application/vnd.openxmlformats-officedocument.drawing+xml"/>
  <Override PartName="/xl/slicers/slicer7.xml" ContentType="application/vnd.ms-excel.slicer+xml"/>
  <Override PartName="/xl/pivotTables/pivotTable18.xml" ContentType="application/vnd.openxmlformats-officedocument.spreadsheetml.pivotTable+xml"/>
  <Override PartName="/xl/pivotTables/pivotTable19.xml" ContentType="application/vnd.openxmlformats-officedocument.spreadsheetml.pivotTable+xml"/>
  <Override PartName="/xl/pivotTables/pivotTable20.xml" ContentType="application/vnd.openxmlformats-officedocument.spreadsheetml.pivotTable+xml"/>
  <Override PartName="/xl/pivotTables/pivotTable21.xml" ContentType="application/vnd.openxmlformats-officedocument.spreadsheetml.pivotTable+xml"/>
  <Override PartName="/xl/drawings/drawing9.xml" ContentType="application/vnd.openxmlformats-officedocument.drawing+xml"/>
  <Override PartName="/xl/slicers/slicer8.xml" ContentType="application/vnd.ms-excel.slicer+xml"/>
  <Override PartName="/xl/pivotTables/pivotTable22.xml" ContentType="application/vnd.openxmlformats-officedocument.spreadsheetml.pivotTable+xml"/>
  <Override PartName="/xl/pivotTables/pivotTable23.xml" ContentType="application/vnd.openxmlformats-officedocument.spreadsheetml.pivotTable+xml"/>
  <Override PartName="/xl/pivotTables/pivotTable24.xml" ContentType="application/vnd.openxmlformats-officedocument.spreadsheetml.pivotTable+xml"/>
  <Override PartName="/xl/pivotTables/pivotTable25.xml" ContentType="application/vnd.openxmlformats-officedocument.spreadsheetml.pivotTable+xml"/>
  <Override PartName="/xl/drawings/drawing10.xml" ContentType="application/vnd.openxmlformats-officedocument.drawing+xml"/>
  <Override PartName="/xl/slicers/slicer9.xml" ContentType="application/vnd.ms-excel.slicer+xml"/>
  <Override PartName="/xl/pivotTables/pivotTable26.xml" ContentType="application/vnd.openxmlformats-officedocument.spreadsheetml.pivotTable+xml"/>
  <Override PartName="/xl/pivotTables/pivotTable27.xml" ContentType="application/vnd.openxmlformats-officedocument.spreadsheetml.pivotTable+xml"/>
  <Override PartName="/xl/pivotTables/pivotTable28.xml" ContentType="application/vnd.openxmlformats-officedocument.spreadsheetml.pivotTable+xml"/>
  <Override PartName="/xl/drawings/drawing11.xml" ContentType="application/vnd.openxmlformats-officedocument.drawing+xml"/>
  <Override PartName="/xl/charts/chartEx1.xml" ContentType="application/vnd.ms-office.chartex+xml"/>
  <Override PartName="/xl/charts/style3.xml" ContentType="application/vnd.ms-office.chartstyle+xml"/>
  <Override PartName="/xl/charts/colors3.xml" ContentType="application/vnd.ms-office.chartcolorstyle+xml"/>
  <Override PartName="/xl/tables/table2.xml" ContentType="application/vnd.openxmlformats-officedocument.spreadsheetml.table+xml"/>
  <Override PartName="/xl/queryTables/queryTable1.xml" ContentType="application/vnd.openxmlformats-officedocument.spreadsheetml.query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customXml/itemProps20.xml" ContentType="application/vnd.openxmlformats-officedocument.customXmlProperties+xml"/>
  <Override PartName="/customXml/itemProps21.xml" ContentType="application/vnd.openxmlformats-officedocument.customXmlProperties+xml"/>
  <Override PartName="/customXml/itemProps22.xml" ContentType="application/vnd.openxmlformats-officedocument.customXmlProperties+xml"/>
  <Override PartName="/customXml/itemProps23.xml" ContentType="application/vnd.openxmlformats-officedocument.customXmlProperties+xml"/>
  <Override PartName="/customXml/itemProps24.xml" ContentType="application/vnd.openxmlformats-officedocument.customXmlProperties+xml"/>
  <Override PartName="/customXml/itemProps25.xml" ContentType="application/vnd.openxmlformats-officedocument.customXmlProperties+xml"/>
  <Override PartName="/customXml/itemProps26.xml" ContentType="application/vnd.openxmlformats-officedocument.customXmlProperties+xml"/>
  <Override PartName="/customXml/itemProps27.xml" ContentType="application/vnd.openxmlformats-officedocument.customXmlProperties+xml"/>
  <Override PartName="/customXml/itemProps28.xml" ContentType="application/vnd.openxmlformats-officedocument.customXmlProperties+xml"/>
  <Override PartName="/customXml/itemProps29.xml" ContentType="application/vnd.openxmlformats-officedocument.customXmlProperties+xml"/>
  <Override PartName="/customXml/itemProps30.xml" ContentType="application/vnd.openxmlformats-officedocument.customXmlProperties+xml"/>
  <Override PartName="/customXml/itemProps31.xml" ContentType="application/vnd.openxmlformats-officedocument.customXmlProperties+xml"/>
  <Override PartName="/customXml/itemProps32.xml" ContentType="application/vnd.openxmlformats-officedocument.customXmlProperties+xml"/>
  <Override PartName="/customXml/itemProps33.xml" ContentType="application/vnd.openxmlformats-officedocument.customXmlProperties+xml"/>
  <Override PartName="/customXml/itemProps34.xml" ContentType="application/vnd.openxmlformats-officedocument.customXmlProperties+xml"/>
  <Override PartName="/customXml/itemProps35.xml" ContentType="application/vnd.openxmlformats-officedocument.customXmlProperties+xml"/>
  <Override PartName="/customXml/itemProps36.xml" ContentType="application/vnd.openxmlformats-officedocument.customXmlProperties+xml"/>
  <Override PartName="/customXml/itemProps37.xml" ContentType="application/vnd.openxmlformats-officedocument.customXmlProperties+xml"/>
  <Override PartName="/customXml/itemProps38.xml" ContentType="application/vnd.openxmlformats-officedocument.customXmlProperties+xml"/>
  <Override PartName="/customXml/itemProps39.xml" ContentType="application/vnd.openxmlformats-officedocument.customXmlProperties+xml"/>
  <Override PartName="/customXml/itemProps40.xml" ContentType="application/vnd.openxmlformats-officedocument.customXmlProperties+xml"/>
  <Override PartName="/customXml/itemProps41.xml" ContentType="application/vnd.openxmlformats-officedocument.customXmlProperties+xml"/>
  <Override PartName="/customXml/itemProps42.xml" ContentType="application/vnd.openxmlformats-officedocument.customXmlProperties+xml"/>
  <Override PartName="/customXml/itemProps43.xml" ContentType="application/vnd.openxmlformats-officedocument.customXmlProperties+xml"/>
  <Override PartName="/customXml/itemProps44.xml" ContentType="application/vnd.openxmlformats-officedocument.customXmlProperties+xml"/>
  <Override PartName="/customXml/itemProps45.xml" ContentType="application/vnd.openxmlformats-officedocument.customXmlProperties+xml"/>
  <Override PartName="/customXml/itemProps46.xml" ContentType="application/vnd.openxmlformats-officedocument.customXmlProperties+xml"/>
  <Override PartName="/customXml/itemProps47.xml" ContentType="application/vnd.openxmlformats-officedocument.customXmlProperties+xml"/>
  <Override PartName="/customXml/itemProps48.xml" ContentType="application/vnd.openxmlformats-officedocument.customXmlProperties+xml"/>
  <Override PartName="/customXml/itemProps49.xml" ContentType="application/vnd.openxmlformats-officedocument.customXmlProperties+xml"/>
  <Override PartName="/customXml/itemProps50.xml" ContentType="application/vnd.openxmlformats-officedocument.customXmlProperties+xml"/>
  <Override PartName="/customXml/itemProps51.xml" ContentType="application/vnd.openxmlformats-officedocument.customXmlProperties+xml"/>
  <Override PartName="/customXml/itemProps52.xml" ContentType="application/vnd.openxmlformats-officedocument.customXmlProperties+xml"/>
  <Override PartName="/customXml/itemProps53.xml" ContentType="application/vnd.openxmlformats-officedocument.customXmlProperties+xml"/>
  <Override PartName="/customXml/itemProps54.xml" ContentType="application/vnd.openxmlformats-officedocument.customXmlProperties+xml"/>
  <Override PartName="/customXml/itemProps55.xml" ContentType="application/vnd.openxmlformats-officedocument.customXmlProperties+xml"/>
  <Override PartName="/customXml/itemProps56.xml" ContentType="application/vnd.openxmlformats-officedocument.customXmlProperties+xml"/>
  <Override PartName="/customXml/itemProps57.xml" ContentType="application/vnd.openxmlformats-officedocument.customXmlProperties+xml"/>
  <Override PartName="/customXml/itemProps58.xml" ContentType="application/vnd.openxmlformats-officedocument.customXmlProperties+xml"/>
  <Override PartName="/customXml/itemProps59.xml" ContentType="application/vnd.openxmlformats-officedocument.customXmlProperties+xml"/>
  <Override PartName="/customXml/itemProps60.xml" ContentType="application/vnd.openxmlformats-officedocument.customXmlProperties+xml"/>
  <Override PartName="/customXml/itemProps61.xml" ContentType="application/vnd.openxmlformats-officedocument.customXmlProperties+xml"/>
  <Override PartName="/customXml/itemProps62.xml" ContentType="application/vnd.openxmlformats-officedocument.customXmlProperties+xml"/>
  <Override PartName="/customXml/itemProps63.xml" ContentType="application/vnd.openxmlformats-officedocument.customXmlProperties+xml"/>
  <Override PartName="/customXml/itemProps64.xml" ContentType="application/vnd.openxmlformats-officedocument.customXmlProperties+xml"/>
  <Override PartName="/customXml/itemProps65.xml" ContentType="application/vnd.openxmlformats-officedocument.customXmlProperties+xml"/>
  <Override PartName="/customXml/itemProps66.xml" ContentType="application/vnd.openxmlformats-officedocument.customXmlProperties+xml"/>
  <Override PartName="/customXml/itemProps67.xml" ContentType="application/vnd.openxmlformats-officedocument.customXmlProperties+xml"/>
  <Override PartName="/customXml/itemProps68.xml" ContentType="application/vnd.openxmlformats-officedocument.customXmlProperties+xml"/>
  <Override PartName="/xl/volatileDependencies.xml" ContentType="application/vnd.openxmlformats-officedocument.spreadsheetml.volatileDependenc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77"/>
  <workbookPr codeName="ThisWorkbook" defaultThemeVersion="166925"/>
  <mc:AlternateContent xmlns:mc="http://schemas.openxmlformats.org/markup-compatibility/2006">
    <mc:Choice Requires="x15">
      <x15ac:absPath xmlns:x15ac="http://schemas.microsoft.com/office/spreadsheetml/2010/11/ac" url="\\backup\PROEKTI\FP_IZVESTAI\FP i IZVESTAI 2023\ФП ВЛАДА 2023\"/>
    </mc:Choice>
  </mc:AlternateContent>
  <xr:revisionPtr revIDLastSave="0" documentId="13_ncr:1_{CDD2959E-6C64-4C19-BCF3-93B39B42F9C6}" xr6:coauthVersionLast="36" xr6:coauthVersionMax="36" xr10:uidLastSave="{00000000-0000-0000-0000-000000000000}"/>
  <bookViews>
    <workbookView xWindow="-120" yWindow="-120" windowWidth="29040" windowHeight="15840" tabRatio="984" firstSheet="28" activeTab="28" xr2:uid="{00000000-000D-0000-FFFF-FFFF00000000}"/>
  </bookViews>
  <sheets>
    <sheet name="Трансакции" sheetId="9" state="hidden" r:id="rId1"/>
    <sheet name="BU_pomosen_mesecen (2)" sheetId="102" state="hidden" r:id="rId2"/>
    <sheet name="Analiza po meseci (3)" sheetId="111" state="hidden" r:id="rId3"/>
    <sheet name="BU_pomosen_kvartalen" sheetId="68" state="hidden" r:id="rId4"/>
    <sheet name="Specificirani prihodi_pomosen" sheetId="74" state="hidden" r:id="rId5"/>
    <sheet name="BU_pomosen_meseceн CUBE" sheetId="71" state="hidden" r:id="rId6"/>
    <sheet name="BU_pomosen_mesecen" sheetId="67" state="hidden" r:id="rId7"/>
    <sheet name="Amortizacija_CUBE" sheetId="85" state="hidden" r:id="rId8"/>
    <sheet name="BS_pomosen_mesecen" sheetId="82" state="hidden" r:id="rId9"/>
    <sheet name="Amortizacija" sheetId="77" state="hidden" r:id="rId10"/>
    <sheet name="BS_pomosen_kvartalen" sheetId="78" state="hidden" r:id="rId11"/>
    <sheet name="CAPEX" sheetId="105" state="hidden" r:id="rId12"/>
    <sheet name="CAPEX po meseci CUBE" sheetId="84" state="hidden" r:id="rId13"/>
    <sheet name="CAPEX ЈН" sheetId="113" state="hidden" r:id="rId14"/>
    <sheet name="BS_predviduvanje" sheetId="104" state="hidden" r:id="rId15"/>
    <sheet name="БС" sheetId="47" state="hidden" r:id="rId16"/>
    <sheet name="Za Analiza" sheetId="91" state="hidden" r:id="rId17"/>
    <sheet name="Za Analiza KIRILICA" sheetId="95" state="hidden" r:id="rId18"/>
    <sheet name="Grafici" sheetId="38" state="hidden" r:id="rId19"/>
    <sheet name="OPEX" sheetId="33" state="hidden" r:id="rId20"/>
    <sheet name="Analiza po meseci (2)" sheetId="109" state="hidden" r:id="rId21"/>
    <sheet name="Analiza po meseci" sheetId="97" state="hidden" r:id="rId22"/>
    <sheet name="Analiza_po stavki_periodi" sheetId="110" state="hidden" r:id="rId23"/>
    <sheet name="HR po stavki" sheetId="106" state="hidden" r:id="rId24"/>
    <sheet name="Analiza OPEX 2021" sheetId="107" state="hidden" r:id="rId25"/>
    <sheet name="Analiza OPEX 2021 (2)" sheetId="108" state="hidden" r:id="rId26"/>
    <sheet name="BU_pomosen_sporedben" sheetId="87" state="hidden" r:id="rId27"/>
    <sheet name="OPEX po stavki" sheetId="112" state="hidden" r:id="rId28"/>
    <sheet name="1. BilansNaSostojba" sheetId="52" r:id="rId29"/>
    <sheet name="2. Bilans Na Uspeh" sheetId="72" r:id="rId30"/>
    <sheet name="3.Specificirani prihodi" sheetId="75" r:id="rId31"/>
    <sheet name="4.Specificirani rashodi" sheetId="76" r:id="rId32"/>
    <sheet name="5. Spec. na fiksni s-va i amort" sheetId="50" state="hidden" r:id="rId33"/>
    <sheet name="Vraboteni po nacionalnost 2022" sheetId="114" r:id="rId34"/>
    <sheet name="7.Izv za promeni vo kapital" sheetId="57" r:id="rId35"/>
    <sheet name="8. Izv. za paricni tekovi" sheetId="58" r:id="rId36"/>
    <sheet name="9. Pregled na kvartalni podatoc" sheetId="59" r:id="rId37"/>
    <sheet name="10. Preled na bruto plati " sheetId="96" r:id="rId38"/>
    <sheet name="Sheet1" sheetId="98" state="hidden" r:id="rId39"/>
    <sheet name="Sheet2" sheetId="99" state="hidden" r:id="rId40"/>
    <sheet name="Sheet3" sheetId="100" state="hidden" r:id="rId41"/>
  </sheets>
  <definedNames>
    <definedName name="_xlnm._FilterDatabase" localSheetId="29" hidden="1">'2. Bilans Na Uspeh'!$B$61:$J$114</definedName>
    <definedName name="_xlnm._FilterDatabase" localSheetId="12" hidden="1">'CAPEX po meseci CUBE'!$U$5:$U$30</definedName>
    <definedName name="_xlchart.v1.0" hidden="1">'8. Izv. za paricni tekovi'!$A$19</definedName>
    <definedName name="_xlchart.v1.1" hidden="1">'8. Izv. za paricni tekovi'!$B$19:$M$19</definedName>
    <definedName name="_xlchart.v1.2" hidden="1">'8. Izv. za paricni tekovi'!$B$3:$M$3</definedName>
    <definedName name="ExternalData_1" localSheetId="38" hidden="1">Sheet1!$A$1:$E$31</definedName>
    <definedName name="_xlnm.Print_Area" localSheetId="19">OPEX!$A$1:$H$294</definedName>
    <definedName name="Slicer_Date_Hierarchy">#N/A</definedName>
    <definedName name="Slicer_Date_Hierarchy71">#N/A</definedName>
    <definedName name="Slicer_Date_Hierarchy711">#N/A</definedName>
    <definedName name="Slicer_Date_Hierarchy712">#N/A</definedName>
    <definedName name="Slicer_Date_Hierarchy73">#N/A</definedName>
    <definedName name="Slicer_Date_Hierarchy732">#N/A</definedName>
    <definedName name="Slicer_ReportType">#N/A</definedName>
    <definedName name="Slicer_StavkaGrupa">#N/A</definedName>
    <definedName name="Slicer_StavkaImeAOP">#N/A</definedName>
    <definedName name="Slicer_StavkaImeAOP1">#N/A</definedName>
    <definedName name="Slicer_StavkaKategorija">#N/A</definedName>
    <definedName name="Slicer_StavkaKategorija1">#N/A</definedName>
    <definedName name="Slicer_StavkaKategorija2">#N/A</definedName>
    <definedName name="Slicer_Месец112">#N/A</definedName>
  </definedNames>
  <calcPr calcId="191029"/>
  <pivotCaches>
    <pivotCache cacheId="0" r:id="rId42"/>
    <pivotCache cacheId="1" r:id="rId43"/>
    <pivotCache cacheId="2" r:id="rId44"/>
    <pivotCache cacheId="3" r:id="rId45"/>
    <pivotCache cacheId="4" r:id="rId46"/>
    <pivotCache cacheId="5" r:id="rId47"/>
    <pivotCache cacheId="6" r:id="rId48"/>
    <pivotCache cacheId="7" r:id="rId49"/>
    <pivotCache cacheId="8" r:id="rId50"/>
    <pivotCache cacheId="9" r:id="rId51"/>
    <pivotCache cacheId="10" r:id="rId52"/>
    <pivotCache cacheId="11" r:id="rId53"/>
    <pivotCache cacheId="12" r:id="rId54"/>
    <pivotCache cacheId="13" r:id="rId55"/>
    <pivotCache cacheId="14" r:id="rId56"/>
    <pivotCache cacheId="15" r:id="rId57"/>
    <pivotCache cacheId="16" r:id="rId58"/>
    <pivotCache cacheId="17" r:id="rId59"/>
    <pivotCache cacheId="18" r:id="rId60"/>
    <pivotCache cacheId="19" r:id="rId61"/>
    <pivotCache cacheId="20" r:id="rId62"/>
    <pivotCache cacheId="21" r:id="rId63"/>
    <pivotCache cacheId="22" r:id="rId64"/>
    <pivotCache cacheId="23" r:id="rId65"/>
    <pivotCache cacheId="24" r:id="rId66"/>
    <pivotCache cacheId="25" r:id="rId67"/>
    <pivotCache cacheId="26" r:id="rId68"/>
    <pivotCache cacheId="27" r:id="rId69"/>
    <pivotCache cacheId="28" r:id="rId70"/>
  </pivotCaches>
  <extLst>
    <ext xmlns:x14="http://schemas.microsoft.com/office/spreadsheetml/2009/9/main" uri="{876F7934-8845-4945-9796-88D515C7AA90}">
      <x14:pivotCaches>
        <pivotCache cacheId="29" r:id="rId71"/>
        <pivotCache cacheId="30" r:id="rId72"/>
        <pivotCache cacheId="31" r:id="rId73"/>
        <pivotCache cacheId="32" r:id="rId74"/>
        <pivotCache cacheId="33" r:id="rId75"/>
        <pivotCache cacheId="34" r:id="rId76"/>
        <pivotCache cacheId="35" r:id="rId77"/>
        <pivotCache cacheId="36" r:id="rId78"/>
      </x14:pivotCaches>
    </ext>
    <ext xmlns:x14="http://schemas.microsoft.com/office/spreadsheetml/2009/9/main" uri="{BBE1A952-AA13-448e-AADC-164F8A28A991}">
      <x14:slicerCaches>
        <x14:slicerCache r:id="rId79"/>
        <x14:slicerCache r:id="rId80"/>
        <x14:slicerCache r:id="rId81"/>
        <x14:slicerCache r:id="rId82"/>
        <x14:slicerCache r:id="rId83"/>
        <x14:slicerCache r:id="rId84"/>
        <x14:slicerCache r:id="rId85"/>
        <x14:slicerCache r:id="rId86"/>
        <x14:slicerCache r:id="rId87"/>
        <x14:slicerCache r:id="rId88"/>
        <x14:slicerCache r:id="rId89"/>
        <x14:slicerCache r:id="rId90"/>
        <x14:slicerCache r:id="rId91"/>
        <x14:slicerCache r:id="rId92"/>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CAPEX_2a581c2f-dc8a-447d-9b37-61aff2c8b518" name="CAPEX" connection="Query - CAPEX"/>
          <x15:modelTable id="Amortizacija_6938301b-4838-4370-8a7c-3fb1380e54d7" name="Amortizacija" connection="Query - Amortizacija"/>
          <x15:modelTable id="fCoveckiResursi_7a176d2e-5d97-48bf-979d-c4995676450e" name="fCoveckiResursi" connection="Query - fCoveckiResursi"/>
          <x15:modelTable id="fOPEX_5e126da7-58e0-4aea-8805-7d5602c6ccab" name="fOPEX" connection="Query - fOPEX"/>
          <x15:modelTable id="fActualAndBudget_5c646ea0-5175-4943-8c6b-b8574f5b2fb7" name="fActualAndBudget" connection="Query - fActualAndBudget"/>
          <x15:modelTable id="OPEXAnaliza_e347466b-10eb-4827-8229-e43bd13daa8d" name="OPEXAnaliza" connection="Query - OPEXAnaliza"/>
          <x15:modelTable id="rArtikliAnaliza_57ab16c0-4fa3-4a2c-bbc5-69e6b315944b" name="rArtikliAnaliza" connection="Query - rArtikliAnaliza"/>
          <x15:modelTable id="fArtikliCeni_c1d30a31-5fb4-431c-a21a-00d80b48cc2a" name="fArtikliCeni" connection="Query - fArtikliCeni"/>
          <x15:modelTable id="rArtikli_HR_Analiza_236e5998-70cc-4caa-8469-26f3a0e66bdc" name="rArtikli_HR_Analiza" connection="Query - rArtikli_HR_Analiza"/>
          <x15:modelTable id="fCoveckiResursi  2_6af37a88-30d9-4216-a402-7fc66e71f546" name="fCoveckiResursi  2" connection="Query - fCoveckiResursi (2)"/>
          <x15:modelTable id="Calendar" name="Calendar" connection="Connection"/>
        </x15:modelTables>
        <x15:modelRelationships>
          <x15:modelRelationship fromTable="CAPEX" fromColumn="Очекуван датум на плаќање" toTable="Calendar" toColumn="Date"/>
          <x15:modelRelationship fromTable="Amortizacija" fromColumn="Период" toTable="Calendar" toColumn="Date"/>
          <x15:modelRelationship fromTable="fCoveckiResursi" fromColumn="Период" toTable="Calendar" toColumn="Date"/>
          <x15:modelRelationship fromTable="fActualAndBudget" fromColumn="Период" toTable="Calendar" toColumn="Date"/>
          <x15:modelRelationship fromTable="fOPEX" fromColumn="Период" toTable="Calendar" toColumn="Date"/>
          <x15:modelRelationship fromTable="OPEXAnaliza" fromColumn="Период" toTable="Calendar" toColumn="Date"/>
          <x15:modelRelationship fromTable="rArtikliAnaliza" fromColumn="Конто" toTable="Calendar" toColumn="Date"/>
          <x15:modelRelationship fromTable="fCoveckiResursi  2" fromColumn="Период" toTable="Calendar" toColumn="Date"/>
        </x15:modelRelationships>
        <x15:extLst>
          <ext xmlns:x16="http://schemas.microsoft.com/office/spreadsheetml/2014/11/main" uri="{9835A34E-60A6-4A7C-AAB8-D5F71C897F49}">
            <x16:modelTimeGroupings>
              <x16:modelTimeGrouping tableName="CAPEX" columnName="Очекуван датум на плаќање" columnId="Очекуван датум на плаќање">
                <x16:calculatedTimeColumn columnName="Очекуван датум на плаќање (Year)" columnId="Очекуван датум на плаќање (Year)" contentType="years" isSelected="1"/>
                <x16:calculatedTimeColumn columnName="Очекуван датум на плаќање (Quarter)" columnId="Очекуван датум на плаќање (Quarter)" contentType="quarters" isSelected="1"/>
                <x16:calculatedTimeColumn columnName="Очекуван датум на плаќање (Month Index)" columnId="Очекуван датум на плаќање (Month Index)" contentType="monthsindex" isSelected="1"/>
                <x16:calculatedTimeColumn columnName="Очекуван датум на плаќање (Month)" columnId="Очекуван датум на плаќање (Month)" contentType="months" isSelected="1"/>
              </x16:modelTimeGrouping>
              <x16:modelTimeGrouping tableName="OPEXAnaliza" columnName="Период" columnId="Период">
                <x16:calculatedTimeColumn columnName="Период (Year)" columnId="Период (Year)" contentType="years" isSelected="1"/>
                <x16:calculatedTimeColumn columnName="Период (Quarter)" columnId="Период (Quarter)" contentType="quarters" isSelected="1"/>
                <x16:calculatedTimeColumn columnName="Период (Month Index)" columnId="Период (Month Index)" contentType="monthsindex" isSelected="1"/>
                <x16:calculatedTimeColumn columnName="Период (Month)" columnId="Период (Month)" contentType="months" isSelected="1"/>
              </x16:modelTimeGrouping>
              <x16:modelTimeGrouping tableName="fCoveckiResursi" columnName="Период" columnId="Период">
                <x16:calculatedTimeColumn columnName="Период (Year) 1" columnId="Период (Year) 1" contentType="years" isSelected="0"/>
                <x16:calculatedTimeColumn columnName="Период (Quarter) 1" columnId="Период (Quarter) 1" contentType="quarters" isSelected="0"/>
                <x16:calculatedTimeColumn columnName="Период (Month Index) 1" columnId="Период (Month Index) 1" contentType="monthsindex" isSelected="1"/>
                <x16:calculatedTimeColumn columnName="Период (Month) 1" columnId="Период (Month) 1" contentType="months" isSelected="1"/>
              </x16:modelTimeGrouping>
              <x16:modelTimeGrouping tableName="CAPEX" columnName="Очекуван датум за ставање во употреба (месец)" columnId="Очекуван датум за ставање во употреба месец">
                <x16:calculatedTimeColumn columnName="Очекуван датум за ставање во употреба (месец) (Year)" columnId="Очекуван датум за ставање во употреба (месец) (Year)" contentType="years" isSelected="1"/>
                <x16:calculatedTimeColumn columnName="Очекуван датум за ставање во употреба (месец) (Quarter)" columnId="Очекуван датум за ставање во употреба (месец) (Quarter)" contentType="quarters" isSelected="1"/>
                <x16:calculatedTimeColumn columnName="Очекуван датум за ставање во употреба (месец) (Month Index)" columnId="Очекуван датум за ставање во употреба (месец) (Month Index)" contentType="monthsindex" isSelected="1"/>
                <x16:calculatedTimeColumn columnName="Очекуван датум за ставање во употреба (месец) (Month)" columnId="Очекуван датум за ставање во употреба (месец) (Month)" contentType="months" isSelected="1"/>
              </x16:modelTimeGrouping>
            </x16:modelTimeGroupings>
          </ext>
        </x15:extLst>
      </x15:dataModel>
    </ext>
  </extLst>
</workbook>
</file>

<file path=xl/calcChain.xml><?xml version="1.0" encoding="utf-8"?>
<calcChain xmlns="http://schemas.openxmlformats.org/spreadsheetml/2006/main">
  <c r="E31" i="114" l="1"/>
  <c r="J30" i="114"/>
  <c r="D31" i="114" s="1"/>
  <c r="H29" i="114"/>
  <c r="D29" i="114"/>
  <c r="J28" i="114"/>
  <c r="C29" i="114" s="1"/>
  <c r="G27" i="114"/>
  <c r="E27" i="114"/>
  <c r="D27" i="114"/>
  <c r="C27" i="114"/>
  <c r="J26" i="114"/>
  <c r="F25" i="114"/>
  <c r="J24" i="114"/>
  <c r="D25" i="114" s="1"/>
  <c r="E23" i="114"/>
  <c r="J22" i="114"/>
  <c r="D23" i="114" s="1"/>
  <c r="H21" i="114"/>
  <c r="D21" i="114"/>
  <c r="J20" i="114"/>
  <c r="C21" i="114" s="1"/>
  <c r="G19" i="114"/>
  <c r="F19" i="114"/>
  <c r="J18" i="114"/>
  <c r="D19" i="114" s="1"/>
  <c r="F17" i="114"/>
  <c r="E17" i="114"/>
  <c r="J16" i="114"/>
  <c r="D17" i="114" s="1"/>
  <c r="H15" i="114"/>
  <c r="E15" i="114"/>
  <c r="D15" i="114"/>
  <c r="J14" i="114"/>
  <c r="C15" i="114" s="1"/>
  <c r="H13" i="114"/>
  <c r="G13" i="114"/>
  <c r="E13" i="114"/>
  <c r="D13" i="114"/>
  <c r="C13" i="114"/>
  <c r="J12" i="114"/>
  <c r="F13" i="114" s="1"/>
  <c r="J10" i="114"/>
  <c r="E11" i="114" s="1"/>
  <c r="E9" i="114"/>
  <c r="J8" i="114"/>
  <c r="H9" i="114" s="1"/>
  <c r="H7" i="114"/>
  <c r="E7" i="114"/>
  <c r="D7" i="114"/>
  <c r="J6" i="114"/>
  <c r="H31" i="114" s="1"/>
  <c r="F11" i="114" l="1"/>
  <c r="F9" i="114"/>
  <c r="C11" i="114"/>
  <c r="G11" i="114"/>
  <c r="C19" i="114"/>
  <c r="F7" i="114"/>
  <c r="C9" i="114"/>
  <c r="G9" i="114"/>
  <c r="D11" i="114"/>
  <c r="H11" i="114"/>
  <c r="F15" i="114"/>
  <c r="C17" i="114"/>
  <c r="G17" i="114"/>
  <c r="H19" i="114"/>
  <c r="E21" i="114"/>
  <c r="F23" i="114"/>
  <c r="C25" i="114"/>
  <c r="G25" i="114"/>
  <c r="H27" i="114"/>
  <c r="E29" i="114"/>
  <c r="F31" i="114"/>
  <c r="C7" i="114"/>
  <c r="G7" i="114"/>
  <c r="D9" i="114"/>
  <c r="G15" i="114"/>
  <c r="H17" i="114"/>
  <c r="E19" i="114"/>
  <c r="F21" i="114"/>
  <c r="C23" i="114"/>
  <c r="G23" i="114"/>
  <c r="H25" i="114"/>
  <c r="F29" i="114"/>
  <c r="C31" i="114"/>
  <c r="G31" i="114"/>
  <c r="G21" i="114"/>
  <c r="H23" i="114"/>
  <c r="E25" i="114"/>
  <c r="F27" i="114"/>
  <c r="G29" i="114"/>
  <c r="F26" i="96"/>
  <c r="D26" i="96"/>
  <c r="B26" i="96"/>
  <c r="H26" i="96"/>
  <c r="J26" i="96"/>
  <c r="C15" i="85" l="1"/>
  <c r="C14" i="85"/>
  <c r="O19" i="104"/>
  <c r="C12" i="112"/>
  <c r="G1" i="67"/>
  <c r="F2" i="110"/>
  <c r="G2" i="110"/>
  <c r="H1" i="67"/>
  <c r="H2" i="110"/>
  <c r="H1" i="110"/>
  <c r="D1" i="67"/>
  <c r="L1" i="67"/>
  <c r="J1" i="110"/>
  <c r="E2" i="110"/>
  <c r="K1" i="67"/>
  <c r="B1" i="67"/>
  <c r="F1" i="67"/>
  <c r="C1" i="67"/>
  <c r="N1" i="67"/>
  <c r="I2" i="110"/>
  <c r="F1" i="110"/>
  <c r="J1" i="67"/>
  <c r="C1" i="110"/>
  <c r="C2" i="110"/>
  <c r="I1" i="67"/>
  <c r="M1" i="67"/>
  <c r="J2" i="110"/>
  <c r="C30" i="112"/>
  <c r="E1" i="67"/>
  <c r="A7" i="84"/>
  <c r="A24" i="84"/>
  <c r="A6" i="84"/>
  <c r="A12" i="84"/>
  <c r="B44" i="84"/>
  <c r="A9" i="84"/>
  <c r="A25" i="84"/>
  <c r="C5" i="85"/>
  <c r="A23" i="84"/>
  <c r="A16" i="84"/>
  <c r="A11" i="84"/>
  <c r="A22" i="84"/>
  <c r="B59" i="84"/>
  <c r="A13" i="84"/>
  <c r="A20" i="84"/>
  <c r="A21" i="84"/>
  <c r="A17" i="84"/>
  <c r="Q57" i="84"/>
  <c r="A14" i="84"/>
  <c r="A26" i="84"/>
  <c r="A27" i="84"/>
  <c r="A10" i="84"/>
  <c r="A18" i="84"/>
  <c r="A8" i="84"/>
  <c r="D5" i="71"/>
  <c r="A15" i="84"/>
  <c r="A19" i="84"/>
  <c r="B320" i="82" l="1"/>
  <c r="B321" i="82"/>
  <c r="O149" i="111"/>
  <c r="Q5" i="84"/>
  <c r="F61" i="72"/>
  <c r="B3" i="104"/>
  <c r="B3" i="59"/>
  <c r="F15" i="52"/>
  <c r="E5" i="85"/>
  <c r="C61" i="72"/>
  <c r="C15" i="52"/>
  <c r="O5" i="85"/>
  <c r="G5" i="84"/>
  <c r="D39" i="76"/>
  <c r="D5" i="84"/>
  <c r="F57" i="84"/>
  <c r="N57" i="84"/>
  <c r="D6" i="76"/>
  <c r="D57" i="84"/>
  <c r="I57" i="84"/>
  <c r="D5" i="85"/>
  <c r="N5" i="85"/>
  <c r="K57" i="84"/>
  <c r="C6" i="72"/>
  <c r="F38" i="75"/>
  <c r="D3" i="59"/>
  <c r="F3" i="52"/>
  <c r="H57" i="84"/>
  <c r="R57" i="84"/>
  <c r="K5" i="84"/>
  <c r="E15" i="52"/>
  <c r="J5" i="84"/>
  <c r="M57" i="84"/>
  <c r="E6" i="76"/>
  <c r="C7" i="38"/>
  <c r="D38" i="75"/>
  <c r="E3" i="59"/>
  <c r="C38" i="75"/>
  <c r="G5" i="85"/>
  <c r="G57" i="84"/>
  <c r="R5" i="84"/>
  <c r="D61" i="72"/>
  <c r="H5" i="85"/>
  <c r="C39" i="76"/>
  <c r="O5" i="84"/>
  <c r="P57" i="84"/>
  <c r="E35" i="52"/>
  <c r="C3" i="52"/>
  <c r="C3" i="59"/>
  <c r="O57" i="84"/>
  <c r="E4" i="84"/>
  <c r="M5" i="85"/>
  <c r="F5" i="84"/>
  <c r="B35" i="52"/>
  <c r="C4" i="84"/>
  <c r="F39" i="76"/>
  <c r="E3" i="57"/>
  <c r="H5" i="84"/>
  <c r="I5" i="85"/>
  <c r="E3" i="52"/>
  <c r="D6" i="72"/>
  <c r="L5" i="84"/>
  <c r="L57" i="84"/>
  <c r="B3" i="57"/>
  <c r="D3" i="57"/>
  <c r="C35" i="52"/>
  <c r="P5" i="84"/>
  <c r="B7" i="38"/>
  <c r="M5" i="84"/>
  <c r="J5" i="85"/>
  <c r="J57" i="84"/>
  <c r="F6" i="72"/>
  <c r="I5" i="84"/>
  <c r="D3" i="52"/>
  <c r="D7" i="38"/>
  <c r="E6" i="72"/>
  <c r="F5" i="85"/>
  <c r="F6" i="75"/>
  <c r="C6" i="76"/>
  <c r="B6" i="104"/>
  <c r="C5" i="84"/>
  <c r="N5" i="84"/>
  <c r="C6" i="104"/>
  <c r="C57" i="84"/>
  <c r="C3" i="57"/>
  <c r="F6" i="76"/>
  <c r="E6" i="75"/>
  <c r="C6" i="75"/>
  <c r="D15" i="52"/>
  <c r="L5" i="85"/>
  <c r="D6" i="75"/>
  <c r="K5" i="85"/>
  <c r="P67" i="77" l="1"/>
  <c r="B73" i="77"/>
  <c r="G73" i="77"/>
  <c r="K73" i="77"/>
  <c r="E73" i="77"/>
  <c r="M73" i="77"/>
  <c r="N73" i="77"/>
  <c r="C73" i="77"/>
  <c r="D73" i="77"/>
  <c r="J73" i="77"/>
  <c r="L73" i="77"/>
  <c r="F73" i="77"/>
  <c r="H73" i="77"/>
  <c r="I73" i="77"/>
  <c r="B74" i="77" l="1"/>
  <c r="F74" i="77"/>
  <c r="M74" i="77"/>
  <c r="I74" i="77"/>
  <c r="E74" i="77"/>
  <c r="N74" i="77"/>
  <c r="L74" i="77"/>
  <c r="H74" i="77"/>
  <c r="D74" i="77"/>
  <c r="J74" i="77"/>
  <c r="K74" i="77"/>
  <c r="G74" i="77"/>
  <c r="C74" i="77"/>
  <c r="S5" i="71"/>
  <c r="C321" i="82" l="1"/>
  <c r="D321" i="82"/>
  <c r="E321" i="82"/>
  <c r="F321" i="82"/>
  <c r="G321" i="82"/>
  <c r="H321" i="82"/>
  <c r="I321" i="82"/>
  <c r="J321" i="82"/>
  <c r="K321" i="82"/>
  <c r="L321" i="82"/>
  <c r="C320" i="82"/>
  <c r="D320" i="82"/>
  <c r="E320" i="82"/>
  <c r="F320" i="82"/>
  <c r="G320" i="82"/>
  <c r="H320" i="82"/>
  <c r="I320" i="82"/>
  <c r="J320" i="82"/>
  <c r="K320" i="82"/>
  <c r="L320" i="82"/>
  <c r="B60" i="84"/>
  <c r="B47" i="84"/>
  <c r="B63" i="84"/>
  <c r="B48" i="84"/>
  <c r="B45" i="84"/>
  <c r="B58" i="84"/>
  <c r="F4" i="84"/>
  <c r="B61" i="84"/>
  <c r="B62" i="84"/>
  <c r="L322" i="82" l="1"/>
  <c r="G186" i="108"/>
  <c r="G187" i="108" s="1"/>
  <c r="I186" i="108"/>
  <c r="I187" i="108" s="1"/>
  <c r="J187" i="108"/>
  <c r="B68" i="72"/>
  <c r="B55" i="72"/>
  <c r="A39" i="52"/>
  <c r="B53" i="75"/>
  <c r="B54" i="72"/>
  <c r="B103" i="72"/>
  <c r="B11" i="72"/>
  <c r="B12" i="75"/>
  <c r="B56" i="72"/>
  <c r="B45" i="75"/>
  <c r="B20" i="75"/>
  <c r="B8" i="71"/>
  <c r="B19" i="72"/>
  <c r="R32" i="84" l="1"/>
  <c r="C43" i="108"/>
  <c r="C38" i="108"/>
  <c r="C45" i="108"/>
  <c r="B10" i="108"/>
  <c r="B39" i="108"/>
  <c r="C13" i="108"/>
  <c r="B9" i="108"/>
  <c r="C35" i="108"/>
  <c r="C6" i="108"/>
  <c r="C24" i="108"/>
  <c r="B6" i="108"/>
  <c r="B56" i="108"/>
  <c r="C21" i="108"/>
  <c r="C40" i="108"/>
  <c r="C36" i="108"/>
  <c r="A6" i="108"/>
  <c r="C41" i="108"/>
  <c r="C53" i="108"/>
  <c r="C22" i="108"/>
  <c r="C25" i="108"/>
  <c r="C18" i="108"/>
  <c r="B12" i="108"/>
  <c r="B50" i="108"/>
  <c r="C30" i="108"/>
  <c r="C29" i="108"/>
  <c r="A55" i="108"/>
  <c r="C17" i="108"/>
  <c r="C12" i="108"/>
  <c r="C19" i="108"/>
  <c r="C16" i="108"/>
  <c r="B34" i="108"/>
  <c r="C46" i="108"/>
  <c r="C44" i="108"/>
  <c r="C10" i="108"/>
  <c r="B33" i="108"/>
  <c r="C15" i="108"/>
  <c r="C14" i="108"/>
  <c r="C28" i="108"/>
  <c r="B11" i="108"/>
  <c r="C8" i="108"/>
  <c r="C7" i="108"/>
  <c r="C48" i="108"/>
  <c r="B40" i="108"/>
  <c r="A56" i="108"/>
  <c r="C20" i="108"/>
  <c r="C32" i="108"/>
  <c r="C23" i="108"/>
  <c r="C27" i="108"/>
  <c r="C42" i="108"/>
  <c r="C26" i="108"/>
  <c r="C34" i="108"/>
  <c r="B51" i="108"/>
  <c r="C52" i="108"/>
  <c r="C47" i="108"/>
  <c r="C49" i="108"/>
  <c r="B54" i="108"/>
  <c r="C51" i="108"/>
  <c r="C31" i="108"/>
  <c r="C37" i="108"/>
  <c r="E32" i="84" l="1"/>
  <c r="O51" i="104"/>
  <c r="B46" i="84"/>
  <c r="A10" i="85"/>
  <c r="D16" i="85" l="1"/>
  <c r="F12" i="59" l="1"/>
  <c r="E11" i="59"/>
  <c r="D11" i="59"/>
  <c r="C11" i="59"/>
  <c r="B11" i="59"/>
  <c r="E10" i="59"/>
  <c r="D10" i="59"/>
  <c r="C10" i="59"/>
  <c r="B10" i="59"/>
  <c r="O21" i="58"/>
  <c r="O20" i="58"/>
  <c r="O19" i="58"/>
  <c r="N18" i="58"/>
  <c r="N17" i="58"/>
  <c r="N15" i="58"/>
  <c r="O13" i="58"/>
  <c r="O12" i="58"/>
  <c r="M10" i="58"/>
  <c r="L10" i="58"/>
  <c r="K10" i="58"/>
  <c r="J10" i="58"/>
  <c r="I10" i="58"/>
  <c r="H10" i="58"/>
  <c r="G10" i="58"/>
  <c r="F10" i="58"/>
  <c r="E10" i="58"/>
  <c r="D10" i="58"/>
  <c r="C10" i="58"/>
  <c r="B10" i="58"/>
  <c r="M9" i="58"/>
  <c r="L9" i="58"/>
  <c r="K9" i="58"/>
  <c r="J9" i="58"/>
  <c r="I9" i="58"/>
  <c r="H9" i="58"/>
  <c r="G9" i="58"/>
  <c r="F9" i="58"/>
  <c r="E9" i="58"/>
  <c r="D9" i="58"/>
  <c r="C9" i="58"/>
  <c r="N6" i="58"/>
  <c r="C3" i="58"/>
  <c r="D3" i="58" s="1"/>
  <c r="E3" i="58" s="1"/>
  <c r="F3" i="58" s="1"/>
  <c r="G3" i="58" s="1"/>
  <c r="H3" i="58" s="1"/>
  <c r="I3" i="58" s="1"/>
  <c r="J3" i="58" s="1"/>
  <c r="K3" i="58" s="1"/>
  <c r="L3" i="58" s="1"/>
  <c r="M3" i="58" s="1"/>
  <c r="G71" i="76"/>
  <c r="E71" i="76"/>
  <c r="G70" i="76"/>
  <c r="G34" i="76"/>
  <c r="F58" i="52"/>
  <c r="D58" i="52"/>
  <c r="F52" i="52"/>
  <c r="D52" i="52"/>
  <c r="E48" i="52"/>
  <c r="B15" i="52"/>
  <c r="E42" i="84"/>
  <c r="O23" i="104"/>
  <c r="J19" i="78"/>
  <c r="J18" i="78"/>
  <c r="J17" i="78"/>
  <c r="J16" i="78"/>
  <c r="J15" i="78"/>
  <c r="J14" i="78"/>
  <c r="J13" i="78"/>
  <c r="J12" i="78"/>
  <c r="J11" i="78"/>
  <c r="J10" i="78"/>
  <c r="J9" i="78"/>
  <c r="J8" i="78"/>
  <c r="J7" i="78"/>
  <c r="E15" i="85"/>
  <c r="F15" i="85" s="1"/>
  <c r="E14" i="85"/>
  <c r="H20" i="78"/>
  <c r="I20" i="78"/>
  <c r="E16" i="85" l="1"/>
  <c r="C16" i="85"/>
  <c r="F14" i="85"/>
  <c r="G14" i="85" s="1"/>
  <c r="H14" i="85" s="1"/>
  <c r="E70" i="76"/>
  <c r="G15" i="85"/>
  <c r="N10" i="58"/>
  <c r="F10" i="59"/>
  <c r="F11" i="59"/>
  <c r="J20" i="78"/>
  <c r="G16" i="85" l="1"/>
  <c r="H15" i="85"/>
  <c r="F16" i="85"/>
  <c r="H16" i="85" l="1"/>
  <c r="I15" i="85"/>
  <c r="I14" i="85"/>
  <c r="I16" i="85" l="1"/>
  <c r="J15" i="85"/>
  <c r="K15" i="85" s="1"/>
  <c r="L15" i="85" s="1"/>
  <c r="M15" i="85" s="1"/>
  <c r="N15" i="85" s="1"/>
  <c r="O15" i="85" s="1"/>
  <c r="J14" i="85"/>
  <c r="P15" i="85" l="1"/>
  <c r="J16" i="85"/>
  <c r="Q15" i="85"/>
  <c r="K14" i="85"/>
  <c r="K16" i="85" s="1"/>
  <c r="L14" i="85" l="1"/>
  <c r="L16" i="85" s="1"/>
  <c r="M14" i="85" l="1"/>
  <c r="M16" i="85" s="1"/>
  <c r="N14" i="85" l="1"/>
  <c r="N16" i="85" s="1"/>
  <c r="O14" i="85" l="1"/>
  <c r="Q14" i="85" s="1"/>
  <c r="O16" i="85" l="1"/>
  <c r="P14" i="85"/>
  <c r="Q16" i="85" l="1"/>
  <c r="P16" i="85"/>
  <c r="P25" i="85" s="1"/>
  <c r="C42" i="84" l="1"/>
  <c r="K42" i="84" l="1"/>
  <c r="O42" i="84"/>
  <c r="D42" i="84"/>
  <c r="N42" i="84"/>
  <c r="J42" i="84"/>
  <c r="P42" i="84"/>
  <c r="G42" i="84"/>
  <c r="M42" i="84"/>
  <c r="H42" i="84"/>
  <c r="R42" i="84"/>
  <c r="F42" i="84"/>
  <c r="L42" i="84"/>
  <c r="Q42" i="84"/>
  <c r="I42" i="84"/>
  <c r="C20" i="85" l="1"/>
  <c r="P43" i="104" s="1"/>
  <c r="B5" i="71" l="1"/>
  <c r="A20" i="104"/>
  <c r="O6" i="71"/>
  <c r="B24" i="71"/>
  <c r="A45" i="52"/>
  <c r="Z6" i="71"/>
  <c r="B41" i="76"/>
  <c r="B17" i="76"/>
  <c r="B5" i="75"/>
  <c r="A44" i="104"/>
  <c r="Q38" i="71"/>
  <c r="Q33" i="71"/>
  <c r="B86" i="72"/>
  <c r="A49" i="104"/>
  <c r="A38" i="47"/>
  <c r="B52" i="71"/>
  <c r="E20" i="75"/>
  <c r="A16" i="104"/>
  <c r="A17" i="52"/>
  <c r="Q20" i="71"/>
  <c r="B9" i="76"/>
  <c r="B30" i="72"/>
  <c r="A14" i="50"/>
  <c r="B73" i="72"/>
  <c r="Q35" i="71"/>
  <c r="Q7" i="71"/>
  <c r="A35" i="47"/>
  <c r="B97" i="72"/>
  <c r="Q15" i="71"/>
  <c r="B34" i="72"/>
  <c r="B72" i="72"/>
  <c r="Q54" i="71"/>
  <c r="B29" i="72"/>
  <c r="A24" i="52"/>
  <c r="B78" i="72"/>
  <c r="B20" i="72"/>
  <c r="A22" i="47"/>
  <c r="Q49" i="71"/>
  <c r="B10" i="75"/>
  <c r="A10" i="52"/>
  <c r="B106" i="72"/>
  <c r="B46" i="76"/>
  <c r="B56" i="76"/>
  <c r="A39" i="104"/>
  <c r="A13" i="47"/>
  <c r="Q36" i="71"/>
  <c r="A41" i="47"/>
  <c r="B11" i="76"/>
  <c r="A48" i="52"/>
  <c r="B19" i="71"/>
  <c r="Q13" i="71"/>
  <c r="B23" i="71"/>
  <c r="B9" i="72"/>
  <c r="B18" i="72"/>
  <c r="B28" i="76"/>
  <c r="A4" i="50"/>
  <c r="A7" i="52"/>
  <c r="B49" i="75"/>
  <c r="B88" i="72"/>
  <c r="B84" i="72"/>
  <c r="B66" i="76"/>
  <c r="B56" i="75"/>
  <c r="A10" i="104"/>
  <c r="B29" i="75"/>
  <c r="B17" i="71"/>
  <c r="B33" i="71"/>
  <c r="B7" i="72"/>
  <c r="A11" i="50"/>
  <c r="B9" i="75"/>
  <c r="Q39" i="71"/>
  <c r="B54" i="71"/>
  <c r="E6" i="104"/>
  <c r="B39" i="71"/>
  <c r="B32" i="72"/>
  <c r="B27" i="76"/>
  <c r="B38" i="76"/>
  <c r="Q11" i="71"/>
  <c r="B46" i="75"/>
  <c r="B25" i="75"/>
  <c r="Q46" i="71"/>
  <c r="A26" i="104"/>
  <c r="B44" i="72"/>
  <c r="B52" i="72"/>
  <c r="C20" i="75"/>
  <c r="B40" i="72"/>
  <c r="A5" i="52"/>
  <c r="A38" i="104"/>
  <c r="B41" i="84"/>
  <c r="A36" i="47"/>
  <c r="O47" i="84"/>
  <c r="O33" i="71"/>
  <c r="G6" i="71"/>
  <c r="P59" i="84"/>
  <c r="A53" i="104"/>
  <c r="B110" i="72"/>
  <c r="AD6" i="71"/>
  <c r="F39" i="75"/>
  <c r="B65" i="76"/>
  <c r="A6" i="52"/>
  <c r="Q5" i="71"/>
  <c r="A8" i="50"/>
  <c r="B47" i="76"/>
  <c r="B8" i="75"/>
  <c r="A27" i="47"/>
  <c r="Q55" i="71"/>
  <c r="Q45" i="71"/>
  <c r="A49" i="52"/>
  <c r="B70" i="72"/>
  <c r="Q58" i="71"/>
  <c r="B43" i="75"/>
  <c r="A16" i="47"/>
  <c r="A19" i="47"/>
  <c r="A37" i="47"/>
  <c r="Q41" i="71"/>
  <c r="B27" i="72"/>
  <c r="Q32" i="71"/>
  <c r="Q37" i="71"/>
  <c r="B61" i="75"/>
  <c r="B9" i="71"/>
  <c r="B40" i="75"/>
  <c r="B51" i="72"/>
  <c r="K6" i="104"/>
  <c r="B16" i="75"/>
  <c r="Q16" i="71"/>
  <c r="A7" i="104"/>
  <c r="B35" i="72"/>
  <c r="M6" i="71"/>
  <c r="B11" i="71"/>
  <c r="B42" i="72"/>
  <c r="B41" i="71"/>
  <c r="B109" i="72"/>
  <c r="A30" i="47"/>
  <c r="A51" i="104"/>
  <c r="H6" i="104"/>
  <c r="B36" i="52"/>
  <c r="A45" i="104"/>
  <c r="A15" i="47"/>
  <c r="A14" i="47"/>
  <c r="A17" i="50"/>
  <c r="B38" i="72"/>
  <c r="Q9" i="71"/>
  <c r="A25" i="104"/>
  <c r="B47" i="71"/>
  <c r="Q42" i="71"/>
  <c r="A17" i="104"/>
  <c r="Q40" i="71"/>
  <c r="B15" i="71"/>
  <c r="M24" i="71"/>
  <c r="B108" i="72"/>
  <c r="B71" i="72"/>
  <c r="B59" i="76"/>
  <c r="J6" i="104"/>
  <c r="A24" i="104"/>
  <c r="B93" i="72"/>
  <c r="B7" i="76"/>
  <c r="B48" i="71"/>
  <c r="X6" i="71"/>
  <c r="B44" i="75"/>
  <c r="B27" i="75"/>
  <c r="L6" i="71"/>
  <c r="L8" i="71" s="1"/>
  <c r="B42" i="71"/>
  <c r="B45" i="72"/>
  <c r="A27" i="52"/>
  <c r="Q47" i="71"/>
  <c r="N6" i="71"/>
  <c r="Q18" i="71"/>
  <c r="B49" i="84"/>
  <c r="B60" i="75"/>
  <c r="AB6" i="71"/>
  <c r="AB39" i="71" s="1"/>
  <c r="Q44" i="71"/>
  <c r="A47" i="104"/>
  <c r="B41" i="72"/>
  <c r="B41" i="75"/>
  <c r="B43" i="72"/>
  <c r="B17" i="72"/>
  <c r="Q17" i="71"/>
  <c r="B57" i="76"/>
  <c r="B66" i="72"/>
  <c r="A41" i="104"/>
  <c r="B8" i="76"/>
  <c r="B47" i="75"/>
  <c r="B58" i="71"/>
  <c r="B87" i="72"/>
  <c r="B48" i="75"/>
  <c r="A25" i="52"/>
  <c r="A11" i="104"/>
  <c r="A40" i="104"/>
  <c r="B58" i="76"/>
  <c r="C8" i="38"/>
  <c r="A42" i="52"/>
  <c r="A14" i="104"/>
  <c r="B79" i="72"/>
  <c r="I6" i="104"/>
  <c r="A8" i="104"/>
  <c r="A51" i="52"/>
  <c r="A16" i="50"/>
  <c r="B76" i="72"/>
  <c r="N6" i="104"/>
  <c r="Q14" i="71"/>
  <c r="A10" i="50"/>
  <c r="B51" i="76"/>
  <c r="B2" i="104"/>
  <c r="A30" i="104"/>
  <c r="A3" i="50"/>
  <c r="F40" i="76"/>
  <c r="Q31" i="71"/>
  <c r="A46" i="104"/>
  <c r="B92" i="72"/>
  <c r="A20" i="47"/>
  <c r="Q43" i="71"/>
  <c r="B5" i="72"/>
  <c r="B37" i="75"/>
  <c r="A26" i="52"/>
  <c r="B95" i="72"/>
  <c r="B22" i="75"/>
  <c r="H6" i="71"/>
  <c r="B21" i="76"/>
  <c r="B20" i="76"/>
  <c r="B85" i="72"/>
  <c r="B37" i="71"/>
  <c r="A18" i="104"/>
  <c r="V6" i="71"/>
  <c r="F6" i="104"/>
  <c r="B54" i="76"/>
  <c r="B36" i="72"/>
  <c r="A20" i="52"/>
  <c r="D6" i="71"/>
  <c r="A5" i="104"/>
  <c r="B19" i="76"/>
  <c r="B50" i="72"/>
  <c r="A12" i="104"/>
  <c r="B63" i="75"/>
  <c r="B30" i="76"/>
  <c r="A8" i="85"/>
  <c r="B2" i="50"/>
  <c r="F6" i="71"/>
  <c r="O41" i="71"/>
  <c r="B13" i="75"/>
  <c r="D13" i="75" s="1"/>
  <c r="Y6" i="71"/>
  <c r="Y42" i="71" s="1"/>
  <c r="A34" i="104"/>
  <c r="B44" i="76"/>
  <c r="B32" i="71"/>
  <c r="B46" i="72"/>
  <c r="T6" i="71"/>
  <c r="A55" i="52"/>
  <c r="A9" i="52"/>
  <c r="B31" i="72"/>
  <c r="B65" i="72"/>
  <c r="B29" i="76"/>
  <c r="E6" i="71"/>
  <c r="Q21" i="71"/>
  <c r="A23" i="52"/>
  <c r="B34" i="71"/>
  <c r="N37" i="71"/>
  <c r="Z52" i="71"/>
  <c r="B15" i="76"/>
  <c r="B63" i="76"/>
  <c r="B12" i="76"/>
  <c r="B64" i="76"/>
  <c r="B8" i="72"/>
  <c r="B69" i="72"/>
  <c r="Q10" i="71"/>
  <c r="D39" i="75"/>
  <c r="B53" i="72"/>
  <c r="B98" i="72"/>
  <c r="Z39" i="71"/>
  <c r="B80" i="72"/>
  <c r="A40" i="52"/>
  <c r="H17" i="71"/>
  <c r="C16" i="104"/>
  <c r="B23" i="75"/>
  <c r="A6" i="50"/>
  <c r="T54" i="71"/>
  <c r="A57" i="52"/>
  <c r="A28" i="47"/>
  <c r="Q27" i="71"/>
  <c r="V54" i="71"/>
  <c r="C41" i="72"/>
  <c r="A12" i="52"/>
  <c r="J6" i="71"/>
  <c r="Q57" i="71"/>
  <c r="B20" i="71"/>
  <c r="D40" i="76"/>
  <c r="K6" i="71"/>
  <c r="D16" i="75"/>
  <c r="L34" i="71"/>
  <c r="Q48" i="84"/>
  <c r="N47" i="84"/>
  <c r="Q22" i="71"/>
  <c r="O9" i="71"/>
  <c r="T24" i="71"/>
  <c r="B52" i="75"/>
  <c r="A9" i="104"/>
  <c r="M47" i="84"/>
  <c r="B14" i="104"/>
  <c r="X11" i="71"/>
  <c r="Q53" i="71"/>
  <c r="B15" i="75"/>
  <c r="B100" i="72"/>
  <c r="B50" i="75"/>
  <c r="S6" i="71"/>
  <c r="A56" i="52"/>
  <c r="B14" i="71"/>
  <c r="A28" i="104"/>
  <c r="Q52" i="71"/>
  <c r="B14" i="76"/>
  <c r="Q48" i="71"/>
  <c r="L6" i="104"/>
  <c r="B62" i="76"/>
  <c r="B18" i="75"/>
  <c r="A33" i="84"/>
  <c r="B48" i="76"/>
  <c r="B26" i="75"/>
  <c r="B13" i="76"/>
  <c r="A6" i="85"/>
  <c r="A19" i="104"/>
  <c r="B13" i="72"/>
  <c r="AA6" i="71"/>
  <c r="B39" i="72"/>
  <c r="Q56" i="71"/>
  <c r="B7" i="71"/>
  <c r="A9" i="47"/>
  <c r="D41" i="75"/>
  <c r="Y48" i="71"/>
  <c r="D51" i="72"/>
  <c r="X33" i="71"/>
  <c r="B43" i="76"/>
  <c r="B33" i="72"/>
  <c r="B60" i="72"/>
  <c r="AA14" i="71"/>
  <c r="M62" i="84"/>
  <c r="N9" i="71"/>
  <c r="K14" i="71"/>
  <c r="B44" i="71"/>
  <c r="J54" i="71"/>
  <c r="Y20" i="71"/>
  <c r="B30" i="71"/>
  <c r="M14" i="71"/>
  <c r="Q30" i="71"/>
  <c r="B7" i="75"/>
  <c r="X30" i="71"/>
  <c r="B58" i="75"/>
  <c r="F12" i="75"/>
  <c r="J61" i="84"/>
  <c r="Q63" i="84"/>
  <c r="F46" i="84"/>
  <c r="G60" i="84"/>
  <c r="B24" i="76"/>
  <c r="I61" i="84"/>
  <c r="AB47" i="71"/>
  <c r="B22" i="71"/>
  <c r="B28" i="71"/>
  <c r="B24" i="72"/>
  <c r="B112" i="72"/>
  <c r="B55" i="76"/>
  <c r="B35" i="71"/>
  <c r="B11" i="104"/>
  <c r="A34" i="47"/>
  <c r="C51" i="104"/>
  <c r="T35" i="71"/>
  <c r="C30" i="72"/>
  <c r="C39" i="104"/>
  <c r="M6" i="104"/>
  <c r="I62" i="84"/>
  <c r="K47" i="84"/>
  <c r="J45" i="84"/>
  <c r="AA42" i="71"/>
  <c r="AA9" i="71"/>
  <c r="F9" i="71"/>
  <c r="G47" i="71"/>
  <c r="P49" i="84"/>
  <c r="E8" i="72"/>
  <c r="Z32" i="71"/>
  <c r="E36" i="72"/>
  <c r="B16" i="104"/>
  <c r="F41" i="72"/>
  <c r="V9" i="71"/>
  <c r="L19" i="71"/>
  <c r="C27" i="72"/>
  <c r="E11" i="71"/>
  <c r="F61" i="84"/>
  <c r="F37" i="71"/>
  <c r="K33" i="71"/>
  <c r="C28" i="104"/>
  <c r="M9" i="71"/>
  <c r="L54" i="71"/>
  <c r="N45" i="84"/>
  <c r="Q24" i="71"/>
  <c r="B16" i="71"/>
  <c r="N16" i="71" s="1"/>
  <c r="A31" i="47"/>
  <c r="B36" i="71"/>
  <c r="B42" i="76"/>
  <c r="B52" i="76"/>
  <c r="B14" i="72"/>
  <c r="B8" i="38"/>
  <c r="A21" i="104"/>
  <c r="E36" i="52"/>
  <c r="C39" i="75"/>
  <c r="A34" i="52"/>
  <c r="B49" i="76"/>
  <c r="A31" i="104"/>
  <c r="B25" i="71"/>
  <c r="B23" i="72"/>
  <c r="B55" i="71"/>
  <c r="Q19" i="71"/>
  <c r="A42" i="104"/>
  <c r="B40" i="71"/>
  <c r="C6" i="71"/>
  <c r="F41" i="71"/>
  <c r="AA17" i="71"/>
  <c r="D48" i="71"/>
  <c r="A29" i="104"/>
  <c r="B64" i="72"/>
  <c r="B10" i="76"/>
  <c r="N36" i="71"/>
  <c r="A5" i="50"/>
  <c r="A58" i="52"/>
  <c r="A36" i="104"/>
  <c r="B45" i="71"/>
  <c r="AD45" i="71" s="1"/>
  <c r="T48" i="71"/>
  <c r="AB52" i="71"/>
  <c r="F13" i="75"/>
  <c r="Z15" i="71"/>
  <c r="E41" i="71"/>
  <c r="I46" i="84"/>
  <c r="D12" i="75"/>
  <c r="B75" i="72"/>
  <c r="F41" i="75"/>
  <c r="K39" i="71"/>
  <c r="F62" i="72"/>
  <c r="Y37" i="71"/>
  <c r="Y32" i="71"/>
  <c r="I63" i="84"/>
  <c r="N48" i="84"/>
  <c r="E16" i="71"/>
  <c r="E43" i="72"/>
  <c r="F38" i="72"/>
  <c r="A43" i="104"/>
  <c r="D6" i="104"/>
  <c r="B56" i="84"/>
  <c r="B83" i="72"/>
  <c r="B16" i="72"/>
  <c r="D8" i="38"/>
  <c r="G6" i="104"/>
  <c r="E10" i="75"/>
  <c r="B67" i="72"/>
  <c r="G58" i="84"/>
  <c r="A32" i="104"/>
  <c r="A62" i="52"/>
  <c r="E19" i="71"/>
  <c r="E34" i="71"/>
  <c r="F27" i="75"/>
  <c r="Z45" i="71"/>
  <c r="R6" i="71"/>
  <c r="R11" i="71" s="1"/>
  <c r="B36" i="104"/>
  <c r="O60" i="84"/>
  <c r="D41" i="72"/>
  <c r="M15" i="71"/>
  <c r="B50" i="76"/>
  <c r="F95" i="72"/>
  <c r="F33" i="72"/>
  <c r="G37" i="71"/>
  <c r="X28" i="71"/>
  <c r="B43" i="104"/>
  <c r="K47" i="71"/>
  <c r="B10" i="104"/>
  <c r="R36" i="71"/>
  <c r="B29" i="71"/>
  <c r="F30" i="72"/>
  <c r="O19" i="71"/>
  <c r="K7" i="71"/>
  <c r="AD52" i="71"/>
  <c r="C52" i="72"/>
  <c r="O24" i="71"/>
  <c r="Y40" i="71"/>
  <c r="B5" i="76"/>
  <c r="B12" i="72"/>
  <c r="F12" i="72" s="1"/>
  <c r="Q12" i="71"/>
  <c r="B102" i="72"/>
  <c r="B57" i="71"/>
  <c r="A7" i="85"/>
  <c r="Q34" i="71"/>
  <c r="B62" i="75"/>
  <c r="A23" i="104"/>
  <c r="C23" i="104" s="1"/>
  <c r="C62" i="72"/>
  <c r="B45" i="76"/>
  <c r="Q8" i="71"/>
  <c r="B53" i="71"/>
  <c r="B53" i="76"/>
  <c r="I6" i="71"/>
  <c r="I33" i="71" s="1"/>
  <c r="B12" i="71"/>
  <c r="U6" i="71"/>
  <c r="A35" i="104"/>
  <c r="B1" i="104"/>
  <c r="B19" i="75"/>
  <c r="L12" i="71"/>
  <c r="B51" i="75"/>
  <c r="C34" i="71"/>
  <c r="C7" i="71"/>
  <c r="D8" i="75"/>
  <c r="C12" i="75"/>
  <c r="E31" i="104"/>
  <c r="B111" i="72"/>
  <c r="N32" i="71"/>
  <c r="D15" i="71"/>
  <c r="J26" i="104"/>
  <c r="H51" i="104"/>
  <c r="B30" i="104"/>
  <c r="K16" i="71"/>
  <c r="F30" i="104"/>
  <c r="A50" i="104"/>
  <c r="C50" i="104" s="1"/>
  <c r="B99" i="72"/>
  <c r="A52" i="52"/>
  <c r="F23" i="71"/>
  <c r="B43" i="71"/>
  <c r="L45" i="84"/>
  <c r="D53" i="76"/>
  <c r="B21" i="71"/>
  <c r="L33" i="71"/>
  <c r="F7" i="104"/>
  <c r="B10" i="71"/>
  <c r="S10" i="71" s="1"/>
  <c r="B46" i="71"/>
  <c r="O10" i="71"/>
  <c r="D47" i="84"/>
  <c r="E28" i="104"/>
  <c r="N46" i="84"/>
  <c r="J41" i="71"/>
  <c r="B31" i="71"/>
  <c r="G11" i="71"/>
  <c r="U21" i="71"/>
  <c r="Z10" i="71"/>
  <c r="C56" i="75"/>
  <c r="I12" i="71"/>
  <c r="A12" i="47"/>
  <c r="A27" i="104"/>
  <c r="B28" i="75"/>
  <c r="F28" i="75" s="1"/>
  <c r="E19" i="75"/>
  <c r="B56" i="71"/>
  <c r="T56" i="71" s="1"/>
  <c r="T11" i="71"/>
  <c r="C33" i="71"/>
  <c r="E47" i="104"/>
  <c r="E38" i="72"/>
  <c r="F20" i="75"/>
  <c r="J21" i="104"/>
  <c r="E18" i="75"/>
  <c r="AD12" i="71"/>
  <c r="B26" i="104"/>
  <c r="B42" i="75"/>
  <c r="V10" i="71"/>
  <c r="B24" i="104"/>
  <c r="F7" i="72"/>
  <c r="O48" i="71"/>
  <c r="O17" i="71"/>
  <c r="A22" i="104"/>
  <c r="D41" i="104"/>
  <c r="F52" i="75"/>
  <c r="G31" i="71"/>
  <c r="D43" i="71"/>
  <c r="B22" i="76"/>
  <c r="H35" i="71"/>
  <c r="C14" i="71"/>
  <c r="AB23" i="71"/>
  <c r="D7" i="71"/>
  <c r="H46" i="104"/>
  <c r="N17" i="104"/>
  <c r="I52" i="71"/>
  <c r="I17" i="71"/>
  <c r="AD57" i="71"/>
  <c r="B21" i="104"/>
  <c r="E23" i="104"/>
  <c r="F60" i="84"/>
  <c r="F32" i="71"/>
  <c r="H49" i="84"/>
  <c r="X7" i="71"/>
  <c r="I23" i="104"/>
  <c r="X9" i="71"/>
  <c r="Z42" i="71"/>
  <c r="J44" i="104"/>
  <c r="H60" i="84"/>
  <c r="AA58" i="71"/>
  <c r="K61" i="84"/>
  <c r="U45" i="71"/>
  <c r="R10" i="71"/>
  <c r="S46" i="71"/>
  <c r="V32" i="71"/>
  <c r="L49" i="104"/>
  <c r="N33" i="71"/>
  <c r="C49" i="104"/>
  <c r="B13" i="71"/>
  <c r="M8" i="71"/>
  <c r="C43" i="71"/>
  <c r="C49" i="75"/>
  <c r="B64" i="84"/>
  <c r="D19" i="71"/>
  <c r="G27" i="104"/>
  <c r="A9" i="85"/>
  <c r="B101" i="72"/>
  <c r="A30" i="52"/>
  <c r="B107" i="72"/>
  <c r="A59" i="52"/>
  <c r="X25" i="71"/>
  <c r="B57" i="75"/>
  <c r="A52" i="104"/>
  <c r="J35" i="104"/>
  <c r="A18" i="47"/>
  <c r="AB24" i="71"/>
  <c r="L17" i="104"/>
  <c r="D57" i="71"/>
  <c r="H36" i="104"/>
  <c r="Y10" i="71"/>
  <c r="W6" i="71"/>
  <c r="K12" i="104"/>
  <c r="L30" i="104"/>
  <c r="E12" i="104"/>
  <c r="K35" i="104"/>
  <c r="L48" i="71"/>
  <c r="H39" i="71"/>
  <c r="K41" i="104"/>
  <c r="C43" i="72"/>
  <c r="T41" i="71"/>
  <c r="C73" i="72"/>
  <c r="B7" i="104"/>
  <c r="J51" i="104"/>
  <c r="O7" i="71"/>
  <c r="R35" i="71"/>
  <c r="F107" i="72"/>
  <c r="D31" i="104"/>
  <c r="Y25" i="71"/>
  <c r="U20" i="71"/>
  <c r="Y34" i="71"/>
  <c r="H19" i="71"/>
  <c r="AA39" i="71"/>
  <c r="K24" i="71"/>
  <c r="M42" i="104"/>
  <c r="Z19" i="71"/>
  <c r="N52" i="104"/>
  <c r="G52" i="71"/>
  <c r="K49" i="104"/>
  <c r="S47" i="71"/>
  <c r="L39" i="104"/>
  <c r="B81" i="72"/>
  <c r="E9" i="72"/>
  <c r="D26" i="104"/>
  <c r="Z17" i="71"/>
  <c r="K26" i="104"/>
  <c r="D44" i="84"/>
  <c r="C14" i="104"/>
  <c r="J49" i="84"/>
  <c r="M31" i="104"/>
  <c r="M51" i="104"/>
  <c r="C44" i="84"/>
  <c r="B50" i="104"/>
  <c r="G46" i="71"/>
  <c r="H36" i="71"/>
  <c r="G36" i="104"/>
  <c r="A33" i="104"/>
  <c r="U58" i="71"/>
  <c r="D45" i="71"/>
  <c r="D44" i="72"/>
  <c r="R9" i="71"/>
  <c r="M45" i="71"/>
  <c r="AD54" i="71"/>
  <c r="A3" i="84"/>
  <c r="W53" i="71"/>
  <c r="D63" i="75"/>
  <c r="O45" i="71"/>
  <c r="M60" i="84"/>
  <c r="N49" i="104"/>
  <c r="D53" i="71"/>
  <c r="D13" i="72"/>
  <c r="F63" i="76"/>
  <c r="B42" i="104"/>
  <c r="J28" i="104"/>
  <c r="AA24" i="71"/>
  <c r="J40" i="71"/>
  <c r="Y52" i="71"/>
  <c r="S37" i="71"/>
  <c r="V33" i="71"/>
  <c r="F44" i="104"/>
  <c r="Z13" i="71"/>
  <c r="L16" i="71"/>
  <c r="D45" i="76"/>
  <c r="M29" i="104"/>
  <c r="D9" i="72"/>
  <c r="B53" i="104"/>
  <c r="G31" i="104"/>
  <c r="AD33" i="71"/>
  <c r="D45" i="104"/>
  <c r="E15" i="71"/>
  <c r="N8" i="104"/>
  <c r="Y15" i="71"/>
  <c r="O63" i="84"/>
  <c r="D7" i="84"/>
  <c r="R46" i="71"/>
  <c r="H43" i="104"/>
  <c r="C15" i="76"/>
  <c r="D11" i="71"/>
  <c r="L18" i="84"/>
  <c r="F22" i="104"/>
  <c r="D53" i="75"/>
  <c r="L29" i="71"/>
  <c r="H57" i="71"/>
  <c r="B28" i="72"/>
  <c r="I19" i="84"/>
  <c r="C32" i="72"/>
  <c r="K19" i="71"/>
  <c r="F20" i="76"/>
  <c r="E40" i="72"/>
  <c r="I42" i="71"/>
  <c r="R40" i="71"/>
  <c r="F54" i="76"/>
  <c r="F10" i="71"/>
  <c r="A1" i="50"/>
  <c r="A7" i="50"/>
  <c r="B94" i="72"/>
  <c r="B90" i="72"/>
  <c r="B15" i="72"/>
  <c r="F15" i="72" s="1"/>
  <c r="I57" i="71"/>
  <c r="A8" i="38"/>
  <c r="D25" i="71"/>
  <c r="U7" i="71"/>
  <c r="F19" i="104"/>
  <c r="C14" i="72"/>
  <c r="B23" i="76"/>
  <c r="F29" i="76"/>
  <c r="E17" i="76"/>
  <c r="E44" i="104"/>
  <c r="B55" i="75"/>
  <c r="M57" i="71"/>
  <c r="X41" i="71"/>
  <c r="F46" i="104"/>
  <c r="M48" i="84"/>
  <c r="S7" i="71"/>
  <c r="J24" i="71"/>
  <c r="F9" i="76"/>
  <c r="H16" i="104"/>
  <c r="X24" i="71"/>
  <c r="N22" i="71"/>
  <c r="F44" i="72"/>
  <c r="H44" i="84"/>
  <c r="E24" i="72"/>
  <c r="Y13" i="71"/>
  <c r="V37" i="71"/>
  <c r="G16" i="71"/>
  <c r="M25" i="104"/>
  <c r="F26" i="75"/>
  <c r="K23" i="104"/>
  <c r="S14" i="71"/>
  <c r="V57" i="71"/>
  <c r="H47" i="84"/>
  <c r="AA16" i="71"/>
  <c r="N59" i="84"/>
  <c r="C45" i="71"/>
  <c r="B10" i="72"/>
  <c r="C79" i="72"/>
  <c r="J16" i="104"/>
  <c r="I34" i="71"/>
  <c r="P46" i="84"/>
  <c r="B19" i="104"/>
  <c r="AB7" i="71"/>
  <c r="G44" i="84"/>
  <c r="B30" i="75"/>
  <c r="F39" i="71"/>
  <c r="V25" i="71"/>
  <c r="L41" i="104"/>
  <c r="F43" i="76"/>
  <c r="J62" i="84"/>
  <c r="J45" i="71"/>
  <c r="C14" i="76"/>
  <c r="N12" i="104"/>
  <c r="K25" i="104"/>
  <c r="T37" i="71"/>
  <c r="M49" i="104"/>
  <c r="K40" i="71"/>
  <c r="J7" i="71"/>
  <c r="F22" i="71"/>
  <c r="S54" i="71"/>
  <c r="I21" i="104"/>
  <c r="Y53" i="71"/>
  <c r="K28" i="104"/>
  <c r="K38" i="104"/>
  <c r="O59" i="84"/>
  <c r="V19" i="71"/>
  <c r="A13" i="104"/>
  <c r="N14" i="71"/>
  <c r="D39" i="104"/>
  <c r="F16" i="72"/>
  <c r="AB30" i="71"/>
  <c r="T58" i="71"/>
  <c r="D49" i="104"/>
  <c r="X13" i="71"/>
  <c r="M48" i="71"/>
  <c r="B89" i="72"/>
  <c r="J30" i="104"/>
  <c r="H34" i="71"/>
  <c r="C11" i="71"/>
  <c r="J8" i="104"/>
  <c r="N34" i="104"/>
  <c r="E17" i="104"/>
  <c r="D46" i="72"/>
  <c r="AB10" i="71"/>
  <c r="E35" i="104"/>
  <c r="E26" i="104"/>
  <c r="H22" i="71"/>
  <c r="AC6" i="71"/>
  <c r="AC43" i="71"/>
  <c r="G23" i="104"/>
  <c r="V11" i="71"/>
  <c r="AC24" i="71"/>
  <c r="E9" i="75"/>
  <c r="AD34" i="71"/>
  <c r="G47" i="104"/>
  <c r="J34" i="104"/>
  <c r="B14" i="50"/>
  <c r="E32" i="72"/>
  <c r="B22" i="72"/>
  <c r="Z30" i="71"/>
  <c r="AC39" i="71"/>
  <c r="N20" i="104"/>
  <c r="V58" i="71"/>
  <c r="Q44" i="84"/>
  <c r="D47" i="104"/>
  <c r="J7" i="84"/>
  <c r="D8" i="104"/>
  <c r="M11" i="71"/>
  <c r="I40" i="104"/>
  <c r="I51" i="104"/>
  <c r="C42" i="72"/>
  <c r="B11" i="50"/>
  <c r="O14" i="84"/>
  <c r="Q23" i="71"/>
  <c r="B24" i="75"/>
  <c r="D24" i="75" s="1"/>
  <c r="B91" i="72"/>
  <c r="E9" i="76"/>
  <c r="A9" i="50"/>
  <c r="A37" i="104"/>
  <c r="U48" i="71"/>
  <c r="B16" i="76"/>
  <c r="E16" i="76" s="1"/>
  <c r="L10" i="71"/>
  <c r="J32" i="71"/>
  <c r="AD11" i="71"/>
  <c r="AD31" i="71"/>
  <c r="B29" i="104"/>
  <c r="L46" i="104"/>
  <c r="E11" i="76"/>
  <c r="H58" i="84"/>
  <c r="F76" i="72"/>
  <c r="D56" i="72"/>
  <c r="Y39" i="71"/>
  <c r="AB11" i="71"/>
  <c r="AD56" i="71"/>
  <c r="B63" i="72"/>
  <c r="E51" i="72"/>
  <c r="E33" i="71"/>
  <c r="D27" i="104"/>
  <c r="M49" i="84"/>
  <c r="J14" i="71"/>
  <c r="I12" i="104"/>
  <c r="AD14" i="71"/>
  <c r="F19" i="71"/>
  <c r="C8" i="75"/>
  <c r="J9" i="71"/>
  <c r="U14" i="71"/>
  <c r="K25" i="71"/>
  <c r="N35" i="104"/>
  <c r="AA20" i="71"/>
  <c r="K48" i="71"/>
  <c r="W39" i="71"/>
  <c r="V20" i="71"/>
  <c r="N14" i="104"/>
  <c r="V47" i="71"/>
  <c r="I11" i="71"/>
  <c r="T12" i="71"/>
  <c r="A4" i="85"/>
  <c r="L58" i="84"/>
  <c r="C48" i="75"/>
  <c r="G29" i="71"/>
  <c r="C13" i="72"/>
  <c r="W43" i="71"/>
  <c r="C11" i="76"/>
  <c r="B27" i="71"/>
  <c r="U27" i="71" s="1"/>
  <c r="C56" i="71"/>
  <c r="B23" i="104"/>
  <c r="D61" i="75"/>
  <c r="C46" i="84"/>
  <c r="N33" i="104"/>
  <c r="D46" i="104"/>
  <c r="E44" i="71"/>
  <c r="D20" i="75"/>
  <c r="N58" i="71"/>
  <c r="V17" i="71"/>
  <c r="E28" i="75"/>
  <c r="AC27" i="71"/>
  <c r="D46" i="76"/>
  <c r="T22" i="71"/>
  <c r="K34" i="104"/>
  <c r="Z41" i="71"/>
  <c r="O30" i="84"/>
  <c r="K20" i="71"/>
  <c r="O46" i="71"/>
  <c r="D9" i="71"/>
  <c r="C85" i="72"/>
  <c r="E13" i="71"/>
  <c r="H28" i="84"/>
  <c r="C62" i="84"/>
  <c r="I38" i="104"/>
  <c r="V36" i="71"/>
  <c r="B37" i="72"/>
  <c r="D55" i="76"/>
  <c r="AD16" i="71"/>
  <c r="L35" i="104"/>
  <c r="Y33" i="71"/>
  <c r="N51" i="104"/>
  <c r="V31" i="71"/>
  <c r="I37" i="71"/>
  <c r="L37" i="71"/>
  <c r="R39" i="71"/>
  <c r="R44" i="71"/>
  <c r="V22" i="71"/>
  <c r="C83" i="72"/>
  <c r="G47" i="84"/>
  <c r="C16" i="76"/>
  <c r="C56" i="72"/>
  <c r="K32" i="71"/>
  <c r="D59" i="84"/>
  <c r="C15" i="84"/>
  <c r="J13" i="84"/>
  <c r="O39" i="71"/>
  <c r="I26" i="104"/>
  <c r="AD46" i="71"/>
  <c r="W40" i="71"/>
  <c r="O43" i="71"/>
  <c r="F23" i="84"/>
  <c r="R14" i="71"/>
  <c r="T20" i="71"/>
  <c r="F42" i="75"/>
  <c r="F49" i="104"/>
  <c r="B8" i="50"/>
  <c r="AC40" i="71"/>
  <c r="J16" i="84"/>
  <c r="G57" i="71"/>
  <c r="D18" i="84"/>
  <c r="U39" i="71"/>
  <c r="K27" i="71"/>
  <c r="N8" i="71"/>
  <c r="F51" i="104"/>
  <c r="C66" i="72"/>
  <c r="O10" i="84"/>
  <c r="AA12" i="71"/>
  <c r="O11" i="84"/>
  <c r="D20" i="76"/>
  <c r="AB48" i="71"/>
  <c r="AB13" i="71"/>
  <c r="M16" i="71"/>
  <c r="M44" i="71"/>
  <c r="J24" i="104"/>
  <c r="J27" i="104"/>
  <c r="AA33" i="71"/>
  <c r="L23" i="71"/>
  <c r="E46" i="104"/>
  <c r="Y11" i="71"/>
  <c r="AB25" i="71"/>
  <c r="D26" i="75"/>
  <c r="M24" i="104"/>
  <c r="K42" i="71"/>
  <c r="K27" i="104"/>
  <c r="U52" i="71"/>
  <c r="E12" i="71"/>
  <c r="L7" i="104"/>
  <c r="F20" i="104"/>
  <c r="I52" i="104"/>
  <c r="F21" i="104"/>
  <c r="O7" i="84"/>
  <c r="N37" i="104"/>
  <c r="B44" i="104"/>
  <c r="F11" i="76"/>
  <c r="J58" i="71"/>
  <c r="J20" i="84"/>
  <c r="E6" i="85"/>
  <c r="D24" i="71"/>
  <c r="C25" i="75"/>
  <c r="F84" i="72"/>
  <c r="W41" i="71"/>
  <c r="D20" i="71"/>
  <c r="R43" i="71"/>
  <c r="G39" i="71"/>
  <c r="J35" i="71"/>
  <c r="N34" i="71"/>
  <c r="U19" i="71"/>
  <c r="D33" i="71"/>
  <c r="L45" i="104"/>
  <c r="M24" i="84"/>
  <c r="M27" i="104"/>
  <c r="E16" i="104"/>
  <c r="M7" i="71"/>
  <c r="B28" i="104"/>
  <c r="C40" i="76"/>
  <c r="H9" i="104"/>
  <c r="D23" i="71"/>
  <c r="M14" i="104"/>
  <c r="J18" i="84"/>
  <c r="X14" i="71"/>
  <c r="J32" i="104"/>
  <c r="AD13" i="71"/>
  <c r="W46" i="71"/>
  <c r="L32" i="71"/>
  <c r="C15" i="72"/>
  <c r="C90" i="72"/>
  <c r="K45" i="104"/>
  <c r="M59" i="84"/>
  <c r="H39" i="104"/>
  <c r="M36" i="71"/>
  <c r="AD27" i="71"/>
  <c r="K49" i="84"/>
  <c r="F37" i="104"/>
  <c r="G6" i="85"/>
  <c r="C86" i="72"/>
  <c r="F8" i="85"/>
  <c r="E37" i="72"/>
  <c r="H21" i="104"/>
  <c r="D29" i="71"/>
  <c r="F15" i="84"/>
  <c r="C41" i="75"/>
  <c r="C12" i="76"/>
  <c r="E11" i="104"/>
  <c r="E41" i="104"/>
  <c r="E51" i="104"/>
  <c r="AC53" i="71"/>
  <c r="Z48" i="71"/>
  <c r="D18" i="75"/>
  <c r="H11" i="104"/>
  <c r="G49" i="104"/>
  <c r="C24" i="75"/>
  <c r="K62" i="84"/>
  <c r="Y28" i="71"/>
  <c r="D13" i="71"/>
  <c r="Z22" i="71"/>
  <c r="I24" i="104"/>
  <c r="J52" i="71"/>
  <c r="C16" i="84"/>
  <c r="M10" i="84"/>
  <c r="L31" i="84"/>
  <c r="C111" i="72"/>
  <c r="C24" i="72"/>
  <c r="K37" i="71"/>
  <c r="F28" i="76"/>
  <c r="H6" i="84"/>
  <c r="AB17" i="71"/>
  <c r="K11" i="104"/>
  <c r="S36" i="71"/>
  <c r="H44" i="71"/>
  <c r="I41" i="71"/>
  <c r="G12" i="104"/>
  <c r="L25" i="71"/>
  <c r="L23" i="104"/>
  <c r="V30" i="71"/>
  <c r="Y17" i="71"/>
  <c r="AD25" i="71"/>
  <c r="C45" i="75"/>
  <c r="O15" i="84"/>
  <c r="Y27" i="71"/>
  <c r="D22" i="84"/>
  <c r="D64" i="76"/>
  <c r="I6" i="85"/>
  <c r="M31" i="71"/>
  <c r="X16" i="71"/>
  <c r="L29" i="84"/>
  <c r="G45" i="104"/>
  <c r="C28" i="76"/>
  <c r="A19" i="52"/>
  <c r="D10" i="75"/>
  <c r="B77" i="72"/>
  <c r="D61" i="84"/>
  <c r="D62" i="72"/>
  <c r="O58" i="84"/>
  <c r="H15" i="71"/>
  <c r="A15" i="104"/>
  <c r="L36" i="104"/>
  <c r="M37" i="71"/>
  <c r="F56" i="76"/>
  <c r="B38" i="71"/>
  <c r="F16" i="104"/>
  <c r="E44" i="72"/>
  <c r="H42" i="104"/>
  <c r="H9" i="71"/>
  <c r="U17" i="71"/>
  <c r="D18" i="72"/>
  <c r="K45" i="71"/>
  <c r="X21" i="71"/>
  <c r="Y19" i="71"/>
  <c r="B14" i="75"/>
  <c r="J37" i="71"/>
  <c r="C44" i="71"/>
  <c r="H56" i="71"/>
  <c r="E9" i="71"/>
  <c r="D24" i="76"/>
  <c r="P62" i="84"/>
  <c r="E16" i="72"/>
  <c r="O47" i="71"/>
  <c r="C72" i="72"/>
  <c r="D65" i="72"/>
  <c r="C47" i="71"/>
  <c r="D95" i="72"/>
  <c r="F58" i="75"/>
  <c r="G52" i="104"/>
  <c r="I44" i="104"/>
  <c r="AB53" i="71"/>
  <c r="F53" i="104"/>
  <c r="I23" i="71"/>
  <c r="Z57" i="71"/>
  <c r="B21" i="72"/>
  <c r="D12" i="104"/>
  <c r="AB56" i="71"/>
  <c r="J47" i="84"/>
  <c r="AD30" i="71"/>
  <c r="L15" i="104"/>
  <c r="D14" i="71"/>
  <c r="K58" i="71"/>
  <c r="D12" i="76"/>
  <c r="F89" i="72"/>
  <c r="Y14" i="71"/>
  <c r="D30" i="84"/>
  <c r="D56" i="71"/>
  <c r="C41" i="71"/>
  <c r="I49" i="104"/>
  <c r="L34" i="104"/>
  <c r="D80" i="72"/>
  <c r="D8" i="71"/>
  <c r="F43" i="71"/>
  <c r="C18" i="104"/>
  <c r="F20" i="84"/>
  <c r="N25" i="71"/>
  <c r="C45" i="72"/>
  <c r="C21" i="71"/>
  <c r="C65" i="72"/>
  <c r="K32" i="104"/>
  <c r="N63" i="84"/>
  <c r="N17" i="71"/>
  <c r="S17" i="71"/>
  <c r="I16" i="71"/>
  <c r="E16" i="75"/>
  <c r="B49" i="71"/>
  <c r="W22" i="71"/>
  <c r="F39" i="104"/>
  <c r="R21" i="71"/>
  <c r="L49" i="84"/>
  <c r="M19" i="104"/>
  <c r="H34" i="104"/>
  <c r="E50" i="104"/>
  <c r="G33" i="71"/>
  <c r="D37" i="71"/>
  <c r="C22" i="72"/>
  <c r="I40" i="71"/>
  <c r="Z47" i="71"/>
  <c r="F64" i="76"/>
  <c r="S58" i="71"/>
  <c r="X45" i="71"/>
  <c r="Q18" i="84"/>
  <c r="Q45" i="84"/>
  <c r="J31" i="84"/>
  <c r="L35" i="71"/>
  <c r="M23" i="104"/>
  <c r="D83" i="72"/>
  <c r="S22" i="71"/>
  <c r="F8" i="84"/>
  <c r="C67" i="72"/>
  <c r="P17" i="84"/>
  <c r="F66" i="72"/>
  <c r="H13" i="84"/>
  <c r="E31" i="71"/>
  <c r="C40" i="72"/>
  <c r="N21" i="84"/>
  <c r="B8" i="104"/>
  <c r="A16" i="52"/>
  <c r="C15" i="75"/>
  <c r="D51" i="76"/>
  <c r="AC29" i="71"/>
  <c r="G62" i="84"/>
  <c r="C46" i="104"/>
  <c r="E36" i="104"/>
  <c r="H7" i="71"/>
  <c r="N22" i="84"/>
  <c r="C39" i="71"/>
  <c r="K57" i="71"/>
  <c r="D16" i="71"/>
  <c r="D108" i="72"/>
  <c r="H32" i="104"/>
  <c r="Z31" i="71"/>
  <c r="H31" i="84"/>
  <c r="I38" i="71"/>
  <c r="M46" i="84"/>
  <c r="Q28" i="84"/>
  <c r="D14" i="76"/>
  <c r="Q49" i="84"/>
  <c r="F54" i="72"/>
  <c r="C6" i="85"/>
  <c r="N13" i="104"/>
  <c r="X37" i="71"/>
  <c r="O49" i="84"/>
  <c r="I47" i="104"/>
  <c r="O25" i="71"/>
  <c r="C19" i="72"/>
  <c r="D47" i="71"/>
  <c r="AC22" i="71"/>
  <c r="O6" i="85"/>
  <c r="J11" i="71"/>
  <c r="N18" i="104"/>
  <c r="D31" i="72"/>
  <c r="C10" i="76"/>
  <c r="D102" i="72"/>
  <c r="X12" i="71"/>
  <c r="D44" i="76"/>
  <c r="P24" i="84"/>
  <c r="R20" i="71"/>
  <c r="F46" i="72"/>
  <c r="D98" i="72"/>
  <c r="W23" i="71"/>
  <c r="T32" i="71"/>
  <c r="N30" i="71"/>
  <c r="H46" i="71"/>
  <c r="F27" i="76"/>
  <c r="M46" i="104"/>
  <c r="E50" i="72"/>
  <c r="F93" i="72"/>
  <c r="O44" i="84"/>
  <c r="X54" i="71"/>
  <c r="F68" i="72"/>
  <c r="Z35" i="71"/>
  <c r="A21" i="47"/>
  <c r="A38" i="52"/>
  <c r="B17" i="75"/>
  <c r="M19" i="71"/>
  <c r="F34" i="71"/>
  <c r="L46" i="71"/>
  <c r="X34" i="71"/>
  <c r="D51" i="104"/>
  <c r="C53" i="75"/>
  <c r="S42" i="71"/>
  <c r="F83" i="72"/>
  <c r="G44" i="104"/>
  <c r="AA45" i="71"/>
  <c r="K34" i="71"/>
  <c r="S48" i="71"/>
  <c r="G14" i="104"/>
  <c r="O28" i="71"/>
  <c r="AA19" i="71"/>
  <c r="F18" i="84"/>
  <c r="C14" i="75"/>
  <c r="K46" i="104"/>
  <c r="E20" i="72"/>
  <c r="M10" i="104"/>
  <c r="E20" i="104"/>
  <c r="N23" i="71"/>
  <c r="R52" i="71"/>
  <c r="C30" i="71"/>
  <c r="R31" i="71"/>
  <c r="C10" i="75"/>
  <c r="H20" i="104"/>
  <c r="S44" i="71"/>
  <c r="R56" i="71"/>
  <c r="U44" i="71"/>
  <c r="I29" i="84"/>
  <c r="F72" i="72"/>
  <c r="H53" i="104"/>
  <c r="D56" i="76"/>
  <c r="I16" i="84"/>
  <c r="F42" i="104"/>
  <c r="M28" i="71"/>
  <c r="G61" i="84"/>
  <c r="W24" i="71"/>
  <c r="D8" i="85"/>
  <c r="D42" i="71"/>
  <c r="AC14" i="71"/>
  <c r="G22" i="104"/>
  <c r="H22" i="104"/>
  <c r="R22" i="71"/>
  <c r="L47" i="71"/>
  <c r="K28" i="84"/>
  <c r="J23" i="71"/>
  <c r="W19" i="71"/>
  <c r="P13" i="84"/>
  <c r="D87" i="72"/>
  <c r="D13" i="104"/>
  <c r="N60" i="84"/>
  <c r="D35" i="72"/>
  <c r="E18" i="72"/>
  <c r="D56" i="75"/>
  <c r="W57" i="71"/>
  <c r="K43" i="71"/>
  <c r="P31" i="84"/>
  <c r="F51" i="75"/>
  <c r="C20" i="84"/>
  <c r="H20" i="71"/>
  <c r="H21" i="71"/>
  <c r="J15" i="104"/>
  <c r="O56" i="71"/>
  <c r="E32" i="104"/>
  <c r="E38" i="104"/>
  <c r="H44" i="104"/>
  <c r="K36" i="71"/>
  <c r="F52" i="71"/>
  <c r="H20" i="84"/>
  <c r="H27" i="104"/>
  <c r="F14" i="71"/>
  <c r="F17" i="72"/>
  <c r="N39" i="104"/>
  <c r="D24" i="104"/>
  <c r="Z56" i="71"/>
  <c r="F112" i="72"/>
  <c r="F8" i="71"/>
  <c r="N7" i="71"/>
  <c r="Q58" i="84"/>
  <c r="Y47" i="71"/>
  <c r="V29" i="71"/>
  <c r="F27" i="84"/>
  <c r="L15" i="84"/>
  <c r="F9" i="84"/>
  <c r="T49" i="71"/>
  <c r="E19" i="76"/>
  <c r="M17" i="71"/>
  <c r="H45" i="84"/>
  <c r="H49" i="71"/>
  <c r="O23" i="84"/>
  <c r="L22" i="104"/>
  <c r="J30" i="84"/>
  <c r="N20" i="71"/>
  <c r="E23" i="71"/>
  <c r="G38" i="104"/>
  <c r="L16" i="104"/>
  <c r="F39" i="72"/>
  <c r="C25" i="104"/>
  <c r="X19" i="71"/>
  <c r="S13" i="71"/>
  <c r="E58" i="71"/>
  <c r="Y24" i="71"/>
  <c r="J19" i="84"/>
  <c r="R47" i="71"/>
  <c r="C12" i="72"/>
  <c r="J8" i="84"/>
  <c r="S27" i="71"/>
  <c r="X35" i="71"/>
  <c r="N44" i="71"/>
  <c r="J25" i="104"/>
  <c r="AA25" i="71"/>
  <c r="C63" i="72"/>
  <c r="D28" i="104"/>
  <c r="F29" i="104"/>
  <c r="K46" i="84"/>
  <c r="AC31" i="71"/>
  <c r="I43" i="104"/>
  <c r="D58" i="71"/>
  <c r="F43" i="104"/>
  <c r="O46" i="84"/>
  <c r="N7" i="104"/>
  <c r="L11" i="84"/>
  <c r="AA37" i="71"/>
  <c r="J31" i="71"/>
  <c r="G30" i="104"/>
  <c r="E8" i="85"/>
  <c r="AB29" i="71"/>
  <c r="K21" i="71"/>
  <c r="I56" i="71"/>
  <c r="W27" i="71"/>
  <c r="G46" i="84"/>
  <c r="F35" i="72"/>
  <c r="M25" i="71"/>
  <c r="G15" i="84"/>
  <c r="C16" i="71"/>
  <c r="N16" i="84"/>
  <c r="AA52" i="71"/>
  <c r="D29" i="76"/>
  <c r="K13" i="104"/>
  <c r="C34" i="72"/>
  <c r="D43" i="72"/>
  <c r="AD17" i="71"/>
  <c r="O61" i="84"/>
  <c r="E12" i="75"/>
  <c r="K33" i="104"/>
  <c r="G11" i="84"/>
  <c r="F25" i="104"/>
  <c r="M50" i="104"/>
  <c r="B38" i="104"/>
  <c r="D31" i="84"/>
  <c r="O21" i="71"/>
  <c r="I10" i="71"/>
  <c r="F49" i="84"/>
  <c r="I9" i="104"/>
  <c r="D28" i="75"/>
  <c r="I43" i="71"/>
  <c r="AC48" i="71"/>
  <c r="D13" i="76"/>
  <c r="I13" i="71"/>
  <c r="Q20" i="84"/>
  <c r="J8" i="85"/>
  <c r="I14" i="71"/>
  <c r="H31" i="71"/>
  <c r="U41" i="71"/>
  <c r="AA30" i="71"/>
  <c r="C37" i="72"/>
  <c r="E45" i="72"/>
  <c r="E43" i="104"/>
  <c r="H23" i="104"/>
  <c r="F77" i="72"/>
  <c r="D29" i="75"/>
  <c r="I27" i="71"/>
  <c r="N38" i="104"/>
  <c r="AA27" i="71"/>
  <c r="T23" i="71"/>
  <c r="C44" i="76"/>
  <c r="L53" i="104"/>
  <c r="F8" i="72"/>
  <c r="J33" i="104"/>
  <c r="D76" i="72"/>
  <c r="L11" i="104"/>
  <c r="Z49" i="71"/>
  <c r="R28" i="71"/>
  <c r="L24" i="104"/>
  <c r="C61" i="75"/>
  <c r="R16" i="71"/>
  <c r="K9" i="71"/>
  <c r="V56" i="71"/>
  <c r="F13" i="84"/>
  <c r="E35" i="72"/>
  <c r="M11" i="84"/>
  <c r="G35" i="71"/>
  <c r="D93" i="72"/>
  <c r="E39" i="71"/>
  <c r="C30" i="76"/>
  <c r="K51" i="104"/>
  <c r="C18" i="84"/>
  <c r="I35" i="104"/>
  <c r="S24" i="71"/>
  <c r="Z58" i="71"/>
  <c r="AB19" i="71"/>
  <c r="L59" i="84"/>
  <c r="Q29" i="84"/>
  <c r="C93" i="72"/>
  <c r="G8" i="104"/>
  <c r="M26" i="104"/>
  <c r="F17" i="71"/>
  <c r="M13" i="84"/>
  <c r="C29" i="75"/>
  <c r="C51" i="76"/>
  <c r="E14" i="71"/>
  <c r="N12" i="71"/>
  <c r="E13" i="72"/>
  <c r="J7" i="85"/>
  <c r="K19" i="104"/>
  <c r="W28" i="71"/>
  <c r="AA23" i="71"/>
  <c r="Y31" i="71"/>
  <c r="M21" i="104"/>
  <c r="C18" i="72"/>
  <c r="Y35" i="71"/>
  <c r="Y8" i="71"/>
  <c r="L8" i="104"/>
  <c r="X56" i="71"/>
  <c r="Z43" i="71"/>
  <c r="D40" i="72"/>
  <c r="L60" i="84"/>
  <c r="N23" i="104"/>
  <c r="I27" i="84"/>
  <c r="W8" i="71"/>
  <c r="T30" i="71"/>
  <c r="Y9" i="71"/>
  <c r="C101" i="72"/>
  <c r="Q60" i="84"/>
  <c r="F7" i="71"/>
  <c r="C69" i="72"/>
  <c r="C61" i="84"/>
  <c r="D27" i="71"/>
  <c r="E24" i="75"/>
  <c r="D54" i="76"/>
  <c r="T36" i="71"/>
  <c r="B39" i="104"/>
  <c r="AB34" i="71"/>
  <c r="F45" i="72"/>
  <c r="C29" i="84"/>
  <c r="T25" i="71"/>
  <c r="O12" i="84"/>
  <c r="AD48" i="71"/>
  <c r="F7" i="84"/>
  <c r="G53" i="71"/>
  <c r="G63" i="84"/>
  <c r="F29" i="71"/>
  <c r="J19" i="71"/>
  <c r="G12" i="71"/>
  <c r="C23" i="71"/>
  <c r="I22" i="84"/>
  <c r="K19" i="84"/>
  <c r="C54" i="72"/>
  <c r="D75" i="72"/>
  <c r="G26" i="104"/>
  <c r="S49" i="71"/>
  <c r="O40" i="71"/>
  <c r="K6" i="84"/>
  <c r="M25" i="84"/>
  <c r="F24" i="104"/>
  <c r="M38" i="104"/>
  <c r="F94" i="72"/>
  <c r="H63" i="84"/>
  <c r="H35" i="104"/>
  <c r="E24" i="76"/>
  <c r="F15" i="104"/>
  <c r="L18" i="104"/>
  <c r="N11" i="104"/>
  <c r="W30" i="71"/>
  <c r="O30" i="71"/>
  <c r="D31" i="71"/>
  <c r="T13" i="71"/>
  <c r="N26" i="84"/>
  <c r="K17" i="71"/>
  <c r="F46" i="75"/>
  <c r="I28" i="71"/>
  <c r="K39" i="104"/>
  <c r="F13" i="72"/>
  <c r="P19" i="84"/>
  <c r="V16" i="71"/>
  <c r="O18" i="84"/>
  <c r="E7" i="72"/>
  <c r="U40" i="71"/>
  <c r="H13" i="71"/>
  <c r="G7" i="84"/>
  <c r="R53" i="71"/>
  <c r="N15" i="84"/>
  <c r="D37" i="72"/>
  <c r="O17" i="84"/>
  <c r="J29" i="84"/>
  <c r="D20" i="72"/>
  <c r="I46" i="104"/>
  <c r="F73" i="72"/>
  <c r="F12" i="104"/>
  <c r="I17" i="104"/>
  <c r="J10" i="84"/>
  <c r="E57" i="71"/>
  <c r="K40" i="104"/>
  <c r="C30" i="104"/>
  <c r="V14" i="71"/>
  <c r="N9" i="104"/>
  <c r="F30" i="71"/>
  <c r="I25" i="104"/>
  <c r="K58" i="84"/>
  <c r="C112" i="72"/>
  <c r="AA34" i="71"/>
  <c r="J15" i="71"/>
  <c r="J21" i="71"/>
  <c r="R37" i="71"/>
  <c r="X22" i="71"/>
  <c r="AC38" i="71"/>
  <c r="D7" i="85"/>
  <c r="AC25" i="71"/>
  <c r="C6" i="84"/>
  <c r="M31" i="84"/>
  <c r="F10" i="84"/>
  <c r="J14" i="84"/>
  <c r="I7" i="84"/>
  <c r="L24" i="84"/>
  <c r="B74" i="72"/>
  <c r="F74" i="72" s="1"/>
  <c r="F51" i="72"/>
  <c r="A43" i="52"/>
  <c r="Q25" i="71"/>
  <c r="AD37" i="71"/>
  <c r="T19" i="71"/>
  <c r="G8" i="71"/>
  <c r="F8" i="75"/>
  <c r="U32" i="71"/>
  <c r="C8" i="71"/>
  <c r="F42" i="71"/>
  <c r="B47" i="104"/>
  <c r="B12" i="104"/>
  <c r="G44" i="71"/>
  <c r="D23" i="76"/>
  <c r="I22" i="71"/>
  <c r="D70" i="72"/>
  <c r="M8" i="104"/>
  <c r="G19" i="84"/>
  <c r="E56" i="71"/>
  <c r="H33" i="71"/>
  <c r="F56" i="71"/>
  <c r="E29" i="104"/>
  <c r="N45" i="104"/>
  <c r="K31" i="104"/>
  <c r="J22" i="71"/>
  <c r="A48" i="104"/>
  <c r="U36" i="71"/>
  <c r="J57" i="71"/>
  <c r="G34" i="104"/>
  <c r="O14" i="71"/>
  <c r="AC16" i="71"/>
  <c r="D21" i="104"/>
  <c r="L21" i="71"/>
  <c r="F50" i="104"/>
  <c r="G43" i="104"/>
  <c r="K35" i="71"/>
  <c r="D48" i="76"/>
  <c r="O13" i="71"/>
  <c r="G50" i="104"/>
  <c r="D13" i="84"/>
  <c r="AD58" i="71"/>
  <c r="K31" i="71"/>
  <c r="AB16" i="71"/>
  <c r="F43" i="75"/>
  <c r="D6" i="84"/>
  <c r="E46" i="72"/>
  <c r="K11" i="84"/>
  <c r="C32" i="71"/>
  <c r="F13" i="76"/>
  <c r="A15" i="50"/>
  <c r="N21" i="71"/>
  <c r="O9" i="84"/>
  <c r="AB12" i="71"/>
  <c r="G14" i="84"/>
  <c r="M20" i="104"/>
  <c r="D50" i="72"/>
  <c r="H14" i="84"/>
  <c r="AD44" i="71"/>
  <c r="D10" i="76"/>
  <c r="G40" i="71"/>
  <c r="I53" i="104"/>
  <c r="F71" i="72"/>
  <c r="D41" i="71"/>
  <c r="B32" i="104"/>
  <c r="E45" i="104"/>
  <c r="E17" i="71"/>
  <c r="L42" i="71"/>
  <c r="J10" i="104"/>
  <c r="C64" i="72"/>
  <c r="W17" i="71"/>
  <c r="D46" i="84"/>
  <c r="F29" i="75"/>
  <c r="C44" i="75"/>
  <c r="G25" i="104"/>
  <c r="D29" i="84"/>
  <c r="C53" i="71"/>
  <c r="AB20" i="71"/>
  <c r="D12" i="72"/>
  <c r="G41" i="71"/>
  <c r="K22" i="104"/>
  <c r="L20" i="104"/>
  <c r="D112" i="72"/>
  <c r="C7" i="84"/>
  <c r="B43" i="84"/>
  <c r="H43" i="84" s="1"/>
  <c r="V46" i="71"/>
  <c r="N7" i="84"/>
  <c r="M47" i="104"/>
  <c r="G42" i="71"/>
  <c r="AD36" i="71"/>
  <c r="J15" i="84"/>
  <c r="H11" i="84"/>
  <c r="Z11" i="71"/>
  <c r="F24" i="84"/>
  <c r="F31" i="72"/>
  <c r="U9" i="71"/>
  <c r="G13" i="104"/>
  <c r="F20" i="72"/>
  <c r="Z9" i="71"/>
  <c r="E14" i="104"/>
  <c r="F9" i="104"/>
  <c r="J45" i="104"/>
  <c r="Z40" i="71"/>
  <c r="C50" i="72"/>
  <c r="F103" i="72"/>
  <c r="R57" i="71"/>
  <c r="M10" i="85"/>
  <c r="L43" i="71"/>
  <c r="L47" i="104"/>
  <c r="F29" i="72"/>
  <c r="K43" i="104"/>
  <c r="D45" i="72"/>
  <c r="U57" i="71"/>
  <c r="F9" i="72"/>
  <c r="AD23" i="71"/>
  <c r="F46" i="71"/>
  <c r="L26" i="104"/>
  <c r="C23" i="75"/>
  <c r="Y45" i="71"/>
  <c r="G38" i="71"/>
  <c r="F29" i="84"/>
  <c r="R54" i="71"/>
  <c r="M12" i="71"/>
  <c r="AC52" i="71"/>
  <c r="F78" i="72"/>
  <c r="N13" i="84"/>
  <c r="K54" i="71"/>
  <c r="M14" i="84"/>
  <c r="T27" i="71"/>
  <c r="O58" i="71"/>
  <c r="C21" i="104"/>
  <c r="D6" i="85"/>
  <c r="AB49" i="71"/>
  <c r="C10" i="71"/>
  <c r="F80" i="72"/>
  <c r="C7" i="72"/>
  <c r="N41" i="71"/>
  <c r="D10" i="84"/>
  <c r="C13" i="84"/>
  <c r="J43" i="104"/>
  <c r="D43" i="84"/>
  <c r="R7" i="71"/>
  <c r="F100" i="72"/>
  <c r="O10" i="85"/>
  <c r="C39" i="72"/>
  <c r="M58" i="71"/>
  <c r="D48" i="75"/>
  <c r="L45" i="71"/>
  <c r="E37" i="71"/>
  <c r="V45" i="71"/>
  <c r="H47" i="71"/>
  <c r="D45" i="84"/>
  <c r="C63" i="75"/>
  <c r="F69" i="72"/>
  <c r="Z7" i="71"/>
  <c r="E12" i="72"/>
  <c r="O36" i="71"/>
  <c r="AA35" i="71"/>
  <c r="D43" i="76"/>
  <c r="Z53" i="71"/>
  <c r="E9" i="104"/>
  <c r="M6" i="84"/>
  <c r="J6" i="84"/>
  <c r="E30" i="75"/>
  <c r="O6" i="84"/>
  <c r="M27" i="71"/>
  <c r="AC44" i="71"/>
  <c r="D34" i="104"/>
  <c r="B25" i="72"/>
  <c r="C58" i="84"/>
  <c r="D39" i="71"/>
  <c r="F16" i="71"/>
  <c r="O37" i="71"/>
  <c r="Q8" i="84"/>
  <c r="F27" i="71"/>
  <c r="T45" i="71"/>
  <c r="G8" i="84"/>
  <c r="E25" i="75"/>
  <c r="R33" i="71"/>
  <c r="F25" i="75"/>
  <c r="AB54" i="71"/>
  <c r="M15" i="104"/>
  <c r="D25" i="84"/>
  <c r="L48" i="104"/>
  <c r="P21" i="84"/>
  <c r="J49" i="71"/>
  <c r="M22" i="104"/>
  <c r="F30" i="84"/>
  <c r="O57" i="71"/>
  <c r="I20" i="84"/>
  <c r="D47" i="75"/>
  <c r="J50" i="104"/>
  <c r="X47" i="71"/>
  <c r="E8" i="71"/>
  <c r="G33" i="104"/>
  <c r="H25" i="104"/>
  <c r="T8" i="71"/>
  <c r="K11" i="71"/>
  <c r="F17" i="76"/>
  <c r="O38" i="71"/>
  <c r="H52" i="104"/>
  <c r="H12" i="84"/>
  <c r="M11" i="104"/>
  <c r="C22" i="104"/>
  <c r="H28" i="104"/>
  <c r="Q59" i="84"/>
  <c r="E47" i="71"/>
  <c r="D16" i="72"/>
  <c r="F47" i="71"/>
  <c r="M40" i="71"/>
  <c r="C13" i="104"/>
  <c r="I46" i="71"/>
  <c r="S31" i="71"/>
  <c r="D58" i="76"/>
  <c r="AC17" i="71"/>
  <c r="E38" i="71"/>
  <c r="O52" i="71"/>
  <c r="B33" i="104"/>
  <c r="G25" i="71"/>
  <c r="D30" i="75"/>
  <c r="C45" i="76"/>
  <c r="H19" i="84"/>
  <c r="H50" i="104"/>
  <c r="M40" i="104"/>
  <c r="S57" i="71"/>
  <c r="D38" i="104"/>
  <c r="K9" i="104"/>
  <c r="F16" i="84"/>
  <c r="D91" i="72"/>
  <c r="D35" i="104"/>
  <c r="U28" i="71"/>
  <c r="H10" i="71"/>
  <c r="F44" i="76"/>
  <c r="X58" i="71"/>
  <c r="T42" i="71"/>
  <c r="B9" i="50"/>
  <c r="F17" i="104"/>
  <c r="C12" i="84"/>
  <c r="L25" i="104"/>
  <c r="F11" i="71"/>
  <c r="Z16" i="71"/>
  <c r="C57" i="75"/>
  <c r="F15" i="71"/>
  <c r="E52" i="71"/>
  <c r="F81" i="72"/>
  <c r="E17" i="75"/>
  <c r="D39" i="72"/>
  <c r="E29" i="72"/>
  <c r="Q26" i="84"/>
  <c r="Y41" i="71"/>
  <c r="N40" i="104"/>
  <c r="O8" i="71"/>
  <c r="A24" i="47"/>
  <c r="Z46" i="71"/>
  <c r="J8" i="71"/>
  <c r="K22" i="71"/>
  <c r="F38" i="104"/>
  <c r="J10" i="71"/>
  <c r="V52" i="71"/>
  <c r="C94" i="72"/>
  <c r="U35" i="71"/>
  <c r="AA36" i="71"/>
  <c r="V44" i="71"/>
  <c r="O31" i="71"/>
  <c r="W21" i="71"/>
  <c r="M32" i="71"/>
  <c r="F7" i="85"/>
  <c r="L33" i="104"/>
  <c r="AD15" i="71"/>
  <c r="X42" i="71"/>
  <c r="E15" i="72"/>
  <c r="G21" i="71"/>
  <c r="U54" i="71"/>
  <c r="B11" i="75"/>
  <c r="C9" i="71"/>
  <c r="AD21" i="71"/>
  <c r="L57" i="71"/>
  <c r="D48" i="84"/>
  <c r="D36" i="72"/>
  <c r="G29" i="104"/>
  <c r="M15" i="84"/>
  <c r="C34" i="104"/>
  <c r="D8" i="76"/>
  <c r="J56" i="71"/>
  <c r="F12" i="71"/>
  <c r="H16" i="84"/>
  <c r="G15" i="71"/>
  <c r="Z8" i="71"/>
  <c r="G36" i="71"/>
  <c r="D34" i="71"/>
  <c r="D17" i="84"/>
  <c r="I29" i="71"/>
  <c r="D52" i="76"/>
  <c r="AB31" i="71"/>
  <c r="E33" i="72"/>
  <c r="W14" i="71"/>
  <c r="H30" i="84"/>
  <c r="D45" i="75"/>
  <c r="D38" i="72"/>
  <c r="F20" i="71"/>
  <c r="D62" i="76"/>
  <c r="M30" i="71"/>
  <c r="AC36" i="71"/>
  <c r="F49" i="71"/>
  <c r="M39" i="104"/>
  <c r="W47" i="71"/>
  <c r="J9" i="85"/>
  <c r="T21" i="71"/>
  <c r="O42" i="71"/>
  <c r="J41" i="104"/>
  <c r="H14" i="104"/>
  <c r="F75" i="72"/>
  <c r="U8" i="71"/>
  <c r="I54" i="71"/>
  <c r="J23" i="84"/>
  <c r="L7" i="71"/>
  <c r="N31" i="84"/>
  <c r="D24" i="72"/>
  <c r="Z54" i="71"/>
  <c r="L37" i="104"/>
  <c r="K29" i="71"/>
  <c r="M18" i="84"/>
  <c r="B18" i="104"/>
  <c r="K43" i="84"/>
  <c r="K25" i="84"/>
  <c r="D29" i="72"/>
  <c r="K49" i="71"/>
  <c r="C106" i="72"/>
  <c r="L12" i="84"/>
  <c r="F22" i="76"/>
  <c r="D9" i="104"/>
  <c r="F14" i="104"/>
  <c r="F41" i="104"/>
  <c r="AD20" i="71"/>
  <c r="N61" i="84"/>
  <c r="J28" i="71"/>
  <c r="C33" i="72"/>
  <c r="W48" i="71"/>
  <c r="D11" i="72"/>
  <c r="L11" i="71"/>
  <c r="AA7" i="71"/>
  <c r="K15" i="71"/>
  <c r="M21" i="71"/>
  <c r="C19" i="75"/>
  <c r="I49" i="71"/>
  <c r="H8" i="71"/>
  <c r="N44" i="84"/>
  <c r="N23" i="84"/>
  <c r="O62" i="84"/>
  <c r="M7" i="104"/>
  <c r="G14" i="71"/>
  <c r="L15" i="71"/>
  <c r="E8" i="75"/>
  <c r="D46" i="71"/>
  <c r="C46" i="71"/>
  <c r="E21" i="76"/>
  <c r="H10" i="84"/>
  <c r="G29" i="84"/>
  <c r="H48" i="84"/>
  <c r="AD40" i="71"/>
  <c r="J39" i="104"/>
  <c r="E24" i="71"/>
  <c r="AB36" i="71"/>
  <c r="S45" i="71"/>
  <c r="K6" i="85"/>
  <c r="W38" i="71"/>
  <c r="AB35" i="71"/>
  <c r="C26" i="104"/>
  <c r="B7" i="50"/>
  <c r="C22" i="76"/>
  <c r="Z20" i="71"/>
  <c r="S19" i="71"/>
  <c r="AB42" i="71"/>
  <c r="D89" i="72"/>
  <c r="H40" i="71"/>
  <c r="I30" i="104"/>
  <c r="J10" i="85"/>
  <c r="C58" i="75"/>
  <c r="V21" i="71"/>
  <c r="F62" i="76"/>
  <c r="M32" i="104"/>
  <c r="E31" i="72"/>
  <c r="G6" i="84"/>
  <c r="M9" i="84"/>
  <c r="N31" i="104"/>
  <c r="D66" i="72"/>
  <c r="F33" i="71"/>
  <c r="C29" i="104"/>
  <c r="D65" i="76"/>
  <c r="T44" i="71"/>
  <c r="U22" i="71"/>
  <c r="H26" i="104"/>
  <c r="K52" i="71"/>
  <c r="M13" i="104"/>
  <c r="D85" i="72"/>
  <c r="C10" i="72"/>
  <c r="I42" i="104"/>
  <c r="F10" i="85"/>
  <c r="E39" i="72"/>
  <c r="C31" i="72"/>
  <c r="C24" i="104"/>
  <c r="D59" i="76"/>
  <c r="N11" i="84"/>
  <c r="S32" i="71"/>
  <c r="AB28" i="71"/>
  <c r="R29" i="71"/>
  <c r="B9" i="104"/>
  <c r="F86" i="72"/>
  <c r="S33" i="71"/>
  <c r="V12" i="71"/>
  <c r="C17" i="76"/>
  <c r="F65" i="76"/>
  <c r="F24" i="72"/>
  <c r="C17" i="75"/>
  <c r="N30" i="104"/>
  <c r="L26" i="84"/>
  <c r="I13" i="104"/>
  <c r="X40" i="71"/>
  <c r="M63" i="84"/>
  <c r="F16" i="76"/>
  <c r="Y23" i="71"/>
  <c r="F108" i="72"/>
  <c r="E26" i="75"/>
  <c r="C28" i="75"/>
  <c r="E15" i="104"/>
  <c r="C35" i="71"/>
  <c r="U25" i="71"/>
  <c r="I21" i="71"/>
  <c r="B22" i="104"/>
  <c r="C53" i="104"/>
  <c r="K38" i="71"/>
  <c r="M8" i="85"/>
  <c r="AA29" i="71"/>
  <c r="N27" i="84"/>
  <c r="M22" i="84"/>
  <c r="K29" i="84"/>
  <c r="D11" i="84"/>
  <c r="F17" i="84"/>
  <c r="M20" i="84"/>
  <c r="H13" i="104"/>
  <c r="D49" i="71"/>
  <c r="C58" i="76"/>
  <c r="AC35" i="71"/>
  <c r="C14" i="84"/>
  <c r="H18" i="84"/>
  <c r="P27" i="84"/>
  <c r="O27" i="71"/>
  <c r="K27" i="84"/>
  <c r="C43" i="76"/>
  <c r="F53" i="76"/>
  <c r="N50" i="104"/>
  <c r="C37" i="71"/>
  <c r="O28" i="84"/>
  <c r="I9" i="84"/>
  <c r="S15" i="71"/>
  <c r="H58" i="71"/>
  <c r="G19" i="71"/>
  <c r="Y56" i="71"/>
  <c r="C81" i="72"/>
  <c r="Q24" i="84"/>
  <c r="F10" i="72"/>
  <c r="H33" i="104"/>
  <c r="Q29" i="71"/>
  <c r="J48" i="84"/>
  <c r="B18" i="71"/>
  <c r="U56" i="71"/>
  <c r="W52" i="71"/>
  <c r="L52" i="71"/>
  <c r="F25" i="71"/>
  <c r="L56" i="71"/>
  <c r="AD22" i="71"/>
  <c r="E18" i="104"/>
  <c r="L19" i="104"/>
  <c r="V23" i="71"/>
  <c r="N22" i="104"/>
  <c r="C31" i="71"/>
  <c r="H16" i="71"/>
  <c r="F21" i="72"/>
  <c r="K23" i="71"/>
  <c r="C92" i="72"/>
  <c r="O26" i="84"/>
  <c r="E10" i="76"/>
  <c r="D43" i="104"/>
  <c r="E48" i="71"/>
  <c r="V8" i="71"/>
  <c r="C19" i="76"/>
  <c r="D74" i="72"/>
  <c r="K31" i="84"/>
  <c r="E41" i="72"/>
  <c r="N21" i="104"/>
  <c r="G30" i="71"/>
  <c r="I20" i="104"/>
  <c r="D15" i="72"/>
  <c r="G17" i="71"/>
  <c r="G45" i="84"/>
  <c r="L50" i="104"/>
  <c r="G54" i="71"/>
  <c r="S9" i="71"/>
  <c r="D21" i="72"/>
  <c r="K7" i="104"/>
  <c r="D9" i="84"/>
  <c r="H7" i="85"/>
  <c r="D21" i="84"/>
  <c r="M43" i="104"/>
  <c r="D9" i="75"/>
  <c r="T29" i="71"/>
  <c r="F47" i="84"/>
  <c r="I48" i="71"/>
  <c r="F26" i="104"/>
  <c r="K12" i="84"/>
  <c r="F59" i="76"/>
  <c r="D50" i="76"/>
  <c r="AA40" i="71"/>
  <c r="I32" i="71"/>
  <c r="J21" i="84"/>
  <c r="AC45" i="71"/>
  <c r="L41" i="71"/>
  <c r="K60" i="84"/>
  <c r="AC34" i="71"/>
  <c r="G10" i="85"/>
  <c r="J36" i="104"/>
  <c r="C59" i="76"/>
  <c r="I9" i="71"/>
  <c r="E33" i="104"/>
  <c r="T33" i="71"/>
  <c r="M9" i="104"/>
  <c r="AA11" i="71"/>
  <c r="L21" i="84"/>
  <c r="F56" i="72"/>
  <c r="O21" i="84"/>
  <c r="B40" i="104"/>
  <c r="M29" i="71"/>
  <c r="E7" i="71"/>
  <c r="C36" i="104"/>
  <c r="V42" i="71"/>
  <c r="H18" i="104"/>
  <c r="C28" i="72"/>
  <c r="E46" i="71"/>
  <c r="I30" i="84"/>
  <c r="D44" i="71"/>
  <c r="I15" i="71"/>
  <c r="N12" i="84"/>
  <c r="F44" i="84"/>
  <c r="D42" i="75"/>
  <c r="C11" i="72"/>
  <c r="C22" i="71"/>
  <c r="B3" i="50"/>
  <c r="K9" i="85"/>
  <c r="I45" i="71"/>
  <c r="P63" i="84"/>
  <c r="C63" i="84"/>
  <c r="D11" i="75"/>
  <c r="D46" i="75"/>
  <c r="I7" i="85"/>
  <c r="H17" i="104"/>
  <c r="L23" i="84"/>
  <c r="F85" i="72"/>
  <c r="N28" i="71"/>
  <c r="D27" i="84"/>
  <c r="F64" i="72"/>
  <c r="C98" i="72"/>
  <c r="D35" i="71"/>
  <c r="T9" i="71"/>
  <c r="C42" i="104"/>
  <c r="N24" i="104"/>
  <c r="P14" i="84"/>
  <c r="H52" i="71"/>
  <c r="F40" i="72"/>
  <c r="M20" i="71"/>
  <c r="D28" i="76"/>
  <c r="Z21" i="71"/>
  <c r="F102" i="72"/>
  <c r="J17" i="104"/>
  <c r="I45" i="84"/>
  <c r="M41" i="104"/>
  <c r="O12" i="71"/>
  <c r="D21" i="71"/>
  <c r="H24" i="104"/>
  <c r="C32" i="104"/>
  <c r="O15" i="71"/>
  <c r="M35" i="71"/>
  <c r="I13" i="84"/>
  <c r="H18" i="71"/>
  <c r="Y57" i="71"/>
  <c r="D23" i="84"/>
  <c r="F12" i="76"/>
  <c r="E52" i="104"/>
  <c r="L6" i="85"/>
  <c r="G17" i="84"/>
  <c r="O54" i="71"/>
  <c r="F23" i="72"/>
  <c r="O35" i="71"/>
  <c r="I43" i="84"/>
  <c r="R41" i="71"/>
  <c r="G25" i="84"/>
  <c r="F42" i="72"/>
  <c r="F63" i="75"/>
  <c r="M26" i="84"/>
  <c r="N32" i="104"/>
  <c r="U53" i="71"/>
  <c r="H27" i="71"/>
  <c r="F52" i="76"/>
  <c r="J47" i="71"/>
  <c r="U33" i="71"/>
  <c r="H43" i="71"/>
  <c r="D17" i="104"/>
  <c r="C27" i="76"/>
  <c r="L36" i="71"/>
  <c r="F92" i="72"/>
  <c r="I14" i="104"/>
  <c r="R27" i="71"/>
  <c r="Q43" i="84"/>
  <c r="I10" i="84"/>
  <c r="AC54" i="71"/>
  <c r="E21" i="104"/>
  <c r="G37" i="104"/>
  <c r="O24" i="84"/>
  <c r="T46" i="71"/>
  <c r="G27" i="71"/>
  <c r="N10" i="84"/>
  <c r="F24" i="76"/>
  <c r="C47" i="104"/>
  <c r="G49" i="84"/>
  <c r="L63" i="84"/>
  <c r="E28" i="71"/>
  <c r="E25" i="71"/>
  <c r="Q27" i="84"/>
  <c r="E10" i="71"/>
  <c r="G9" i="71"/>
  <c r="Q47" i="84"/>
  <c r="I37" i="104"/>
  <c r="M44" i="104"/>
  <c r="C35" i="104"/>
  <c r="X44" i="71"/>
  <c r="C47" i="75"/>
  <c r="D19" i="76"/>
  <c r="M52" i="104"/>
  <c r="D49" i="75"/>
  <c r="I59" i="84"/>
  <c r="L27" i="104"/>
  <c r="F57" i="71"/>
  <c r="J52" i="104"/>
  <c r="AB44" i="71"/>
  <c r="L22" i="71"/>
  <c r="F13" i="71"/>
  <c r="AC10" i="71"/>
  <c r="W29" i="71"/>
  <c r="D14" i="84"/>
  <c r="F26" i="84"/>
  <c r="H27" i="84"/>
  <c r="P20" i="84"/>
  <c r="P9" i="84"/>
  <c r="L7" i="84"/>
  <c r="B48" i="104"/>
  <c r="N49" i="71"/>
  <c r="C52" i="76"/>
  <c r="Z29" i="71"/>
  <c r="D19" i="84"/>
  <c r="O31" i="84"/>
  <c r="K18" i="84"/>
  <c r="X49" i="71"/>
  <c r="J17" i="84"/>
  <c r="Q21" i="84"/>
  <c r="L43" i="104"/>
  <c r="C16" i="72"/>
  <c r="D101" i="72"/>
  <c r="J42" i="104"/>
  <c r="E25" i="104"/>
  <c r="N54" i="71"/>
  <c r="D17" i="72"/>
  <c r="D15" i="76"/>
  <c r="F32" i="104"/>
  <c r="J49" i="104"/>
  <c r="D54" i="72"/>
  <c r="P12" i="84"/>
  <c r="T34" i="71"/>
  <c r="Q28" i="71"/>
  <c r="M21" i="84"/>
  <c r="H10" i="104"/>
  <c r="T28" i="71"/>
  <c r="AD10" i="71"/>
  <c r="C68" i="72"/>
  <c r="I8" i="104"/>
  <c r="Y58" i="71"/>
  <c r="H28" i="71"/>
  <c r="E11" i="75"/>
  <c r="F101" i="72"/>
  <c r="S30" i="71"/>
  <c r="F56" i="75"/>
  <c r="G20" i="104"/>
  <c r="J59" i="84"/>
  <c r="L21" i="104"/>
  <c r="S25" i="71"/>
  <c r="D71" i="72"/>
  <c r="N10" i="71"/>
  <c r="K44" i="71"/>
  <c r="J53" i="104"/>
  <c r="D38" i="71"/>
  <c r="L8" i="85"/>
  <c r="AC15" i="71"/>
  <c r="G21" i="84"/>
  <c r="C48" i="76"/>
  <c r="O29" i="84"/>
  <c r="Q7" i="84"/>
  <c r="F19" i="72"/>
  <c r="C11" i="75"/>
  <c r="C27" i="75"/>
  <c r="C84" i="72"/>
  <c r="C107" i="72"/>
  <c r="F58" i="71"/>
  <c r="Q9" i="84"/>
  <c r="X20" i="71"/>
  <c r="P11" i="84"/>
  <c r="P58" i="84"/>
  <c r="V41" i="71"/>
  <c r="S53" i="71"/>
  <c r="D25" i="104"/>
  <c r="H25" i="84"/>
  <c r="G27" i="84"/>
  <c r="T17" i="71"/>
  <c r="I18" i="71"/>
  <c r="D58" i="84"/>
  <c r="G35" i="104"/>
  <c r="F52" i="72"/>
  <c r="D11" i="76"/>
  <c r="C7" i="104"/>
  <c r="H7" i="104"/>
  <c r="J29" i="71"/>
  <c r="D15" i="104"/>
  <c r="X36" i="71"/>
  <c r="L61" i="84"/>
  <c r="B45" i="104"/>
  <c r="AA54" i="71"/>
  <c r="E21" i="71"/>
  <c r="R19" i="71"/>
  <c r="D18" i="71"/>
  <c r="D22" i="71"/>
  <c r="H38" i="71"/>
  <c r="K10" i="85"/>
  <c r="AC21" i="71"/>
  <c r="G18" i="84"/>
  <c r="K24" i="84"/>
  <c r="D28" i="84"/>
  <c r="J22" i="84"/>
  <c r="K10" i="84"/>
  <c r="F25" i="72"/>
  <c r="I39" i="71"/>
  <c r="Y12" i="71"/>
  <c r="C100" i="72"/>
  <c r="B4" i="50"/>
  <c r="F65" i="72"/>
  <c r="D12" i="71"/>
  <c r="D11" i="104"/>
  <c r="N47" i="104"/>
  <c r="I28" i="104"/>
  <c r="U24" i="71"/>
  <c r="C42" i="76"/>
  <c r="N31" i="71"/>
  <c r="AA22" i="71"/>
  <c r="T39" i="71"/>
  <c r="F79" i="72"/>
  <c r="I45" i="104"/>
  <c r="I33" i="104"/>
  <c r="AB22" i="71"/>
  <c r="C43" i="75"/>
  <c r="D19" i="72"/>
  <c r="E17" i="72"/>
  <c r="D62" i="75"/>
  <c r="AC28" i="71"/>
  <c r="C8" i="76"/>
  <c r="N40" i="71"/>
  <c r="L42" i="104"/>
  <c r="K63" i="84"/>
  <c r="F35" i="71"/>
  <c r="D17" i="71"/>
  <c r="I7" i="71"/>
  <c r="F52" i="104"/>
  <c r="R48" i="71"/>
  <c r="G56" i="71"/>
  <c r="M22" i="71"/>
  <c r="R13" i="71"/>
  <c r="L10" i="85"/>
  <c r="AC23" i="71"/>
  <c r="G22" i="84"/>
  <c r="N17" i="84"/>
  <c r="M27" i="84"/>
  <c r="K8" i="104"/>
  <c r="B96" i="72"/>
  <c r="F35" i="104"/>
  <c r="D79" i="72"/>
  <c r="AD41" i="71"/>
  <c r="C19" i="71"/>
  <c r="F50" i="76"/>
  <c r="V15" i="71"/>
  <c r="E55" i="72"/>
  <c r="B27" i="104"/>
  <c r="E52" i="72"/>
  <c r="E23" i="72"/>
  <c r="C15" i="104"/>
  <c r="P8" i="84"/>
  <c r="Z33" i="71"/>
  <c r="F45" i="71"/>
  <c r="K14" i="104"/>
  <c r="B47" i="72"/>
  <c r="Y44" i="71"/>
  <c r="E34" i="72"/>
  <c r="C9" i="72"/>
  <c r="L38" i="71"/>
  <c r="X48" i="71"/>
  <c r="C16" i="75"/>
  <c r="B5" i="50"/>
  <c r="T10" i="71"/>
  <c r="G32" i="71"/>
  <c r="D23" i="75"/>
  <c r="Z34" i="71"/>
  <c r="K29" i="104"/>
  <c r="G48" i="84"/>
  <c r="C30" i="84"/>
  <c r="R25" i="71"/>
  <c r="N42" i="104"/>
  <c r="J44" i="71"/>
  <c r="P45" i="84"/>
  <c r="H8" i="85"/>
  <c r="D57" i="76"/>
  <c r="I44" i="71"/>
  <c r="E28" i="76"/>
  <c r="L9" i="71"/>
  <c r="O11" i="71"/>
  <c r="X8" i="71"/>
  <c r="J22" i="104"/>
  <c r="K20" i="84"/>
  <c r="I30" i="71"/>
  <c r="K9" i="84"/>
  <c r="E53" i="104"/>
  <c r="C25" i="71"/>
  <c r="K48" i="104"/>
  <c r="F10" i="75"/>
  <c r="M28" i="104"/>
  <c r="J27" i="84"/>
  <c r="M61" i="84"/>
  <c r="C70" i="72"/>
  <c r="F40" i="71"/>
  <c r="D100" i="72"/>
  <c r="I31" i="84"/>
  <c r="C9" i="84"/>
  <c r="AB37" i="71"/>
  <c r="M30" i="104"/>
  <c r="AD49" i="71"/>
  <c r="L20" i="71"/>
  <c r="B46" i="104"/>
  <c r="H47" i="104"/>
  <c r="F50" i="75"/>
  <c r="N52" i="71"/>
  <c r="F34" i="104"/>
  <c r="W16" i="71"/>
  <c r="K53" i="104"/>
  <c r="C8" i="72"/>
  <c r="C17" i="84"/>
  <c r="Q13" i="84"/>
  <c r="L28" i="104"/>
  <c r="W56" i="71"/>
  <c r="S35" i="71"/>
  <c r="K41" i="71"/>
  <c r="L58" i="71"/>
  <c r="F57" i="75"/>
  <c r="N49" i="84"/>
  <c r="J24" i="84"/>
  <c r="F63" i="72"/>
  <c r="C40" i="71"/>
  <c r="T57" i="71"/>
  <c r="L40" i="71"/>
  <c r="C40" i="104"/>
  <c r="E54" i="71"/>
  <c r="V28" i="71"/>
  <c r="L53" i="71"/>
  <c r="E19" i="72"/>
  <c r="L62" i="84"/>
  <c r="F67" i="72"/>
  <c r="I44" i="84"/>
  <c r="AC8" i="71"/>
  <c r="F19" i="76"/>
  <c r="K14" i="84"/>
  <c r="F9" i="75"/>
  <c r="N8" i="85"/>
  <c r="Q16" i="84"/>
  <c r="S20" i="71"/>
  <c r="H23" i="84"/>
  <c r="G24" i="104"/>
  <c r="C43" i="104"/>
  <c r="E27" i="75"/>
  <c r="K17" i="84"/>
  <c r="D49" i="76"/>
  <c r="D32" i="72"/>
  <c r="X57" i="71"/>
  <c r="B37" i="104"/>
  <c r="D10" i="71"/>
  <c r="D8" i="72"/>
  <c r="C12" i="104"/>
  <c r="Q6" i="84"/>
  <c r="C47" i="76"/>
  <c r="G15" i="104"/>
  <c r="L31" i="71"/>
  <c r="F36" i="72"/>
  <c r="C28" i="84"/>
  <c r="N28" i="84"/>
  <c r="C36" i="72"/>
  <c r="F45" i="84"/>
  <c r="AA13" i="71"/>
  <c r="D55" i="72"/>
  <c r="C46" i="72"/>
  <c r="AC32" i="71"/>
  <c r="F32" i="72"/>
  <c r="J25" i="84"/>
  <c r="S41" i="71"/>
  <c r="K7" i="85"/>
  <c r="F43" i="72"/>
  <c r="M47" i="71"/>
  <c r="I8" i="71"/>
  <c r="N18" i="84"/>
  <c r="AA15" i="71"/>
  <c r="N57" i="71"/>
  <c r="F90" i="72"/>
  <c r="C38" i="104"/>
  <c r="H62" i="84"/>
  <c r="F99" i="72"/>
  <c r="C10" i="104"/>
  <c r="L51" i="104"/>
  <c r="V24" i="71"/>
  <c r="D44" i="75"/>
  <c r="AD7" i="71"/>
  <c r="M33" i="104"/>
  <c r="D26" i="84"/>
  <c r="N13" i="71"/>
  <c r="C44" i="104"/>
  <c r="V35" i="71"/>
  <c r="K10" i="104"/>
  <c r="J58" i="84"/>
  <c r="I16" i="104"/>
  <c r="D57" i="75"/>
  <c r="V34" i="71"/>
  <c r="C54" i="71"/>
  <c r="D24" i="84"/>
  <c r="F16" i="75"/>
  <c r="B18" i="76"/>
  <c r="C18" i="76" s="1"/>
  <c r="K13" i="71"/>
  <c r="C13" i="75"/>
  <c r="G43" i="84"/>
  <c r="Z24" i="71"/>
  <c r="D36" i="71"/>
  <c r="W25" i="71"/>
  <c r="I11" i="104"/>
  <c r="I15" i="84"/>
  <c r="D10" i="72"/>
  <c r="F27" i="72"/>
  <c r="F54" i="71"/>
  <c r="W10" i="71"/>
  <c r="N43" i="71"/>
  <c r="AB9" i="71"/>
  <c r="I26" i="84"/>
  <c r="C21" i="84"/>
  <c r="F14" i="76"/>
  <c r="C19" i="104"/>
  <c r="I48" i="84"/>
  <c r="E40" i="104"/>
  <c r="V7" i="71"/>
  <c r="K10" i="71"/>
  <c r="AA18" i="71"/>
  <c r="C28" i="71"/>
  <c r="M13" i="71"/>
  <c r="AC11" i="71"/>
  <c r="G30" i="84"/>
  <c r="P18" i="84"/>
  <c r="H21" i="84"/>
  <c r="L30" i="84"/>
  <c r="F6" i="84"/>
  <c r="H17" i="84"/>
  <c r="M19" i="84"/>
  <c r="E27" i="71"/>
  <c r="C25" i="72"/>
  <c r="C57" i="76"/>
  <c r="M29" i="84"/>
  <c r="G20" i="84"/>
  <c r="N30" i="84"/>
  <c r="M28" i="84"/>
  <c r="F43" i="84"/>
  <c r="D12" i="84"/>
  <c r="C48" i="104"/>
  <c r="C38" i="72"/>
  <c r="O9" i="85"/>
  <c r="F15" i="76"/>
  <c r="C59" i="84"/>
  <c r="AD39" i="71"/>
  <c r="E30" i="104"/>
  <c r="C23" i="84"/>
  <c r="Q15" i="84"/>
  <c r="J40" i="104"/>
  <c r="N27" i="104"/>
  <c r="K52" i="104"/>
  <c r="S39" i="71"/>
  <c r="F28" i="72"/>
  <c r="F18" i="76"/>
  <c r="E29" i="71"/>
  <c r="M17" i="84"/>
  <c r="W34" i="71"/>
  <c r="C50" i="76"/>
  <c r="N42" i="71"/>
  <c r="I36" i="104"/>
  <c r="G18" i="71"/>
  <c r="P7" i="84"/>
  <c r="B35" i="104"/>
  <c r="O43" i="84"/>
  <c r="D15" i="75"/>
  <c r="E24" i="104"/>
  <c r="D52" i="104"/>
  <c r="P61" i="84"/>
  <c r="G17" i="104"/>
  <c r="C57" i="71"/>
  <c r="AB21" i="71"/>
  <c r="R24" i="71"/>
  <c r="K18" i="71"/>
  <c r="G22" i="71"/>
  <c r="M38" i="71"/>
  <c r="H6" i="85"/>
  <c r="U29" i="71"/>
  <c r="C11" i="84"/>
  <c r="P22" i="84"/>
  <c r="E28" i="72"/>
  <c r="S23" i="71"/>
  <c r="M53" i="104"/>
  <c r="T18" i="71"/>
  <c r="E47" i="72"/>
  <c r="F23" i="75"/>
  <c r="C10" i="84"/>
  <c r="D33" i="104"/>
  <c r="D7" i="104"/>
  <c r="J12" i="104"/>
  <c r="O48" i="84"/>
  <c r="AB33" i="71"/>
  <c r="L27" i="71"/>
  <c r="K22" i="84"/>
  <c r="H15" i="84"/>
  <c r="L14" i="71"/>
  <c r="L24" i="71"/>
  <c r="C51" i="72"/>
  <c r="S34" i="71"/>
  <c r="D21" i="76"/>
  <c r="C99" i="72"/>
  <c r="L44" i="104"/>
  <c r="R8" i="71"/>
  <c r="C102" i="72"/>
  <c r="E23" i="76"/>
  <c r="C80" i="72"/>
  <c r="M33" i="71"/>
  <c r="D28" i="71"/>
  <c r="N27" i="71"/>
  <c r="D51" i="75"/>
  <c r="AB27" i="71"/>
  <c r="C20" i="71"/>
  <c r="H48" i="71"/>
  <c r="F110" i="72"/>
  <c r="C8" i="104"/>
  <c r="L39" i="71"/>
  <c r="F48" i="71"/>
  <c r="G28" i="71"/>
  <c r="F14" i="72"/>
  <c r="H9" i="84"/>
  <c r="D50" i="75"/>
  <c r="H59" i="84"/>
  <c r="X46" i="71"/>
  <c r="I48" i="104"/>
  <c r="E27" i="72"/>
  <c r="F18" i="75"/>
  <c r="H12" i="104"/>
  <c r="D42" i="72"/>
  <c r="Q11" i="84"/>
  <c r="H23" i="71"/>
  <c r="O20" i="71"/>
  <c r="Q12" i="84"/>
  <c r="D27" i="76"/>
  <c r="X53" i="71"/>
  <c r="U11" i="71"/>
  <c r="E21" i="72"/>
  <c r="R49" i="71"/>
  <c r="O16" i="84"/>
  <c r="G28" i="104"/>
  <c r="I49" i="84"/>
  <c r="C58" i="71"/>
  <c r="I14" i="84"/>
  <c r="F28" i="84"/>
  <c r="N43" i="84"/>
  <c r="K8" i="84"/>
  <c r="O49" i="71"/>
  <c r="J18" i="104"/>
  <c r="K24" i="104"/>
  <c r="C11" i="104"/>
  <c r="Y21" i="71"/>
  <c r="G49" i="71"/>
  <c r="N6" i="84"/>
  <c r="E42" i="72"/>
  <c r="V43" i="71"/>
  <c r="K30" i="71"/>
  <c r="P60" i="84"/>
  <c r="M34" i="71"/>
  <c r="M35" i="104"/>
  <c r="G10" i="71"/>
  <c r="C38" i="71"/>
  <c r="P25" i="84"/>
  <c r="P23" i="84"/>
  <c r="F14" i="75"/>
  <c r="L46" i="84"/>
  <c r="I8" i="84"/>
  <c r="U31" i="71"/>
  <c r="D27" i="72"/>
  <c r="F61" i="75"/>
  <c r="D17" i="76"/>
  <c r="O8" i="84"/>
  <c r="V39" i="71"/>
  <c r="K44" i="84"/>
  <c r="F106" i="72"/>
  <c r="P47" i="84"/>
  <c r="G34" i="71"/>
  <c r="I7" i="104"/>
  <c r="F38" i="71"/>
  <c r="F15" i="75"/>
  <c r="K48" i="84"/>
  <c r="E13" i="104"/>
  <c r="S11" i="71"/>
  <c r="M45" i="104"/>
  <c r="Z44" i="71"/>
  <c r="D22" i="76"/>
  <c r="C13" i="71"/>
  <c r="AC7" i="71"/>
  <c r="N29" i="71"/>
  <c r="Q22" i="84"/>
  <c r="P29" i="84"/>
  <c r="J11" i="84"/>
  <c r="C54" i="76"/>
  <c r="W18" i="71"/>
  <c r="F98" i="72"/>
  <c r="F28" i="104"/>
  <c r="V49" i="71"/>
  <c r="M18" i="71"/>
  <c r="Y46" i="71"/>
  <c r="N45" i="71"/>
  <c r="D43" i="75"/>
  <c r="AA28" i="71"/>
  <c r="D14" i="72"/>
  <c r="AC49" i="71"/>
  <c r="G43" i="71"/>
  <c r="O25" i="84"/>
  <c r="F25" i="84"/>
  <c r="K53" i="71"/>
  <c r="H37" i="71"/>
  <c r="F66" i="76"/>
  <c r="AA46" i="71"/>
  <c r="E29" i="75"/>
  <c r="Y36" i="71"/>
  <c r="K17" i="104"/>
  <c r="S8" i="71"/>
  <c r="S21" i="71"/>
  <c r="L44" i="71"/>
  <c r="E22" i="76"/>
  <c r="Y38" i="71"/>
  <c r="AC18" i="71"/>
  <c r="Y29" i="71"/>
  <c r="D16" i="84"/>
  <c r="I21" i="84"/>
  <c r="M23" i="84"/>
  <c r="C25" i="84"/>
  <c r="Q17" i="84"/>
  <c r="P26" i="84"/>
  <c r="I25" i="84"/>
  <c r="Z27" i="71"/>
  <c r="E25" i="72"/>
  <c r="C62" i="76"/>
  <c r="K26" i="84"/>
  <c r="G10" i="84"/>
  <c r="C22" i="84"/>
  <c r="I28" i="84"/>
  <c r="L43" i="84"/>
  <c r="N14" i="84"/>
  <c r="P43" i="84"/>
  <c r="M54" i="71"/>
  <c r="T40" i="71"/>
  <c r="Y18" i="71"/>
  <c r="C17" i="104"/>
  <c r="N53" i="71"/>
  <c r="T16" i="71"/>
  <c r="W12" i="71"/>
  <c r="D54" i="71"/>
  <c r="H19" i="104"/>
  <c r="K18" i="104"/>
  <c r="L14" i="104"/>
  <c r="J17" i="71"/>
  <c r="M45" i="84"/>
  <c r="O45" i="84"/>
  <c r="F59" i="84"/>
  <c r="J46" i="84"/>
  <c r="K59" i="84"/>
  <c r="P48" i="84"/>
  <c r="I20" i="71"/>
  <c r="K12" i="71"/>
  <c r="H30" i="71"/>
  <c r="AD8" i="71"/>
  <c r="D69" i="72"/>
  <c r="F45" i="75"/>
  <c r="S40" i="71"/>
  <c r="H45" i="71"/>
  <c r="Y43" i="71"/>
  <c r="D40" i="104"/>
  <c r="F27" i="104"/>
  <c r="AD35" i="71"/>
  <c r="N56" i="71"/>
  <c r="G40" i="104"/>
  <c r="M34" i="104"/>
  <c r="F11" i="84"/>
  <c r="P10" i="84"/>
  <c r="O7" i="85"/>
  <c r="B34" i="104"/>
  <c r="N15" i="71"/>
  <c r="F18" i="104"/>
  <c r="E34" i="104"/>
  <c r="J42" i="71"/>
  <c r="F48" i="84"/>
  <c r="N58" i="84"/>
  <c r="M44" i="84"/>
  <c r="W20" i="71"/>
  <c r="L30" i="71"/>
  <c r="U30" i="71"/>
  <c r="AD53" i="71"/>
  <c r="D97" i="72"/>
  <c r="S16" i="71"/>
  <c r="AB45" i="71"/>
  <c r="D30" i="104"/>
  <c r="D44" i="104"/>
  <c r="AA56" i="71"/>
  <c r="G42" i="104"/>
  <c r="M18" i="104"/>
  <c r="M16" i="84"/>
  <c r="K8" i="85"/>
  <c r="I60" i="84"/>
  <c r="F96" i="72"/>
  <c r="J36" i="71"/>
  <c r="B41" i="104"/>
  <c r="J47" i="104"/>
  <c r="F11" i="72"/>
  <c r="L28" i="71"/>
  <c r="AC9" i="71"/>
  <c r="C31" i="84"/>
  <c r="Q31" i="84"/>
  <c r="F13" i="104"/>
  <c r="AC46" i="71"/>
  <c r="K30" i="84"/>
  <c r="C60" i="75"/>
  <c r="U49" i="71"/>
  <c r="C42" i="71"/>
  <c r="H41" i="104"/>
  <c r="N62" i="84"/>
  <c r="H61" i="84"/>
  <c r="D66" i="76"/>
  <c r="K36" i="104"/>
  <c r="D14" i="104"/>
  <c r="R12" i="71"/>
  <c r="B49" i="104"/>
  <c r="I9" i="85"/>
  <c r="B59" i="75"/>
  <c r="C108" i="72"/>
  <c r="J33" i="71"/>
  <c r="X29" i="71"/>
  <c r="H24" i="84"/>
  <c r="D33" i="72"/>
  <c r="AB8" i="71"/>
  <c r="H53" i="71"/>
  <c r="F40" i="104"/>
  <c r="T52" i="71"/>
  <c r="F8" i="76"/>
  <c r="D96" i="72"/>
  <c r="H48" i="104"/>
  <c r="N44" i="104"/>
  <c r="I8" i="85"/>
  <c r="G13" i="71"/>
  <c r="D30" i="72"/>
  <c r="E42" i="71"/>
  <c r="AD42" i="71"/>
  <c r="AB15" i="71"/>
  <c r="B52" i="104"/>
  <c r="G24" i="84"/>
  <c r="S29" i="71"/>
  <c r="M17" i="104"/>
  <c r="L9" i="85"/>
  <c r="F51" i="76"/>
  <c r="AB58" i="71"/>
  <c r="E7" i="85"/>
  <c r="D9" i="76"/>
  <c r="F31" i="71"/>
  <c r="C26" i="75"/>
  <c r="AD29" i="71"/>
  <c r="H11" i="71"/>
  <c r="G9" i="84"/>
  <c r="C17" i="71"/>
  <c r="C77" i="72"/>
  <c r="Z36" i="71"/>
  <c r="C35" i="72"/>
  <c r="N47" i="71"/>
  <c r="F22" i="84"/>
  <c r="M12" i="84"/>
  <c r="D23" i="72"/>
  <c r="Y16" i="71"/>
  <c r="I15" i="104"/>
  <c r="R17" i="71"/>
  <c r="AA38" i="71"/>
  <c r="N20" i="84"/>
  <c r="L8" i="84"/>
  <c r="D18" i="76"/>
  <c r="L13" i="104"/>
  <c r="M16" i="104"/>
  <c r="C20" i="104"/>
  <c r="F87" i="72"/>
  <c r="E49" i="71"/>
  <c r="I12" i="84"/>
  <c r="U46" i="71"/>
  <c r="K44" i="104"/>
  <c r="J44" i="84"/>
  <c r="E43" i="71"/>
  <c r="B15" i="50"/>
  <c r="C60" i="84"/>
  <c r="N48" i="71"/>
  <c r="C52" i="104"/>
  <c r="G58" i="71"/>
  <c r="L13" i="71"/>
  <c r="L20" i="84"/>
  <c r="P28" i="84"/>
  <c r="G48" i="71"/>
  <c r="E12" i="76"/>
  <c r="D14" i="75"/>
  <c r="F57" i="76"/>
  <c r="F18" i="72"/>
  <c r="V53" i="71"/>
  <c r="R18" i="71"/>
  <c r="C27" i="104"/>
  <c r="J43" i="84"/>
  <c r="W7" i="71"/>
  <c r="M23" i="71"/>
  <c r="AC13" i="71"/>
  <c r="AC41" i="71"/>
  <c r="C52" i="75"/>
  <c r="C52" i="71"/>
  <c r="G46" i="104"/>
  <c r="K45" i="84"/>
  <c r="J31" i="104"/>
  <c r="G7" i="71"/>
  <c r="U10" i="71"/>
  <c r="O44" i="71"/>
  <c r="O22" i="71"/>
  <c r="J13" i="71"/>
  <c r="AC12" i="71"/>
  <c r="F12" i="84"/>
  <c r="L25" i="84"/>
  <c r="L16" i="84"/>
  <c r="H22" i="84"/>
  <c r="X43" i="71"/>
  <c r="L17" i="71"/>
  <c r="P15" i="84"/>
  <c r="L9" i="104"/>
  <c r="C29" i="72"/>
  <c r="F55" i="72"/>
  <c r="G45" i="71"/>
  <c r="J60" i="84"/>
  <c r="D20" i="104"/>
  <c r="E56" i="72"/>
  <c r="C7" i="85"/>
  <c r="F97" i="72"/>
  <c r="K46" i="71"/>
  <c r="Z14" i="71"/>
  <c r="V48" i="71"/>
  <c r="C45" i="104"/>
  <c r="AD28" i="71"/>
  <c r="F24" i="75"/>
  <c r="H38" i="104"/>
  <c r="G53" i="104"/>
  <c r="L47" i="84"/>
  <c r="L52" i="104"/>
  <c r="H54" i="71"/>
  <c r="M10" i="71"/>
  <c r="AA44" i="71"/>
  <c r="E22" i="71"/>
  <c r="U13" i="71"/>
  <c r="AC47" i="71"/>
  <c r="O27" i="84"/>
  <c r="L9" i="84"/>
  <c r="K13" i="84"/>
  <c r="Q10" i="84"/>
  <c r="J28" i="84"/>
  <c r="L28" i="84"/>
  <c r="L22" i="84"/>
  <c r="F14" i="84"/>
  <c r="E22" i="72"/>
  <c r="C43" i="84"/>
  <c r="E18" i="76"/>
  <c r="C8" i="84"/>
  <c r="O13" i="84"/>
  <c r="I18" i="84"/>
  <c r="G31" i="84"/>
  <c r="C56" i="76"/>
  <c r="J12" i="84"/>
  <c r="C66" i="76"/>
  <c r="F44" i="71"/>
  <c r="D48" i="104"/>
  <c r="B17" i="104"/>
  <c r="O32" i="71"/>
  <c r="AA8" i="71"/>
  <c r="M39" i="71"/>
  <c r="H8" i="104"/>
  <c r="F58" i="84"/>
  <c r="D60" i="84"/>
  <c r="J63" i="84"/>
  <c r="F53" i="75"/>
  <c r="W37" i="71"/>
  <c r="G41" i="104"/>
  <c r="D8" i="84"/>
  <c r="I11" i="84"/>
  <c r="C96" i="72"/>
  <c r="E15" i="75"/>
  <c r="U42" i="71"/>
  <c r="F10" i="104"/>
  <c r="I41" i="104"/>
  <c r="U34" i="71"/>
  <c r="X10" i="71"/>
  <c r="G23" i="71"/>
  <c r="K28" i="71"/>
  <c r="N6" i="85"/>
  <c r="I24" i="84"/>
  <c r="I17" i="84"/>
  <c r="C23" i="72"/>
  <c r="G9" i="104"/>
  <c r="I58" i="71"/>
  <c r="F62" i="75"/>
  <c r="O23" i="71"/>
  <c r="D30" i="76"/>
  <c r="AB32" i="71"/>
  <c r="AA43" i="71"/>
  <c r="M58" i="84"/>
  <c r="F23" i="76"/>
  <c r="J6" i="85"/>
  <c r="G26" i="84"/>
  <c r="L10" i="84"/>
  <c r="L49" i="71"/>
  <c r="N9" i="84"/>
  <c r="N48" i="104"/>
  <c r="C23" i="76"/>
  <c r="AA47" i="71"/>
  <c r="N11" i="71"/>
  <c r="J23" i="104"/>
  <c r="L10" i="104"/>
  <c r="F62" i="84"/>
  <c r="D63" i="84"/>
  <c r="R30" i="71"/>
  <c r="AD32" i="71"/>
  <c r="D111" i="72"/>
  <c r="S52" i="71"/>
  <c r="D50" i="104"/>
  <c r="W36" i="71"/>
  <c r="G7" i="104"/>
  <c r="P16" i="84"/>
  <c r="N9" i="85"/>
  <c r="E7" i="104"/>
  <c r="C48" i="84"/>
  <c r="F47" i="75"/>
  <c r="G51" i="104"/>
  <c r="M49" i="71"/>
  <c r="W58" i="71"/>
  <c r="G32" i="104"/>
  <c r="K23" i="84"/>
  <c r="I50" i="104"/>
  <c r="C26" i="84"/>
  <c r="X27" i="71"/>
  <c r="L14" i="84"/>
  <c r="N7" i="85"/>
  <c r="O16" i="71"/>
  <c r="Q46" i="84"/>
  <c r="AA48" i="71"/>
  <c r="F88" i="72"/>
  <c r="H8" i="84"/>
  <c r="C12" i="71"/>
  <c r="C17" i="72"/>
  <c r="J9" i="84"/>
  <c r="E27" i="104"/>
  <c r="C41" i="104"/>
  <c r="AC20" i="71"/>
  <c r="D22" i="72"/>
  <c r="L13" i="84"/>
  <c r="AB41" i="71"/>
  <c r="E42" i="104"/>
  <c r="G59" i="84"/>
  <c r="L29" i="104"/>
  <c r="I35" i="71"/>
  <c r="I22" i="104"/>
  <c r="AC19" i="71"/>
  <c r="X18" i="71"/>
  <c r="U43" i="71"/>
  <c r="G21" i="104"/>
  <c r="Q61" i="84"/>
  <c r="D53" i="104"/>
  <c r="D15" i="84"/>
  <c r="G13" i="84"/>
  <c r="I19" i="104"/>
  <c r="N36" i="104"/>
  <c r="N19" i="71"/>
  <c r="R42" i="71"/>
  <c r="T38" i="71"/>
  <c r="O29" i="71"/>
  <c r="F19" i="84"/>
  <c r="B13" i="104"/>
  <c r="C95" i="72"/>
  <c r="N10" i="104"/>
  <c r="C63" i="76"/>
  <c r="C64" i="76"/>
  <c r="F31" i="104"/>
  <c r="N8" i="84"/>
  <c r="J20" i="71"/>
  <c r="K47" i="104"/>
  <c r="P6" i="84"/>
  <c r="N41" i="104"/>
  <c r="E49" i="104"/>
  <c r="U16" i="71"/>
  <c r="R32" i="71"/>
  <c r="Z38" i="71"/>
  <c r="C29" i="71"/>
  <c r="L19" i="84"/>
  <c r="G28" i="84"/>
  <c r="C24" i="84"/>
  <c r="N19" i="84"/>
  <c r="Y49" i="71"/>
  <c r="AC37" i="71"/>
  <c r="F31" i="84"/>
  <c r="W49" i="71"/>
  <c r="V27" i="71"/>
  <c r="I31" i="71"/>
  <c r="N24" i="71"/>
  <c r="W32" i="71"/>
  <c r="M42" i="71"/>
  <c r="N39" i="71"/>
  <c r="D10" i="104"/>
  <c r="J48" i="71"/>
  <c r="I47" i="84"/>
  <c r="P44" i="84"/>
  <c r="L48" i="84"/>
  <c r="Y30" i="71"/>
  <c r="AD9" i="71"/>
  <c r="F49" i="75"/>
  <c r="W45" i="71"/>
  <c r="AD43" i="71"/>
  <c r="I27" i="104"/>
  <c r="M56" i="71"/>
  <c r="G10" i="104"/>
  <c r="Q14" i="84"/>
  <c r="Z28" i="71"/>
  <c r="T47" i="71"/>
  <c r="V13" i="71"/>
  <c r="J19" i="104"/>
  <c r="I19" i="71"/>
  <c r="D30" i="71"/>
  <c r="Z37" i="71"/>
  <c r="D20" i="84"/>
  <c r="F11" i="75"/>
  <c r="E27" i="76"/>
  <c r="E20" i="71"/>
  <c r="O53" i="71"/>
  <c r="AA10" i="71"/>
  <c r="E10" i="72"/>
  <c r="M8" i="84"/>
  <c r="H7" i="84"/>
  <c r="X52" i="71"/>
  <c r="S12" i="71"/>
  <c r="F50" i="72"/>
  <c r="H29" i="104"/>
  <c r="O34" i="71"/>
  <c r="I47" i="71"/>
  <c r="D27" i="75"/>
  <c r="L32" i="104"/>
  <c r="M9" i="85"/>
  <c r="J25" i="71"/>
  <c r="C49" i="71"/>
  <c r="AA31" i="71"/>
  <c r="D32" i="71"/>
  <c r="M43" i="84"/>
  <c r="E45" i="71"/>
  <c r="B20" i="104"/>
  <c r="C46" i="75"/>
  <c r="E14" i="72"/>
  <c r="D58" i="75"/>
  <c r="J13" i="104"/>
  <c r="Q25" i="84"/>
  <c r="M41" i="71"/>
  <c r="G20" i="71"/>
  <c r="I34" i="104"/>
  <c r="D32" i="104"/>
  <c r="T14" i="71"/>
  <c r="I39" i="104"/>
  <c r="B17" i="50"/>
  <c r="E30" i="72"/>
  <c r="G8" i="85"/>
  <c r="G12" i="84"/>
  <c r="Q19" i="84"/>
  <c r="O19" i="84"/>
  <c r="C46" i="76"/>
  <c r="N43" i="104"/>
  <c r="C103" i="72"/>
  <c r="J37" i="104"/>
  <c r="F49" i="76"/>
  <c r="C30" i="75"/>
  <c r="W31" i="71"/>
  <c r="Z25" i="71"/>
  <c r="AB14" i="71"/>
  <c r="U37" i="71"/>
  <c r="E48" i="104"/>
  <c r="C110" i="72"/>
  <c r="T15" i="71"/>
  <c r="R23" i="71"/>
  <c r="Y22" i="71"/>
  <c r="I10" i="85"/>
  <c r="I23" i="84"/>
  <c r="C65" i="76"/>
  <c r="C62" i="75"/>
  <c r="B25" i="104"/>
  <c r="T31" i="71"/>
  <c r="L27" i="84"/>
  <c r="AA49" i="71"/>
  <c r="H31" i="104"/>
  <c r="F28" i="71"/>
  <c r="L38" i="104"/>
  <c r="J30" i="71"/>
  <c r="Q62" i="84"/>
  <c r="D7" i="72"/>
  <c r="AC30" i="71"/>
  <c r="Q30" i="84"/>
  <c r="C27" i="84"/>
  <c r="M43" i="71"/>
  <c r="K16" i="84"/>
  <c r="R15" i="71"/>
  <c r="C45" i="84"/>
  <c r="T7" i="71"/>
  <c r="F111" i="72"/>
  <c r="C87" i="72"/>
  <c r="J27" i="71"/>
  <c r="E8" i="104"/>
  <c r="V18" i="71"/>
  <c r="P30" i="84"/>
  <c r="H26" i="84"/>
  <c r="Q23" i="84"/>
  <c r="C55" i="76"/>
  <c r="N24" i="84"/>
  <c r="O22" i="84"/>
  <c r="M30" i="84"/>
  <c r="C49" i="76"/>
  <c r="E32" i="71"/>
  <c r="J39" i="71"/>
  <c r="J16" i="71"/>
  <c r="I58" i="84"/>
  <c r="D62" i="84"/>
  <c r="E30" i="71"/>
  <c r="AB43" i="71"/>
  <c r="S56" i="71"/>
  <c r="G11" i="104"/>
  <c r="M7" i="85"/>
  <c r="R58" i="71"/>
  <c r="J34" i="71"/>
  <c r="N28" i="104"/>
  <c r="D16" i="104"/>
  <c r="W42" i="71"/>
  <c r="H29" i="71"/>
  <c r="AB38" i="71"/>
  <c r="Y7" i="71"/>
  <c r="H42" i="71"/>
  <c r="N53" i="104"/>
  <c r="G16" i="84"/>
  <c r="K21" i="84"/>
  <c r="I24" i="71"/>
  <c r="E14" i="76"/>
  <c r="U47" i="71"/>
  <c r="F22" i="72"/>
  <c r="D77" i="72"/>
  <c r="H46" i="84"/>
  <c r="C20" i="72"/>
  <c r="O8" i="85"/>
  <c r="R45" i="71"/>
  <c r="G23" i="84"/>
  <c r="I6" i="84"/>
  <c r="F30" i="76"/>
  <c r="K8" i="71"/>
  <c r="D52" i="72"/>
  <c r="C27" i="71"/>
  <c r="B31" i="104"/>
  <c r="C76" i="72"/>
  <c r="S28" i="71"/>
  <c r="D28" i="72"/>
  <c r="C9" i="75"/>
  <c r="L17" i="84"/>
  <c r="AB40" i="71"/>
  <c r="H40" i="104"/>
  <c r="L6" i="84"/>
  <c r="M7" i="84"/>
  <c r="H29" i="84"/>
  <c r="X32" i="71"/>
  <c r="C74" i="72"/>
  <c r="D84" i="72"/>
  <c r="AC58" i="71"/>
  <c r="N10" i="85"/>
  <c r="C19" i="84"/>
  <c r="J26" i="84"/>
  <c r="D34" i="72"/>
  <c r="F48" i="75"/>
  <c r="C33" i="104"/>
  <c r="N35" i="71"/>
  <c r="D22" i="104"/>
  <c r="C51" i="75"/>
  <c r="F60" i="75"/>
  <c r="G18" i="104"/>
  <c r="X23" i="71"/>
  <c r="C75" i="72"/>
  <c r="E11" i="72"/>
  <c r="X31" i="71"/>
  <c r="F6" i="85"/>
  <c r="N25" i="84"/>
  <c r="K15" i="84"/>
  <c r="O20" i="84"/>
  <c r="F48" i="104"/>
  <c r="C53" i="76"/>
  <c r="F21" i="84"/>
  <c r="N29" i="84"/>
  <c r="K7" i="84"/>
  <c r="E13" i="75"/>
  <c r="E23" i="75"/>
  <c r="M53" i="71"/>
  <c r="Y54" i="71"/>
  <c r="J29" i="104"/>
  <c r="D23" i="104"/>
  <c r="C47" i="84"/>
  <c r="F63" i="84"/>
  <c r="L44" i="84"/>
  <c r="D42" i="76"/>
  <c r="AD19" i="71"/>
  <c r="M36" i="104"/>
  <c r="D18" i="104"/>
  <c r="E35" i="71"/>
  <c r="G39" i="104"/>
  <c r="R34" i="71"/>
  <c r="M6" i="85"/>
  <c r="F37" i="72"/>
  <c r="N46" i="71"/>
  <c r="AD47" i="71"/>
  <c r="K56" i="71"/>
  <c r="C89" i="72"/>
  <c r="H12" i="71"/>
  <c r="F47" i="76"/>
  <c r="E53" i="71"/>
  <c r="F30" i="75"/>
  <c r="D52" i="75"/>
  <c r="L12" i="104"/>
  <c r="C44" i="72"/>
  <c r="D63" i="72"/>
  <c r="T53" i="71"/>
  <c r="C21" i="72"/>
  <c r="K50" i="104"/>
  <c r="AA41" i="71"/>
  <c r="C21" i="76"/>
  <c r="D52" i="71"/>
  <c r="C42" i="75"/>
  <c r="D60" i="75"/>
  <c r="F33" i="104"/>
  <c r="E15" i="76"/>
  <c r="F70" i="72"/>
  <c r="W9" i="71"/>
  <c r="E14" i="75"/>
  <c r="W11" i="71"/>
  <c r="AD24" i="71"/>
  <c r="W33" i="71"/>
  <c r="C9" i="104"/>
  <c r="X17" i="71"/>
  <c r="X39" i="71"/>
  <c r="C31" i="104"/>
  <c r="B51" i="104"/>
  <c r="E54" i="72"/>
  <c r="C55" i="72"/>
  <c r="H41" i="71"/>
  <c r="H24" i="71"/>
  <c r="F24" i="71"/>
  <c r="AA32" i="71"/>
  <c r="H32" i="71"/>
  <c r="E36" i="71"/>
  <c r="C36" i="71"/>
  <c r="I36" i="71"/>
  <c r="I25" i="71"/>
  <c r="V40" i="71"/>
  <c r="D40" i="71"/>
  <c r="E40" i="71"/>
  <c r="C15" i="71"/>
  <c r="C48" i="71"/>
  <c r="D16" i="76"/>
  <c r="F55" i="76"/>
  <c r="F21" i="76"/>
  <c r="F10" i="76"/>
  <c r="F42" i="76"/>
  <c r="F45" i="76"/>
  <c r="F46" i="76"/>
  <c r="D63" i="76"/>
  <c r="E13" i="76"/>
  <c r="C24" i="76"/>
  <c r="E30" i="76"/>
  <c r="D47" i="76"/>
  <c r="C9" i="76"/>
  <c r="F48" i="76"/>
  <c r="E8" i="76"/>
  <c r="E20" i="76"/>
  <c r="C20" i="76"/>
  <c r="C29" i="76"/>
  <c r="AB57" i="71"/>
  <c r="AA57" i="71"/>
  <c r="C88" i="72"/>
  <c r="C97" i="72"/>
  <c r="C78" i="72"/>
  <c r="C71" i="72"/>
  <c r="AA53" i="71"/>
  <c r="J53" i="71"/>
  <c r="F53" i="71"/>
  <c r="I53" i="71"/>
  <c r="J12" i="71"/>
  <c r="Z12" i="71"/>
  <c r="U12" i="71"/>
  <c r="U15" i="71"/>
  <c r="U23" i="71"/>
  <c r="D19" i="104"/>
  <c r="J9" i="104"/>
  <c r="G19" i="104"/>
  <c r="E39" i="104"/>
  <c r="H37" i="104"/>
  <c r="H49" i="104"/>
  <c r="J38" i="104"/>
  <c r="K21" i="104"/>
  <c r="H30" i="104"/>
  <c r="K20" i="104"/>
  <c r="J20" i="104"/>
  <c r="K16" i="104"/>
  <c r="I31" i="104"/>
  <c r="J11" i="104"/>
  <c r="N16" i="104"/>
  <c r="L40" i="104"/>
  <c r="I18" i="104"/>
  <c r="I10" i="104"/>
  <c r="M37" i="104"/>
  <c r="D42" i="104"/>
  <c r="I32" i="104"/>
  <c r="M12" i="104"/>
  <c r="D36" i="104"/>
  <c r="N19" i="104"/>
  <c r="E22" i="104"/>
  <c r="G16" i="104"/>
  <c r="J14" i="104"/>
  <c r="D29" i="104"/>
  <c r="F36" i="104"/>
  <c r="N29" i="104"/>
  <c r="F47" i="104"/>
  <c r="K42" i="104"/>
  <c r="F23" i="104"/>
  <c r="H45" i="104"/>
  <c r="N26" i="104"/>
  <c r="K30" i="104"/>
  <c r="N25" i="104"/>
  <c r="J7" i="104"/>
  <c r="F8" i="104"/>
  <c r="F45" i="104"/>
  <c r="L31" i="104"/>
  <c r="N46" i="104"/>
  <c r="J46" i="104"/>
  <c r="E10" i="104"/>
  <c r="F11" i="104"/>
  <c r="E19" i="104"/>
  <c r="F19" i="75"/>
  <c r="T43" i="71"/>
  <c r="J43" i="71"/>
  <c r="S43" i="71"/>
  <c r="AA21" i="71"/>
  <c r="J46" i="71"/>
  <c r="AB46" i="71"/>
  <c r="M46" i="71"/>
  <c r="W35" i="71"/>
  <c r="W44" i="71"/>
  <c r="W54" i="71"/>
  <c r="W15" i="71"/>
  <c r="B6" i="50"/>
  <c r="B16" i="50"/>
  <c r="B10" i="50"/>
  <c r="AC33" i="71"/>
  <c r="AC42" i="71"/>
  <c r="AC56" i="71"/>
  <c r="F91" i="72"/>
  <c r="C91" i="72"/>
  <c r="K37" i="104"/>
  <c r="D37" i="104"/>
  <c r="C37" i="104"/>
  <c r="L7" i="85"/>
  <c r="H10" i="85"/>
  <c r="G7" i="85"/>
  <c r="D106" i="72"/>
  <c r="D90" i="72"/>
  <c r="D88" i="72"/>
  <c r="D86" i="72"/>
  <c r="D72" i="72"/>
  <c r="D107" i="72"/>
  <c r="D78" i="72"/>
  <c r="D103" i="72"/>
  <c r="D110" i="72"/>
  <c r="D68" i="72"/>
  <c r="D73" i="72"/>
  <c r="D67" i="72"/>
  <c r="D92" i="72"/>
  <c r="D64" i="72"/>
  <c r="D99" i="72"/>
  <c r="D94" i="72"/>
  <c r="H15" i="104"/>
  <c r="N15" i="104"/>
  <c r="B15" i="104"/>
  <c r="N38" i="71"/>
  <c r="X38" i="71"/>
  <c r="J38" i="71"/>
  <c r="S38" i="71"/>
  <c r="U38" i="71"/>
  <c r="V38" i="71"/>
  <c r="R38" i="71"/>
  <c r="AD38" i="71"/>
  <c r="D17" i="75"/>
  <c r="F17" i="75"/>
  <c r="M48" i="104"/>
  <c r="G48" i="104"/>
  <c r="J48" i="104"/>
  <c r="Z18" i="71"/>
  <c r="S18" i="71"/>
  <c r="U18" i="71"/>
  <c r="O18" i="71"/>
  <c r="F18" i="71"/>
  <c r="C18" i="71"/>
  <c r="E18" i="71"/>
  <c r="AB18" i="71"/>
  <c r="AD18" i="71"/>
  <c r="N18" i="71"/>
  <c r="J18" i="71"/>
  <c r="L18" i="71"/>
  <c r="F47" i="72"/>
  <c r="C47" i="72"/>
  <c r="D47" i="72"/>
  <c r="D59" i="75"/>
  <c r="C59" i="75"/>
  <c r="F59" i="75"/>
  <c r="E59" i="75" l="1"/>
  <c r="G59" i="75"/>
  <c r="G47" i="72"/>
  <c r="O15" i="104"/>
  <c r="Q15" i="104" s="1"/>
  <c r="G94" i="72"/>
  <c r="G99" i="72"/>
  <c r="G64" i="72"/>
  <c r="G92" i="72"/>
  <c r="G67" i="72"/>
  <c r="G73" i="72"/>
  <c r="G68" i="72"/>
  <c r="G110" i="72"/>
  <c r="D109" i="72"/>
  <c r="G103" i="72"/>
  <c r="G78" i="72"/>
  <c r="G107" i="72"/>
  <c r="G72" i="72"/>
  <c r="G86" i="72"/>
  <c r="G88" i="72"/>
  <c r="C13" i="38"/>
  <c r="G90" i="72"/>
  <c r="G106" i="72"/>
  <c r="C41" i="47"/>
  <c r="E91" i="72"/>
  <c r="Q46" i="104"/>
  <c r="J56" i="104"/>
  <c r="Q25" i="104"/>
  <c r="Q26" i="104"/>
  <c r="Q29" i="104"/>
  <c r="C35" i="47" s="1"/>
  <c r="Q19" i="104"/>
  <c r="C28" i="47" s="1"/>
  <c r="O16" i="104"/>
  <c r="Q16" i="104" s="1"/>
  <c r="E71" i="72"/>
  <c r="E78" i="72"/>
  <c r="E97" i="72"/>
  <c r="E88" i="72"/>
  <c r="G20" i="76"/>
  <c r="E25" i="76"/>
  <c r="G9" i="76"/>
  <c r="G47" i="76"/>
  <c r="G24" i="76"/>
  <c r="G63" i="76"/>
  <c r="G55" i="72"/>
  <c r="E53" i="72"/>
  <c r="B36" i="47"/>
  <c r="B57" i="52" s="1"/>
  <c r="G60" i="75"/>
  <c r="E42" i="75"/>
  <c r="G21" i="76"/>
  <c r="G21" i="72"/>
  <c r="D82" i="72"/>
  <c r="G63" i="72"/>
  <c r="G44" i="72"/>
  <c r="G52" i="75"/>
  <c r="E89" i="72"/>
  <c r="K55" i="71"/>
  <c r="M11" i="85"/>
  <c r="M22" i="85" s="1"/>
  <c r="M19" i="85"/>
  <c r="G42" i="76"/>
  <c r="D60" i="76"/>
  <c r="R63" i="84"/>
  <c r="E47" i="84"/>
  <c r="E31" i="75"/>
  <c r="R21" i="84"/>
  <c r="E53" i="76"/>
  <c r="F19" i="85"/>
  <c r="F11" i="85"/>
  <c r="F22" i="85" s="1"/>
  <c r="E75" i="72"/>
  <c r="E51" i="75"/>
  <c r="E19" i="84"/>
  <c r="G84" i="72"/>
  <c r="E74" i="72"/>
  <c r="L33" i="84"/>
  <c r="H13" i="58" s="1"/>
  <c r="G9" i="75"/>
  <c r="E76" i="72"/>
  <c r="C50" i="71"/>
  <c r="I33" i="84"/>
  <c r="E13" i="58" s="1"/>
  <c r="O20" i="85"/>
  <c r="G20" i="72"/>
  <c r="G77" i="72"/>
  <c r="Q53" i="104"/>
  <c r="Y26" i="71"/>
  <c r="Q28" i="104"/>
  <c r="S55" i="71"/>
  <c r="I67" i="84"/>
  <c r="I64" i="84"/>
  <c r="E49" i="76"/>
  <c r="E55" i="76"/>
  <c r="J50" i="71"/>
  <c r="E87" i="72"/>
  <c r="T26" i="71"/>
  <c r="E45" i="84"/>
  <c r="C51" i="84"/>
  <c r="E27" i="84"/>
  <c r="D26" i="72"/>
  <c r="E62" i="75"/>
  <c r="E65" i="76"/>
  <c r="C109" i="72"/>
  <c r="E110" i="72"/>
  <c r="G30" i="75"/>
  <c r="E103" i="72"/>
  <c r="E46" i="76"/>
  <c r="G20" i="85"/>
  <c r="J57" i="104"/>
  <c r="G58" i="75"/>
  <c r="E46" i="75"/>
  <c r="M52" i="84"/>
  <c r="M55" i="71"/>
  <c r="V50" i="71"/>
  <c r="R31" i="84"/>
  <c r="E24" i="84"/>
  <c r="Q41" i="104"/>
  <c r="P33" i="84"/>
  <c r="L13" i="58" s="1"/>
  <c r="E64" i="76"/>
  <c r="E63" i="76"/>
  <c r="Q10" i="104"/>
  <c r="E95" i="72"/>
  <c r="B57" i="104"/>
  <c r="R19" i="84"/>
  <c r="Q36" i="104"/>
  <c r="G17" i="72"/>
  <c r="X50" i="71"/>
  <c r="E26" i="84"/>
  <c r="E48" i="84"/>
  <c r="E56" i="104"/>
  <c r="G56" i="104"/>
  <c r="G111" i="72"/>
  <c r="R62" i="84"/>
  <c r="G23" i="76"/>
  <c r="Q48" i="104"/>
  <c r="J19" i="85"/>
  <c r="J11" i="85"/>
  <c r="J22" i="85" s="1"/>
  <c r="M64" i="84"/>
  <c r="M67" i="84"/>
  <c r="G23" i="72"/>
  <c r="N19" i="85"/>
  <c r="N11" i="85"/>
  <c r="N22" i="85" s="1"/>
  <c r="E96" i="72"/>
  <c r="D66" i="84"/>
  <c r="R58" i="84"/>
  <c r="F64" i="84"/>
  <c r="F67" i="84"/>
  <c r="E66" i="76"/>
  <c r="E56" i="76"/>
  <c r="E8" i="84"/>
  <c r="C52" i="84"/>
  <c r="C49" i="84"/>
  <c r="E43" i="84"/>
  <c r="R14" i="84"/>
  <c r="J66" i="84"/>
  <c r="G29" i="72"/>
  <c r="R12" i="84"/>
  <c r="G26" i="71"/>
  <c r="K51" i="84"/>
  <c r="E52" i="75"/>
  <c r="W26" i="71"/>
  <c r="J52" i="84"/>
  <c r="B34" i="47"/>
  <c r="C66" i="84"/>
  <c r="E60" i="84"/>
  <c r="L57" i="104"/>
  <c r="R22" i="84"/>
  <c r="G35" i="72"/>
  <c r="E77" i="72"/>
  <c r="G26" i="75"/>
  <c r="I20" i="85"/>
  <c r="Q44" i="104"/>
  <c r="G96" i="72"/>
  <c r="F25" i="76"/>
  <c r="E108" i="72"/>
  <c r="P9" i="85"/>
  <c r="Q9" i="85"/>
  <c r="V9" i="85" s="1"/>
  <c r="G66" i="76"/>
  <c r="E60" i="75"/>
  <c r="F57" i="104"/>
  <c r="E31" i="84"/>
  <c r="I66" i="84"/>
  <c r="I68" i="84" s="1"/>
  <c r="K20" i="85"/>
  <c r="AA55" i="71"/>
  <c r="G97" i="72"/>
  <c r="N67" i="84"/>
  <c r="N64" i="84"/>
  <c r="R48" i="84"/>
  <c r="R11" i="84"/>
  <c r="N55" i="71"/>
  <c r="G69" i="72"/>
  <c r="R59" i="84"/>
  <c r="O51" i="84"/>
  <c r="M51" i="84"/>
  <c r="M53" i="84" s="1"/>
  <c r="P52" i="84"/>
  <c r="L52" i="84"/>
  <c r="E22" i="84"/>
  <c r="C67" i="76"/>
  <c r="E62" i="76"/>
  <c r="Z50" i="71"/>
  <c r="E25" i="84"/>
  <c r="R25" i="84"/>
  <c r="G43" i="75"/>
  <c r="E54" i="76"/>
  <c r="AC26" i="71"/>
  <c r="E57" i="104"/>
  <c r="I56" i="104"/>
  <c r="D48" i="72"/>
  <c r="D49" i="72" s="1"/>
  <c r="P66" i="84"/>
  <c r="N33" i="84"/>
  <c r="J13" i="58" s="1"/>
  <c r="C24" i="47"/>
  <c r="B24" i="47"/>
  <c r="B45" i="52" s="1"/>
  <c r="D45" i="52" s="1"/>
  <c r="N52" i="84"/>
  <c r="R28" i="84"/>
  <c r="D31" i="76"/>
  <c r="E48" i="72"/>
  <c r="G50" i="75"/>
  <c r="F109" i="72"/>
  <c r="AB50" i="71"/>
  <c r="G51" i="75"/>
  <c r="N50" i="71"/>
  <c r="E80" i="72"/>
  <c r="E102" i="72"/>
  <c r="E99" i="72"/>
  <c r="G51" i="72"/>
  <c r="L50" i="71"/>
  <c r="D56" i="104"/>
  <c r="E10" i="84"/>
  <c r="F31" i="75"/>
  <c r="E11" i="84"/>
  <c r="H19" i="85"/>
  <c r="H11" i="85"/>
  <c r="H22" i="85" s="1"/>
  <c r="O52" i="84"/>
  <c r="E50" i="76"/>
  <c r="Q27" i="104"/>
  <c r="C34" i="47" s="1"/>
  <c r="E23" i="84"/>
  <c r="E59" i="84"/>
  <c r="G38" i="72"/>
  <c r="R43" i="84"/>
  <c r="F52" i="84"/>
  <c r="E57" i="76"/>
  <c r="E50" i="71"/>
  <c r="R6" i="84"/>
  <c r="F33" i="84"/>
  <c r="B13" i="58" s="1"/>
  <c r="V26" i="71"/>
  <c r="B28" i="47"/>
  <c r="B49" i="52" s="1"/>
  <c r="E21" i="84"/>
  <c r="G52" i="84"/>
  <c r="G13" i="75"/>
  <c r="G18" i="76"/>
  <c r="G57" i="75"/>
  <c r="J64" i="84"/>
  <c r="J67" i="84"/>
  <c r="AD26" i="71"/>
  <c r="G44" i="75"/>
  <c r="J90" i="72"/>
  <c r="D13" i="38"/>
  <c r="E13" i="38" s="1"/>
  <c r="G46" i="72"/>
  <c r="R45" i="84"/>
  <c r="F51" i="84"/>
  <c r="F53" i="84" s="1"/>
  <c r="G36" i="72"/>
  <c r="E28" i="84"/>
  <c r="E47" i="76"/>
  <c r="Q33" i="84"/>
  <c r="M13" i="58" s="1"/>
  <c r="B41" i="47"/>
  <c r="B62" i="52" s="1"/>
  <c r="D62" i="52" s="1"/>
  <c r="G49" i="76"/>
  <c r="B18" i="47"/>
  <c r="B42" i="52" s="1"/>
  <c r="N20" i="85"/>
  <c r="F82" i="72"/>
  <c r="H63" i="72"/>
  <c r="H57" i="75"/>
  <c r="W55" i="71"/>
  <c r="E17" i="84"/>
  <c r="G8" i="72"/>
  <c r="E9" i="84"/>
  <c r="G100" i="72"/>
  <c r="E70" i="72"/>
  <c r="G57" i="76"/>
  <c r="H20" i="85"/>
  <c r="P51" i="84"/>
  <c r="P53" i="84" s="1"/>
  <c r="Q42" i="104"/>
  <c r="E30" i="84"/>
  <c r="G16" i="75"/>
  <c r="G9" i="72"/>
  <c r="G79" i="72"/>
  <c r="G55" i="71"/>
  <c r="I26" i="71"/>
  <c r="G8" i="76"/>
  <c r="G62" i="75"/>
  <c r="E43" i="75"/>
  <c r="H79" i="72"/>
  <c r="E42" i="76"/>
  <c r="C60" i="76"/>
  <c r="Q47" i="104"/>
  <c r="E100" i="72"/>
  <c r="H56" i="104"/>
  <c r="C56" i="104"/>
  <c r="B12" i="47"/>
  <c r="D64" i="84"/>
  <c r="D67" i="84"/>
  <c r="P64" i="84"/>
  <c r="P67" i="84"/>
  <c r="E107" i="72"/>
  <c r="E84" i="72"/>
  <c r="G27" i="75"/>
  <c r="G11" i="75"/>
  <c r="E48" i="76"/>
  <c r="L20" i="85"/>
  <c r="G71" i="72"/>
  <c r="F64" i="75"/>
  <c r="H61" i="75" s="1"/>
  <c r="H56" i="75"/>
  <c r="H101" i="72"/>
  <c r="E68" i="72"/>
  <c r="D53" i="72"/>
  <c r="D57" i="72" s="1"/>
  <c r="G101" i="72"/>
  <c r="G16" i="72"/>
  <c r="E52" i="76"/>
  <c r="R26" i="84"/>
  <c r="G49" i="75"/>
  <c r="E47" i="75"/>
  <c r="G50" i="71"/>
  <c r="G51" i="71" s="1"/>
  <c r="G59" i="71" s="1"/>
  <c r="F4" i="58" s="1"/>
  <c r="Q52" i="84"/>
  <c r="R50" i="71"/>
  <c r="H92" i="72"/>
  <c r="G27" i="76"/>
  <c r="C31" i="76"/>
  <c r="H50" i="71"/>
  <c r="Q32" i="104"/>
  <c r="H63" i="75"/>
  <c r="I52" i="84"/>
  <c r="L11" i="85"/>
  <c r="L22" i="85" s="1"/>
  <c r="L19" i="85"/>
  <c r="L21" i="85" s="1"/>
  <c r="I51" i="84"/>
  <c r="H102" i="72"/>
  <c r="Q24" i="104"/>
  <c r="E98" i="72"/>
  <c r="H64" i="72"/>
  <c r="H85" i="72"/>
  <c r="G46" i="75"/>
  <c r="E63" i="84"/>
  <c r="B18" i="50"/>
  <c r="G11" i="72"/>
  <c r="G42" i="75"/>
  <c r="R44" i="84"/>
  <c r="G28" i="72"/>
  <c r="E26" i="71"/>
  <c r="E59" i="76"/>
  <c r="K66" i="84"/>
  <c r="G50" i="76"/>
  <c r="R47" i="84"/>
  <c r="K56" i="104"/>
  <c r="G51" i="84"/>
  <c r="G53" i="84" s="1"/>
  <c r="Q21" i="104"/>
  <c r="C30" i="47" s="1"/>
  <c r="G74" i="72"/>
  <c r="G19" i="76"/>
  <c r="E92" i="72"/>
  <c r="Q22" i="104"/>
  <c r="L55" i="71"/>
  <c r="U55" i="71"/>
  <c r="Y55" i="71"/>
  <c r="Q50" i="104"/>
  <c r="E43" i="76"/>
  <c r="O50" i="71"/>
  <c r="E14" i="84"/>
  <c r="E58" i="76"/>
  <c r="H57" i="104"/>
  <c r="R17" i="84"/>
  <c r="M20" i="85"/>
  <c r="G28" i="75"/>
  <c r="H108" i="72"/>
  <c r="Q30" i="104"/>
  <c r="G17" i="75"/>
  <c r="G17" i="76"/>
  <c r="H86" i="72"/>
  <c r="G59" i="76"/>
  <c r="G31" i="72"/>
  <c r="P10" i="85"/>
  <c r="Q10" i="85"/>
  <c r="V10" i="85" s="1"/>
  <c r="G10" i="72"/>
  <c r="G85" i="72"/>
  <c r="M57" i="104"/>
  <c r="G65" i="76"/>
  <c r="G66" i="72"/>
  <c r="Q31" i="104"/>
  <c r="C36" i="47" s="1"/>
  <c r="G33" i="84"/>
  <c r="C13" i="58" s="1"/>
  <c r="F67" i="76"/>
  <c r="E58" i="75"/>
  <c r="G89" i="72"/>
  <c r="G22" i="76"/>
  <c r="K11" i="85"/>
  <c r="K22" i="85" s="1"/>
  <c r="K19" i="85"/>
  <c r="K21" i="85" s="1"/>
  <c r="E21" i="75"/>
  <c r="M56" i="104"/>
  <c r="AA26" i="71"/>
  <c r="G33" i="72"/>
  <c r="E106" i="72"/>
  <c r="K52" i="84"/>
  <c r="L26" i="71"/>
  <c r="H75" i="72"/>
  <c r="D67" i="76"/>
  <c r="G67" i="76" s="1"/>
  <c r="G62" i="76"/>
  <c r="G45" i="75"/>
  <c r="G52" i="76"/>
  <c r="J55" i="71"/>
  <c r="D25" i="76"/>
  <c r="E94" i="72"/>
  <c r="Q40" i="104"/>
  <c r="H81" i="72"/>
  <c r="E57" i="75"/>
  <c r="E12" i="84"/>
  <c r="G91" i="72"/>
  <c r="R16" i="84"/>
  <c r="E45" i="76"/>
  <c r="G58" i="76"/>
  <c r="C57" i="104"/>
  <c r="B27" i="47"/>
  <c r="G47" i="75"/>
  <c r="R30" i="84"/>
  <c r="E58" i="84"/>
  <c r="C64" i="84"/>
  <c r="C67" i="84"/>
  <c r="M50" i="71"/>
  <c r="O33" i="84"/>
  <c r="K13" i="58" s="1"/>
  <c r="J33" i="84"/>
  <c r="F13" i="58" s="1"/>
  <c r="M33" i="84"/>
  <c r="I13" i="58" s="1"/>
  <c r="G43" i="76"/>
  <c r="Z26" i="71"/>
  <c r="H69" i="72"/>
  <c r="E63" i="75"/>
  <c r="D51" i="84"/>
  <c r="G48" i="75"/>
  <c r="G39" i="72"/>
  <c r="H100" i="72"/>
  <c r="R26" i="71"/>
  <c r="D52" i="84"/>
  <c r="D49" i="84"/>
  <c r="E13" i="84"/>
  <c r="C26" i="72"/>
  <c r="G7" i="72"/>
  <c r="H80" i="72"/>
  <c r="D11" i="85"/>
  <c r="Q6" i="85"/>
  <c r="P6" i="85"/>
  <c r="D19" i="85"/>
  <c r="B30" i="47"/>
  <c r="T50" i="71"/>
  <c r="T51" i="71" s="1"/>
  <c r="H78" i="72"/>
  <c r="R29" i="84"/>
  <c r="C31" i="75"/>
  <c r="G23" i="75"/>
  <c r="H103" i="72"/>
  <c r="G50" i="72"/>
  <c r="G57" i="104"/>
  <c r="R24" i="84"/>
  <c r="H52" i="84"/>
  <c r="E7" i="84"/>
  <c r="G112" i="72"/>
  <c r="E44" i="75"/>
  <c r="E64" i="72"/>
  <c r="H71" i="72"/>
  <c r="D33" i="84"/>
  <c r="G48" i="76"/>
  <c r="Q45" i="104"/>
  <c r="F55" i="71"/>
  <c r="E55" i="71"/>
  <c r="G70" i="72"/>
  <c r="F21" i="75"/>
  <c r="H74" i="72"/>
  <c r="R10" i="84"/>
  <c r="C33" i="84"/>
  <c r="E6" i="84"/>
  <c r="Q7" i="85"/>
  <c r="P7" i="85"/>
  <c r="E112" i="72"/>
  <c r="K67" i="84"/>
  <c r="K64" i="84"/>
  <c r="Q9" i="104"/>
  <c r="H73" i="72"/>
  <c r="E26" i="72"/>
  <c r="Q11" i="104"/>
  <c r="H94" i="72"/>
  <c r="K33" i="84"/>
  <c r="G13" i="58" s="1"/>
  <c r="G75" i="72"/>
  <c r="C53" i="72"/>
  <c r="G54" i="72"/>
  <c r="R7" i="84"/>
  <c r="E29" i="84"/>
  <c r="G54" i="76"/>
  <c r="D50" i="71"/>
  <c r="E61" i="84"/>
  <c r="E69" i="72"/>
  <c r="F26" i="71"/>
  <c r="Q66" i="84"/>
  <c r="E101" i="72"/>
  <c r="Q23" i="104"/>
  <c r="C13" i="47" s="1"/>
  <c r="L66" i="84"/>
  <c r="X55" i="71"/>
  <c r="G18" i="72"/>
  <c r="E51" i="76"/>
  <c r="G29" i="75"/>
  <c r="E93" i="72"/>
  <c r="E18" i="84"/>
  <c r="G30" i="76"/>
  <c r="G93" i="72"/>
  <c r="R13" i="84"/>
  <c r="V55" i="71"/>
  <c r="E61" i="75"/>
  <c r="G76" i="72"/>
  <c r="E44" i="76"/>
  <c r="AA50" i="71"/>
  <c r="AA51" i="71" s="1"/>
  <c r="AA59" i="71" s="1"/>
  <c r="Q38" i="104"/>
  <c r="I50" i="71"/>
  <c r="I51" i="71" s="1"/>
  <c r="H77" i="72"/>
  <c r="G37" i="72"/>
  <c r="J20" i="85"/>
  <c r="R49" i="84"/>
  <c r="K57" i="104"/>
  <c r="W50" i="71"/>
  <c r="W51" i="71" s="1"/>
  <c r="W59" i="71" s="1"/>
  <c r="I55" i="71"/>
  <c r="I59" i="71" s="1"/>
  <c r="H4" i="58" s="1"/>
  <c r="E20" i="85"/>
  <c r="N56" i="104"/>
  <c r="C82" i="72"/>
  <c r="E63" i="72"/>
  <c r="S50" i="71"/>
  <c r="G12" i="72"/>
  <c r="H51" i="84"/>
  <c r="H53" i="84" s="1"/>
  <c r="R9" i="84"/>
  <c r="R27" i="84"/>
  <c r="Q67" i="84"/>
  <c r="Q64" i="84"/>
  <c r="N26" i="71"/>
  <c r="H112" i="72"/>
  <c r="Z55" i="71"/>
  <c r="Q39" i="104"/>
  <c r="C14" i="47" s="1"/>
  <c r="O55" i="71"/>
  <c r="E20" i="84"/>
  <c r="G56" i="75"/>
  <c r="D64" i="75"/>
  <c r="G64" i="75" s="1"/>
  <c r="N66" i="84"/>
  <c r="N68" i="84" s="1"/>
  <c r="D57" i="104"/>
  <c r="G87" i="72"/>
  <c r="D20" i="85"/>
  <c r="Q8" i="85"/>
  <c r="P8" i="85"/>
  <c r="G56" i="76"/>
  <c r="H72" i="72"/>
  <c r="R55" i="71"/>
  <c r="G10" i="75"/>
  <c r="G14" i="75"/>
  <c r="R18" i="84"/>
  <c r="F104" i="72"/>
  <c r="H83" i="72"/>
  <c r="E53" i="75"/>
  <c r="H68" i="72"/>
  <c r="H93" i="72"/>
  <c r="F31" i="76"/>
  <c r="G98" i="72"/>
  <c r="G44" i="76"/>
  <c r="G102" i="72"/>
  <c r="G10" i="76"/>
  <c r="Q18" i="104"/>
  <c r="O19" i="85"/>
  <c r="O21" i="85" s="1"/>
  <c r="O11" i="85"/>
  <c r="O22" i="85" s="1"/>
  <c r="G19" i="72"/>
  <c r="N57" i="104"/>
  <c r="C19" i="85"/>
  <c r="C11" i="85"/>
  <c r="C22" i="85" s="1"/>
  <c r="F53" i="72"/>
  <c r="G108" i="72"/>
  <c r="H26" i="71"/>
  <c r="G51" i="76"/>
  <c r="G15" i="75"/>
  <c r="D16" i="52"/>
  <c r="E16" i="52"/>
  <c r="F16" i="52"/>
  <c r="C16" i="52"/>
  <c r="G40" i="72"/>
  <c r="H66" i="72"/>
  <c r="E67" i="72"/>
  <c r="R8" i="84"/>
  <c r="D104" i="72"/>
  <c r="C11" i="38" s="1"/>
  <c r="G83" i="72"/>
  <c r="Q51" i="84"/>
  <c r="Q53" i="84" s="1"/>
  <c r="G22" i="72"/>
  <c r="E65" i="72"/>
  <c r="G45" i="72"/>
  <c r="R20" i="84"/>
  <c r="G80" i="72"/>
  <c r="D55" i="71"/>
  <c r="H89" i="72"/>
  <c r="AB55" i="71"/>
  <c r="H58" i="75"/>
  <c r="G95" i="72"/>
  <c r="G65" i="72"/>
  <c r="E72" i="72"/>
  <c r="H55" i="71"/>
  <c r="O67" i="84"/>
  <c r="O64" i="84"/>
  <c r="B19" i="52"/>
  <c r="G28" i="76"/>
  <c r="I19" i="85"/>
  <c r="I21" i="85" s="1"/>
  <c r="I11" i="85"/>
  <c r="I22" i="85" s="1"/>
  <c r="G64" i="76"/>
  <c r="Y50" i="71"/>
  <c r="Y51" i="71" s="1"/>
  <c r="Y59" i="71" s="1"/>
  <c r="E45" i="75"/>
  <c r="H33" i="84"/>
  <c r="D13" i="58" s="1"/>
  <c r="G24" i="72"/>
  <c r="E111" i="72"/>
  <c r="E16" i="84"/>
  <c r="G24" i="75"/>
  <c r="G12" i="76"/>
  <c r="E41" i="75"/>
  <c r="R15" i="84"/>
  <c r="F20" i="85"/>
  <c r="E86" i="72"/>
  <c r="G19" i="85"/>
  <c r="G21" i="85" s="1"/>
  <c r="G11" i="85"/>
  <c r="G22" i="85" s="1"/>
  <c r="AD50" i="71"/>
  <c r="AD51" i="71" s="1"/>
  <c r="E90" i="72"/>
  <c r="B13" i="38"/>
  <c r="G15" i="72"/>
  <c r="M26" i="71"/>
  <c r="H84" i="72"/>
  <c r="E19" i="85"/>
  <c r="E21" i="85" s="1"/>
  <c r="E11" i="85"/>
  <c r="E22" i="85" s="1"/>
  <c r="Q37" i="104"/>
  <c r="L56" i="104"/>
  <c r="L58" i="104" s="1"/>
  <c r="E66" i="72"/>
  <c r="K50" i="71"/>
  <c r="R23" i="84"/>
  <c r="E15" i="84"/>
  <c r="G56" i="72"/>
  <c r="G16" i="76"/>
  <c r="E83" i="72"/>
  <c r="C104" i="72"/>
  <c r="G55" i="76"/>
  <c r="E62" i="84"/>
  <c r="E85" i="72"/>
  <c r="G46" i="76"/>
  <c r="AC50" i="71"/>
  <c r="AC51" i="71" s="1"/>
  <c r="Q33" i="104"/>
  <c r="E46" i="84"/>
  <c r="G61" i="75"/>
  <c r="C55" i="71"/>
  <c r="U50" i="71"/>
  <c r="G11" i="76"/>
  <c r="G13" i="72"/>
  <c r="E48" i="75"/>
  <c r="L67" i="84"/>
  <c r="L64" i="84"/>
  <c r="Q14" i="104"/>
  <c r="O14" i="104"/>
  <c r="O13" i="104" s="1"/>
  <c r="P7" i="104" s="1"/>
  <c r="Q7" i="104" s="1"/>
  <c r="C12" i="47" s="1"/>
  <c r="Q35" i="104"/>
  <c r="G8" i="75"/>
  <c r="AD55" i="71"/>
  <c r="AD59" i="71" s="1"/>
  <c r="H76" i="72"/>
  <c r="H64" i="84"/>
  <c r="H67" i="84"/>
  <c r="G42" i="72"/>
  <c r="Q20" i="104"/>
  <c r="Q34" i="104"/>
  <c r="J26" i="71"/>
  <c r="Q12" i="104"/>
  <c r="G14" i="76"/>
  <c r="AB26" i="71"/>
  <c r="E79" i="72"/>
  <c r="S26" i="71"/>
  <c r="G14" i="72"/>
  <c r="U26" i="71"/>
  <c r="G32" i="72"/>
  <c r="G53" i="75"/>
  <c r="G15" i="76"/>
  <c r="Q8" i="104"/>
  <c r="G45" i="76"/>
  <c r="Q49" i="104"/>
  <c r="M66" i="84"/>
  <c r="M68" i="84" s="1"/>
  <c r="G63" i="75"/>
  <c r="E44" i="84"/>
  <c r="Q52" i="104"/>
  <c r="H107" i="72"/>
  <c r="O26" i="71"/>
  <c r="B56" i="104"/>
  <c r="B58" i="104" s="1"/>
  <c r="E73" i="72"/>
  <c r="G43" i="72"/>
  <c r="B30" i="52"/>
  <c r="E49" i="75"/>
  <c r="H66" i="84"/>
  <c r="H68" i="84" s="1"/>
  <c r="X26" i="71"/>
  <c r="R60" i="84"/>
  <c r="F66" i="84"/>
  <c r="Q17" i="104"/>
  <c r="D26" i="71"/>
  <c r="F26" i="72"/>
  <c r="T55" i="71"/>
  <c r="T59" i="71" s="1"/>
  <c r="B9" i="57"/>
  <c r="B10" i="57"/>
  <c r="B8" i="57"/>
  <c r="E9" i="57"/>
  <c r="E8" i="57"/>
  <c r="D10" i="57"/>
  <c r="D9" i="57"/>
  <c r="C8" i="57"/>
  <c r="D8" i="57"/>
  <c r="C9" i="57"/>
  <c r="C10" i="57"/>
  <c r="E10" i="57"/>
  <c r="E56" i="75"/>
  <c r="C64" i="75"/>
  <c r="E64" i="75" s="1"/>
  <c r="F56" i="104"/>
  <c r="F58" i="104" s="1"/>
  <c r="G53" i="76"/>
  <c r="L51" i="84"/>
  <c r="L53" i="84" s="1"/>
  <c r="G12" i="75"/>
  <c r="C26" i="71"/>
  <c r="B13" i="47"/>
  <c r="B39" i="52" s="1"/>
  <c r="G52" i="72"/>
  <c r="K26" i="71"/>
  <c r="H95" i="72"/>
  <c r="O66" i="84"/>
  <c r="G64" i="84"/>
  <c r="G67" i="84"/>
  <c r="F54" i="75"/>
  <c r="F65" i="75" s="1"/>
  <c r="H53" i="75" s="1"/>
  <c r="N51" i="84"/>
  <c r="N53" i="84" s="1"/>
  <c r="R61" i="84"/>
  <c r="C48" i="72"/>
  <c r="G27" i="72"/>
  <c r="J51" i="84"/>
  <c r="J53" i="84" s="1"/>
  <c r="B14" i="47"/>
  <c r="B40" i="52" s="1"/>
  <c r="G30" i="72"/>
  <c r="B20" i="47"/>
  <c r="B43" i="52" s="1"/>
  <c r="G66" i="84"/>
  <c r="R46" i="84"/>
  <c r="G41" i="75"/>
  <c r="D54" i="75"/>
  <c r="B12" i="52"/>
  <c r="G41" i="72"/>
  <c r="B23" i="52"/>
  <c r="F20" i="52"/>
  <c r="C20" i="52"/>
  <c r="E20" i="52"/>
  <c r="D20" i="52"/>
  <c r="B20" i="52"/>
  <c r="D26" i="52"/>
  <c r="B26" i="52"/>
  <c r="E26" i="52"/>
  <c r="F26" i="52"/>
  <c r="C26" i="52"/>
  <c r="B25" i="52"/>
  <c r="B6" i="52"/>
  <c r="B5" i="52"/>
  <c r="G20" i="75"/>
  <c r="B7" i="52"/>
  <c r="B24" i="52"/>
  <c r="B17" i="52"/>
  <c r="D81" i="72"/>
  <c r="D19" i="75"/>
  <c r="H25" i="71"/>
  <c r="G24" i="71"/>
  <c r="W13" i="71"/>
  <c r="C13" i="76"/>
  <c r="F36" i="71"/>
  <c r="F58" i="76"/>
  <c r="X15" i="71"/>
  <c r="Z23" i="71"/>
  <c r="AC57" i="71"/>
  <c r="F21" i="71"/>
  <c r="I29" i="104"/>
  <c r="C18" i="75"/>
  <c r="M52" i="71"/>
  <c r="D25" i="72"/>
  <c r="K15" i="104"/>
  <c r="E37" i="104"/>
  <c r="C24" i="71"/>
  <c r="C50" i="75"/>
  <c r="E29" i="76"/>
  <c r="H14" i="71"/>
  <c r="D25" i="75"/>
  <c r="F34" i="72"/>
  <c r="F48" i="72" l="1"/>
  <c r="F49" i="72" s="1"/>
  <c r="F57" i="72" s="1"/>
  <c r="G34" i="72"/>
  <c r="G25" i="75"/>
  <c r="D31" i="75"/>
  <c r="E31" i="76"/>
  <c r="G29" i="76"/>
  <c r="E50" i="75"/>
  <c r="C54" i="75"/>
  <c r="G25" i="72"/>
  <c r="G18" i="75"/>
  <c r="C21" i="75"/>
  <c r="I57" i="104"/>
  <c r="AC55" i="71"/>
  <c r="AC59" i="71" s="1"/>
  <c r="F60" i="76"/>
  <c r="G60" i="76" s="1"/>
  <c r="F50" i="71"/>
  <c r="F51" i="71" s="1"/>
  <c r="G13" i="76"/>
  <c r="C25" i="76"/>
  <c r="G19" i="75"/>
  <c r="G21" i="75" s="1"/>
  <c r="G32" i="75" s="1"/>
  <c r="D21" i="75"/>
  <c r="G81" i="72"/>
  <c r="E81" i="72"/>
  <c r="G48" i="72"/>
  <c r="C49" i="72"/>
  <c r="C57" i="72" s="1"/>
  <c r="H14" i="72"/>
  <c r="B20" i="58"/>
  <c r="N20" i="58" s="1"/>
  <c r="P20" i="58" s="1"/>
  <c r="C38" i="52"/>
  <c r="C17" i="47"/>
  <c r="K51" i="71"/>
  <c r="K59" i="71" s="1"/>
  <c r="J4" i="58" s="1"/>
  <c r="H45" i="72"/>
  <c r="C40" i="52"/>
  <c r="D14" i="47"/>
  <c r="B8" i="58" s="1"/>
  <c r="E82" i="72"/>
  <c r="B9" i="38"/>
  <c r="D13" i="47"/>
  <c r="E13" i="47" s="1"/>
  <c r="C39" i="52"/>
  <c r="H46" i="75"/>
  <c r="F59" i="71"/>
  <c r="E4" i="58" s="1"/>
  <c r="B51" i="52"/>
  <c r="B32" i="47"/>
  <c r="D22" i="85"/>
  <c r="Q11" i="85"/>
  <c r="M58" i="104"/>
  <c r="K58" i="104"/>
  <c r="K68" i="84"/>
  <c r="J5" i="58"/>
  <c r="L23" i="85"/>
  <c r="C58" i="104"/>
  <c r="C68" i="76"/>
  <c r="E60" i="76"/>
  <c r="H65" i="72"/>
  <c r="F68" i="75"/>
  <c r="D9" i="38"/>
  <c r="E51" i="71"/>
  <c r="E59" i="71" s="1"/>
  <c r="D4" i="58" s="1"/>
  <c r="R52" i="84"/>
  <c r="D34" i="47"/>
  <c r="C55" i="52"/>
  <c r="H21" i="85"/>
  <c r="D58" i="104"/>
  <c r="AB51" i="71"/>
  <c r="AB59" i="71" s="1"/>
  <c r="E49" i="72"/>
  <c r="E57" i="72" s="1"/>
  <c r="Z51" i="71"/>
  <c r="Z59" i="71" s="1"/>
  <c r="E49" i="84"/>
  <c r="E52" i="84"/>
  <c r="R64" i="84"/>
  <c r="R67" i="84"/>
  <c r="G58" i="104"/>
  <c r="H49" i="75"/>
  <c r="C51" i="71"/>
  <c r="C59" i="71" s="1"/>
  <c r="H70" i="72"/>
  <c r="B4" i="57"/>
  <c r="D40" i="52"/>
  <c r="H43" i="72"/>
  <c r="B10" i="38"/>
  <c r="C105" i="72"/>
  <c r="E104" i="72"/>
  <c r="C75" i="76"/>
  <c r="E23" i="85"/>
  <c r="C5" i="58"/>
  <c r="H15" i="72"/>
  <c r="B21" i="52"/>
  <c r="H19" i="72"/>
  <c r="V8" i="85"/>
  <c r="P20" i="85"/>
  <c r="H51" i="75"/>
  <c r="H12" i="72"/>
  <c r="N58" i="104"/>
  <c r="H37" i="72"/>
  <c r="E33" i="84"/>
  <c r="F32" i="75"/>
  <c r="E7" i="59" s="1"/>
  <c r="E6" i="59"/>
  <c r="D21" i="85"/>
  <c r="Q19" i="85"/>
  <c r="H39" i="72"/>
  <c r="E32" i="75"/>
  <c r="D7" i="59" s="1"/>
  <c r="D6" i="59"/>
  <c r="H51" i="71"/>
  <c r="H59" i="71" s="1"/>
  <c r="G4" i="58" s="1"/>
  <c r="H58" i="104"/>
  <c r="H67" i="72"/>
  <c r="H36" i="72"/>
  <c r="H90" i="72"/>
  <c r="H99" i="72"/>
  <c r="L51" i="71"/>
  <c r="L59" i="71" s="1"/>
  <c r="K4" i="58" s="1"/>
  <c r="H110" i="72"/>
  <c r="D24" i="47"/>
  <c r="E24" i="47" s="1"/>
  <c r="F24" i="47" s="1"/>
  <c r="C45" i="52"/>
  <c r="F45" i="52" s="1"/>
  <c r="H87" i="72"/>
  <c r="B55" i="52"/>
  <c r="K53" i="84"/>
  <c r="J68" i="84"/>
  <c r="N21" i="85"/>
  <c r="E58" i="104"/>
  <c r="X51" i="71"/>
  <c r="X59" i="71" s="1"/>
  <c r="E109" i="72"/>
  <c r="C113" i="72"/>
  <c r="H111" i="72"/>
  <c r="H20" i="72"/>
  <c r="D68" i="76"/>
  <c r="H91" i="72"/>
  <c r="B8" i="52"/>
  <c r="H41" i="72"/>
  <c r="G68" i="84"/>
  <c r="H41" i="75"/>
  <c r="D39" i="52"/>
  <c r="B11" i="38"/>
  <c r="D105" i="72"/>
  <c r="D113" i="72" s="1"/>
  <c r="C10" i="38"/>
  <c r="G104" i="72"/>
  <c r="P51" i="104"/>
  <c r="Q51" i="104" s="1"/>
  <c r="C20" i="47" s="1"/>
  <c r="C21" i="85"/>
  <c r="C23" i="85" s="1"/>
  <c r="F105" i="72"/>
  <c r="H105" i="72" s="1"/>
  <c r="H104" i="72"/>
  <c r="D10" i="38"/>
  <c r="E10" i="38" s="1"/>
  <c r="S51" i="71"/>
  <c r="S59" i="71" s="1"/>
  <c r="D51" i="71"/>
  <c r="D59" i="71" s="1"/>
  <c r="C4" i="58" s="1"/>
  <c r="P11" i="85"/>
  <c r="V6" i="85"/>
  <c r="P19" i="85"/>
  <c r="P21" i="85" s="1"/>
  <c r="G26" i="72"/>
  <c r="H56" i="72" s="1"/>
  <c r="H7" i="72"/>
  <c r="H26" i="72" s="1"/>
  <c r="I5" i="58"/>
  <c r="K23" i="85"/>
  <c r="C57" i="52"/>
  <c r="D36" i="47"/>
  <c r="E36" i="47" s="1"/>
  <c r="F36" i="47" s="1"/>
  <c r="O51" i="71"/>
  <c r="O59" i="71" s="1"/>
  <c r="C32" i="47"/>
  <c r="D30" i="47"/>
  <c r="C51" i="52"/>
  <c r="H11" i="72"/>
  <c r="R51" i="71"/>
  <c r="R59" i="71" s="1"/>
  <c r="H50" i="75"/>
  <c r="D11" i="38"/>
  <c r="E11" i="38" s="1"/>
  <c r="N13" i="58"/>
  <c r="H51" i="72"/>
  <c r="N51" i="71"/>
  <c r="N59" i="71" s="1"/>
  <c r="M4" i="58" s="1"/>
  <c r="H109" i="72"/>
  <c r="H106" i="72"/>
  <c r="E67" i="76"/>
  <c r="H35" i="72"/>
  <c r="E66" i="84"/>
  <c r="O43" i="104" s="1"/>
  <c r="Q43" i="104" s="1"/>
  <c r="C18" i="47" s="1"/>
  <c r="H97" i="72"/>
  <c r="H88" i="72"/>
  <c r="E32" i="76"/>
  <c r="D9" i="59" s="1"/>
  <c r="D8" i="59"/>
  <c r="D28" i="47"/>
  <c r="C49" i="52"/>
  <c r="J58" i="104"/>
  <c r="G109" i="72"/>
  <c r="G54" i="75"/>
  <c r="D65" i="75"/>
  <c r="G65" i="75" s="1"/>
  <c r="H27" i="72"/>
  <c r="H45" i="75"/>
  <c r="H44" i="75"/>
  <c r="H52" i="75"/>
  <c r="R66" i="84"/>
  <c r="R68" i="84" s="1"/>
  <c r="H42" i="72"/>
  <c r="U51" i="71"/>
  <c r="U59" i="71" s="1"/>
  <c r="H42" i="75"/>
  <c r="G23" i="85"/>
  <c r="E5" i="58"/>
  <c r="I23" i="85"/>
  <c r="G5" i="58"/>
  <c r="Q13" i="104"/>
  <c r="C27" i="47" s="1"/>
  <c r="M5" i="58"/>
  <c r="O23" i="85"/>
  <c r="Q20" i="85"/>
  <c r="L68" i="84"/>
  <c r="G53" i="72"/>
  <c r="H43" i="75"/>
  <c r="G31" i="75"/>
  <c r="D53" i="84"/>
  <c r="M51" i="71"/>
  <c r="M59" i="71" s="1"/>
  <c r="L4" i="58" s="1"/>
  <c r="E67" i="84"/>
  <c r="E64" i="84"/>
  <c r="B48" i="52"/>
  <c r="B29" i="47"/>
  <c r="C8" i="59"/>
  <c r="D32" i="76"/>
  <c r="C9" i="59" s="1"/>
  <c r="H31" i="72"/>
  <c r="H28" i="72"/>
  <c r="I53" i="84"/>
  <c r="G31" i="76"/>
  <c r="H60" i="75"/>
  <c r="H64" i="75"/>
  <c r="B38" i="52"/>
  <c r="B17" i="47"/>
  <c r="B23" i="47" s="1"/>
  <c r="H9" i="72"/>
  <c r="H8" i="72"/>
  <c r="H82" i="72"/>
  <c r="R51" i="84"/>
  <c r="R53" i="84" s="1"/>
  <c r="R33" i="84"/>
  <c r="I58" i="104"/>
  <c r="H98" i="72"/>
  <c r="O53" i="84"/>
  <c r="H96" i="72"/>
  <c r="F32" i="76"/>
  <c r="E9" i="59" s="1"/>
  <c r="E8" i="59"/>
  <c r="H62" i="75"/>
  <c r="J21" i="85"/>
  <c r="H47" i="75"/>
  <c r="H17" i="72"/>
  <c r="V51" i="71"/>
  <c r="V59" i="71" s="1"/>
  <c r="E51" i="84"/>
  <c r="E53" i="84" s="1"/>
  <c r="J51" i="71"/>
  <c r="J59" i="71" s="1"/>
  <c r="I4" i="58" s="1"/>
  <c r="H48" i="75"/>
  <c r="F21" i="85"/>
  <c r="M21" i="85"/>
  <c r="C9" i="38"/>
  <c r="C12" i="38" s="1"/>
  <c r="D68" i="75"/>
  <c r="G82" i="72"/>
  <c r="H55" i="72"/>
  <c r="C56" i="52"/>
  <c r="C62" i="52"/>
  <c r="D41" i="47"/>
  <c r="E41" i="47" s="1"/>
  <c r="F41" i="47" s="1"/>
  <c r="H59" i="75"/>
  <c r="C38" i="47" l="1"/>
  <c r="H14" i="75"/>
  <c r="H17" i="75"/>
  <c r="H8" i="75"/>
  <c r="H10" i="75"/>
  <c r="H28" i="75"/>
  <c r="H27" i="75"/>
  <c r="H16" i="75"/>
  <c r="H24" i="75"/>
  <c r="H9" i="75"/>
  <c r="F67" i="75"/>
  <c r="H13" i="75"/>
  <c r="H26" i="75"/>
  <c r="H20" i="75"/>
  <c r="H12" i="75"/>
  <c r="H29" i="75"/>
  <c r="H11" i="75"/>
  <c r="H15" i="75"/>
  <c r="H23" i="75"/>
  <c r="H30" i="75"/>
  <c r="M23" i="85"/>
  <c r="K5" i="58"/>
  <c r="B50" i="52"/>
  <c r="D48" i="52"/>
  <c r="H53" i="72"/>
  <c r="G57" i="72"/>
  <c r="H57" i="72" s="1"/>
  <c r="D32" i="47"/>
  <c r="B16" i="58"/>
  <c r="E30" i="47"/>
  <c r="H54" i="75"/>
  <c r="H65" i="75" s="1"/>
  <c r="D75" i="76"/>
  <c r="F7" i="59"/>
  <c r="D5" i="58"/>
  <c r="F23" i="85"/>
  <c r="J23" i="85"/>
  <c r="H5" i="58"/>
  <c r="R55" i="84"/>
  <c r="B41" i="52"/>
  <c r="D38" i="52"/>
  <c r="B11" i="58"/>
  <c r="E28" i="47"/>
  <c r="D29" i="47"/>
  <c r="D18" i="47"/>
  <c r="C42" i="52"/>
  <c r="C5" i="47"/>
  <c r="B9" i="52"/>
  <c r="F113" i="72"/>
  <c r="H113" i="72" s="1"/>
  <c r="P13" i="58"/>
  <c r="B2" i="38"/>
  <c r="AE59" i="71"/>
  <c r="H54" i="72"/>
  <c r="D57" i="52"/>
  <c r="N23" i="85"/>
  <c r="L5" i="58"/>
  <c r="D55" i="52"/>
  <c r="H16" i="72"/>
  <c r="H33" i="72"/>
  <c r="H50" i="72"/>
  <c r="H18" i="72"/>
  <c r="E105" i="72"/>
  <c r="H52" i="72"/>
  <c r="H29" i="72"/>
  <c r="D49" i="52"/>
  <c r="E68" i="76"/>
  <c r="H10" i="72"/>
  <c r="C23" i="47"/>
  <c r="D32" i="75"/>
  <c r="C7" i="59" s="1"/>
  <c r="C6" i="59"/>
  <c r="E54" i="75"/>
  <c r="C65" i="75"/>
  <c r="D20" i="47"/>
  <c r="E20" i="47" s="1"/>
  <c r="F20" i="47" s="1"/>
  <c r="C43" i="52"/>
  <c r="C6" i="47"/>
  <c r="D6" i="47" s="1"/>
  <c r="B10" i="52"/>
  <c r="J38" i="47"/>
  <c r="K38" i="47"/>
  <c r="H60" i="71"/>
  <c r="E60" i="71"/>
  <c r="F38" i="47"/>
  <c r="C27" i="52" s="1"/>
  <c r="B6" i="57" s="1"/>
  <c r="D60" i="71"/>
  <c r="I38" i="47"/>
  <c r="D27" i="52" s="1"/>
  <c r="C6" i="57" s="1"/>
  <c r="K60" i="71"/>
  <c r="I60" i="71"/>
  <c r="H38" i="47"/>
  <c r="M38" i="47"/>
  <c r="N60" i="71"/>
  <c r="L60" i="71"/>
  <c r="M60" i="71"/>
  <c r="B4" i="58"/>
  <c r="J60" i="71"/>
  <c r="L38" i="47"/>
  <c r="E27" i="52" s="1"/>
  <c r="D6" i="57" s="1"/>
  <c r="E38" i="47"/>
  <c r="N38" i="47"/>
  <c r="F60" i="71"/>
  <c r="G38" i="47"/>
  <c r="G60" i="71"/>
  <c r="O60" i="71"/>
  <c r="D38" i="47"/>
  <c r="O38" i="47"/>
  <c r="R70" i="84"/>
  <c r="E34" i="47"/>
  <c r="B33" i="47"/>
  <c r="B7" i="58"/>
  <c r="E14" i="47"/>
  <c r="C8" i="58"/>
  <c r="C41" i="52"/>
  <c r="G49" i="72"/>
  <c r="H49" i="72" s="1"/>
  <c r="H48" i="72"/>
  <c r="H19" i="75"/>
  <c r="H70" i="76"/>
  <c r="F68" i="76"/>
  <c r="B6" i="59"/>
  <c r="F6" i="59" s="1"/>
  <c r="C32" i="75"/>
  <c r="B7" i="59" s="1"/>
  <c r="H25" i="75"/>
  <c r="C29" i="47"/>
  <c r="C33" i="47" s="1"/>
  <c r="B9" i="58"/>
  <c r="N9" i="58" s="1"/>
  <c r="C48" i="52"/>
  <c r="B16" i="52"/>
  <c r="B18" i="52" s="1"/>
  <c r="B22" i="52" s="1"/>
  <c r="G105" i="72"/>
  <c r="G41" i="47"/>
  <c r="H41" i="47" s="1"/>
  <c r="I41" i="47" s="1"/>
  <c r="C30" i="52"/>
  <c r="C14" i="38"/>
  <c r="C16" i="38" s="1"/>
  <c r="C15" i="38"/>
  <c r="S64" i="84"/>
  <c r="C53" i="52"/>
  <c r="H40" i="72"/>
  <c r="B11" i="52"/>
  <c r="H44" i="72"/>
  <c r="H38" i="72"/>
  <c r="H13" i="72"/>
  <c r="H32" i="72"/>
  <c r="H47" i="72"/>
  <c r="F5" i="58"/>
  <c r="H23" i="85"/>
  <c r="H46" i="72"/>
  <c r="B53" i="52"/>
  <c r="D51" i="52"/>
  <c r="B12" i="38"/>
  <c r="H30" i="72"/>
  <c r="B8" i="59"/>
  <c r="F8" i="59" s="1"/>
  <c r="C32" i="76"/>
  <c r="G25" i="76"/>
  <c r="H34" i="76" s="1"/>
  <c r="H18" i="75"/>
  <c r="H34" i="72"/>
  <c r="G36" i="47"/>
  <c r="H36" i="47" s="1"/>
  <c r="I36" i="47" s="1"/>
  <c r="C25" i="52"/>
  <c r="V11" i="85"/>
  <c r="P22" i="85"/>
  <c r="P23" i="85" s="1"/>
  <c r="B38" i="47"/>
  <c r="E113" i="72"/>
  <c r="G24" i="47"/>
  <c r="H24" i="47" s="1"/>
  <c r="I24" i="47" s="1"/>
  <c r="C12" i="52"/>
  <c r="D23" i="85"/>
  <c r="Q21" i="85"/>
  <c r="B5" i="58"/>
  <c r="C4" i="57"/>
  <c r="D12" i="38"/>
  <c r="E9" i="38"/>
  <c r="C7" i="58"/>
  <c r="F13" i="47"/>
  <c r="E6" i="47" l="1"/>
  <c r="D7" i="47"/>
  <c r="E65" i="75"/>
  <c r="C68" i="75"/>
  <c r="B59" i="52"/>
  <c r="B35" i="47"/>
  <c r="J36" i="47"/>
  <c r="K36" i="47" s="1"/>
  <c r="L36" i="47" s="1"/>
  <c r="D25" i="52"/>
  <c r="D53" i="52"/>
  <c r="B54" i="52"/>
  <c r="C50" i="52"/>
  <c r="F48" i="52"/>
  <c r="C44" i="52"/>
  <c r="E59" i="52"/>
  <c r="F27" i="52"/>
  <c r="D43" i="52"/>
  <c r="E29" i="47"/>
  <c r="F28" i="47"/>
  <c r="C11" i="58"/>
  <c r="C12" i="58" s="1"/>
  <c r="D50" i="52"/>
  <c r="H31" i="75"/>
  <c r="J41" i="47"/>
  <c r="K41" i="47" s="1"/>
  <c r="L41" i="47" s="1"/>
  <c r="D30" i="52"/>
  <c r="G20" i="47"/>
  <c r="H20" i="47" s="1"/>
  <c r="I20" i="47" s="1"/>
  <c r="C10" i="52"/>
  <c r="B17" i="59" s="1"/>
  <c r="D42" i="52"/>
  <c r="E32" i="47"/>
  <c r="E33" i="47" s="1"/>
  <c r="C16" i="58"/>
  <c r="C14" i="58" s="1"/>
  <c r="F30" i="47"/>
  <c r="G13" i="47"/>
  <c r="C6" i="52"/>
  <c r="D14" i="38"/>
  <c r="D15" i="38"/>
  <c r="E15" i="38" s="1"/>
  <c r="E12" i="38"/>
  <c r="D4" i="57"/>
  <c r="B9" i="59"/>
  <c r="F9" i="59" s="1"/>
  <c r="G32" i="76"/>
  <c r="B15" i="38"/>
  <c r="B14" i="38"/>
  <c r="B16" i="38" s="1"/>
  <c r="D7" i="58"/>
  <c r="N5" i="58"/>
  <c r="Q5" i="58" s="1"/>
  <c r="J24" i="47"/>
  <c r="K24" i="47" s="1"/>
  <c r="L24" i="47" s="1"/>
  <c r="D12" i="52"/>
  <c r="C54" i="52"/>
  <c r="B3" i="38"/>
  <c r="B4" i="38" s="1"/>
  <c r="C2" i="38" s="1"/>
  <c r="H45" i="76"/>
  <c r="H47" i="76"/>
  <c r="H51" i="76"/>
  <c r="H65" i="76"/>
  <c r="H62" i="76"/>
  <c r="H64" i="76"/>
  <c r="H49" i="76"/>
  <c r="H66" i="76"/>
  <c r="H50" i="76"/>
  <c r="H52" i="76"/>
  <c r="H59" i="76"/>
  <c r="H54" i="76"/>
  <c r="H48" i="76"/>
  <c r="H42" i="76"/>
  <c r="H44" i="76"/>
  <c r="H56" i="76"/>
  <c r="H46" i="76"/>
  <c r="H55" i="76"/>
  <c r="H57" i="76"/>
  <c r="H53" i="76"/>
  <c r="H43" i="76"/>
  <c r="H63" i="76"/>
  <c r="F74" i="76"/>
  <c r="H58" i="76"/>
  <c r="F75" i="76"/>
  <c r="D8" i="58"/>
  <c r="F14" i="47"/>
  <c r="F34" i="47"/>
  <c r="N4" i="58"/>
  <c r="B12" i="58"/>
  <c r="E18" i="47"/>
  <c r="D5" i="47"/>
  <c r="D4" i="47" s="1"/>
  <c r="G68" i="76"/>
  <c r="B14" i="58"/>
  <c r="G113" i="72"/>
  <c r="B7" i="57"/>
  <c r="B13" i="59"/>
  <c r="B44" i="52"/>
  <c r="D41" i="52"/>
  <c r="D33" i="47"/>
  <c r="H21" i="75"/>
  <c r="H32" i="75" s="1"/>
  <c r="C59" i="52"/>
  <c r="B27" i="52"/>
  <c r="C39" i="47"/>
  <c r="C40" i="47" s="1"/>
  <c r="C42" i="47" s="1"/>
  <c r="D35" i="47"/>
  <c r="H60" i="76" l="1"/>
  <c r="H68" i="76" s="1"/>
  <c r="F59" i="52"/>
  <c r="N60" i="104"/>
  <c r="C60" i="52"/>
  <c r="D44" i="52"/>
  <c r="H67" i="76"/>
  <c r="E14" i="38"/>
  <c r="D16" i="38"/>
  <c r="E16" i="38" s="1"/>
  <c r="D16" i="58"/>
  <c r="G30" i="47"/>
  <c r="F32" i="47"/>
  <c r="C19" i="52"/>
  <c r="C21" i="52" s="1"/>
  <c r="M41" i="47"/>
  <c r="N41" i="47" s="1"/>
  <c r="O41" i="47" s="1"/>
  <c r="E30" i="52"/>
  <c r="C19" i="58"/>
  <c r="C61" i="52"/>
  <c r="M36" i="47"/>
  <c r="N36" i="47" s="1"/>
  <c r="O36" i="47" s="1"/>
  <c r="E25" i="52"/>
  <c r="B28" i="52"/>
  <c r="B29" i="52" s="1"/>
  <c r="B31" i="52" s="1"/>
  <c r="B5" i="57"/>
  <c r="F29" i="47"/>
  <c r="D11" i="58"/>
  <c r="D12" i="58" s="1"/>
  <c r="G28" i="47"/>
  <c r="C17" i="52"/>
  <c r="C18" i="52" s="1"/>
  <c r="B5" i="59" s="1"/>
  <c r="D54" i="52"/>
  <c r="B56" i="52"/>
  <c r="B39" i="47"/>
  <c r="B40" i="47" s="1"/>
  <c r="B42" i="47" s="1"/>
  <c r="H13" i="47"/>
  <c r="F7" i="58"/>
  <c r="E35" i="47"/>
  <c r="D39" i="47"/>
  <c r="D40" i="47" s="1"/>
  <c r="E5" i="47"/>
  <c r="E4" i="47" s="1"/>
  <c r="F18" i="47"/>
  <c r="G34" i="47"/>
  <c r="C23" i="52"/>
  <c r="C3" i="38"/>
  <c r="C4" i="38" s="1"/>
  <c r="M24" i="47"/>
  <c r="N24" i="47" s="1"/>
  <c r="O24" i="47" s="1"/>
  <c r="E12" i="52"/>
  <c r="E4" i="57"/>
  <c r="B19" i="58"/>
  <c r="B21" i="58" s="1"/>
  <c r="G14" i="47"/>
  <c r="C7" i="52"/>
  <c r="H9" i="76"/>
  <c r="H8" i="76"/>
  <c r="H28" i="76"/>
  <c r="H12" i="76"/>
  <c r="H17" i="76"/>
  <c r="H15" i="76"/>
  <c r="H20" i="76"/>
  <c r="H21" i="76"/>
  <c r="H22" i="76"/>
  <c r="H19" i="76"/>
  <c r="H14" i="76"/>
  <c r="H18" i="76"/>
  <c r="H30" i="76"/>
  <c r="H27" i="76"/>
  <c r="H10" i="76"/>
  <c r="H11" i="76"/>
  <c r="H23" i="76"/>
  <c r="H24" i="76"/>
  <c r="H16" i="76"/>
  <c r="H29" i="76"/>
  <c r="H13" i="76"/>
  <c r="E7" i="58"/>
  <c r="J20" i="47"/>
  <c r="K20" i="47" s="1"/>
  <c r="L20" i="47" s="1"/>
  <c r="D10" i="52"/>
  <c r="C17" i="59" s="1"/>
  <c r="C64" i="52"/>
  <c r="D59" i="52"/>
  <c r="E7" i="47"/>
  <c r="F6" i="47"/>
  <c r="E6" i="57"/>
  <c r="C13" i="59"/>
  <c r="C7" i="57"/>
  <c r="H31" i="76" l="1"/>
  <c r="H25" i="76"/>
  <c r="H32" i="76" s="1"/>
  <c r="H14" i="47"/>
  <c r="F8" i="58"/>
  <c r="C5" i="57"/>
  <c r="B11" i="57"/>
  <c r="E16" i="58"/>
  <c r="E14" i="58" s="1"/>
  <c r="H30" i="47"/>
  <c r="G32" i="47"/>
  <c r="G33" i="47" s="1"/>
  <c r="G6" i="47"/>
  <c r="F7" i="47"/>
  <c r="C20" i="58"/>
  <c r="C21" i="58" s="1"/>
  <c r="D12" i="47"/>
  <c r="E45" i="52"/>
  <c r="F12" i="52"/>
  <c r="H34" i="47"/>
  <c r="F35" i="47"/>
  <c r="E39" i="47"/>
  <c r="E40" i="47" s="1"/>
  <c r="H28" i="47"/>
  <c r="G29" i="47"/>
  <c r="E11" i="58"/>
  <c r="E62" i="52"/>
  <c r="F62" i="52" s="1"/>
  <c r="F30" i="52"/>
  <c r="D14" i="58"/>
  <c r="D19" i="58" s="1"/>
  <c r="F5" i="47"/>
  <c r="F4" i="47" s="1"/>
  <c r="G18" i="47"/>
  <c r="C9" i="52"/>
  <c r="B16" i="59" s="1"/>
  <c r="D56" i="52"/>
  <c r="B60" i="52"/>
  <c r="D7" i="57"/>
  <c r="D13" i="59"/>
  <c r="C22" i="52"/>
  <c r="M20" i="47"/>
  <c r="N20" i="47" s="1"/>
  <c r="O20" i="47" s="1"/>
  <c r="E10" i="52"/>
  <c r="D17" i="59" s="1"/>
  <c r="E8" i="58"/>
  <c r="E12" i="58" s="1"/>
  <c r="E19" i="58" s="1"/>
  <c r="B14" i="59"/>
  <c r="I13" i="47"/>
  <c r="G7" i="58"/>
  <c r="E57" i="52"/>
  <c r="F25" i="52"/>
  <c r="F33" i="47"/>
  <c r="E43" i="52" l="1"/>
  <c r="P20" i="47"/>
  <c r="F10" i="52"/>
  <c r="D60" i="52"/>
  <c r="B61" i="52"/>
  <c r="G35" i="47"/>
  <c r="C24" i="52"/>
  <c r="F39" i="47"/>
  <c r="F40" i="47" s="1"/>
  <c r="G7" i="47"/>
  <c r="H6" i="47"/>
  <c r="F57" i="52"/>
  <c r="G5" i="47"/>
  <c r="H18" i="47"/>
  <c r="B22" i="58"/>
  <c r="D17" i="47"/>
  <c r="D23" i="47" s="1"/>
  <c r="D42" i="47" s="1"/>
  <c r="D43" i="47" s="1"/>
  <c r="I14" i="47"/>
  <c r="G8" i="58"/>
  <c r="F11" i="58"/>
  <c r="F12" i="58" s="1"/>
  <c r="I28" i="47"/>
  <c r="H29" i="47"/>
  <c r="I34" i="47"/>
  <c r="D20" i="58"/>
  <c r="D21" i="58" s="1"/>
  <c r="E12" i="47"/>
  <c r="D5" i="57"/>
  <c r="C11" i="57"/>
  <c r="J13" i="47"/>
  <c r="K13" i="47" s="1"/>
  <c r="H7" i="58"/>
  <c r="D6" i="52"/>
  <c r="I30" i="47"/>
  <c r="F16" i="58"/>
  <c r="F14" i="58" s="1"/>
  <c r="H32" i="47"/>
  <c r="H33" i="47" s="1"/>
  <c r="E7" i="57"/>
  <c r="E13" i="59"/>
  <c r="F13" i="59" s="1"/>
  <c r="J34" i="47" l="1"/>
  <c r="D23" i="52"/>
  <c r="B15" i="59"/>
  <c r="C28" i="52"/>
  <c r="E17" i="59"/>
  <c r="F17" i="59" s="1"/>
  <c r="E5" i="57"/>
  <c r="E11" i="57" s="1"/>
  <c r="D11" i="57"/>
  <c r="I18" i="47"/>
  <c r="H5" i="47"/>
  <c r="C22" i="58"/>
  <c r="E17" i="47"/>
  <c r="E23" i="47" s="1"/>
  <c r="E42" i="47" s="1"/>
  <c r="E43" i="47" s="1"/>
  <c r="J14" i="47"/>
  <c r="H8" i="58"/>
  <c r="D7" i="52"/>
  <c r="G4" i="47"/>
  <c r="I6" i="47"/>
  <c r="H7" i="47"/>
  <c r="J30" i="47"/>
  <c r="G16" i="58"/>
  <c r="G14" i="58" s="1"/>
  <c r="I32" i="47"/>
  <c r="I33" i="47" s="1"/>
  <c r="D19" i="52"/>
  <c r="D21" i="52" s="1"/>
  <c r="D22" i="52" s="1"/>
  <c r="I7" i="58"/>
  <c r="L13" i="47"/>
  <c r="F12" i="47"/>
  <c r="E20" i="58"/>
  <c r="E21" i="58" s="1"/>
  <c r="G11" i="58"/>
  <c r="G12" i="58" s="1"/>
  <c r="G19" i="58" s="1"/>
  <c r="I29" i="47"/>
  <c r="J28" i="47"/>
  <c r="D17" i="52"/>
  <c r="D18" i="52" s="1"/>
  <c r="C5" i="59" s="1"/>
  <c r="H35" i="47"/>
  <c r="G39" i="47"/>
  <c r="G40" i="47" s="1"/>
  <c r="F19" i="58"/>
  <c r="D61" i="52"/>
  <c r="B64" i="52"/>
  <c r="F43" i="52"/>
  <c r="F17" i="47" l="1"/>
  <c r="F23" i="47" s="1"/>
  <c r="F42" i="47" s="1"/>
  <c r="F43" i="47" s="1"/>
  <c r="D22" i="58"/>
  <c r="C5" i="52"/>
  <c r="C8" i="52" s="1"/>
  <c r="J6" i="47"/>
  <c r="I7" i="47"/>
  <c r="C14" i="59"/>
  <c r="J29" i="47"/>
  <c r="K28" i="47"/>
  <c r="H11" i="58"/>
  <c r="H12" i="58" s="1"/>
  <c r="M13" i="47"/>
  <c r="K7" i="58"/>
  <c r="E6" i="52"/>
  <c r="I35" i="47"/>
  <c r="H39" i="47"/>
  <c r="H40" i="47" s="1"/>
  <c r="J7" i="58"/>
  <c r="H4" i="47"/>
  <c r="K14" i="47"/>
  <c r="I8" i="58" s="1"/>
  <c r="J18" i="47"/>
  <c r="I5" i="47"/>
  <c r="D9" i="52"/>
  <c r="C16" i="59" s="1"/>
  <c r="F20" i="58"/>
  <c r="F21" i="58" s="1"/>
  <c r="G12" i="47"/>
  <c r="J32" i="47"/>
  <c r="J33" i="47" s="1"/>
  <c r="K30" i="47"/>
  <c r="H16" i="58"/>
  <c r="B13" i="57"/>
  <c r="B14" i="57" s="1"/>
  <c r="C29" i="52"/>
  <c r="K34" i="47"/>
  <c r="G17" i="47" l="1"/>
  <c r="G23" i="47" s="1"/>
  <c r="G42" i="47" s="1"/>
  <c r="G43" i="47" s="1"/>
  <c r="E22" i="58"/>
  <c r="I11" i="58"/>
  <c r="I12" i="58" s="1"/>
  <c r="K29" i="47"/>
  <c r="L28" i="47"/>
  <c r="I4" i="47"/>
  <c r="H14" i="58"/>
  <c r="G20" i="58"/>
  <c r="G21" i="58" s="1"/>
  <c r="H12" i="47"/>
  <c r="K18" i="47"/>
  <c r="J5" i="47"/>
  <c r="J4" i="47" s="1"/>
  <c r="L34" i="47"/>
  <c r="K32" i="47"/>
  <c r="K33" i="47" s="1"/>
  <c r="L30" i="47"/>
  <c r="I16" i="58"/>
  <c r="I14" i="58" s="1"/>
  <c r="N13" i="47"/>
  <c r="L7" i="58"/>
  <c r="J7" i="47"/>
  <c r="K6" i="47"/>
  <c r="L14" i="47"/>
  <c r="J35" i="47"/>
  <c r="D24" i="52"/>
  <c r="I39" i="47"/>
  <c r="I40" i="47" s="1"/>
  <c r="H19" i="58"/>
  <c r="B4" i="59"/>
  <c r="C11" i="52"/>
  <c r="B18" i="59" s="1"/>
  <c r="K8" i="58" l="1"/>
  <c r="M14" i="47"/>
  <c r="E7" i="52"/>
  <c r="K5" i="47"/>
  <c r="L18" i="47"/>
  <c r="I19" i="58"/>
  <c r="C15" i="59"/>
  <c r="D28" i="52"/>
  <c r="C31" i="52"/>
  <c r="O13" i="47"/>
  <c r="M7" i="58" s="1"/>
  <c r="H17" i="47"/>
  <c r="H23" i="47" s="1"/>
  <c r="H42" i="47" s="1"/>
  <c r="H43" i="47" s="1"/>
  <c r="F22" i="58"/>
  <c r="K35" i="47"/>
  <c r="J39" i="47"/>
  <c r="J40" i="47" s="1"/>
  <c r="K7" i="47"/>
  <c r="L6" i="47"/>
  <c r="M34" i="47"/>
  <c r="E23" i="52"/>
  <c r="H20" i="58"/>
  <c r="H21" i="58" s="1"/>
  <c r="I12" i="47"/>
  <c r="M28" i="47"/>
  <c r="L29" i="47"/>
  <c r="J11" i="58"/>
  <c r="E17" i="52"/>
  <c r="E18" i="52" s="1"/>
  <c r="D5" i="59" s="1"/>
  <c r="J8" i="58"/>
  <c r="M30" i="47"/>
  <c r="L32" i="47"/>
  <c r="J16" i="58"/>
  <c r="J14" i="58" s="1"/>
  <c r="E19" i="52"/>
  <c r="E21" i="52" s="1"/>
  <c r="E22" i="52" s="1"/>
  <c r="K4" i="47"/>
  <c r="N7" i="58" l="1"/>
  <c r="M29" i="47"/>
  <c r="N28" i="47"/>
  <c r="K11" i="58"/>
  <c r="K12" i="58" s="1"/>
  <c r="I17" i="47"/>
  <c r="I23" i="47" s="1"/>
  <c r="I42" i="47" s="1"/>
  <c r="I43" i="47" s="1"/>
  <c r="G22" i="58"/>
  <c r="D5" i="52"/>
  <c r="D8" i="52" s="1"/>
  <c r="N34" i="47"/>
  <c r="L35" i="47"/>
  <c r="K39" i="47"/>
  <c r="K40" i="47" s="1"/>
  <c r="E39" i="52"/>
  <c r="F6" i="52"/>
  <c r="L33" i="47"/>
  <c r="J12" i="58"/>
  <c r="J19" i="58" s="1"/>
  <c r="J12" i="47"/>
  <c r="I20" i="58"/>
  <c r="I21" i="58" s="1"/>
  <c r="L7" i="47"/>
  <c r="M6" i="47"/>
  <c r="L5" i="47"/>
  <c r="M18" i="47"/>
  <c r="E9" i="52"/>
  <c r="D16" i="59" s="1"/>
  <c r="N14" i="47"/>
  <c r="M32" i="47"/>
  <c r="M33" i="47" s="1"/>
  <c r="K16" i="58"/>
  <c r="K14" i="58" s="1"/>
  <c r="N30" i="47"/>
  <c r="D14" i="59"/>
  <c r="C13" i="57"/>
  <c r="C14" i="57" s="1"/>
  <c r="D29" i="52"/>
  <c r="L4" i="47"/>
  <c r="D11" i="52" l="1"/>
  <c r="C18" i="59" s="1"/>
  <c r="C4" i="59"/>
  <c r="O28" i="47"/>
  <c r="L11" i="58"/>
  <c r="N29" i="47"/>
  <c r="M35" i="47"/>
  <c r="E24" i="52"/>
  <c r="L39" i="47"/>
  <c r="L40" i="47" s="1"/>
  <c r="D31" i="52"/>
  <c r="L16" i="58"/>
  <c r="L14" i="58" s="1"/>
  <c r="O30" i="47"/>
  <c r="N32" i="47"/>
  <c r="N33" i="47" s="1"/>
  <c r="O14" i="47"/>
  <c r="M8" i="58" s="1"/>
  <c r="M7" i="47"/>
  <c r="N6" i="47"/>
  <c r="N18" i="47"/>
  <c r="M5" i="47"/>
  <c r="K12" i="47"/>
  <c r="J20" i="58"/>
  <c r="J21" i="58" s="1"/>
  <c r="L8" i="58"/>
  <c r="L12" i="58" s="1"/>
  <c r="L19" i="58" s="1"/>
  <c r="M4" i="47"/>
  <c r="J17" i="47"/>
  <c r="J23" i="47" s="1"/>
  <c r="J42" i="47" s="1"/>
  <c r="J43" i="47" s="1"/>
  <c r="H22" i="58"/>
  <c r="F39" i="52"/>
  <c r="O34" i="47"/>
  <c r="K19" i="58"/>
  <c r="N8" i="58" l="1"/>
  <c r="E55" i="52"/>
  <c r="F23" i="52"/>
  <c r="K20" i="58"/>
  <c r="K21" i="58" s="1"/>
  <c r="L12" i="47"/>
  <c r="O6" i="47"/>
  <c r="N7" i="47"/>
  <c r="D15" i="59"/>
  <c r="E28" i="52"/>
  <c r="E49" i="52"/>
  <c r="O29" i="47"/>
  <c r="M11" i="58"/>
  <c r="N11" i="58" s="1"/>
  <c r="F17" i="52"/>
  <c r="K17" i="47"/>
  <c r="K23" i="47" s="1"/>
  <c r="K42" i="47" s="1"/>
  <c r="K43" i="47" s="1"/>
  <c r="I22" i="58"/>
  <c r="E51" i="52"/>
  <c r="M16" i="58"/>
  <c r="O32" i="47"/>
  <c r="F19" i="52"/>
  <c r="N35" i="47"/>
  <c r="M39" i="47"/>
  <c r="M40" i="47" s="1"/>
  <c r="O18" i="47"/>
  <c r="N5" i="47"/>
  <c r="E40" i="52"/>
  <c r="F7" i="52"/>
  <c r="O33" i="47" l="1"/>
  <c r="E50" i="52"/>
  <c r="F49" i="52"/>
  <c r="O7" i="47"/>
  <c r="P7" i="47" s="1"/>
  <c r="P6" i="47"/>
  <c r="O5" i="47"/>
  <c r="P5" i="47" s="1"/>
  <c r="Q5" i="47" s="1"/>
  <c r="E42" i="52"/>
  <c r="F9" i="52"/>
  <c r="F18" i="52"/>
  <c r="D13" i="57"/>
  <c r="D14" i="57" s="1"/>
  <c r="E29" i="52"/>
  <c r="J22" i="58"/>
  <c r="L17" i="47"/>
  <c r="L23" i="47" s="1"/>
  <c r="L42" i="47" s="1"/>
  <c r="L43" i="47" s="1"/>
  <c r="E5" i="52"/>
  <c r="E8" i="52" s="1"/>
  <c r="F55" i="52"/>
  <c r="F21" i="52"/>
  <c r="F40" i="52"/>
  <c r="O35" i="47"/>
  <c r="N39" i="47"/>
  <c r="N40" i="47" s="1"/>
  <c r="M14" i="58"/>
  <c r="N14" i="58" s="1"/>
  <c r="N16" i="58"/>
  <c r="O4" i="47"/>
  <c r="N4" i="47"/>
  <c r="E53" i="52"/>
  <c r="F51" i="52"/>
  <c r="M12" i="47"/>
  <c r="L20" i="58"/>
  <c r="L21" i="58" s="1"/>
  <c r="M12" i="58"/>
  <c r="M19" i="58" s="1"/>
  <c r="E14" i="59"/>
  <c r="F14" i="59" s="1"/>
  <c r="N12" i="58"/>
  <c r="K22" i="58" l="1"/>
  <c r="M17" i="47"/>
  <c r="M23" i="47" s="1"/>
  <c r="M42" i="47" s="1"/>
  <c r="M43" i="47" s="1"/>
  <c r="E56" i="52"/>
  <c r="F24" i="52"/>
  <c r="O39" i="47"/>
  <c r="O40" i="47" s="1"/>
  <c r="F22" i="52"/>
  <c r="E5" i="59"/>
  <c r="F5" i="59" s="1"/>
  <c r="R5" i="47"/>
  <c r="R6" i="47" s="1"/>
  <c r="Q6" i="47"/>
  <c r="Q7" i="47"/>
  <c r="E11" i="52"/>
  <c r="D18" i="59" s="1"/>
  <c r="D4" i="59"/>
  <c r="P12" i="58"/>
  <c r="N19" i="58"/>
  <c r="M20" i="58"/>
  <c r="M21" i="58" s="1"/>
  <c r="O12" i="47" s="1"/>
  <c r="N12" i="47"/>
  <c r="E54" i="52"/>
  <c r="F53" i="52"/>
  <c r="F50" i="52"/>
  <c r="E16" i="59"/>
  <c r="F16" i="59" s="1"/>
  <c r="P4" i="47"/>
  <c r="F42" i="52"/>
  <c r="P19" i="58" l="1"/>
  <c r="N21" i="58"/>
  <c r="F54" i="52"/>
  <c r="F56" i="52"/>
  <c r="E60" i="52"/>
  <c r="N17" i="47"/>
  <c r="N23" i="47" s="1"/>
  <c r="N42" i="47" s="1"/>
  <c r="N43" i="47" s="1"/>
  <c r="L22" i="58"/>
  <c r="E31" i="52"/>
  <c r="E38" i="52"/>
  <c r="O17" i="47"/>
  <c r="O23" i="47" s="1"/>
  <c r="O42" i="47" s="1"/>
  <c r="O43" i="47" s="1"/>
  <c r="M22" i="58"/>
  <c r="F5" i="52"/>
  <c r="E15" i="59"/>
  <c r="F15" i="59" s="1"/>
  <c r="F28" i="52"/>
  <c r="F8" i="52" l="1"/>
  <c r="E13" i="57"/>
  <c r="E14" i="57" s="1"/>
  <c r="F60" i="52"/>
  <c r="E61" i="52"/>
  <c r="F29" i="52"/>
  <c r="G28" i="52" s="1"/>
  <c r="P21" i="58"/>
  <c r="K26" i="58"/>
  <c r="E41" i="52"/>
  <c r="F38" i="52"/>
  <c r="G29" i="52" l="1"/>
  <c r="G26" i="52"/>
  <c r="G16" i="52"/>
  <c r="G20" i="52"/>
  <c r="G27" i="52"/>
  <c r="G25" i="52"/>
  <c r="G17" i="52"/>
  <c r="G23" i="52"/>
  <c r="G19" i="52"/>
  <c r="G18" i="52"/>
  <c r="G21" i="52"/>
  <c r="G24" i="52"/>
  <c r="G22" i="52"/>
  <c r="E44" i="52"/>
  <c r="G41" i="52" s="1"/>
  <c r="F41" i="52"/>
  <c r="G60" i="52"/>
  <c r="G52" i="52"/>
  <c r="G58" i="52"/>
  <c r="G48" i="52"/>
  <c r="G61" i="52"/>
  <c r="G59" i="52"/>
  <c r="F61" i="52"/>
  <c r="G57" i="52"/>
  <c r="G55" i="52"/>
  <c r="G49" i="52"/>
  <c r="G51" i="52"/>
  <c r="G50" i="52"/>
  <c r="G53" i="52"/>
  <c r="G56" i="52"/>
  <c r="G54" i="52"/>
  <c r="F11" i="52"/>
  <c r="E4" i="59"/>
  <c r="F4" i="59" s="1"/>
  <c r="G11" i="52" l="1"/>
  <c r="E18" i="59"/>
  <c r="F18" i="59" s="1"/>
  <c r="G10" i="52"/>
  <c r="G6" i="52"/>
  <c r="G7" i="52"/>
  <c r="G9" i="52"/>
  <c r="G5" i="52"/>
  <c r="G8" i="52"/>
  <c r="G44" i="52"/>
  <c r="G64" i="52" s="1"/>
  <c r="E64" i="52"/>
  <c r="F44" i="52"/>
  <c r="G45" i="52"/>
  <c r="G43" i="52"/>
  <c r="G39" i="52"/>
  <c r="G40" i="52"/>
  <c r="G42" i="52"/>
  <c r="G38" i="52"/>
  <c r="F31" i="5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Angela Sazdova - Doneva</author>
  </authors>
  <commentList>
    <comment ref="C14" authorId="0" shapeId="0" xr:uid="{00000000-0006-0000-0700-000001000000}">
      <text>
        <r>
          <rPr>
            <b/>
            <sz val="9"/>
            <color indexed="81"/>
            <rFont val="Tahoma"/>
            <family val="2"/>
            <charset val="204"/>
          </rPr>
          <t>Angela Sazdova - Doneva:</t>
        </r>
        <r>
          <rPr>
            <sz val="9"/>
            <color indexed="81"/>
            <rFont val="Tahoma"/>
            <family val="2"/>
            <charset val="204"/>
          </rPr>
          <t xml:space="preserve">
oktomvriski iznosi *2</t>
        </r>
      </text>
    </comment>
    <comment ref="C15" authorId="0" shapeId="0" xr:uid="{00000000-0006-0000-0700-000002000000}">
      <text>
        <r>
          <rPr>
            <b/>
            <sz val="9"/>
            <color indexed="81"/>
            <rFont val="Tahoma"/>
            <family val="2"/>
            <charset val="204"/>
          </rPr>
          <t xml:space="preserve">Angela Sazdova - Doneva:iznosot e zemen od planirano ostaverno oktomvri (posledno saldo ) materijalni nematerijalni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Angela Sazdova - Doneva</author>
  </authors>
  <commentList>
    <comment ref="P7" authorId="0" shapeId="0" xr:uid="{00000000-0006-0000-0E00-000001000000}">
      <text>
        <r>
          <rPr>
            <b/>
            <sz val="9"/>
            <color indexed="81"/>
            <rFont val="Tahoma"/>
            <family val="2"/>
            <charset val="204"/>
          </rPr>
          <t>Angela Sazdova - Doneva:</t>
        </r>
        <r>
          <rPr>
            <sz val="9"/>
            <color indexed="81"/>
            <rFont val="Tahoma"/>
            <family val="2"/>
            <charset val="204"/>
          </rPr>
          <t xml:space="preserve">
ne znam od kaj doagja</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name="Connection" type="104" refreshedVersion="0" background="1">
    <extLst>
      <ext xmlns:x15="http://schemas.microsoft.com/office/spreadsheetml/2010/11/main" uri="{DE250136-89BD-433C-8126-D09CA5730AF9}">
        <x15:connection id="Calendar"/>
      </ext>
    </extLst>
  </connection>
  <connection id="2" xr16:uid="{00000000-0015-0000-FFFF-FFFF01000000}" name="Query - Amortizacija" description="Connection to the 'Amortizacija' query in the workbook." type="100" refreshedVersion="6" minRefreshableVersion="5">
    <extLst>
      <ext xmlns:x15="http://schemas.microsoft.com/office/spreadsheetml/2010/11/main" uri="{DE250136-89BD-433C-8126-D09CA5730AF9}">
        <x15:connection id="a7eab882-08ae-45c9-8d26-ffcb388fe7b2">
          <x15:oledbPr connection="provider=Microsoft.Mashup.OleDb.1;data source=$Workbook$;location=Amortizacija;extended properties=">
            <x15:dbTables>
              <x15:dbTable name="Amortizacija"/>
            </x15:dbTables>
          </x15:oledbPr>
        </x15:connection>
      </ext>
    </extLst>
  </connection>
  <connection id="3" xr16:uid="{00000000-0015-0000-FFFF-FFFF02000000}" name="Query - CAPEX" description="Connection to the 'CAPEX' query in the workbook." type="100" refreshedVersion="6" minRefreshableVersion="5">
    <extLst>
      <ext xmlns:x15="http://schemas.microsoft.com/office/spreadsheetml/2010/11/main" uri="{DE250136-89BD-433C-8126-D09CA5730AF9}">
        <x15:connection id="b6f96daa-cbfe-4c60-b10d-04f5bac41db1">
          <x15:oledbPr connection="provider=Microsoft.Mashup.OleDb.1;data source=$Workbook$;location=CAPEX;extended properties=">
            <x15:dbTables>
              <x15:dbTable name="CAPEX"/>
            </x15:dbTables>
          </x15:oledbPr>
        </x15:connection>
      </ext>
    </extLst>
  </connection>
  <connection id="4" xr16:uid="{00000000-0015-0000-FFFF-FFFF03000000}" keepAlive="1" name="Query - CAPEX-JN" description="Connection to the 'CAPEX-JN' query in the workbook." type="5" refreshedVersion="6" background="1" saveData="1">
    <dbPr connection="provider=Microsoft.Mashup.OleDb.1;data source=$Workbook$;location=CAPEX-JN;extended properties=" command="SELECT * FROM [CAPEX-JN]"/>
  </connection>
  <connection id="5" xr16:uid="{00000000-0015-0000-FFFF-FFFF04000000}" keepAlive="1" name="Query - dMapping" description="Connection to the 'dMapping' query in the workbook." type="5" refreshedVersion="0" background="1">
    <dbPr connection="provider=Microsoft.Mashup.OleDb.1;data source=$Workbook$;location=dMapping;extended properties=" command="SELECT * FROM [dMapping]"/>
  </connection>
  <connection id="6" xr16:uid="{00000000-0015-0000-FFFF-FFFF05000000}" keepAlive="1" name="Query - dObrasci" description="Connection to the 'dObrasci' query in the workbook." type="5" refreshedVersion="0" background="1">
    <dbPr connection="provider=Microsoft.Mashup.OleDb.1;data source=$Workbook$;location=dObrasci;extended properties=" command="SELECT * FROM [dObrasci]"/>
  </connection>
  <connection id="7" xr16:uid="{00000000-0015-0000-FFFF-FFFF06000000}" keepAlive="1" name="Query - dStavki" description="Connection to the 'dStavki' query in the workbook." type="5" refreshedVersion="0" background="1">
    <dbPr connection="provider=Microsoft.Mashup.OleDb.1;data source=$Workbook$;location=dStavki;extended properties=" command="SELECT * FROM [dStavki]"/>
  </connection>
  <connection id="8" xr16:uid="{00000000-0015-0000-FFFF-FFFF07000000}" name="Query - fActual" description="Connection to the 'fActual' query in the workbook." type="5" refreshedVersion="0" background="1">
    <dbPr connection="provider=Microsoft.Mashup.OleDb.1;data source=$Workbook$;location=fActual;extended properties=" command="SELECT * FROM [fActual]"/>
  </connection>
  <connection id="9" xr16:uid="{00000000-0015-0000-FFFF-FFFF08000000}" name="Query - fActualAndBudget" description="Connection to the 'fActualAndBudget' query in the workbook." type="100" refreshedVersion="6" minRefreshableVersion="5">
    <extLst>
      <ext xmlns:x15="http://schemas.microsoft.com/office/spreadsheetml/2010/11/main" uri="{DE250136-89BD-433C-8126-D09CA5730AF9}">
        <x15:connection id="a1572fff-5f80-4cfd-b7e6-e81d6db9629f">
          <x15:oledbPr connection="provider=Microsoft.Mashup.OleDb.1;data source=$Workbook$;location=fActualAndBudget;extended properties=">
            <x15:dbTables>
              <x15:dbTable name="fActualAndBudget"/>
            </x15:dbTables>
          </x15:oledbPr>
        </x15:connection>
      </ext>
    </extLst>
  </connection>
  <connection id="10" xr16:uid="{00000000-0015-0000-FFFF-FFFF09000000}" name="Query - fArtikliCeni" description="Connection to the 'fArtikliCeni' query in the workbook." type="100" refreshedVersion="6" minRefreshableVersion="5">
    <extLst>
      <ext xmlns:x15="http://schemas.microsoft.com/office/spreadsheetml/2010/11/main" uri="{DE250136-89BD-433C-8126-D09CA5730AF9}">
        <x15:connection id="7771cd8f-740b-4305-9b1f-477fdb8c6bde">
          <x15:oledbPr connection="provider=Microsoft.Mashup.OleDb.1;data source=$Workbook$;location=fArtikliCeni;extended properties=">
            <x15:dbTables>
              <x15:dbTable name="fArtikliCeni"/>
            </x15:dbTables>
          </x15:oledbPr>
        </x15:connection>
      </ext>
    </extLst>
  </connection>
  <connection id="11" xr16:uid="{00000000-0015-0000-FFFF-FFFF0A000000}" name="Query - fCoveckiResursi" description="Connection to the 'fCoveckiResursi' query in the workbook." type="100" refreshedVersion="6" minRefreshableVersion="5">
    <extLst>
      <ext xmlns:x15="http://schemas.microsoft.com/office/spreadsheetml/2010/11/main" uri="{DE250136-89BD-433C-8126-D09CA5730AF9}">
        <x15:connection id="d6fc051c-c6a8-4ab1-9d19-e9b88a86860a">
          <x15:oledbPr connection="provider=Microsoft.Mashup.OleDb.1;data source=$Workbook$;location=fCoveckiResursi;extended properties=">
            <x15:dbTables>
              <x15:dbTable name="fCoveckiResursi"/>
            </x15:dbTables>
          </x15:oledbPr>
        </x15:connection>
      </ext>
    </extLst>
  </connection>
  <connection id="12" xr16:uid="{00000000-0015-0000-FFFF-FFFF0B000000}" name="Query - fCoveckiResursi (2)" description="Connection to the 'fCoveckiResursi (2)' query in the workbook." type="100" refreshedVersion="6" minRefreshableVersion="5">
    <extLst>
      <ext xmlns:x15="http://schemas.microsoft.com/office/spreadsheetml/2010/11/main" uri="{DE250136-89BD-433C-8126-D09CA5730AF9}">
        <x15:connection id="6b112421-ce91-4291-8643-edb1273df204">
          <x15:oledbPr connection="provider=Microsoft.Mashup.OleDb.1;data source=$Workbook$;location=&quot;fCoveckiResursi (2)&quot;;extended properties=">
            <x15:dbTables>
              <x15:dbTable name="fCoveckiResursi (2)"/>
            </x15:dbTables>
          </x15:oledbPr>
        </x15:connection>
      </ext>
    </extLst>
  </connection>
  <connection id="13" xr16:uid="{00000000-0015-0000-FFFF-FFFF0C000000}" name="Query - fOPEX" description="Connection to the 'fOPEX' query in the workbook." type="100" refreshedVersion="6" minRefreshableVersion="5">
    <extLst>
      <ext xmlns:x15="http://schemas.microsoft.com/office/spreadsheetml/2010/11/main" uri="{DE250136-89BD-433C-8126-D09CA5730AF9}">
        <x15:connection id="827d82be-9d19-4a92-91d6-ceb73977e87c">
          <x15:oledbPr connection="provider=Microsoft.Mashup.OleDb.1;data source=$Workbook$;location=fOPEX;extended properties=">
            <x15:dbTables>
              <x15:dbTable name="fOPEX"/>
            </x15:dbTables>
          </x15:oledbPr>
        </x15:connection>
      </ext>
    </extLst>
  </connection>
  <connection id="14" xr16:uid="{00000000-0015-0000-FFFF-FFFF0D000000}" keepAlive="1" name="Query - fPrihodiOstanati" description="Connection to the 'fPrihodiOstanati' query in the workbook." type="5" refreshedVersion="0" background="1">
    <dbPr connection="provider=Microsoft.Mashup.OleDb.1;data source=$Workbook$;location=fPrihodiOstanati;extended properties=" command="SELECT * FROM [fPrihodiOstanati]"/>
  </connection>
  <connection id="15" xr16:uid="{00000000-0015-0000-FFFF-FFFF0E000000}" keepAlive="1" name="Query - fPrihodiRashodiFinPlan" description="Connection to the 'fPrihodiRashodiFinPlan' query in the workbook." type="5" refreshedVersion="6">
    <dbPr connection="provider=Microsoft.Mashup.OleDb.1;data source=$Workbook$;location=fPrihodiRashodiFinPlan;extended properties=" command="SELECT * FROM [fPrihodiRashodiFinPlan]"/>
  </connection>
  <connection id="16" xr16:uid="{00000000-0015-0000-FFFF-FFFF0F000000}" keepAlive="1" name="Query - fPrihodiRegistri" description="Connection to the 'fPrihodiRegistri' query in the workbook." type="5" refreshedVersion="0" background="1">
    <dbPr connection="provider=Microsoft.Mashup.OleDb.1;data source=$Workbook$;location=fPrihodiRegistri;extended properties=" command="SELECT * FROM [fPrihodiRegistri]"/>
  </connection>
  <connection id="17" xr16:uid="{00000000-0015-0000-FFFF-FFFF10000000}" keepAlive="1" name="Query - fVkupniPrihodiFinPlan" description="Connection to the 'fVkupniPrihodiFinPlan' query in the workbook." type="5" refreshedVersion="0" background="1">
    <dbPr connection="provider=Microsoft.Mashup.OleDb.1;data source=$Workbook$;location=fVkupniPrihodiFinPlan;extended properties=" command="SELECT * FROM [fVkupniPrihodiFinPlan]"/>
  </connection>
  <connection id="18" xr16:uid="{00000000-0015-0000-FFFF-FFFF11000000}" keepAlive="1" name="Query - fVkupniRashodiFinPlan" description="Connection to the 'fVkupniRashodiFinPlan' query in the workbook." type="5" refreshedVersion="0" background="1">
    <dbPr connection="provider=Microsoft.Mashup.OleDb.1;data source=$Workbook$;location=fVkupniRashodiFinPlan;extended properties=" command="SELECT * FROM [fVkupniRashodiFinPlan]"/>
  </connection>
  <connection id="19" xr16:uid="{00000000-0015-0000-FFFF-FFFF12000000}" name="Query - OPEXAnaliza" description="Connection to the 'OPEXAnaliza' query in the workbook." type="100" refreshedVersion="6" minRefreshableVersion="5">
    <extLst>
      <ext xmlns:x15="http://schemas.microsoft.com/office/spreadsheetml/2010/11/main" uri="{DE250136-89BD-433C-8126-D09CA5730AF9}">
        <x15:connection id="a1c0a956-aeb8-4c36-845f-a49b4da2b9a6">
          <x15:oledbPr connection="provider=Microsoft.Mashup.OleDb.1;data source=$Workbook$;location=OPEXAnaliza;extended properties=">
            <x15:dbTables>
              <x15:dbTable name="OPEXAnaliza"/>
            </x15:dbTables>
          </x15:oledbPr>
        </x15:connection>
      </ext>
    </extLst>
  </connection>
  <connection id="20" xr16:uid="{00000000-0015-0000-FFFF-FFFF13000000}" name="Query - rArtikli_HR_Analiza" description="Connection to the 'rArtikli_HR_Analiza' query in the workbook." type="100" refreshedVersion="6" minRefreshableVersion="5">
    <extLst>
      <ext xmlns:x15="http://schemas.microsoft.com/office/spreadsheetml/2010/11/main" uri="{DE250136-89BD-433C-8126-D09CA5730AF9}">
        <x15:connection id="b2ccfd40-7587-4567-9b29-c8b217cd9499">
          <x15:oledbPr connection="provider=Microsoft.Mashup.OleDb.1;data source=$Workbook$;location=rArtikli_HR_Analiza;extended properties=">
            <x15:dbTables>
              <x15:dbTable name="rArtikli_HR_Analiza"/>
            </x15:dbTables>
          </x15:oledbPr>
        </x15:connection>
      </ext>
    </extLst>
  </connection>
  <connection id="21" xr16:uid="{00000000-0015-0000-FFFF-FFFF14000000}" name="Query - rArtikliAnaliza" description="Connection to the 'rArtikliAnaliza' query in the workbook." type="100" refreshedVersion="6" minRefreshableVersion="5">
    <extLst>
      <ext xmlns:x15="http://schemas.microsoft.com/office/spreadsheetml/2010/11/main" uri="{DE250136-89BD-433C-8126-D09CA5730AF9}">
        <x15:connection id="f5cff6c5-04de-4dd7-bdad-2f9bbb05f5ed">
          <x15:oledbPr connection="provider=Microsoft.Mashup.OleDb.1;data source=$Workbook$;location=rArtikliAnaliza;extended properties=">
            <x15:dbTables>
              <x15:dbTable name="rArtikliAnaliza"/>
            </x15:dbTables>
          </x15:oledbPr>
        </x15:connection>
      </ext>
    </extLst>
  </connection>
  <connection id="22" xr16:uid="{00000000-0015-0000-FFFF-FFFF15000000}" keepAlive="1" name="ThisWorkbookDataModel" description="Data Model" type="5" refreshedVersion="6" minRefreshableVersion="5">
    <dbPr connection="Data Model Connection" command="Model" commandType="1"/>
    <olapPr sendLocale="1" rowDrillCount="1000"/>
    <extLst>
      <ext xmlns:x15="http://schemas.microsoft.com/office/spreadsheetml/2010/11/main" uri="{DE250136-89BD-433C-8126-D09CA5730AF9}">
        <x15:connection id="" model="1"/>
      </ext>
    </extLst>
  </connection>
  <connection id="23" xr16:uid="{00000000-0015-0000-FFFF-FFFF16000000}" keepAlive="1" name="ThisWorkbookDataModel1" description="Data Model" type="5" refreshedVersion="5" minRefreshableVersion="5" background="1">
    <dbPr connection="Data Model Connection" command="AccountingDataCSV" commandType="3"/>
    <extLst>
      <ext xmlns:x15="http://schemas.microsoft.com/office/spreadsheetml/2010/11/main" uri="{DE250136-89BD-433C-8126-D09CA5730AF9}">
        <x15:connection id="" model="1"/>
      </ext>
    </extLst>
  </connection>
</connections>
</file>

<file path=xl/metadata.xml><?xml version="1.0" encoding="utf-8"?>
<metadata xmlns="http://schemas.openxmlformats.org/spreadsheetml/2006/main">
  <metadataTypes count="1">
    <metadataType name="XLMDX" minSupportedVersion="120000" copy="1" pasteAll="1" pasteValues="1" merge="1" splitFirst="1" rowColShift="1" clearFormats="1" clearComments="1" assign="1" coerce="1"/>
  </metadataTypes>
  <metadataStrings count="223">
    <s v="ThisWorkbookDataModel"/>
    <s v="[Calendar].[Година].&amp;[2018]"/>
    <s v="[Calendar].[Година].&amp;[2017]"/>
    <s v="[Calendar].[Година].&amp;[2019]"/>
    <s v="[fActualAndBudget].[ReportType].&amp;[План]"/>
    <s v="[fActualAndBudget].[ReportType].&amp;[Остварено]"/>
    <s v="[Calendar].[Месец].&amp;[Nov]"/>
    <s v="[Calendar].[Месец].&amp;[Mar]"/>
    <s v="[Calendar].[Месец].&amp;[Aug]"/>
    <s v="[Calendar].[Месец].&amp;[Dec]"/>
    <s v="[Calendar].[Месец].&amp;[Apr]"/>
    <s v="[Calendar].[Месец].&amp;[Sep]"/>
    <s v="[Calendar].[Месец].&amp;[May]"/>
    <s v="[Calendar].[Месец].&amp;[Jan]"/>
    <s v="[Calendar].[Месец].&amp;[Oct]"/>
    <s v="[Calendar].[Месец].&amp;[Feb]"/>
    <s v="[Calendar].[Месец].&amp;[Jul]"/>
    <s v="[Calendar].[Месец].&amp;[Jun]"/>
    <s v="[fActualAndBudget].[ReportType].&amp;[Предвидување]"/>
    <s v="[Calendar].[MMM-YYYY].&amp;[Nov-2018]"/>
    <s v="[Measures].[Sum of Износ (илјади)]"/>
    <s v="[Measures].[Sum of Износ]"/>
    <s v="[Calendar].[Година].&amp;[2020]"/>
    <s v="{[fActualAndBudget].[ReportType].&amp;[План]}"/>
    <s v="{[fActualAndBudget].[ObrazecIme].&amp;[Finansiski plan_Bilans na uspeh]}"/>
    <s v="[Calendar].[Месец].[All]"/>
    <s v="[fActualAndBudget].[StavkaKategorija].&amp;[2.37. Останати оперативни расходи]"/>
    <s v="[fActualAndBudget].[StavkaImeMK].&amp;[Транспортни услуги]"/>
    <s v="[fActualAndBudget].[StavkaKategorija].&amp;[2.32. Потрошени суровини и материјали]"/>
    <s v="[fActualAndBudget].[StavkaKategorija].&amp;[2.29. Приходи од продажба]"/>
    <s v="[fActualAndBudget].[StavkaImeMK].&amp;[Приходи од Регистар на лизинг]"/>
    <s v="[fActualAndBudget].[StavkaImeMK].&amp;[Премии за осигурување]"/>
    <s v="[fActualAndBudget].[StavkaKategorija].&amp;[2.30. Останати оперативни приходи]"/>
    <s v="[fActualAndBudget].[StavkaImeMK].&amp;[Приходи од закуп]"/>
    <s v="[fActualAndBudget].[StavkaImeMK].&amp;[Останати услуги]"/>
    <s v="[fActualAndBudget].[StavkaImeMK].&amp;[Приходи од регистар на директни странски инвестиции]"/>
    <s v="[fActualAndBudget].[StavkaKategorija].&amp;[2.33. Трошоци за вработените]"/>
    <s v="[fActualAndBudget].[StavkaImeMK].&amp;[Надомест на трошоци на вработените, подароци и помошти]"/>
    <s v="[fActualAndBudget].[StavkaImeMK].&amp;[Останати нематеријални трошоци]"/>
    <s v="[fActualAndBudget].[StavkaImeMK].&amp;[Приходи од трговски регистар]"/>
    <s v="[fActualAndBudget].[StavkaImeMK].&amp;[Приходи од прекршочна постапка]"/>
    <s v="[fActualAndBudget].[StavkaImeMK].&amp;[Наемнини и лизинг]"/>
    <s v="[fActualAndBudget].[StavkaImeMK].&amp;[Потрошок на ситен инвентар и автогуми]"/>
    <s v="[fActualAndBudget].[StavkaImeMK].&amp;[Приходи од интернет дистрибутивен систем]"/>
    <s v="[fActualAndBudget].[StavkaImeMK].&amp;[Надворешни услуги]"/>
    <s v="[fActualAndBudget].[StavkaImeMK].&amp;[Приходи од регистрите за кривични санкции, пресуди и др.]"/>
    <s v="[fActualAndBudget].[StavkaImeMK].&amp;[Дневници за службени патувања и патни трошоци]"/>
    <s v="[fActualAndBudget].[StavkaImeMK].&amp;[Приходи од годишни сметки]"/>
    <s v="[fActualAndBudget].[StavkaKategorija].&amp;[2.40. Приходи од финансирање]"/>
    <s v="[fActualAndBudget].[StavkaImeMK].&amp;[Приходи од камати]"/>
    <s v="[fActualAndBudget].[StavkaImeMK].&amp;[Приходи од странство]"/>
    <s v="[fActualAndBudget].[StavkaImeMK].&amp;[Приходи од заложен регистар]"/>
    <s v="[fActualAndBudget].[StavkaImeMK].&amp;[Услуги за одржување и заштита]"/>
    <s v="[fActualAndBudget].[StavkaImeMK].&amp;[Потрошени суровини и материјали]"/>
    <s v="[fActualAndBudget].[StavkaImeMK].&amp;[Приходи од Регистар на резиденти и нерезиденти]"/>
    <s v="[fActualAndBudget].[StavkaImeMK].&amp;[Потрошени резервни делови]"/>
    <s v="[fActualAndBudget].[StavkaImeMK].&amp;[Трошоци за промоција,пропаганда, реклама, репрезентација и спонзорство]"/>
    <s v="[fActualAndBudget].[StavkaImeMK].&amp;[Даноци,чланарини и други давачки кои не зависат од резултатот]"/>
    <s v="[fActualAndBudget].[StavkaImeMK].&amp;[Потрoшена енергија и гориво за возила]"/>
    <s v="[fActualAndBudget].[StavkaImeMK].&amp;[Приходи од регистар на недвижности]"/>
    <s v="[fActualAndBudget].[StavkaImeMK].&amp;[Банкарски услуги и трошоци за платен промет]"/>
    <s v="[fActualAndBudget].[StavkaKategorija].&amp;[2.34. Амортизација на материјални средства]"/>
    <s v="[fActualAndBudget].[StavkaKategorija].&amp;[2.41. Расходи од финансирање]"/>
    <s v="[fActualAndBudget].[StavkaImeMK].&amp;[Вонредни невообичаени приходи]"/>
    <s v="[fActualAndBudget].[StavkaImeMK].&amp;[Приходи од курсни разлики]"/>
    <s v="[fActualAndBudget].[StavkaKategorija].&amp;[2.35. Вредносно усогласување на тековни средства]"/>
    <s v="[fActualAndBudget].[StavkaImeMK].&amp;[Приходи од продажба на подвижен имот]"/>
    <s v="[fActualAndBudget].[StavkaImeMK].&amp;[Лиценци за разни софтвери (едногодишни, обновливи)]"/>
    <s v="[fActualAndBudget].[StavkaImeMK].&amp;[Приходи од донации]"/>
    <s v="[fActualAndBudget].[StavkaImeMK].&amp;[Казни, пенали и надомест на штети затезни камати]"/>
    <s v="[fActualAndBudget].[StavkaImeMK].&amp;[Други неспомнати приходи]"/>
    <s v="[fActualAndBudget].[StavkaImeMK].&amp;[Приходи од регистар на задолжница]"/>
    <s v="[fActualAndBudget].[StavkaImeMK].&amp;[Загуби и кусоци]"/>
    <s v="[fActualAndBudget].[StavkaImeMK].&amp;[Курсни разлики]"/>
    <s v="[fActualAndBudget].[StavkaImeMK].&amp;[Останати расходи]"/>
    <s v="[fActualAndBudget].[StavkaGrupa].&amp;[3.1. Приходи од дејноста]"/>
    <s v="[fActualAndBudget].[StavkaGrupa].&amp;[4.1. Расходи од дејноста]"/>
    <s v="[fActualAndBudget].[StavkaImeMK].&amp;[Амортизација по минимални стапки]"/>
    <s v="[fActualAndBudget].[StavkaGrupa].&amp;[3.2. Останати приходи]"/>
    <s v="[fActualAndBudget].[StavkaImeMK].&amp;[Капитална добивка од продажба на материјални и неметеријални средства]"/>
    <s v="[fActualAndBudget].[StavkaGrupa].&amp;[4.2. Останати расходи]"/>
    <s v="{[fActualAndBudget].[ReportType].&amp;[Предвидување]}"/>
    <s v="[fActualAndBudget].[StavkaImeMK].&amp;[Вредносно усогласување на тековни и нетековни средства]"/>
    <s v="{[fActualAndBudget].[ObrazecIme].&amp;[Finansiski plan_Bilans na sostojba]}"/>
    <s v="[fActualAndBudget].[StavkaKategorija].&amp;[1.1. Парични средства]"/>
    <s v="[fActualAndBudget].[StavkaKategorija].&amp;[1.2. Побарувања]"/>
    <s v="[fActualAndBudget].[StavkaKategorija].&amp;[1.3. Залихи]"/>
    <s v="[fActualAndBudget].[StavkaKategorija].&amp;[1.22. Акумулирана добивка]"/>
    <s v="[fActualAndBudget].[StavkaKategorija].&amp;[1.21. Капитал]"/>
    <s v="[fActualAndBudget].[StavkaKategorija].&amp;[1.9. Нематеријални средства]"/>
    <s v="[fActualAndBudget].[StavkaKategorija].&amp;[1.7. Материјални средства и вложувања во недвижности]"/>
    <s v="[fActualAndBudget].[StavkaKategorija].&amp;[1.28. Вонбилансна пасива]"/>
    <s v="[fActualAndBudget].[StavkaKategorija].&amp;[1.17. Долгорочни обврски]"/>
    <s v="[fActualAndBudget].[StavkaKategorija].&amp;[1.15. Одложено плаќање на трошоци и приходи (ПВР)]"/>
    <s v="[fActualAndBudget].[StavkaKategorija].&amp;[1.23. Резерви]"/>
    <s v="[fActualAndBudget].[StavkaKategorija].&amp;[1.14. Краткорочни обврски]"/>
    <s v="[fActualAndBudget].[StavkaKategorija].&amp;[1.25. Добивка / Загуба за деловната година]"/>
    <s v="[fActualAndBudget].[StavkaKategorija].&amp;[1.13. Вонбилансна актива]"/>
    <s v="[CAPEX].[Број на јавна набавка (план)].[All]"/>
    <s v="[Measures].[Sum of Износ 2]"/>
    <s v="{[Calendar].[Година].&amp;[2019]}"/>
    <s v="[CAPEX].[Конто Средства].[All]"/>
    <s v="[Calendar].[Година].&amp;[2021]"/>
    <s v="{[fActualAndBudget].[ReportType].&amp;[Остварено]}"/>
    <s v="[fActualAndBudget].[ObrazecIme].&amp;[Finansiski plan_Bilans na sostojba]"/>
    <s v="[fActualAndBudget].[StavkaImeMK].&amp;[Софтвер]"/>
    <s v="[fActualAndBudget].[StavkaImeMK].&amp;[Нематеријални средства во подготовка]"/>
    <s v="[fActualAndBudget].[StavkaImeMK].&amp;[Побарувања за аванси за материјални исредства]"/>
    <s v="[fActualAndBudget].[StavkaImeMK].&amp;[Реинвестирана добивка]"/>
    <s v="[fActualAndBudget].[StavkaImeMK].&amp;[Останати тековни обврски]"/>
    <s v="[fActualAndBudget].[StavkaImeMK].&amp;[Останати резерви - резерви за развој]"/>
    <s v="[fActualAndBudget].[StavkaImeMK].&amp;[Обврски спрема државата]"/>
    <s v="[fActualAndBudget].[StavkaImeMK].&amp;[Залихи на ситен инвентар и авто гуми]"/>
    <s v="[fActualAndBudget].[StavkaImeMK].&amp;[Побарувања од државата]"/>
    <s v="[fActualAndBudget].[StavkaImeMK].&amp;[Жиро сметки]"/>
    <s v="[fActualAndBudget].[StavkaImeMK].&amp;[Залихи на резервни делови]"/>
    <s v="[fActualAndBudget].[StavkaImeMK].&amp;[Побарувања од вработените]"/>
    <s v="[fActualAndBudget].[StavkaImeMK].&amp;[Готовина странска валута]"/>
    <s v="[fActualAndBudget].[StavkaImeMK].&amp;[Недвижности]"/>
    <s v="[fActualAndBudget].[StavkaImeMK].&amp;[Патнички автомобили]"/>
    <s v="[fActualAndBudget].[StavkaImeMK].&amp;[Останати материјални основни средства]"/>
    <s v="[fActualAndBudget].[StavkaImeMK].&amp;[Залихи на канцелариски и останат материјал]"/>
    <s v="[fActualAndBudget].[StavkaImeMK].&amp;[Законска резерва]"/>
    <s v="[fActualAndBudget].[StavkaImeMK].&amp;[Краткорочни финансиски побарувања]"/>
    <s v="[fActualAndBudget].[StavkaImeMK].&amp;[Обврски кон добавувачи во земјата]"/>
    <s v="[fActualAndBudget].[StavkaImeMK].&amp;[Готовина домашна валута]"/>
    <s v="[fActualAndBudget].[StavkaImeMK].&amp;[Вонбилансна актива]"/>
    <s v="[fActualAndBudget].[StavkaImeMK].&amp;[Вонбилансна пасива]"/>
    <s v="[fActualAndBudget].[StavkaImeMK].&amp;[Добивка/ Загуба за деловната година]"/>
    <s v="[fActualAndBudget].[StavkaImeMK].&amp;[Одложено плаќање на трошоци и признавање на приходи (ПВР)]"/>
    <s v="[fActualAndBudget].[StavkaImeMK].&amp;[Обврски кон вработените]"/>
    <s v="[fActualAndBudget].[StavkaImeMK].&amp;[Компјутерска и останата опрема]"/>
    <s v="[fActualAndBudget].[StavkaImeMK].&amp;[Обврски за даноци и придонеси]"/>
    <s v="[fActualAndBudget].[StavkaImeMK].&amp;[Канцелариски мебел]"/>
    <s v="[fActualAndBudget].[StavkaImeMK].&amp;[Инвестиции во тек - недвижности]"/>
    <s v="[fActualAndBudget].[StavkaImeMK].&amp;[Долгорочни финансиски обврски]"/>
    <s v="[fActualAndBudget].[StavkaImeMK].&amp;[Акумулирана добивка]"/>
    <s v="[fActualAndBudget].[StavkaImeMK].&amp;[Државен капитал]"/>
    <s v="[Amortizacija].[Конто].&amp;[43030]"/>
    <s v="[CAPEX].[Конто Средства].&amp;[0030]"/>
    <s v="[Amortizacija].[Конто].&amp;[43134]"/>
    <s v="[CAPEX].[Број на јавна набавка (план)].&amp;[2021-011]"/>
    <s v="[CAPEX].[Број на јавна набавка (план)].&amp;[2021-012]"/>
    <s v="[CAPEX].[Број на јавна набавка (план)].&amp;[2021-013]"/>
    <s v="[Amortizacija].[Конто].&amp;[431001]"/>
    <s v="[rArtikli_HR_Analiza].[StavkaKategorija.1].&amp;[2.37. Останати оперативни расходи]"/>
    <s v="[Calendar].[Година].&amp;[2022]"/>
    <s v="{[rArtikli_HR_Analiza].[ObrazecIme].[All]}"/>
    <s v="[rArtikli_HR_Analiza].[StavkaKategorija.1].&amp;[2.32. Потрошени суровини и материјали]"/>
    <s v="{[fActualAndBudget].[ReportType].[All]}"/>
    <s v="[fActualAndBudget].[StavkaImeMK].&amp;[Приходи од регистар на вистински сопственици]"/>
    <s v="[CAPEX].[Очекуван датум на плаќање].&amp;[2022-12-01T00:00:00]"/>
    <s v="[CAPEX].[Број на јавна набавка (план)].&amp;[2022-002]"/>
    <s v="[CAPEX].[Број на јавна набавка (план)].&amp;[2022-003]"/>
    <s v="[CAPEX].[Број на јавна набавка (план)].&amp;[2021-014]"/>
    <s v="[CAPEX].[Број на јавна набавка (план)].&amp;[2022-006]"/>
    <s v="[CAPEX].[Број на јавна набавка (план)].&amp;[2022-007]"/>
    <s v="[CAPEX].[Број на јавна набавка (план)].&amp;[2022-013]"/>
    <s v="[CAPEX].[Број на јавна набавка (план)].&amp;[2022-016]"/>
    <s v="[CAPEX].[Број на јавна набавка (план)].&amp;[2022-005]"/>
    <s v="[CAPEX].[Конто Средства].&amp;[01213]"/>
    <s v="[Calendar].[Date Hierarchy].[Year].&amp;[2021]"/>
    <s v="{[fActualAndBudget].[Конто].&amp;[43010],[fActualAndBudget].[Конто].&amp;[43011],[fActualAndBudget].[Конто].&amp;[43020],[fActualAndBudget].[Конто].&amp;[43030],[fActualAndBudget].[Конто].&amp;[43031],[fActualAndBudget].[Конто].&amp;[43132],[fActualAndBudget].[Конто].&amp;[43133],[fActualAndBudget].[Конто].&amp;[43134],[fActualAndBudget].[Конто].&amp;[43136],[fActualAndBudget].[Конто].&amp;[43139],[fActualAndBudget].[Конто].&amp;[43155],[fActualAndBudget].[Конто].&amp;[43211],[fActualAndBudget].[Конто].&amp;[431001],[fActualAndBudget].[Конто].&amp;[431002]}"/>
    <s v="{[Calendar].[Година].&amp;[2022]}"/>
    <s v="[CAPEX].[Очекуван датум на плаќање].&amp;[2023-01-01T00:00:00]"/>
    <s v="[CAPEX].[Очекуван датум за ставање во употреба (месец)].&amp;[2023-01-01T00:00:00]"/>
    <s v="[CAPEX].[Очекуван датум за ставање во употреба (месец)].&amp;[2023-03-01T00:00:00]"/>
    <s v="[CAPEX].[Очекуван датум за ставање во употреба (месец)].&amp;[2023-10-01T00:00:00]"/>
    <s v="{[rArtikli_HR_Analiza].[Период].[All]}"/>
    <s v="[CAPEX].[Очекуван датум на плаќање].&amp;[2023-09-01T00:00:00]"/>
    <s v="[Amortizacija].[Период].&amp;[2023-10-01T00:00:00]"/>
    <s v="[CAPEX].[Очекуван датум за ставање во употреба (месец)].&amp;[2023-06-01T00:00:00]"/>
    <s v="[Amortizacija].[Период].&amp;[2023-07-01T00:00:00]"/>
    <s v="[CAPEX].[Очекуван датум за ставање во употреба (месец)].&amp;[2023-09-01T00:00:00]"/>
    <s v="[CAPEX].[Очекуван датум на плаќање].&amp;[2023-06-01T00:00:00]"/>
    <s v="[Amortizacija].[Период].&amp;[2023-04-01T00:00:00]"/>
    <s v="[Amortizacija].[Период].&amp;[2023-05-01T00:00:00]"/>
    <s v="[CAPEX].[Очекуван датум на плаќање].&amp;[2023-12-01T00:00:00]"/>
    <s v="[Amortizacija].[Период].&amp;[2023-11-01T00:00:00]"/>
    <s v="[CAPEX].[Очекуван датум за ставање во употреба (месец)].&amp;[2023-05-01T00:00:00]"/>
    <s v="[CAPEX].[Очекуван датум на плаќање].&amp;[2023-02-01T00:00:00]"/>
    <s v="[Amortizacija].[Период].&amp;[2023-08-01T00:00:00]"/>
    <s v="[CAPEX].[Очекуван датум за ставање во употреба (месец)].&amp;[2023-04-01T00:00:00]"/>
    <s v="[Amortizacija].[Период].&amp;[2023-09-01T00:00:00]"/>
    <s v="[Amortizacija].[Период].&amp;[2023-12-01T00:00:00]"/>
    <s v="[Amortizacija].[Период].&amp;[2023-06-01T00:00:00]"/>
    <s v="[Calendar].[Квартал].&amp;[2023-06-30T00:00:00]"/>
    <s v="[Calendar].[Квартал].&amp;[2023-03-31T00:00:00]"/>
    <s v="[Calendar].[Квартал].&amp;[2023-09-30T00:00:00]"/>
    <s v="[Calendar].[Квартал].&amp;[2023-12-31T00:00:00]"/>
    <s v="[Calendar].[Година].&amp;[2023]"/>
    <s v="{[Calendar].[Година].&amp;[2023]}"/>
    <s v="[CAPEX].[Очекуван датум на плаќање].&amp;[2023-10-01T00:00:00]"/>
    <s v="[CAPEX].[Очекуван датум на плаќање].&amp;[2023-04-01T00:00:00]"/>
    <s v="[CAPEX].[Очекуван датум на плаќање].&amp;[2023-03-01T00:00:00]"/>
    <s v="[CAPEX].[Очекуван датум на плаќање].&amp;[2023-11-01T00:00:00]"/>
    <s v="[CAPEX].[Очекуван датум за ставање во употреба (месец)].&amp;[2023-08-01T00:00:00]"/>
    <s v="[CAPEX].[Очекуван датум на плаќање].&amp;[2023-05-01T00:00:00]"/>
    <s v="[CAPEX].[Очекуван датум за ставање во употреба (месец)].&amp;[2023-11-01T00:00:00]"/>
    <s v="[CAPEX].[Очекуван датум на плаќање].&amp;[2023-08-01T00:00:00]"/>
    <s v="[Amortizacija].[Период].&amp;[2023-03-01T00:00:00]"/>
    <s v="[Amortizacija].[Период].&amp;[2023-02-01T00:00:00]"/>
    <s v="[Amortizacija].[Период].&amp;[2023-01-01T00:00:00]"/>
    <s v="[CAPEX].[Конто Средства].&amp;[01363]"/>
    <s v="[Amortizacija].[Конто].&amp;[43136]"/>
    <s v="[CAPEX].[Број на јавна набавка (план)].&amp;[2021-017]"/>
    <s v="[CAPEX].[Број на јавна набавка (план)].&amp;[2023-001]"/>
    <s v="[CAPEX].[Број на јавна набавка (план)].&amp;[2023-002]"/>
    <s v="[CAPEX].[Број на јавна набавка (план)].&amp;[2023-003]"/>
    <s v="[CAPEX].[Број на јавна набавка (план)].&amp;[2023-005]"/>
    <s v="[CAPEX].[Број на јавна набавка (план)].&amp;[2023-009]"/>
    <s v="[CAPEX].[Број на јавна набавка (план)].&amp;[2023-010]"/>
    <s v="[CAPEX].[Број на јавна набавка (план)].&amp;[2023-011]"/>
    <s v="[CAPEX].[Број на јавна набавка (план)].&amp;[2023-012]"/>
    <s v="[CAPEX].[Конто Средства].&amp;[011001]"/>
    <s v="[CAPEX].[Очекуван датум за ставање во употреба (месец)].&amp;[2023-12-01T00:00:00]"/>
    <s v="[Calendar].[Date Hierarchy].[Year].&amp;[2023]"/>
    <s v="{[fArtikliCeni].[ObrazecIme].&amp;[Finansiski plan_Bilans na uspeh]}"/>
    <s v="{[fCoveckiResursi  2].[ObrazecIme].&amp;[Finansiski plan_Bilans na uspeh]}"/>
    <s v="[CAPEX].[Број на јавна набавка (план)].&amp;[2023-013]"/>
    <s v="[CAPEX].[Број на јавна набавка (план)].&amp;[2023-014]"/>
    <s v="{[CAPEX].[Конто Средства].[All]}"/>
    <s v="[Measures].[Sum of Проценета вредност на набавка со ДДВ (денари)]"/>
  </metadataStrings>
  <mdxMetadata count="3146">
    <mdx n="0" f="m">
      <t c="2">
        <n x="3"/>
        <n x="4"/>
      </t>
    </mdx>
    <mdx n="0" f="m">
      <t c="2">
        <n x="2"/>
        <n x="5"/>
      </t>
    </mdx>
    <mdx n="0" f="m">
      <t c="2">
        <n x="1"/>
        <n x="18"/>
      </t>
    </mdx>
    <mdx n="0" f="m">
      <t c="1">
        <n x="5"/>
      </t>
    </mdx>
    <mdx n="0" f="m">
      <t c="1">
        <n x="4"/>
      </t>
    </mdx>
    <mdx n="0" f="m">
      <t c="1">
        <n x="18"/>
      </t>
    </mdx>
    <mdx n="0" f="m">
      <t c="1">
        <n x="19"/>
      </t>
    </mdx>
    <mdx n="0" f="m">
      <t c="1">
        <n x="20"/>
      </t>
    </mdx>
    <mdx n="0" f="m">
      <t c="1">
        <n x="21"/>
      </t>
    </mdx>
    <mdx n="0" f="m">
      <t c="1">
        <n x="22"/>
      </t>
    </mdx>
    <mdx n="0" f="s">
      <ms ns="23" c="0"/>
    </mdx>
    <mdx n="0" f="s">
      <ms ns="24" c="0"/>
    </mdx>
    <mdx n="0" f="m">
      <t c="1">
        <n x="13"/>
      </t>
    </mdx>
    <mdx n="0" f="m">
      <t c="1">
        <n x="15"/>
      </t>
    </mdx>
    <mdx n="0" f="m">
      <t c="1">
        <n x="7"/>
      </t>
    </mdx>
    <mdx n="0" f="m">
      <t c="1">
        <n x="10"/>
      </t>
    </mdx>
    <mdx n="0" f="m">
      <t c="1">
        <n x="12"/>
      </t>
    </mdx>
    <mdx n="0" f="m">
      <t c="1">
        <n x="17"/>
      </t>
    </mdx>
    <mdx n="0" f="m">
      <t c="1">
        <n x="16"/>
      </t>
    </mdx>
    <mdx n="0" f="m">
      <t c="1">
        <n x="8"/>
      </t>
    </mdx>
    <mdx n="0" f="m">
      <t c="1">
        <n x="11"/>
      </t>
    </mdx>
    <mdx n="0" f="m">
      <t c="1">
        <n x="14"/>
      </t>
    </mdx>
    <mdx n="0" f="m">
      <t c="1">
        <n x="6"/>
      </t>
    </mdx>
    <mdx n="0" f="m">
      <t c="1">
        <n x="9"/>
      </t>
    </mdx>
    <mdx n="0" f="m">
      <t c="1">
        <n x="25"/>
      </t>
    </mdx>
    <mdx n="0" f="m">
      <t c="2">
        <n x="26"/>
        <n x="27"/>
      </t>
    </mdx>
    <mdx n="0" f="m">
      <t c="1">
        <n x="28"/>
      </t>
    </mdx>
    <mdx n="0" f="m">
      <t c="2">
        <n x="29"/>
        <n x="30"/>
      </t>
    </mdx>
    <mdx n="0" f="m">
      <t c="2">
        <n x="26"/>
        <n x="31"/>
      </t>
    </mdx>
    <mdx n="0" f="m">
      <t c="2">
        <n x="32"/>
        <n x="33"/>
      </t>
    </mdx>
    <mdx n="0" f="m">
      <t c="2">
        <n x="26"/>
        <n x="34"/>
      </t>
    </mdx>
    <mdx n="0" f="m">
      <t c="2">
        <n x="29"/>
        <n x="35"/>
      </t>
    </mdx>
    <mdx n="0" f="m">
      <t c="1">
        <n x="32"/>
      </t>
    </mdx>
    <mdx n="0" f="m">
      <t c="2">
        <n x="36"/>
        <n x="37"/>
      </t>
    </mdx>
    <mdx n="0" f="m">
      <t c="2">
        <n x="26"/>
        <n x="38"/>
      </t>
    </mdx>
    <mdx n="0" f="m">
      <t c="1">
        <n x="36"/>
      </t>
    </mdx>
    <mdx n="0" f="m">
      <t c="2">
        <n x="29"/>
        <n x="39"/>
      </t>
    </mdx>
    <mdx n="0" f="m">
      <t c="2">
        <n x="29"/>
        <n x="40"/>
      </t>
    </mdx>
    <mdx n="0" f="m">
      <t c="2">
        <n x="26"/>
        <n x="41"/>
      </t>
    </mdx>
    <mdx n="0" f="m">
      <t c="2">
        <n x="28"/>
        <n x="42"/>
      </t>
    </mdx>
    <mdx n="0" f="m">
      <t c="2">
        <n x="29"/>
        <n x="43"/>
      </t>
    </mdx>
    <mdx n="0" f="m">
      <t c="2">
        <n x="26"/>
        <n x="44"/>
      </t>
    </mdx>
    <mdx n="0" f="m">
      <t c="2">
        <n x="29"/>
        <n x="45"/>
      </t>
    </mdx>
    <mdx n="0" f="m">
      <t c="2">
        <n x="26"/>
        <n x="46"/>
      </t>
    </mdx>
    <mdx n="0" f="m">
      <t c="2">
        <n x="29"/>
        <n x="47"/>
      </t>
    </mdx>
    <mdx n="0" f="m">
      <t c="2">
        <n x="48"/>
        <n x="49"/>
      </t>
    </mdx>
    <mdx n="0" f="m">
      <t c="2">
        <n x="29"/>
        <n x="50"/>
      </t>
    </mdx>
    <mdx n="0" f="m">
      <t c="1">
        <n x="48"/>
      </t>
    </mdx>
    <mdx n="0" f="m">
      <t c="2">
        <n x="29"/>
        <n x="51"/>
      </t>
    </mdx>
    <mdx n="0" f="m">
      <t c="2">
        <n x="26"/>
        <n x="52"/>
      </t>
    </mdx>
    <mdx n="0" f="m">
      <t c="2">
        <n x="28"/>
        <n x="53"/>
      </t>
    </mdx>
    <mdx n="0" f="m">
      <t c="2">
        <n x="29"/>
        <n x="54"/>
      </t>
    </mdx>
    <mdx n="0" f="m">
      <t c="2">
        <n x="28"/>
        <n x="55"/>
      </t>
    </mdx>
    <mdx n="0" f="m">
      <t c="2">
        <n x="26"/>
        <n x="56"/>
      </t>
    </mdx>
    <mdx n="0" f="m">
      <t c="2">
        <n x="26"/>
        <n x="57"/>
      </t>
    </mdx>
    <mdx n="0" f="m">
      <t c="2">
        <n x="28"/>
        <n x="58"/>
      </t>
    </mdx>
    <mdx n="0" f="m">
      <t c="2">
        <n x="29"/>
        <n x="59"/>
      </t>
    </mdx>
    <mdx n="0" f="m">
      <t c="1">
        <n x="29"/>
      </t>
    </mdx>
    <mdx n="0" f="m">
      <t c="2">
        <n x="26"/>
        <n x="60"/>
      </t>
    </mdx>
    <mdx n="0" f="m">
      <t c="1">
        <n x="26"/>
      </t>
    </mdx>
    <mdx n="0" f="m">
      <t c="1">
        <n x="61"/>
      </t>
    </mdx>
    <mdx n="0" f="m">
      <t c="1">
        <n x="62"/>
      </t>
    </mdx>
    <mdx n="0" f="m">
      <t c="2">
        <n x="32"/>
        <n x="63"/>
      </t>
    </mdx>
    <mdx n="0" f="m">
      <t c="2">
        <n x="48"/>
        <n x="64"/>
      </t>
    </mdx>
    <mdx n="0" f="m">
      <t c="1">
        <n x="65"/>
      </t>
    </mdx>
    <mdx n="0" f="m">
      <t c="2">
        <n x="32"/>
        <n x="66"/>
      </t>
    </mdx>
    <mdx n="0" f="m">
      <t c="2">
        <n x="26"/>
        <n x="67"/>
      </t>
    </mdx>
    <mdx n="0" f="m">
      <t c="2">
        <n x="32"/>
        <n x="68"/>
      </t>
    </mdx>
    <mdx n="0" f="m">
      <t c="2">
        <n x="26"/>
        <n x="69"/>
      </t>
    </mdx>
    <mdx n="0" f="m">
      <t c="2">
        <n x="32"/>
        <n x="70"/>
      </t>
    </mdx>
    <mdx n="0" f="m">
      <t c="2">
        <n x="29"/>
        <n x="71"/>
      </t>
    </mdx>
    <mdx n="0" f="m">
      <t c="1">
        <n x="75"/>
      </t>
    </mdx>
    <mdx n="0" f="m">
      <t c="2">
        <n x="75"/>
        <n x="47"/>
      </t>
    </mdx>
    <mdx n="0" f="m">
      <t c="2">
        <n x="75"/>
        <n x="51"/>
      </t>
    </mdx>
    <mdx n="0" f="m">
      <t c="2">
        <n x="75"/>
        <n x="43"/>
      </t>
    </mdx>
    <mdx n="0" f="m">
      <t c="2">
        <n x="75"/>
        <n x="40"/>
      </t>
    </mdx>
    <mdx n="0" f="m">
      <t c="2">
        <n x="75"/>
        <n x="35"/>
      </t>
    </mdx>
    <mdx n="0" f="m">
      <t c="2">
        <n x="75"/>
        <n x="30"/>
      </t>
    </mdx>
    <mdx n="0" f="m">
      <t c="2">
        <n x="75"/>
        <n x="59"/>
      </t>
    </mdx>
    <mdx n="0" f="m">
      <t c="2">
        <n x="75"/>
        <n x="54"/>
      </t>
    </mdx>
    <mdx n="0" f="m">
      <t c="2">
        <n x="75"/>
        <n x="45"/>
      </t>
    </mdx>
    <mdx n="0" f="m">
      <t c="2">
        <n x="75"/>
        <n x="50"/>
      </t>
    </mdx>
    <mdx n="0" f="m">
      <t c="2">
        <n x="75"/>
        <n x="39"/>
      </t>
    </mdx>
    <mdx n="0" f="m">
      <t c="2">
        <n x="76"/>
        <n x="55"/>
      </t>
    </mdx>
    <mdx n="0" f="m">
      <t c="2">
        <n x="76"/>
        <n x="57"/>
      </t>
    </mdx>
    <mdx n="0" f="m">
      <t c="2">
        <n x="76"/>
        <n x="58"/>
      </t>
    </mdx>
    <mdx n="0" f="m">
      <t c="2">
        <n x="76"/>
        <n x="52"/>
      </t>
    </mdx>
    <mdx n="0" f="m">
      <t c="2">
        <n x="76"/>
        <n x="34"/>
      </t>
    </mdx>
    <mdx n="0" f="m">
      <t c="2">
        <n x="76"/>
        <n x="77"/>
      </t>
    </mdx>
    <mdx n="0" f="m">
      <t c="2">
        <n x="76"/>
        <n x="31"/>
      </t>
    </mdx>
    <mdx n="0" f="m">
      <t c="2">
        <n x="78"/>
        <n x="33"/>
      </t>
    </mdx>
    <mdx n="0" f="m">
      <t c="2">
        <n x="76"/>
        <n x="56"/>
      </t>
    </mdx>
    <mdx n="0" f="m">
      <t c="2">
        <n x="76"/>
        <n x="38"/>
      </t>
    </mdx>
    <mdx n="0" f="m">
      <t c="1">
        <n x="76"/>
      </t>
    </mdx>
    <mdx n="0" f="m">
      <t c="2">
        <n x="76"/>
        <n x="27"/>
      </t>
    </mdx>
    <mdx n="0" f="m">
      <t c="2">
        <n x="76"/>
        <n x="41"/>
      </t>
    </mdx>
    <mdx n="0" f="m">
      <t c="2">
        <n x="78"/>
        <n x="49"/>
      </t>
    </mdx>
    <mdx n="0" f="m">
      <t c="2">
        <n x="76"/>
        <n x="37"/>
      </t>
    </mdx>
    <mdx n="0" f="m">
      <t c="2">
        <n x="76"/>
        <n x="42"/>
      </t>
    </mdx>
    <mdx n="0" f="m">
      <t c="2">
        <n x="76"/>
        <n x="44"/>
      </t>
    </mdx>
    <mdx n="0" f="m">
      <t c="1">
        <n x="78"/>
      </t>
    </mdx>
    <mdx n="0" f="m">
      <t c="2">
        <n x="76"/>
        <n x="53"/>
      </t>
    </mdx>
    <mdx n="0" f="m">
      <t c="2">
        <n x="76"/>
        <n x="46"/>
      </t>
    </mdx>
    <mdx n="0" f="m">
      <t c="2">
        <n x="76"/>
        <n x="60"/>
      </t>
    </mdx>
    <mdx n="0" f="m">
      <t c="2">
        <n x="78"/>
        <n x="64"/>
      </t>
    </mdx>
    <mdx n="0" f="m">
      <t c="2">
        <n x="78"/>
        <n x="68"/>
      </t>
    </mdx>
    <mdx n="0" f="m">
      <t c="2">
        <n x="78"/>
        <n x="66"/>
      </t>
    </mdx>
    <mdx n="0" f="m">
      <t c="2">
        <n x="78"/>
        <n x="79"/>
      </t>
    </mdx>
    <mdx n="0" f="m">
      <t c="2">
        <n x="78"/>
        <n x="63"/>
      </t>
    </mdx>
    <mdx n="0" f="m">
      <t c="2">
        <n x="78"/>
        <n x="70"/>
      </t>
    </mdx>
    <mdx n="0" f="m">
      <t c="2">
        <n x="80"/>
        <n x="69"/>
      </t>
    </mdx>
    <mdx n="0" f="m">
      <t c="2">
        <n x="80"/>
        <n x="73"/>
      </t>
    </mdx>
    <mdx n="0" f="m">
      <t c="2">
        <n x="80"/>
        <n x="72"/>
      </t>
    </mdx>
    <mdx n="0" f="m">
      <t c="2">
        <n x="80"/>
        <n x="74"/>
      </t>
    </mdx>
    <mdx n="0" f="m">
      <t c="2">
        <n x="62"/>
        <n x="72"/>
      </t>
    </mdx>
    <mdx n="0" f="m">
      <t c="2">
        <n x="62"/>
        <n x="73"/>
      </t>
    </mdx>
    <mdx n="0" f="m">
      <t c="2">
        <n x="62"/>
        <n x="74"/>
      </t>
    </mdx>
    <mdx n="0" f="s">
      <ms ns="81" c="0"/>
    </mdx>
    <mdx n="0" f="m">
      <t c="2">
        <n x="76"/>
        <n x="67"/>
      </t>
    </mdx>
    <mdx n="0" f="m">
      <t c="2">
        <n x="80"/>
        <n x="82"/>
      </t>
    </mdx>
    <mdx n="0" f="s">
      <ms ns="83" c="0"/>
    </mdx>
    <mdx n="0" f="m">
      <t c="1">
        <n x="84"/>
      </t>
    </mdx>
    <mdx n="0" f="m">
      <t c="1">
        <n x="85"/>
      </t>
    </mdx>
    <mdx n="0" f="m">
      <t c="1">
        <n x="86"/>
      </t>
    </mdx>
    <mdx n="0" f="m">
      <t c="1">
        <n x="87"/>
      </t>
    </mdx>
    <mdx n="0" f="m">
      <t c="1">
        <n x="88"/>
      </t>
    </mdx>
    <mdx n="0" f="m">
      <t c="1">
        <n x="89"/>
      </t>
    </mdx>
    <mdx n="0" f="m">
      <t c="1">
        <n x="90"/>
      </t>
    </mdx>
    <mdx n="0" f="m">
      <t c="1">
        <n x="91"/>
      </t>
    </mdx>
    <mdx n="0" f="m">
      <t c="1">
        <n x="92"/>
      </t>
    </mdx>
    <mdx n="0" f="m">
      <t c="1">
        <n x="93"/>
      </t>
    </mdx>
    <mdx n="0" f="m">
      <t c="1">
        <n x="94"/>
      </t>
    </mdx>
    <mdx n="0" f="m">
      <t c="1">
        <n x="95"/>
      </t>
    </mdx>
    <mdx n="0" f="m">
      <t c="1">
        <n x="96"/>
      </t>
    </mdx>
    <mdx n="0" f="m">
      <t c="1">
        <n x="97"/>
      </t>
    </mdx>
    <mdx n="0" f="m">
      <t c="1">
        <n x="98"/>
      </t>
    </mdx>
    <mdx n="0" f="m">
      <t c="1">
        <n x="99"/>
      </t>
    </mdx>
    <mdx n="0" f="s">
      <ms ns="100" c="0"/>
    </mdx>
    <mdx n="0" f="m">
      <t c="1">
        <n x="101"/>
      </t>
    </mdx>
    <mdx n="0" f="m">
      <t c="1">
        <n x="102"/>
      </t>
    </mdx>
    <mdx n="0" f="s">
      <ms ns="103" c="0"/>
    </mdx>
    <mdx n="0" f="m">
      <t c="1">
        <n x="104"/>
      </t>
    </mdx>
    <mdx n="0" f="m">
      <t c="2">
        <n x="89"/>
        <n x="105"/>
      </t>
    </mdx>
    <mdx n="0" f="m">
      <t c="2">
        <n x="89"/>
        <n x="106"/>
      </t>
    </mdx>
    <mdx n="0" f="m">
      <t c="2">
        <n x="90"/>
        <n x="107"/>
      </t>
    </mdx>
    <mdx n="0" f="m">
      <t c="2">
        <n x="94"/>
        <n x="108"/>
      </t>
    </mdx>
    <mdx n="0" f="m">
      <t c="2">
        <n x="95"/>
        <n x="109"/>
      </t>
    </mdx>
    <mdx n="0" f="m">
      <t c="2">
        <n x="94"/>
        <n x="110"/>
      </t>
    </mdx>
    <mdx n="0" f="m">
      <t c="2">
        <n x="95"/>
        <n x="111"/>
      </t>
    </mdx>
    <mdx n="0" f="m">
      <t c="2">
        <n x="86"/>
        <n x="112"/>
      </t>
    </mdx>
    <mdx n="0" f="m">
      <t c="2">
        <n x="85"/>
        <n x="113"/>
      </t>
    </mdx>
    <mdx n="0" f="m">
      <t c="2">
        <n x="84"/>
        <n x="114"/>
      </t>
    </mdx>
    <mdx n="0" f="m">
      <t c="2">
        <n x="86"/>
        <n x="115"/>
      </t>
    </mdx>
    <mdx n="0" f="m">
      <t c="2">
        <n x="85"/>
        <n x="116"/>
      </t>
    </mdx>
    <mdx n="0" f="m">
      <t c="2">
        <n x="84"/>
        <n x="117"/>
      </t>
    </mdx>
    <mdx n="0" f="m">
      <t c="2">
        <n x="90"/>
        <n x="118"/>
      </t>
    </mdx>
    <mdx n="0" f="m">
      <t c="2">
        <n x="90"/>
        <n x="119"/>
      </t>
    </mdx>
    <mdx n="0" f="m">
      <t c="2">
        <n x="90"/>
        <n x="120"/>
      </t>
    </mdx>
    <mdx n="0" f="m">
      <t c="2">
        <n x="86"/>
        <n x="121"/>
      </t>
    </mdx>
    <mdx n="0" f="m">
      <t c="2">
        <n x="94"/>
        <n x="122"/>
      </t>
    </mdx>
    <mdx n="0" f="m">
      <t c="2">
        <n x="85"/>
        <n x="123"/>
      </t>
    </mdx>
    <mdx n="0" f="m">
      <t c="2">
        <n x="95"/>
        <n x="124"/>
      </t>
    </mdx>
    <mdx n="0" f="m">
      <t c="2">
        <n x="84"/>
        <n x="125"/>
      </t>
    </mdx>
    <mdx n="0" f="m">
      <t c="2">
        <n x="97"/>
        <n x="126"/>
      </t>
    </mdx>
    <mdx n="0" f="m">
      <t c="2">
        <n x="91"/>
        <n x="127"/>
      </t>
    </mdx>
    <mdx n="0" f="m">
      <t c="2">
        <n x="96"/>
        <n x="128"/>
      </t>
    </mdx>
    <mdx n="0" f="m">
      <t c="2">
        <n x="93"/>
        <n x="129"/>
      </t>
    </mdx>
    <mdx n="0" f="m">
      <t c="2">
        <n x="95"/>
        <n x="130"/>
      </t>
    </mdx>
    <mdx n="0" f="m">
      <t c="2">
        <n x="90"/>
        <n x="131"/>
      </t>
    </mdx>
    <mdx n="0" f="m">
      <t c="2">
        <n x="95"/>
        <n x="132"/>
      </t>
    </mdx>
    <mdx n="0" f="m">
      <t c="2">
        <n x="90"/>
        <n x="133"/>
      </t>
    </mdx>
    <mdx n="0" f="m">
      <t c="2">
        <n x="90"/>
        <n x="134"/>
      </t>
    </mdx>
    <mdx n="0" f="m">
      <t c="2">
        <n x="92"/>
        <n x="135"/>
      </t>
    </mdx>
    <mdx n="0" f="m">
      <t c="2">
        <n x="87"/>
        <n x="136"/>
      </t>
    </mdx>
    <mdx n="0" f="m">
      <t c="2">
        <n x="88"/>
        <n x="137"/>
      </t>
    </mdx>
    <mdx n="0" f="m">
      <t c="1">
        <n x="138"/>
      </t>
    </mdx>
    <mdx n="0" f="m">
      <t c="1">
        <n x="139"/>
      </t>
    </mdx>
    <mdx n="0" f="m">
      <t c="1">
        <n x="140"/>
      </t>
    </mdx>
    <mdx n="0" f="m">
      <t c="1">
        <n x="141"/>
      </t>
    </mdx>
    <mdx n="0" f="m">
      <t c="1">
        <n x="142"/>
      </t>
    </mdx>
    <mdx n="0" f="m">
      <t c="1">
        <n x="143"/>
      </t>
    </mdx>
    <mdx n="0" f="m">
      <t c="1">
        <n x="144"/>
      </t>
    </mdx>
    <mdx n="0" f="m">
      <t c="1">
        <n x="145"/>
      </t>
    </mdx>
    <mdx n="0" f="m">
      <t c="1">
        <n x="146"/>
      </t>
    </mdx>
    <mdx n="0" f="s">
      <ms ns="147" c="0"/>
    </mdx>
    <mdx n="0" f="m">
      <t c="1">
        <n x="148"/>
      </t>
    </mdx>
    <mdx n="0" f="s">
      <ms ns="149" c="0"/>
    </mdx>
    <mdx n="0" f="m">
      <t c="2">
        <n x="29"/>
        <n x="150"/>
      </t>
    </mdx>
    <mdx n="0" f="m">
      <t c="2">
        <n x="75"/>
        <n x="150"/>
      </t>
    </mdx>
    <mdx n="0" f="v">
      <t c="6">
        <n x="5"/>
        <n x="104"/>
        <n x="21"/>
        <n x="84"/>
        <n x="114"/>
        <n x="22"/>
      </t>
    </mdx>
    <mdx n="0" f="v">
      <t c="6">
        <n x="5"/>
        <n x="104"/>
        <n x="21"/>
        <n x="89"/>
        <n x="105"/>
        <n x="22"/>
      </t>
    </mdx>
    <mdx n="0" f="v">
      <t c="6">
        <n x="5"/>
        <n x="104"/>
        <n x="21"/>
        <n x="97"/>
        <n x="126"/>
        <n x="22"/>
      </t>
    </mdx>
    <mdx n="0" f="v">
      <t c="6">
        <n x="5"/>
        <n x="104"/>
        <n x="21"/>
        <n x="87"/>
        <n x="136"/>
        <n x="22"/>
      </t>
    </mdx>
    <mdx n="0" f="v">
      <t c="6">
        <n x="5"/>
        <n x="104"/>
        <n x="21"/>
        <n x="85"/>
        <n x="123"/>
        <n x="22"/>
      </t>
    </mdx>
    <mdx n="0" f="v">
      <t c="5">
        <n x="5"/>
        <n x="104"/>
        <n x="21"/>
        <n x="85"/>
        <n x="22"/>
      </t>
    </mdx>
    <mdx n="0" f="v">
      <t c="6">
        <n x="5"/>
        <n x="104"/>
        <n x="21"/>
        <n x="90"/>
        <n x="133"/>
        <n x="22"/>
      </t>
    </mdx>
    <mdx n="0" f="v">
      <t c="6">
        <n x="5"/>
        <n x="104"/>
        <n x="21"/>
        <n x="90"/>
        <n x="131"/>
        <n x="22"/>
      </t>
    </mdx>
    <mdx n="0" f="v">
      <t c="6">
        <n x="5"/>
        <n x="104"/>
        <n x="21"/>
        <n x="90"/>
        <n x="118"/>
        <n x="22"/>
      </t>
    </mdx>
    <mdx n="0" f="v">
      <t c="6">
        <n x="5"/>
        <n x="104"/>
        <n x="21"/>
        <n x="96"/>
        <n x="128"/>
        <n x="22"/>
      </t>
    </mdx>
    <mdx n="0" f="v">
      <t c="6">
        <n x="5"/>
        <n x="104"/>
        <n x="21"/>
        <n x="94"/>
        <n x="122"/>
        <n x="22"/>
      </t>
    </mdx>
    <mdx n="0" f="v">
      <t c="6">
        <n x="5"/>
        <n x="104"/>
        <n x="21"/>
        <n x="84"/>
        <n x="117"/>
        <n x="22"/>
      </t>
    </mdx>
    <mdx n="0" f="v">
      <t c="6">
        <n x="5"/>
        <n x="104"/>
        <n x="21"/>
        <n x="85"/>
        <n x="116"/>
        <n x="22"/>
      </t>
    </mdx>
    <mdx n="0" f="v">
      <t c="5">
        <n x="5"/>
        <n x="104"/>
        <n x="21"/>
        <n x="89"/>
        <n x="22"/>
      </t>
    </mdx>
    <mdx n="0" f="v">
      <t c="6">
        <n x="5"/>
        <n x="104"/>
        <n x="21"/>
        <n x="95"/>
        <n x="109"/>
        <n x="22"/>
      </t>
    </mdx>
    <mdx n="0" f="v">
      <t c="6">
        <n x="5"/>
        <n x="104"/>
        <n x="21"/>
        <n x="95"/>
        <n x="111"/>
        <n x="22"/>
      </t>
    </mdx>
    <mdx n="0" f="v">
      <t c="5">
        <n x="5"/>
        <n x="104"/>
        <n x="21"/>
        <n x="95"/>
        <n x="22"/>
      </t>
    </mdx>
    <mdx n="0" f="v">
      <t c="6">
        <n x="5"/>
        <n x="104"/>
        <n x="21"/>
        <n x="90"/>
        <n x="134"/>
        <n x="22"/>
      </t>
    </mdx>
    <mdx n="0" f="v">
      <t c="6">
        <n x="5"/>
        <n x="104"/>
        <n x="21"/>
        <n x="95"/>
        <n x="130"/>
        <n x="22"/>
      </t>
    </mdx>
    <mdx n="0" f="v">
      <t c="5">
        <n x="5"/>
        <n x="104"/>
        <n x="21"/>
        <n x="84"/>
        <n x="22"/>
      </t>
    </mdx>
    <mdx n="0" f="v">
      <t c="6">
        <n x="5"/>
        <n x="104"/>
        <n x="21"/>
        <n x="94"/>
        <n x="110"/>
        <n x="22"/>
      </t>
    </mdx>
    <mdx n="0" f="v">
      <t c="6">
        <n x="5"/>
        <n x="104"/>
        <n x="21"/>
        <n x="84"/>
        <n x="125"/>
        <n x="22"/>
      </t>
    </mdx>
    <mdx n="0" f="v">
      <t c="6">
        <n x="5"/>
        <n x="104"/>
        <n x="21"/>
        <n x="86"/>
        <n x="115"/>
        <n x="22"/>
      </t>
    </mdx>
    <mdx n="0" f="v">
      <t c="6">
        <n x="5"/>
        <n x="104"/>
        <n x="21"/>
        <n x="86"/>
        <n x="112"/>
        <n x="22"/>
      </t>
    </mdx>
    <mdx n="0" f="v">
      <t c="6">
        <n x="5"/>
        <n x="104"/>
        <n x="21"/>
        <n x="89"/>
        <n x="106"/>
        <n x="22"/>
      </t>
    </mdx>
    <mdx n="0" f="v">
      <t c="6">
        <n x="5"/>
        <n x="104"/>
        <n x="21"/>
        <n x="94"/>
        <n x="108"/>
        <n x="22"/>
      </t>
    </mdx>
    <mdx n="0" f="v">
      <t c="5">
        <n x="5"/>
        <n x="104"/>
        <n x="21"/>
        <n x="97"/>
        <n x="22"/>
      </t>
    </mdx>
    <mdx n="0" f="v">
      <t c="5">
        <n x="5"/>
        <n x="104"/>
        <n x="21"/>
        <n x="88"/>
        <n x="22"/>
      </t>
    </mdx>
    <mdx n="0" f="v">
      <t c="6">
        <n x="5"/>
        <n x="104"/>
        <n x="21"/>
        <n x="90"/>
        <n x="119"/>
        <n x="22"/>
      </t>
    </mdx>
    <mdx n="0" f="v">
      <t c="6">
        <n x="5"/>
        <n x="104"/>
        <n x="21"/>
        <n x="91"/>
        <n x="127"/>
        <n x="22"/>
      </t>
    </mdx>
    <mdx n="0" f="v">
      <t c="5">
        <n x="5"/>
        <n x="104"/>
        <n x="21"/>
        <n x="92"/>
        <n x="22"/>
      </t>
    </mdx>
    <mdx n="0" f="v">
      <t c="5">
        <n x="5"/>
        <n x="104"/>
        <n x="21"/>
        <n x="86"/>
        <n x="22"/>
      </t>
    </mdx>
    <mdx n="0" f="v">
      <t c="5">
        <n x="5"/>
        <n x="104"/>
        <n x="21"/>
        <n x="87"/>
        <n x="22"/>
      </t>
    </mdx>
    <mdx n="0" f="v">
      <t c="6">
        <n x="5"/>
        <n x="104"/>
        <n x="21"/>
        <n x="95"/>
        <n x="132"/>
        <n x="22"/>
      </t>
    </mdx>
    <mdx n="0" f="v">
      <t c="6">
        <n x="5"/>
        <n x="104"/>
        <n x="21"/>
        <n x="95"/>
        <n x="124"/>
        <n x="22"/>
      </t>
    </mdx>
    <mdx n="0" f="v">
      <t c="6">
        <n x="5"/>
        <n x="104"/>
        <n x="21"/>
        <n x="92"/>
        <n x="135"/>
        <n x="22"/>
      </t>
    </mdx>
    <mdx n="0" f="v">
      <t c="5">
        <n x="5"/>
        <n x="104"/>
        <n x="21"/>
        <n x="96"/>
        <n x="22"/>
      </t>
    </mdx>
    <mdx n="0" f="v">
      <t c="5">
        <n x="5"/>
        <n x="104"/>
        <n x="21"/>
        <n x="93"/>
        <n x="22"/>
      </t>
    </mdx>
    <mdx n="0" f="v">
      <t c="5">
        <n x="5"/>
        <n x="104"/>
        <n x="21"/>
        <n x="91"/>
        <n x="22"/>
      </t>
    </mdx>
    <mdx n="0" f="v">
      <t c="6">
        <n x="5"/>
        <n x="104"/>
        <n x="21"/>
        <n x="85"/>
        <n x="113"/>
        <n x="22"/>
      </t>
    </mdx>
    <mdx n="0" f="v">
      <t c="5">
        <n x="5"/>
        <n x="104"/>
        <n x="21"/>
        <n x="94"/>
        <n x="22"/>
      </t>
    </mdx>
    <mdx n="0" f="v">
      <t c="6">
        <n x="5"/>
        <n x="104"/>
        <n x="21"/>
        <n x="93"/>
        <n x="129"/>
        <n x="22"/>
      </t>
    </mdx>
    <mdx n="0" f="v">
      <t c="6">
        <n x="5"/>
        <n x="104"/>
        <n x="21"/>
        <n x="90"/>
        <n x="120"/>
        <n x="22"/>
      </t>
    </mdx>
    <mdx n="0" f="v">
      <t c="6">
        <n x="5"/>
        <n x="104"/>
        <n x="21"/>
        <n x="90"/>
        <n x="107"/>
        <n x="22"/>
      </t>
    </mdx>
    <mdx n="0" f="v">
      <t c="5">
        <n x="5"/>
        <n x="104"/>
        <n x="21"/>
        <n x="90"/>
        <n x="22"/>
      </t>
    </mdx>
    <mdx n="0" f="v">
      <t c="6">
        <n x="5"/>
        <n x="104"/>
        <n x="21"/>
        <n x="88"/>
        <n x="137"/>
        <n x="22"/>
      </t>
    </mdx>
    <mdx n="0" f="v">
      <t c="6">
        <n x="5"/>
        <n x="104"/>
        <n x="21"/>
        <n x="86"/>
        <n x="121"/>
        <n x="22"/>
      </t>
    </mdx>
    <mdx n="0" f="m">
      <t c="2">
        <n x="75"/>
        <n x="71"/>
      </t>
    </mdx>
    <mdx n="0" f="m">
      <t c="1">
        <n x="151"/>
      </t>
    </mdx>
    <mdx n="0" f="m">
      <t c="1">
        <n x="152"/>
      </t>
    </mdx>
    <mdx n="0" f="m">
      <t c="1">
        <n x="153"/>
      </t>
    </mdx>
    <mdx n="0" f="m">
      <t c="1">
        <n x="154"/>
      </t>
    </mdx>
    <mdx n="0" f="m">
      <t c="1">
        <n x="155"/>
      </t>
    </mdx>
    <mdx n="0" f="m">
      <t c="1">
        <n x="156"/>
      </t>
    </mdx>
    <mdx n="0" f="m">
      <t c="1">
        <n x="157"/>
      </t>
    </mdx>
    <mdx n="0" f="m">
      <t c="1">
        <n x="158"/>
      </t>
    </mdx>
    <mdx n="0" f="m">
      <t c="1">
        <n x="159"/>
      </t>
    </mdx>
    <mdx n="0" f="m">
      <t c="1">
        <n x="160"/>
      </t>
    </mdx>
    <mdx n="0" f="m">
      <t c="1">
        <n x="161"/>
      </t>
    </mdx>
    <mdx n="0" f="v">
      <t c="6">
        <n x="81" s="1"/>
        <n x="24" s="1"/>
        <n x="21"/>
        <n x="61"/>
        <n x="17"/>
        <n x="161"/>
      </t>
    </mdx>
    <mdx n="0" f="v">
      <t c="7">
        <n x="81" s="1"/>
        <n x="24" s="1"/>
        <n x="21"/>
        <n x="26"/>
        <n x="44"/>
        <n x="11"/>
        <n x="161"/>
      </t>
    </mdx>
    <mdx n="0" f="v">
      <t c="7">
        <n x="81" s="1"/>
        <n x="24" s="1"/>
        <n x="21"/>
        <n x="26"/>
        <n x="56"/>
        <n x="12"/>
        <n x="161"/>
      </t>
    </mdx>
    <mdx n="0" f="v">
      <t c="6">
        <n x="81" s="1"/>
        <n x="24" s="1"/>
        <n x="21"/>
        <n x="32"/>
        <n x="7"/>
        <n x="161"/>
      </t>
    </mdx>
    <mdx n="0" f="v">
      <t c="7">
        <n x="81" s="1"/>
        <n x="24" s="1"/>
        <n x="21"/>
        <n x="29"/>
        <n x="30"/>
        <n x="9"/>
        <n x="161"/>
      </t>
    </mdx>
    <mdx n="0" f="v">
      <t c="7">
        <n x="81" s="1"/>
        <n x="24" s="1"/>
        <n x="21"/>
        <n x="29"/>
        <n x="59"/>
        <n x="7"/>
        <n x="161"/>
      </t>
    </mdx>
    <mdx n="0" f="v">
      <t c="7">
        <n x="81" s="1"/>
        <n x="24" s="1"/>
        <n x="21"/>
        <n x="62"/>
        <n x="73"/>
        <n x="7"/>
        <n x="161"/>
      </t>
    </mdx>
    <mdx n="0" f="v">
      <t c="7">
        <n x="81" s="1"/>
        <n x="24" s="1"/>
        <n x="21"/>
        <n x="29"/>
        <n x="59"/>
        <n x="10"/>
        <n x="161"/>
      </t>
    </mdx>
    <mdx n="0" f="v">
      <t c="7">
        <n x="81" s="1"/>
        <n x="24" s="1"/>
        <n x="21"/>
        <n x="28"/>
        <n x="55"/>
        <n x="11"/>
        <n x="161"/>
      </t>
    </mdx>
    <mdx n="0" f="v">
      <t c="7">
        <n x="81" s="1"/>
        <n x="24" s="1"/>
        <n x="21"/>
        <n x="29"/>
        <n x="50"/>
        <n x="17"/>
        <n x="161"/>
      </t>
    </mdx>
    <mdx n="0" f="v">
      <t c="7">
        <n x="81" s="1"/>
        <n x="24" s="1"/>
        <n x="21"/>
        <n x="36"/>
        <n x="37"/>
        <n x="10"/>
        <n x="161"/>
      </t>
    </mdx>
    <mdx n="0" f="v">
      <t c="7">
        <n x="81" s="1"/>
        <n x="24" s="1"/>
        <n x="21"/>
        <n x="32"/>
        <n x="66"/>
        <n x="17"/>
        <n x="161"/>
      </t>
    </mdx>
    <mdx n="0" f="v">
      <t c="6">
        <n x="81" s="1"/>
        <n x="24" s="1"/>
        <n x="21"/>
        <n x="48"/>
        <n x="11"/>
        <n x="161"/>
      </t>
    </mdx>
    <mdx n="0" f="v">
      <t c="7">
        <n x="81" s="1"/>
        <n x="24" s="1"/>
        <n x="21"/>
        <n x="26"/>
        <n x="60"/>
        <n x="8"/>
        <n x="161"/>
      </t>
    </mdx>
    <mdx n="0" f="v">
      <t c="7">
        <n x="81" s="1"/>
        <n x="24" s="1"/>
        <n x="21"/>
        <n x="26"/>
        <n x="38"/>
        <n x="12"/>
        <n x="161"/>
      </t>
    </mdx>
    <mdx n="0" f="v">
      <t c="7">
        <n x="81" s="1"/>
        <n x="24" s="1"/>
        <n x="21"/>
        <n x="36"/>
        <n x="37"/>
        <n x="8"/>
        <n x="161"/>
      </t>
    </mdx>
    <mdx n="0" f="v">
      <t c="7">
        <n x="81" s="1"/>
        <n x="24" s="1"/>
        <n x="21"/>
        <n x="29"/>
        <n x="45"/>
        <n x="11"/>
        <n x="161"/>
      </t>
    </mdx>
    <mdx n="0" f="v">
      <t c="7">
        <n x="81" s="1"/>
        <n x="24" s="1"/>
        <n x="21"/>
        <n x="28"/>
        <n x="55"/>
        <n x="6"/>
        <n x="161"/>
      </t>
    </mdx>
    <mdx n="0" f="v">
      <t c="7">
        <n x="81" s="1"/>
        <n x="24" s="1"/>
        <n x="21"/>
        <n x="32"/>
        <n x="70"/>
        <n x="10"/>
        <n x="161"/>
      </t>
    </mdx>
    <mdx n="0" f="v">
      <t c="7">
        <n x="81" s="1"/>
        <n x="24" s="1"/>
        <n x="21"/>
        <n x="29"/>
        <n x="35"/>
        <n x="7"/>
        <n x="161"/>
      </t>
    </mdx>
    <mdx n="0" f="v">
      <t c="6">
        <n x="81" s="1"/>
        <n x="24" s="1"/>
        <n x="21"/>
        <n x="36"/>
        <n x="16"/>
        <n x="161"/>
      </t>
    </mdx>
    <mdx n="0" f="v">
      <t c="7">
        <n x="81" s="1"/>
        <n x="24" s="1"/>
        <n x="21"/>
        <n x="29"/>
        <n x="40"/>
        <n x="6"/>
        <n x="161"/>
      </t>
    </mdx>
    <mdx n="0" f="v">
      <t c="6">
        <n x="81" s="1"/>
        <n x="24" s="1"/>
        <n x="21"/>
        <n x="26"/>
        <n x="10"/>
        <n x="161"/>
      </t>
    </mdx>
    <mdx n="0" f="v">
      <t c="7">
        <n x="81" s="1"/>
        <n x="24" s="1"/>
        <n x="21"/>
        <n x="62"/>
        <n x="74"/>
        <n x="16"/>
        <n x="161"/>
      </t>
    </mdx>
    <mdx n="0" f="v">
      <t c="7">
        <n x="81" s="1"/>
        <n x="24" s="1"/>
        <n x="21"/>
        <n x="26"/>
        <n x="46"/>
        <n x="17"/>
        <n x="161"/>
      </t>
    </mdx>
    <mdx n="0" f="v">
      <t c="7">
        <n x="81" s="1"/>
        <n x="24" s="1"/>
        <n x="21"/>
        <n x="29"/>
        <n x="40"/>
        <n x="8"/>
        <n x="161"/>
      </t>
    </mdx>
    <mdx n="0" f="v">
      <t c="7">
        <n x="81" s="1"/>
        <n x="24" s="1"/>
        <n x="21"/>
        <n x="32"/>
        <n x="68"/>
        <n x="14"/>
        <n x="161"/>
      </t>
    </mdx>
    <mdx n="0" f="v">
      <t c="6">
        <n x="81" s="1"/>
        <n x="24" s="1"/>
        <n x="21"/>
        <n x="48"/>
        <n x="16"/>
        <n x="161"/>
      </t>
    </mdx>
    <mdx n="0" f="v">
      <t c="7">
        <n x="81" s="1"/>
        <n x="24" s="1"/>
        <n x="21"/>
        <n x="32"/>
        <n x="70"/>
        <n x="11"/>
        <n x="161"/>
      </t>
    </mdx>
    <mdx n="0" f="v">
      <t c="7">
        <n x="81" s="1"/>
        <n x="24" s="1"/>
        <n x="21"/>
        <n x="26"/>
        <n x="46"/>
        <n x="14"/>
        <n x="161"/>
      </t>
    </mdx>
    <mdx n="0" f="v">
      <t c="6">
        <n x="81" s="1"/>
        <n x="24" s="1"/>
        <n x="21"/>
        <n x="26"/>
        <n x="6"/>
        <n x="161"/>
      </t>
    </mdx>
    <mdx n="0" f="v">
      <t c="7">
        <n x="81" s="1"/>
        <n x="24" s="1"/>
        <n x="21"/>
        <n x="29"/>
        <n x="43"/>
        <n x="17"/>
        <n x="161"/>
      </t>
    </mdx>
    <mdx n="0" f="v">
      <t c="7">
        <n x="81" s="1"/>
        <n x="24" s="1"/>
        <n x="21"/>
        <n x="28"/>
        <n x="53"/>
        <n x="16"/>
        <n x="161"/>
      </t>
    </mdx>
    <mdx n="0" f="v">
      <t c="7">
        <n x="81" s="1"/>
        <n x="24" s="1"/>
        <n x="21"/>
        <n x="26"/>
        <n x="38"/>
        <n x="10"/>
        <n x="161"/>
      </t>
    </mdx>
    <mdx n="0" f="v">
      <t c="7">
        <n x="81" s="1"/>
        <n x="24" s="1"/>
        <n x="21"/>
        <n x="32"/>
        <n x="68"/>
        <n x="17"/>
        <n x="161"/>
      </t>
    </mdx>
    <mdx n="0" f="v">
      <t c="7">
        <n x="81" s="1"/>
        <n x="24" s="1"/>
        <n x="21"/>
        <n x="32"/>
        <n x="66"/>
        <n x="7"/>
        <n x="161"/>
      </t>
    </mdx>
    <mdx n="0" f="v">
      <t c="6">
        <n x="81" s="1"/>
        <n x="24" s="1"/>
        <n x="21"/>
        <n x="26"/>
        <n x="9"/>
        <n x="161"/>
      </t>
    </mdx>
    <mdx n="0" f="v">
      <t c="7">
        <n x="81" s="1"/>
        <n x="24" s="1"/>
        <n x="21"/>
        <n x="29"/>
        <n x="40"/>
        <n x="12"/>
        <n x="161"/>
      </t>
    </mdx>
    <mdx n="0" f="v">
      <t c="7">
        <n x="81" s="1"/>
        <n x="24" s="1"/>
        <n x="21"/>
        <n x="26"/>
        <n x="31"/>
        <n x="11"/>
        <n x="161"/>
      </t>
    </mdx>
    <mdx n="0" f="v">
      <t c="7">
        <n x="81" s="1"/>
        <n x="24" s="1"/>
        <n x="21"/>
        <n x="62"/>
        <n x="73"/>
        <n x="25"/>
        <n x="161"/>
      </t>
    </mdx>
    <mdx n="0" f="v">
      <t c="7">
        <n x="81" s="1"/>
        <n x="24" s="1"/>
        <n x="21"/>
        <n x="29"/>
        <n x="51"/>
        <n x="15"/>
        <n x="161"/>
      </t>
    </mdx>
    <mdx n="0" f="v">
      <t c="7">
        <n x="81" s="1"/>
        <n x="24" s="1"/>
        <n x="21"/>
        <n x="26"/>
        <n x="44"/>
        <n x="14"/>
        <n x="161"/>
      </t>
    </mdx>
    <mdx n="0" f="v">
      <t c="7">
        <n x="81" s="1"/>
        <n x="24" s="1"/>
        <n x="21"/>
        <n x="29"/>
        <n x="40"/>
        <n x="17"/>
        <n x="161"/>
      </t>
    </mdx>
    <mdx n="0" f="v">
      <t c="7">
        <n x="81" s="1"/>
        <n x="24" s="1"/>
        <n x="21"/>
        <n x="29"/>
        <n x="54"/>
        <n x="12"/>
        <n x="161"/>
      </t>
    </mdx>
    <mdx n="0" f="v">
      <t c="7">
        <n x="81" s="1"/>
        <n x="24" s="1"/>
        <n x="21"/>
        <n x="29"/>
        <n x="47"/>
        <n x="7"/>
        <n x="161"/>
      </t>
    </mdx>
    <mdx n="0" f="v">
      <t c="7">
        <n x="81" s="1"/>
        <n x="24" s="1"/>
        <n x="21"/>
        <n x="29"/>
        <n x="54"/>
        <n x="6"/>
        <n x="161"/>
      </t>
    </mdx>
    <mdx n="0" f="v">
      <t c="7">
        <n x="81" s="1"/>
        <n x="24" s="1"/>
        <n x="21"/>
        <n x="29"/>
        <n x="40"/>
        <n x="16"/>
        <n x="161"/>
      </t>
    </mdx>
    <mdx n="0" f="v">
      <t c="7">
        <n x="81" s="1"/>
        <n x="24" s="1"/>
        <n x="21"/>
        <n x="26"/>
        <n x="69"/>
        <n x="11"/>
        <n x="161"/>
      </t>
    </mdx>
    <mdx n="0" f="v">
      <t c="6">
        <n x="81" s="1"/>
        <n x="24" s="1"/>
        <n x="21"/>
        <n x="28"/>
        <n x="17"/>
        <n x="161"/>
      </t>
    </mdx>
    <mdx n="0" f="v">
      <t c="7">
        <n x="81" s="1"/>
        <n x="24" s="1"/>
        <n x="21"/>
        <n x="26"/>
        <n x="34"/>
        <n x="13"/>
        <n x="161"/>
      </t>
    </mdx>
    <mdx n="0" f="v">
      <t c="7">
        <n x="81" s="1"/>
        <n x="24" s="1"/>
        <n x="21"/>
        <n x="26"/>
        <n x="52"/>
        <n x="12"/>
        <n x="161"/>
      </t>
    </mdx>
    <mdx n="0" f="v">
      <t c="7">
        <n x="81" s="1"/>
        <n x="24" s="1"/>
        <n x="21"/>
        <n x="36"/>
        <n x="37"/>
        <n x="11"/>
        <n x="161"/>
      </t>
    </mdx>
    <mdx n="0" f="v">
      <t c="7">
        <n x="81" s="1"/>
        <n x="24" s="1"/>
        <n x="21"/>
        <n x="28"/>
        <n x="55"/>
        <n x="9"/>
        <n x="161"/>
      </t>
    </mdx>
    <mdx n="0" f="v">
      <t c="7">
        <n x="81" s="1"/>
        <n x="24" s="1"/>
        <n x="21"/>
        <n x="26"/>
        <n x="31"/>
        <n x="7"/>
        <n x="161"/>
      </t>
    </mdx>
    <mdx n="0" f="v">
      <t c="7">
        <n x="81" s="1"/>
        <n x="24" s="1"/>
        <n x="21"/>
        <n x="32"/>
        <n x="33"/>
        <n x="13"/>
        <n x="161"/>
      </t>
    </mdx>
    <mdx n="0" f="v">
      <t c="7">
        <n x="81" s="1"/>
        <n x="24" s="1"/>
        <n x="21"/>
        <n x="29"/>
        <n x="43"/>
        <n x="13"/>
        <n x="161"/>
      </t>
    </mdx>
    <mdx n="0" f="v">
      <t c="7">
        <n x="81" s="1"/>
        <n x="24" s="1"/>
        <n x="21"/>
        <n x="29"/>
        <n x="40"/>
        <n x="9"/>
        <n x="161"/>
      </t>
    </mdx>
    <mdx n="0" f="v">
      <t c="7">
        <n x="81" s="1"/>
        <n x="24" s="1"/>
        <n x="21"/>
        <n x="62"/>
        <n x="74"/>
        <n x="15"/>
        <n x="161"/>
      </t>
    </mdx>
    <mdx n="0" f="v">
      <t c="7">
        <n x="81" s="1"/>
        <n x="24" s="1"/>
        <n x="21"/>
        <n x="32"/>
        <n x="63"/>
        <n x="9"/>
        <n x="161"/>
      </t>
    </mdx>
    <mdx n="0" f="v">
      <t c="7">
        <n x="81" s="1"/>
        <n x="24" s="1"/>
        <n x="21"/>
        <n x="29"/>
        <n x="50"/>
        <n x="15"/>
        <n x="161"/>
      </t>
    </mdx>
    <mdx n="0" f="v">
      <t c="7">
        <n x="81" s="1"/>
        <n x="24" s="1"/>
        <n x="21"/>
        <n x="28"/>
        <n x="58"/>
        <n x="17"/>
        <n x="161"/>
      </t>
    </mdx>
    <mdx n="0" f="v">
      <t c="7">
        <n x="81" s="1"/>
        <n x="24" s="1"/>
        <n x="21"/>
        <n x="26"/>
        <n x="67"/>
        <n x="11"/>
        <n x="161"/>
      </t>
    </mdx>
    <mdx n="0" f="v">
      <t c="7">
        <n x="81" s="1"/>
        <n x="24" s="1"/>
        <n x="21"/>
        <n x="26"/>
        <n x="34"/>
        <n x="14"/>
        <n x="161"/>
      </t>
    </mdx>
    <mdx n="0" f="v">
      <t c="6">
        <n x="81" s="1"/>
        <n x="24" s="1"/>
        <n x="21"/>
        <n x="26"/>
        <n x="16"/>
        <n x="161"/>
      </t>
    </mdx>
    <mdx n="0" f="v">
      <t c="7">
        <n x="81" s="1"/>
        <n x="24" s="1"/>
        <n x="21"/>
        <n x="29"/>
        <n x="51"/>
        <n x="25"/>
        <n x="161"/>
      </t>
    </mdx>
    <mdx n="0" f="v">
      <t c="7">
        <n x="81" s="1"/>
        <n x="24" s="1"/>
        <n x="21"/>
        <n x="26"/>
        <n x="27"/>
        <n x="17"/>
        <n x="161"/>
      </t>
    </mdx>
    <mdx n="0" f="v">
      <t c="7">
        <n x="81" s="1"/>
        <n x="24" s="1"/>
        <n x="21"/>
        <n x="29"/>
        <n x="35"/>
        <n x="14"/>
        <n x="161"/>
      </t>
    </mdx>
    <mdx n="0" f="v">
      <t c="6">
        <n x="81" s="1"/>
        <n x="24" s="1"/>
        <n x="21"/>
        <n x="65"/>
        <n x="11"/>
        <n x="161"/>
      </t>
    </mdx>
    <mdx n="0" f="v">
      <t c="7">
        <n x="81" s="1"/>
        <n x="24" s="1"/>
        <n x="21"/>
        <n x="29"/>
        <n x="50"/>
        <n x="8"/>
        <n x="161"/>
      </t>
    </mdx>
    <mdx n="0" f="v">
      <t c="7">
        <n x="81" s="1"/>
        <n x="24" s="1"/>
        <n x="21"/>
        <n x="26"/>
        <n x="46"/>
        <n x="15"/>
        <n x="161"/>
      </t>
    </mdx>
    <mdx n="0" f="v">
      <t c="7">
        <n x="81" s="1"/>
        <n x="24" s="1"/>
        <n x="21"/>
        <n x="29"/>
        <n x="51"/>
        <n x="17"/>
        <n x="161"/>
      </t>
    </mdx>
    <mdx n="0" f="v">
      <t c="7">
        <n x="81" s="1"/>
        <n x="24" s="1"/>
        <n x="21"/>
        <n x="36"/>
        <n x="37"/>
        <n x="9"/>
        <n x="161"/>
      </t>
    </mdx>
    <mdx n="0" f="v">
      <t c="7">
        <n x="81" s="1"/>
        <n x="24" s="1"/>
        <n x="21"/>
        <n x="29"/>
        <n x="54"/>
        <n x="17"/>
        <n x="161"/>
      </t>
    </mdx>
    <mdx n="0" f="v">
      <t c="7">
        <n x="81" s="1"/>
        <n x="24" s="1"/>
        <n x="21"/>
        <n x="62"/>
        <n x="74"/>
        <n x="17"/>
        <n x="161"/>
      </t>
    </mdx>
    <mdx n="0" f="v">
      <t c="7">
        <n x="81" s="1"/>
        <n x="24" s="1"/>
        <n x="21"/>
        <n x="32"/>
        <n x="70"/>
        <n x="9"/>
        <n x="161"/>
      </t>
    </mdx>
    <mdx n="0" f="v">
      <t c="7">
        <n x="81" s="1"/>
        <n x="24" s="1"/>
        <n x="21"/>
        <n x="26"/>
        <n x="38"/>
        <n x="14"/>
        <n x="161"/>
      </t>
    </mdx>
    <mdx n="0" f="v">
      <t c="6">
        <n x="81" s="1"/>
        <n x="24" s="1"/>
        <n x="21"/>
        <n x="32"/>
        <n x="11"/>
        <n x="161"/>
      </t>
    </mdx>
    <mdx n="0" f="v">
      <t c="7">
        <n x="81" s="1"/>
        <n x="24" s="1"/>
        <n x="21"/>
        <n x="26"/>
        <n x="46"/>
        <n x="13"/>
        <n x="161"/>
      </t>
    </mdx>
    <mdx n="0" f="v">
      <t c="7">
        <n x="81" s="1"/>
        <n x="24" s="1"/>
        <n x="21"/>
        <n x="26"/>
        <n x="60"/>
        <n x="25"/>
        <n x="161"/>
      </t>
    </mdx>
    <mdx n="0" f="v">
      <t c="7">
        <n x="81" s="1"/>
        <n x="24" s="1"/>
        <n x="21"/>
        <n x="26"/>
        <n x="41"/>
        <n x="9"/>
        <n x="161"/>
      </t>
    </mdx>
    <mdx n="0" f="v">
      <t c="6">
        <n x="81" s="1"/>
        <n x="24" s="1"/>
        <n x="21"/>
        <n x="29"/>
        <n x="25"/>
        <n x="161"/>
      </t>
    </mdx>
    <mdx n="0" f="v">
      <t c="7">
        <n x="81" s="1"/>
        <n x="24" s="1"/>
        <n x="21"/>
        <n x="29"/>
        <n x="59"/>
        <n x="14"/>
        <n x="161"/>
      </t>
    </mdx>
    <mdx n="0" f="v">
      <t c="7">
        <n x="81" s="1"/>
        <n x="24" s="1"/>
        <n x="21"/>
        <n x="26"/>
        <n x="38"/>
        <n x="11"/>
        <n x="161"/>
      </t>
    </mdx>
    <mdx n="0" f="v">
      <t c="7">
        <n x="81" s="1"/>
        <n x="24" s="1"/>
        <n x="21"/>
        <n x="26"/>
        <n x="31"/>
        <n x="8"/>
        <n x="161"/>
      </t>
    </mdx>
    <mdx n="0" f="v">
      <t c="7">
        <n x="81" s="1"/>
        <n x="24" s="1"/>
        <n x="21"/>
        <n x="26"/>
        <n x="67"/>
        <n x="12"/>
        <n x="161"/>
      </t>
    </mdx>
    <mdx n="0" f="v">
      <t c="7">
        <n x="81" s="1"/>
        <n x="24" s="1"/>
        <n x="21"/>
        <n x="26"/>
        <n x="38"/>
        <n x="15"/>
        <n x="161"/>
      </t>
    </mdx>
    <mdx n="0" f="v">
      <t c="6">
        <n x="81" s="1"/>
        <n x="24" s="1"/>
        <n x="21"/>
        <n x="29"/>
        <n x="9"/>
        <n x="161"/>
      </t>
    </mdx>
    <mdx n="0" f="v">
      <t c="7">
        <n x="81" s="1"/>
        <n x="24" s="1"/>
        <n x="21"/>
        <n x="28"/>
        <n x="55"/>
        <n x="14"/>
        <n x="161"/>
      </t>
    </mdx>
    <mdx n="0" f="v">
      <t c="7">
        <n x="81" s="1"/>
        <n x="24" s="1"/>
        <n x="21"/>
        <n x="36"/>
        <n x="37"/>
        <n x="13"/>
        <n x="161"/>
      </t>
    </mdx>
    <mdx n="0" f="v">
      <t c="7">
        <n x="81" s="1"/>
        <n x="24" s="1"/>
        <n x="21"/>
        <n x="28"/>
        <n x="42"/>
        <n x="13"/>
        <n x="161"/>
      </t>
    </mdx>
    <mdx n="0" f="v">
      <t c="7">
        <n x="81" s="1"/>
        <n x="24" s="1"/>
        <n x="21"/>
        <n x="28"/>
        <n x="53"/>
        <n x="12"/>
        <n x="161"/>
      </t>
    </mdx>
    <mdx n="0" f="v">
      <t c="7">
        <n x="81" s="1"/>
        <n x="24" s="1"/>
        <n x="21"/>
        <n x="62"/>
        <n x="72"/>
        <n x="7"/>
        <n x="161"/>
      </t>
    </mdx>
    <mdx n="0" f="v">
      <t c="7">
        <n x="81" s="1"/>
        <n x="24" s="1"/>
        <n x="21"/>
        <n x="32"/>
        <n x="68"/>
        <n x="8"/>
        <n x="161"/>
      </t>
    </mdx>
    <mdx n="0" f="v">
      <t c="7">
        <n x="81" s="1"/>
        <n x="24" s="1"/>
        <n x="21"/>
        <n x="26"/>
        <n x="56"/>
        <n x="15"/>
        <n x="161"/>
      </t>
    </mdx>
    <mdx n="0" f="v">
      <t c="7">
        <n x="81" s="1"/>
        <n x="24" s="1"/>
        <n x="21"/>
        <n x="48"/>
        <n x="49"/>
        <n x="25"/>
        <n x="161"/>
      </t>
    </mdx>
    <mdx n="0" f="v">
      <t c="7">
        <n x="81" s="1"/>
        <n x="24" s="1"/>
        <n x="21"/>
        <n x="26"/>
        <n x="38"/>
        <n x="13"/>
        <n x="161"/>
      </t>
    </mdx>
    <mdx n="0" f="v">
      <t c="7">
        <n x="81" s="1"/>
        <n x="24" s="1"/>
        <n x="21"/>
        <n x="28"/>
        <n x="58"/>
        <n x="25"/>
        <n x="161"/>
      </t>
    </mdx>
    <mdx n="0" f="v">
      <t c="7">
        <n x="81" s="1"/>
        <n x="24" s="1"/>
        <n x="21"/>
        <n x="29"/>
        <n x="71"/>
        <n x="10"/>
        <n x="161"/>
      </t>
    </mdx>
    <mdx n="0" f="v">
      <t c="7">
        <n x="81" s="1"/>
        <n x="24" s="1"/>
        <n x="21"/>
        <n x="29"/>
        <n x="35"/>
        <n x="10"/>
        <n x="161"/>
      </t>
    </mdx>
    <mdx n="0" f="v">
      <t c="7">
        <n x="81" s="1"/>
        <n x="24" s="1"/>
        <n x="21"/>
        <n x="28"/>
        <n x="42"/>
        <n x="7"/>
        <n x="161"/>
      </t>
    </mdx>
    <mdx n="0" f="v">
      <t c="7">
        <n x="81" s="1"/>
        <n x="24" s="1"/>
        <n x="21"/>
        <n x="26"/>
        <n x="69"/>
        <n x="9"/>
        <n x="161"/>
      </t>
    </mdx>
    <mdx n="0" f="v">
      <t c="6">
        <n x="81" s="1"/>
        <n x="24" s="1"/>
        <n x="21"/>
        <n x="32"/>
        <n x="12"/>
        <n x="161"/>
      </t>
    </mdx>
    <mdx n="0" f="v">
      <t c="7">
        <n x="81" s="1"/>
        <n x="24" s="1"/>
        <n x="21"/>
        <n x="28"/>
        <n x="55"/>
        <n x="12"/>
        <n x="161"/>
      </t>
    </mdx>
    <mdx n="0" f="v">
      <t c="7">
        <n x="81" s="1"/>
        <n x="24" s="1"/>
        <n x="21"/>
        <n x="32"/>
        <n x="63"/>
        <n x="15"/>
        <n x="161"/>
      </t>
    </mdx>
    <mdx n="0" f="v">
      <t c="7">
        <n x="81" s="1"/>
        <n x="24" s="1"/>
        <n x="21"/>
        <n x="29"/>
        <n x="54"/>
        <n x="8"/>
        <n x="161"/>
      </t>
    </mdx>
    <mdx n="0" f="v">
      <t c="7">
        <n x="81" s="1"/>
        <n x="24" s="1"/>
        <n x="21"/>
        <n x="28"/>
        <n x="58"/>
        <n x="6"/>
        <n x="161"/>
      </t>
    </mdx>
    <mdx n="0" f="v">
      <t c="7">
        <n x="81" s="1"/>
        <n x="24" s="1"/>
        <n x="21"/>
        <n x="32"/>
        <n x="70"/>
        <n x="12"/>
        <n x="161"/>
      </t>
    </mdx>
    <mdx n="0" f="v">
      <t c="7">
        <n x="81" s="1"/>
        <n x="24" s="1"/>
        <n x="21"/>
        <n x="32"/>
        <n x="68"/>
        <n x="16"/>
        <n x="161"/>
      </t>
    </mdx>
    <mdx n="0" f="v">
      <t c="7">
        <n x="81" s="1"/>
        <n x="24" s="1"/>
        <n x="21"/>
        <n x="28"/>
        <n x="55"/>
        <n x="10"/>
        <n x="161"/>
      </t>
    </mdx>
    <mdx n="0" f="v">
      <t c="7">
        <n x="81" s="1"/>
        <n x="24" s="1"/>
        <n x="21"/>
        <n x="48"/>
        <n x="64"/>
        <n x="16"/>
        <n x="161"/>
      </t>
    </mdx>
    <mdx n="0" f="v">
      <t c="7">
        <n x="81" s="1"/>
        <n x="24" s="1"/>
        <n x="21"/>
        <n x="26"/>
        <n x="67"/>
        <n x="14"/>
        <n x="161"/>
      </t>
    </mdx>
    <mdx n="0" f="v">
      <t c="7">
        <n x="81" s="1"/>
        <n x="24" s="1"/>
        <n x="21"/>
        <n x="32"/>
        <n x="66"/>
        <n x="8"/>
        <n x="161"/>
      </t>
    </mdx>
    <mdx n="0" f="v">
      <t c="7">
        <n x="81" s="1"/>
        <n x="24" s="1"/>
        <n x="21"/>
        <n x="26"/>
        <n x="69"/>
        <n x="17"/>
        <n x="161"/>
      </t>
    </mdx>
    <mdx n="0" f="v">
      <t c="7">
        <n x="81" s="1"/>
        <n x="24" s="1"/>
        <n x="21"/>
        <n x="48"/>
        <n x="49"/>
        <n x="14"/>
        <n x="161"/>
      </t>
    </mdx>
    <mdx n="0" f="v">
      <t c="7">
        <n x="81" s="1"/>
        <n x="24" s="1"/>
        <n x="21"/>
        <n x="29"/>
        <n x="59"/>
        <n x="11"/>
        <n x="161"/>
      </t>
    </mdx>
    <mdx n="0" f="v">
      <t c="7">
        <n x="81" s="1"/>
        <n x="24" s="1"/>
        <n x="21"/>
        <n x="29"/>
        <n x="45"/>
        <n x="15"/>
        <n x="161"/>
      </t>
    </mdx>
    <mdx n="0" f="v">
      <t c="6">
        <n x="81" s="1"/>
        <n x="24" s="1"/>
        <n x="21"/>
        <n x="28"/>
        <n x="14"/>
        <n x="161"/>
      </t>
    </mdx>
    <mdx n="0" f="v">
      <t c="6">
        <n x="81" s="1"/>
        <n x="24" s="1"/>
        <n x="21"/>
        <n x="36"/>
        <n x="6"/>
        <n x="161"/>
      </t>
    </mdx>
    <mdx n="0" f="v">
      <t c="7">
        <n x="81" s="1"/>
        <n x="24" s="1"/>
        <n x="21"/>
        <n x="29"/>
        <n x="47"/>
        <n x="11"/>
        <n x="161"/>
      </t>
    </mdx>
    <mdx n="0" f="v">
      <t c="7">
        <n x="81" s="1"/>
        <n x="24" s="1"/>
        <n x="21"/>
        <n x="29"/>
        <n x="47"/>
        <n x="6"/>
        <n x="161"/>
      </t>
    </mdx>
    <mdx n="0" f="v">
      <t c="7">
        <n x="81" s="1"/>
        <n x="24" s="1"/>
        <n x="21"/>
        <n x="48"/>
        <n x="64"/>
        <n x="7"/>
        <n x="161"/>
      </t>
    </mdx>
    <mdx n="0" f="v">
      <t c="7">
        <n x="81" s="1"/>
        <n x="24" s="1"/>
        <n x="21"/>
        <n x="28"/>
        <n x="42"/>
        <n x="17"/>
        <n x="161"/>
      </t>
    </mdx>
    <mdx n="0" f="v">
      <t c="6">
        <n x="81" s="1"/>
        <n x="24" s="1"/>
        <n x="21"/>
        <n x="29"/>
        <n x="12"/>
        <n x="161"/>
      </t>
    </mdx>
    <mdx n="0" f="v">
      <t c="7">
        <n x="81" s="1"/>
        <n x="24" s="1"/>
        <n x="21"/>
        <n x="29"/>
        <n x="40"/>
        <n x="10"/>
        <n x="161"/>
      </t>
    </mdx>
    <mdx n="0" f="v">
      <t c="7">
        <n x="81" s="1"/>
        <n x="24" s="1"/>
        <n x="21"/>
        <n x="62"/>
        <n x="72"/>
        <n x="25"/>
        <n x="161"/>
      </t>
    </mdx>
    <mdx n="0" f="v">
      <t c="7">
        <n x="81" s="1"/>
        <n x="24" s="1"/>
        <n x="21"/>
        <n x="26"/>
        <n x="41"/>
        <n x="14"/>
        <n x="161"/>
      </t>
    </mdx>
    <mdx n="0" f="v">
      <t c="7">
        <n x="81" s="1"/>
        <n x="24" s="1"/>
        <n x="21"/>
        <n x="26"/>
        <n x="56"/>
        <n x="14"/>
        <n x="161"/>
      </t>
    </mdx>
    <mdx n="0" f="v">
      <t c="7">
        <n x="81" s="1"/>
        <n x="24" s="1"/>
        <n x="21"/>
        <n x="62"/>
        <n x="72"/>
        <n x="12"/>
        <n x="161"/>
      </t>
    </mdx>
    <mdx n="0" f="v">
      <t c="7">
        <n x="81" s="1"/>
        <n x="24" s="1"/>
        <n x="21"/>
        <n x="32"/>
        <n x="68"/>
        <n x="15"/>
        <n x="161"/>
      </t>
    </mdx>
    <mdx n="0" f="v">
      <t c="7">
        <n x="81" s="1"/>
        <n x="24" s="1"/>
        <n x="21"/>
        <n x="26"/>
        <n x="52"/>
        <n x="13"/>
        <n x="161"/>
      </t>
    </mdx>
    <mdx n="0" f="v">
      <t c="7">
        <n x="81" s="1"/>
        <n x="24" s="1"/>
        <n x="21"/>
        <n x="26"/>
        <n x="69"/>
        <n x="7"/>
        <n x="161"/>
      </t>
    </mdx>
    <mdx n="0" f="v">
      <t c="7">
        <n x="81" s="1"/>
        <n x="24" s="1"/>
        <n x="21"/>
        <n x="26"/>
        <n x="56"/>
        <n x="13"/>
        <n x="161"/>
      </t>
    </mdx>
    <mdx n="0" f="v">
      <t c="7">
        <n x="81" s="1"/>
        <n x="24" s="1"/>
        <n x="21"/>
        <n x="29"/>
        <n x="50"/>
        <n x="25"/>
        <n x="161"/>
      </t>
    </mdx>
    <mdx n="0" f="v">
      <t c="7">
        <n x="81" s="1"/>
        <n x="24" s="1"/>
        <n x="21"/>
        <n x="29"/>
        <n x="30"/>
        <n x="25"/>
        <n x="161"/>
      </t>
    </mdx>
    <mdx n="0" f="v">
      <t c="6">
        <n x="81" s="1"/>
        <n x="24" s="1"/>
        <n x="21"/>
        <n x="26"/>
        <n x="17"/>
        <n x="161"/>
      </t>
    </mdx>
    <mdx n="0" f="v">
      <t c="7">
        <n x="81" s="1"/>
        <n x="24" s="1"/>
        <n x="21"/>
        <n x="32"/>
        <n x="63"/>
        <n x="8"/>
        <n x="161"/>
      </t>
    </mdx>
    <mdx n="0" f="v">
      <t c="7">
        <n x="81" s="1"/>
        <n x="24" s="1"/>
        <n x="21"/>
        <n x="29"/>
        <n x="40"/>
        <n x="7"/>
        <n x="161"/>
      </t>
    </mdx>
    <mdx n="0" f="v">
      <t c="7">
        <n x="81" s="1"/>
        <n x="24" s="1"/>
        <n x="21"/>
        <n x="28"/>
        <n x="58"/>
        <n x="8"/>
        <n x="161"/>
      </t>
    </mdx>
    <mdx n="0" f="v">
      <t c="7">
        <n x="81" s="1"/>
        <n x="24" s="1"/>
        <n x="21"/>
        <n x="29"/>
        <n x="54"/>
        <n x="15"/>
        <n x="161"/>
      </t>
    </mdx>
    <mdx n="0" f="v">
      <t c="6">
        <n x="81" s="1"/>
        <n x="24" s="1"/>
        <n x="21"/>
        <n x="65"/>
        <n x="16"/>
        <n x="161"/>
      </t>
    </mdx>
    <mdx n="0" f="v">
      <t c="6">
        <n x="81" s="1"/>
        <n x="24" s="1"/>
        <n x="21"/>
        <n x="28"/>
        <n x="8"/>
        <n x="161"/>
      </t>
    </mdx>
    <mdx n="0" f="v">
      <t c="7">
        <n x="81" s="1"/>
        <n x="24" s="1"/>
        <n x="21"/>
        <n x="26"/>
        <n x="44"/>
        <n x="16"/>
        <n x="161"/>
      </t>
    </mdx>
    <mdx n="0" f="v">
      <t c="7">
        <n x="81" s="1"/>
        <n x="24" s="1"/>
        <n x="21"/>
        <n x="26"/>
        <n x="60"/>
        <n x="12"/>
        <n x="161"/>
      </t>
    </mdx>
    <mdx n="0" f="v">
      <t c="7">
        <n x="81" s="1"/>
        <n x="24" s="1"/>
        <n x="21"/>
        <n x="62"/>
        <n x="73"/>
        <n x="6"/>
        <n x="161"/>
      </t>
    </mdx>
    <mdx n="0" f="v">
      <t c="7">
        <n x="81" s="1"/>
        <n x="24" s="1"/>
        <n x="21"/>
        <n x="48"/>
        <n x="49"/>
        <n x="17"/>
        <n x="161"/>
      </t>
    </mdx>
    <mdx n="0" f="v">
      <t c="7">
        <n x="81" s="1"/>
        <n x="24" s="1"/>
        <n x="21"/>
        <n x="32"/>
        <n x="70"/>
        <n x="6"/>
        <n x="161"/>
      </t>
    </mdx>
    <mdx n="0" f="v">
      <t c="7">
        <n x="81" s="1"/>
        <n x="24" s="1"/>
        <n x="21"/>
        <n x="28"/>
        <n x="42"/>
        <n x="9"/>
        <n x="161"/>
      </t>
    </mdx>
    <mdx n="0" f="v">
      <t c="6">
        <n x="81" s="1"/>
        <n x="24" s="1"/>
        <n x="21"/>
        <n x="28"/>
        <n x="16"/>
        <n x="161"/>
      </t>
    </mdx>
    <mdx n="0" f="v">
      <t c="7">
        <n x="81" s="1"/>
        <n x="24" s="1"/>
        <n x="21"/>
        <n x="26"/>
        <n x="44"/>
        <n x="6"/>
        <n x="161"/>
      </t>
    </mdx>
    <mdx n="0" f="v">
      <t c="7">
        <n x="81" s="1"/>
        <n x="24" s="1"/>
        <n x="21"/>
        <n x="28"/>
        <n x="55"/>
        <n x="16"/>
        <n x="161"/>
      </t>
    </mdx>
    <mdx n="0" f="v">
      <t c="7">
        <n x="81" s="1"/>
        <n x="24" s="1"/>
        <n x="21"/>
        <n x="26"/>
        <n x="31"/>
        <n x="10"/>
        <n x="161"/>
      </t>
    </mdx>
    <mdx n="0" f="v">
      <t c="7">
        <n x="81" s="1"/>
        <n x="24" s="1"/>
        <n x="21"/>
        <n x="62"/>
        <n x="72"/>
        <n x="10"/>
        <n x="161"/>
      </t>
    </mdx>
    <mdx n="0" f="v">
      <t c="7">
        <n x="81" s="1"/>
        <n x="24" s="1"/>
        <n x="21"/>
        <n x="29"/>
        <n x="40"/>
        <n x="13"/>
        <n x="161"/>
      </t>
    </mdx>
    <mdx n="0" f="v">
      <t c="6">
        <n x="81" s="1"/>
        <n x="24" s="1"/>
        <n x="21"/>
        <n x="65"/>
        <n x="12"/>
        <n x="161"/>
      </t>
    </mdx>
    <mdx n="0" f="v">
      <t c="7">
        <n x="81" s="1"/>
        <n x="24" s="1"/>
        <n x="21"/>
        <n x="29"/>
        <n x="45"/>
        <n x="6"/>
        <n x="161"/>
      </t>
    </mdx>
    <mdx n="0" f="v">
      <t c="7">
        <n x="81" s="1"/>
        <n x="24" s="1"/>
        <n x="21"/>
        <n x="29"/>
        <n x="59"/>
        <n x="12"/>
        <n x="161"/>
      </t>
    </mdx>
    <mdx n="0" f="v">
      <t c="7">
        <n x="81" s="1"/>
        <n x="24" s="1"/>
        <n x="21"/>
        <n x="29"/>
        <n x="50"/>
        <n x="12"/>
        <n x="161"/>
      </t>
    </mdx>
    <mdx n="0" f="v">
      <t c="7">
        <n x="81" s="1"/>
        <n x="24" s="1"/>
        <n x="21"/>
        <n x="29"/>
        <n x="47"/>
        <n x="10"/>
        <n x="161"/>
      </t>
    </mdx>
    <mdx n="0" f="v">
      <t c="7">
        <n x="81" s="1"/>
        <n x="24" s="1"/>
        <n x="21"/>
        <n x="29"/>
        <n x="45"/>
        <n x="9"/>
        <n x="161"/>
      </t>
    </mdx>
    <mdx n="0" f="v">
      <t c="7">
        <n x="81" s="1"/>
        <n x="24" s="1"/>
        <n x="21"/>
        <n x="32"/>
        <n x="33"/>
        <n x="15"/>
        <n x="161"/>
      </t>
    </mdx>
    <mdx n="0" f="v">
      <t c="7">
        <n x="81" s="1"/>
        <n x="24" s="1"/>
        <n x="21"/>
        <n x="29"/>
        <n x="40"/>
        <n x="14"/>
        <n x="161"/>
      </t>
    </mdx>
    <mdx n="0" f="v">
      <t c="6">
        <n x="81" s="1"/>
        <n x="24" s="1"/>
        <n x="21"/>
        <n x="28"/>
        <n x="10"/>
        <n x="161"/>
      </t>
    </mdx>
    <mdx n="0" f="v">
      <t c="7">
        <n x="81" s="1"/>
        <n x="24" s="1"/>
        <n x="21"/>
        <n x="28"/>
        <n x="42"/>
        <n x="14"/>
        <n x="161"/>
      </t>
    </mdx>
    <mdx n="0" f="v">
      <t c="6">
        <n x="81" s="1"/>
        <n x="24" s="1"/>
        <n x="21"/>
        <n x="65"/>
        <n x="14"/>
        <n x="161"/>
      </t>
    </mdx>
    <mdx n="0" f="v">
      <t c="7">
        <n x="81" s="1"/>
        <n x="24" s="1"/>
        <n x="21"/>
        <n x="48"/>
        <n x="49"/>
        <n x="8"/>
        <n x="161"/>
      </t>
    </mdx>
    <mdx n="0" f="v">
      <t c="6">
        <n x="81" s="1"/>
        <n x="24" s="1"/>
        <n x="21"/>
        <n x="61"/>
        <n x="8"/>
        <n x="161"/>
      </t>
    </mdx>
    <mdx n="0" f="v">
      <t c="7">
        <n x="81" s="1"/>
        <n x="24" s="1"/>
        <n x="21"/>
        <n x="29"/>
        <n x="54"/>
        <n x="10"/>
        <n x="161"/>
      </t>
    </mdx>
    <mdx n="0" f="v">
      <t c="7">
        <n x="81" s="1"/>
        <n x="24" s="1"/>
        <n x="21"/>
        <n x="26"/>
        <n x="31"/>
        <n x="12"/>
        <n x="161"/>
      </t>
    </mdx>
    <mdx n="0" f="v">
      <t c="7">
        <n x="81" s="1"/>
        <n x="24" s="1"/>
        <n x="21"/>
        <n x="26"/>
        <n x="56"/>
        <n x="25"/>
        <n x="161"/>
      </t>
    </mdx>
    <mdx n="0" f="v">
      <t c="7">
        <n x="81" s="1"/>
        <n x="24" s="1"/>
        <n x="21"/>
        <n x="62"/>
        <n x="73"/>
        <n x="10"/>
        <n x="161"/>
      </t>
    </mdx>
    <mdx n="0" f="v">
      <t c="6">
        <n x="81" s="1"/>
        <n x="24" s="1"/>
        <n x="21"/>
        <n x="65"/>
        <n x="25"/>
        <n x="161"/>
      </t>
    </mdx>
    <mdx n="0" f="v">
      <t c="7">
        <n x="81" s="1"/>
        <n x="24" s="1"/>
        <n x="21"/>
        <n x="26"/>
        <n x="41"/>
        <n x="12"/>
        <n x="161"/>
      </t>
    </mdx>
    <mdx n="0" f="v">
      <t c="7">
        <n x="81" s="1"/>
        <n x="24" s="1"/>
        <n x="21"/>
        <n x="26"/>
        <n x="34"/>
        <n x="11"/>
        <n x="161"/>
      </t>
    </mdx>
    <mdx n="0" f="v">
      <t c="7">
        <n x="81" s="1"/>
        <n x="24" s="1"/>
        <n x="21"/>
        <n x="32"/>
        <n x="33"/>
        <n x="16"/>
        <n x="161"/>
      </t>
    </mdx>
    <mdx n="0" f="v">
      <t c="7">
        <n x="81" s="1"/>
        <n x="24" s="1"/>
        <n x="21"/>
        <n x="26"/>
        <n x="27"/>
        <n x="11"/>
        <n x="161"/>
      </t>
    </mdx>
    <mdx n="0" f="v">
      <t c="7">
        <n x="81" s="1"/>
        <n x="24" s="1"/>
        <n x="21"/>
        <n x="26"/>
        <n x="38"/>
        <n x="8"/>
        <n x="161"/>
      </t>
    </mdx>
    <mdx n="0" f="v">
      <t c="7">
        <n x="81" s="1"/>
        <n x="24" s="1"/>
        <n x="21"/>
        <n x="29"/>
        <n x="51"/>
        <n x="11"/>
        <n x="161"/>
      </t>
    </mdx>
    <mdx n="0" f="v">
      <t c="6">
        <n x="81" s="1"/>
        <n x="24" s="1"/>
        <n x="21"/>
        <n x="26"/>
        <n x="15"/>
        <n x="161"/>
      </t>
    </mdx>
    <mdx n="0" f="v">
      <t c="7">
        <n x="81" s="1"/>
        <n x="24" s="1"/>
        <n x="21"/>
        <n x="29"/>
        <n x="51"/>
        <n x="9"/>
        <n x="161"/>
      </t>
    </mdx>
    <mdx n="0" f="v">
      <t c="7">
        <n x="81" s="1"/>
        <n x="24" s="1"/>
        <n x="21"/>
        <n x="26"/>
        <n x="69"/>
        <n x="25"/>
        <n x="161"/>
      </t>
    </mdx>
    <mdx n="0" f="v">
      <t c="6">
        <n x="81" s="1"/>
        <n x="24" s="1"/>
        <n x="21"/>
        <n x="26"/>
        <n x="25"/>
        <n x="161"/>
      </t>
    </mdx>
    <mdx n="0" f="v">
      <t c="7">
        <n x="81" s="1"/>
        <n x="24" s="1"/>
        <n x="21"/>
        <n x="26"/>
        <n x="38"/>
        <n x="6"/>
        <n x="161"/>
      </t>
    </mdx>
    <mdx n="0" f="v">
      <t c="7">
        <n x="81" s="1"/>
        <n x="24" s="1"/>
        <n x="21"/>
        <n x="62"/>
        <n x="74"/>
        <n x="6"/>
        <n x="161"/>
      </t>
    </mdx>
    <mdx n="0" f="v">
      <t c="7">
        <n x="81" s="1"/>
        <n x="24" s="1"/>
        <n x="21"/>
        <n x="32"/>
        <n x="66"/>
        <n x="12"/>
        <n x="161"/>
      </t>
    </mdx>
    <mdx n="0" f="v">
      <t c="7">
        <n x="81" s="1"/>
        <n x="24" s="1"/>
        <n x="21"/>
        <n x="29"/>
        <n x="35"/>
        <n x="6"/>
        <n x="161"/>
      </t>
    </mdx>
    <mdx n="0" f="v">
      <t c="7">
        <n x="81" s="1"/>
        <n x="24" s="1"/>
        <n x="21"/>
        <n x="62"/>
        <n x="72"/>
        <n x="11"/>
        <n x="161"/>
      </t>
    </mdx>
    <mdx n="0" f="v">
      <t c="7">
        <n x="81" s="1"/>
        <n x="24" s="1"/>
        <n x="21"/>
        <n x="26"/>
        <n x="57"/>
        <n x="7"/>
        <n x="161"/>
      </t>
    </mdx>
    <mdx n="0" f="v">
      <t c="7">
        <n x="81" s="1"/>
        <n x="24" s="1"/>
        <n x="21"/>
        <n x="28"/>
        <n x="53"/>
        <n x="7"/>
        <n x="161"/>
      </t>
    </mdx>
    <mdx n="0" f="v">
      <t c="7">
        <n x="81" s="1"/>
        <n x="24" s="1"/>
        <n x="21"/>
        <n x="26"/>
        <n x="56"/>
        <n x="9"/>
        <n x="161"/>
      </t>
    </mdx>
    <mdx n="0" f="v">
      <t c="6">
        <n x="81" s="1"/>
        <n x="24" s="1"/>
        <n x="21"/>
        <n x="36"/>
        <n x="17"/>
        <n x="161"/>
      </t>
    </mdx>
    <mdx n="0" f="v">
      <t c="6">
        <n x="81" s="1"/>
        <n x="24" s="1"/>
        <n x="21"/>
        <n x="28"/>
        <n x="9"/>
        <n x="161"/>
      </t>
    </mdx>
    <mdx n="0" f="v">
      <t c="7">
        <n x="81" s="1"/>
        <n x="24" s="1"/>
        <n x="21"/>
        <n x="26"/>
        <n x="44"/>
        <n x="25"/>
        <n x="161"/>
      </t>
    </mdx>
    <mdx n="0" f="v">
      <t c="6">
        <n x="81" s="1"/>
        <n x="24" s="1"/>
        <n x="21"/>
        <n x="26"/>
        <n x="14"/>
        <n x="161"/>
      </t>
    </mdx>
    <mdx n="0" f="v">
      <t c="6">
        <n x="81" s="1"/>
        <n x="24" s="1"/>
        <n x="21"/>
        <n x="48"/>
        <n x="13"/>
        <n x="161"/>
      </t>
    </mdx>
    <mdx n="0" f="v">
      <t c="7">
        <n x="81" s="1"/>
        <n x="24" s="1"/>
        <n x="21"/>
        <n x="26"/>
        <n x="34"/>
        <n x="10"/>
        <n x="161"/>
      </t>
    </mdx>
    <mdx n="0" f="v">
      <t c="7">
        <n x="81" s="1"/>
        <n x="24" s="1"/>
        <n x="21"/>
        <n x="29"/>
        <n x="51"/>
        <n x="7"/>
        <n x="161"/>
      </t>
    </mdx>
    <mdx n="0" f="v">
      <t c="7">
        <n x="81" s="1"/>
        <n x="24" s="1"/>
        <n x="21"/>
        <n x="28"/>
        <n x="42"/>
        <n x="25"/>
        <n x="161"/>
      </t>
    </mdx>
    <mdx n="0" f="v">
      <t c="7">
        <n x="81" s="1"/>
        <n x="24" s="1"/>
        <n x="21"/>
        <n x="29"/>
        <n x="71"/>
        <n x="9"/>
        <n x="161"/>
      </t>
    </mdx>
    <mdx n="0" f="v">
      <t c="6">
        <n x="81" s="1"/>
        <n x="24" s="1"/>
        <n x="21"/>
        <n x="32"/>
        <n x="8"/>
        <n x="161"/>
      </t>
    </mdx>
    <mdx n="0" f="v">
      <t c="7">
        <n x="81" s="1"/>
        <n x="24" s="1"/>
        <n x="21"/>
        <n x="29"/>
        <n x="43"/>
        <n x="15"/>
        <n x="161"/>
      </t>
    </mdx>
    <mdx n="0" f="v">
      <t c="7">
        <n x="81" s="1"/>
        <n x="24" s="1"/>
        <n x="21"/>
        <n x="26"/>
        <n x="41"/>
        <n x="10"/>
        <n x="161"/>
      </t>
    </mdx>
    <mdx n="0" f="v">
      <t c="7">
        <n x="81" s="1"/>
        <n x="24" s="1"/>
        <n x="21"/>
        <n x="48"/>
        <n x="49"/>
        <n x="9"/>
        <n x="161"/>
      </t>
    </mdx>
    <mdx n="0" f="v">
      <t c="7">
        <n x="81" s="1"/>
        <n x="24" s="1"/>
        <n x="21"/>
        <n x="29"/>
        <n x="30"/>
        <n x="14"/>
        <n x="161"/>
      </t>
    </mdx>
    <mdx n="0" f="v">
      <t c="7">
        <n x="81" s="1"/>
        <n x="24" s="1"/>
        <n x="21"/>
        <n x="26"/>
        <n x="31"/>
        <n x="14"/>
        <n x="161"/>
      </t>
    </mdx>
    <mdx n="0" f="v">
      <t c="6">
        <n x="81" s="1"/>
        <n x="24" s="1"/>
        <n x="21"/>
        <n x="61"/>
        <n x="16"/>
        <n x="161"/>
      </t>
    </mdx>
    <mdx n="0" f="v">
      <t c="7">
        <n x="81" s="1"/>
        <n x="24" s="1"/>
        <n x="21"/>
        <n x="62"/>
        <n x="73"/>
        <n x="15"/>
        <n x="161"/>
      </t>
    </mdx>
    <mdx n="0" f="v">
      <t c="7">
        <n x="81" s="1"/>
        <n x="24" s="1"/>
        <n x="21"/>
        <n x="29"/>
        <n x="40"/>
        <n x="25"/>
        <n x="161"/>
      </t>
    </mdx>
    <mdx n="0" f="v">
      <t c="7">
        <n x="81" s="1"/>
        <n x="24" s="1"/>
        <n x="21"/>
        <n x="29"/>
        <n x="40"/>
        <n x="15"/>
        <n x="161"/>
      </t>
    </mdx>
    <mdx n="0" f="v">
      <t c="6">
        <n x="81" s="1"/>
        <n x="24" s="1"/>
        <n x="21"/>
        <n x="61"/>
        <n x="10"/>
        <n x="161"/>
      </t>
    </mdx>
    <mdx n="0" f="v">
      <t c="7">
        <n x="81" s="1"/>
        <n x="24" s="1"/>
        <n x="21"/>
        <n x="48"/>
        <n x="49"/>
        <n x="10"/>
        <n x="161"/>
      </t>
    </mdx>
    <mdx n="0" f="v">
      <t c="6">
        <n x="81" s="1"/>
        <n x="24" s="1"/>
        <n x="21"/>
        <n x="28"/>
        <n x="12"/>
        <n x="161"/>
      </t>
    </mdx>
    <mdx n="0" f="v">
      <t c="7">
        <n x="81" s="1"/>
        <n x="24" s="1"/>
        <n x="21"/>
        <n x="26"/>
        <n x="44"/>
        <n x="13"/>
        <n x="161"/>
      </t>
    </mdx>
    <mdx n="0" f="v">
      <t c="7">
        <n x="81" s="1"/>
        <n x="24" s="1"/>
        <n x="21"/>
        <n x="26"/>
        <n x="31"/>
        <n x="25"/>
        <n x="161"/>
      </t>
    </mdx>
    <mdx n="0" f="v">
      <t c="6">
        <n x="81" s="1"/>
        <n x="24" s="1"/>
        <n x="21"/>
        <n x="36"/>
        <n x="10"/>
        <n x="161"/>
      </t>
    </mdx>
    <mdx n="0" f="v">
      <t c="6">
        <n x="81" s="1"/>
        <n x="24" s="1"/>
        <n x="21"/>
        <n x="65"/>
        <n x="7"/>
        <n x="161"/>
      </t>
    </mdx>
    <mdx n="0" f="v">
      <t c="7">
        <n x="81" s="1"/>
        <n x="24" s="1"/>
        <n x="21"/>
        <n x="32"/>
        <n x="66"/>
        <n x="9"/>
        <n x="161"/>
      </t>
    </mdx>
    <mdx n="0" f="v">
      <t c="7">
        <n x="81" s="1"/>
        <n x="24" s="1"/>
        <n x="21"/>
        <n x="26"/>
        <n x="27"/>
        <n x="6"/>
        <n x="161"/>
      </t>
    </mdx>
    <mdx n="0" f="v">
      <t c="7">
        <n x="81" s="1"/>
        <n x="24" s="1"/>
        <n x="21"/>
        <n x="26"/>
        <n x="27"/>
        <n x="16"/>
        <n x="161"/>
      </t>
    </mdx>
    <mdx n="0" f="v">
      <t c="6">
        <n x="81" s="1"/>
        <n x="24" s="1"/>
        <n x="21"/>
        <n x="61"/>
        <n x="14"/>
        <n x="161"/>
      </t>
    </mdx>
    <mdx n="0" f="v">
      <t c="6">
        <n x="81" s="1"/>
        <n x="24" s="1"/>
        <n x="21"/>
        <n x="61"/>
        <n x="13"/>
        <n x="161"/>
      </t>
    </mdx>
    <mdx n="0" f="v">
      <t c="7">
        <n x="81" s="1"/>
        <n x="24" s="1"/>
        <n x="21"/>
        <n x="29"/>
        <n x="51"/>
        <n x="14"/>
        <n x="161"/>
      </t>
    </mdx>
    <mdx n="0" f="v">
      <t c="7">
        <n x="81" s="1"/>
        <n x="24" s="1"/>
        <n x="21"/>
        <n x="48"/>
        <n x="49"/>
        <n x="16"/>
        <n x="161"/>
      </t>
    </mdx>
    <mdx n="0" f="v">
      <t c="6">
        <n x="81" s="1"/>
        <n x="24" s="1"/>
        <n x="21"/>
        <n x="48"/>
        <n x="9"/>
        <n x="161"/>
      </t>
    </mdx>
    <mdx n="0" f="v">
      <t c="7">
        <n x="81" s="1"/>
        <n x="24" s="1"/>
        <n x="21"/>
        <n x="26"/>
        <n x="67"/>
        <n x="9"/>
        <n x="161"/>
      </t>
    </mdx>
    <mdx n="0" f="v">
      <t c="7">
        <n x="81" s="1"/>
        <n x="24" s="1"/>
        <n x="21"/>
        <n x="28"/>
        <n x="55"/>
        <n x="8"/>
        <n x="161"/>
      </t>
    </mdx>
    <mdx n="0" f="v">
      <t c="7">
        <n x="81" s="1"/>
        <n x="24" s="1"/>
        <n x="21"/>
        <n x="26"/>
        <n x="31"/>
        <n x="16"/>
        <n x="161"/>
      </t>
    </mdx>
    <mdx n="0" f="v">
      <t c="7">
        <n x="81" s="1"/>
        <n x="24" s="1"/>
        <n x="21"/>
        <n x="29"/>
        <n x="50"/>
        <n x="14"/>
        <n x="161"/>
      </t>
    </mdx>
    <mdx n="0" f="v">
      <t c="6">
        <n x="81" s="1"/>
        <n x="24" s="1"/>
        <n x="21"/>
        <n x="65"/>
        <n x="10"/>
        <n x="161"/>
      </t>
    </mdx>
    <mdx n="0" f="v">
      <t c="7">
        <n x="81" s="1"/>
        <n x="24" s="1"/>
        <n x="21"/>
        <n x="48"/>
        <n x="49"/>
        <n x="11"/>
        <n x="161"/>
      </t>
    </mdx>
    <mdx n="0" f="v">
      <t c="7">
        <n x="81" s="1"/>
        <n x="24" s="1"/>
        <n x="21"/>
        <n x="32"/>
        <n x="70"/>
        <n x="25"/>
        <n x="161"/>
      </t>
    </mdx>
    <mdx n="0" f="v">
      <t c="7">
        <n x="81" s="1"/>
        <n x="24" s="1"/>
        <n x="21"/>
        <n x="28"/>
        <n x="53"/>
        <n x="13"/>
        <n x="161"/>
      </t>
    </mdx>
    <mdx n="0" f="v">
      <t c="6">
        <n x="81" s="1"/>
        <n x="24" s="1"/>
        <n x="21"/>
        <n x="32"/>
        <n x="17"/>
        <n x="161"/>
      </t>
    </mdx>
    <mdx n="0" f="v">
      <t c="7">
        <n x="81" s="1"/>
        <n x="24" s="1"/>
        <n x="21"/>
        <n x="26"/>
        <n x="57"/>
        <n x="13"/>
        <n x="161"/>
      </t>
    </mdx>
    <mdx n="0" f="v">
      <t c="7">
        <n x="81" s="1"/>
        <n x="24" s="1"/>
        <n x="21"/>
        <n x="28"/>
        <n x="58"/>
        <n x="10"/>
        <n x="161"/>
      </t>
    </mdx>
    <mdx n="0" f="v">
      <t c="7">
        <n x="81" s="1"/>
        <n x="24" s="1"/>
        <n x="21"/>
        <n x="29"/>
        <n x="51"/>
        <n x="6"/>
        <n x="161"/>
      </t>
    </mdx>
    <mdx n="0" f="v">
      <t c="7">
        <n x="81" s="1"/>
        <n x="24" s="1"/>
        <n x="21"/>
        <n x="32"/>
        <n x="70"/>
        <n x="7"/>
        <n x="161"/>
      </t>
    </mdx>
    <mdx n="0" f="v">
      <t c="7">
        <n x="81" s="1"/>
        <n x="24" s="1"/>
        <n x="21"/>
        <n x="26"/>
        <n x="52"/>
        <n x="16"/>
        <n x="161"/>
      </t>
    </mdx>
    <mdx n="0" f="v">
      <t c="7">
        <n x="81" s="1"/>
        <n x="24" s="1"/>
        <n x="21"/>
        <n x="29"/>
        <n x="59"/>
        <n x="16"/>
        <n x="161"/>
      </t>
    </mdx>
    <mdx n="0" f="v">
      <t c="7">
        <n x="81" s="1"/>
        <n x="24" s="1"/>
        <n x="21"/>
        <n x="29"/>
        <n x="47"/>
        <n x="13"/>
        <n x="161"/>
      </t>
    </mdx>
    <mdx n="0" f="v">
      <t c="7">
        <n x="81" s="1"/>
        <n x="24" s="1"/>
        <n x="21"/>
        <n x="26"/>
        <n x="69"/>
        <n x="8"/>
        <n x="161"/>
      </t>
    </mdx>
    <mdx n="0" f="v">
      <t c="7">
        <n x="81" s="1"/>
        <n x="24" s="1"/>
        <n x="21"/>
        <n x="28"/>
        <n x="53"/>
        <n x="8"/>
        <n x="161"/>
      </t>
    </mdx>
    <mdx n="0" f="v">
      <t c="7">
        <n x="81" s="1"/>
        <n x="24" s="1"/>
        <n x="21"/>
        <n x="29"/>
        <n x="50"/>
        <n x="9"/>
        <n x="161"/>
      </t>
    </mdx>
    <mdx n="0" f="v">
      <t c="7">
        <n x="81" s="1"/>
        <n x="24" s="1"/>
        <n x="21"/>
        <n x="29"/>
        <n x="43"/>
        <n x="7"/>
        <n x="161"/>
      </t>
    </mdx>
    <mdx n="0" f="v">
      <t c="7">
        <n x="81" s="1"/>
        <n x="24" s="1"/>
        <n x="21"/>
        <n x="48"/>
        <n x="64"/>
        <n x="12"/>
        <n x="161"/>
      </t>
    </mdx>
    <mdx n="0" f="v">
      <t c="7">
        <n x="81" s="1"/>
        <n x="24" s="1"/>
        <n x="21"/>
        <n x="26"/>
        <n x="69"/>
        <n x="12"/>
        <n x="161"/>
      </t>
    </mdx>
    <mdx n="0" f="v">
      <t c="7">
        <n x="81" s="1"/>
        <n x="24" s="1"/>
        <n x="21"/>
        <n x="48"/>
        <n x="64"/>
        <n x="17"/>
        <n x="161"/>
      </t>
    </mdx>
    <mdx n="0" f="v">
      <t c="7">
        <n x="81" s="1"/>
        <n x="24" s="1"/>
        <n x="21"/>
        <n x="29"/>
        <n x="30"/>
        <n x="7"/>
        <n x="161"/>
      </t>
    </mdx>
    <mdx n="0" f="v">
      <t c="7">
        <n x="81" s="1"/>
        <n x="24" s="1"/>
        <n x="21"/>
        <n x="36"/>
        <n x="37"/>
        <n x="7"/>
        <n x="161"/>
      </t>
    </mdx>
    <mdx n="0" f="v">
      <t c="7">
        <n x="81" s="1"/>
        <n x="24" s="1"/>
        <n x="21"/>
        <n x="28"/>
        <n x="53"/>
        <n x="17"/>
        <n x="161"/>
      </t>
    </mdx>
    <mdx n="0" f="v">
      <t c="7">
        <n x="81" s="1"/>
        <n x="24" s="1"/>
        <n x="21"/>
        <n x="26"/>
        <n x="60"/>
        <n x="9"/>
        <n x="161"/>
      </t>
    </mdx>
    <mdx n="0" f="v">
      <t c="7">
        <n x="81" s="1"/>
        <n x="24" s="1"/>
        <n x="21"/>
        <n x="29"/>
        <n x="30"/>
        <n x="17"/>
        <n x="161"/>
      </t>
    </mdx>
    <mdx n="0" f="v">
      <t c="7">
        <n x="81" s="1"/>
        <n x="24" s="1"/>
        <n x="21"/>
        <n x="26"/>
        <n x="44"/>
        <n x="10"/>
        <n x="161"/>
      </t>
    </mdx>
    <mdx n="0" f="v">
      <t c="7">
        <n x="81" s="1"/>
        <n x="24" s="1"/>
        <n x="21"/>
        <n x="29"/>
        <n x="59"/>
        <n x="13"/>
        <n x="161"/>
      </t>
    </mdx>
    <mdx n="0" f="v">
      <t c="7">
        <n x="81" s="1"/>
        <n x="24" s="1"/>
        <n x="21"/>
        <n x="29"/>
        <n x="43"/>
        <n x="8"/>
        <n x="161"/>
      </t>
    </mdx>
    <mdx n="0" f="v">
      <t c="7">
        <n x="81" s="1"/>
        <n x="24" s="1"/>
        <n x="21"/>
        <n x="26"/>
        <n x="44"/>
        <n x="8"/>
        <n x="161"/>
      </t>
    </mdx>
    <mdx n="0" f="v">
      <t c="6">
        <n x="81" s="1"/>
        <n x="24" s="1"/>
        <n x="21"/>
        <n x="29"/>
        <n x="15"/>
        <n x="161"/>
      </t>
    </mdx>
    <mdx n="0" f="v">
      <t c="7">
        <n x="81" s="1"/>
        <n x="24" s="1"/>
        <n x="21"/>
        <n x="62"/>
        <n x="74"/>
        <n x="14"/>
        <n x="161"/>
      </t>
    </mdx>
    <mdx n="0" f="v">
      <t c="7">
        <n x="81" s="1"/>
        <n x="24" s="1"/>
        <n x="21"/>
        <n x="48"/>
        <n x="49"/>
        <n x="6"/>
        <n x="161"/>
      </t>
    </mdx>
    <mdx n="0" f="v">
      <t c="7">
        <n x="81" s="1"/>
        <n x="24" s="1"/>
        <n x="21"/>
        <n x="26"/>
        <n x="69"/>
        <n x="13"/>
        <n x="161"/>
      </t>
    </mdx>
    <mdx n="0" f="v">
      <t c="7">
        <n x="81" s="1"/>
        <n x="24" s="1"/>
        <n x="21"/>
        <n x="26"/>
        <n x="67"/>
        <n x="25"/>
        <n x="161"/>
      </t>
    </mdx>
    <mdx n="0" f="v">
      <t c="6">
        <n x="81" s="1"/>
        <n x="24" s="1"/>
        <n x="21"/>
        <n x="36"/>
        <n x="14"/>
        <n x="161"/>
      </t>
    </mdx>
    <mdx n="0" f="v">
      <t c="7">
        <n x="81" s="1"/>
        <n x="24" s="1"/>
        <n x="21"/>
        <n x="29"/>
        <n x="54"/>
        <n x="14"/>
        <n x="161"/>
      </t>
    </mdx>
    <mdx n="0" f="v">
      <t c="6">
        <n x="81" s="1"/>
        <n x="24" s="1"/>
        <n x="21"/>
        <n x="32"/>
        <n x="14"/>
        <n x="161"/>
      </t>
    </mdx>
    <mdx n="0" f="v">
      <t c="7">
        <n x="81" s="1"/>
        <n x="24" s="1"/>
        <n x="21"/>
        <n x="32"/>
        <n x="68"/>
        <n x="25"/>
        <n x="161"/>
      </t>
    </mdx>
    <mdx n="0" f="v">
      <t c="6">
        <n x="81" s="1"/>
        <n x="24" s="1"/>
        <n x="21"/>
        <n x="65"/>
        <n x="13"/>
        <n x="161"/>
      </t>
    </mdx>
    <mdx n="0" f="v">
      <t c="7">
        <n x="81" s="1"/>
        <n x="24" s="1"/>
        <n x="21"/>
        <n x="26"/>
        <n x="57"/>
        <n x="14"/>
        <n x="161"/>
      </t>
    </mdx>
    <mdx n="0" f="v">
      <t c="7">
        <n x="81" s="1"/>
        <n x="24" s="1"/>
        <n x="21"/>
        <n x="26"/>
        <n x="52"/>
        <n x="6"/>
        <n x="161"/>
      </t>
    </mdx>
    <mdx n="0" f="v">
      <t c="7">
        <n x="81" s="1"/>
        <n x="24" s="1"/>
        <n x="21"/>
        <n x="26"/>
        <n x="60"/>
        <n x="11"/>
        <n x="161"/>
      </t>
    </mdx>
    <mdx n="0" f="v">
      <t c="7">
        <n x="81" s="1"/>
        <n x="24" s="1"/>
        <n x="21"/>
        <n x="26"/>
        <n x="67"/>
        <n x="10"/>
        <n x="161"/>
      </t>
    </mdx>
    <mdx n="0" f="v">
      <t c="7">
        <n x="81" s="1"/>
        <n x="24" s="1"/>
        <n x="21"/>
        <n x="29"/>
        <n x="47"/>
        <n x="17"/>
        <n x="161"/>
      </t>
    </mdx>
    <mdx n="0" f="v">
      <t c="7">
        <n x="81" s="1"/>
        <n x="24" s="1"/>
        <n x="21"/>
        <n x="29"/>
        <n x="45"/>
        <n x="13"/>
        <n x="161"/>
      </t>
    </mdx>
    <mdx n="0" f="v">
      <t c="7">
        <n x="81" s="1"/>
        <n x="24" s="1"/>
        <n x="21"/>
        <n x="32"/>
        <n x="33"/>
        <n x="9"/>
        <n x="161"/>
      </t>
    </mdx>
    <mdx n="0" f="v">
      <t c="7">
        <n x="81" s="1"/>
        <n x="24" s="1"/>
        <n x="21"/>
        <n x="29"/>
        <n x="47"/>
        <n x="12"/>
        <n x="161"/>
      </t>
    </mdx>
    <mdx n="0" f="v">
      <t c="7">
        <n x="81" s="1"/>
        <n x="24" s="1"/>
        <n x="21"/>
        <n x="32"/>
        <n x="63"/>
        <n x="11"/>
        <n x="161"/>
      </t>
    </mdx>
    <mdx n="0" f="v">
      <t c="7">
        <n x="81" s="1"/>
        <n x="24" s="1"/>
        <n x="21"/>
        <n x="26"/>
        <n x="57"/>
        <n x="25"/>
        <n x="161"/>
      </t>
    </mdx>
    <mdx n="0" f="v">
      <t c="7">
        <n x="81" s="1"/>
        <n x="24" s="1"/>
        <n x="21"/>
        <n x="26"/>
        <n x="27"/>
        <n x="10"/>
        <n x="161"/>
      </t>
    </mdx>
    <mdx n="0" f="v">
      <t c="6">
        <n x="81" s="1"/>
        <n x="24" s="1"/>
        <n x="21"/>
        <n x="65"/>
        <n x="15"/>
        <n x="161"/>
      </t>
    </mdx>
    <mdx n="0" f="v">
      <t c="7">
        <n x="81" s="1"/>
        <n x="24" s="1"/>
        <n x="21"/>
        <n x="48"/>
        <n x="49"/>
        <n x="15"/>
        <n x="161"/>
      </t>
    </mdx>
    <mdx n="0" f="v">
      <t c="6">
        <n x="81" s="1"/>
        <n x="24" s="1"/>
        <n x="21"/>
        <n x="61"/>
        <n x="9"/>
        <n x="161"/>
      </t>
    </mdx>
    <mdx n="0" f="v">
      <t c="7">
        <n x="81" s="1"/>
        <n x="24" s="1"/>
        <n x="21"/>
        <n x="26"/>
        <n x="60"/>
        <n x="10"/>
        <n x="161"/>
      </t>
    </mdx>
    <mdx n="0" f="v">
      <t c="6">
        <n x="81" s="1"/>
        <n x="24" s="1"/>
        <n x="21"/>
        <n x="65"/>
        <n x="6"/>
        <n x="161"/>
      </t>
    </mdx>
    <mdx n="0" f="v">
      <t c="7">
        <n x="81" s="1"/>
        <n x="24" s="1"/>
        <n x="21"/>
        <n x="26"/>
        <n x="60"/>
        <n x="16"/>
        <n x="161"/>
      </t>
    </mdx>
    <mdx n="0" f="v">
      <t c="7">
        <n x="81" s="1"/>
        <n x="24" s="1"/>
        <n x="21"/>
        <n x="26"/>
        <n x="57"/>
        <n x="17"/>
        <n x="161"/>
      </t>
    </mdx>
    <mdx n="0" f="v">
      <t c="6">
        <n x="81" s="1"/>
        <n x="24" s="1"/>
        <n x="21"/>
        <n x="61"/>
        <n x="25"/>
        <n x="161"/>
      </t>
    </mdx>
    <mdx n="0" f="v">
      <t c="7">
        <n x="81" s="1"/>
        <n x="24" s="1"/>
        <n x="21"/>
        <n x="28"/>
        <n x="55"/>
        <n x="25"/>
        <n x="161"/>
      </t>
    </mdx>
    <mdx n="0" f="v">
      <t c="6">
        <n x="81" s="1"/>
        <n x="24" s="1"/>
        <n x="21"/>
        <n x="36"/>
        <n x="15"/>
        <n x="161"/>
      </t>
    </mdx>
    <mdx n="0" f="v">
      <t c="6">
        <n x="81" s="1"/>
        <n x="24" s="1"/>
        <n x="21"/>
        <n x="48"/>
        <n x="7"/>
        <n x="161"/>
      </t>
    </mdx>
    <mdx n="0" f="v">
      <t c="7">
        <n x="81" s="1"/>
        <n x="24" s="1"/>
        <n x="21"/>
        <n x="26"/>
        <n x="46"/>
        <n x="10"/>
        <n x="161"/>
      </t>
    </mdx>
    <mdx n="0" f="v">
      <t c="7">
        <n x="81" s="1"/>
        <n x="24" s="1"/>
        <n x="21"/>
        <n x="62"/>
        <n x="73"/>
        <n x="13"/>
        <n x="161"/>
      </t>
    </mdx>
    <mdx n="0" f="v">
      <t c="6">
        <n x="81" s="1"/>
        <n x="24" s="1"/>
        <n x="21"/>
        <n x="65"/>
        <n x="17"/>
        <n x="161"/>
      </t>
    </mdx>
    <mdx n="0" f="v">
      <t c="7">
        <n x="81" s="1"/>
        <n x="24" s="1"/>
        <n x="21"/>
        <n x="29"/>
        <n x="30"/>
        <n x="12"/>
        <n x="161"/>
      </t>
    </mdx>
    <mdx n="0" f="v">
      <t c="7">
        <n x="81" s="1"/>
        <n x="24" s="1"/>
        <n x="21"/>
        <n x="26"/>
        <n x="27"/>
        <n x="15"/>
        <n x="161"/>
      </t>
    </mdx>
    <mdx n="0" f="v">
      <t c="7">
        <n x="81" s="1"/>
        <n x="24" s="1"/>
        <n x="21"/>
        <n x="26"/>
        <n x="60"/>
        <n x="7"/>
        <n x="161"/>
      </t>
    </mdx>
    <mdx n="0" f="v">
      <t c="7">
        <n x="81" s="1"/>
        <n x="24" s="1"/>
        <n x="21"/>
        <n x="28"/>
        <n x="58"/>
        <n x="11"/>
        <n x="161"/>
      </t>
    </mdx>
    <mdx n="0" f="v">
      <t c="7">
        <n x="81" s="1"/>
        <n x="24" s="1"/>
        <n x="21"/>
        <n x="32"/>
        <n x="66"/>
        <n x="11"/>
        <n x="161"/>
      </t>
    </mdx>
    <mdx n="0" f="v">
      <t c="7">
        <n x="81" s="1"/>
        <n x="24" s="1"/>
        <n x="21"/>
        <n x="26"/>
        <n x="44"/>
        <n x="9"/>
        <n x="161"/>
      </t>
    </mdx>
    <mdx n="0" f="v">
      <t c="7">
        <n x="81" s="1"/>
        <n x="24" s="1"/>
        <n x="21"/>
        <n x="26"/>
        <n x="44"/>
        <n x="12"/>
        <n x="161"/>
      </t>
    </mdx>
    <mdx n="0" f="v">
      <t c="7">
        <n x="81" s="1"/>
        <n x="24" s="1"/>
        <n x="21"/>
        <n x="26"/>
        <n x="41"/>
        <n x="16"/>
        <n x="161"/>
      </t>
    </mdx>
    <mdx n="0" f="v">
      <t c="7">
        <n x="81" s="1"/>
        <n x="24" s="1"/>
        <n x="21"/>
        <n x="26"/>
        <n x="34"/>
        <n x="16"/>
        <n x="161"/>
      </t>
    </mdx>
    <mdx n="0" f="v">
      <t c="7">
        <n x="81" s="1"/>
        <n x="24" s="1"/>
        <n x="21"/>
        <n x="26"/>
        <n x="38"/>
        <n x="16"/>
        <n x="161"/>
      </t>
    </mdx>
    <mdx n="0" f="v">
      <t c="6">
        <n x="81" s="1"/>
        <n x="24" s="1"/>
        <n x="21"/>
        <n x="29"/>
        <n x="17"/>
        <n x="161"/>
      </t>
    </mdx>
    <mdx n="0" f="v">
      <t c="7">
        <n x="81" s="1"/>
        <n x="24" s="1"/>
        <n x="21"/>
        <n x="32"/>
        <n x="66"/>
        <n x="6"/>
        <n x="161"/>
      </t>
    </mdx>
    <mdx n="0" f="v">
      <t c="7">
        <n x="81" s="1"/>
        <n x="24" s="1"/>
        <n x="21"/>
        <n x="32"/>
        <n x="33"/>
        <n x="6"/>
        <n x="161"/>
      </t>
    </mdx>
    <mdx n="0" f="v">
      <t c="7">
        <n x="81" s="1"/>
        <n x="24" s="1"/>
        <n x="21"/>
        <n x="26"/>
        <n x="69"/>
        <n x="15"/>
        <n x="161"/>
      </t>
    </mdx>
    <mdx n="0" f="v">
      <t c="7">
        <n x="81" s="1"/>
        <n x="24" s="1"/>
        <n x="21"/>
        <n x="26"/>
        <n x="57"/>
        <n x="9"/>
        <n x="161"/>
      </t>
    </mdx>
    <mdx n="0" f="v">
      <t c="7">
        <n x="81" s="1"/>
        <n x="24" s="1"/>
        <n x="21"/>
        <n x="29"/>
        <n x="35"/>
        <n x="11"/>
        <n x="161"/>
      </t>
    </mdx>
    <mdx n="0" f="v">
      <t c="6">
        <n x="81" s="1"/>
        <n x="24" s="1"/>
        <n x="21"/>
        <n x="26"/>
        <n x="12"/>
        <n x="161"/>
      </t>
    </mdx>
    <mdx n="0" f="v">
      <t c="7">
        <n x="81" s="1"/>
        <n x="24" s="1"/>
        <n x="21"/>
        <n x="26"/>
        <n x="52"/>
        <n x="25"/>
        <n x="161"/>
      </t>
    </mdx>
    <mdx n="0" f="v">
      <t c="7">
        <n x="81" s="1"/>
        <n x="24" s="1"/>
        <n x="21"/>
        <n x="48"/>
        <n x="64"/>
        <n x="15"/>
        <n x="161"/>
      </t>
    </mdx>
    <mdx n="0" f="v">
      <t c="7">
        <n x="81" s="1"/>
        <n x="24" s="1"/>
        <n x="21"/>
        <n x="29"/>
        <n x="51"/>
        <n x="12"/>
        <n x="161"/>
      </t>
    </mdx>
    <mdx n="0" f="v">
      <t c="7">
        <n x="81" s="1"/>
        <n x="24" s="1"/>
        <n x="21"/>
        <n x="26"/>
        <n x="52"/>
        <n x="17"/>
        <n x="161"/>
      </t>
    </mdx>
    <mdx n="0" f="v">
      <t c="7">
        <n x="81" s="1"/>
        <n x="24" s="1"/>
        <n x="21"/>
        <n x="62"/>
        <n x="73"/>
        <n x="9"/>
        <n x="161"/>
      </t>
    </mdx>
    <mdx n="0" f="v">
      <t c="7">
        <n x="81" s="1"/>
        <n x="24" s="1"/>
        <n x="21"/>
        <n x="29"/>
        <n x="35"/>
        <n x="15"/>
        <n x="161"/>
      </t>
    </mdx>
    <mdx n="0" f="v">
      <t c="7">
        <n x="81" s="1"/>
        <n x="24" s="1"/>
        <n x="21"/>
        <n x="29"/>
        <n x="51"/>
        <n x="13"/>
        <n x="161"/>
      </t>
    </mdx>
    <mdx n="0" f="v">
      <t c="7">
        <n x="81" s="1"/>
        <n x="24" s="1"/>
        <n x="21"/>
        <n x="26"/>
        <n x="27"/>
        <n x="25"/>
        <n x="161"/>
      </t>
    </mdx>
    <mdx n="0" f="v">
      <t c="7">
        <n x="81" s="1"/>
        <n x="24" s="1"/>
        <n x="21"/>
        <n x="29"/>
        <n x="35"/>
        <n x="8"/>
        <n x="161"/>
      </t>
    </mdx>
    <mdx n="0" f="v">
      <t c="7">
        <n x="81" s="1"/>
        <n x="24" s="1"/>
        <n x="21"/>
        <n x="48"/>
        <n x="64"/>
        <n x="25"/>
        <n x="161"/>
      </t>
    </mdx>
    <mdx n="0" f="v">
      <t c="6">
        <n x="81" s="1"/>
        <n x="24" s="1"/>
        <n x="21"/>
        <n x="48"/>
        <n x="25"/>
        <n x="161"/>
      </t>
    </mdx>
    <mdx n="0" f="v">
      <t c="7">
        <n x="81" s="1"/>
        <n x="24" s="1"/>
        <n x="21"/>
        <n x="32"/>
        <n x="63"/>
        <n x="17"/>
        <n x="161"/>
      </t>
    </mdx>
    <mdx n="0" f="v">
      <t c="7">
        <n x="81" s="1"/>
        <n x="24" s="1"/>
        <n x="21"/>
        <n x="32"/>
        <n x="70"/>
        <n x="16"/>
        <n x="161"/>
      </t>
    </mdx>
    <mdx n="0" f="v">
      <t c="6">
        <n x="81" s="1"/>
        <n x="24" s="1"/>
        <n x="21"/>
        <n x="32"/>
        <n x="6"/>
        <n x="161"/>
      </t>
    </mdx>
    <mdx n="0" f="v">
      <t c="7">
        <n x="81" s="1"/>
        <n x="24" s="1"/>
        <n x="21"/>
        <n x="26"/>
        <n x="44"/>
        <n x="17"/>
        <n x="161"/>
      </t>
    </mdx>
    <mdx n="0" f="v">
      <t c="7">
        <n x="81" s="1"/>
        <n x="24" s="1"/>
        <n x="21"/>
        <n x="29"/>
        <n x="71"/>
        <n x="16"/>
        <n x="161"/>
      </t>
    </mdx>
    <mdx n="0" f="v">
      <t c="7">
        <n x="81" s="1"/>
        <n x="24" s="1"/>
        <n x="21"/>
        <n x="48"/>
        <n x="64"/>
        <n x="6"/>
        <n x="161"/>
      </t>
    </mdx>
    <mdx n="0" f="v">
      <t c="7">
        <n x="81" s="1"/>
        <n x="24" s="1"/>
        <n x="21"/>
        <n x="26"/>
        <n x="56"/>
        <n x="11"/>
        <n x="161"/>
      </t>
    </mdx>
    <mdx n="0" f="v">
      <t c="7">
        <n x="81" s="1"/>
        <n x="24" s="1"/>
        <n x="21"/>
        <n x="26"/>
        <n x="57"/>
        <n x="15"/>
        <n x="161"/>
      </t>
    </mdx>
    <mdx n="0" f="v">
      <t c="7">
        <n x="81" s="1"/>
        <n x="24" s="1"/>
        <n x="21"/>
        <n x="29"/>
        <n x="71"/>
        <n x="15"/>
        <n x="161"/>
      </t>
    </mdx>
    <mdx n="0" f="v">
      <t c="7">
        <n x="81" s="1"/>
        <n x="24" s="1"/>
        <n x="21"/>
        <n x="36"/>
        <n x="37"/>
        <n x="17"/>
        <n x="161"/>
      </t>
    </mdx>
    <mdx n="0" f="v">
      <t c="7">
        <n x="81" s="1"/>
        <n x="24" s="1"/>
        <n x="21"/>
        <n x="29"/>
        <n x="45"/>
        <n x="16"/>
        <n x="161"/>
      </t>
    </mdx>
    <mdx n="0" f="v">
      <t c="7">
        <n x="81" s="1"/>
        <n x="24" s="1"/>
        <n x="21"/>
        <n x="32"/>
        <n x="63"/>
        <n x="16"/>
        <n x="161"/>
      </t>
    </mdx>
    <mdx n="0" f="v">
      <t c="7">
        <n x="81" s="1"/>
        <n x="24" s="1"/>
        <n x="21"/>
        <n x="28"/>
        <n x="55"/>
        <n x="17"/>
        <n x="161"/>
      </t>
    </mdx>
    <mdx n="0" f="v">
      <t c="6">
        <n x="81" s="1"/>
        <n x="24" s="1"/>
        <n x="21"/>
        <n x="29"/>
        <n x="13"/>
        <n x="161"/>
      </t>
    </mdx>
    <mdx n="0" f="v">
      <t c="7">
        <n x="81" s="1"/>
        <n x="24" s="1"/>
        <n x="21"/>
        <n x="29"/>
        <n x="50"/>
        <n x="13"/>
        <n x="161"/>
      </t>
    </mdx>
    <mdx n="0" f="v">
      <t c="7">
        <n x="81" s="1"/>
        <n x="24" s="1"/>
        <n x="21"/>
        <n x="29"/>
        <n x="71"/>
        <n x="13"/>
        <n x="161"/>
      </t>
    </mdx>
    <mdx n="0" f="v">
      <t c="7">
        <n x="81" s="1"/>
        <n x="24" s="1"/>
        <n x="21"/>
        <n x="29"/>
        <n x="71"/>
        <n x="17"/>
        <n x="161"/>
      </t>
    </mdx>
    <mdx n="0" f="v">
      <t c="6">
        <n x="81" s="1"/>
        <n x="24" s="1"/>
        <n x="21"/>
        <n x="48"/>
        <n x="14"/>
        <n x="161"/>
      </t>
    </mdx>
    <mdx n="0" f="v">
      <t c="7">
        <n x="81" s="1"/>
        <n x="24" s="1"/>
        <n x="21"/>
        <n x="62"/>
        <n x="73"/>
        <n x="8"/>
        <n x="161"/>
      </t>
    </mdx>
    <mdx n="0" f="v">
      <t c="7">
        <n x="81" s="1"/>
        <n x="24" s="1"/>
        <n x="21"/>
        <n x="28"/>
        <n x="55"/>
        <n x="7"/>
        <n x="161"/>
      </t>
    </mdx>
    <mdx n="0" f="v">
      <t c="6">
        <n x="81" s="1"/>
        <n x="24" s="1"/>
        <n x="21"/>
        <n x="29"/>
        <n x="7"/>
        <n x="161"/>
      </t>
    </mdx>
    <mdx n="0" f="v">
      <t c="7">
        <n x="81" s="1"/>
        <n x="24" s="1"/>
        <n x="21"/>
        <n x="32"/>
        <n x="33"/>
        <n x="25"/>
        <n x="161"/>
      </t>
    </mdx>
    <mdx n="0" f="v">
      <t c="7">
        <n x="81" s="1"/>
        <n x="24" s="1"/>
        <n x="21"/>
        <n x="26"/>
        <n x="27"/>
        <n x="12"/>
        <n x="161"/>
      </t>
    </mdx>
    <mdx n="0" f="v">
      <t c="7">
        <n x="81" s="1"/>
        <n x="24" s="1"/>
        <n x="21"/>
        <n x="29"/>
        <n x="47"/>
        <n x="14"/>
        <n x="161"/>
      </t>
    </mdx>
    <mdx n="0" f="v">
      <t c="7">
        <n x="81" s="1"/>
        <n x="24" s="1"/>
        <n x="21"/>
        <n x="29"/>
        <n x="59"/>
        <n x="25"/>
        <n x="161"/>
      </t>
    </mdx>
    <mdx n="0" f="v">
      <t c="7">
        <n x="81" s="1"/>
        <n x="24" s="1"/>
        <n x="21"/>
        <n x="26"/>
        <n x="38"/>
        <n x="7"/>
        <n x="161"/>
      </t>
    </mdx>
    <mdx n="0" f="v">
      <t c="7">
        <n x="81" s="1"/>
        <n x="24" s="1"/>
        <n x="21"/>
        <n x="29"/>
        <n x="50"/>
        <n x="7"/>
        <n x="161"/>
      </t>
    </mdx>
    <mdx n="0" f="v">
      <t c="7">
        <n x="81" s="1"/>
        <n x="24" s="1"/>
        <n x="21"/>
        <n x="26"/>
        <n x="27"/>
        <n x="8"/>
        <n x="161"/>
      </t>
    </mdx>
    <mdx n="0" f="v">
      <t c="7">
        <n x="81" s="1"/>
        <n x="24" s="1"/>
        <n x="21"/>
        <n x="32"/>
        <n x="63"/>
        <n x="12"/>
        <n x="161"/>
      </t>
    </mdx>
    <mdx n="0" f="v">
      <t c="7">
        <n x="81" s="1"/>
        <n x="24" s="1"/>
        <n x="21"/>
        <n x="26"/>
        <n x="31"/>
        <n x="13"/>
        <n x="161"/>
      </t>
    </mdx>
    <mdx n="0" f="v">
      <t c="7">
        <n x="81" s="1"/>
        <n x="24" s="1"/>
        <n x="21"/>
        <n x="26"/>
        <n x="38"/>
        <n x="17"/>
        <n x="161"/>
      </t>
    </mdx>
    <mdx n="0" f="v">
      <t c="7">
        <n x="81" s="1"/>
        <n x="24" s="1"/>
        <n x="21"/>
        <n x="29"/>
        <n x="35"/>
        <n x="12"/>
        <n x="161"/>
      </t>
    </mdx>
    <mdx n="0" f="v">
      <t c="7">
        <n x="81" s="1"/>
        <n x="24" s="1"/>
        <n x="21"/>
        <n x="26"/>
        <n x="67"/>
        <n x="8"/>
        <n x="161"/>
      </t>
    </mdx>
    <mdx n="0" f="v">
      <t c="6">
        <n x="81" s="1"/>
        <n x="24" s="1"/>
        <n x="21"/>
        <n x="29"/>
        <n x="6"/>
        <n x="161"/>
      </t>
    </mdx>
    <mdx n="0" f="v">
      <t c="7">
        <n x="81" s="1"/>
        <n x="24" s="1"/>
        <n x="21"/>
        <n x="29"/>
        <n x="43"/>
        <n x="14"/>
        <n x="161"/>
      </t>
    </mdx>
    <mdx n="0" f="v">
      <t c="7">
        <n x="81" s="1"/>
        <n x="24" s="1"/>
        <n x="21"/>
        <n x="32"/>
        <n x="66"/>
        <n x="16"/>
        <n x="161"/>
      </t>
    </mdx>
    <mdx n="0" f="v">
      <t c="7">
        <n x="81" s="1"/>
        <n x="24" s="1"/>
        <n x="21"/>
        <n x="29"/>
        <n x="43"/>
        <n x="10"/>
        <n x="161"/>
      </t>
    </mdx>
    <mdx n="0" f="v">
      <t c="7">
        <n x="81" s="1"/>
        <n x="24" s="1"/>
        <n x="21"/>
        <n x="29"/>
        <n x="54"/>
        <n x="9"/>
        <n x="161"/>
      </t>
    </mdx>
    <mdx n="0" f="v">
      <t c="7">
        <n x="81" s="1"/>
        <n x="24" s="1"/>
        <n x="21"/>
        <n x="29"/>
        <n x="43"/>
        <n x="12"/>
        <n x="161"/>
      </t>
    </mdx>
    <mdx n="0" f="v">
      <t c="7">
        <n x="81" s="1"/>
        <n x="24" s="1"/>
        <n x="21"/>
        <n x="26"/>
        <n x="31"/>
        <n x="17"/>
        <n x="161"/>
      </t>
    </mdx>
    <mdx n="0" f="v">
      <t c="7">
        <n x="81" s="1"/>
        <n x="24" s="1"/>
        <n x="21"/>
        <n x="29"/>
        <n x="54"/>
        <n x="11"/>
        <n x="161"/>
      </t>
    </mdx>
    <mdx n="0" f="v">
      <t c="6">
        <n x="81" s="1"/>
        <n x="24" s="1"/>
        <n x="21"/>
        <n x="29"/>
        <n x="10"/>
        <n x="161"/>
      </t>
    </mdx>
    <mdx n="0" f="v">
      <t c="7">
        <n x="81" s="1"/>
        <n x="24" s="1"/>
        <n x="21"/>
        <n x="26"/>
        <n x="56"/>
        <n x="8"/>
        <n x="161"/>
      </t>
    </mdx>
    <mdx n="0" f="v">
      <t c="7">
        <n x="81" s="1"/>
        <n x="24" s="1"/>
        <n x="21"/>
        <n x="28"/>
        <n x="42"/>
        <n x="15"/>
        <n x="161"/>
      </t>
    </mdx>
    <mdx n="0" f="v">
      <t c="7">
        <n x="81" s="1"/>
        <n x="24" s="1"/>
        <n x="21"/>
        <n x="32"/>
        <n x="33"/>
        <n x="17"/>
        <n x="161"/>
      </t>
    </mdx>
    <mdx n="0" f="v">
      <t c="7">
        <n x="81" s="1"/>
        <n x="24" s="1"/>
        <n x="21"/>
        <n x="29"/>
        <n x="59"/>
        <n x="15"/>
        <n x="161"/>
      </t>
    </mdx>
    <mdx n="0" f="v">
      <t c="7">
        <n x="81" s="1"/>
        <n x="24" s="1"/>
        <n x="21"/>
        <n x="29"/>
        <n x="54"/>
        <n x="16"/>
        <n x="161"/>
      </t>
    </mdx>
    <mdx n="0" f="v">
      <t c="7">
        <n x="81" s="1"/>
        <n x="24" s="1"/>
        <n x="21"/>
        <n x="29"/>
        <n x="47"/>
        <n x="8"/>
        <n x="161"/>
      </t>
    </mdx>
    <mdx n="0" f="v">
      <t c="7">
        <n x="81" s="1"/>
        <n x="24" s="1"/>
        <n x="21"/>
        <n x="29"/>
        <n x="50"/>
        <n x="11"/>
        <n x="161"/>
      </t>
    </mdx>
    <mdx n="0" f="v">
      <t c="7">
        <n x="81" s="1"/>
        <n x="24" s="1"/>
        <n x="21"/>
        <n x="26"/>
        <n x="41"/>
        <n x="15"/>
        <n x="161"/>
      </t>
    </mdx>
    <mdx n="0" f="v">
      <t c="6">
        <n x="81" s="1"/>
        <n x="24" s="1"/>
        <n x="21"/>
        <n x="28"/>
        <n x="7"/>
        <n x="161"/>
      </t>
    </mdx>
    <mdx n="0" f="v">
      <t c="7">
        <n x="81" s="1"/>
        <n x="24" s="1"/>
        <n x="21"/>
        <n x="62"/>
        <n x="74"/>
        <n x="7"/>
        <n x="161"/>
      </t>
    </mdx>
    <mdx n="0" f="v">
      <t c="7">
        <n x="81" s="1"/>
        <n x="24" s="1"/>
        <n x="21"/>
        <n x="32"/>
        <n x="33"/>
        <n x="8"/>
        <n x="161"/>
      </t>
    </mdx>
    <mdx n="0" f="v">
      <t c="7">
        <n x="81" s="1"/>
        <n x="24" s="1"/>
        <n x="21"/>
        <n x="26"/>
        <n x="46"/>
        <n x="9"/>
        <n x="161"/>
      </t>
    </mdx>
    <mdx n="0" f="v">
      <t c="7">
        <n x="81" s="1"/>
        <n x="24" s="1"/>
        <n x="21"/>
        <n x="32"/>
        <n x="33"/>
        <n x="12"/>
        <n x="161"/>
      </t>
    </mdx>
    <mdx n="0" f="v">
      <t c="7">
        <n x="81" s="1"/>
        <n x="24" s="1"/>
        <n x="21"/>
        <n x="29"/>
        <n x="51"/>
        <n x="10"/>
        <n x="161"/>
      </t>
    </mdx>
    <mdx n="0" f="v">
      <t c="7">
        <n x="81" s="1"/>
        <n x="24" s="1"/>
        <n x="21"/>
        <n x="26"/>
        <n x="38"/>
        <n x="9"/>
        <n x="161"/>
      </t>
    </mdx>
    <mdx n="0" f="v">
      <t c="7">
        <n x="81" s="1"/>
        <n x="24" s="1"/>
        <n x="21"/>
        <n x="26"/>
        <n x="60"/>
        <n x="17"/>
        <n x="161"/>
      </t>
    </mdx>
    <mdx n="0" f="v">
      <t c="7">
        <n x="81" s="1"/>
        <n x="24" s="1"/>
        <n x="21"/>
        <n x="29"/>
        <n x="30"/>
        <n x="11"/>
        <n x="161"/>
      </t>
    </mdx>
    <mdx n="0" f="v">
      <t c="7">
        <n x="81" s="1"/>
        <n x="24" s="1"/>
        <n x="21"/>
        <n x="29"/>
        <n x="45"/>
        <n x="25"/>
        <n x="161"/>
      </t>
    </mdx>
    <mdx n="0" f="v">
      <t c="7">
        <n x="81" s="1"/>
        <n x="24" s="1"/>
        <n x="21"/>
        <n x="26"/>
        <n x="41"/>
        <n x="6"/>
        <n x="161"/>
      </t>
    </mdx>
    <mdx n="0" f="v">
      <t c="7">
        <n x="81" s="1"/>
        <n x="24" s="1"/>
        <n x="21"/>
        <n x="48"/>
        <n x="64"/>
        <n x="8"/>
        <n x="161"/>
      </t>
    </mdx>
    <mdx n="0" f="v">
      <t c="7">
        <n x="81" s="1"/>
        <n x="24" s="1"/>
        <n x="21"/>
        <n x="29"/>
        <n x="43"/>
        <n x="25"/>
        <n x="161"/>
      </t>
    </mdx>
    <mdx n="0" f="v">
      <t c="7">
        <n x="81" s="1"/>
        <n x="24" s="1"/>
        <n x="21"/>
        <n x="26"/>
        <n x="31"/>
        <n x="15"/>
        <n x="161"/>
      </t>
    </mdx>
    <mdx n="0" f="v">
      <t c="7">
        <n x="81" s="1"/>
        <n x="24" s="1"/>
        <n x="21"/>
        <n x="29"/>
        <n x="43"/>
        <n x="11"/>
        <n x="161"/>
      </t>
    </mdx>
    <mdx n="0" f="v">
      <t c="6">
        <n x="81" s="1"/>
        <n x="24" s="1"/>
        <n x="21"/>
        <n x="36"/>
        <n x="11"/>
        <n x="161"/>
      </t>
    </mdx>
    <mdx n="0" f="v">
      <t c="6">
        <n x="81" s="1"/>
        <n x="24" s="1"/>
        <n x="21"/>
        <n x="65"/>
        <n x="8"/>
        <n x="161"/>
      </t>
    </mdx>
    <mdx n="0" f="v">
      <t c="7">
        <n x="81" s="1"/>
        <n x="24" s="1"/>
        <n x="21"/>
        <n x="26"/>
        <n x="69"/>
        <n x="14"/>
        <n x="161"/>
      </t>
    </mdx>
    <mdx n="0" f="v">
      <t c="7">
        <n x="81" s="1"/>
        <n x="24" s="1"/>
        <n x="21"/>
        <n x="29"/>
        <n x="35"/>
        <n x="16"/>
        <n x="161"/>
      </t>
    </mdx>
    <mdx n="0" f="v">
      <t c="6">
        <n x="81" s="1"/>
        <n x="24" s="1"/>
        <n x="21"/>
        <n x="65"/>
        <n x="9"/>
        <n x="161"/>
      </t>
    </mdx>
    <mdx n="0" f="v">
      <t c="7">
        <n x="81" s="1"/>
        <n x="24" s="1"/>
        <n x="21"/>
        <n x="48"/>
        <n x="49"/>
        <n x="7"/>
        <n x="161"/>
      </t>
    </mdx>
    <mdx n="0" f="v">
      <t c="6">
        <n x="81" s="1"/>
        <n x="24" s="1"/>
        <n x="21"/>
        <n x="29"/>
        <n x="14"/>
        <n x="161"/>
      </t>
    </mdx>
    <mdx n="0" f="v">
      <t c="7">
        <n x="81" s="1"/>
        <n x="24" s="1"/>
        <n x="21"/>
        <n x="28"/>
        <n x="55"/>
        <n x="13"/>
        <n x="161"/>
      </t>
    </mdx>
    <mdx n="0" f="v">
      <t c="7">
        <n x="81" s="1"/>
        <n x="24" s="1"/>
        <n x="21"/>
        <n x="32"/>
        <n x="33"/>
        <n x="14"/>
        <n x="161"/>
      </t>
    </mdx>
    <mdx n="0" f="v">
      <t c="7">
        <n x="81" s="1"/>
        <n x="24" s="1"/>
        <n x="21"/>
        <n x="48"/>
        <n x="64"/>
        <n x="10"/>
        <n x="161"/>
      </t>
    </mdx>
    <mdx n="0" f="v">
      <t c="7">
        <n x="81" s="1"/>
        <n x="24" s="1"/>
        <n x="21"/>
        <n x="26"/>
        <n x="57"/>
        <n x="11"/>
        <n x="161"/>
      </t>
    </mdx>
    <mdx n="0" f="v">
      <t c="7">
        <n x="81" s="1"/>
        <n x="24" s="1"/>
        <n x="21"/>
        <n x="29"/>
        <n x="59"/>
        <n x="17"/>
        <n x="161"/>
      </t>
    </mdx>
    <mdx n="0" f="v">
      <t c="7">
        <n x="81" s="1"/>
        <n x="24" s="1"/>
        <n x="21"/>
        <n x="26"/>
        <n x="34"/>
        <n x="8"/>
        <n x="161"/>
      </t>
    </mdx>
    <mdx n="0" f="v">
      <t c="7">
        <n x="81" s="1"/>
        <n x="24" s="1"/>
        <n x="21"/>
        <n x="29"/>
        <n x="35"/>
        <n x="17"/>
        <n x="161"/>
      </t>
    </mdx>
    <mdx n="0" f="v">
      <t c="7">
        <n x="81" s="1"/>
        <n x="24" s="1"/>
        <n x="21"/>
        <n x="29"/>
        <n x="45"/>
        <n x="17"/>
        <n x="161"/>
      </t>
    </mdx>
    <mdx n="0" f="v">
      <t c="7">
        <n x="81" s="1"/>
        <n x="24" s="1"/>
        <n x="21"/>
        <n x="32"/>
        <n x="68"/>
        <n x="12"/>
        <n x="161"/>
      </t>
    </mdx>
    <mdx n="0" f="v">
      <t c="6">
        <n x="81" s="1"/>
        <n x="24" s="1"/>
        <n x="21"/>
        <n x="28"/>
        <n x="6"/>
        <n x="161"/>
      </t>
    </mdx>
    <mdx n="0" f="v">
      <t c="7">
        <n x="81" s="1"/>
        <n x="24" s="1"/>
        <n x="21"/>
        <n x="29"/>
        <n x="45"/>
        <n x="10"/>
        <n x="161"/>
      </t>
    </mdx>
    <mdx n="0" f="v">
      <t c="7">
        <n x="81" s="1"/>
        <n x="24" s="1"/>
        <n x="21"/>
        <n x="36"/>
        <n x="37"/>
        <n x="14"/>
        <n x="161"/>
      </t>
    </mdx>
    <mdx n="0" f="v">
      <t c="7">
        <n x="81" s="1"/>
        <n x="24" s="1"/>
        <n x="21"/>
        <n x="29"/>
        <n x="30"/>
        <n x="13"/>
        <n x="161"/>
      </t>
    </mdx>
    <mdx n="0" f="v">
      <t c="7">
        <n x="81" s="1"/>
        <n x="24" s="1"/>
        <n x="21"/>
        <n x="32"/>
        <n x="68"/>
        <n x="13"/>
        <n x="161"/>
      </t>
    </mdx>
    <mdx n="0" f="v">
      <t c="7">
        <n x="81" s="1"/>
        <n x="24" s="1"/>
        <n x="21"/>
        <n x="26"/>
        <n x="27"/>
        <n x="9"/>
        <n x="161"/>
      </t>
    </mdx>
    <mdx n="0" f="v">
      <t c="7">
        <n x="81" s="1"/>
        <n x="24" s="1"/>
        <n x="21"/>
        <n x="62"/>
        <n x="72"/>
        <n x="8"/>
        <n x="161"/>
      </t>
    </mdx>
    <mdx n="0" f="v">
      <t c="7">
        <n x="81" s="1"/>
        <n x="24" s="1"/>
        <n x="21"/>
        <n x="29"/>
        <n x="35"/>
        <n x="13"/>
        <n x="161"/>
      </t>
    </mdx>
    <mdx n="0" f="v">
      <t c="7">
        <n x="81" s="1"/>
        <n x="24" s="1"/>
        <n x="21"/>
        <n x="26"/>
        <n x="52"/>
        <n x="15"/>
        <n x="161"/>
      </t>
    </mdx>
    <mdx n="0" f="v">
      <t c="6">
        <n x="81" s="1"/>
        <n x="24" s="1"/>
        <n x="21"/>
        <n x="26"/>
        <n x="8"/>
        <n x="161"/>
      </t>
    </mdx>
    <mdx n="0" f="v">
      <t c="6">
        <n x="81" s="1"/>
        <n x="24" s="1"/>
        <n x="21"/>
        <n x="28"/>
        <n x="25"/>
        <n x="161"/>
      </t>
    </mdx>
    <mdx n="0" f="v">
      <t c="7">
        <n x="81" s="1"/>
        <n x="24" s="1"/>
        <n x="21"/>
        <n x="48"/>
        <n x="64"/>
        <n x="14"/>
        <n x="161"/>
      </t>
    </mdx>
    <mdx n="0" f="v">
      <t c="7">
        <n x="81" s="1"/>
        <n x="24" s="1"/>
        <n x="21"/>
        <n x="32"/>
        <n x="66"/>
        <n x="13"/>
        <n x="161"/>
      </t>
    </mdx>
    <mdx n="0" f="v">
      <t c="6">
        <n x="81" s="1"/>
        <n x="24" s="1"/>
        <n x="21"/>
        <n x="61"/>
        <n x="7"/>
        <n x="161"/>
      </t>
    </mdx>
    <mdx n="0" f="v">
      <t c="7">
        <n x="81" s="1"/>
        <n x="24" s="1"/>
        <n x="21"/>
        <n x="32"/>
        <n x="70"/>
        <n x="13"/>
        <n x="161"/>
      </t>
    </mdx>
    <mdx n="0" f="v">
      <t c="7">
        <n x="81" s="1"/>
        <n x="24" s="1"/>
        <n x="21"/>
        <n x="26"/>
        <n x="44"/>
        <n x="7"/>
        <n x="161"/>
      </t>
    </mdx>
    <mdx n="0" f="v">
      <t c="7">
        <n x="81" s="1"/>
        <n x="24" s="1"/>
        <n x="21"/>
        <n x="26"/>
        <n x="60"/>
        <n x="15"/>
        <n x="161"/>
      </t>
    </mdx>
    <mdx n="0" f="v">
      <t c="7">
        <n x="81" s="1"/>
        <n x="24" s="1"/>
        <n x="21"/>
        <n x="29"/>
        <n x="71"/>
        <n x="25"/>
        <n x="161"/>
      </t>
    </mdx>
    <mdx n="0" f="v">
      <t c="7">
        <n x="81" s="1"/>
        <n x="24" s="1"/>
        <n x="21"/>
        <n x="62"/>
        <n x="72"/>
        <n x="9"/>
        <n x="161"/>
      </t>
    </mdx>
    <mdx n="0" f="v">
      <t c="6">
        <n x="81" s="1"/>
        <n x="24" s="1"/>
        <n x="21"/>
        <n x="29"/>
        <n x="16"/>
        <n x="161"/>
      </t>
    </mdx>
    <mdx n="0" f="v">
      <t c="7">
        <n x="81" s="1"/>
        <n x="24" s="1"/>
        <n x="21"/>
        <n x="32"/>
        <n x="68"/>
        <n x="10"/>
        <n x="161"/>
      </t>
    </mdx>
    <mdx n="0" f="v">
      <t c="6">
        <n x="81" s="1"/>
        <n x="24" s="1"/>
        <n x="21"/>
        <n x="32"/>
        <n x="16"/>
        <n x="161"/>
      </t>
    </mdx>
    <mdx n="0" f="v">
      <t c="7">
        <n x="81" s="1"/>
        <n x="24" s="1"/>
        <n x="21"/>
        <n x="26"/>
        <n x="41"/>
        <n x="25"/>
        <n x="161"/>
      </t>
    </mdx>
    <mdx n="0" f="v">
      <t c="7">
        <n x="81" s="1"/>
        <n x="24" s="1"/>
        <n x="21"/>
        <n x="26"/>
        <n x="38"/>
        <n x="25"/>
        <n x="161"/>
      </t>
    </mdx>
    <mdx n="0" f="v">
      <t c="7">
        <n x="81" s="1"/>
        <n x="24" s="1"/>
        <n x="21"/>
        <n x="32"/>
        <n x="33"/>
        <n x="10"/>
        <n x="161"/>
      </t>
    </mdx>
    <mdx n="0" f="v">
      <t c="7">
        <n x="81" s="1"/>
        <n x="24" s="1"/>
        <n x="21"/>
        <n x="29"/>
        <n x="71"/>
        <n x="11"/>
        <n x="161"/>
      </t>
    </mdx>
    <mdx n="0" f="v">
      <t c="7">
        <n x="81" s="1"/>
        <n x="24" s="1"/>
        <n x="21"/>
        <n x="26"/>
        <n x="34"/>
        <n x="9"/>
        <n x="161"/>
      </t>
    </mdx>
    <mdx n="0" f="v">
      <t c="7">
        <n x="81" s="1"/>
        <n x="24" s="1"/>
        <n x="21"/>
        <n x="29"/>
        <n x="45"/>
        <n x="12"/>
        <n x="161"/>
      </t>
    </mdx>
    <mdx n="0" f="v">
      <t c="7">
        <n x="81" s="1"/>
        <n x="24" s="1"/>
        <n x="21"/>
        <n x="29"/>
        <n x="71"/>
        <n x="6"/>
        <n x="161"/>
      </t>
    </mdx>
    <mdx n="0" f="v">
      <t c="7">
        <n x="81" s="1"/>
        <n x="24" s="1"/>
        <n x="21"/>
        <n x="62"/>
        <n x="73"/>
        <n x="17"/>
        <n x="161"/>
      </t>
    </mdx>
    <mdx n="0" f="v">
      <t c="7">
        <n x="81" s="1"/>
        <n x="24" s="1"/>
        <n x="21"/>
        <n x="26"/>
        <n x="46"/>
        <n x="12"/>
        <n x="161"/>
      </t>
    </mdx>
    <mdx n="0" f="v">
      <t c="7">
        <n x="81" s="1"/>
        <n x="24" s="1"/>
        <n x="21"/>
        <n x="28"/>
        <n x="53"/>
        <n x="6"/>
        <n x="161"/>
      </t>
    </mdx>
    <mdx n="0" f="v">
      <t c="7">
        <n x="81" s="1"/>
        <n x="24" s="1"/>
        <n x="21"/>
        <n x="32"/>
        <n x="70"/>
        <n x="15"/>
        <n x="161"/>
      </t>
    </mdx>
    <mdx n="0" f="v">
      <t c="7">
        <n x="81" s="1"/>
        <n x="24" s="1"/>
        <n x="21"/>
        <n x="36"/>
        <n x="37"/>
        <n x="25"/>
        <n x="161"/>
      </t>
    </mdx>
    <mdx n="0" f="v">
      <t c="6">
        <n x="81" s="1"/>
        <n x="24" s="1"/>
        <n x="21"/>
        <n x="61"/>
        <n x="15"/>
        <n x="161"/>
      </t>
    </mdx>
    <mdx n="0" f="v">
      <t c="6">
        <n x="81" s="1"/>
        <n x="24" s="1"/>
        <n x="21"/>
        <n x="32"/>
        <n x="9"/>
        <n x="161"/>
      </t>
    </mdx>
    <mdx n="0" f="v">
      <t c="7">
        <n x="81" s="1"/>
        <n x="24" s="1"/>
        <n x="21"/>
        <n x="29"/>
        <n x="47"/>
        <n x="9"/>
        <n x="161"/>
      </t>
    </mdx>
    <mdx n="0" f="v">
      <t c="7">
        <n x="81" s="1"/>
        <n x="24" s="1"/>
        <n x="21"/>
        <n x="26"/>
        <n x="67"/>
        <n x="17"/>
        <n x="161"/>
      </t>
    </mdx>
    <mdx n="0" f="v">
      <t c="7">
        <n x="81" s="1"/>
        <n x="24" s="1"/>
        <n x="21"/>
        <n x="26"/>
        <n x="67"/>
        <n x="7"/>
        <n x="161"/>
      </t>
    </mdx>
    <mdx n="0" f="v">
      <t c="7">
        <n x="81" s="1"/>
        <n x="24" s="1"/>
        <n x="21"/>
        <n x="28"/>
        <n x="58"/>
        <n x="16"/>
        <n x="161"/>
      </t>
    </mdx>
    <mdx n="0" f="v">
      <t c="7">
        <n x="81" s="1"/>
        <n x="24" s="1"/>
        <n x="21"/>
        <n x="29"/>
        <n x="51"/>
        <n x="16"/>
        <n x="161"/>
      </t>
    </mdx>
    <mdx n="0" f="v">
      <t c="7">
        <n x="81" s="1"/>
        <n x="24" s="1"/>
        <n x="21"/>
        <n x="26"/>
        <n x="57"/>
        <n x="10"/>
        <n x="161"/>
      </t>
    </mdx>
    <mdx n="0" f="v">
      <t c="6">
        <n x="81" s="1"/>
        <n x="24" s="1"/>
        <n x="21"/>
        <n x="32"/>
        <n x="25"/>
        <n x="161"/>
      </t>
    </mdx>
    <mdx n="0" f="v">
      <t c="7">
        <n x="81" s="1"/>
        <n x="24" s="1"/>
        <n x="21"/>
        <n x="29"/>
        <n x="43"/>
        <n x="16"/>
        <n x="161"/>
      </t>
    </mdx>
    <mdx n="0" f="v">
      <t c="7">
        <n x="81" s="1"/>
        <n x="24" s="1"/>
        <n x="21"/>
        <n x="36"/>
        <n x="37"/>
        <n x="6"/>
        <n x="161"/>
      </t>
    </mdx>
    <mdx n="0" f="v">
      <t c="6">
        <n x="81" s="1"/>
        <n x="24" s="1"/>
        <n x="21"/>
        <n x="48"/>
        <n x="15"/>
        <n x="161"/>
      </t>
    </mdx>
    <mdx n="0" f="v">
      <t c="7">
        <n x="81" s="1"/>
        <n x="24" s="1"/>
        <n x="21"/>
        <n x="26"/>
        <n x="56"/>
        <n x="16"/>
        <n x="161"/>
      </t>
    </mdx>
    <mdx n="0" f="v">
      <t c="7">
        <n x="81" s="1"/>
        <n x="24" s="1"/>
        <n x="21"/>
        <n x="32"/>
        <n x="68"/>
        <n x="6"/>
        <n x="161"/>
      </t>
    </mdx>
    <mdx n="0" f="v">
      <t c="7">
        <n x="81" s="1"/>
        <n x="24" s="1"/>
        <n x="21"/>
        <n x="29"/>
        <n x="43"/>
        <n x="9"/>
        <n x="161"/>
      </t>
    </mdx>
    <mdx n="0" f="v">
      <t c="7">
        <n x="81" s="1"/>
        <n x="24" s="1"/>
        <n x="21"/>
        <n x="62"/>
        <n x="74"/>
        <n x="12"/>
        <n x="161"/>
      </t>
    </mdx>
    <mdx n="0" f="v">
      <t c="7">
        <n x="81" s="1"/>
        <n x="24" s="1"/>
        <n x="21"/>
        <n x="32"/>
        <n x="63"/>
        <n x="6"/>
        <n x="161"/>
      </t>
    </mdx>
    <mdx n="0" f="v">
      <t c="7">
        <n x="81" s="1"/>
        <n x="24" s="1"/>
        <n x="21"/>
        <n x="26"/>
        <n x="60"/>
        <n x="13"/>
        <n x="161"/>
      </t>
    </mdx>
    <mdx n="0" f="v">
      <t c="6">
        <n x="81" s="1"/>
        <n x="24" s="1"/>
        <n x="21"/>
        <n x="32"/>
        <n x="13"/>
        <n x="161"/>
      </t>
    </mdx>
    <mdx n="0" f="v">
      <t c="7">
        <n x="81" s="1"/>
        <n x="24" s="1"/>
        <n x="21"/>
        <n x="62"/>
        <n x="72"/>
        <n x="14"/>
        <n x="161"/>
      </t>
    </mdx>
    <mdx n="0" f="v">
      <t c="7">
        <n x="81" s="1"/>
        <n x="24" s="1"/>
        <n x="21"/>
        <n x="26"/>
        <n x="34"/>
        <n x="7"/>
        <n x="161"/>
      </t>
    </mdx>
    <mdx n="0" f="v">
      <t c="7">
        <n x="81" s="1"/>
        <n x="24" s="1"/>
        <n x="21"/>
        <n x="29"/>
        <n x="43"/>
        <n x="6"/>
        <n x="161"/>
      </t>
    </mdx>
    <mdx n="0" f="v">
      <t c="7">
        <n x="81" s="1"/>
        <n x="24" s="1"/>
        <n x="21"/>
        <n x="26"/>
        <n x="41"/>
        <n x="8"/>
        <n x="161"/>
      </t>
    </mdx>
    <mdx n="0" f="v">
      <t c="6">
        <n x="81" s="1"/>
        <n x="24" s="1"/>
        <n x="21"/>
        <n x="36"/>
        <n x="8"/>
        <n x="161"/>
      </t>
    </mdx>
    <mdx n="0" f="v">
      <t c="7">
        <n x="81" s="1"/>
        <n x="24" s="1"/>
        <n x="21"/>
        <n x="32"/>
        <n x="66"/>
        <n x="15"/>
        <n x="161"/>
      </t>
    </mdx>
    <mdx n="0" f="v">
      <t c="6">
        <n x="81" s="1"/>
        <n x="24" s="1"/>
        <n x="21"/>
        <n x="29"/>
        <n x="8"/>
        <n x="161"/>
      </t>
    </mdx>
    <mdx n="0" f="v">
      <t c="6">
        <n x="81" s="1"/>
        <n x="24" s="1"/>
        <n x="21"/>
        <n x="48"/>
        <n x="8"/>
        <n x="161"/>
      </t>
    </mdx>
    <mdx n="0" f="v">
      <t c="7">
        <n x="81" s="1"/>
        <n x="24" s="1"/>
        <n x="21"/>
        <n x="62"/>
        <n x="73"/>
        <n x="12"/>
        <n x="161"/>
      </t>
    </mdx>
    <mdx n="0" f="v">
      <t c="7">
        <n x="81" s="1"/>
        <n x="24" s="1"/>
        <n x="21"/>
        <n x="36"/>
        <n x="37"/>
        <n x="15"/>
        <n x="161"/>
      </t>
    </mdx>
    <mdx n="0" f="v">
      <t c="7">
        <n x="81" s="1"/>
        <n x="24" s="1"/>
        <n x="21"/>
        <n x="26"/>
        <n x="69"/>
        <n x="16"/>
        <n x="161"/>
      </t>
    </mdx>
    <mdx n="0" f="v">
      <t c="7">
        <n x="81" s="1"/>
        <n x="24" s="1"/>
        <n x="21"/>
        <n x="26"/>
        <n x="46"/>
        <n x="6"/>
        <n x="161"/>
      </t>
    </mdx>
    <mdx n="0" f="v">
      <t c="7">
        <n x="81" s="1"/>
        <n x="24" s="1"/>
        <n x="21"/>
        <n x="32"/>
        <n x="68"/>
        <n x="7"/>
        <n x="161"/>
      </t>
    </mdx>
    <mdx n="0" f="v">
      <t c="6">
        <n x="81" s="1"/>
        <n x="24" s="1"/>
        <n x="21"/>
        <n x="29"/>
        <n x="11"/>
        <n x="161"/>
      </t>
    </mdx>
    <mdx n="0" f="v">
      <t c="7">
        <n x="81" s="1"/>
        <n x="24" s="1"/>
        <n x="21"/>
        <n x="28"/>
        <n x="42"/>
        <n x="10"/>
        <n x="161"/>
      </t>
    </mdx>
    <mdx n="0" f="v">
      <t c="7">
        <n x="81" s="1"/>
        <n x="24" s="1"/>
        <n x="21"/>
        <n x="26"/>
        <n x="57"/>
        <n x="6"/>
        <n x="161"/>
      </t>
    </mdx>
    <mdx n="0" f="v">
      <t c="7">
        <n x="81" s="1"/>
        <n x="24" s="1"/>
        <n x="21"/>
        <n x="29"/>
        <n x="40"/>
        <n x="11"/>
        <n x="161"/>
      </t>
    </mdx>
    <mdx n="0" f="v">
      <t c="7">
        <n x="81" s="1"/>
        <n x="24" s="1"/>
        <n x="21"/>
        <n x="32"/>
        <n x="63"/>
        <n x="13"/>
        <n x="161"/>
      </t>
    </mdx>
    <mdx n="0" f="v">
      <t c="7">
        <n x="81" s="1"/>
        <n x="24" s="1"/>
        <n x="21"/>
        <n x="26"/>
        <n x="60"/>
        <n x="14"/>
        <n x="161"/>
      </t>
    </mdx>
    <mdx n="0" f="v">
      <t c="7">
        <n x="81" s="1"/>
        <n x="24" s="1"/>
        <n x="21"/>
        <n x="32"/>
        <n x="66"/>
        <n x="14"/>
        <n x="161"/>
      </t>
    </mdx>
    <mdx n="0" f="v">
      <t c="7">
        <n x="81" s="1"/>
        <n x="24" s="1"/>
        <n x="21"/>
        <n x="29"/>
        <n x="39"/>
        <n x="17"/>
        <n x="161"/>
      </t>
    </mdx>
    <mdx n="0" f="v">
      <t c="7">
        <n x="81" s="1"/>
        <n x="24" s="1"/>
        <n x="21"/>
        <n x="28"/>
        <n x="53"/>
        <n x="25"/>
        <n x="161"/>
      </t>
    </mdx>
    <mdx n="0" f="v">
      <t c="7">
        <n x="81" s="1"/>
        <n x="24" s="1"/>
        <n x="21"/>
        <n x="48"/>
        <n x="64"/>
        <n x="9"/>
        <n x="161"/>
      </t>
    </mdx>
    <mdx n="0" f="v">
      <t c="7">
        <n x="81" s="1"/>
        <n x="24" s="1"/>
        <n x="21"/>
        <n x="26"/>
        <n x="27"/>
        <n x="13"/>
        <n x="161"/>
      </t>
    </mdx>
    <mdx n="0" f="v">
      <t c="7">
        <n x="81" s="1"/>
        <n x="24" s="1"/>
        <n x="21"/>
        <n x="28"/>
        <n x="58"/>
        <n x="7"/>
        <n x="161"/>
      </t>
    </mdx>
    <mdx n="0" f="v">
      <t c="7">
        <n x="81" s="1"/>
        <n x="24" s="1"/>
        <n x="21"/>
        <n x="32"/>
        <n x="63"/>
        <n x="10"/>
        <n x="161"/>
      </t>
    </mdx>
    <mdx n="0" f="v">
      <t c="7">
        <n x="81" s="1"/>
        <n x="24" s="1"/>
        <n x="21"/>
        <n x="36"/>
        <n x="37"/>
        <n x="12"/>
        <n x="161"/>
      </t>
    </mdx>
    <mdx n="0" f="v">
      <t c="7">
        <n x="81" s="1"/>
        <n x="24" s="1"/>
        <n x="21"/>
        <n x="32"/>
        <n x="70"/>
        <n x="17"/>
        <n x="161"/>
      </t>
    </mdx>
    <mdx n="0" f="v">
      <t c="7">
        <n x="81" s="1"/>
        <n x="24" s="1"/>
        <n x="21"/>
        <n x="29"/>
        <n x="50"/>
        <n x="6"/>
        <n x="161"/>
      </t>
    </mdx>
    <mdx n="0" f="v">
      <t c="6">
        <n x="81" s="1"/>
        <n x="24" s="1"/>
        <n x="21"/>
        <n x="28"/>
        <n x="13"/>
        <n x="161"/>
      </t>
    </mdx>
    <mdx n="0" f="v">
      <t c="7">
        <n x="81" s="1"/>
        <n x="24" s="1"/>
        <n x="21"/>
        <n x="29"/>
        <n x="45"/>
        <n x="8"/>
        <n x="161"/>
      </t>
    </mdx>
    <mdx n="0" f="v">
      <t c="7">
        <n x="81" s="1"/>
        <n x="24" s="1"/>
        <n x="21"/>
        <n x="32"/>
        <n x="63"/>
        <n x="25"/>
        <n x="161"/>
      </t>
    </mdx>
    <mdx n="0" f="v">
      <t c="7">
        <n x="81" s="1"/>
        <n x="24" s="1"/>
        <n x="21"/>
        <n x="62"/>
        <n x="72"/>
        <n x="13"/>
        <n x="161"/>
      </t>
    </mdx>
    <mdx n="0" f="v">
      <t c="6">
        <n x="81" s="1"/>
        <n x="24" s="1"/>
        <n x="21"/>
        <n x="26"/>
        <n x="13"/>
        <n x="161"/>
      </t>
    </mdx>
    <mdx n="0" f="v">
      <t c="7">
        <n x="81" s="1"/>
        <n x="24" s="1"/>
        <n x="21"/>
        <n x="28"/>
        <n x="58"/>
        <n x="13"/>
        <n x="161"/>
      </t>
    </mdx>
    <mdx n="0" f="v">
      <t c="7">
        <n x="81" s="1"/>
        <n x="24" s="1"/>
        <n x="21"/>
        <n x="26"/>
        <n x="52"/>
        <n x="8"/>
        <n x="161"/>
      </t>
    </mdx>
    <mdx n="0" f="v">
      <t c="7">
        <n x="81" s="1"/>
        <n x="24" s="1"/>
        <n x="21"/>
        <n x="62"/>
        <n x="72"/>
        <n x="6"/>
        <n x="161"/>
      </t>
    </mdx>
    <mdx n="0" f="v">
      <t c="7">
        <n x="81" s="1"/>
        <n x="24" s="1"/>
        <n x="21"/>
        <n x="26"/>
        <n x="34"/>
        <n x="15"/>
        <n x="161"/>
      </t>
    </mdx>
    <mdx n="0" f="v">
      <t c="7">
        <n x="81" s="1"/>
        <n x="24" s="1"/>
        <n x="21"/>
        <n x="32"/>
        <n x="70"/>
        <n x="8"/>
        <n x="161"/>
      </t>
    </mdx>
    <mdx n="0" f="v">
      <t c="7">
        <n x="81" s="1"/>
        <n x="24" s="1"/>
        <n x="21"/>
        <n x="26"/>
        <n x="52"/>
        <n x="14"/>
        <n x="161"/>
      </t>
    </mdx>
    <mdx n="0" f="v">
      <t c="7">
        <n x="81" s="1"/>
        <n x="24" s="1"/>
        <n x="21"/>
        <n x="62"/>
        <n x="74"/>
        <n x="9"/>
        <n x="161"/>
      </t>
    </mdx>
    <mdx n="0" f="v">
      <t c="7">
        <n x="81" s="1"/>
        <n x="24" s="1"/>
        <n x="21"/>
        <n x="26"/>
        <n x="52"/>
        <n x="11"/>
        <n x="161"/>
      </t>
    </mdx>
    <mdx n="0" f="v">
      <t c="7">
        <n x="81" s="1"/>
        <n x="24" s="1"/>
        <n x="21"/>
        <n x="62"/>
        <n x="73"/>
        <n x="16"/>
        <n x="161"/>
      </t>
    </mdx>
    <mdx n="0" f="v">
      <t c="7">
        <n x="81" s="1"/>
        <n x="24" s="1"/>
        <n x="21"/>
        <n x="26"/>
        <n x="52"/>
        <n x="10"/>
        <n x="161"/>
      </t>
    </mdx>
    <mdx n="0" f="v">
      <t c="7">
        <n x="81" s="1"/>
        <n x="24" s="1"/>
        <n x="21"/>
        <n x="26"/>
        <n x="57"/>
        <n x="8"/>
        <n x="161"/>
      </t>
    </mdx>
    <mdx n="0" f="v">
      <t c="7">
        <n x="81" s="1"/>
        <n x="24" s="1"/>
        <n x="21"/>
        <n x="26"/>
        <n x="44"/>
        <n x="15"/>
        <n x="161"/>
      </t>
    </mdx>
    <mdx n="0" f="v">
      <t c="7">
        <n x="81" s="1"/>
        <n x="24" s="1"/>
        <n x="21"/>
        <n x="26"/>
        <n x="46"/>
        <n x="25"/>
        <n x="161"/>
      </t>
    </mdx>
    <mdx n="0" f="v">
      <t c="6">
        <n x="81" s="1"/>
        <n x="24" s="1"/>
        <n x="21"/>
        <n x="48"/>
        <n x="12"/>
        <n x="161"/>
      </t>
    </mdx>
    <mdx n="0" f="v">
      <t c="7">
        <n x="81" s="1"/>
        <n x="24" s="1"/>
        <n x="21"/>
        <n x="28"/>
        <n x="53"/>
        <n x="15"/>
        <n x="161"/>
      </t>
    </mdx>
    <mdx n="0" f="v">
      <t c="7">
        <n x="81" s="1"/>
        <n x="24" s="1"/>
        <n x="21"/>
        <n x="28"/>
        <n x="53"/>
        <n x="14"/>
        <n x="161"/>
      </t>
    </mdx>
    <mdx n="0" f="v">
      <t c="7">
        <n x="81" s="1"/>
        <n x="24" s="1"/>
        <n x="21"/>
        <n x="26"/>
        <n x="31"/>
        <n x="9"/>
        <n x="161"/>
      </t>
    </mdx>
    <mdx n="0" f="v">
      <t c="7">
        <n x="81" s="1"/>
        <n x="24" s="1"/>
        <n x="21"/>
        <n x="28"/>
        <n x="58"/>
        <n x="15"/>
        <n x="161"/>
      </t>
    </mdx>
    <mdx n="0" f="v">
      <t c="6">
        <n x="81" s="1"/>
        <n x="24" s="1"/>
        <n x="21"/>
        <n x="32"/>
        <n x="15"/>
        <n x="161"/>
      </t>
    </mdx>
    <mdx n="0" f="v">
      <t c="7">
        <n x="81" s="1"/>
        <n x="24" s="1"/>
        <n x="21"/>
        <n x="26"/>
        <n x="56"/>
        <n x="17"/>
        <n x="161"/>
      </t>
    </mdx>
    <mdx n="0" f="v">
      <t c="7">
        <n x="81" s="1"/>
        <n x="24" s="1"/>
        <n x="21"/>
        <n x="32"/>
        <n x="33"/>
        <n x="7"/>
        <n x="161"/>
      </t>
    </mdx>
    <mdx n="0" f="v">
      <t c="6">
        <n x="81" s="1"/>
        <n x="24" s="1"/>
        <n x="21"/>
        <n x="48"/>
        <n x="17"/>
        <n x="161"/>
      </t>
    </mdx>
    <mdx n="0" f="v">
      <t c="7">
        <n x="81" s="1"/>
        <n x="24" s="1"/>
        <n x="21"/>
        <n x="29"/>
        <n x="59"/>
        <n x="9"/>
        <n x="161"/>
      </t>
    </mdx>
    <mdx n="0" f="v">
      <t c="7">
        <n x="81" s="1"/>
        <n x="24" s="1"/>
        <n x="21"/>
        <n x="62"/>
        <n x="72"/>
        <n x="16"/>
        <n x="161"/>
      </t>
    </mdx>
    <mdx n="0" f="v">
      <t c="7">
        <n x="81" s="1"/>
        <n x="24" s="1"/>
        <n x="21"/>
        <n x="29"/>
        <n x="54"/>
        <n x="25"/>
        <n x="161"/>
      </t>
    </mdx>
    <mdx n="0" f="v">
      <t c="7">
        <n x="81" s="1"/>
        <n x="24" s="1"/>
        <n x="21"/>
        <n x="26"/>
        <n x="34"/>
        <n x="6"/>
        <n x="161"/>
      </t>
    </mdx>
    <mdx n="0" f="v">
      <t c="7">
        <n x="81" s="1"/>
        <n x="24" s="1"/>
        <n x="21"/>
        <n x="26"/>
        <n x="57"/>
        <n x="16"/>
        <n x="161"/>
      </t>
    </mdx>
    <mdx n="0" f="v">
      <t c="6">
        <n x="81" s="1"/>
        <n x="24" s="1"/>
        <n x="21"/>
        <n x="36"/>
        <n x="25"/>
        <n x="161"/>
      </t>
    </mdx>
    <mdx n="0" f="v">
      <t c="7">
        <n x="81" s="1"/>
        <n x="24" s="1"/>
        <n x="21"/>
        <n x="62"/>
        <n x="73"/>
        <n x="11"/>
        <n x="161"/>
      </t>
    </mdx>
    <mdx n="0" f="v">
      <t c="7">
        <n x="81" s="1"/>
        <n x="24" s="1"/>
        <n x="21"/>
        <n x="26"/>
        <n x="34"/>
        <n x="12"/>
        <n x="161"/>
      </t>
    </mdx>
    <mdx n="0" f="v">
      <t c="7">
        <n x="81" s="1"/>
        <n x="24" s="1"/>
        <n x="21"/>
        <n x="29"/>
        <n x="71"/>
        <n x="8"/>
        <n x="161"/>
      </t>
    </mdx>
    <mdx n="0" f="v">
      <t c="7">
        <n x="81" s="1"/>
        <n x="24" s="1"/>
        <n x="21"/>
        <n x="26"/>
        <n x="46"/>
        <n x="16"/>
        <n x="161"/>
      </t>
    </mdx>
    <mdx n="0" f="v">
      <t c="6">
        <n x="81" s="1"/>
        <n x="24" s="1"/>
        <n x="21"/>
        <n x="61"/>
        <n x="12"/>
        <n x="161"/>
      </t>
    </mdx>
    <mdx n="0" f="v">
      <t c="6">
        <n x="81" s="1"/>
        <n x="24" s="1"/>
        <n x="21"/>
        <n x="28"/>
        <n x="15"/>
        <n x="161"/>
      </t>
    </mdx>
    <mdx n="0" f="v">
      <t c="7">
        <n x="81" s="1"/>
        <n x="24" s="1"/>
        <n x="21"/>
        <n x="26"/>
        <n x="57"/>
        <n x="12"/>
        <n x="161"/>
      </t>
    </mdx>
    <mdx n="0" f="v">
      <t c="7">
        <n x="81" s="1"/>
        <n x="24" s="1"/>
        <n x="21"/>
        <n x="28"/>
        <n x="42"/>
        <n x="11"/>
        <n x="161"/>
      </t>
    </mdx>
    <mdx n="0" f="v">
      <t c="6">
        <n x="81" s="1"/>
        <n x="24" s="1"/>
        <n x="21"/>
        <n x="48"/>
        <n x="6"/>
        <n x="161"/>
      </t>
    </mdx>
    <mdx n="0" f="v">
      <t c="7">
        <n x="81" s="1"/>
        <n x="24" s="1"/>
        <n x="21"/>
        <n x="29"/>
        <n x="30"/>
        <n x="8"/>
        <n x="161"/>
      </t>
    </mdx>
    <mdx n="0" f="v">
      <t c="7">
        <n x="81" s="1"/>
        <n x="24" s="1"/>
        <n x="21"/>
        <n x="29"/>
        <n x="30"/>
        <n x="16"/>
        <n x="161"/>
      </t>
    </mdx>
    <mdx n="0" f="v">
      <t c="7">
        <n x="81" s="1"/>
        <n x="24" s="1"/>
        <n x="21"/>
        <n x="26"/>
        <n x="52"/>
        <n x="7"/>
        <n x="161"/>
      </t>
    </mdx>
    <mdx n="0" f="v">
      <t c="7">
        <n x="81" s="1"/>
        <n x="24" s="1"/>
        <n x="21"/>
        <n x="29"/>
        <n x="71"/>
        <n x="7"/>
        <n x="161"/>
      </t>
    </mdx>
    <mdx n="0" f="v">
      <t c="7">
        <n x="81" s="1"/>
        <n x="24" s="1"/>
        <n x="21"/>
        <n x="29"/>
        <n x="39"/>
        <n x="14"/>
        <n x="161"/>
      </t>
    </mdx>
    <mdx n="0" f="v">
      <t c="7">
        <n x="81" s="1"/>
        <n x="24" s="1"/>
        <n x="21"/>
        <n x="29"/>
        <n x="39"/>
        <n x="10"/>
        <n x="161"/>
      </t>
    </mdx>
    <mdx n="0" f="v">
      <t c="7">
        <n x="81" s="1"/>
        <n x="24" s="1"/>
        <n x="21"/>
        <n x="29"/>
        <n x="39"/>
        <n x="13"/>
        <n x="161"/>
      </t>
    </mdx>
    <mdx n="0" f="v">
      <t c="7">
        <n x="81" s="1"/>
        <n x="24" s="1"/>
        <n x="21"/>
        <n x="48"/>
        <n x="49"/>
        <n x="12"/>
        <n x="161"/>
      </t>
    </mdx>
    <mdx n="0" f="v">
      <t c="7">
        <n x="81" s="1"/>
        <n x="24" s="1"/>
        <n x="21"/>
        <n x="62"/>
        <n x="74"/>
        <n x="25"/>
        <n x="161"/>
      </t>
    </mdx>
    <mdx n="0" f="v">
      <t c="7">
        <n x="81" s="1"/>
        <n x="24" s="1"/>
        <n x="21"/>
        <n x="29"/>
        <n x="47"/>
        <n x="16"/>
        <n x="161"/>
      </t>
    </mdx>
    <mdx n="0" f="v">
      <t c="7">
        <n x="81" s="1"/>
        <n x="24" s="1"/>
        <n x="21"/>
        <n x="29"/>
        <n x="45"/>
        <n x="14"/>
        <n x="161"/>
      </t>
    </mdx>
    <mdx n="0" f="v">
      <t c="7">
        <n x="81" s="1"/>
        <n x="24" s="1"/>
        <n x="21"/>
        <n x="29"/>
        <n x="50"/>
        <n x="10"/>
        <n x="161"/>
      </t>
    </mdx>
    <mdx n="0" f="v">
      <t c="7">
        <n x="81" s="1"/>
        <n x="24" s="1"/>
        <n x="21"/>
        <n x="26"/>
        <n x="69"/>
        <n x="10"/>
        <n x="161"/>
      </t>
    </mdx>
    <mdx n="0" f="v">
      <t c="7">
        <n x="81" s="1"/>
        <n x="24" s="1"/>
        <n x="21"/>
        <n x="26"/>
        <n x="67"/>
        <n x="13"/>
        <n x="161"/>
      </t>
    </mdx>
    <mdx n="0" f="v">
      <t c="7">
        <n x="81" s="1"/>
        <n x="24" s="1"/>
        <n x="21"/>
        <n x="32"/>
        <n x="63"/>
        <n x="14"/>
        <n x="161"/>
      </t>
    </mdx>
    <mdx n="0" f="v">
      <t c="7">
        <n x="81" s="1"/>
        <n x="24" s="1"/>
        <n x="21"/>
        <n x="29"/>
        <n x="71"/>
        <n x="12"/>
        <n x="161"/>
      </t>
    </mdx>
    <mdx n="0" f="v">
      <t c="7">
        <n x="81" s="1"/>
        <n x="24" s="1"/>
        <n x="21"/>
        <n x="26"/>
        <n x="67"/>
        <n x="16"/>
        <n x="161"/>
      </t>
    </mdx>
    <mdx n="0" f="v">
      <t c="7">
        <n x="81" s="1"/>
        <n x="24" s="1"/>
        <n x="21"/>
        <n x="28"/>
        <n x="55"/>
        <n x="15"/>
        <n x="161"/>
      </t>
    </mdx>
    <mdx n="0" f="v">
      <t c="7">
        <n x="81" s="1"/>
        <n x="24" s="1"/>
        <n x="21"/>
        <n x="26"/>
        <n x="41"/>
        <n x="13"/>
        <n x="161"/>
      </t>
    </mdx>
    <mdx n="0" f="v">
      <t c="7">
        <n x="81" s="1"/>
        <n x="24" s="1"/>
        <n x="21"/>
        <n x="62"/>
        <n x="74"/>
        <n x="8"/>
        <n x="161"/>
      </t>
    </mdx>
    <mdx n="0" f="v">
      <t c="7">
        <n x="81" s="1"/>
        <n x="24" s="1"/>
        <n x="21"/>
        <n x="32"/>
        <n x="66"/>
        <n x="25"/>
        <n x="161"/>
      </t>
    </mdx>
    <mdx n="0" f="v">
      <t c="7">
        <n x="81" s="1"/>
        <n x="24" s="1"/>
        <n x="21"/>
        <n x="62"/>
        <n x="74"/>
        <n x="11"/>
        <n x="161"/>
      </t>
    </mdx>
    <mdx n="0" f="v">
      <t c="7">
        <n x="81" s="1"/>
        <n x="24" s="1"/>
        <n x="21"/>
        <n x="26"/>
        <n x="52"/>
        <n x="9"/>
        <n x="161"/>
      </t>
    </mdx>
    <mdx n="0" f="v">
      <t c="7">
        <n x="81" s="1"/>
        <n x="24" s="1"/>
        <n x="21"/>
        <n x="26"/>
        <n x="41"/>
        <n x="17"/>
        <n x="161"/>
      </t>
    </mdx>
    <mdx n="0" f="v">
      <t c="7">
        <n x="81" s="1"/>
        <n x="24" s="1"/>
        <n x="21"/>
        <n x="28"/>
        <n x="58"/>
        <n x="14"/>
        <n x="161"/>
      </t>
    </mdx>
    <mdx n="0" f="v">
      <t c="7">
        <n x="81" s="1"/>
        <n x="24" s="1"/>
        <n x="21"/>
        <n x="26"/>
        <n x="69"/>
        <n x="6"/>
        <n x="161"/>
      </t>
    </mdx>
    <mdx n="0" f="v">
      <t c="7">
        <n x="81" s="1"/>
        <n x="24" s="1"/>
        <n x="21"/>
        <n x="28"/>
        <n x="53"/>
        <n x="9"/>
        <n x="161"/>
      </t>
    </mdx>
    <mdx n="0" f="v">
      <t c="7">
        <n x="81" s="1"/>
        <n x="24" s="1"/>
        <n x="21"/>
        <n x="28"/>
        <n x="53"/>
        <n x="11"/>
        <n x="161"/>
      </t>
    </mdx>
    <mdx n="0" f="v">
      <t c="7">
        <n x="81" s="1"/>
        <n x="24" s="1"/>
        <n x="21"/>
        <n x="32"/>
        <n x="33"/>
        <n x="11"/>
        <n x="161"/>
      </t>
    </mdx>
    <mdx n="0" f="v">
      <t c="7">
        <n x="81" s="1"/>
        <n x="24" s="1"/>
        <n x="21"/>
        <n x="29"/>
        <n x="30"/>
        <n x="6"/>
        <n x="161"/>
      </t>
    </mdx>
    <mdx n="0" f="v">
      <t c="7">
        <n x="81" s="1"/>
        <n x="24" s="1"/>
        <n x="21"/>
        <n x="48"/>
        <n x="64"/>
        <n x="11"/>
        <n x="161"/>
      </t>
    </mdx>
    <mdx n="0" f="v">
      <t c="7">
        <n x="81" s="1"/>
        <n x="24" s="1"/>
        <n x="21"/>
        <n x="29"/>
        <n x="47"/>
        <n x="15"/>
        <n x="161"/>
      </t>
    </mdx>
    <mdx n="0" f="v">
      <t c="6">
        <n x="81" s="1"/>
        <n x="24" s="1"/>
        <n x="21"/>
        <n x="36"/>
        <n x="12"/>
        <n x="161"/>
      </t>
    </mdx>
    <mdx n="0" f="v">
      <t c="7">
        <n x="81" s="1"/>
        <n x="24" s="1"/>
        <n x="21"/>
        <n x="26"/>
        <n x="46"/>
        <n x="8"/>
        <n x="161"/>
      </t>
    </mdx>
    <mdx n="0" f="v">
      <t c="7">
        <n x="81" s="1"/>
        <n x="24" s="1"/>
        <n x="21"/>
        <n x="29"/>
        <n x="39"/>
        <n x="6"/>
        <n x="161"/>
      </t>
    </mdx>
    <mdx n="0" f="v">
      <t c="7">
        <n x="81" s="1"/>
        <n x="24" s="1"/>
        <n x="21"/>
        <n x="29"/>
        <n x="30"/>
        <n x="15"/>
        <n x="161"/>
      </t>
    </mdx>
    <mdx n="0" f="v">
      <t c="7">
        <n x="81" s="1"/>
        <n x="24" s="1"/>
        <n x="21"/>
        <n x="26"/>
        <n x="46"/>
        <n x="7"/>
        <n x="161"/>
      </t>
    </mdx>
    <mdx n="0" f="v">
      <t c="7">
        <n x="81" s="1"/>
        <n x="24" s="1"/>
        <n x="21"/>
        <n x="32"/>
        <n x="70"/>
        <n x="14"/>
        <n x="161"/>
      </t>
    </mdx>
    <mdx n="0" f="v">
      <t c="7">
        <n x="81" s="1"/>
        <n x="24" s="1"/>
        <n x="21"/>
        <n x="26"/>
        <n x="34"/>
        <n x="17"/>
        <n x="161"/>
      </t>
    </mdx>
    <mdx n="0" f="v">
      <t c="7">
        <n x="81" s="1"/>
        <n x="24" s="1"/>
        <n x="21"/>
        <n x="62"/>
        <n x="74"/>
        <n x="13"/>
        <n x="161"/>
      </t>
    </mdx>
    <mdx n="0" f="v">
      <t c="7">
        <n x="81" s="1"/>
        <n x="24" s="1"/>
        <n x="21"/>
        <n x="36"/>
        <n x="37"/>
        <n x="16"/>
        <n x="161"/>
      </t>
    </mdx>
    <mdx n="0" f="v">
      <t c="7">
        <n x="81" s="1"/>
        <n x="24" s="1"/>
        <n x="21"/>
        <n x="28"/>
        <n x="42"/>
        <n x="6"/>
        <n x="161"/>
      </t>
    </mdx>
    <mdx n="0" f="v">
      <t c="7">
        <n x="81" s="1"/>
        <n x="24" s="1"/>
        <n x="21"/>
        <n x="26"/>
        <n x="27"/>
        <n x="14"/>
        <n x="161"/>
      </t>
    </mdx>
    <mdx n="0" f="v">
      <t c="6">
        <n x="81" s="1"/>
        <n x="24" s="1"/>
        <n x="21"/>
        <n x="26"/>
        <n x="11"/>
        <n x="161"/>
      </t>
    </mdx>
    <mdx n="0" f="v">
      <t c="7">
        <n x="81" s="1"/>
        <n x="24" s="1"/>
        <n x="21"/>
        <n x="28"/>
        <n x="58"/>
        <n x="12"/>
        <n x="161"/>
      </t>
    </mdx>
    <mdx n="0" f="v">
      <t c="7">
        <n x="81" s="1"/>
        <n x="24" s="1"/>
        <n x="21"/>
        <n x="29"/>
        <n x="47"/>
        <n x="25"/>
        <n x="161"/>
      </t>
    </mdx>
    <mdx n="0" f="v">
      <t c="6">
        <n x="81" s="1"/>
        <n x="24" s="1"/>
        <n x="21"/>
        <n x="36"/>
        <n x="13"/>
        <n x="161"/>
      </t>
    </mdx>
    <mdx n="0" f="v">
      <t c="7">
        <n x="81" s="1"/>
        <n x="24" s="1"/>
        <n x="21"/>
        <n x="29"/>
        <n x="54"/>
        <n x="13"/>
        <n x="161"/>
      </t>
    </mdx>
    <mdx n="0" f="v">
      <t c="7">
        <n x="81" s="1"/>
        <n x="24" s="1"/>
        <n x="21"/>
        <n x="26"/>
        <n x="56"/>
        <n x="10"/>
        <n x="161"/>
      </t>
    </mdx>
    <mdx n="0" f="v">
      <t c="7">
        <n x="81" s="1"/>
        <n x="24" s="1"/>
        <n x="21"/>
        <n x="29"/>
        <n x="30"/>
        <n x="10"/>
        <n x="161"/>
      </t>
    </mdx>
    <mdx n="0" f="v">
      <t c="7">
        <n x="81" s="1"/>
        <n x="24" s="1"/>
        <n x="21"/>
        <n x="48"/>
        <n x="64"/>
        <n x="13"/>
        <n x="161"/>
      </t>
    </mdx>
    <mdx n="0" f="v">
      <t c="7">
        <n x="81" s="1"/>
        <n x="24" s="1"/>
        <n x="21"/>
        <n x="32"/>
        <n x="68"/>
        <n x="9"/>
        <n x="161"/>
      </t>
    </mdx>
    <mdx n="0" f="v">
      <t c="6">
        <n x="81" s="1"/>
        <n x="24" s="1"/>
        <n x="21"/>
        <n x="26"/>
        <n x="7"/>
        <n x="161"/>
      </t>
    </mdx>
    <mdx n="0" f="v">
      <t c="6">
        <n x="81" s="1"/>
        <n x="24" s="1"/>
        <n x="21"/>
        <n x="61"/>
        <n x="11"/>
        <n x="161"/>
      </t>
    </mdx>
    <mdx n="0" f="v">
      <t c="6">
        <n x="81" s="1"/>
        <n x="24" s="1"/>
        <n x="21"/>
        <n x="48"/>
        <n x="10"/>
        <n x="161"/>
      </t>
    </mdx>
    <mdx n="0" f="v">
      <t c="7">
        <n x="81" s="1"/>
        <n x="24" s="1"/>
        <n x="21"/>
        <n x="29"/>
        <n x="51"/>
        <n x="8"/>
        <n x="161"/>
      </t>
    </mdx>
    <mdx n="0" f="v">
      <t c="7">
        <n x="81" s="1"/>
        <n x="24" s="1"/>
        <n x="21"/>
        <n x="29"/>
        <n x="71"/>
        <n x="14"/>
        <n x="161"/>
      </t>
    </mdx>
    <mdx n="0" f="v">
      <t c="7">
        <n x="81" s="1"/>
        <n x="24" s="1"/>
        <n x="21"/>
        <n x="26"/>
        <n x="31"/>
        <n x="6"/>
        <n x="161"/>
      </t>
    </mdx>
    <mdx n="0" f="v">
      <t c="7">
        <n x="81" s="1"/>
        <n x="24" s="1"/>
        <n x="21"/>
        <n x="26"/>
        <n x="34"/>
        <n x="25"/>
        <n x="161"/>
      </t>
    </mdx>
    <mdx n="0" f="v">
      <t c="7">
        <n x="81" s="1"/>
        <n x="24" s="1"/>
        <n x="21"/>
        <n x="29"/>
        <n x="59"/>
        <n x="6"/>
        <n x="161"/>
      </t>
    </mdx>
    <mdx n="0" f="v">
      <t c="7">
        <n x="81" s="1"/>
        <n x="24" s="1"/>
        <n x="21"/>
        <n x="28"/>
        <n x="53"/>
        <n x="10"/>
        <n x="161"/>
      </t>
    </mdx>
    <mdx n="0" f="v">
      <t c="7">
        <n x="81" s="1"/>
        <n x="24" s="1"/>
        <n x="21"/>
        <n x="62"/>
        <n x="72"/>
        <n x="17"/>
        <n x="161"/>
      </t>
    </mdx>
    <mdx n="0" f="v">
      <t c="7">
        <n x="81" s="1"/>
        <n x="24" s="1"/>
        <n x="21"/>
        <n x="29"/>
        <n x="54"/>
        <n x="7"/>
        <n x="161"/>
      </t>
    </mdx>
    <mdx n="0" f="v">
      <t c="7">
        <n x="81" s="1"/>
        <n x="24" s="1"/>
        <n x="21"/>
        <n x="32"/>
        <n x="68"/>
        <n x="11"/>
        <n x="161"/>
      </t>
    </mdx>
    <mdx n="0" f="v">
      <t c="7">
        <n x="81" s="1"/>
        <n x="24" s="1"/>
        <n x="21"/>
        <n x="26"/>
        <n x="56"/>
        <n x="6"/>
        <n x="161"/>
      </t>
    </mdx>
    <mdx n="0" f="v">
      <t c="6">
        <n x="81" s="1"/>
        <n x="24" s="1"/>
        <n x="21"/>
        <n x="36"/>
        <n x="7"/>
        <n x="161"/>
      </t>
    </mdx>
    <mdx n="0" f="v">
      <t c="7">
        <n x="81" s="1"/>
        <n x="24" s="1"/>
        <n x="21"/>
        <n x="32"/>
        <n x="63"/>
        <n x="7"/>
        <n x="161"/>
      </t>
    </mdx>
    <mdx n="0" f="v">
      <t c="7">
        <n x="81" s="1"/>
        <n x="24" s="1"/>
        <n x="21"/>
        <n x="26"/>
        <n x="41"/>
        <n x="7"/>
        <n x="161"/>
      </t>
    </mdx>
    <mdx n="0" f="v">
      <t c="7">
        <n x="81" s="1"/>
        <n x="24" s="1"/>
        <n x="21"/>
        <n x="62"/>
        <n x="74"/>
        <n x="10"/>
        <n x="161"/>
      </t>
    </mdx>
    <mdx n="0" f="v">
      <t c="7">
        <n x="81" s="1"/>
        <n x="24" s="1"/>
        <n x="21"/>
        <n x="28"/>
        <n x="42"/>
        <n x="12"/>
        <n x="161"/>
      </t>
    </mdx>
    <mdx n="0" f="v">
      <t c="7">
        <n x="81" s="1"/>
        <n x="24" s="1"/>
        <n x="21"/>
        <n x="26"/>
        <n x="27"/>
        <n x="7"/>
        <n x="161"/>
      </t>
    </mdx>
    <mdx n="0" f="v">
      <t c="7">
        <n x="81" s="1"/>
        <n x="24" s="1"/>
        <n x="21"/>
        <n x="29"/>
        <n x="50"/>
        <n x="16"/>
        <n x="161"/>
      </t>
    </mdx>
    <mdx n="0" f="v">
      <t c="7">
        <n x="81" s="1"/>
        <n x="24" s="1"/>
        <n x="21"/>
        <n x="29"/>
        <n x="45"/>
        <n x="7"/>
        <n x="161"/>
      </t>
    </mdx>
    <mdx n="0" f="v">
      <t c="7">
        <n x="81" s="1"/>
        <n x="24" s="1"/>
        <n x="21"/>
        <n x="26"/>
        <n x="41"/>
        <n x="11"/>
        <n x="161"/>
      </t>
    </mdx>
    <mdx n="0" f="v">
      <t c="7">
        <n x="81" s="1"/>
        <n x="24" s="1"/>
        <n x="21"/>
        <n x="26"/>
        <n x="60"/>
        <n x="6"/>
        <n x="161"/>
      </t>
    </mdx>
    <mdx n="0" f="v">
      <t c="7">
        <n x="81" s="1"/>
        <n x="24" s="1"/>
        <n x="21"/>
        <n x="32"/>
        <n x="66"/>
        <n x="10"/>
        <n x="161"/>
      </t>
    </mdx>
    <mdx n="0" f="v">
      <t c="7">
        <n x="81" s="1"/>
        <n x="24" s="1"/>
        <n x="21"/>
        <n x="62"/>
        <n x="72"/>
        <n x="15"/>
        <n x="161"/>
      </t>
    </mdx>
    <mdx n="0" f="v">
      <t c="7">
        <n x="81" s="1"/>
        <n x="24" s="1"/>
        <n x="21"/>
        <n x="29"/>
        <n x="59"/>
        <n x="8"/>
        <n x="161"/>
      </t>
    </mdx>
    <mdx n="0" f="v">
      <t c="7">
        <n x="81" s="1"/>
        <n x="24" s="1"/>
        <n x="21"/>
        <n x="62"/>
        <n x="73"/>
        <n x="14"/>
        <n x="161"/>
      </t>
    </mdx>
    <mdx n="0" f="v">
      <t c="6">
        <n x="81" s="1"/>
        <n x="24" s="1"/>
        <n x="21"/>
        <n x="28"/>
        <n x="11"/>
        <n x="161"/>
      </t>
    </mdx>
    <mdx n="0" f="v">
      <t c="7">
        <n x="81" s="1"/>
        <n x="24" s="1"/>
        <n x="21"/>
        <n x="29"/>
        <n x="35"/>
        <n x="25"/>
        <n x="161"/>
      </t>
    </mdx>
    <mdx n="0" f="v">
      <t c="6">
        <n x="81" s="1"/>
        <n x="24" s="1"/>
        <n x="21"/>
        <n x="61"/>
        <n x="6"/>
        <n x="161"/>
      </t>
    </mdx>
    <mdx n="0" f="v">
      <t c="7">
        <n x="81" s="1"/>
        <n x="24" s="1"/>
        <n x="21"/>
        <n x="26"/>
        <n x="46"/>
        <n x="11"/>
        <n x="161"/>
      </t>
    </mdx>
    <mdx n="0" f="v">
      <t c="7">
        <n x="81" s="1"/>
        <n x="24" s="1"/>
        <n x="21"/>
        <n x="26"/>
        <n x="67"/>
        <n x="6"/>
        <n x="161"/>
      </t>
    </mdx>
    <mdx n="0" f="v">
      <t c="7">
        <n x="81" s="1"/>
        <n x="24" s="1"/>
        <n x="21"/>
        <n x="28"/>
        <n x="42"/>
        <n x="8"/>
        <n x="161"/>
      </t>
    </mdx>
    <mdx n="0" f="v">
      <t c="6">
        <n x="81" s="1"/>
        <n x="24" s="1"/>
        <n x="21"/>
        <n x="32"/>
        <n x="10"/>
        <n x="161"/>
      </t>
    </mdx>
    <mdx n="0" f="v">
      <t c="7">
        <n x="81" s="1"/>
        <n x="24" s="1"/>
        <n x="21"/>
        <n x="26"/>
        <n x="67"/>
        <n x="15"/>
        <n x="161"/>
      </t>
    </mdx>
    <mdx n="0" f="v">
      <t c="7">
        <n x="81" s="1"/>
        <n x="24" s="1"/>
        <n x="21"/>
        <n x="29"/>
        <n x="35"/>
        <n x="9"/>
        <n x="161"/>
      </t>
    </mdx>
    <mdx n="0" f="v">
      <t c="6">
        <n x="81" s="1"/>
        <n x="24" s="1"/>
        <n x="21"/>
        <n x="36"/>
        <n x="9"/>
        <n x="161"/>
      </t>
    </mdx>
    <mdx n="0" f="v">
      <t c="7">
        <n x="81" s="1"/>
        <n x="24" s="1"/>
        <n x="21"/>
        <n x="26"/>
        <n x="56"/>
        <n x="7"/>
        <n x="161"/>
      </t>
    </mdx>
    <mdx n="0" f="v">
      <t c="7">
        <n x="81" s="1"/>
        <n x="24" s="1"/>
        <n x="21"/>
        <n x="28"/>
        <n x="42"/>
        <n x="16"/>
        <n x="161"/>
      </t>
    </mdx>
    <mdx n="0" f="v">
      <t c="7">
        <n x="81" s="1"/>
        <n x="24" s="1"/>
        <n x="21"/>
        <n x="28"/>
        <n x="58"/>
        <n x="9"/>
        <n x="161"/>
      </t>
    </mdx>
    <mdx n="0" f="v">
      <t c="7">
        <n x="81" s="1"/>
        <n x="24" s="1"/>
        <n x="21"/>
        <n x="48"/>
        <n x="49"/>
        <n x="13"/>
        <n x="161"/>
      </t>
    </mdx>
    <mdx n="0" f="v">
      <t c="7">
        <n x="81" s="1"/>
        <n x="24" s="1"/>
        <n x="21"/>
        <n x="29"/>
        <n x="39"/>
        <n x="7"/>
        <n x="161"/>
      </t>
    </mdx>
    <mdx n="0" f="v">
      <t c="7">
        <n x="81" s="1"/>
        <n x="24" s="1"/>
        <n x="21"/>
        <n x="29"/>
        <n x="39"/>
        <n x="15"/>
        <n x="161"/>
      </t>
    </mdx>
    <mdx n="0" f="v">
      <t c="7">
        <n x="81" s="1"/>
        <n x="24" s="1"/>
        <n x="21"/>
        <n x="29"/>
        <n x="39"/>
        <n x="16"/>
        <n x="161"/>
      </t>
    </mdx>
    <mdx n="0" f="v">
      <t c="7">
        <n x="81" s="1"/>
        <n x="24" s="1"/>
        <n x="21"/>
        <n x="29"/>
        <n x="39"/>
        <n x="12"/>
        <n x="161"/>
      </t>
    </mdx>
    <mdx n="0" f="v">
      <t c="7">
        <n x="81" s="1"/>
        <n x="24" s="1"/>
        <n x="21"/>
        <n x="29"/>
        <n x="39"/>
        <n x="25"/>
        <n x="161"/>
      </t>
    </mdx>
    <mdx n="0" f="v">
      <t c="7">
        <n x="81" s="1"/>
        <n x="24" s="1"/>
        <n x="21"/>
        <n x="29"/>
        <n x="39"/>
        <n x="8"/>
        <n x="161"/>
      </t>
    </mdx>
    <mdx n="0" f="v">
      <t c="7">
        <n x="81" s="1"/>
        <n x="24" s="1"/>
        <n x="21"/>
        <n x="29"/>
        <n x="39"/>
        <n x="11"/>
        <n x="161"/>
      </t>
    </mdx>
    <mdx n="0" f="v">
      <t c="7">
        <n x="81" s="1"/>
        <n x="24" s="1"/>
        <n x="21"/>
        <n x="29"/>
        <n x="39"/>
        <n x="9"/>
        <n x="161"/>
      </t>
    </mdx>
    <mdx n="0" f="s">
      <ms ns="162" c="0"/>
    </mdx>
    <mdx n="0" f="s">
      <ms ns="163" c="0"/>
    </mdx>
    <mdx n="0" f="v">
      <t c="6">
        <n x="5"/>
        <n x="104"/>
        <n x="21"/>
        <n x="90"/>
        <n x="133"/>
        <n x="102"/>
      </t>
    </mdx>
    <mdx n="0" f="v">
      <t c="6">
        <n x="5"/>
        <n x="104"/>
        <n x="21"/>
        <n x="95"/>
        <n x="132"/>
        <n x="102"/>
      </t>
    </mdx>
    <mdx n="0" f="v">
      <t c="5">
        <n x="5"/>
        <n x="104"/>
        <n x="21"/>
        <n x="94"/>
        <n x="102"/>
      </t>
    </mdx>
    <mdx n="0" f="v">
      <t c="6">
        <n x="5"/>
        <n x="104"/>
        <n x="21"/>
        <n x="95"/>
        <n x="130"/>
        <n x="102"/>
      </t>
    </mdx>
    <mdx n="0" f="v">
      <t c="6">
        <n x="5"/>
        <n x="104"/>
        <n x="21"/>
        <n x="94"/>
        <n x="108"/>
        <n x="102"/>
      </t>
    </mdx>
    <mdx n="0" f="v">
      <t c="6">
        <n x="5"/>
        <n x="104"/>
        <n x="21"/>
        <n x="85"/>
        <n x="116"/>
        <n x="102"/>
      </t>
    </mdx>
    <mdx n="0" f="v">
      <t c="6">
        <n x="5"/>
        <n x="104"/>
        <n x="21"/>
        <n x="85"/>
        <n x="113"/>
        <n x="102"/>
      </t>
    </mdx>
    <mdx n="0" f="v">
      <t c="6">
        <n x="5"/>
        <n x="104"/>
        <n x="21"/>
        <n x="91"/>
        <n x="127"/>
        <n x="102"/>
      </t>
    </mdx>
    <mdx n="0" f="v">
      <t c="6">
        <n x="5"/>
        <n x="104"/>
        <n x="21"/>
        <n x="90"/>
        <n x="120"/>
        <n x="102"/>
      </t>
    </mdx>
    <mdx n="0" f="v">
      <t c="5">
        <n x="5"/>
        <n x="104"/>
        <n x="21"/>
        <n x="92"/>
        <n x="102"/>
      </t>
    </mdx>
    <mdx n="0" f="v">
      <t c="6">
        <n x="5"/>
        <n x="104"/>
        <n x="21"/>
        <n x="89"/>
        <n x="106"/>
        <n x="102"/>
      </t>
    </mdx>
    <mdx n="0" f="v">
      <t c="6">
        <n x="5"/>
        <n x="104"/>
        <n x="21"/>
        <n x="96"/>
        <n x="128"/>
        <n x="102"/>
      </t>
    </mdx>
    <mdx n="0" f="v">
      <t c="6">
        <n x="5"/>
        <n x="104"/>
        <n x="21"/>
        <n x="88"/>
        <n x="137"/>
        <n x="102"/>
      </t>
    </mdx>
    <mdx n="0" f="v">
      <t c="5">
        <n x="5"/>
        <n x="104"/>
        <n x="21"/>
        <n x="89"/>
        <n x="102"/>
      </t>
    </mdx>
    <mdx n="0" f="v">
      <t c="5">
        <n x="5"/>
        <n x="104"/>
        <n x="21"/>
        <n x="96"/>
        <n x="102"/>
      </t>
    </mdx>
    <mdx n="0" f="v">
      <t c="5">
        <n x="5"/>
        <n x="104"/>
        <n x="21"/>
        <n x="86"/>
        <n x="102"/>
      </t>
    </mdx>
    <mdx n="0" f="v">
      <t c="5">
        <n x="5"/>
        <n x="104"/>
        <n x="21"/>
        <n x="84"/>
        <n x="102"/>
      </t>
    </mdx>
    <mdx n="0" f="v">
      <t c="6">
        <n x="5"/>
        <n x="104"/>
        <n x="21"/>
        <n x="92"/>
        <n x="135"/>
        <n x="102"/>
      </t>
    </mdx>
    <mdx n="0" f="v">
      <t c="6">
        <n x="5"/>
        <n x="104"/>
        <n x="21"/>
        <n x="84"/>
        <n x="114"/>
        <n x="102"/>
      </t>
    </mdx>
    <mdx n="0" f="v">
      <t c="5">
        <n x="5"/>
        <n x="104"/>
        <n x="21"/>
        <n x="95"/>
        <n x="102"/>
      </t>
    </mdx>
    <mdx n="0" f="v">
      <t c="6">
        <n x="5"/>
        <n x="104"/>
        <n x="21"/>
        <n x="95"/>
        <n x="111"/>
        <n x="102"/>
      </t>
    </mdx>
    <mdx n="0" f="v">
      <t c="5">
        <n x="5"/>
        <n x="104"/>
        <n x="21"/>
        <n x="87"/>
        <n x="102"/>
      </t>
    </mdx>
    <mdx n="0" f="v">
      <t c="5">
        <n x="5"/>
        <n x="104"/>
        <n x="21"/>
        <n x="97"/>
        <n x="102"/>
      </t>
    </mdx>
    <mdx n="0" f="v">
      <t c="6">
        <n x="5"/>
        <n x="104"/>
        <n x="21"/>
        <n x="95"/>
        <n x="124"/>
        <n x="102"/>
      </t>
    </mdx>
    <mdx n="0" f="v">
      <t c="6">
        <n x="5"/>
        <n x="104"/>
        <n x="21"/>
        <n x="90"/>
        <n x="119"/>
        <n x="102"/>
      </t>
    </mdx>
    <mdx n="0" f="v">
      <t c="6">
        <n x="5"/>
        <n x="104"/>
        <n x="21"/>
        <n x="87"/>
        <n x="136"/>
        <n x="102"/>
      </t>
    </mdx>
    <mdx n="0" f="v">
      <t c="6">
        <n x="5"/>
        <n x="104"/>
        <n x="21"/>
        <n x="85"/>
        <n x="123"/>
        <n x="102"/>
      </t>
    </mdx>
    <mdx n="0" f="v">
      <t c="6">
        <n x="5"/>
        <n x="104"/>
        <n x="21"/>
        <n x="86"/>
        <n x="121"/>
        <n x="102"/>
      </t>
    </mdx>
    <mdx n="0" f="v">
      <t c="6">
        <n x="5"/>
        <n x="104"/>
        <n x="21"/>
        <n x="86"/>
        <n x="115"/>
        <n x="102"/>
      </t>
    </mdx>
    <mdx n="0" f="v">
      <t c="6">
        <n x="5"/>
        <n x="104"/>
        <n x="21"/>
        <n x="95"/>
        <n x="109"/>
        <n x="102"/>
      </t>
    </mdx>
    <mdx n="0" f="v">
      <t c="6">
        <n x="5"/>
        <n x="104"/>
        <n x="21"/>
        <n x="94"/>
        <n x="110"/>
        <n x="102"/>
      </t>
    </mdx>
    <mdx n="0" f="v">
      <t c="6">
        <n x="5"/>
        <n x="104"/>
        <n x="21"/>
        <n x="89"/>
        <n x="105"/>
        <n x="102"/>
      </t>
    </mdx>
    <mdx n="0" f="v">
      <t c="6">
        <n x="5"/>
        <n x="104"/>
        <n x="21"/>
        <n x="86"/>
        <n x="112"/>
        <n x="102"/>
      </t>
    </mdx>
    <mdx n="0" f="v">
      <t c="6">
        <n x="5"/>
        <n x="104"/>
        <n x="21"/>
        <n x="84"/>
        <n x="125"/>
        <n x="102"/>
      </t>
    </mdx>
    <mdx n="0" f="v">
      <t c="6">
        <n x="5"/>
        <n x="104"/>
        <n x="21"/>
        <n x="93"/>
        <n x="129"/>
        <n x="102"/>
      </t>
    </mdx>
    <mdx n="0" f="v">
      <t c="6">
        <n x="5"/>
        <n x="104"/>
        <n x="21"/>
        <n x="84"/>
        <n x="117"/>
        <n x="102"/>
      </t>
    </mdx>
    <mdx n="0" f="v">
      <t c="6">
        <n x="5"/>
        <n x="104"/>
        <n x="21"/>
        <n x="90"/>
        <n x="134"/>
        <n x="102"/>
      </t>
    </mdx>
    <mdx n="0" f="v">
      <t c="5">
        <n x="5"/>
        <n x="104"/>
        <n x="21"/>
        <n x="85"/>
        <n x="102"/>
      </t>
    </mdx>
    <mdx n="0" f="v">
      <t c="6">
        <n x="5"/>
        <n x="104"/>
        <n x="21"/>
        <n x="94"/>
        <n x="122"/>
        <n x="102"/>
      </t>
    </mdx>
    <mdx n="0" f="v">
      <t c="6">
        <n x="5"/>
        <n x="104"/>
        <n x="21"/>
        <n x="90"/>
        <n x="107"/>
        <n x="102"/>
      </t>
    </mdx>
    <mdx n="0" f="v">
      <t c="5">
        <n x="5"/>
        <n x="104"/>
        <n x="21"/>
        <n x="93"/>
        <n x="102"/>
      </t>
    </mdx>
    <mdx n="0" f="v">
      <t c="5">
        <n x="5"/>
        <n x="104"/>
        <n x="21"/>
        <n x="90"/>
        <n x="102"/>
      </t>
    </mdx>
    <mdx n="0" f="v">
      <t c="5">
        <n x="5"/>
        <n x="104"/>
        <n x="21"/>
        <n x="91"/>
        <n x="102"/>
      </t>
    </mdx>
    <mdx n="0" f="v">
      <t c="6">
        <n x="5"/>
        <n x="104"/>
        <n x="21"/>
        <n x="90"/>
        <n x="118"/>
        <n x="102"/>
      </t>
    </mdx>
    <mdx n="0" f="v">
      <t c="6">
        <n x="5"/>
        <n x="104"/>
        <n x="21"/>
        <n x="90"/>
        <n x="131"/>
        <n x="102"/>
      </t>
    </mdx>
    <mdx n="0" f="v">
      <t c="6">
        <n x="5"/>
        <n x="104"/>
        <n x="21"/>
        <n x="97"/>
        <n x="126"/>
        <n x="102"/>
      </t>
    </mdx>
    <mdx n="0" f="v">
      <t c="5">
        <n x="5"/>
        <n x="104"/>
        <n x="21"/>
        <n x="88"/>
        <n x="102"/>
      </t>
    </mdx>
    <mdx n="0" f="v">
      <t c="6">
        <n x="18"/>
        <n x="104"/>
        <n x="146"/>
        <n x="21"/>
        <n x="92"/>
        <n x="16"/>
      </t>
    </mdx>
    <mdx n="0" f="v">
      <t c="7">
        <n x="18"/>
        <n x="104"/>
        <n x="146"/>
        <n x="21"/>
        <n x="90"/>
        <n x="131"/>
        <n x="8"/>
      </t>
    </mdx>
    <mdx n="0" f="v">
      <t c="6">
        <n x="18"/>
        <n x="104"/>
        <n x="146"/>
        <n x="21"/>
        <n x="87"/>
        <n x="13"/>
      </t>
    </mdx>
    <mdx n="0" f="v">
      <t c="6">
        <n x="18"/>
        <n x="104"/>
        <n x="146"/>
        <n x="21"/>
        <n x="86"/>
        <n x="13"/>
      </t>
    </mdx>
    <mdx n="0" f="v">
      <t c="7">
        <n x="18"/>
        <n x="104"/>
        <n x="146"/>
        <n x="21"/>
        <n x="90"/>
        <n x="131"/>
        <n x="16"/>
      </t>
    </mdx>
    <mdx n="0" f="v">
      <t c="7">
        <n x="18"/>
        <n x="104"/>
        <n x="146"/>
        <n x="21"/>
        <n x="84"/>
        <n x="117"/>
        <n x="25"/>
      </t>
    </mdx>
    <mdx n="0" f="v">
      <t c="7">
        <n x="18"/>
        <n x="104"/>
        <n x="146"/>
        <n x="21"/>
        <n x="90"/>
        <n x="119"/>
        <n x="11"/>
      </t>
    </mdx>
    <mdx n="0" f="v">
      <t c="6">
        <n x="18"/>
        <n x="104"/>
        <n x="146"/>
        <n x="21"/>
        <n x="95"/>
        <n x="8"/>
      </t>
    </mdx>
    <mdx n="0" f="v">
      <t c="7">
        <n x="18"/>
        <n x="104"/>
        <n x="146"/>
        <n x="21"/>
        <n x="87"/>
        <n x="136"/>
        <n x="11"/>
      </t>
    </mdx>
    <mdx n="0" f="v">
      <t c="7">
        <n x="18"/>
        <n x="104"/>
        <n x="146"/>
        <n x="21"/>
        <n x="96"/>
        <n x="128"/>
        <n x="25"/>
      </t>
    </mdx>
    <mdx n="0" f="v">
      <t c="6">
        <n x="18"/>
        <n x="104"/>
        <n x="146"/>
        <n x="21"/>
        <n x="85"/>
        <n x="11"/>
      </t>
    </mdx>
    <mdx n="0" f="v">
      <t c="7">
        <n x="18"/>
        <n x="104"/>
        <n x="146"/>
        <n x="21"/>
        <n x="95"/>
        <n x="111"/>
        <n x="8"/>
      </t>
    </mdx>
    <mdx n="0" f="v">
      <t c="7">
        <n x="18"/>
        <n x="104"/>
        <n x="146"/>
        <n x="21"/>
        <n x="84"/>
        <n x="125"/>
        <n x="10"/>
      </t>
    </mdx>
    <mdx n="0" f="v">
      <t c="7">
        <n x="18"/>
        <n x="104"/>
        <n x="146"/>
        <n x="21"/>
        <n x="85"/>
        <n x="123"/>
        <n x="17"/>
      </t>
    </mdx>
    <mdx n="0" f="v">
      <t c="7">
        <n x="18"/>
        <n x="104"/>
        <n x="146"/>
        <n x="21"/>
        <n x="86"/>
        <n x="115"/>
        <n x="16"/>
      </t>
    </mdx>
    <mdx n="0" f="v">
      <t c="7">
        <n x="18"/>
        <n x="104"/>
        <n x="146"/>
        <n x="21"/>
        <n x="87"/>
        <n x="136"/>
        <n x="16"/>
      </t>
    </mdx>
    <mdx n="0" f="v">
      <t c="6">
        <n x="18"/>
        <n x="104"/>
        <n x="146"/>
        <n x="21"/>
        <n x="94"/>
        <n x="25"/>
      </t>
    </mdx>
    <mdx n="0" f="v">
      <t c="6">
        <n x="18"/>
        <n x="104"/>
        <n x="146"/>
        <n x="21"/>
        <n x="86"/>
        <n x="16"/>
      </t>
    </mdx>
    <mdx n="0" f="v">
      <t c="7">
        <n x="18"/>
        <n x="104"/>
        <n x="146"/>
        <n x="21"/>
        <n x="86"/>
        <n x="112"/>
        <n x="17"/>
      </t>
    </mdx>
    <mdx n="0" f="v">
      <t c="7">
        <n x="18"/>
        <n x="104"/>
        <n x="146"/>
        <n x="21"/>
        <n x="88"/>
        <n x="137"/>
        <n x="13"/>
      </t>
    </mdx>
    <mdx n="0" f="v">
      <t c="7">
        <n x="18"/>
        <n x="104"/>
        <n x="146"/>
        <n x="21"/>
        <n x="86"/>
        <n x="121"/>
        <n x="11"/>
      </t>
    </mdx>
    <mdx n="0" f="v">
      <t c="7">
        <n x="18"/>
        <n x="104"/>
        <n x="146"/>
        <n x="21"/>
        <n x="85"/>
        <n x="116"/>
        <n x="17"/>
      </t>
    </mdx>
    <mdx n="0" f="v">
      <t c="6">
        <n x="18"/>
        <n x="104"/>
        <n x="146"/>
        <n x="21"/>
        <n x="94"/>
        <n x="13"/>
      </t>
    </mdx>
    <mdx n="0" f="v">
      <t c="7">
        <n x="18"/>
        <n x="104"/>
        <n x="146"/>
        <n x="21"/>
        <n x="95"/>
        <n x="132"/>
        <n x="17"/>
      </t>
    </mdx>
    <mdx n="0" f="v">
      <t c="7">
        <n x="18"/>
        <n x="104"/>
        <n x="146"/>
        <n x="21"/>
        <n x="90"/>
        <n x="119"/>
        <n x="16"/>
      </t>
    </mdx>
    <mdx n="0" f="v">
      <t c="7">
        <n x="18"/>
        <n x="104"/>
        <n x="146"/>
        <n x="21"/>
        <n x="84"/>
        <n x="117"/>
        <n x="12"/>
      </t>
    </mdx>
    <mdx n="0" f="v">
      <t c="7">
        <n x="18"/>
        <n x="104"/>
        <n x="146"/>
        <n x="21"/>
        <n x="89"/>
        <n x="106"/>
        <n x="8"/>
      </t>
    </mdx>
    <mdx n="0" f="v">
      <t c="7">
        <n x="18"/>
        <n x="104"/>
        <n x="146"/>
        <n x="21"/>
        <n x="95"/>
        <n x="130"/>
        <n x="16"/>
      </t>
    </mdx>
    <mdx n="0" f="v">
      <t c="7">
        <n x="18"/>
        <n x="104"/>
        <n x="146"/>
        <n x="21"/>
        <n x="89"/>
        <n x="105"/>
        <n x="16"/>
      </t>
    </mdx>
    <mdx n="0" f="v">
      <t c="6">
        <n x="18"/>
        <n x="104"/>
        <n x="146"/>
        <n x="21"/>
        <n x="84"/>
        <n x="11"/>
      </t>
    </mdx>
    <mdx n="0" f="v">
      <t c="6">
        <n x="18"/>
        <n x="104"/>
        <n x="146"/>
        <n x="21"/>
        <n x="88"/>
        <n x="17"/>
      </t>
    </mdx>
    <mdx n="0" f="v">
      <t c="7">
        <n x="18"/>
        <n x="104"/>
        <n x="146"/>
        <n x="21"/>
        <n x="93"/>
        <n x="129"/>
        <n x="13"/>
      </t>
    </mdx>
    <mdx n="0" f="v">
      <t c="6">
        <n x="18"/>
        <n x="104"/>
        <n x="146"/>
        <n x="21"/>
        <n x="94"/>
        <n x="14"/>
      </t>
    </mdx>
    <mdx n="0" f="v">
      <t c="6">
        <n x="18"/>
        <n x="104"/>
        <n x="146"/>
        <n x="21"/>
        <n x="91"/>
        <n x="25"/>
      </t>
    </mdx>
    <mdx n="0" f="v">
      <t c="6">
        <n x="18"/>
        <n x="104"/>
        <n x="146"/>
        <n x="21"/>
        <n x="96"/>
        <n x="11"/>
      </t>
    </mdx>
    <mdx n="0" f="v">
      <t c="7">
        <n x="18"/>
        <n x="104"/>
        <n x="146"/>
        <n x="21"/>
        <n x="89"/>
        <n x="105"/>
        <n x="12"/>
      </t>
    </mdx>
    <mdx n="0" f="v">
      <t c="7">
        <n x="18"/>
        <n x="104"/>
        <n x="146"/>
        <n x="21"/>
        <n x="90"/>
        <n x="107"/>
        <n x="17"/>
      </t>
    </mdx>
    <mdx n="0" f="v">
      <t c="7">
        <n x="18"/>
        <n x="104"/>
        <n x="146"/>
        <n x="21"/>
        <n x="86"/>
        <n x="121"/>
        <n x="8"/>
      </t>
    </mdx>
    <mdx n="0" f="v">
      <t c="7">
        <n x="18"/>
        <n x="104"/>
        <n x="146"/>
        <n x="21"/>
        <n x="90"/>
        <n x="120"/>
        <n x="12"/>
      </t>
    </mdx>
    <mdx n="0" f="v">
      <t c="6">
        <n x="18"/>
        <n x="104"/>
        <n x="146"/>
        <n x="21"/>
        <n x="91"/>
        <n x="10"/>
      </t>
    </mdx>
    <mdx n="0" f="v">
      <t c="7">
        <n x="18"/>
        <n x="104"/>
        <n x="146"/>
        <n x="21"/>
        <n x="89"/>
        <n x="105"/>
        <n x="13"/>
      </t>
    </mdx>
    <mdx n="0" f="v">
      <t c="6">
        <n x="18"/>
        <n x="104"/>
        <n x="146"/>
        <n x="21"/>
        <n x="94"/>
        <n x="17"/>
      </t>
    </mdx>
    <mdx n="0" f="v">
      <t c="7">
        <n x="18"/>
        <n x="104"/>
        <n x="146"/>
        <n x="21"/>
        <n x="89"/>
        <n x="105"/>
        <n x="25"/>
      </t>
    </mdx>
    <mdx n="0" f="v">
      <t c="7">
        <n x="18"/>
        <n x="104"/>
        <n x="146"/>
        <n x="21"/>
        <n x="94"/>
        <n x="122"/>
        <n x="10"/>
      </t>
    </mdx>
    <mdx n="0" f="v">
      <t c="6">
        <n x="18"/>
        <n x="104"/>
        <n x="146"/>
        <n x="21"/>
        <n x="84"/>
        <n x="25"/>
      </t>
    </mdx>
    <mdx n="0" f="v">
      <t c="7">
        <n x="18"/>
        <n x="104"/>
        <n x="146"/>
        <n x="21"/>
        <n x="89"/>
        <n x="106"/>
        <n x="16"/>
      </t>
    </mdx>
    <mdx n="0" f="v">
      <t c="7">
        <n x="18"/>
        <n x="104"/>
        <n x="146"/>
        <n x="21"/>
        <n x="90"/>
        <n x="131"/>
        <n x="25"/>
      </t>
    </mdx>
    <mdx n="0" f="v">
      <t c="7">
        <n x="18"/>
        <n x="104"/>
        <n x="146"/>
        <n x="21"/>
        <n x="90"/>
        <n x="107"/>
        <n x="14"/>
      </t>
    </mdx>
    <mdx n="0" f="v">
      <t c="7">
        <n x="18"/>
        <n x="104"/>
        <n x="146"/>
        <n x="21"/>
        <n x="91"/>
        <n x="127"/>
        <n x="8"/>
      </t>
    </mdx>
    <mdx n="0" f="v">
      <t c="7">
        <n x="18"/>
        <n x="104"/>
        <n x="146"/>
        <n x="21"/>
        <n x="94"/>
        <n x="122"/>
        <n x="8"/>
      </t>
    </mdx>
    <mdx n="0" f="v">
      <t c="7">
        <n x="18"/>
        <n x="104"/>
        <n x="146"/>
        <n x="21"/>
        <n x="84"/>
        <n x="117"/>
        <n x="8"/>
      </t>
    </mdx>
    <mdx n="0" f="v">
      <t c="7">
        <n x="18"/>
        <n x="104"/>
        <n x="146"/>
        <n x="21"/>
        <n x="85"/>
        <n x="123"/>
        <n x="16"/>
      </t>
    </mdx>
    <mdx n="0" f="v">
      <t c="7">
        <n x="18"/>
        <n x="104"/>
        <n x="146"/>
        <n x="21"/>
        <n x="85"/>
        <n x="123"/>
        <n x="14"/>
      </t>
    </mdx>
    <mdx n="0" f="v">
      <t c="7">
        <n x="18"/>
        <n x="104"/>
        <n x="146"/>
        <n x="21"/>
        <n x="85"/>
        <n x="116"/>
        <n x="8"/>
      </t>
    </mdx>
    <mdx n="0" f="v">
      <t c="7">
        <n x="18"/>
        <n x="104"/>
        <n x="146"/>
        <n x="21"/>
        <n x="95"/>
        <n x="132"/>
        <n x="7"/>
      </t>
    </mdx>
    <mdx n="0" f="v">
      <t c="7">
        <n x="18"/>
        <n x="104"/>
        <n x="146"/>
        <n x="21"/>
        <n x="95"/>
        <n x="109"/>
        <n x="8"/>
      </t>
    </mdx>
    <mdx n="0" f="v">
      <t c="6">
        <n x="18"/>
        <n x="104"/>
        <n x="146"/>
        <n x="21"/>
        <n x="97"/>
        <n x="13"/>
      </t>
    </mdx>
    <mdx n="0" f="v">
      <t c="7">
        <n x="18"/>
        <n x="104"/>
        <n x="146"/>
        <n x="21"/>
        <n x="97"/>
        <n x="126"/>
        <n x="11"/>
      </t>
    </mdx>
    <mdx n="0" f="v">
      <t c="6">
        <n x="18"/>
        <n x="104"/>
        <n x="146"/>
        <n x="21"/>
        <n x="92"/>
        <n x="25"/>
      </t>
    </mdx>
    <mdx n="0" f="v">
      <t c="7">
        <n x="18"/>
        <n x="104"/>
        <n x="146"/>
        <n x="21"/>
        <n x="85"/>
        <n x="113"/>
        <n x="14"/>
      </t>
    </mdx>
    <mdx n="0" f="v">
      <t c="7">
        <n x="18"/>
        <n x="104"/>
        <n x="146"/>
        <n x="21"/>
        <n x="86"/>
        <n x="115"/>
        <n x="10"/>
      </t>
    </mdx>
    <mdx n="0" f="v">
      <t c="6">
        <n x="18"/>
        <n x="104"/>
        <n x="146"/>
        <n x="21"/>
        <n x="91"/>
        <n x="13"/>
      </t>
    </mdx>
    <mdx n="0" f="v">
      <t c="7">
        <n x="18"/>
        <n x="104"/>
        <n x="146"/>
        <n x="21"/>
        <n x="91"/>
        <n x="127"/>
        <n x="12"/>
      </t>
    </mdx>
    <mdx n="0" f="v">
      <t c="7">
        <n x="18"/>
        <n x="104"/>
        <n x="146"/>
        <n x="21"/>
        <n x="95"/>
        <n x="130"/>
        <n x="13"/>
      </t>
    </mdx>
    <mdx n="0" f="v">
      <t c="6">
        <n x="18"/>
        <n x="104"/>
        <n x="146"/>
        <n x="21"/>
        <n x="86"/>
        <n x="10"/>
      </t>
    </mdx>
    <mdx n="0" f="v">
      <t c="7">
        <n x="18"/>
        <n x="104"/>
        <n x="146"/>
        <n x="21"/>
        <n x="95"/>
        <n x="130"/>
        <n x="15"/>
      </t>
    </mdx>
    <mdx n="0" f="v">
      <t c="6">
        <n x="18"/>
        <n x="104"/>
        <n x="146"/>
        <n x="21"/>
        <n x="90"/>
        <n x="12"/>
      </t>
    </mdx>
    <mdx n="0" f="v">
      <t c="6">
        <n x="18"/>
        <n x="104"/>
        <n x="146"/>
        <n x="21"/>
        <n x="92"/>
        <n x="13"/>
      </t>
    </mdx>
    <mdx n="0" f="v">
      <t c="7">
        <n x="18"/>
        <n x="104"/>
        <n x="146"/>
        <n x="21"/>
        <n x="94"/>
        <n x="108"/>
        <n x="10"/>
      </t>
    </mdx>
    <mdx n="0" f="v">
      <t c="6">
        <n x="18"/>
        <n x="104"/>
        <n x="146"/>
        <n x="21"/>
        <n x="86"/>
        <n x="15"/>
      </t>
    </mdx>
    <mdx n="0" f="v">
      <t c="7">
        <n x="18"/>
        <n x="104"/>
        <n x="146"/>
        <n x="21"/>
        <n x="85"/>
        <n x="113"/>
        <n x="11"/>
      </t>
    </mdx>
    <mdx n="0" f="v">
      <t c="6">
        <n x="18"/>
        <n x="104"/>
        <n x="146"/>
        <n x="21"/>
        <n x="97"/>
        <n x="14"/>
      </t>
    </mdx>
    <mdx n="0" f="v">
      <t c="7">
        <n x="18"/>
        <n x="104"/>
        <n x="146"/>
        <n x="21"/>
        <n x="90"/>
        <n x="119"/>
        <n x="7"/>
      </t>
    </mdx>
    <mdx n="0" f="v">
      <t c="7">
        <n x="18"/>
        <n x="104"/>
        <n x="146"/>
        <n x="21"/>
        <n x="86"/>
        <n x="121"/>
        <n x="12"/>
      </t>
    </mdx>
    <mdx n="0" f="v">
      <t c="7">
        <n x="18"/>
        <n x="104"/>
        <n x="146"/>
        <n x="21"/>
        <n x="95"/>
        <n x="132"/>
        <n x="8"/>
      </t>
    </mdx>
    <mdx n="0" f="v">
      <t c="7">
        <n x="18"/>
        <n x="104"/>
        <n x="146"/>
        <n x="21"/>
        <n x="90"/>
        <n x="107"/>
        <n x="25"/>
      </t>
    </mdx>
    <mdx n="0" f="v">
      <t c="6">
        <n x="18"/>
        <n x="104"/>
        <n x="146"/>
        <n x="21"/>
        <n x="84"/>
        <n x="12"/>
      </t>
    </mdx>
    <mdx n="0" f="v">
      <t c="7">
        <n x="18"/>
        <n x="104"/>
        <n x="146"/>
        <n x="21"/>
        <n x="95"/>
        <n x="130"/>
        <n x="14"/>
      </t>
    </mdx>
    <mdx n="0" f="v">
      <t c="7">
        <n x="18"/>
        <n x="104"/>
        <n x="146"/>
        <n x="21"/>
        <n x="86"/>
        <n x="112"/>
        <n x="16"/>
      </t>
    </mdx>
    <mdx n="0" f="v">
      <t c="7">
        <n x="18"/>
        <n x="104"/>
        <n x="146"/>
        <n x="21"/>
        <n x="91"/>
        <n x="127"/>
        <n x="14"/>
      </t>
    </mdx>
    <mdx n="0" f="v">
      <t c="6">
        <n x="18"/>
        <n x="104"/>
        <n x="146"/>
        <n x="21"/>
        <n x="93"/>
        <n x="14"/>
      </t>
    </mdx>
    <mdx n="0" f="v">
      <t c="7">
        <n x="18"/>
        <n x="104"/>
        <n x="146"/>
        <n x="21"/>
        <n x="95"/>
        <n x="124"/>
        <n x="15"/>
      </t>
    </mdx>
    <mdx n="0" f="v">
      <t c="7">
        <n x="18"/>
        <n x="104"/>
        <n x="146"/>
        <n x="21"/>
        <n x="84"/>
        <n x="114"/>
        <n x="16"/>
      </t>
    </mdx>
    <mdx n="0" f="v">
      <t c="7">
        <n x="18"/>
        <n x="104"/>
        <n x="146"/>
        <n x="21"/>
        <n x="94"/>
        <n x="108"/>
        <n x="12"/>
      </t>
    </mdx>
    <mdx n="0" f="v">
      <t c="7">
        <n x="18"/>
        <n x="104"/>
        <n x="146"/>
        <n x="21"/>
        <n x="95"/>
        <n x="124"/>
        <n x="13"/>
      </t>
    </mdx>
    <mdx n="0" f="v">
      <t c="6">
        <n x="18"/>
        <n x="104"/>
        <n x="146"/>
        <n x="21"/>
        <n x="96"/>
        <n x="17"/>
      </t>
    </mdx>
    <mdx n="0" f="v">
      <t c="7">
        <n x="18"/>
        <n x="104"/>
        <n x="146"/>
        <n x="21"/>
        <n x="94"/>
        <n x="122"/>
        <n x="14"/>
      </t>
    </mdx>
    <mdx n="0" f="v">
      <t c="7">
        <n x="18"/>
        <n x="104"/>
        <n x="146"/>
        <n x="21"/>
        <n x="91"/>
        <n x="127"/>
        <n x="13"/>
      </t>
    </mdx>
    <mdx n="0" f="v">
      <t c="7">
        <n x="18"/>
        <n x="104"/>
        <n x="146"/>
        <n x="21"/>
        <n x="94"/>
        <n x="110"/>
        <n x="14"/>
      </t>
    </mdx>
    <mdx n="0" f="v">
      <t c="7">
        <n x="18"/>
        <n x="104"/>
        <n x="146"/>
        <n x="21"/>
        <n x="90"/>
        <n x="134"/>
        <n x="16"/>
      </t>
    </mdx>
    <mdx n="0" f="v">
      <t c="7">
        <n x="18"/>
        <n x="104"/>
        <n x="146"/>
        <n x="21"/>
        <n x="85"/>
        <n x="123"/>
        <n x="8"/>
      </t>
    </mdx>
    <mdx n="0" f="v">
      <t c="6">
        <n x="18"/>
        <n x="104"/>
        <n x="146"/>
        <n x="21"/>
        <n x="91"/>
        <n x="11"/>
      </t>
    </mdx>
    <mdx n="0" f="v">
      <t c="7">
        <n x="18"/>
        <n x="104"/>
        <n x="146"/>
        <n x="21"/>
        <n x="89"/>
        <n x="106"/>
        <n x="14"/>
      </t>
    </mdx>
    <mdx n="0" f="v">
      <t c="6">
        <n x="18"/>
        <n x="104"/>
        <n x="146"/>
        <n x="21"/>
        <n x="96"/>
        <n x="10"/>
      </t>
    </mdx>
    <mdx n="0" f="v">
      <t c="7">
        <n x="18"/>
        <n x="104"/>
        <n x="146"/>
        <n x="21"/>
        <n x="84"/>
        <n x="117"/>
        <n x="17"/>
      </t>
    </mdx>
    <mdx n="0" f="v">
      <t c="7">
        <n x="18"/>
        <n x="104"/>
        <n x="146"/>
        <n x="21"/>
        <n x="95"/>
        <n x="124"/>
        <n x="25"/>
      </t>
    </mdx>
    <mdx n="0" f="v">
      <t c="6">
        <n x="18"/>
        <n x="104"/>
        <n x="146"/>
        <n x="21"/>
        <n x="86"/>
        <n x="12"/>
      </t>
    </mdx>
    <mdx n="0" f="v">
      <t c="6">
        <n x="18"/>
        <n x="104"/>
        <n x="146"/>
        <n x="21"/>
        <n x="88"/>
        <n x="11"/>
      </t>
    </mdx>
    <mdx n="0" f="v">
      <t c="6">
        <n x="18"/>
        <n x="104"/>
        <n x="146"/>
        <n x="21"/>
        <n x="91"/>
        <n x="15"/>
      </t>
    </mdx>
    <mdx n="0" f="v">
      <t c="7">
        <n x="18"/>
        <n x="104"/>
        <n x="146"/>
        <n x="21"/>
        <n x="95"/>
        <n x="132"/>
        <n x="11"/>
      </t>
    </mdx>
    <mdx n="0" f="v">
      <t c="7">
        <n x="18"/>
        <n x="104"/>
        <n x="146"/>
        <n x="21"/>
        <n x="86"/>
        <n x="112"/>
        <n x="14"/>
      </t>
    </mdx>
    <mdx n="0" f="v">
      <t c="7">
        <n x="18"/>
        <n x="104"/>
        <n x="146"/>
        <n x="21"/>
        <n x="94"/>
        <n x="110"/>
        <n x="10"/>
      </t>
    </mdx>
    <mdx n="0" f="v">
      <t c="7">
        <n x="18"/>
        <n x="104"/>
        <n x="146"/>
        <n x="21"/>
        <n x="90"/>
        <n x="119"/>
        <n x="8"/>
      </t>
    </mdx>
    <mdx n="0" f="v">
      <t c="6">
        <n x="18"/>
        <n x="104"/>
        <n x="146"/>
        <n x="21"/>
        <n x="94"/>
        <n x="7"/>
      </t>
    </mdx>
    <mdx n="0" f="v">
      <t c="6">
        <n x="18"/>
        <n x="104"/>
        <n x="146"/>
        <n x="21"/>
        <n x="93"/>
        <n x="15"/>
      </t>
    </mdx>
    <mdx n="0" f="v">
      <t c="7">
        <n x="18"/>
        <n x="104"/>
        <n x="146"/>
        <n x="21"/>
        <n x="94"/>
        <n x="110"/>
        <n x="13"/>
      </t>
    </mdx>
    <mdx n="0" f="v">
      <t c="7">
        <n x="18"/>
        <n x="104"/>
        <n x="146"/>
        <n x="21"/>
        <n x="91"/>
        <n x="127"/>
        <n x="25"/>
      </t>
    </mdx>
    <mdx n="0" f="v">
      <t c="7">
        <n x="18"/>
        <n x="104"/>
        <n x="146"/>
        <n x="21"/>
        <n x="94"/>
        <n x="122"/>
        <n x="12"/>
      </t>
    </mdx>
    <mdx n="0" f="v">
      <t c="7">
        <n x="18"/>
        <n x="104"/>
        <n x="146"/>
        <n x="21"/>
        <n x="90"/>
        <n x="134"/>
        <n x="11"/>
      </t>
    </mdx>
    <mdx n="0" f="v">
      <t c="6">
        <n x="18"/>
        <n x="104"/>
        <n x="146"/>
        <n x="21"/>
        <n x="90"/>
        <n x="8"/>
      </t>
    </mdx>
    <mdx n="0" f="v">
      <t c="7">
        <n x="18"/>
        <n x="104"/>
        <n x="146"/>
        <n x="21"/>
        <n x="90"/>
        <n x="107"/>
        <n x="16"/>
      </t>
    </mdx>
    <mdx n="0" f="v">
      <t c="6">
        <n x="18"/>
        <n x="104"/>
        <n x="146"/>
        <n x="21"/>
        <n x="88"/>
        <n x="8"/>
      </t>
    </mdx>
    <mdx n="0" f="v">
      <t c="6">
        <n x="18"/>
        <n x="104"/>
        <n x="146"/>
        <n x="21"/>
        <n x="97"/>
        <n x="10"/>
      </t>
    </mdx>
    <mdx n="0" f="v">
      <t c="7">
        <n x="18"/>
        <n x="104"/>
        <n x="146"/>
        <n x="21"/>
        <n x="92"/>
        <n x="135"/>
        <n x="15"/>
      </t>
    </mdx>
    <mdx n="0" f="v">
      <t c="7">
        <n x="18"/>
        <n x="104"/>
        <n x="146"/>
        <n x="21"/>
        <n x="90"/>
        <n x="134"/>
        <n x="13"/>
      </t>
    </mdx>
    <mdx n="0" f="v">
      <t c="7">
        <n x="18"/>
        <n x="104"/>
        <n x="146"/>
        <n x="21"/>
        <n x="93"/>
        <n x="129"/>
        <n x="17"/>
      </t>
    </mdx>
    <mdx n="0" f="v">
      <t c="7">
        <n x="18"/>
        <n x="104"/>
        <n x="146"/>
        <n x="21"/>
        <n x="94"/>
        <n x="108"/>
        <n x="14"/>
      </t>
    </mdx>
    <mdx n="0" f="v">
      <t c="6">
        <n x="18"/>
        <n x="104"/>
        <n x="146"/>
        <n x="21"/>
        <n x="93"/>
        <n x="10"/>
      </t>
    </mdx>
    <mdx n="0" f="v">
      <t c="7">
        <n x="18"/>
        <n x="104"/>
        <n x="146"/>
        <n x="21"/>
        <n x="86"/>
        <n x="112"/>
        <n x="15"/>
      </t>
    </mdx>
    <mdx n="0" f="v">
      <t c="7">
        <n x="18"/>
        <n x="104"/>
        <n x="146"/>
        <n x="21"/>
        <n x="95"/>
        <n x="109"/>
        <n x="12"/>
      </t>
    </mdx>
    <mdx n="0" f="v">
      <t c="6">
        <n x="18"/>
        <n x="104"/>
        <n x="146"/>
        <n x="21"/>
        <n x="84"/>
        <n x="13"/>
      </t>
    </mdx>
    <mdx n="0" f="v">
      <t c="7">
        <n x="18"/>
        <n x="104"/>
        <n x="146"/>
        <n x="21"/>
        <n x="88"/>
        <n x="137"/>
        <n x="10"/>
      </t>
    </mdx>
    <mdx n="0" f="v">
      <t c="7">
        <n x="18"/>
        <n x="104"/>
        <n x="146"/>
        <n x="21"/>
        <n x="94"/>
        <n x="122"/>
        <n x="17"/>
      </t>
    </mdx>
    <mdx n="0" f="v">
      <t c="6">
        <n x="18"/>
        <n x="104"/>
        <n x="146"/>
        <n x="21"/>
        <n x="86"/>
        <n x="7"/>
      </t>
    </mdx>
    <mdx n="0" f="v">
      <t c="7">
        <n x="18"/>
        <n x="104"/>
        <n x="146"/>
        <n x="21"/>
        <n x="90"/>
        <n x="120"/>
        <n x="13"/>
      </t>
    </mdx>
    <mdx n="0" f="v">
      <t c="7">
        <n x="18"/>
        <n x="104"/>
        <n x="146"/>
        <n x="21"/>
        <n x="94"/>
        <n x="110"/>
        <n x="12"/>
      </t>
    </mdx>
    <mdx n="0" f="v">
      <t c="7">
        <n x="18"/>
        <n x="104"/>
        <n x="146"/>
        <n x="21"/>
        <n x="85"/>
        <n x="116"/>
        <n x="13"/>
      </t>
    </mdx>
    <mdx n="0" f="v">
      <t c="7">
        <n x="18"/>
        <n x="104"/>
        <n x="146"/>
        <n x="21"/>
        <n x="84"/>
        <n x="117"/>
        <n x="10"/>
      </t>
    </mdx>
    <mdx n="0" f="v">
      <t c="7">
        <n x="18"/>
        <n x="104"/>
        <n x="146"/>
        <n x="21"/>
        <n x="90"/>
        <n x="133"/>
        <n x="25"/>
      </t>
    </mdx>
    <mdx n="0" f="v">
      <t c="7">
        <n x="18"/>
        <n x="104"/>
        <n x="146"/>
        <n x="21"/>
        <n x="95"/>
        <n x="124"/>
        <n x="14"/>
      </t>
    </mdx>
    <mdx n="0" f="v">
      <t c="7">
        <n x="18"/>
        <n x="104"/>
        <n x="146"/>
        <n x="21"/>
        <n x="90"/>
        <n x="133"/>
        <n x="14"/>
      </t>
    </mdx>
    <mdx n="0" f="v">
      <t c="7">
        <n x="18"/>
        <n x="104"/>
        <n x="146"/>
        <n x="21"/>
        <n x="95"/>
        <n x="124"/>
        <n x="17"/>
      </t>
    </mdx>
    <mdx n="0" f="v">
      <t c="6">
        <n x="18"/>
        <n x="104"/>
        <n x="146"/>
        <n x="21"/>
        <n x="86"/>
        <n x="25"/>
      </t>
    </mdx>
    <mdx n="0" f="v">
      <t c="7">
        <n x="18"/>
        <n x="104"/>
        <n x="146"/>
        <n x="21"/>
        <n x="84"/>
        <n x="125"/>
        <n x="7"/>
      </t>
    </mdx>
    <mdx n="0" f="v">
      <t c="6">
        <n x="18"/>
        <n x="104"/>
        <n x="146"/>
        <n x="21"/>
        <n x="97"/>
        <n x="25"/>
      </t>
    </mdx>
    <mdx n="0" f="v">
      <t c="7">
        <n x="18"/>
        <n x="104"/>
        <n x="146"/>
        <n x="21"/>
        <n x="90"/>
        <n x="133"/>
        <n x="8"/>
      </t>
    </mdx>
    <mdx n="0" f="v">
      <t c="6">
        <n x="18"/>
        <n x="104"/>
        <n x="146"/>
        <n x="21"/>
        <n x="88"/>
        <n x="10"/>
      </t>
    </mdx>
    <mdx n="0" f="v">
      <t c="7">
        <n x="18"/>
        <n x="104"/>
        <n x="146"/>
        <n x="21"/>
        <n x="84"/>
        <n x="114"/>
        <n x="8"/>
      </t>
    </mdx>
    <mdx n="0" f="v">
      <t c="7">
        <n x="18"/>
        <n x="104"/>
        <n x="146"/>
        <n x="21"/>
        <n x="89"/>
        <n x="106"/>
        <n x="13"/>
      </t>
    </mdx>
    <mdx n="0" f="v">
      <t c="6">
        <n x="18"/>
        <n x="104"/>
        <n x="146"/>
        <n x="21"/>
        <n x="95"/>
        <n x="15"/>
      </t>
    </mdx>
    <mdx n="0" f="v">
      <t c="7">
        <n x="18"/>
        <n x="104"/>
        <n x="146"/>
        <n x="21"/>
        <n x="90"/>
        <n x="120"/>
        <n x="7"/>
      </t>
    </mdx>
    <mdx n="0" f="v">
      <t c="6">
        <n x="18"/>
        <n x="104"/>
        <n x="146"/>
        <n x="21"/>
        <n x="94"/>
        <n x="10"/>
      </t>
    </mdx>
    <mdx n="0" f="v">
      <t c="7">
        <n x="18"/>
        <n x="104"/>
        <n x="146"/>
        <n x="21"/>
        <n x="85"/>
        <n x="116"/>
        <n x="11"/>
      </t>
    </mdx>
    <mdx n="0" f="v">
      <t c="7">
        <n x="18"/>
        <n x="104"/>
        <n x="146"/>
        <n x="21"/>
        <n x="86"/>
        <n x="121"/>
        <n x="10"/>
      </t>
    </mdx>
    <mdx n="0" f="v">
      <t c="7">
        <n x="18"/>
        <n x="104"/>
        <n x="146"/>
        <n x="21"/>
        <n x="90"/>
        <n x="133"/>
        <n x="15"/>
      </t>
    </mdx>
    <mdx n="0" f="v">
      <t c="7">
        <n x="18"/>
        <n x="104"/>
        <n x="146"/>
        <n x="21"/>
        <n x="89"/>
        <n x="106"/>
        <n x="17"/>
      </t>
    </mdx>
    <mdx n="0" f="v">
      <t c="7">
        <n x="18"/>
        <n x="104"/>
        <n x="146"/>
        <n x="21"/>
        <n x="84"/>
        <n x="114"/>
        <n x="7"/>
      </t>
    </mdx>
    <mdx n="0" f="v">
      <t c="7">
        <n x="18"/>
        <n x="104"/>
        <n x="146"/>
        <n x="21"/>
        <n x="90"/>
        <n x="133"/>
        <n x="13"/>
      </t>
    </mdx>
    <mdx n="0" f="v">
      <t c="7">
        <n x="18"/>
        <n x="104"/>
        <n x="146"/>
        <n x="21"/>
        <n x="95"/>
        <n x="109"/>
        <n x="14"/>
      </t>
    </mdx>
    <mdx n="0" f="v">
      <t c="7">
        <n x="18"/>
        <n x="104"/>
        <n x="146"/>
        <n x="21"/>
        <n x="87"/>
        <n x="136"/>
        <n x="10"/>
      </t>
    </mdx>
    <mdx n="0" f="v">
      <t c="7">
        <n x="18"/>
        <n x="104"/>
        <n x="146"/>
        <n x="21"/>
        <n x="84"/>
        <n x="114"/>
        <n x="17"/>
      </t>
    </mdx>
    <mdx n="0" f="v">
      <t c="6">
        <n x="18"/>
        <n x="104"/>
        <n x="146"/>
        <n x="21"/>
        <n x="94"/>
        <n x="8"/>
      </t>
    </mdx>
    <mdx n="0" f="v">
      <t c="7">
        <n x="18"/>
        <n x="104"/>
        <n x="146"/>
        <n x="21"/>
        <n x="94"/>
        <n x="110"/>
        <n x="11"/>
      </t>
    </mdx>
    <mdx n="0" f="v">
      <t c="7">
        <n x="18"/>
        <n x="104"/>
        <n x="146"/>
        <n x="21"/>
        <n x="88"/>
        <n x="137"/>
        <n x="17"/>
      </t>
    </mdx>
    <mdx n="0" f="v">
      <t c="7">
        <n x="18"/>
        <n x="104"/>
        <n x="146"/>
        <n x="21"/>
        <n x="90"/>
        <n x="120"/>
        <n x="25"/>
      </t>
    </mdx>
    <mdx n="0" f="v">
      <t c="7">
        <n x="18"/>
        <n x="104"/>
        <n x="146"/>
        <n x="21"/>
        <n x="90"/>
        <n x="107"/>
        <n x="12"/>
      </t>
    </mdx>
    <mdx n="0" f="v">
      <t c="7">
        <n x="18"/>
        <n x="104"/>
        <n x="146"/>
        <n x="21"/>
        <n x="89"/>
        <n x="105"/>
        <n x="7"/>
      </t>
    </mdx>
    <mdx n="0" f="v">
      <t c="7">
        <n x="18"/>
        <n x="104"/>
        <n x="146"/>
        <n x="21"/>
        <n x="95"/>
        <n x="109"/>
        <n x="13"/>
      </t>
    </mdx>
    <mdx n="0" f="v">
      <t c="6">
        <n x="18"/>
        <n x="104"/>
        <n x="146"/>
        <n x="21"/>
        <n x="90"/>
        <n x="14"/>
      </t>
    </mdx>
    <mdx n="0" f="v">
      <t c="7">
        <n x="18"/>
        <n x="104"/>
        <n x="146"/>
        <n x="21"/>
        <n x="95"/>
        <n x="130"/>
        <n x="10"/>
      </t>
    </mdx>
    <mdx n="0" f="v">
      <t c="7">
        <n x="18"/>
        <n x="104"/>
        <n x="146"/>
        <n x="21"/>
        <n x="91"/>
        <n x="127"/>
        <n x="7"/>
      </t>
    </mdx>
    <mdx n="0" f="v">
      <t c="7">
        <n x="18"/>
        <n x="104"/>
        <n x="146"/>
        <n x="21"/>
        <n x="86"/>
        <n x="115"/>
        <n x="25"/>
      </t>
    </mdx>
    <mdx n="0" f="v">
      <t c="7">
        <n x="18"/>
        <n x="104"/>
        <n x="146"/>
        <n x="21"/>
        <n x="94"/>
        <n x="108"/>
        <n x="25"/>
      </t>
    </mdx>
    <mdx n="0" f="v">
      <t c="7">
        <n x="18"/>
        <n x="104"/>
        <n x="146"/>
        <n x="21"/>
        <n x="84"/>
        <n x="114"/>
        <n x="11"/>
      </t>
    </mdx>
    <mdx n="0" f="v">
      <t c="7">
        <n x="18"/>
        <n x="104"/>
        <n x="146"/>
        <n x="21"/>
        <n x="92"/>
        <n x="135"/>
        <n x="13"/>
      </t>
    </mdx>
    <mdx n="0" f="v">
      <t c="6">
        <n x="18"/>
        <n x="104"/>
        <n x="146"/>
        <n x="21"/>
        <n x="92"/>
        <n x="11"/>
      </t>
    </mdx>
    <mdx n="0" f="v">
      <t c="6">
        <n x="18"/>
        <n x="104"/>
        <n x="146"/>
        <n x="21"/>
        <n x="97"/>
        <n x="8"/>
      </t>
    </mdx>
    <mdx n="0" f="v">
      <t c="6">
        <n x="18"/>
        <n x="104"/>
        <n x="146"/>
        <n x="21"/>
        <n x="96"/>
        <n x="14"/>
      </t>
    </mdx>
    <mdx n="0" f="v">
      <t c="7">
        <n x="18"/>
        <n x="104"/>
        <n x="146"/>
        <n x="21"/>
        <n x="97"/>
        <n x="126"/>
        <n x="8"/>
      </t>
    </mdx>
    <mdx n="0" f="v">
      <t c="6">
        <n x="18"/>
        <n x="104"/>
        <n x="146"/>
        <n x="21"/>
        <n x="95"/>
        <n x="11"/>
      </t>
    </mdx>
    <mdx n="0" f="v">
      <t c="7">
        <n x="18"/>
        <n x="104"/>
        <n x="146"/>
        <n x="21"/>
        <n x="85"/>
        <n x="123"/>
        <n x="15"/>
      </t>
    </mdx>
    <mdx n="0" f="v">
      <t c="6">
        <n x="18"/>
        <n x="104"/>
        <n x="146"/>
        <n x="21"/>
        <n x="85"/>
        <n x="17"/>
      </t>
    </mdx>
    <mdx n="0" f="v">
      <t c="7">
        <n x="18"/>
        <n x="104"/>
        <n x="146"/>
        <n x="21"/>
        <n x="90"/>
        <n x="119"/>
        <n x="12"/>
      </t>
    </mdx>
    <mdx n="0" f="v">
      <t c="7">
        <n x="18"/>
        <n x="104"/>
        <n x="146"/>
        <n x="21"/>
        <n x="91"/>
        <n x="127"/>
        <n x="10"/>
      </t>
    </mdx>
    <mdx n="0" f="v">
      <t c="7">
        <n x="18"/>
        <n x="104"/>
        <n x="146"/>
        <n x="21"/>
        <n x="84"/>
        <n x="125"/>
        <n x="8"/>
      </t>
    </mdx>
    <mdx n="0" f="v">
      <t c="7">
        <n x="18"/>
        <n x="104"/>
        <n x="146"/>
        <n x="21"/>
        <n x="90"/>
        <n x="131"/>
        <n x="15"/>
      </t>
    </mdx>
    <mdx n="0" f="v">
      <t c="7">
        <n x="18"/>
        <n x="104"/>
        <n x="146"/>
        <n x="21"/>
        <n x="86"/>
        <n x="121"/>
        <n x="15"/>
      </t>
    </mdx>
    <mdx n="0" f="v">
      <t c="6">
        <n x="18"/>
        <n x="104"/>
        <n x="146"/>
        <n x="21"/>
        <n x="89"/>
        <n x="15"/>
      </t>
    </mdx>
    <mdx n="0" f="v">
      <t c="7">
        <n x="18"/>
        <n x="104"/>
        <n x="146"/>
        <n x="21"/>
        <n x="95"/>
        <n x="124"/>
        <n x="12"/>
      </t>
    </mdx>
    <mdx n="0" f="v">
      <t c="7">
        <n x="18"/>
        <n x="104"/>
        <n x="146"/>
        <n x="21"/>
        <n x="93"/>
        <n x="129"/>
        <n x="16"/>
      </t>
    </mdx>
    <mdx n="0" f="v">
      <t c="6">
        <n x="18"/>
        <n x="104"/>
        <n x="146"/>
        <n x="21"/>
        <n x="91"/>
        <n x="17"/>
      </t>
    </mdx>
    <mdx n="0" f="v">
      <t c="7">
        <n x="18"/>
        <n x="104"/>
        <n x="146"/>
        <n x="21"/>
        <n x="95"/>
        <n x="111"/>
        <n x="7"/>
      </t>
    </mdx>
    <mdx n="0" f="v">
      <t c="7">
        <n x="18"/>
        <n x="104"/>
        <n x="146"/>
        <n x="21"/>
        <n x="95"/>
        <n x="130"/>
        <n x="12"/>
      </t>
    </mdx>
    <mdx n="0" f="v">
      <t c="6">
        <n x="18"/>
        <n x="104"/>
        <n x="146"/>
        <n x="21"/>
        <n x="96"/>
        <n x="12"/>
      </t>
    </mdx>
    <mdx n="0" f="v">
      <t c="7">
        <n x="18"/>
        <n x="104"/>
        <n x="146"/>
        <n x="21"/>
        <n x="90"/>
        <n x="131"/>
        <n x="12"/>
      </t>
    </mdx>
    <mdx n="0" f="v">
      <t c="7">
        <n x="18"/>
        <n x="104"/>
        <n x="146"/>
        <n x="21"/>
        <n x="86"/>
        <n x="121"/>
        <n x="7"/>
      </t>
    </mdx>
    <mdx n="0" f="v">
      <t c="7">
        <n x="18"/>
        <n x="104"/>
        <n x="146"/>
        <n x="21"/>
        <n x="88"/>
        <n x="137"/>
        <n x="8"/>
      </t>
    </mdx>
    <mdx n="0" f="v">
      <t c="6">
        <n x="18"/>
        <n x="104"/>
        <n x="146"/>
        <n x="21"/>
        <n x="90"/>
        <n x="11"/>
      </t>
    </mdx>
    <mdx n="0" f="v">
      <t c="7">
        <n x="18"/>
        <n x="104"/>
        <n x="146"/>
        <n x="21"/>
        <n x="96"/>
        <n x="128"/>
        <n x="8"/>
      </t>
    </mdx>
    <mdx n="0" f="v">
      <t c="6">
        <n x="18"/>
        <n x="104"/>
        <n x="146"/>
        <n x="21"/>
        <n x="93"/>
        <n x="7"/>
      </t>
    </mdx>
    <mdx n="0" f="v">
      <t c="7">
        <n x="18"/>
        <n x="104"/>
        <n x="146"/>
        <n x="21"/>
        <n x="89"/>
        <n x="106"/>
        <n x="25"/>
      </t>
    </mdx>
    <mdx n="0" f="v">
      <t c="7">
        <n x="18"/>
        <n x="104"/>
        <n x="146"/>
        <n x="21"/>
        <n x="90"/>
        <n x="134"/>
        <n x="12"/>
      </t>
    </mdx>
    <mdx n="0" f="v">
      <t c="7">
        <n x="18"/>
        <n x="104"/>
        <n x="146"/>
        <n x="21"/>
        <n x="95"/>
        <n x="132"/>
        <n x="12"/>
      </t>
    </mdx>
    <mdx n="0" f="v">
      <t c="6">
        <n x="18"/>
        <n x="104"/>
        <n x="146"/>
        <n x="21"/>
        <n x="95"/>
        <n x="14"/>
      </t>
    </mdx>
    <mdx n="0" f="v">
      <t c="6">
        <n x="18"/>
        <n x="104"/>
        <n x="146"/>
        <n x="21"/>
        <n x="97"/>
        <n x="16"/>
      </t>
    </mdx>
    <mdx n="0" f="v">
      <t c="7">
        <n x="18"/>
        <n x="104"/>
        <n x="146"/>
        <n x="21"/>
        <n x="90"/>
        <n x="131"/>
        <n x="7"/>
      </t>
    </mdx>
    <mdx n="0" f="v">
      <t c="7">
        <n x="18"/>
        <n x="104"/>
        <n x="146"/>
        <n x="21"/>
        <n x="90"/>
        <n x="107"/>
        <n x="15"/>
      </t>
    </mdx>
    <mdx n="0" f="v">
      <t c="7">
        <n x="18"/>
        <n x="104"/>
        <n x="146"/>
        <n x="21"/>
        <n x="92"/>
        <n x="135"/>
        <n x="17"/>
      </t>
    </mdx>
    <mdx n="0" f="v">
      <t c="7">
        <n x="18"/>
        <n x="104"/>
        <n x="146"/>
        <n x="21"/>
        <n x="95"/>
        <n x="130"/>
        <n x="11"/>
      </t>
    </mdx>
    <mdx n="0" f="v">
      <t c="6">
        <n x="18"/>
        <n x="104"/>
        <n x="146"/>
        <n x="21"/>
        <n x="90"/>
        <n x="13"/>
      </t>
    </mdx>
    <mdx n="0" f="v">
      <t c="7">
        <n x="18"/>
        <n x="104"/>
        <n x="146"/>
        <n x="21"/>
        <n x="88"/>
        <n x="137"/>
        <n x="12"/>
      </t>
    </mdx>
    <mdx n="0" f="v">
      <t c="6">
        <n x="18"/>
        <n x="104"/>
        <n x="146"/>
        <n x="21"/>
        <n x="92"/>
        <n x="17"/>
      </t>
    </mdx>
    <mdx n="0" f="v">
      <t c="6">
        <n x="18"/>
        <n x="104"/>
        <n x="146"/>
        <n x="21"/>
        <n x="85"/>
        <n x="13"/>
      </t>
    </mdx>
    <mdx n="0" f="v">
      <t c="7">
        <n x="18"/>
        <n x="104"/>
        <n x="146"/>
        <n x="21"/>
        <n x="85"/>
        <n x="113"/>
        <n x="13"/>
      </t>
    </mdx>
    <mdx n="0" f="v">
      <t c="7">
        <n x="18"/>
        <n x="104"/>
        <n x="146"/>
        <n x="21"/>
        <n x="88"/>
        <n x="137"/>
        <n x="16"/>
      </t>
    </mdx>
    <mdx n="0" f="v">
      <t c="7">
        <n x="18"/>
        <n x="104"/>
        <n x="146"/>
        <n x="21"/>
        <n x="90"/>
        <n x="119"/>
        <n x="14"/>
      </t>
    </mdx>
    <mdx n="0" f="v">
      <t c="7">
        <n x="18"/>
        <n x="104"/>
        <n x="146"/>
        <n x="21"/>
        <n x="90"/>
        <n x="119"/>
        <n x="25"/>
      </t>
    </mdx>
    <mdx n="0" f="v">
      <t c="7">
        <n x="18"/>
        <n x="104"/>
        <n x="146"/>
        <n x="21"/>
        <n x="95"/>
        <n x="132"/>
        <n x="16"/>
      </t>
    </mdx>
    <mdx n="0" f="v">
      <t c="7">
        <n x="18"/>
        <n x="104"/>
        <n x="146"/>
        <n x="21"/>
        <n x="90"/>
        <n x="134"/>
        <n x="8"/>
      </t>
    </mdx>
    <mdx n="0" f="v">
      <t c="6">
        <n x="18"/>
        <n x="104"/>
        <n x="146"/>
        <n x="21"/>
        <n x="87"/>
        <n x="8"/>
      </t>
    </mdx>
    <mdx n="0" f="v">
      <t c="6">
        <n x="18"/>
        <n x="104"/>
        <n x="146"/>
        <n x="21"/>
        <n x="87"/>
        <n x="16"/>
      </t>
    </mdx>
    <mdx n="0" f="v">
      <t c="6">
        <n x="18"/>
        <n x="104"/>
        <n x="146"/>
        <n x="21"/>
        <n x="85"/>
        <n x="25"/>
      </t>
    </mdx>
    <mdx n="0" f="v">
      <t c="7">
        <n x="18"/>
        <n x="104"/>
        <n x="146"/>
        <n x="21"/>
        <n x="95"/>
        <n x="111"/>
        <n x="17"/>
      </t>
    </mdx>
    <mdx n="0" f="v">
      <t c="6">
        <n x="18"/>
        <n x="104"/>
        <n x="146"/>
        <n x="21"/>
        <n x="84"/>
        <n x="16"/>
      </t>
    </mdx>
    <mdx n="0" f="v">
      <t c="7">
        <n x="18"/>
        <n x="104"/>
        <n x="146"/>
        <n x="21"/>
        <n x="97"/>
        <n x="126"/>
        <n x="17"/>
      </t>
    </mdx>
    <mdx n="0" f="v">
      <t c="7">
        <n x="18"/>
        <n x="104"/>
        <n x="146"/>
        <n x="21"/>
        <n x="85"/>
        <n x="113"/>
        <n x="25"/>
      </t>
    </mdx>
    <mdx n="0" f="v">
      <t c="7">
        <n x="18"/>
        <n x="104"/>
        <n x="146"/>
        <n x="21"/>
        <n x="86"/>
        <n x="112"/>
        <n x="12"/>
      </t>
    </mdx>
    <mdx n="0" f="v">
      <t c="6">
        <n x="18"/>
        <n x="104"/>
        <n x="146"/>
        <n x="21"/>
        <n x="88"/>
        <n x="13"/>
      </t>
    </mdx>
    <mdx n="0" f="v">
      <t c="7">
        <n x="18"/>
        <n x="104"/>
        <n x="146"/>
        <n x="21"/>
        <n x="89"/>
        <n x="106"/>
        <n x="7"/>
      </t>
    </mdx>
    <mdx n="0" f="v">
      <t c="7">
        <n x="18"/>
        <n x="104"/>
        <n x="146"/>
        <n x="21"/>
        <n x="85"/>
        <n x="116"/>
        <n x="25"/>
      </t>
    </mdx>
    <mdx n="0" f="v">
      <t c="6">
        <n x="18"/>
        <n x="104"/>
        <n x="146"/>
        <n x="21"/>
        <n x="93"/>
        <n x="13"/>
      </t>
    </mdx>
    <mdx n="0" f="v">
      <t c="7">
        <n x="18"/>
        <n x="104"/>
        <n x="146"/>
        <n x="21"/>
        <n x="93"/>
        <n x="129"/>
        <n x="11"/>
      </t>
    </mdx>
    <mdx n="0" f="v">
      <t c="6">
        <n x="18"/>
        <n x="104"/>
        <n x="146"/>
        <n x="21"/>
        <n x="87"/>
        <n x="14"/>
      </t>
    </mdx>
    <mdx n="0" f="v">
      <t c="6">
        <n x="18"/>
        <n x="104"/>
        <n x="146"/>
        <n x="21"/>
        <n x="89"/>
        <n x="12"/>
      </t>
    </mdx>
    <mdx n="0" f="v">
      <t c="6">
        <n x="18"/>
        <n x="104"/>
        <n x="146"/>
        <n x="21"/>
        <n x="97"/>
        <n x="17"/>
      </t>
    </mdx>
    <mdx n="0" f="v">
      <t c="6">
        <n x="18"/>
        <n x="104"/>
        <n x="146"/>
        <n x="21"/>
        <n x="93"/>
        <n x="17"/>
      </t>
    </mdx>
    <mdx n="0" f="v">
      <t c="7">
        <n x="18"/>
        <n x="104"/>
        <n x="146"/>
        <n x="21"/>
        <n x="90"/>
        <n x="120"/>
        <n x="17"/>
      </t>
    </mdx>
    <mdx n="0" f="v">
      <t c="7">
        <n x="18"/>
        <n x="104"/>
        <n x="146"/>
        <n x="21"/>
        <n x="97"/>
        <n x="126"/>
        <n x="12"/>
      </t>
    </mdx>
    <mdx n="0" f="v">
      <t c="7">
        <n x="18"/>
        <n x="104"/>
        <n x="146"/>
        <n x="21"/>
        <n x="90"/>
        <n x="134"/>
        <n x="25"/>
      </t>
    </mdx>
    <mdx n="0" f="v">
      <t c="7">
        <n x="18"/>
        <n x="104"/>
        <n x="146"/>
        <n x="21"/>
        <n x="97"/>
        <n x="126"/>
        <n x="14"/>
      </t>
    </mdx>
    <mdx n="0" f="v">
      <t c="6">
        <n x="18"/>
        <n x="104"/>
        <n x="146"/>
        <n x="21"/>
        <n x="95"/>
        <n x="16"/>
      </t>
    </mdx>
    <mdx n="0" f="v">
      <t c="6">
        <n x="18"/>
        <n x="104"/>
        <n x="146"/>
        <n x="21"/>
        <n x="95"/>
        <n x="25"/>
      </t>
    </mdx>
    <mdx n="0" f="v">
      <t c="6">
        <n x="18"/>
        <n x="104"/>
        <n x="146"/>
        <n x="21"/>
        <n x="97"/>
        <n x="12"/>
      </t>
    </mdx>
    <mdx n="0" f="v">
      <t c="7">
        <n x="18"/>
        <n x="104"/>
        <n x="146"/>
        <n x="21"/>
        <n x="94"/>
        <n x="108"/>
        <n x="15"/>
      </t>
    </mdx>
    <mdx n="0" f="v">
      <t c="7">
        <n x="18"/>
        <n x="104"/>
        <n x="146"/>
        <n x="21"/>
        <n x="89"/>
        <n x="105"/>
        <n x="10"/>
      </t>
    </mdx>
    <mdx n="0" f="v">
      <t c="6">
        <n x="18"/>
        <n x="104"/>
        <n x="146"/>
        <n x="21"/>
        <n x="95"/>
        <n x="12"/>
      </t>
    </mdx>
    <mdx n="0" f="v">
      <t c="7">
        <n x="18"/>
        <n x="104"/>
        <n x="146"/>
        <n x="21"/>
        <n x="85"/>
        <n x="113"/>
        <n x="15"/>
      </t>
    </mdx>
    <mdx n="0" f="v">
      <t c="7">
        <n x="18"/>
        <n x="104"/>
        <n x="146"/>
        <n x="21"/>
        <n x="94"/>
        <n x="122"/>
        <n x="15"/>
      </t>
    </mdx>
    <mdx n="0" f="v">
      <t c="7">
        <n x="18"/>
        <n x="104"/>
        <n x="146"/>
        <n x="21"/>
        <n x="94"/>
        <n x="110"/>
        <n x="17"/>
      </t>
    </mdx>
    <mdx n="0" f="v">
      <t c="7">
        <n x="18"/>
        <n x="104"/>
        <n x="146"/>
        <n x="21"/>
        <n x="95"/>
        <n x="111"/>
        <n x="14"/>
      </t>
    </mdx>
    <mdx n="0" f="v">
      <t c="7">
        <n x="18"/>
        <n x="104"/>
        <n x="146"/>
        <n x="21"/>
        <n x="96"/>
        <n x="128"/>
        <n x="17"/>
      </t>
    </mdx>
    <mdx n="0" f="v">
      <t c="7">
        <n x="18"/>
        <n x="104"/>
        <n x="146"/>
        <n x="21"/>
        <n x="89"/>
        <n x="106"/>
        <n x="11"/>
      </t>
    </mdx>
    <mdx n="0" f="v">
      <t c="6">
        <n x="18"/>
        <n x="104"/>
        <n x="146"/>
        <n x="21"/>
        <n x="90"/>
        <n x="7"/>
      </t>
    </mdx>
    <mdx n="0" f="v">
      <t c="7">
        <n x="18"/>
        <n x="104"/>
        <n x="146"/>
        <n x="21"/>
        <n x="84"/>
        <n x="125"/>
        <n x="17"/>
      </t>
    </mdx>
    <mdx n="0" f="v">
      <t c="7">
        <n x="18"/>
        <n x="104"/>
        <n x="146"/>
        <n x="21"/>
        <n x="94"/>
        <n x="122"/>
        <n x="25"/>
      </t>
    </mdx>
    <mdx n="0" f="v">
      <t c="6">
        <n x="18"/>
        <n x="104"/>
        <n x="146"/>
        <n x="21"/>
        <n x="92"/>
        <n x="12"/>
      </t>
    </mdx>
    <mdx n="0" f="v">
      <t c="7">
        <n x="18"/>
        <n x="104"/>
        <n x="146"/>
        <n x="21"/>
        <n x="90"/>
        <n x="131"/>
        <n x="17"/>
      </t>
    </mdx>
    <mdx n="0" f="v">
      <t c="7">
        <n x="18"/>
        <n x="104"/>
        <n x="146"/>
        <n x="21"/>
        <n x="90"/>
        <n x="120"/>
        <n x="14"/>
      </t>
    </mdx>
    <mdx n="0" f="v">
      <t c="7">
        <n x="18"/>
        <n x="104"/>
        <n x="146"/>
        <n x="21"/>
        <n x="96"/>
        <n x="128"/>
        <n x="7"/>
      </t>
    </mdx>
    <mdx n="0" f="v">
      <t c="7">
        <n x="18"/>
        <n x="104"/>
        <n x="146"/>
        <n x="21"/>
        <n x="91"/>
        <n x="127"/>
        <n x="17"/>
      </t>
    </mdx>
    <mdx n="0" f="v">
      <t c="7">
        <n x="18"/>
        <n x="104"/>
        <n x="146"/>
        <n x="21"/>
        <n x="90"/>
        <n x="120"/>
        <n x="8"/>
      </t>
    </mdx>
    <mdx n="0" f="v">
      <t c="7">
        <n x="18"/>
        <n x="104"/>
        <n x="146"/>
        <n x="21"/>
        <n x="90"/>
        <n x="134"/>
        <n x="10"/>
      </t>
    </mdx>
    <mdx n="0" f="v">
      <t c="7">
        <n x="18"/>
        <n x="104"/>
        <n x="146"/>
        <n x="21"/>
        <n x="89"/>
        <n x="106"/>
        <n x="10"/>
      </t>
    </mdx>
    <mdx n="0" f="v">
      <t c="7">
        <n x="18"/>
        <n x="104"/>
        <n x="146"/>
        <n x="21"/>
        <n x="84"/>
        <n x="117"/>
        <n x="7"/>
      </t>
    </mdx>
    <mdx n="0" f="v">
      <t c="7">
        <n x="18"/>
        <n x="104"/>
        <n x="146"/>
        <n x="21"/>
        <n x="92"/>
        <n x="135"/>
        <n x="8"/>
      </t>
    </mdx>
    <mdx n="0" f="v">
      <t c="7">
        <n x="18"/>
        <n x="104"/>
        <n x="146"/>
        <n x="21"/>
        <n x="90"/>
        <n x="118"/>
        <n x="11"/>
      </t>
    </mdx>
    <mdx n="0" f="v">
      <t c="7">
        <n x="18"/>
        <n x="104"/>
        <n x="146"/>
        <n x="21"/>
        <n x="90"/>
        <n x="119"/>
        <n x="13"/>
      </t>
    </mdx>
    <mdx n="0" f="v">
      <t c="7">
        <n x="18"/>
        <n x="104"/>
        <n x="146"/>
        <n x="21"/>
        <n x="86"/>
        <n x="112"/>
        <n x="8"/>
      </t>
    </mdx>
    <mdx n="0" f="v">
      <t c="6">
        <n x="18"/>
        <n x="104"/>
        <n x="146"/>
        <n x="21"/>
        <n x="92"/>
        <n x="10"/>
      </t>
    </mdx>
    <mdx n="0" f="v">
      <t c="6">
        <n x="18"/>
        <n x="104"/>
        <n x="146"/>
        <n x="21"/>
        <n x="92"/>
        <n x="7"/>
      </t>
    </mdx>
    <mdx n="0" f="v">
      <t c="7">
        <n x="18"/>
        <n x="104"/>
        <n x="146"/>
        <n x="21"/>
        <n x="94"/>
        <n x="122"/>
        <n x="7"/>
      </t>
    </mdx>
    <mdx n="0" f="v">
      <t c="7">
        <n x="18"/>
        <n x="104"/>
        <n x="146"/>
        <n x="21"/>
        <n x="90"/>
        <n x="133"/>
        <n x="17"/>
      </t>
    </mdx>
    <mdx n="0" f="v">
      <t c="6">
        <n x="18"/>
        <n x="104"/>
        <n x="146"/>
        <n x="21"/>
        <n x="87"/>
        <n x="12"/>
      </t>
    </mdx>
    <mdx n="0" f="v">
      <t c="7">
        <n x="18"/>
        <n x="104"/>
        <n x="146"/>
        <n x="21"/>
        <n x="85"/>
        <n x="116"/>
        <n x="14"/>
      </t>
    </mdx>
    <mdx n="0" f="v">
      <t c="6">
        <n x="18"/>
        <n x="104"/>
        <n x="146"/>
        <n x="21"/>
        <n x="89"/>
        <n x="16"/>
      </t>
    </mdx>
    <mdx n="0" f="v">
      <t c="7">
        <n x="18"/>
        <n x="104"/>
        <n x="146"/>
        <n x="21"/>
        <n x="93"/>
        <n x="129"/>
        <n x="14"/>
      </t>
    </mdx>
    <mdx n="0" f="v">
      <t c="6">
        <n x="18"/>
        <n x="104"/>
        <n x="146"/>
        <n x="21"/>
        <n x="88"/>
        <n x="12"/>
      </t>
    </mdx>
    <mdx n="0" f="v">
      <t c="6">
        <n x="18"/>
        <n x="104"/>
        <n x="146"/>
        <n x="21"/>
        <n x="93"/>
        <n x="12"/>
      </t>
    </mdx>
    <mdx n="0" f="v">
      <t c="6">
        <n x="18"/>
        <n x="104"/>
        <n x="146"/>
        <n x="21"/>
        <n x="90"/>
        <n x="17"/>
      </t>
    </mdx>
    <mdx n="0" f="v">
      <t c="7">
        <n x="18"/>
        <n x="104"/>
        <n x="146"/>
        <n x="21"/>
        <n x="86"/>
        <n x="115"/>
        <n x="8"/>
      </t>
    </mdx>
    <mdx n="0" f="v">
      <t c="7">
        <n x="18"/>
        <n x="104"/>
        <n x="146"/>
        <n x="21"/>
        <n x="95"/>
        <n x="132"/>
        <n x="15"/>
      </t>
    </mdx>
    <mdx n="0" f="v">
      <t c="7">
        <n x="18"/>
        <n x="104"/>
        <n x="146"/>
        <n x="21"/>
        <n x="85"/>
        <n x="116"/>
        <n x="16"/>
      </t>
    </mdx>
    <mdx n="0" f="v">
      <t c="7">
        <n x="18"/>
        <n x="104"/>
        <n x="146"/>
        <n x="21"/>
        <n x="95"/>
        <n x="109"/>
        <n x="10"/>
      </t>
    </mdx>
    <mdx n="0" f="v">
      <t c="7">
        <n x="18"/>
        <n x="104"/>
        <n x="146"/>
        <n x="21"/>
        <n x="97"/>
        <n x="126"/>
        <n x="7"/>
      </t>
    </mdx>
    <mdx n="0" f="v">
      <t c="6">
        <n x="18"/>
        <n x="104"/>
        <n x="146"/>
        <n x="21"/>
        <n x="89"/>
        <n x="11"/>
      </t>
    </mdx>
    <mdx n="0" f="v">
      <t c="7">
        <n x="18"/>
        <n x="104"/>
        <n x="146"/>
        <n x="21"/>
        <n x="94"/>
        <n x="108"/>
        <n x="11"/>
      </t>
    </mdx>
    <mdx n="0" f="v">
      <t c="7">
        <n x="18"/>
        <n x="104"/>
        <n x="146"/>
        <n x="21"/>
        <n x="90"/>
        <n x="133"/>
        <n x="7"/>
      </t>
    </mdx>
    <mdx n="0" f="v">
      <t c="7">
        <n x="18"/>
        <n x="104"/>
        <n x="146"/>
        <n x="21"/>
        <n x="92"/>
        <n x="135"/>
        <n x="7"/>
      </t>
    </mdx>
    <mdx n="0" f="v">
      <t c="7">
        <n x="18"/>
        <n x="104"/>
        <n x="146"/>
        <n x="21"/>
        <n x="86"/>
        <n x="115"/>
        <n x="12"/>
      </t>
    </mdx>
    <mdx n="0" f="v">
      <t c="6">
        <n x="18"/>
        <n x="104"/>
        <n x="146"/>
        <n x="21"/>
        <n x="93"/>
        <n x="11"/>
      </t>
    </mdx>
    <mdx n="0" f="v">
      <t c="7">
        <n x="18"/>
        <n x="104"/>
        <n x="146"/>
        <n x="21"/>
        <n x="90"/>
        <n x="118"/>
        <n x="7"/>
      </t>
    </mdx>
    <mdx n="0" f="v">
      <t c="6">
        <n x="18"/>
        <n x="104"/>
        <n x="146"/>
        <n x="21"/>
        <n x="89"/>
        <n x="14"/>
      </t>
    </mdx>
    <mdx n="0" f="v">
      <t c="7">
        <n x="18"/>
        <n x="104"/>
        <n x="146"/>
        <n x="21"/>
        <n x="90"/>
        <n x="118"/>
        <n x="14"/>
      </t>
    </mdx>
    <mdx n="0" f="v">
      <t c="7">
        <n x="18"/>
        <n x="104"/>
        <n x="146"/>
        <n x="21"/>
        <n x="90"/>
        <n x="134"/>
        <n x="7"/>
      </t>
    </mdx>
    <mdx n="0" f="v">
      <t c="7">
        <n x="18"/>
        <n x="104"/>
        <n x="146"/>
        <n x="21"/>
        <n x="90"/>
        <n x="107"/>
        <n x="7"/>
      </t>
    </mdx>
    <mdx n="0" f="v">
      <t c="7">
        <n x="18"/>
        <n x="104"/>
        <n x="146"/>
        <n x="21"/>
        <n x="95"/>
        <n x="124"/>
        <n x="7"/>
      </t>
    </mdx>
    <mdx n="0" f="v">
      <t c="7">
        <n x="18"/>
        <n x="104"/>
        <n x="146"/>
        <n x="21"/>
        <n x="95"/>
        <n x="111"/>
        <n x="12"/>
      </t>
    </mdx>
    <mdx n="0" f="v">
      <t c="6">
        <n x="18"/>
        <n x="104"/>
        <n x="146"/>
        <n x="21"/>
        <n x="94"/>
        <n x="15"/>
      </t>
    </mdx>
    <mdx n="0" f="v">
      <t c="7">
        <n x="18"/>
        <n x="104"/>
        <n x="146"/>
        <n x="21"/>
        <n x="84"/>
        <n x="117"/>
        <n x="15"/>
      </t>
    </mdx>
    <mdx n="0" f="v">
      <t c="7">
        <n x="18"/>
        <n x="104"/>
        <n x="146"/>
        <n x="21"/>
        <n x="93"/>
        <n x="129"/>
        <n x="12"/>
      </t>
    </mdx>
    <mdx n="0" f="v">
      <t c="7">
        <n x="18"/>
        <n x="104"/>
        <n x="146"/>
        <n x="21"/>
        <n x="90"/>
        <n x="118"/>
        <n x="16"/>
      </t>
    </mdx>
    <mdx n="0" f="v">
      <t c="6">
        <n x="18"/>
        <n x="104"/>
        <n x="146"/>
        <n x="21"/>
        <n x="85"/>
        <n x="8"/>
      </t>
    </mdx>
    <mdx n="0" f="v">
      <t c="6">
        <n x="18"/>
        <n x="104"/>
        <n x="146"/>
        <n x="21"/>
        <n x="85"/>
        <n x="14"/>
      </t>
    </mdx>
    <mdx n="0" f="v">
      <t c="7">
        <n x="18"/>
        <n x="104"/>
        <n x="146"/>
        <n x="21"/>
        <n x="86"/>
        <n x="121"/>
        <n x="17"/>
      </t>
    </mdx>
    <mdx n="0" f="v">
      <t c="7">
        <n x="18"/>
        <n x="104"/>
        <n x="146"/>
        <n x="21"/>
        <n x="89"/>
        <n x="105"/>
        <n x="11"/>
      </t>
    </mdx>
    <mdx n="0" f="v">
      <t c="6">
        <n x="18"/>
        <n x="104"/>
        <n x="146"/>
        <n x="21"/>
        <n x="97"/>
        <n x="15"/>
      </t>
    </mdx>
    <mdx n="0" f="v">
      <t c="7">
        <n x="18"/>
        <n x="104"/>
        <n x="146"/>
        <n x="21"/>
        <n x="90"/>
        <n x="131"/>
        <n x="14"/>
      </t>
    </mdx>
    <mdx n="0" f="v">
      <t c="7">
        <n x="18"/>
        <n x="104"/>
        <n x="146"/>
        <n x="21"/>
        <n x="96"/>
        <n x="128"/>
        <n x="10"/>
      </t>
    </mdx>
    <mdx n="0" f="v">
      <t c="6">
        <n x="18"/>
        <n x="104"/>
        <n x="146"/>
        <n x="21"/>
        <n x="91"/>
        <n x="14"/>
      </t>
    </mdx>
    <mdx n="0" f="v">
      <t c="7">
        <n x="18"/>
        <n x="104"/>
        <n x="146"/>
        <n x="21"/>
        <n x="85"/>
        <n x="123"/>
        <n x="7"/>
      </t>
    </mdx>
    <mdx n="0" f="v">
      <t c="7">
        <n x="18"/>
        <n x="104"/>
        <n x="146"/>
        <n x="21"/>
        <n x="89"/>
        <n x="105"/>
        <n x="8"/>
      </t>
    </mdx>
    <mdx n="0" f="v">
      <t c="7">
        <n x="18"/>
        <n x="104"/>
        <n x="146"/>
        <n x="21"/>
        <n x="87"/>
        <n x="136"/>
        <n x="13"/>
      </t>
    </mdx>
    <mdx n="0" f="v">
      <t c="7">
        <n x="18"/>
        <n x="104"/>
        <n x="146"/>
        <n x="21"/>
        <n x="90"/>
        <n x="131"/>
        <n x="13"/>
      </t>
    </mdx>
    <mdx n="0" f="v">
      <t c="7">
        <n x="18"/>
        <n x="104"/>
        <n x="146"/>
        <n x="21"/>
        <n x="92"/>
        <n x="135"/>
        <n x="16"/>
      </t>
    </mdx>
    <mdx n="0" f="v">
      <t c="7">
        <n x="18"/>
        <n x="104"/>
        <n x="146"/>
        <n x="21"/>
        <n x="90"/>
        <n x="133"/>
        <n x="11"/>
      </t>
    </mdx>
    <mdx n="0" f="v">
      <t c="6">
        <n x="18"/>
        <n x="104"/>
        <n x="146"/>
        <n x="21"/>
        <n x="97"/>
        <n x="7"/>
      </t>
    </mdx>
    <mdx n="0" f="v">
      <t c="7">
        <n x="18"/>
        <n x="104"/>
        <n x="146"/>
        <n x="21"/>
        <n x="95"/>
        <n x="130"/>
        <n x="25"/>
      </t>
    </mdx>
    <mdx n="0" f="v">
      <t c="7">
        <n x="18"/>
        <n x="104"/>
        <n x="146"/>
        <n x="21"/>
        <n x="85"/>
        <n x="113"/>
        <n x="16"/>
      </t>
    </mdx>
    <mdx n="0" f="v">
      <t c="7">
        <n x="18"/>
        <n x="104"/>
        <n x="146"/>
        <n x="21"/>
        <n x="86"/>
        <n x="121"/>
        <n x="16"/>
      </t>
    </mdx>
    <mdx n="0" f="v">
      <t c="7">
        <n x="18"/>
        <n x="104"/>
        <n x="146"/>
        <n x="21"/>
        <n x="85"/>
        <n x="113"/>
        <n x="8"/>
      </t>
    </mdx>
    <mdx n="0" f="v">
      <t c="6">
        <n x="18"/>
        <n x="104"/>
        <n x="146"/>
        <n x="21"/>
        <n x="90"/>
        <n x="16"/>
      </t>
    </mdx>
    <mdx n="0" f="v">
      <t c="7">
        <n x="18"/>
        <n x="104"/>
        <n x="146"/>
        <n x="21"/>
        <n x="84"/>
        <n x="114"/>
        <n x="10"/>
      </t>
    </mdx>
    <mdx n="0" f="v">
      <t c="6">
        <n x="18"/>
        <n x="104"/>
        <n x="146"/>
        <n x="21"/>
        <n x="95"/>
        <n x="7"/>
      </t>
    </mdx>
    <mdx n="0" f="v">
      <t c="7">
        <n x="18"/>
        <n x="104"/>
        <n x="146"/>
        <n x="21"/>
        <n x="88"/>
        <n x="137"/>
        <n x="14"/>
      </t>
    </mdx>
    <mdx n="0" f="v">
      <t c="7">
        <n x="18"/>
        <n x="104"/>
        <n x="146"/>
        <n x="21"/>
        <n x="95"/>
        <n x="111"/>
        <n x="10"/>
      </t>
    </mdx>
    <mdx n="0" f="v">
      <t c="7">
        <n x="18"/>
        <n x="104"/>
        <n x="146"/>
        <n x="21"/>
        <n x="90"/>
        <n x="107"/>
        <n x="8"/>
      </t>
    </mdx>
    <mdx n="0" f="v">
      <t c="7">
        <n x="18"/>
        <n x="104"/>
        <n x="146"/>
        <n x="21"/>
        <n x="95"/>
        <n x="109"/>
        <n x="17"/>
      </t>
    </mdx>
    <mdx n="0" f="v">
      <t c="7">
        <n x="18"/>
        <n x="104"/>
        <n x="146"/>
        <n x="21"/>
        <n x="95"/>
        <n x="132"/>
        <n x="10"/>
      </t>
    </mdx>
    <mdx n="0" f="v">
      <t c="6">
        <n x="18"/>
        <n x="104"/>
        <n x="146"/>
        <n x="21"/>
        <n x="89"/>
        <n x="13"/>
      </t>
    </mdx>
    <mdx n="0" f="v">
      <t c="6">
        <n x="18"/>
        <n x="104"/>
        <n x="146"/>
        <n x="21"/>
        <n x="95"/>
        <n x="17"/>
      </t>
    </mdx>
    <mdx n="0" f="v">
      <t c="7">
        <n x="18"/>
        <n x="104"/>
        <n x="146"/>
        <n x="21"/>
        <n x="94"/>
        <n x="110"/>
        <n x="8"/>
      </t>
    </mdx>
    <mdx n="0" f="v">
      <t c="6">
        <n x="18"/>
        <n x="104"/>
        <n x="146"/>
        <n x="21"/>
        <n x="90"/>
        <n x="15"/>
      </t>
    </mdx>
    <mdx n="0" f="v">
      <t c="6">
        <n x="18"/>
        <n x="104"/>
        <n x="146"/>
        <n x="21"/>
        <n x="89"/>
        <n x="7"/>
      </t>
    </mdx>
    <mdx n="0" f="v">
      <t c="7">
        <n x="18"/>
        <n x="104"/>
        <n x="146"/>
        <n x="21"/>
        <n x="96"/>
        <n x="128"/>
        <n x="15"/>
      </t>
    </mdx>
    <mdx n="0" f="v">
      <t c="7">
        <n x="18"/>
        <n x="104"/>
        <n x="146"/>
        <n x="21"/>
        <n x="90"/>
        <n x="119"/>
        <n x="10"/>
      </t>
    </mdx>
    <mdx n="0" f="v">
      <t c="7">
        <n x="18"/>
        <n x="104"/>
        <n x="146"/>
        <n x="21"/>
        <n x="93"/>
        <n x="129"/>
        <n x="15"/>
      </t>
    </mdx>
    <mdx n="0" f="v">
      <t c="7">
        <n x="18"/>
        <n x="104"/>
        <n x="146"/>
        <n x="21"/>
        <n x="86"/>
        <n x="115"/>
        <n x="17"/>
      </t>
    </mdx>
    <mdx n="0" f="v">
      <t c="7">
        <n x="18"/>
        <n x="104"/>
        <n x="146"/>
        <n x="21"/>
        <n x="86"/>
        <n x="115"/>
        <n x="7"/>
      </t>
    </mdx>
    <mdx n="0" f="v">
      <t c="7">
        <n x="18"/>
        <n x="104"/>
        <n x="146"/>
        <n x="21"/>
        <n x="84"/>
        <n x="125"/>
        <n x="14"/>
      </t>
    </mdx>
    <mdx n="0" f="v">
      <t c="7">
        <n x="18"/>
        <n x="104"/>
        <n x="146"/>
        <n x="21"/>
        <n x="84"/>
        <n x="114"/>
        <n x="13"/>
      </t>
    </mdx>
    <mdx n="0" f="v">
      <t c="7">
        <n x="18"/>
        <n x="104"/>
        <n x="146"/>
        <n x="21"/>
        <n x="90"/>
        <n x="134"/>
        <n x="17"/>
      </t>
    </mdx>
    <mdx n="0" f="v">
      <t c="7">
        <n x="18"/>
        <n x="104"/>
        <n x="146"/>
        <n x="21"/>
        <n x="96"/>
        <n x="128"/>
        <n x="13"/>
      </t>
    </mdx>
    <mdx n="0" f="v">
      <t c="7">
        <n x="18"/>
        <n x="104"/>
        <n x="146"/>
        <n x="21"/>
        <n x="90"/>
        <n x="120"/>
        <n x="15"/>
      </t>
    </mdx>
    <mdx n="0" f="v">
      <t c="7">
        <n x="18"/>
        <n x="104"/>
        <n x="146"/>
        <n x="21"/>
        <n x="88"/>
        <n x="137"/>
        <n x="11"/>
      </t>
    </mdx>
    <mdx n="0" f="v">
      <t c="6">
        <n x="18"/>
        <n x="104"/>
        <n x="146"/>
        <n x="21"/>
        <n x="88"/>
        <n x="7"/>
      </t>
    </mdx>
    <mdx n="0" f="v">
      <t c="7">
        <n x="18"/>
        <n x="104"/>
        <n x="146"/>
        <n x="21"/>
        <n x="90"/>
        <n x="134"/>
        <n x="14"/>
      </t>
    </mdx>
    <mdx n="0" f="v">
      <t c="7">
        <n x="18"/>
        <n x="104"/>
        <n x="146"/>
        <n x="21"/>
        <n x="94"/>
        <n x="110"/>
        <n x="16"/>
      </t>
    </mdx>
    <mdx n="0" f="v">
      <t c="7">
        <n x="18"/>
        <n x="104"/>
        <n x="146"/>
        <n x="21"/>
        <n x="85"/>
        <n x="113"/>
        <n x="7"/>
      </t>
    </mdx>
    <mdx n="0" f="v">
      <t c="6">
        <n x="18"/>
        <n x="104"/>
        <n x="146"/>
        <n x="21"/>
        <n x="86"/>
        <n x="14"/>
      </t>
    </mdx>
    <mdx n="0" f="v">
      <t c="6">
        <n x="18"/>
        <n x="104"/>
        <n x="146"/>
        <n x="21"/>
        <n x="94"/>
        <n x="11"/>
      </t>
    </mdx>
    <mdx n="0" f="v">
      <t c="6">
        <n x="18"/>
        <n x="104"/>
        <n x="146"/>
        <n x="21"/>
        <n x="90"/>
        <n x="10"/>
      </t>
    </mdx>
    <mdx n="0" f="v">
      <t c="7">
        <n x="18"/>
        <n x="104"/>
        <n x="146"/>
        <n x="21"/>
        <n x="95"/>
        <n x="109"/>
        <n x="15"/>
      </t>
    </mdx>
    <mdx n="0" f="v">
      <t c="7">
        <n x="18"/>
        <n x="104"/>
        <n x="146"/>
        <n x="21"/>
        <n x="94"/>
        <n x="108"/>
        <n x="7"/>
      </t>
    </mdx>
    <mdx n="0" f="v">
      <t c="6">
        <n x="18"/>
        <n x="104"/>
        <n x="146"/>
        <n x="21"/>
        <n x="86"/>
        <n x="11"/>
      </t>
    </mdx>
    <mdx n="0" f="v">
      <t c="7">
        <n x="18"/>
        <n x="104"/>
        <n x="146"/>
        <n x="21"/>
        <n x="95"/>
        <n x="124"/>
        <n x="11"/>
      </t>
    </mdx>
    <mdx n="0" f="v">
      <t c="6">
        <n x="18"/>
        <n x="104"/>
        <n x="146"/>
        <n x="21"/>
        <n x="92"/>
        <n x="15"/>
      </t>
    </mdx>
    <mdx n="0" f="v">
      <t c="7">
        <n x="18"/>
        <n x="104"/>
        <n x="146"/>
        <n x="21"/>
        <n x="95"/>
        <n x="109"/>
        <n x="7"/>
      </t>
    </mdx>
    <mdx n="0" f="v">
      <t c="7">
        <n x="18"/>
        <n x="104"/>
        <n x="146"/>
        <n x="21"/>
        <n x="84"/>
        <n x="114"/>
        <n x="25"/>
      </t>
    </mdx>
    <mdx n="0" f="v">
      <t c="6">
        <n x="18"/>
        <n x="104"/>
        <n x="146"/>
        <n x="21"/>
        <n x="84"/>
        <n x="14"/>
      </t>
    </mdx>
    <mdx n="0" f="v">
      <t c="6">
        <n x="18"/>
        <n x="104"/>
        <n x="146"/>
        <n x="21"/>
        <n x="89"/>
        <n x="8"/>
      </t>
    </mdx>
    <mdx n="0" f="v">
      <t c="6">
        <n x="18"/>
        <n x="104"/>
        <n x="146"/>
        <n x="21"/>
        <n x="92"/>
        <n x="14"/>
      </t>
    </mdx>
    <mdx n="0" f="v">
      <t c="7">
        <n x="18"/>
        <n x="104"/>
        <n x="146"/>
        <n x="21"/>
        <n x="86"/>
        <n x="115"/>
        <n x="11"/>
      </t>
    </mdx>
    <mdx n="0" f="v">
      <t c="7">
        <n x="18"/>
        <n x="104"/>
        <n x="146"/>
        <n x="21"/>
        <n x="96"/>
        <n x="128"/>
        <n x="12"/>
      </t>
    </mdx>
    <mdx n="0" f="v">
      <t c="7">
        <n x="18"/>
        <n x="104"/>
        <n x="146"/>
        <n x="21"/>
        <n x="95"/>
        <n x="124"/>
        <n x="10"/>
      </t>
    </mdx>
    <mdx n="0" f="v">
      <t c="7">
        <n x="18"/>
        <n x="104"/>
        <n x="146"/>
        <n x="21"/>
        <n x="90"/>
        <n x="134"/>
        <n x="15"/>
      </t>
    </mdx>
    <mdx n="0" f="v">
      <t c="7">
        <n x="18"/>
        <n x="104"/>
        <n x="146"/>
        <n x="21"/>
        <n x="89"/>
        <n x="105"/>
        <n x="17"/>
      </t>
    </mdx>
    <mdx n="0" f="v">
      <t c="7">
        <n x="18"/>
        <n x="104"/>
        <n x="146"/>
        <n x="21"/>
        <n x="84"/>
        <n x="125"/>
        <n x="15"/>
      </t>
    </mdx>
    <mdx n="0" f="v">
      <t c="7">
        <n x="18"/>
        <n x="104"/>
        <n x="146"/>
        <n x="21"/>
        <n x="97"/>
        <n x="126"/>
        <n x="15"/>
      </t>
    </mdx>
    <mdx n="0" f="v">
      <t c="7">
        <n x="18"/>
        <n x="104"/>
        <n x="146"/>
        <n x="21"/>
        <n x="90"/>
        <n x="133"/>
        <n x="10"/>
      </t>
    </mdx>
    <mdx n="0" f="v">
      <t c="7">
        <n x="18"/>
        <n x="104"/>
        <n x="146"/>
        <n x="21"/>
        <n x="84"/>
        <n x="125"/>
        <n x="13"/>
      </t>
    </mdx>
    <mdx n="0" f="v">
      <t c="7">
        <n x="18"/>
        <n x="104"/>
        <n x="146"/>
        <n x="21"/>
        <n x="84"/>
        <n x="125"/>
        <n x="16"/>
      </t>
    </mdx>
    <mdx n="0" f="v">
      <t c="7">
        <n x="18"/>
        <n x="104"/>
        <n x="146"/>
        <n x="21"/>
        <n x="86"/>
        <n x="115"/>
        <n x="15"/>
      </t>
    </mdx>
    <mdx n="0" f="v">
      <t c="6">
        <n x="18"/>
        <n x="104"/>
        <n x="146"/>
        <n x="21"/>
        <n x="91"/>
        <n x="12"/>
      </t>
    </mdx>
    <mdx n="0" f="v">
      <t c="7">
        <n x="18"/>
        <n x="104"/>
        <n x="146"/>
        <n x="21"/>
        <n x="93"/>
        <n x="129"/>
        <n x="25"/>
      </t>
    </mdx>
    <mdx n="0" f="v">
      <t c="7">
        <n x="18"/>
        <n x="104"/>
        <n x="146"/>
        <n x="21"/>
        <n x="94"/>
        <n x="122"/>
        <n x="13"/>
      </t>
    </mdx>
    <mdx n="0" f="v">
      <t c="6">
        <n x="18"/>
        <n x="104"/>
        <n x="146"/>
        <n x="21"/>
        <n x="86"/>
        <n x="17"/>
      </t>
    </mdx>
    <mdx n="0" f="v">
      <t c="6">
        <n x="18"/>
        <n x="104"/>
        <n x="146"/>
        <n x="21"/>
        <n x="89"/>
        <n x="25"/>
      </t>
    </mdx>
    <mdx n="0" f="v">
      <t c="7">
        <n x="18"/>
        <n x="104"/>
        <n x="146"/>
        <n x="21"/>
        <n x="86"/>
        <n x="121"/>
        <n x="14"/>
      </t>
    </mdx>
    <mdx n="0" f="v">
      <t c="7">
        <n x="18"/>
        <n x="104"/>
        <n x="146"/>
        <n x="21"/>
        <n x="86"/>
        <n x="112"/>
        <n x="11"/>
      </t>
    </mdx>
    <mdx n="0" f="v">
      <t c="7">
        <n x="18"/>
        <n x="104"/>
        <n x="146"/>
        <n x="21"/>
        <n x="85"/>
        <n x="116"/>
        <n x="12"/>
      </t>
    </mdx>
    <mdx n="0" f="v">
      <t c="6">
        <n x="18"/>
        <n x="104"/>
        <n x="146"/>
        <n x="21"/>
        <n x="87"/>
        <n x="10"/>
      </t>
    </mdx>
    <mdx n="0" f="v">
      <t c="7">
        <n x="18"/>
        <n x="104"/>
        <n x="146"/>
        <n x="21"/>
        <n x="94"/>
        <n x="110"/>
        <n x="7"/>
      </t>
    </mdx>
    <mdx n="0" f="v">
      <t c="7">
        <n x="18"/>
        <n x="104"/>
        <n x="146"/>
        <n x="21"/>
        <n x="90"/>
        <n x="119"/>
        <n x="17"/>
      </t>
    </mdx>
    <mdx n="0" f="v">
      <t c="7">
        <n x="18"/>
        <n x="104"/>
        <n x="146"/>
        <n x="21"/>
        <n x="93"/>
        <n x="129"/>
        <n x="10"/>
      </t>
    </mdx>
    <mdx n="0" f="v">
      <t c="6">
        <n x="18"/>
        <n x="104"/>
        <n x="146"/>
        <n x="21"/>
        <n x="88"/>
        <n x="16"/>
      </t>
    </mdx>
    <mdx n="0" f="v">
      <t c="7">
        <n x="18"/>
        <n x="104"/>
        <n x="146"/>
        <n x="21"/>
        <n x="85"/>
        <n x="113"/>
        <n x="10"/>
      </t>
    </mdx>
    <mdx n="0" f="v">
      <t c="7">
        <n x="18"/>
        <n x="104"/>
        <n x="146"/>
        <n x="21"/>
        <n x="95"/>
        <n x="124"/>
        <n x="16"/>
      </t>
    </mdx>
    <mdx n="0" f="v">
      <t c="7">
        <n x="18"/>
        <n x="104"/>
        <n x="146"/>
        <n x="21"/>
        <n x="90"/>
        <n x="133"/>
        <n x="12"/>
      </t>
    </mdx>
    <mdx n="0" f="v">
      <t c="7">
        <n x="18"/>
        <n x="104"/>
        <n x="146"/>
        <n x="21"/>
        <n x="84"/>
        <n x="125"/>
        <n x="12"/>
      </t>
    </mdx>
    <mdx n="0" f="v">
      <t c="7">
        <n x="18"/>
        <n x="104"/>
        <n x="146"/>
        <n x="21"/>
        <n x="89"/>
        <n x="106"/>
        <n x="12"/>
      </t>
    </mdx>
    <mdx n="0" f="v">
      <t c="7">
        <n x="18"/>
        <n x="104"/>
        <n x="146"/>
        <n x="21"/>
        <n x="87"/>
        <n x="136"/>
        <n x="12"/>
      </t>
    </mdx>
    <mdx n="0" f="v">
      <t c="7">
        <n x="18"/>
        <n x="104"/>
        <n x="146"/>
        <n x="21"/>
        <n x="84"/>
        <n x="114"/>
        <n x="14"/>
      </t>
    </mdx>
    <mdx n="0" f="v">
      <t c="7">
        <n x="18"/>
        <n x="104"/>
        <n x="146"/>
        <n x="21"/>
        <n x="84"/>
        <n x="117"/>
        <n x="14"/>
      </t>
    </mdx>
    <mdx n="0" f="v">
      <t c="6">
        <n x="18"/>
        <n x="104"/>
        <n x="146"/>
        <n x="21"/>
        <n x="94"/>
        <n x="16"/>
      </t>
    </mdx>
    <mdx n="0" f="v">
      <t c="7">
        <n x="18"/>
        <n x="104"/>
        <n x="146"/>
        <n x="21"/>
        <n x="86"/>
        <n x="112"/>
        <n x="13"/>
      </t>
    </mdx>
    <mdx n="0" f="v">
      <t c="6">
        <n x="18"/>
        <n x="104"/>
        <n x="146"/>
        <n x="21"/>
        <n x="86"/>
        <n x="8"/>
      </t>
    </mdx>
    <mdx n="0" f="v">
      <t c="7">
        <n x="18"/>
        <n x="104"/>
        <n x="146"/>
        <n x="21"/>
        <n x="94"/>
        <n x="110"/>
        <n x="25"/>
      </t>
    </mdx>
    <mdx n="0" f="v">
      <t c="7">
        <n x="18"/>
        <n x="104"/>
        <n x="146"/>
        <n x="21"/>
        <n x="94"/>
        <n x="108"/>
        <n x="8"/>
      </t>
    </mdx>
    <mdx n="0" f="v">
      <t c="7">
        <n x="18"/>
        <n x="104"/>
        <n x="146"/>
        <n x="21"/>
        <n x="90"/>
        <n x="118"/>
        <n x="10"/>
      </t>
    </mdx>
    <mdx n="0" f="v">
      <t c="7">
        <n x="18"/>
        <n x="104"/>
        <n x="146"/>
        <n x="21"/>
        <n x="90"/>
        <n x="118"/>
        <n x="13"/>
      </t>
    </mdx>
    <mdx n="0" f="v">
      <t c="6">
        <n x="18"/>
        <n x="104"/>
        <n x="146"/>
        <n x="21"/>
        <n x="84"/>
        <n x="17"/>
      </t>
    </mdx>
    <mdx n="0" f="v">
      <t c="7">
        <n x="18"/>
        <n x="104"/>
        <n x="146"/>
        <n x="21"/>
        <n x="93"/>
        <n x="129"/>
        <n x="8"/>
      </t>
    </mdx>
    <mdx n="0" f="v">
      <t c="7">
        <n x="18"/>
        <n x="104"/>
        <n x="146"/>
        <n x="21"/>
        <n x="85"/>
        <n x="123"/>
        <n x="12"/>
      </t>
    </mdx>
    <mdx n="0" f="v">
      <t c="7">
        <n x="18"/>
        <n x="104"/>
        <n x="146"/>
        <n x="21"/>
        <n x="84"/>
        <n x="117"/>
        <n x="13"/>
      </t>
    </mdx>
    <mdx n="0" f="v">
      <t c="7">
        <n x="18"/>
        <n x="104"/>
        <n x="146"/>
        <n x="21"/>
        <n x="87"/>
        <n x="136"/>
        <n x="14"/>
      </t>
    </mdx>
    <mdx n="0" f="v">
      <t c="7">
        <n x="18"/>
        <n x="104"/>
        <n x="146"/>
        <n x="21"/>
        <n x="94"/>
        <n x="108"/>
        <n x="17"/>
      </t>
    </mdx>
    <mdx n="0" f="v">
      <t c="6">
        <n x="18"/>
        <n x="104"/>
        <n x="146"/>
        <n x="21"/>
        <n x="85"/>
        <n x="7"/>
      </t>
    </mdx>
    <mdx n="0" f="v">
      <t c="7">
        <n x="18"/>
        <n x="104"/>
        <n x="146"/>
        <n x="21"/>
        <n x="87"/>
        <n x="136"/>
        <n x="25"/>
      </t>
    </mdx>
    <mdx n="0" f="v">
      <t c="6">
        <n x="18"/>
        <n x="104"/>
        <n x="146"/>
        <n x="21"/>
        <n x="87"/>
        <n x="17"/>
      </t>
    </mdx>
    <mdx n="0" f="v">
      <t c="6">
        <n x="18"/>
        <n x="104"/>
        <n x="146"/>
        <n x="21"/>
        <n x="85"/>
        <n x="12"/>
      </t>
    </mdx>
    <mdx n="0" f="v">
      <t c="7">
        <n x="18"/>
        <n x="104"/>
        <n x="146"/>
        <n x="21"/>
        <n x="87"/>
        <n x="136"/>
        <n x="8"/>
      </t>
    </mdx>
    <mdx n="0" f="v">
      <t c="6">
        <n x="18"/>
        <n x="104"/>
        <n x="146"/>
        <n x="21"/>
        <n x="97"/>
        <n x="11"/>
      </t>
    </mdx>
    <mdx n="0" f="v">
      <t c="7">
        <n x="18"/>
        <n x="104"/>
        <n x="146"/>
        <n x="21"/>
        <n x="90"/>
        <n x="131"/>
        <n x="10"/>
      </t>
    </mdx>
    <mdx n="0" f="v">
      <t c="7">
        <n x="18"/>
        <n x="104"/>
        <n x="146"/>
        <n x="21"/>
        <n x="85"/>
        <n x="113"/>
        <n x="17"/>
      </t>
    </mdx>
    <mdx n="0" f="v">
      <t c="7">
        <n x="18"/>
        <n x="104"/>
        <n x="146"/>
        <n x="21"/>
        <n x="89"/>
        <n x="105"/>
        <n x="14"/>
      </t>
    </mdx>
    <mdx n="0" f="v">
      <t c="7">
        <n x="18"/>
        <n x="104"/>
        <n x="146"/>
        <n x="21"/>
        <n x="87"/>
        <n x="136"/>
        <n x="17"/>
      </t>
    </mdx>
    <mdx n="0" f="v">
      <t c="7">
        <n x="18"/>
        <n x="104"/>
        <n x="146"/>
        <n x="21"/>
        <n x="84"/>
        <n x="117"/>
        <n x="16"/>
      </t>
    </mdx>
    <mdx n="0" f="v">
      <t c="6">
        <n x="18"/>
        <n x="104"/>
        <n x="146"/>
        <n x="21"/>
        <n x="95"/>
        <n x="13"/>
      </t>
    </mdx>
    <mdx n="0" f="v">
      <t c="7">
        <n x="18"/>
        <n x="104"/>
        <n x="146"/>
        <n x="21"/>
        <n x="95"/>
        <n x="124"/>
        <n x="8"/>
      </t>
    </mdx>
    <mdx n="0" f="v">
      <t c="7">
        <n x="18"/>
        <n x="104"/>
        <n x="146"/>
        <n x="21"/>
        <n x="90"/>
        <n x="120"/>
        <n x="10"/>
      </t>
    </mdx>
    <mdx n="0" f="v">
      <t c="7">
        <n x="18"/>
        <n x="104"/>
        <n x="146"/>
        <n x="21"/>
        <n x="95"/>
        <n x="132"/>
        <n x="14"/>
      </t>
    </mdx>
    <mdx n="0" f="v">
      <t c="7">
        <n x="18"/>
        <n x="104"/>
        <n x="146"/>
        <n x="21"/>
        <n x="94"/>
        <n x="122"/>
        <n x="11"/>
      </t>
    </mdx>
    <mdx n="0" f="v">
      <t c="6">
        <n x="18"/>
        <n x="104"/>
        <n x="146"/>
        <n x="21"/>
        <n x="84"/>
        <n x="8"/>
      </t>
    </mdx>
    <mdx n="0" f="v">
      <t c="6">
        <n x="18"/>
        <n x="104"/>
        <n x="146"/>
        <n x="21"/>
        <n x="87"/>
        <n x="7"/>
      </t>
    </mdx>
    <mdx n="0" f="v">
      <t c="7">
        <n x="18"/>
        <n x="104"/>
        <n x="146"/>
        <n x="21"/>
        <n x="93"/>
        <n x="129"/>
        <n x="7"/>
      </t>
    </mdx>
    <mdx n="0" f="v">
      <t c="7">
        <n x="18"/>
        <n x="104"/>
        <n x="146"/>
        <n x="21"/>
        <n x="92"/>
        <n x="135"/>
        <n x="14"/>
      </t>
    </mdx>
    <mdx n="0" f="v">
      <t c="7">
        <n x="18"/>
        <n x="104"/>
        <n x="146"/>
        <n x="21"/>
        <n x="88"/>
        <n x="137"/>
        <n x="7"/>
      </t>
    </mdx>
    <mdx n="0" f="v">
      <t c="7">
        <n x="18"/>
        <n x="104"/>
        <n x="146"/>
        <n x="21"/>
        <n x="95"/>
        <n x="111"/>
        <n x="13"/>
      </t>
    </mdx>
    <mdx n="0" f="v">
      <t c="7">
        <n x="18"/>
        <n x="104"/>
        <n x="146"/>
        <n x="21"/>
        <n x="94"/>
        <n x="122"/>
        <n x="16"/>
      </t>
    </mdx>
    <mdx n="0" f="v">
      <t c="7">
        <n x="18"/>
        <n x="104"/>
        <n x="146"/>
        <n x="21"/>
        <n x="95"/>
        <n x="111"/>
        <n x="11"/>
      </t>
    </mdx>
    <mdx n="0" f="v">
      <t c="7">
        <n x="18"/>
        <n x="104"/>
        <n x="146"/>
        <n x="21"/>
        <n x="95"/>
        <n x="111"/>
        <n x="16"/>
      </t>
    </mdx>
    <mdx n="0" f="v">
      <t c="7">
        <n x="18"/>
        <n x="104"/>
        <n x="146"/>
        <n x="21"/>
        <n x="87"/>
        <n x="136"/>
        <n x="15"/>
      </t>
    </mdx>
    <mdx n="0" f="v">
      <t c="6">
        <n x="18"/>
        <n x="104"/>
        <n x="146"/>
        <n x="21"/>
        <n x="93"/>
        <n x="25"/>
      </t>
    </mdx>
    <mdx n="0" f="v">
      <t c="7">
        <n x="18"/>
        <n x="104"/>
        <n x="146"/>
        <n x="21"/>
        <n x="95"/>
        <n x="132"/>
        <n x="13"/>
      </t>
    </mdx>
    <mdx n="0" f="v">
      <t c="7">
        <n x="18"/>
        <n x="104"/>
        <n x="146"/>
        <n x="21"/>
        <n x="90"/>
        <n x="119"/>
        <n x="15"/>
      </t>
    </mdx>
    <mdx n="0" f="v">
      <t c="7">
        <n x="18"/>
        <n x="104"/>
        <n x="146"/>
        <n x="21"/>
        <n x="84"/>
        <n x="114"/>
        <n x="15"/>
      </t>
    </mdx>
    <mdx n="0" f="v">
      <t c="6">
        <n x="18"/>
        <n x="104"/>
        <n x="146"/>
        <n x="21"/>
        <n x="87"/>
        <n x="15"/>
      </t>
    </mdx>
    <mdx n="0" f="v">
      <t c="6">
        <n x="18"/>
        <n x="104"/>
        <n x="146"/>
        <n x="21"/>
        <n x="96"/>
        <n x="15"/>
      </t>
    </mdx>
    <mdx n="0" f="v">
      <t c="7">
        <n x="18"/>
        <n x="104"/>
        <n x="146"/>
        <n x="21"/>
        <n x="97"/>
        <n x="126"/>
        <n x="10"/>
      </t>
    </mdx>
    <mdx n="0" f="v">
      <t c="7">
        <n x="18"/>
        <n x="104"/>
        <n x="146"/>
        <n x="21"/>
        <n x="94"/>
        <n x="108"/>
        <n x="13"/>
      </t>
    </mdx>
    <mdx n="0" f="v">
      <t c="7">
        <n x="18"/>
        <n x="104"/>
        <n x="146"/>
        <n x="21"/>
        <n x="88"/>
        <n x="137"/>
        <n x="25"/>
      </t>
    </mdx>
    <mdx n="0" f="v">
      <t c="6">
        <n x="18"/>
        <n x="104"/>
        <n x="146"/>
        <n x="21"/>
        <n x="91"/>
        <n x="8"/>
      </t>
    </mdx>
    <mdx n="0" f="v">
      <t c="6">
        <n x="18"/>
        <n x="104"/>
        <n x="146"/>
        <n x="21"/>
        <n x="92"/>
        <n x="8"/>
      </t>
    </mdx>
    <mdx n="0" f="v">
      <t c="7">
        <n x="18"/>
        <n x="104"/>
        <n x="146"/>
        <n x="21"/>
        <n x="95"/>
        <n x="130"/>
        <n x="17"/>
      </t>
    </mdx>
    <mdx n="0" f="v">
      <t c="7">
        <n x="18"/>
        <n x="104"/>
        <n x="146"/>
        <n x="21"/>
        <n x="84"/>
        <n x="125"/>
        <n x="25"/>
      </t>
    </mdx>
    <mdx n="0" f="v">
      <t c="7">
        <n x="18"/>
        <n x="104"/>
        <n x="146"/>
        <n x="21"/>
        <n x="85"/>
        <n x="123"/>
        <n x="11"/>
      </t>
    </mdx>
    <mdx n="0" f="v">
      <t c="7">
        <n x="18"/>
        <n x="104"/>
        <n x="146"/>
        <n x="21"/>
        <n x="90"/>
        <n x="107"/>
        <n x="13"/>
      </t>
    </mdx>
    <mdx n="0" f="v">
      <t c="6">
        <n x="18"/>
        <n x="104"/>
        <n x="146"/>
        <n x="21"/>
        <n x="91"/>
        <n x="16"/>
      </t>
    </mdx>
    <mdx n="0" f="v">
      <t c="7">
        <n x="18"/>
        <n x="104"/>
        <n x="146"/>
        <n x="21"/>
        <n x="85"/>
        <n x="116"/>
        <n x="10"/>
      </t>
    </mdx>
    <mdx n="0" f="v">
      <t c="6">
        <n x="18"/>
        <n x="104"/>
        <n x="146"/>
        <n x="21"/>
        <n x="88"/>
        <n x="14"/>
      </t>
    </mdx>
    <mdx n="0" f="v">
      <t c="7">
        <n x="18"/>
        <n x="104"/>
        <n x="146"/>
        <n x="21"/>
        <n x="84"/>
        <n x="114"/>
        <n x="12"/>
      </t>
    </mdx>
    <mdx n="0" f="v">
      <t c="6">
        <n x="18"/>
        <n x="104"/>
        <n x="146"/>
        <n x="21"/>
        <n x="96"/>
        <n x="8"/>
      </t>
    </mdx>
    <mdx n="0" f="v">
      <t c="7">
        <n x="18"/>
        <n x="104"/>
        <n x="146"/>
        <n x="21"/>
        <n x="85"/>
        <n x="116"/>
        <n x="15"/>
      </t>
    </mdx>
    <mdx n="0" f="v">
      <t c="7">
        <n x="18"/>
        <n x="104"/>
        <n x="146"/>
        <n x="21"/>
        <n x="87"/>
        <n x="136"/>
        <n x="7"/>
      </t>
    </mdx>
    <mdx n="0" f="v">
      <t c="7">
        <n x="18"/>
        <n x="104"/>
        <n x="146"/>
        <n x="21"/>
        <n x="95"/>
        <n x="130"/>
        <n x="7"/>
      </t>
    </mdx>
    <mdx n="0" f="v">
      <t c="6">
        <n x="18"/>
        <n x="104"/>
        <n x="146"/>
        <n x="21"/>
        <n x="87"/>
        <n x="25"/>
      </t>
    </mdx>
    <mdx n="0" f="v">
      <t c="6">
        <n x="18"/>
        <n x="104"/>
        <n x="146"/>
        <n x="21"/>
        <n x="96"/>
        <n x="7"/>
      </t>
    </mdx>
    <mdx n="0" f="v">
      <t c="7">
        <n x="18"/>
        <n x="104"/>
        <n x="146"/>
        <n x="21"/>
        <n x="92"/>
        <n x="135"/>
        <n x="10"/>
      </t>
    </mdx>
    <mdx n="0" f="v">
      <t c="7">
        <n x="18"/>
        <n x="104"/>
        <n x="146"/>
        <n x="21"/>
        <n x="90"/>
        <n x="118"/>
        <n x="17"/>
      </t>
    </mdx>
    <mdx n="0" f="v">
      <t c="6">
        <n x="18"/>
        <n x="104"/>
        <n x="146"/>
        <n x="21"/>
        <n x="94"/>
        <n x="12"/>
      </t>
    </mdx>
    <mdx n="0" f="v">
      <t c="7">
        <n x="18"/>
        <n x="104"/>
        <n x="146"/>
        <n x="21"/>
        <n x="90"/>
        <n x="118"/>
        <n x="25"/>
      </t>
    </mdx>
    <mdx n="0" f="v">
      <t c="7">
        <n x="18"/>
        <n x="104"/>
        <n x="146"/>
        <n x="21"/>
        <n x="91"/>
        <n x="127"/>
        <n x="11"/>
      </t>
    </mdx>
    <mdx n="0" f="v">
      <t c="6">
        <n x="18"/>
        <n x="104"/>
        <n x="146"/>
        <n x="21"/>
        <n x="85"/>
        <n x="10"/>
      </t>
    </mdx>
    <mdx n="0" f="v">
      <t c="7">
        <n x="18"/>
        <n x="104"/>
        <n x="146"/>
        <n x="21"/>
        <n x="95"/>
        <n x="132"/>
        <n x="25"/>
      </t>
    </mdx>
    <mdx n="0" f="v">
      <t c="7">
        <n x="18"/>
        <n x="104"/>
        <n x="146"/>
        <n x="21"/>
        <n x="89"/>
        <n x="106"/>
        <n x="15"/>
      </t>
    </mdx>
    <mdx n="0" f="v">
      <t c="7">
        <n x="18"/>
        <n x="104"/>
        <n x="146"/>
        <n x="21"/>
        <n x="86"/>
        <n x="112"/>
        <n x="7"/>
      </t>
    </mdx>
    <mdx n="0" f="v">
      <t c="7">
        <n x="18"/>
        <n x="104"/>
        <n x="146"/>
        <n x="21"/>
        <n x="95"/>
        <n x="130"/>
        <n x="8"/>
      </t>
    </mdx>
    <mdx n="0" f="v">
      <t c="7">
        <n x="18"/>
        <n x="104"/>
        <n x="146"/>
        <n x="21"/>
        <n x="97"/>
        <n x="126"/>
        <n x="13"/>
      </t>
    </mdx>
    <mdx n="0" f="v">
      <t c="6">
        <n x="18"/>
        <n x="104"/>
        <n x="146"/>
        <n x="21"/>
        <n x="88"/>
        <n x="25"/>
      </t>
    </mdx>
    <mdx n="0" f="v">
      <t c="7">
        <n x="18"/>
        <n x="104"/>
        <n x="146"/>
        <n x="21"/>
        <n x="94"/>
        <n x="108"/>
        <n x="16"/>
      </t>
    </mdx>
    <mdx n="0" f="v">
      <t c="7">
        <n x="18"/>
        <n x="104"/>
        <n x="146"/>
        <n x="21"/>
        <n x="85"/>
        <n x="123"/>
        <n x="13"/>
      </t>
    </mdx>
    <mdx n="0" f="v">
      <t c="7">
        <n x="18"/>
        <n x="104"/>
        <n x="146"/>
        <n x="21"/>
        <n x="96"/>
        <n x="128"/>
        <n x="16"/>
      </t>
    </mdx>
    <mdx n="0" f="v">
      <t c="7">
        <n x="18"/>
        <n x="104"/>
        <n x="146"/>
        <n x="21"/>
        <n x="90"/>
        <n x="133"/>
        <n x="16"/>
      </t>
    </mdx>
    <mdx n="0" f="v">
      <t c="6">
        <n x="18"/>
        <n x="104"/>
        <n x="146"/>
        <n x="21"/>
        <n x="85"/>
        <n x="16"/>
      </t>
    </mdx>
    <mdx n="0" f="v">
      <t c="7">
        <n x="18"/>
        <n x="104"/>
        <n x="146"/>
        <n x="21"/>
        <n x="85"/>
        <n x="113"/>
        <n x="12"/>
      </t>
    </mdx>
    <mdx n="0" f="v">
      <t c="7">
        <n x="18"/>
        <n x="104"/>
        <n x="146"/>
        <n x="21"/>
        <n x="95"/>
        <n x="109"/>
        <n x="16"/>
      </t>
    </mdx>
    <mdx n="0" f="v">
      <t c="6">
        <n x="18"/>
        <n x="104"/>
        <n x="146"/>
        <n x="21"/>
        <n x="90"/>
        <n x="25"/>
      </t>
    </mdx>
    <mdx n="0" f="v">
      <t c="7">
        <n x="18"/>
        <n x="104"/>
        <n x="146"/>
        <n x="21"/>
        <n x="85"/>
        <n x="123"/>
        <n x="10"/>
      </t>
    </mdx>
    <mdx n="0" f="v">
      <t c="7">
        <n x="18"/>
        <n x="104"/>
        <n x="146"/>
        <n x="21"/>
        <n x="90"/>
        <n x="120"/>
        <n x="16"/>
      </t>
    </mdx>
    <mdx n="0" f="v">
      <t c="7">
        <n x="18"/>
        <n x="104"/>
        <n x="146"/>
        <n x="21"/>
        <n x="96"/>
        <n x="128"/>
        <n x="14"/>
      </t>
    </mdx>
    <mdx n="0" f="v">
      <t c="7">
        <n x="18"/>
        <n x="104"/>
        <n x="146"/>
        <n x="21"/>
        <n x="97"/>
        <n x="126"/>
        <n x="16"/>
      </t>
    </mdx>
    <mdx n="0" f="v">
      <t c="7">
        <n x="18"/>
        <n x="104"/>
        <n x="146"/>
        <n x="21"/>
        <n x="90"/>
        <n x="107"/>
        <n x="11"/>
      </t>
    </mdx>
    <mdx n="0" f="v">
      <t c="6">
        <n x="18"/>
        <n x="104"/>
        <n x="146"/>
        <n x="21"/>
        <n x="96"/>
        <n x="16"/>
      </t>
    </mdx>
    <mdx n="0" f="v">
      <t c="6">
        <n x="18"/>
        <n x="104"/>
        <n x="146"/>
        <n x="21"/>
        <n x="96"/>
        <n x="13"/>
      </t>
    </mdx>
    <mdx n="0" f="v">
      <t c="7">
        <n x="18"/>
        <n x="104"/>
        <n x="146"/>
        <n x="21"/>
        <n x="89"/>
        <n x="105"/>
        <n x="15"/>
      </t>
    </mdx>
    <mdx n="0" f="v">
      <t c="6">
        <n x="18"/>
        <n x="104"/>
        <n x="146"/>
        <n x="21"/>
        <n x="84"/>
        <n x="7"/>
      </t>
    </mdx>
    <mdx n="0" f="v">
      <t c="7">
        <n x="18"/>
        <n x="104"/>
        <n x="146"/>
        <n x="21"/>
        <n x="85"/>
        <n x="116"/>
        <n x="7"/>
      </t>
    </mdx>
    <mdx n="0" f="v">
      <t c="7">
        <n x="18"/>
        <n x="104"/>
        <n x="146"/>
        <n x="21"/>
        <n x="92"/>
        <n x="135"/>
        <n x="25"/>
      </t>
    </mdx>
    <mdx n="0" f="v">
      <t c="7">
        <n x="18"/>
        <n x="104"/>
        <n x="146"/>
        <n x="21"/>
        <n x="92"/>
        <n x="135"/>
        <n x="12"/>
      </t>
    </mdx>
    <mdx n="0" f="v">
      <t c="7">
        <n x="18"/>
        <n x="104"/>
        <n x="146"/>
        <n x="21"/>
        <n x="90"/>
        <n x="118"/>
        <n x="15"/>
      </t>
    </mdx>
    <mdx n="0" f="v">
      <t c="7">
        <n x="18"/>
        <n x="104"/>
        <n x="146"/>
        <n x="21"/>
        <n x="90"/>
        <n x="118"/>
        <n x="12"/>
      </t>
    </mdx>
    <mdx n="0" f="v">
      <t c="7">
        <n x="18"/>
        <n x="104"/>
        <n x="146"/>
        <n x="21"/>
        <n x="91"/>
        <n x="127"/>
        <n x="16"/>
      </t>
    </mdx>
    <mdx n="0" f="v">
      <t c="7">
        <n x="18"/>
        <n x="104"/>
        <n x="146"/>
        <n x="21"/>
        <n x="91"/>
        <n x="127"/>
        <n x="15"/>
      </t>
    </mdx>
    <mdx n="0" f="v">
      <t c="6">
        <n x="18"/>
        <n x="104"/>
        <n x="146"/>
        <n x="21"/>
        <n x="91"/>
        <n x="7"/>
      </t>
    </mdx>
    <mdx n="0" f="v">
      <t c="7">
        <n x="18"/>
        <n x="104"/>
        <n x="146"/>
        <n x="21"/>
        <n x="92"/>
        <n x="135"/>
        <n x="11"/>
      </t>
    </mdx>
    <mdx n="0" f="v">
      <t c="7">
        <n x="18"/>
        <n x="104"/>
        <n x="146"/>
        <n x="21"/>
        <n x="90"/>
        <n x="118"/>
        <n x="8"/>
      </t>
    </mdx>
    <mdx n="0" f="v">
      <t c="6">
        <n x="18"/>
        <n x="104"/>
        <n x="146"/>
        <n x="21"/>
        <n x="85"/>
        <n x="15"/>
      </t>
    </mdx>
    <mdx n="0" f="v">
      <t c="6">
        <n x="18"/>
        <n x="104"/>
        <n x="146"/>
        <n x="21"/>
        <n x="89"/>
        <n x="17"/>
      </t>
    </mdx>
    <mdx n="0" f="v">
      <t c="7">
        <n x="18"/>
        <n x="104"/>
        <n x="146"/>
        <n x="21"/>
        <n x="95"/>
        <n x="109"/>
        <n x="25"/>
      </t>
    </mdx>
    <mdx n="0" f="v">
      <t c="7">
        <n x="18"/>
        <n x="104"/>
        <n x="146"/>
        <n x="21"/>
        <n x="86"/>
        <n x="121"/>
        <n x="13"/>
      </t>
    </mdx>
    <mdx n="0" f="v">
      <t c="7">
        <n x="18"/>
        <n x="104"/>
        <n x="146"/>
        <n x="21"/>
        <n x="86"/>
        <n x="121"/>
        <n x="25"/>
      </t>
    </mdx>
    <mdx n="0" f="v">
      <t c="6">
        <n x="18"/>
        <n x="104"/>
        <n x="146"/>
        <n x="21"/>
        <n x="89"/>
        <n x="10"/>
      </t>
    </mdx>
    <mdx n="0" f="v">
      <t c="6">
        <n x="18"/>
        <n x="104"/>
        <n x="146"/>
        <n x="21"/>
        <n x="84"/>
        <n x="10"/>
      </t>
    </mdx>
    <mdx n="0" f="v">
      <t c="7">
        <n x="18"/>
        <n x="104"/>
        <n x="146"/>
        <n x="21"/>
        <n x="86"/>
        <n x="112"/>
        <n x="10"/>
      </t>
    </mdx>
    <mdx n="0" f="v">
      <t c="6">
        <n x="18"/>
        <n x="104"/>
        <n x="146"/>
        <n x="21"/>
        <n x="95"/>
        <n x="10"/>
      </t>
    </mdx>
    <mdx n="0" f="v">
      <t c="7">
        <n x="18"/>
        <n x="104"/>
        <n x="146"/>
        <n x="21"/>
        <n x="84"/>
        <n x="117"/>
        <n x="11"/>
      </t>
    </mdx>
    <mdx n="0" f="v">
      <t c="6">
        <n x="18"/>
        <n x="104"/>
        <n x="146"/>
        <n x="21"/>
        <n x="93"/>
        <n x="16"/>
      </t>
    </mdx>
    <mdx n="0" f="v">
      <t c="7">
        <n x="18"/>
        <n x="104"/>
        <n x="146"/>
        <n x="21"/>
        <n x="96"/>
        <n x="128"/>
        <n x="11"/>
      </t>
    </mdx>
    <mdx n="0" f="v">
      <t c="7">
        <n x="18"/>
        <n x="104"/>
        <n x="146"/>
        <n x="21"/>
        <n x="84"/>
        <n x="125"/>
        <n x="11"/>
      </t>
    </mdx>
    <mdx n="0" f="v">
      <t c="7">
        <n x="18"/>
        <n x="104"/>
        <n x="146"/>
        <n x="21"/>
        <n x="95"/>
        <n x="109"/>
        <n x="11"/>
      </t>
    </mdx>
    <mdx n="0" f="v">
      <t c="7">
        <n x="18"/>
        <n x="104"/>
        <n x="146"/>
        <n x="21"/>
        <n x="86"/>
        <n x="115"/>
        <n x="13"/>
      </t>
    </mdx>
    <mdx n="0" f="v">
      <t c="6">
        <n x="18"/>
        <n x="104"/>
        <n x="146"/>
        <n x="21"/>
        <n x="96"/>
        <n x="25"/>
      </t>
    </mdx>
    <mdx n="0" f="v">
      <t c="7">
        <n x="18"/>
        <n x="104"/>
        <n x="146"/>
        <n x="21"/>
        <n x="90"/>
        <n x="120"/>
        <n x="11"/>
      </t>
    </mdx>
    <mdx n="0" f="v">
      <t c="7">
        <n x="18"/>
        <n x="104"/>
        <n x="146"/>
        <n x="21"/>
        <n x="85"/>
        <n x="123"/>
        <n x="25"/>
      </t>
    </mdx>
    <mdx n="0" f="v">
      <t c="7">
        <n x="18"/>
        <n x="104"/>
        <n x="146"/>
        <n x="21"/>
        <n x="97"/>
        <n x="126"/>
        <n x="25"/>
      </t>
    </mdx>
    <mdx n="0" f="v">
      <t c="7">
        <n x="18"/>
        <n x="104"/>
        <n x="146"/>
        <n x="21"/>
        <n x="95"/>
        <n x="111"/>
        <n x="25"/>
      </t>
    </mdx>
    <mdx n="0" f="v">
      <t c="6">
        <n x="18"/>
        <n x="104"/>
        <n x="146"/>
        <n x="21"/>
        <n x="87"/>
        <n x="11"/>
      </t>
    </mdx>
    <mdx n="0" f="v">
      <t c="7">
        <n x="18"/>
        <n x="104"/>
        <n x="146"/>
        <n x="21"/>
        <n x="90"/>
        <n x="107"/>
        <n x="10"/>
      </t>
    </mdx>
    <mdx n="0" f="v">
      <t c="7">
        <n x="18"/>
        <n x="104"/>
        <n x="146"/>
        <n x="21"/>
        <n x="90"/>
        <n x="131"/>
        <n x="11"/>
      </t>
    </mdx>
    <mdx n="0" f="v">
      <t c="7">
        <n x="18"/>
        <n x="104"/>
        <n x="146"/>
        <n x="21"/>
        <n x="86"/>
        <n x="112"/>
        <n x="25"/>
      </t>
    </mdx>
    <mdx n="0" f="v">
      <t c="7">
        <n x="18"/>
        <n x="104"/>
        <n x="146"/>
        <n x="21"/>
        <n x="86"/>
        <n x="115"/>
        <n x="14"/>
      </t>
    </mdx>
    <mdx n="0" f="v">
      <t c="6">
        <n x="18"/>
        <n x="104"/>
        <n x="146"/>
        <n x="21"/>
        <n x="93"/>
        <n x="8"/>
      </t>
    </mdx>
    <mdx n="0" f="v">
      <t c="7">
        <n x="18"/>
        <n x="104"/>
        <n x="146"/>
        <n x="21"/>
        <n x="94"/>
        <n x="110"/>
        <n x="15"/>
      </t>
    </mdx>
    <mdx n="0" f="v">
      <t c="7">
        <n x="18"/>
        <n x="104"/>
        <n x="146"/>
        <n x="21"/>
        <n x="95"/>
        <n x="111"/>
        <n x="15"/>
      </t>
    </mdx>
    <mdx n="0" f="v">
      <t c="7">
        <n x="18"/>
        <n x="104"/>
        <n x="146"/>
        <n x="21"/>
        <n x="88"/>
        <n x="137"/>
        <n x="15"/>
      </t>
    </mdx>
    <mdx n="0" f="v">
      <t c="6">
        <n x="18"/>
        <n x="104"/>
        <n x="146"/>
        <n x="21"/>
        <n x="84"/>
        <n x="15"/>
      </t>
    </mdx>
    <mdx n="0" f="v">
      <t c="6">
        <n x="18"/>
        <n x="104"/>
        <n x="146"/>
        <n x="21"/>
        <n x="88"/>
        <n x="15"/>
      </t>
    </mdx>
    <mdx n="0" f="m">
      <t c="1">
        <n x="164"/>
      </t>
    </mdx>
    <mdx n="0" f="m">
      <t c="1">
        <n x="165"/>
      </t>
    </mdx>
    <mdx n="0" f="m">
      <t c="1">
        <n x="166"/>
      </t>
    </mdx>
    <mdx n="0" f="m">
      <t c="1">
        <n x="167"/>
      </t>
    </mdx>
    <mdx n="0" f="s">
      <ms ns="168" c="0"/>
    </mdx>
    <mdx n="0" f="m">
      <t c="1">
        <n x="169"/>
      </t>
    </mdx>
    <mdx n="0" f="m">
      <t c="1">
        <n x="170"/>
      </t>
    </mdx>
    <mdx n="0" f="m">
      <t c="1">
        <n x="171"/>
      </t>
    </mdx>
    <mdx n="0" f="m">
      <t c="1">
        <n x="172"/>
      </t>
    </mdx>
    <mdx n="0" f="m">
      <t c="1">
        <n x="173"/>
      </t>
    </mdx>
    <mdx n="0" f="m">
      <t c="1">
        <n x="174"/>
      </t>
    </mdx>
    <mdx n="0" f="m">
      <t c="1">
        <n x="175"/>
      </t>
    </mdx>
    <mdx n="0" f="m">
      <t c="1">
        <n x="176"/>
      </t>
    </mdx>
    <mdx n="0" f="m">
      <t c="1">
        <n x="177"/>
      </t>
    </mdx>
    <mdx n="0" f="m">
      <t c="1">
        <n x="178"/>
      </t>
    </mdx>
    <mdx n="0" f="m">
      <t c="1">
        <n x="179"/>
      </t>
    </mdx>
    <mdx n="0" f="m">
      <t c="1">
        <n x="180"/>
      </t>
    </mdx>
    <mdx n="0" f="m">
      <t c="1">
        <n x="181"/>
      </t>
    </mdx>
    <mdx n="0" f="m">
      <t c="1">
        <n x="182"/>
      </t>
    </mdx>
    <mdx n="0" f="m">
      <t c="1">
        <n x="183"/>
      </t>
    </mdx>
    <mdx n="0" f="m">
      <t c="1">
        <n x="184"/>
      </t>
    </mdx>
    <mdx n="0" f="m">
      <t c="1">
        <n x="185"/>
      </t>
    </mdx>
    <mdx n="0" f="v">
      <t c="3">
        <n x="99"/>
        <n x="138"/>
        <n x="170"/>
      </t>
    </mdx>
    <mdx n="0" f="v">
      <t c="3">
        <n x="99"/>
        <n x="138"/>
        <n x="185"/>
      </t>
    </mdx>
    <mdx n="0" f="v">
      <t c="3">
        <n x="99"/>
        <n x="144"/>
        <n x="184"/>
      </t>
    </mdx>
    <mdx n="0" f="v">
      <t c="3">
        <n x="99"/>
        <n x="138"/>
        <n x="183"/>
      </t>
    </mdx>
    <mdx n="0" f="v">
      <t c="3">
        <n x="99"/>
        <n x="140"/>
        <n x="172"/>
      </t>
    </mdx>
    <mdx n="0" f="v">
      <t c="3">
        <n x="99"/>
        <n x="140"/>
        <n x="183"/>
      </t>
    </mdx>
    <mdx n="0" f="v">
      <t c="3">
        <n x="99"/>
        <n x="140"/>
        <n x="181"/>
      </t>
    </mdx>
    <mdx n="0" f="v">
      <t c="3">
        <n x="99"/>
        <n x="140"/>
        <n x="184"/>
      </t>
    </mdx>
    <mdx n="0" f="v">
      <t c="3">
        <n x="99"/>
        <n x="140"/>
        <n x="170"/>
      </t>
    </mdx>
    <mdx n="0" f="v">
      <t c="3">
        <n x="99"/>
        <n x="140"/>
        <n x="185"/>
      </t>
    </mdx>
    <mdx n="0" f="v">
      <t c="3">
        <n x="99"/>
        <n x="138"/>
        <n x="181"/>
      </t>
    </mdx>
    <mdx n="0" f="v">
      <t c="3">
        <n x="99"/>
        <n x="140"/>
        <n x="176"/>
      </t>
    </mdx>
    <mdx n="0" f="v">
      <t c="3">
        <n x="99"/>
        <n x="140"/>
        <n x="178"/>
      </t>
    </mdx>
    <mdx n="0" f="v">
      <t c="3">
        <n x="99"/>
        <n x="138"/>
        <n x="172"/>
      </t>
    </mdx>
    <mdx n="0" f="m">
      <t c="1">
        <n x="186"/>
      </t>
    </mdx>
    <mdx n="0" f="m">
      <t c="1">
        <n x="187"/>
      </t>
    </mdx>
    <mdx n="0" f="m">
      <t c="1">
        <n x="188"/>
      </t>
    </mdx>
    <mdx n="0" f="m">
      <t c="1">
        <n x="189"/>
      </t>
    </mdx>
    <mdx n="0" f="m">
      <t c="1">
        <n x="190"/>
      </t>
    </mdx>
    <mdx n="0" f="v">
      <t c="6">
        <n x="4"/>
        <n x="24" s="1"/>
        <n x="21"/>
        <n x="76"/>
        <n x="46"/>
        <n x="190"/>
      </t>
    </mdx>
    <mdx n="0" f="v">
      <t c="6">
        <n x="149" s="1"/>
        <n x="24" s="1"/>
        <n x="21"/>
        <n x="62"/>
        <n x="73"/>
        <n x="186"/>
      </t>
    </mdx>
    <mdx n="0" f="v">
      <t c="6">
        <n x="149" s="1"/>
        <n x="24" s="1"/>
        <n x="21"/>
        <n x="26"/>
        <n x="34"/>
        <n x="188"/>
      </t>
    </mdx>
    <mdx n="0" f="v">
      <t c="6">
        <n x="23" s="1"/>
        <n x="24" s="1"/>
        <n x="21"/>
        <n x="76"/>
        <n x="34"/>
        <n x="187"/>
      </t>
    </mdx>
    <mdx n="0" f="v">
      <t c="5">
        <n x="149" s="1"/>
        <n x="24" s="1"/>
        <n x="21"/>
        <n x="61"/>
        <n x="188"/>
      </t>
    </mdx>
    <mdx n="0" f="v">
      <t c="5">
        <n x="149" s="1"/>
        <n x="24" s="1"/>
        <n x="21"/>
        <n x="26"/>
        <n x="186"/>
      </t>
    </mdx>
    <mdx n="0" f="v">
      <t c="6">
        <n x="149" s="1"/>
        <n x="24" s="1"/>
        <n x="21"/>
        <n x="29"/>
        <n x="35"/>
        <n x="186"/>
      </t>
    </mdx>
    <mdx n="0" f="v">
      <t c="5">
        <n x="149" s="1"/>
        <n x="24" s="1"/>
        <n x="21"/>
        <n x="61"/>
        <n x="189"/>
      </t>
    </mdx>
    <mdx n="0" f="v">
      <t c="6">
        <n x="4"/>
        <n x="24" s="1"/>
        <n x="21"/>
        <n x="76"/>
        <n x="38"/>
        <n x="190"/>
      </t>
    </mdx>
    <mdx n="0" f="v">
      <t c="6">
        <n x="149" s="1"/>
        <n x="24" s="1"/>
        <n x="21"/>
        <n x="29"/>
        <n x="51"/>
        <n x="186"/>
      </t>
    </mdx>
    <mdx n="0" f="v">
      <t c="6">
        <n x="23" s="1"/>
        <n x="24" s="1"/>
        <n x="21"/>
        <n x="78"/>
        <n x="63"/>
        <n x="189"/>
      </t>
    </mdx>
    <mdx n="0" f="v">
      <t c="6">
        <n x="23" s="1"/>
        <n x="24" s="1"/>
        <n x="21"/>
        <n x="76"/>
        <n x="34"/>
        <n x="186"/>
      </t>
    </mdx>
    <mdx n="0" f="v">
      <t c="6">
        <n x="149" s="1"/>
        <n x="24" s="1"/>
        <n x="21"/>
        <n x="62"/>
        <n x="73"/>
        <n x="188"/>
      </t>
    </mdx>
    <mdx n="0" f="v">
      <t c="6">
        <n x="23" s="1"/>
        <n x="24" s="1"/>
        <n x="21"/>
        <n x="76"/>
        <n x="27"/>
        <n x="186"/>
      </t>
    </mdx>
    <mdx n="0" f="v">
      <t c="6">
        <n x="23" s="1"/>
        <n x="24" s="1"/>
        <n x="21"/>
        <n x="76"/>
        <n x="31"/>
        <n x="187"/>
      </t>
    </mdx>
    <mdx n="0" f="v">
      <t c="5">
        <n x="149" s="1"/>
        <n x="24" s="1"/>
        <n x="21"/>
        <n x="65"/>
        <n x="186"/>
      </t>
    </mdx>
    <mdx n="0" f="v">
      <t c="6">
        <n x="149" s="1"/>
        <n x="24" s="1"/>
        <n x="21"/>
        <n x="32"/>
        <n x="66"/>
        <n x="188"/>
      </t>
    </mdx>
    <mdx n="0" f="v">
      <t c="6">
        <n x="149" s="1"/>
        <n x="24" s="1"/>
        <n x="21"/>
        <n x="28"/>
        <n x="55"/>
        <n x="186"/>
      </t>
    </mdx>
    <mdx n="0" f="v">
      <t c="6">
        <n x="149" s="1"/>
        <n x="24" s="1"/>
        <n x="21"/>
        <n x="26"/>
        <n x="57"/>
        <n x="187"/>
      </t>
    </mdx>
    <mdx n="0" f="v">
      <t c="6">
        <n x="23" s="1"/>
        <n x="24" s="1"/>
        <n x="21"/>
        <n x="80"/>
        <n x="72"/>
        <n x="186"/>
      </t>
    </mdx>
    <mdx n="0" f="v">
      <t c="6">
        <n x="23" s="1"/>
        <n x="24" s="1"/>
        <n x="21"/>
        <n x="75"/>
        <n x="150"/>
        <n x="188"/>
      </t>
    </mdx>
    <mdx n="0" f="v">
      <t c="6">
        <n x="149" s="1"/>
        <n x="24" s="1"/>
        <n x="21"/>
        <n x="28"/>
        <n x="58"/>
        <n x="188"/>
      </t>
    </mdx>
    <mdx n="0" f="v">
      <t c="6">
        <n x="23" s="1"/>
        <n x="24" s="1"/>
        <n x="21"/>
        <n x="76"/>
        <n x="41"/>
        <n x="189"/>
      </t>
    </mdx>
    <mdx n="0" f="v">
      <t c="6">
        <n x="24" s="1"/>
        <n x="21"/>
        <n x="75"/>
        <n x="150"/>
        <n x="190"/>
        <n x="4"/>
      </t>
    </mdx>
    <mdx n="0" f="v">
      <t c="6">
        <n x="149" s="1"/>
        <n x="24" s="1"/>
        <n x="21"/>
        <n x="36"/>
        <n x="37"/>
        <n x="189"/>
      </t>
    </mdx>
    <mdx n="0" f="v">
      <t c="6">
        <n x="149" s="1"/>
        <n x="24" s="1"/>
        <n x="21"/>
        <n x="29"/>
        <n x="47"/>
        <n x="186"/>
      </t>
    </mdx>
    <mdx n="0" f="v">
      <t c="6">
        <n x="23" s="1"/>
        <n x="24" s="1"/>
        <n x="21"/>
        <n x="76"/>
        <n x="57"/>
        <n x="188"/>
      </t>
    </mdx>
    <mdx n="0" f="v">
      <t c="6">
        <n x="23" s="1"/>
        <n x="24" s="1"/>
        <n x="21"/>
        <n x="78"/>
        <n x="79"/>
        <n x="186"/>
      </t>
    </mdx>
    <mdx n="0" f="v">
      <t c="6">
        <n x="4"/>
        <n x="24" s="1"/>
        <n x="21"/>
        <n x="32"/>
        <n x="66"/>
        <n x="190"/>
      </t>
    </mdx>
    <mdx n="0" f="v">
      <t c="6">
        <n x="23" s="1"/>
        <n x="24" s="1"/>
        <n x="21"/>
        <n x="76"/>
        <n x="44"/>
        <n x="187"/>
      </t>
    </mdx>
    <mdx n="0" f="v">
      <t c="6">
        <n x="149" s="1"/>
        <n x="24" s="1"/>
        <n x="21"/>
        <n x="28"/>
        <n x="53"/>
        <n x="188"/>
      </t>
    </mdx>
    <mdx n="0" f="v">
      <t c="6">
        <n x="23" s="1"/>
        <n x="24" s="1"/>
        <n x="21"/>
        <n x="75"/>
        <n x="45"/>
        <n x="188"/>
      </t>
    </mdx>
    <mdx n="0" f="v">
      <t c="6">
        <n x="4"/>
        <n x="24" s="1"/>
        <n x="21"/>
        <n x="26"/>
        <n x="27"/>
        <n x="190"/>
      </t>
    </mdx>
    <mdx n="0" f="v">
      <t c="6">
        <n x="4"/>
        <n x="24" s="1"/>
        <n x="21"/>
        <n x="76"/>
        <n x="56"/>
        <n x="190"/>
      </t>
    </mdx>
    <mdx n="0" f="v">
      <t c="6">
        <n x="23" s="1"/>
        <n x="24" s="1"/>
        <n x="21"/>
        <n x="75"/>
        <n x="150"/>
        <n x="189"/>
      </t>
    </mdx>
    <mdx n="0" f="v">
      <t c="6">
        <n x="4"/>
        <n x="24" s="1"/>
        <n x="21"/>
        <n x="76"/>
        <n x="41"/>
        <n x="190"/>
      </t>
    </mdx>
    <mdx n="0" f="v">
      <t c="6">
        <n x="23" s="1"/>
        <n x="24" s="1"/>
        <n x="21"/>
        <n x="76"/>
        <n x="31"/>
        <n x="189"/>
      </t>
    </mdx>
    <mdx n="0" f="v">
      <t c="6">
        <n x="149" s="1"/>
        <n x="24" s="1"/>
        <n x="21"/>
        <n x="29"/>
        <n x="54"/>
        <n x="188"/>
      </t>
    </mdx>
    <mdx n="0" f="v">
      <t c="5">
        <n x="4"/>
        <n x="24" s="1"/>
        <n x="21"/>
        <n x="29"/>
        <n x="190"/>
      </t>
    </mdx>
    <mdx n="0" f="v">
      <t c="6">
        <n x="23" s="1"/>
        <n x="24" s="1"/>
        <n x="21"/>
        <n x="78"/>
        <n x="63"/>
        <n x="188"/>
      </t>
    </mdx>
    <mdx n="0" f="v">
      <t c="6">
        <n x="149" s="1"/>
        <n x="24" s="1"/>
        <n x="21"/>
        <n x="26"/>
        <n x="52"/>
        <n x="188"/>
      </t>
    </mdx>
    <mdx n="0" f="v">
      <t c="6">
        <n x="4"/>
        <n x="24" s="1"/>
        <n x="21"/>
        <n x="29"/>
        <n x="30"/>
        <n x="190"/>
      </t>
    </mdx>
    <mdx n="0" f="v">
      <t c="6">
        <n x="4"/>
        <n x="24" s="1"/>
        <n x="21"/>
        <n x="32"/>
        <n x="70"/>
        <n x="190"/>
      </t>
    </mdx>
    <mdx n="0" f="v">
      <t c="6">
        <n x="23" s="1"/>
        <n x="24" s="1"/>
        <n x="21"/>
        <n x="75"/>
        <n x="45"/>
        <n x="187"/>
      </t>
    </mdx>
    <mdx n="0" f="v">
      <t c="6">
        <n x="4"/>
        <n x="24" s="1"/>
        <n x="21"/>
        <n x="29"/>
        <n x="150"/>
        <n x="190"/>
      </t>
    </mdx>
    <mdx n="0" f="v">
      <t c="6">
        <n x="23" s="1"/>
        <n x="24" s="1"/>
        <n x="21"/>
        <n x="75"/>
        <n x="50"/>
        <n x="187"/>
      </t>
    </mdx>
    <mdx n="0" f="v">
      <t c="5">
        <n x="149" s="1"/>
        <n x="24" s="1"/>
        <n x="21"/>
        <n x="29"/>
        <n x="186"/>
      </t>
    </mdx>
    <mdx n="0" f="v">
      <t c="6">
        <n x="4"/>
        <n x="24" s="1"/>
        <n x="21"/>
        <n x="32"/>
        <n x="33"/>
        <n x="190"/>
      </t>
    </mdx>
    <mdx n="0" f="v">
      <t c="6">
        <n x="23" s="1"/>
        <n x="24" s="1"/>
        <n x="21"/>
        <n x="75"/>
        <n x="50"/>
        <n x="186"/>
      </t>
    </mdx>
    <mdx n="0" f="v">
      <t c="6">
        <n x="149" s="1"/>
        <n x="24" s="1"/>
        <n x="21"/>
        <n x="28"/>
        <n x="53"/>
        <n x="189"/>
      </t>
    </mdx>
    <mdx n="0" f="v">
      <t c="6">
        <n x="23" s="1"/>
        <n x="24" s="1"/>
        <n x="21"/>
        <n x="75"/>
        <n x="40"/>
        <n x="186"/>
      </t>
    </mdx>
    <mdx n="0" f="v">
      <t c="6">
        <n x="23" s="1"/>
        <n x="24" s="1"/>
        <n x="21"/>
        <n x="76"/>
        <n x="34"/>
        <n x="189"/>
      </t>
    </mdx>
    <mdx n="0" f="v">
      <t c="6">
        <n x="24" s="1"/>
        <n x="21"/>
        <n x="75"/>
        <n x="43"/>
        <n x="190"/>
        <n x="4"/>
      </t>
    </mdx>
    <mdx n="0" f="v">
      <t c="6">
        <n x="23" s="1"/>
        <n x="24" s="1"/>
        <n x="21"/>
        <n x="76"/>
        <n x="55"/>
        <n x="188"/>
      </t>
    </mdx>
    <mdx n="0" f="v">
      <t c="5">
        <n x="4"/>
        <n x="24" s="1"/>
        <n x="21"/>
        <n x="65"/>
        <n x="190"/>
      </t>
    </mdx>
    <mdx n="0" f="v">
      <t c="6">
        <n x="23" s="1"/>
        <n x="24" s="1"/>
        <n x="21"/>
        <n x="76"/>
        <n x="52"/>
        <n x="186"/>
      </t>
    </mdx>
    <mdx n="0" f="v">
      <t c="6">
        <n x="4"/>
        <n x="24" s="1"/>
        <n x="21"/>
        <n x="62"/>
        <n x="73"/>
        <n x="190"/>
      </t>
    </mdx>
    <mdx n="0" f="v">
      <t c="6">
        <n x="149" s="1"/>
        <n x="24" s="1"/>
        <n x="21"/>
        <n x="29"/>
        <n x="71"/>
        <n x="189"/>
      </t>
    </mdx>
    <mdx n="0" f="v">
      <t c="6">
        <n x="24" s="1"/>
        <n x="21"/>
        <n x="78"/>
        <n x="79"/>
        <n x="190"/>
        <n x="4"/>
      </t>
    </mdx>
    <mdx n="0" f="v">
      <t c="6">
        <n x="23" s="1"/>
        <n x="24" s="1"/>
        <n x="21"/>
        <n x="75"/>
        <n x="39"/>
        <n x="187"/>
      </t>
    </mdx>
    <mdx n="0" f="v">
      <t c="6">
        <n x="149" s="1"/>
        <n x="24" s="1"/>
        <n x="21"/>
        <n x="29"/>
        <n x="150"/>
        <n x="188"/>
      </t>
    </mdx>
    <mdx n="0" f="v">
      <t c="6">
        <n x="23" s="1"/>
        <n x="24" s="1"/>
        <n x="21"/>
        <n x="80"/>
        <n x="74"/>
        <n x="188"/>
      </t>
    </mdx>
    <mdx n="0" f="v">
      <t c="6">
        <n x="4"/>
        <n x="24" s="1"/>
        <n x="21"/>
        <n x="76"/>
        <n x="53"/>
        <n x="190"/>
      </t>
    </mdx>
    <mdx n="0" f="v">
      <t c="6">
        <n x="149" s="1"/>
        <n x="24" s="1"/>
        <n x="21"/>
        <n x="32"/>
        <n x="63"/>
        <n x="189"/>
      </t>
    </mdx>
    <mdx n="0" f="v">
      <t c="6">
        <n x="23" s="1"/>
        <n x="24" s="1"/>
        <n x="21"/>
        <n x="75"/>
        <n x="54"/>
        <n x="188"/>
      </t>
    </mdx>
    <mdx n="0" f="v">
      <t c="6">
        <n x="23" s="1"/>
        <n x="24" s="1"/>
        <n x="21"/>
        <n x="75"/>
        <n x="45"/>
        <n x="186"/>
      </t>
    </mdx>
    <mdx n="0" f="v">
      <t c="6">
        <n x="23" s="1"/>
        <n x="24" s="1"/>
        <n x="21"/>
        <n x="75"/>
        <n x="40"/>
        <n x="188"/>
      </t>
    </mdx>
    <mdx n="0" f="v">
      <t c="5">
        <n x="149" s="1"/>
        <n x="24" s="1"/>
        <n x="21"/>
        <n x="36"/>
        <n x="186"/>
      </t>
    </mdx>
    <mdx n="0" f="v">
      <t c="5">
        <n x="149" s="1"/>
        <n x="24" s="1"/>
        <n x="21"/>
        <n x="48"/>
        <n x="188"/>
      </t>
    </mdx>
    <mdx n="0" f="v">
      <t c="6">
        <n x="24" s="1"/>
        <n x="21"/>
        <n x="75"/>
        <n x="30"/>
        <n x="190"/>
        <n x="4"/>
      </t>
    </mdx>
    <mdx n="0" f="v">
      <t c="5">
        <n x="4"/>
        <n x="24" s="1"/>
        <n x="21"/>
        <n x="32"/>
        <n x="190"/>
      </t>
    </mdx>
    <mdx n="0" f="v">
      <t c="5">
        <n x="149" s="1"/>
        <n x="24" s="1"/>
        <n x="21"/>
        <n x="32"/>
        <n x="189"/>
      </t>
    </mdx>
    <mdx n="0" f="v">
      <t c="6">
        <n x="23" s="1"/>
        <n x="24" s="1"/>
        <n x="21"/>
        <n x="76"/>
        <n x="44"/>
        <n x="186"/>
      </t>
    </mdx>
    <mdx n="0" f="v">
      <t c="6">
        <n x="23" s="1"/>
        <n x="24" s="1"/>
        <n x="21"/>
        <n x="78"/>
        <n x="49"/>
        <n x="188"/>
      </t>
    </mdx>
    <mdx n="0" f="v">
      <t c="6">
        <n x="149" s="1"/>
        <n x="24" s="1"/>
        <n x="21"/>
        <n x="62"/>
        <n x="74"/>
        <n x="188"/>
      </t>
    </mdx>
    <mdx n="0" f="v">
      <t c="6">
        <n x="23" s="1"/>
        <n x="24" s="1"/>
        <n x="21"/>
        <n x="76"/>
        <n x="60"/>
        <n x="187"/>
      </t>
    </mdx>
    <mdx n="0" f="v">
      <t c="6">
        <n x="149" s="1"/>
        <n x="24" s="1"/>
        <n x="21"/>
        <n x="26"/>
        <n x="44"/>
        <n x="186"/>
      </t>
    </mdx>
    <mdx n="0" f="v">
      <t c="6">
        <n x="23" s="1"/>
        <n x="24" s="1"/>
        <n x="21"/>
        <n x="75"/>
        <n x="35"/>
        <n x="189"/>
      </t>
    </mdx>
    <mdx n="0" f="v">
      <t c="6">
        <n x="23" s="1"/>
        <n x="24" s="1"/>
        <n x="21"/>
        <n x="76"/>
        <n x="37"/>
        <n x="188"/>
      </t>
    </mdx>
    <mdx n="0" f="v">
      <t c="6">
        <n x="149" s="1"/>
        <n x="24" s="1"/>
        <n x="21"/>
        <n x="36"/>
        <n x="37"/>
        <n x="186"/>
      </t>
    </mdx>
    <mdx n="0" f="v">
      <t c="6">
        <n x="149" s="1"/>
        <n x="24" s="1"/>
        <n x="21"/>
        <n x="29"/>
        <n x="30"/>
        <n x="188"/>
      </t>
    </mdx>
    <mdx n="0" f="v">
      <t c="6">
        <n x="23" s="1"/>
        <n x="24" s="1"/>
        <n x="21"/>
        <n x="75"/>
        <n x="40"/>
        <n x="189"/>
      </t>
    </mdx>
    <mdx n="0" f="v">
      <t c="5">
        <n x="149" s="1"/>
        <n x="24" s="1"/>
        <n x="21"/>
        <n x="36"/>
        <n x="188"/>
      </t>
    </mdx>
    <mdx n="0" f="v">
      <t c="6">
        <n x="149" s="1"/>
        <n x="24" s="1"/>
        <n x="21"/>
        <n x="29"/>
        <n x="71"/>
        <n x="188"/>
      </t>
    </mdx>
    <mdx n="0" f="v">
      <t c="5">
        <n x="4"/>
        <n x="24" s="1"/>
        <n x="21"/>
        <n x="26"/>
        <n x="190"/>
      </t>
    </mdx>
    <mdx n="0" f="v">
      <t c="6">
        <n x="4"/>
        <n x="24" s="1"/>
        <n x="21"/>
        <n x="62"/>
        <n x="74"/>
        <n x="190"/>
      </t>
    </mdx>
    <mdx n="0" f="v">
      <t c="6">
        <n x="149" s="1"/>
        <n x="24" s="1"/>
        <n x="21"/>
        <n x="32"/>
        <n x="63"/>
        <n x="186"/>
      </t>
    </mdx>
    <mdx n="0" f="v">
      <t c="6">
        <n x="23" s="1"/>
        <n x="24" s="1"/>
        <n x="21"/>
        <n x="78"/>
        <n x="68"/>
        <n x="187"/>
      </t>
    </mdx>
    <mdx n="0" f="v">
      <t c="6">
        <n x="4"/>
        <n x="24" s="1"/>
        <n x="21"/>
        <n x="36"/>
        <n x="37"/>
        <n x="190"/>
      </t>
    </mdx>
    <mdx n="0" f="v">
      <t c="5">
        <n x="149" s="1"/>
        <n x="24" s="1"/>
        <n x="21"/>
        <n x="36"/>
        <n x="189"/>
      </t>
    </mdx>
    <mdx n="0" f="v">
      <t c="6">
        <n x="149" s="1"/>
        <n x="24" s="1"/>
        <n x="21"/>
        <n x="32"/>
        <n x="68"/>
        <n x="186"/>
      </t>
    </mdx>
    <mdx n="0" f="v">
      <t c="6">
        <n x="149" s="1"/>
        <n x="24" s="1"/>
        <n x="21"/>
        <n x="62"/>
        <n x="74"/>
        <n x="189"/>
      </t>
    </mdx>
    <mdx n="0" f="v">
      <t c="6">
        <n x="23" s="1"/>
        <n x="24" s="1"/>
        <n x="21"/>
        <n x="75"/>
        <n x="40"/>
        <n x="187"/>
      </t>
    </mdx>
    <mdx n="0" f="v">
      <t c="6">
        <n x="23" s="1"/>
        <n x="24" s="1"/>
        <n x="21"/>
        <n x="76"/>
        <n x="77"/>
        <n x="187"/>
      </t>
    </mdx>
    <mdx n="0" f="v">
      <t c="6">
        <n x="23" s="1"/>
        <n x="24" s="1"/>
        <n x="21"/>
        <n x="75"/>
        <n x="30"/>
        <n x="186"/>
      </t>
    </mdx>
    <mdx n="0" f="v">
      <t c="6">
        <n x="149" s="1"/>
        <n x="24" s="1"/>
        <n x="21"/>
        <n x="26"/>
        <n x="31"/>
        <n x="188"/>
      </t>
    </mdx>
    <mdx n="0" f="v">
      <t c="6">
        <n x="23" s="1"/>
        <n x="24" s="1"/>
        <n x="21"/>
        <n x="80"/>
        <n x="72"/>
        <n x="187"/>
      </t>
    </mdx>
    <mdx n="0" f="v">
      <t c="6">
        <n x="149" s="1"/>
        <n x="24" s="1"/>
        <n x="21"/>
        <n x="29"/>
        <n x="35"/>
        <n x="187"/>
      </t>
    </mdx>
    <mdx n="0" f="v">
      <t c="6">
        <n x="149" s="1"/>
        <n x="24" s="1"/>
        <n x="21"/>
        <n x="28"/>
        <n x="55"/>
        <n x="187"/>
      </t>
    </mdx>
    <mdx n="0" f="v">
      <t c="6">
        <n x="149" s="1"/>
        <n x="24" s="1"/>
        <n x="21"/>
        <n x="26"/>
        <n x="27"/>
        <n x="187"/>
      </t>
    </mdx>
    <mdx n="0" f="v">
      <t c="6">
        <n x="23" s="1"/>
        <n x="24" s="1"/>
        <n x="21"/>
        <n x="75"/>
        <n x="54"/>
        <n x="186"/>
      </t>
    </mdx>
    <mdx n="0" f="v">
      <t c="6">
        <n x="4"/>
        <n x="24" s="1"/>
        <n x="21"/>
        <n x="26"/>
        <n x="38"/>
        <n x="190"/>
      </t>
    </mdx>
    <mdx n="0" f="v">
      <t c="6">
        <n x="24" s="1"/>
        <n x="21"/>
        <n x="78"/>
        <n x="33"/>
        <n x="190"/>
        <n x="4"/>
      </t>
    </mdx>
    <mdx n="0" f="v">
      <t c="6">
        <n x="149" s="1"/>
        <n x="24" s="1"/>
        <n x="21"/>
        <n x="28"/>
        <n x="58"/>
        <n x="187"/>
      </t>
    </mdx>
    <mdx n="0" f="v">
      <t c="6">
        <n x="4"/>
        <n x="24" s="1"/>
        <n x="21"/>
        <n x="76"/>
        <n x="42"/>
        <n x="190"/>
      </t>
    </mdx>
    <mdx n="0" f="v">
      <t c="6">
        <n x="23" s="1"/>
        <n x="24" s="1"/>
        <n x="21"/>
        <n x="76"/>
        <n x="56"/>
        <n x="186"/>
      </t>
    </mdx>
    <mdx n="0" f="v">
      <t c="6">
        <n x="23" s="1"/>
        <n x="24" s="1"/>
        <n x="21"/>
        <n x="76"/>
        <n x="46"/>
        <n x="189"/>
      </t>
    </mdx>
    <mdx n="0" f="v">
      <t c="5">
        <n x="149" s="1"/>
        <n x="24" s="1"/>
        <n x="21"/>
        <n x="61"/>
        <n x="186"/>
      </t>
    </mdx>
    <mdx n="0" f="v">
      <t c="6">
        <n x="4"/>
        <n x="24" s="1"/>
        <n x="21"/>
        <n x="76"/>
        <n x="77"/>
        <n x="190"/>
      </t>
    </mdx>
    <mdx n="0" f="v">
      <t c="6">
        <n x="149" s="1"/>
        <n x="24" s="1"/>
        <n x="21"/>
        <n x="26"/>
        <n x="44"/>
        <n x="189"/>
      </t>
    </mdx>
    <mdx n="0" f="v">
      <t c="6">
        <n x="23" s="1"/>
        <n x="24" s="1"/>
        <n x="21"/>
        <n x="78"/>
        <n x="33"/>
        <n x="189"/>
      </t>
    </mdx>
    <mdx n="0" f="v">
      <t c="5">
        <n x="149" s="1"/>
        <n x="24" s="1"/>
        <n x="21"/>
        <n x="29"/>
        <n x="187"/>
      </t>
    </mdx>
    <mdx n="0" f="v">
      <t c="6">
        <n x="23" s="1"/>
        <n x="24" s="1"/>
        <n x="21"/>
        <n x="78"/>
        <n x="64"/>
        <n x="189"/>
      </t>
    </mdx>
    <mdx n="0" f="v">
      <t c="6">
        <n x="149" s="1"/>
        <n x="24" s="1"/>
        <n x="21"/>
        <n x="26"/>
        <n x="56"/>
        <n x="189"/>
      </t>
    </mdx>
    <mdx n="0" f="v">
      <t c="6">
        <n x="149" s="1"/>
        <n x="24" s="1"/>
        <n x="21"/>
        <n x="28"/>
        <n x="55"/>
        <n x="189"/>
      </t>
    </mdx>
    <mdx n="0" f="v">
      <t c="6">
        <n x="4"/>
        <n x="24" s="1"/>
        <n x="21"/>
        <n x="26"/>
        <n x="52"/>
        <n x="190"/>
      </t>
    </mdx>
    <mdx n="0" f="v">
      <t c="6">
        <n x="149" s="1"/>
        <n x="24" s="1"/>
        <n x="21"/>
        <n x="26"/>
        <n x="57"/>
        <n x="188"/>
      </t>
    </mdx>
    <mdx n="0" f="v">
      <t c="6">
        <n x="4"/>
        <n x="24" s="1"/>
        <n x="21"/>
        <n x="26"/>
        <n x="44"/>
        <n x="190"/>
      </t>
    </mdx>
    <mdx n="0" f="v">
      <t c="6">
        <n x="23" s="1"/>
        <n x="24" s="1"/>
        <n x="21"/>
        <n x="75"/>
        <n x="45"/>
        <n x="189"/>
      </t>
    </mdx>
    <mdx n="0" f="v">
      <t c="6">
        <n x="149" s="1"/>
        <n x="24" s="1"/>
        <n x="21"/>
        <n x="26"/>
        <n x="34"/>
        <n x="187"/>
      </t>
    </mdx>
    <mdx n="0" f="v">
      <t c="6">
        <n x="149" s="1"/>
        <n x="24" s="1"/>
        <n x="21"/>
        <n x="29"/>
        <n x="51"/>
        <n x="189"/>
      </t>
    </mdx>
    <mdx n="0" f="v">
      <t c="6">
        <n x="149" s="1"/>
        <n x="24" s="1"/>
        <n x="21"/>
        <n x="29"/>
        <n x="45"/>
        <n x="187"/>
      </t>
    </mdx>
    <mdx n="0" f="v">
      <t c="6">
        <n x="149" s="1"/>
        <n x="24" s="1"/>
        <n x="21"/>
        <n x="29"/>
        <n x="54"/>
        <n x="189"/>
      </t>
    </mdx>
    <mdx n="0" f="v">
      <t c="6">
        <n x="23" s="1"/>
        <n x="24" s="1"/>
        <n x="21"/>
        <n x="78"/>
        <n x="64"/>
        <n x="186"/>
      </t>
    </mdx>
    <mdx n="0" f="v">
      <t c="6">
        <n x="149" s="1"/>
        <n x="24" s="1"/>
        <n x="21"/>
        <n x="26"/>
        <n x="27"/>
        <n x="186"/>
      </t>
    </mdx>
    <mdx n="0" f="v">
      <t c="6">
        <n x="4"/>
        <n x="24" s="1"/>
        <n x="21"/>
        <n x="29"/>
        <n x="43"/>
        <n x="190"/>
      </t>
    </mdx>
    <mdx n="0" f="v">
      <t c="6">
        <n x="23" s="1"/>
        <n x="24" s="1"/>
        <n x="21"/>
        <n x="78"/>
        <n x="64"/>
        <n x="187"/>
      </t>
    </mdx>
    <mdx n="0" f="v">
      <t c="6">
        <n x="23" s="1"/>
        <n x="24" s="1"/>
        <n x="21"/>
        <n x="76"/>
        <n x="46"/>
        <n x="186"/>
      </t>
    </mdx>
    <mdx n="0" f="v">
      <t c="6">
        <n x="149" s="1"/>
        <n x="24" s="1"/>
        <n x="21"/>
        <n x="26"/>
        <n x="44"/>
        <n x="188"/>
      </t>
    </mdx>
    <mdx n="0" f="v">
      <t c="6">
        <n x="23" s="1"/>
        <n x="24" s="1"/>
        <n x="21"/>
        <n x="75"/>
        <n x="30"/>
        <n x="187"/>
      </t>
    </mdx>
    <mdx n="0" f="v">
      <t c="6">
        <n x="149" s="1"/>
        <n x="24" s="1"/>
        <n x="21"/>
        <n x="29"/>
        <n x="54"/>
        <n x="186"/>
      </t>
    </mdx>
    <mdx n="0" f="v">
      <t c="6">
        <n x="23" s="1"/>
        <n x="24" s="1"/>
        <n x="21"/>
        <n x="75"/>
        <n x="59"/>
        <n x="186"/>
      </t>
    </mdx>
    <mdx n="0" f="v">
      <t c="6">
        <n x="23" s="1"/>
        <n x="24" s="1"/>
        <n x="21"/>
        <n x="76"/>
        <n x="60"/>
        <n x="189"/>
      </t>
    </mdx>
    <mdx n="0" f="v">
      <t c="6">
        <n x="149" s="1"/>
        <n x="24" s="1"/>
        <n x="21"/>
        <n x="26"/>
        <n x="46"/>
        <n x="188"/>
      </t>
    </mdx>
    <mdx n="0" f="v">
      <t c="6">
        <n x="149" s="1"/>
        <n x="24" s="1"/>
        <n x="21"/>
        <n x="26"/>
        <n x="34"/>
        <n x="189"/>
      </t>
    </mdx>
    <mdx n="0" f="v">
      <t c="6">
        <n x="149" s="1"/>
        <n x="24" s="1"/>
        <n x="21"/>
        <n x="48"/>
        <n x="49"/>
        <n x="189"/>
      </t>
    </mdx>
    <mdx n="0" f="v">
      <t c="6">
        <n x="149" s="1"/>
        <n x="24" s="1"/>
        <n x="21"/>
        <n x="26"/>
        <n x="41"/>
        <n x="189"/>
      </t>
    </mdx>
    <mdx n="0" f="v">
      <t c="6">
        <n x="149" s="1"/>
        <n x="24" s="1"/>
        <n x="21"/>
        <n x="32"/>
        <n x="66"/>
        <n x="187"/>
      </t>
    </mdx>
    <mdx n="0" f="v">
      <t c="6">
        <n x="23" s="1"/>
        <n x="24" s="1"/>
        <n x="21"/>
        <n x="76"/>
        <n x="46"/>
        <n x="187"/>
      </t>
    </mdx>
    <mdx n="0" f="v">
      <t c="6">
        <n x="23" s="1"/>
        <n x="24" s="1"/>
        <n x="21"/>
        <n x="75"/>
        <n x="39"/>
        <n x="189"/>
      </t>
    </mdx>
    <mdx n="0" f="v">
      <t c="6">
        <n x="4"/>
        <n x="24" s="1"/>
        <n x="21"/>
        <n x="80"/>
        <n x="69"/>
        <n x="190"/>
      </t>
    </mdx>
    <mdx n="0" f="v">
      <t c="6">
        <n x="4"/>
        <n x="24" s="1"/>
        <n x="21"/>
        <n x="76"/>
        <n x="27"/>
        <n x="190"/>
      </t>
    </mdx>
    <mdx n="0" f="v">
      <t c="5">
        <n x="149" s="1"/>
        <n x="24" s="1"/>
        <n x="21"/>
        <n x="28"/>
        <n x="186"/>
      </t>
    </mdx>
    <mdx n="0" f="v">
      <t c="6">
        <n x="23" s="1"/>
        <n x="24" s="1"/>
        <n x="21"/>
        <n x="76"/>
        <n x="41"/>
        <n x="188"/>
      </t>
    </mdx>
    <mdx n="0" f="v">
      <t c="6">
        <n x="23" s="1"/>
        <n x="24" s="1"/>
        <n x="21"/>
        <n x="76"/>
        <n x="57"/>
        <n x="187"/>
      </t>
    </mdx>
    <mdx n="0" f="v">
      <t c="6">
        <n x="4"/>
        <n x="24" s="1"/>
        <n x="21"/>
        <n x="76"/>
        <n x="67"/>
        <n x="190"/>
      </t>
    </mdx>
    <mdx n="0" f="v">
      <t c="6">
        <n x="4"/>
        <n x="24" s="1"/>
        <n x="21"/>
        <n x="76"/>
        <n x="34"/>
        <n x="190"/>
      </t>
    </mdx>
    <mdx n="0" f="v">
      <t c="6">
        <n x="4"/>
        <n x="24" s="1"/>
        <n x="21"/>
        <n x="29"/>
        <n x="45"/>
        <n x="190"/>
      </t>
    </mdx>
    <mdx n="0" f="v">
      <t c="6">
        <n x="149" s="1"/>
        <n x="24" s="1"/>
        <n x="21"/>
        <n x="32"/>
        <n x="68"/>
        <n x="189"/>
      </t>
    </mdx>
    <mdx n="0" f="v">
      <t c="6">
        <n x="4"/>
        <n x="24" s="1"/>
        <n x="21"/>
        <n x="29"/>
        <n x="54"/>
        <n x="190"/>
      </t>
    </mdx>
    <mdx n="0" f="v">
      <t c="6">
        <n x="149" s="1"/>
        <n x="24" s="1"/>
        <n x="21"/>
        <n x="29"/>
        <n x="59"/>
        <n x="189"/>
      </t>
    </mdx>
    <mdx n="0" f="v">
      <t c="6">
        <n x="149" s="1"/>
        <n x="24" s="1"/>
        <n x="21"/>
        <n x="29"/>
        <n x="43"/>
        <n x="186"/>
      </t>
    </mdx>
    <mdx n="0" f="v">
      <t c="6">
        <n x="149" s="1"/>
        <n x="24" s="1"/>
        <n x="21"/>
        <n x="26"/>
        <n x="41"/>
        <n x="186"/>
      </t>
    </mdx>
    <mdx n="0" f="v">
      <t c="6">
        <n x="149" s="1"/>
        <n x="24" s="1"/>
        <n x="21"/>
        <n x="26"/>
        <n x="57"/>
        <n x="189"/>
      </t>
    </mdx>
    <mdx n="0" f="v">
      <t c="6">
        <n x="23" s="1"/>
        <n x="24" s="1"/>
        <n x="21"/>
        <n x="76"/>
        <n x="42"/>
        <n x="188"/>
      </t>
    </mdx>
    <mdx n="0" f="v">
      <t c="6">
        <n x="149" s="1"/>
        <n x="24" s="1"/>
        <n x="21"/>
        <n x="26"/>
        <n x="38"/>
        <n x="188"/>
      </t>
    </mdx>
    <mdx n="0" f="v">
      <t c="6">
        <n x="149" s="1"/>
        <n x="24" s="1"/>
        <n x="21"/>
        <n x="29"/>
        <n x="45"/>
        <n x="188"/>
      </t>
    </mdx>
    <mdx n="0" f="v">
      <t c="6">
        <n x="23" s="1"/>
        <n x="24" s="1"/>
        <n x="21"/>
        <n x="76"/>
        <n x="55"/>
        <n x="187"/>
      </t>
    </mdx>
    <mdx n="0" f="v">
      <t c="6">
        <n x="4"/>
        <n x="24" s="1"/>
        <n x="21"/>
        <n x="29"/>
        <n x="39"/>
        <n x="190"/>
      </t>
    </mdx>
    <mdx n="0" f="v">
      <t c="6">
        <n x="4"/>
        <n x="24" s="1"/>
        <n x="21"/>
        <n x="26"/>
        <n x="46"/>
        <n x="190"/>
      </t>
    </mdx>
    <mdx n="0" f="v">
      <t c="5">
        <n x="149" s="1"/>
        <n x="24" s="1"/>
        <n x="21"/>
        <n x="26"/>
        <n x="187"/>
      </t>
    </mdx>
    <mdx n="0" f="v">
      <t c="6">
        <n x="149" s="1"/>
        <n x="24" s="1"/>
        <n x="21"/>
        <n x="29"/>
        <n x="50"/>
        <n x="187"/>
      </t>
    </mdx>
    <mdx n="0" f="v">
      <t c="5">
        <n x="149" s="1"/>
        <n x="24" s="1"/>
        <n x="21"/>
        <n x="26"/>
        <n x="189"/>
      </t>
    </mdx>
    <mdx n="0" f="v">
      <t c="6">
        <n x="149" s="1"/>
        <n x="24" s="1"/>
        <n x="21"/>
        <n x="26"/>
        <n x="41"/>
        <n x="188"/>
      </t>
    </mdx>
    <mdx n="0" f="v">
      <t c="6">
        <n x="149" s="1"/>
        <n x="24" s="1"/>
        <n x="21"/>
        <n x="26"/>
        <n x="41"/>
        <n x="187"/>
      </t>
    </mdx>
    <mdx n="0" f="v">
      <t c="6">
        <n x="149" s="1"/>
        <n x="24" s="1"/>
        <n x="21"/>
        <n x="62"/>
        <n x="72"/>
        <n x="186"/>
      </t>
    </mdx>
    <mdx n="0" f="v">
      <t c="6">
        <n x="4"/>
        <n x="24" s="1"/>
        <n x="21"/>
        <n x="26"/>
        <n x="60"/>
        <n x="190"/>
      </t>
    </mdx>
    <mdx n="0" f="v">
      <t c="5">
        <n x="149" s="1"/>
        <n x="24" s="1"/>
        <n x="21"/>
        <n x="65"/>
        <n x="189"/>
      </t>
    </mdx>
    <mdx n="0" f="v">
      <t c="6">
        <n x="23" s="1"/>
        <n x="24" s="1"/>
        <n x="21"/>
        <n x="80"/>
        <n x="73"/>
        <n x="186"/>
      </t>
    </mdx>
    <mdx n="0" f="v">
      <t c="6">
        <n x="4"/>
        <n x="24" s="1"/>
        <n x="21"/>
        <n x="48"/>
        <n x="49"/>
        <n x="190"/>
      </t>
    </mdx>
    <mdx n="0" f="v">
      <t c="6">
        <n x="23" s="1"/>
        <n x="24" s="1"/>
        <n x="21"/>
        <n x="80"/>
        <n x="69"/>
        <n x="188"/>
      </t>
    </mdx>
    <mdx n="0" f="v">
      <t c="6">
        <n x="23" s="1"/>
        <n x="24" s="1"/>
        <n x="21"/>
        <n x="75"/>
        <n x="43"/>
        <n x="188"/>
      </t>
    </mdx>
    <mdx n="0" f="v">
      <t c="6">
        <n x="23" s="1"/>
        <n x="24" s="1"/>
        <n x="21"/>
        <n x="78"/>
        <n x="49"/>
        <n x="189"/>
      </t>
    </mdx>
    <mdx n="0" f="v">
      <t c="6">
        <n x="149" s="1"/>
        <n x="24" s="1"/>
        <n x="21"/>
        <n x="29"/>
        <n x="43"/>
        <n x="188"/>
      </t>
    </mdx>
    <mdx n="0" f="v">
      <t c="6">
        <n x="149" s="1"/>
        <n x="24" s="1"/>
        <n x="21"/>
        <n x="48"/>
        <n x="64"/>
        <n x="186"/>
      </t>
    </mdx>
    <mdx n="0" f="v">
      <t c="5">
        <n x="149" s="1"/>
        <n x="24" s="1"/>
        <n x="21"/>
        <n x="32"/>
        <n x="188"/>
      </t>
    </mdx>
    <mdx n="0" f="v">
      <t c="6">
        <n x="23" s="1"/>
        <n x="24" s="1"/>
        <n x="21"/>
        <n x="75"/>
        <n x="39"/>
        <n x="188"/>
      </t>
    </mdx>
    <mdx n="0" f="v">
      <t c="6">
        <n x="23" s="1"/>
        <n x="24" s="1"/>
        <n x="21"/>
        <n x="75"/>
        <n x="43"/>
        <n x="187"/>
      </t>
    </mdx>
    <mdx n="0" f="v">
      <t c="6">
        <n x="149" s="1"/>
        <n x="24" s="1"/>
        <n x="21"/>
        <n x="29"/>
        <n x="45"/>
        <n x="186"/>
      </t>
    </mdx>
    <mdx n="0" f="v">
      <t c="6">
        <n x="23" s="1"/>
        <n x="24" s="1"/>
        <n x="21"/>
        <n x="75"/>
        <n x="59"/>
        <n x="188"/>
      </t>
    </mdx>
    <mdx n="0" f="v">
      <t c="6">
        <n x="23" s="1"/>
        <n x="24" s="1"/>
        <n x="21"/>
        <n x="75"/>
        <n x="47"/>
        <n x="188"/>
      </t>
    </mdx>
    <mdx n="0" f="v">
      <t c="6">
        <n x="23" s="1"/>
        <n x="24" s="1"/>
        <n x="21"/>
        <n x="76"/>
        <n x="27"/>
        <n x="189"/>
      </t>
    </mdx>
    <mdx n="0" f="v">
      <t c="6">
        <n x="4"/>
        <n x="24" s="1"/>
        <n x="21"/>
        <n x="76"/>
        <n x="44"/>
        <n x="190"/>
      </t>
    </mdx>
    <mdx n="0" f="v">
      <t c="6">
        <n x="23" s="1"/>
        <n x="24" s="1"/>
        <n x="21"/>
        <n x="76"/>
        <n x="57"/>
        <n x="189"/>
      </t>
    </mdx>
    <mdx n="0" f="v">
      <t c="6">
        <n x="4"/>
        <n x="24" s="1"/>
        <n x="21"/>
        <n x="80"/>
        <n x="73"/>
        <n x="190"/>
      </t>
    </mdx>
    <mdx n="0" f="v">
      <t c="6">
        <n x="4"/>
        <n x="24" s="1"/>
        <n x="21"/>
        <n x="32"/>
        <n x="68"/>
        <n x="190"/>
      </t>
    </mdx>
    <mdx n="0" f="v">
      <t c="6">
        <n x="4"/>
        <n x="24" s="1"/>
        <n x="21"/>
        <n x="29"/>
        <n x="47"/>
        <n x="190"/>
      </t>
    </mdx>
    <mdx n="0" f="v">
      <t c="6">
        <n x="149" s="1"/>
        <n x="24" s="1"/>
        <n x="21"/>
        <n x="26"/>
        <n x="44"/>
        <n x="187"/>
      </t>
    </mdx>
    <mdx n="0" f="v">
      <t c="5">
        <n x="4"/>
        <n x="24" s="1"/>
        <n x="21"/>
        <n x="61"/>
        <n x="190"/>
      </t>
    </mdx>
    <mdx n="0" f="v">
      <t c="6">
        <n x="4"/>
        <n x="24" s="1"/>
        <n x="21"/>
        <n x="76"/>
        <n x="31"/>
        <n x="190"/>
      </t>
    </mdx>
    <mdx n="0" f="v">
      <t c="6">
        <n x="24" s="1"/>
        <n x="21"/>
        <n x="75"/>
        <n x="39"/>
        <n x="190"/>
        <n x="4"/>
      </t>
    </mdx>
    <mdx n="0" f="v">
      <t c="6">
        <n x="23" s="1"/>
        <n x="24" s="1"/>
        <n x="21"/>
        <n x="80"/>
        <n x="73"/>
        <n x="187"/>
      </t>
    </mdx>
    <mdx n="0" f="v">
      <t c="6">
        <n x="149" s="1"/>
        <n x="24" s="1"/>
        <n x="21"/>
        <n x="29"/>
        <n x="59"/>
        <n x="188"/>
      </t>
    </mdx>
    <mdx n="0" f="v">
      <t c="6">
        <n x="23" s="1"/>
        <n x="24" s="1"/>
        <n x="21"/>
        <n x="75"/>
        <n x="30"/>
        <n x="188"/>
      </t>
    </mdx>
    <mdx n="0" f="v">
      <t c="6">
        <n x="23" s="1"/>
        <n x="24" s="1"/>
        <n x="21"/>
        <n x="76"/>
        <n x="52"/>
        <n x="189"/>
      </t>
    </mdx>
    <mdx n="0" f="v">
      <t c="6">
        <n x="23" s="1"/>
        <n x="24" s="1"/>
        <n x="21"/>
        <n x="75"/>
        <n x="51"/>
        <n x="186"/>
      </t>
    </mdx>
    <mdx n="0" f="v">
      <t c="5">
        <n x="4"/>
        <n x="24" s="1"/>
        <n x="21"/>
        <n x="28"/>
        <n x="190"/>
      </t>
    </mdx>
    <mdx n="0" f="v">
      <t c="6">
        <n x="23" s="1"/>
        <n x="24" s="1"/>
        <n x="21"/>
        <n x="80"/>
        <n x="69"/>
        <n x="186"/>
      </t>
    </mdx>
    <mdx n="0" f="v">
      <t c="6">
        <n x="23" s="1"/>
        <n x="24" s="1"/>
        <n x="21"/>
        <n x="75"/>
        <n x="59"/>
        <n x="187"/>
      </t>
    </mdx>
    <mdx n="0" f="v">
      <t c="6">
        <n x="149" s="1"/>
        <n x="24" s="1"/>
        <n x="21"/>
        <n x="36"/>
        <n x="37"/>
        <n x="187"/>
      </t>
    </mdx>
    <mdx n="0" f="v">
      <t c="6">
        <n x="4"/>
        <n x="24" s="1"/>
        <n x="21"/>
        <n x="29"/>
        <n x="59"/>
        <n x="190"/>
      </t>
    </mdx>
    <mdx n="0" f="v">
      <t c="6">
        <n x="23" s="1"/>
        <n x="24" s="1"/>
        <n x="21"/>
        <n x="76"/>
        <n x="38"/>
        <n x="186"/>
      </t>
    </mdx>
    <mdx n="0" f="v">
      <t c="6">
        <n x="23" s="1"/>
        <n x="24" s="1"/>
        <n x="21"/>
        <n x="76"/>
        <n x="31"/>
        <n x="188"/>
      </t>
    </mdx>
    <mdx n="0" f="v">
      <t c="6">
        <n x="23" s="1"/>
        <n x="24" s="1"/>
        <n x="21"/>
        <n x="76"/>
        <n x="60"/>
        <n x="188"/>
      </t>
    </mdx>
    <mdx n="0" f="v">
      <t c="6">
        <n x="23" s="1"/>
        <n x="24" s="1"/>
        <n x="21"/>
        <n x="75"/>
        <n x="35"/>
        <n x="187"/>
      </t>
    </mdx>
    <mdx n="0" f="v">
      <t c="6">
        <n x="149" s="1"/>
        <n x="24" s="1"/>
        <n x="21"/>
        <n x="29"/>
        <n x="35"/>
        <n x="188"/>
      </t>
    </mdx>
    <mdx n="0" f="v">
      <t c="6">
        <n x="23" s="1"/>
        <n x="24" s="1"/>
        <n x="21"/>
        <n x="75"/>
        <n x="51"/>
        <n x="187"/>
      </t>
    </mdx>
    <mdx n="0" f="v">
      <t c="6">
        <n x="149" s="1"/>
        <n x="24" s="1"/>
        <n x="21"/>
        <n x="32"/>
        <n x="70"/>
        <n x="187"/>
      </t>
    </mdx>
    <mdx n="0" f="v">
      <t c="6">
        <n x="149" s="1"/>
        <n x="24" s="1"/>
        <n x="21"/>
        <n x="29"/>
        <n x="59"/>
        <n x="186"/>
      </t>
    </mdx>
    <mdx n="0" f="v">
      <t c="6">
        <n x="23" s="1"/>
        <n x="24" s="1"/>
        <n x="21"/>
        <n x="78"/>
        <n x="33"/>
        <n x="188"/>
      </t>
    </mdx>
    <mdx n="0" f="v">
      <t c="5">
        <n x="149" s="1"/>
        <n x="24" s="1"/>
        <n x="21"/>
        <n x="36"/>
        <n x="187"/>
      </t>
    </mdx>
    <mdx n="0" f="v">
      <t c="6">
        <n x="149" s="1"/>
        <n x="24" s="1"/>
        <n x="21"/>
        <n x="36"/>
        <n x="37"/>
        <n x="188"/>
      </t>
    </mdx>
    <mdx n="0" f="v">
      <t c="6">
        <n x="23" s="1"/>
        <n x="24" s="1"/>
        <n x="21"/>
        <n x="75"/>
        <n x="54"/>
        <n x="187"/>
      </t>
    </mdx>
    <mdx n="0" f="v">
      <t c="6">
        <n x="23" s="1"/>
        <n x="24" s="1"/>
        <n x="21"/>
        <n x="78"/>
        <n x="64"/>
        <n x="188"/>
      </t>
    </mdx>
    <mdx n="0" f="v">
      <t c="6">
        <n x="149" s="1"/>
        <n x="24" s="1"/>
        <n x="21"/>
        <n x="26"/>
        <n x="60"/>
        <n x="189"/>
      </t>
    </mdx>
    <mdx n="0" f="v">
      <t c="6">
        <n x="23" s="1"/>
        <n x="24" s="1"/>
        <n x="21"/>
        <n x="80"/>
        <n x="73"/>
        <n x="188"/>
      </t>
    </mdx>
    <mdx n="0" f="v">
      <t c="6">
        <n x="23" s="1"/>
        <n x="24" s="1"/>
        <n x="21"/>
        <n x="78"/>
        <n x="70"/>
        <n x="186"/>
      </t>
    </mdx>
    <mdx n="0" f="v">
      <t c="6">
        <n x="23" s="1"/>
        <n x="24" s="1"/>
        <n x="21"/>
        <n x="76"/>
        <n x="46"/>
        <n x="188"/>
      </t>
    </mdx>
    <mdx n="0" f="v">
      <t c="6">
        <n x="23" s="1"/>
        <n x="24" s="1"/>
        <n x="21"/>
        <n x="80"/>
        <n x="74"/>
        <n x="189"/>
      </t>
    </mdx>
    <mdx n="0" f="v">
      <t c="6">
        <n x="23" s="1"/>
        <n x="24" s="1"/>
        <n x="21"/>
        <n x="75"/>
        <n x="71"/>
        <n x="188"/>
      </t>
    </mdx>
    <mdx n="0" f="v">
      <t c="6">
        <n x="149" s="1"/>
        <n x="24" s="1"/>
        <n x="21"/>
        <n x="29"/>
        <n x="35"/>
        <n x="189"/>
      </t>
    </mdx>
    <mdx n="0" f="v">
      <t c="6">
        <n x="149" s="1"/>
        <n x="24" s="1"/>
        <n x="21"/>
        <n x="26"/>
        <n x="46"/>
        <n x="189"/>
      </t>
    </mdx>
    <mdx n="0" f="v">
      <t c="6">
        <n x="23" s="1"/>
        <n x="24" s="1"/>
        <n x="21"/>
        <n x="76"/>
        <n x="41"/>
        <n x="186"/>
      </t>
    </mdx>
    <mdx n="0" f="v">
      <t c="6">
        <n x="149" s="1"/>
        <n x="24" s="1"/>
        <n x="21"/>
        <n x="48"/>
        <n x="49"/>
        <n x="187"/>
      </t>
    </mdx>
    <mdx n="0" f="v">
      <t c="6">
        <n x="149" s="1"/>
        <n x="24" s="1"/>
        <n x="21"/>
        <n x="28"/>
        <n x="42"/>
        <n x="186"/>
      </t>
    </mdx>
    <mdx n="0" f="v">
      <t c="6">
        <n x="149" s="1"/>
        <n x="24" s="1"/>
        <n x="21"/>
        <n x="29"/>
        <n x="47"/>
        <n x="188"/>
      </t>
    </mdx>
    <mdx n="0" f="v">
      <t c="6">
        <n x="149" s="1"/>
        <n x="24" s="1"/>
        <n x="21"/>
        <n x="32"/>
        <n x="63"/>
        <n x="188"/>
      </t>
    </mdx>
    <mdx n="0" f="v">
      <t c="6">
        <n x="149" s="1"/>
        <n x="24" s="1"/>
        <n x="21"/>
        <n x="28"/>
        <n x="42"/>
        <n x="187"/>
      </t>
    </mdx>
    <mdx n="0" f="v">
      <t c="6">
        <n x="24" s="1"/>
        <n x="21"/>
        <n x="78"/>
        <n x="63"/>
        <n x="190"/>
        <n x="4"/>
      </t>
    </mdx>
    <mdx n="0" f="v">
      <t c="6">
        <n x="23" s="1"/>
        <n x="24" s="1"/>
        <n x="21"/>
        <n x="76"/>
        <n x="77"/>
        <n x="189"/>
      </t>
    </mdx>
    <mdx n="0" f="v">
      <t c="6">
        <n x="149" s="1"/>
        <n x="24" s="1"/>
        <n x="21"/>
        <n x="48"/>
        <n x="49"/>
        <n x="186"/>
      </t>
    </mdx>
    <mdx n="0" f="v">
      <t c="6">
        <n x="23" s="1"/>
        <n x="24" s="1"/>
        <n x="21"/>
        <n x="78"/>
        <n x="49"/>
        <n x="186"/>
      </t>
    </mdx>
    <mdx n="0" f="v">
      <t c="6">
        <n x="24" s="1"/>
        <n x="21"/>
        <n x="75"/>
        <n x="54"/>
        <n x="190"/>
        <n x="4"/>
      </t>
    </mdx>
    <mdx n="0" f="v">
      <t c="6">
        <n x="23" s="1"/>
        <n x="24" s="1"/>
        <n x="21"/>
        <n x="78"/>
        <n x="66"/>
        <n x="189"/>
      </t>
    </mdx>
    <mdx n="0" f="v">
      <t c="6">
        <n x="149" s="1"/>
        <n x="24" s="1"/>
        <n x="21"/>
        <n x="29"/>
        <n x="47"/>
        <n x="189"/>
      </t>
    </mdx>
    <mdx n="0" f="v">
      <t c="6">
        <n x="149" s="1"/>
        <n x="24" s="1"/>
        <n x="21"/>
        <n x="48"/>
        <n x="64"/>
        <n x="187"/>
      </t>
    </mdx>
    <mdx n="0" f="v">
      <t c="6">
        <n x="23" s="1"/>
        <n x="24" s="1"/>
        <n x="21"/>
        <n x="76"/>
        <n x="44"/>
        <n x="188"/>
      </t>
    </mdx>
    <mdx n="0" f="v">
      <t c="6">
        <n x="149" s="1"/>
        <n x="24" s="1"/>
        <n x="21"/>
        <n x="29"/>
        <n x="51"/>
        <n x="188"/>
      </t>
    </mdx>
    <mdx n="0" f="v">
      <t c="6">
        <n x="23" s="1"/>
        <n x="24" s="1"/>
        <n x="21"/>
        <n x="76"/>
        <n x="77"/>
        <n x="186"/>
      </t>
    </mdx>
    <mdx n="0" f="v">
      <t c="6">
        <n x="149" s="1"/>
        <n x="24" s="1"/>
        <n x="21"/>
        <n x="26"/>
        <n x="60"/>
        <n x="188"/>
      </t>
    </mdx>
    <mdx n="0" f="v">
      <t c="5">
        <n x="149" s="1"/>
        <n x="24" s="1"/>
        <n x="21"/>
        <n x="65"/>
        <n x="188"/>
      </t>
    </mdx>
    <mdx n="0" f="v">
      <t c="6">
        <n x="23" s="1"/>
        <n x="24" s="1"/>
        <n x="21"/>
        <n x="76"/>
        <n x="52"/>
        <n x="187"/>
      </t>
    </mdx>
    <mdx n="0" f="v">
      <t c="6">
        <n x="23" s="1"/>
        <n x="24" s="1"/>
        <n x="21"/>
        <n x="76"/>
        <n x="53"/>
        <n x="189"/>
      </t>
    </mdx>
    <mdx n="0" f="v">
      <t c="6">
        <n x="23" s="1"/>
        <n x="24" s="1"/>
        <n x="21"/>
        <n x="80"/>
        <n x="74"/>
        <n x="186"/>
      </t>
    </mdx>
    <mdx n="0" f="v">
      <t c="6">
        <n x="23" s="1"/>
        <n x="24" s="1"/>
        <n x="21"/>
        <n x="76"/>
        <n x="42"/>
        <n x="187"/>
      </t>
    </mdx>
    <mdx n="0" f="v">
      <t c="6">
        <n x="149" s="1"/>
        <n x="24" s="1"/>
        <n x="21"/>
        <n x="29"/>
        <n x="39"/>
        <n x="188"/>
      </t>
    </mdx>
    <mdx n="0" f="v">
      <t c="6">
        <n x="149" s="1"/>
        <n x="24" s="1"/>
        <n x="21"/>
        <n x="32"/>
        <n x="66"/>
        <n x="186"/>
      </t>
    </mdx>
    <mdx n="0" f="v">
      <t c="6">
        <n x="24" s="1"/>
        <n x="21"/>
        <n x="75"/>
        <n x="50"/>
        <n x="190"/>
        <n x="4"/>
      </t>
    </mdx>
    <mdx n="0" f="v">
      <t c="6">
        <n x="149" s="1"/>
        <n x="24" s="1"/>
        <n x="21"/>
        <n x="48"/>
        <n x="49"/>
        <n x="188"/>
      </t>
    </mdx>
    <mdx n="0" f="v">
      <t c="6">
        <n x="149" s="1"/>
        <n x="24" s="1"/>
        <n x="21"/>
        <n x="26"/>
        <n x="31"/>
        <n x="189"/>
      </t>
    </mdx>
    <mdx n="0" f="v">
      <t c="6">
        <n x="24" s="1"/>
        <n x="21"/>
        <n x="78"/>
        <n x="49"/>
        <n x="190"/>
        <n x="4"/>
      </t>
    </mdx>
    <mdx n="0" f="v">
      <t c="6">
        <n x="149" s="1"/>
        <n x="24" s="1"/>
        <n x="21"/>
        <n x="26"/>
        <n x="34"/>
        <n x="186"/>
      </t>
    </mdx>
    <mdx n="0" f="v">
      <t c="6">
        <n x="149" s="1"/>
        <n x="24" s="1"/>
        <n x="21"/>
        <n x="29"/>
        <n x="43"/>
        <n x="187"/>
      </t>
    </mdx>
    <mdx n="0" f="v">
      <t c="6">
        <n x="4"/>
        <n x="24" s="1"/>
        <n x="21"/>
        <n x="48"/>
        <n x="64"/>
        <n x="190"/>
      </t>
    </mdx>
    <mdx n="0" f="v">
      <t c="6">
        <n x="4"/>
        <n x="24" s="1"/>
        <n x="21"/>
        <n x="26"/>
        <n x="34"/>
        <n x="190"/>
      </t>
    </mdx>
    <mdx n="0" f="v">
      <t c="5">
        <n x="4"/>
        <n x="24" s="1"/>
        <n x="21"/>
        <n x="36"/>
        <n x="190"/>
      </t>
    </mdx>
    <mdx n="0" f="v">
      <t c="6">
        <n x="149" s="1"/>
        <n x="24" s="1"/>
        <n x="21"/>
        <n x="32"/>
        <n x="33"/>
        <n x="188"/>
      </t>
    </mdx>
    <mdx n="0" f="v">
      <t c="6">
        <n x="149" s="1"/>
        <n x="24" s="1"/>
        <n x="21"/>
        <n x="26"/>
        <n x="46"/>
        <n x="186"/>
      </t>
    </mdx>
    <mdx n="0" f="v">
      <t c="6">
        <n x="23" s="1"/>
        <n x="24" s="1"/>
        <n x="21"/>
        <n x="76"/>
        <n x="37"/>
        <n x="186"/>
      </t>
    </mdx>
    <mdx n="0" f="v">
      <t c="5">
        <n x="149" s="1"/>
        <n x="24" s="1"/>
        <n x="21"/>
        <n x="28"/>
        <n x="188"/>
      </t>
    </mdx>
    <mdx n="0" f="v">
      <t c="6">
        <n x="23" s="1"/>
        <n x="24" s="1"/>
        <n x="21"/>
        <n x="78"/>
        <n x="70"/>
        <n x="188"/>
      </t>
    </mdx>
    <mdx n="0" f="v">
      <t c="6">
        <n x="4"/>
        <n x="24" s="1"/>
        <n x="21"/>
        <n x="62"/>
        <n x="72"/>
        <n x="190"/>
      </t>
    </mdx>
    <mdx n="0" f="v">
      <t c="6">
        <n x="149" s="1"/>
        <n x="24" s="1"/>
        <n x="21"/>
        <n x="29"/>
        <n x="51"/>
        <n x="187"/>
      </t>
    </mdx>
    <mdx n="0" f="v">
      <t c="6">
        <n x="149" s="1"/>
        <n x="24" s="1"/>
        <n x="21"/>
        <n x="62"/>
        <n x="73"/>
        <n x="187"/>
      </t>
    </mdx>
    <mdx n="0" f="v">
      <t c="6">
        <n x="23" s="1"/>
        <n x="24" s="1"/>
        <n x="21"/>
        <n x="78"/>
        <n x="33"/>
        <n x="187"/>
      </t>
    </mdx>
    <mdx n="0" f="v">
      <t c="6">
        <n x="4"/>
        <n x="24" s="1"/>
        <n x="21"/>
        <n x="28"/>
        <n x="58"/>
        <n x="190"/>
      </t>
    </mdx>
    <mdx n="0" f="v">
      <t c="6">
        <n x="149" s="1"/>
        <n x="24" s="1"/>
        <n x="21"/>
        <n x="26"/>
        <n x="31"/>
        <n x="187"/>
      </t>
    </mdx>
    <mdx n="0" f="v">
      <t c="6">
        <n x="23" s="1"/>
        <n x="24" s="1"/>
        <n x="21"/>
        <n x="76"/>
        <n x="53"/>
        <n x="188"/>
      </t>
    </mdx>
    <mdx n="0" f="v">
      <t c="6">
        <n x="23" s="1"/>
        <n x="24" s="1"/>
        <n x="21"/>
        <n x="75"/>
        <n x="50"/>
        <n x="188"/>
      </t>
    </mdx>
    <mdx n="0" f="v">
      <t c="6">
        <n x="23" s="1"/>
        <n x="24" s="1"/>
        <n x="21"/>
        <n x="76"/>
        <n x="56"/>
        <n x="189"/>
      </t>
    </mdx>
    <mdx n="0" f="v">
      <t c="6">
        <n x="23" s="1"/>
        <n x="24" s="1"/>
        <n x="21"/>
        <n x="78"/>
        <n x="63"/>
        <n x="186"/>
      </t>
    </mdx>
    <mdx n="0" f="v">
      <t c="6">
        <n x="149" s="1"/>
        <n x="24" s="1"/>
        <n x="21"/>
        <n x="32"/>
        <n x="68"/>
        <n x="188"/>
      </t>
    </mdx>
    <mdx n="0" f="v">
      <t c="6">
        <n x="23" s="1"/>
        <n x="24" s="1"/>
        <n x="21"/>
        <n x="80"/>
        <n x="72"/>
        <n x="189"/>
      </t>
    </mdx>
    <mdx n="0" f="v">
      <t c="6">
        <n x="23" s="1"/>
        <n x="24" s="1"/>
        <n x="21"/>
        <n x="76"/>
        <n x="52"/>
        <n x="188"/>
      </t>
    </mdx>
    <mdx n="0" f="v">
      <t c="6">
        <n x="23" s="1"/>
        <n x="24" s="1"/>
        <n x="21"/>
        <n x="76"/>
        <n x="57"/>
        <n x="186"/>
      </t>
    </mdx>
    <mdx n="0" f="v">
      <t c="5">
        <n x="149" s="1"/>
        <n x="24" s="1"/>
        <n x="21"/>
        <n x="65"/>
        <n x="187"/>
      </t>
    </mdx>
    <mdx n="0" f="v">
      <t c="6">
        <n x="23" s="1"/>
        <n x="24" s="1"/>
        <n x="21"/>
        <n x="75"/>
        <n x="43"/>
        <n x="186"/>
      </t>
    </mdx>
    <mdx n="0" f="v">
      <t c="6">
        <n x="23" s="1"/>
        <n x="24" s="1"/>
        <n x="21"/>
        <n x="75"/>
        <n x="47"/>
        <n x="187"/>
      </t>
    </mdx>
    <mdx n="0" f="v">
      <t c="6">
        <n x="23" s="1"/>
        <n x="24" s="1"/>
        <n x="21"/>
        <n x="76"/>
        <n x="34"/>
        <n x="188"/>
      </t>
    </mdx>
    <mdx n="0" f="v">
      <t c="6">
        <n x="149" s="1"/>
        <n x="24" s="1"/>
        <n x="21"/>
        <n x="32"/>
        <n x="70"/>
        <n x="189"/>
      </t>
    </mdx>
    <mdx n="0" f="v">
      <t c="6">
        <n x="149" s="1"/>
        <n x="24" s="1"/>
        <n x="21"/>
        <n x="29"/>
        <n x="59"/>
        <n x="187"/>
      </t>
    </mdx>
    <mdx n="0" f="v">
      <t c="6">
        <n x="149" s="1"/>
        <n x="24" s="1"/>
        <n x="21"/>
        <n x="28"/>
        <n x="53"/>
        <n x="186"/>
      </t>
    </mdx>
    <mdx n="0" f="v">
      <t c="6">
        <n x="149" s="1"/>
        <n x="24" s="1"/>
        <n x="21"/>
        <n x="26"/>
        <n x="27"/>
        <n x="189"/>
      </t>
    </mdx>
    <mdx n="0" f="v">
      <t c="6">
        <n x="24" s="1"/>
        <n x="21"/>
        <n x="78"/>
        <n x="70"/>
        <n x="190"/>
        <n x="4"/>
      </t>
    </mdx>
    <mdx n="0" f="v">
      <t c="6">
        <n x="23" s="1"/>
        <n x="24" s="1"/>
        <n x="21"/>
        <n x="75"/>
        <n x="47"/>
        <n x="186"/>
      </t>
    </mdx>
    <mdx n="0" f="v">
      <t c="6">
        <n x="4"/>
        <n x="24" s="1"/>
        <n x="21"/>
        <n x="26"/>
        <n x="41"/>
        <n x="190"/>
      </t>
    </mdx>
    <mdx n="0" f="v">
      <t c="6">
        <n x="23" s="1"/>
        <n x="24" s="1"/>
        <n x="21"/>
        <n x="75"/>
        <n x="51"/>
        <n x="189"/>
      </t>
    </mdx>
    <mdx n="0" f="v">
      <t c="6">
        <n x="23" s="1"/>
        <n x="24" s="1"/>
        <n x="21"/>
        <n x="76"/>
        <n x="58"/>
        <n x="187"/>
      </t>
    </mdx>
    <mdx n="0" f="v">
      <t c="6">
        <n x="149" s="1"/>
        <n x="24" s="1"/>
        <n x="21"/>
        <n x="26"/>
        <n x="60"/>
        <n x="186"/>
      </t>
    </mdx>
    <mdx n="0" f="v">
      <t c="6">
        <n x="4"/>
        <n x="24" s="1"/>
        <n x="21"/>
        <n x="28"/>
        <n x="55"/>
        <n x="190"/>
      </t>
    </mdx>
    <mdx n="0" f="v">
      <t c="6">
        <n x="149" s="1"/>
        <n x="24" s="1"/>
        <n x="21"/>
        <n x="28"/>
        <n x="53"/>
        <n x="187"/>
      </t>
    </mdx>
    <mdx n="0" f="v">
      <t c="6">
        <n x="23" s="1"/>
        <n x="24" s="1"/>
        <n x="21"/>
        <n x="75"/>
        <n x="39"/>
        <n x="186"/>
      </t>
    </mdx>
    <mdx n="0" f="v">
      <t c="6">
        <n x="23" s="1"/>
        <n x="24" s="1"/>
        <n x="21"/>
        <n x="80"/>
        <n x="73"/>
        <n x="189"/>
      </t>
    </mdx>
    <mdx n="0" f="v">
      <t c="6">
        <n x="149" s="1"/>
        <n x="24" s="1"/>
        <n x="21"/>
        <n x="26"/>
        <n x="57"/>
        <n x="186"/>
      </t>
    </mdx>
    <mdx n="0" f="v">
      <t c="6">
        <n x="4"/>
        <n x="24" s="1"/>
        <n x="21"/>
        <n x="76"/>
        <n x="55"/>
        <n x="190"/>
      </t>
    </mdx>
    <mdx n="0" f="v">
      <t c="6">
        <n x="23" s="1"/>
        <n x="24" s="1"/>
        <n x="21"/>
        <n x="78"/>
        <n x="49"/>
        <n x="187"/>
      </t>
    </mdx>
    <mdx n="0" f="v">
      <t c="6">
        <n x="23" s="1"/>
        <n x="24" s="1"/>
        <n x="21"/>
        <n x="76"/>
        <n x="37"/>
        <n x="187"/>
      </t>
    </mdx>
    <mdx n="0" f="v">
      <t c="6">
        <n x="23" s="1"/>
        <n x="24" s="1"/>
        <n x="21"/>
        <n x="75"/>
        <n x="59"/>
        <n x="189"/>
      </t>
    </mdx>
    <mdx n="0" f="v">
      <t c="6">
        <n x="23" s="1"/>
        <n x="24" s="1"/>
        <n x="21"/>
        <n x="78"/>
        <n x="70"/>
        <n x="187"/>
      </t>
    </mdx>
    <mdx n="0" f="v">
      <t c="6">
        <n x="149" s="1"/>
        <n x="24" s="1"/>
        <n x="21"/>
        <n x="29"/>
        <n x="71"/>
        <n x="186"/>
      </t>
    </mdx>
    <mdx n="0" f="v">
      <t c="6">
        <n x="4"/>
        <n x="24" s="1"/>
        <n x="21"/>
        <n x="32"/>
        <n x="63"/>
        <n x="190"/>
      </t>
    </mdx>
    <mdx n="0" f="v">
      <t c="6">
        <n x="149" s="1"/>
        <n x="24" s="1"/>
        <n x="21"/>
        <n x="26"/>
        <n x="27"/>
        <n x="188"/>
      </t>
    </mdx>
    <mdx n="0" f="v">
      <t c="6">
        <n x="23" s="1"/>
        <n x="24" s="1"/>
        <n x="21"/>
        <n x="76"/>
        <n x="37"/>
        <n x="189"/>
      </t>
    </mdx>
    <mdx n="0" f="v">
      <t c="6">
        <n x="23" s="1"/>
        <n x="24" s="1"/>
        <n x="21"/>
        <n x="76"/>
        <n x="38"/>
        <n x="188"/>
      </t>
    </mdx>
    <mdx n="0" f="v">
      <t c="6">
        <n x="149" s="1"/>
        <n x="24" s="1"/>
        <n x="21"/>
        <n x="26"/>
        <n x="38"/>
        <n x="189"/>
      </t>
    </mdx>
    <mdx n="0" f="v">
      <t c="6">
        <n x="149" s="1"/>
        <n x="24" s="1"/>
        <n x="21"/>
        <n x="32"/>
        <n x="66"/>
        <n x="189"/>
      </t>
    </mdx>
    <mdx n="0" f="v">
      <t c="6">
        <n x="149" s="1"/>
        <n x="24" s="1"/>
        <n x="21"/>
        <n x="62"/>
        <n x="73"/>
        <n x="189"/>
      </t>
    </mdx>
    <mdx n="0" f="v">
      <t c="6">
        <n x="23" s="1"/>
        <n x="24" s="1"/>
        <n x="21"/>
        <n x="75"/>
        <n x="30"/>
        <n x="189"/>
      </t>
    </mdx>
    <mdx n="0" f="v">
      <t c="6">
        <n x="149" s="1"/>
        <n x="24" s="1"/>
        <n x="21"/>
        <n x="32"/>
        <n x="33"/>
        <n x="189"/>
      </t>
    </mdx>
    <mdx n="0" f="v">
      <t c="6">
        <n x="4"/>
        <n x="24" s="1"/>
        <n x="21"/>
        <n x="28"/>
        <n x="42"/>
        <n x="190"/>
      </t>
    </mdx>
    <mdx n="0" f="v">
      <t c="6">
        <n x="23" s="1"/>
        <n x="24" s="1"/>
        <n x="21"/>
        <n x="75"/>
        <n x="35"/>
        <n x="186"/>
      </t>
    </mdx>
    <mdx n="0" f="v">
      <t c="6">
        <n x="23" s="1"/>
        <n x="24" s="1"/>
        <n x="21"/>
        <n x="80"/>
        <n x="69"/>
        <n x="187"/>
      </t>
    </mdx>
    <mdx n="0" f="v">
      <t c="6">
        <n x="149" s="1"/>
        <n x="24" s="1"/>
        <n x="21"/>
        <n x="32"/>
        <n x="33"/>
        <n x="186"/>
      </t>
    </mdx>
    <mdx n="0" f="v">
      <t c="6">
        <n x="23" s="1"/>
        <n x="24" s="1"/>
        <n x="21"/>
        <n x="76"/>
        <n x="27"/>
        <n x="187"/>
      </t>
    </mdx>
    <mdx n="0" f="v">
      <t c="6">
        <n x="149" s="1"/>
        <n x="24" s="1"/>
        <n x="21"/>
        <n x="29"/>
        <n x="71"/>
        <n x="187"/>
      </t>
    </mdx>
    <mdx n="0" f="v">
      <t c="6">
        <n x="149" s="1"/>
        <n x="24" s="1"/>
        <n x="21"/>
        <n x="29"/>
        <n x="39"/>
        <n x="187"/>
      </t>
    </mdx>
    <mdx n="0" f="v">
      <t c="6">
        <n x="149" s="1"/>
        <n x="24" s="1"/>
        <n x="21"/>
        <n x="29"/>
        <n x="150"/>
        <n x="186"/>
      </t>
    </mdx>
    <mdx n="0" f="v">
      <t c="6">
        <n x="23" s="1"/>
        <n x="24" s="1"/>
        <n x="21"/>
        <n x="76"/>
        <n x="42"/>
        <n x="189"/>
      </t>
    </mdx>
    <mdx n="0" f="v">
      <t c="6">
        <n x="4"/>
        <n x="24" s="1"/>
        <n x="21"/>
        <n x="80"/>
        <n x="74"/>
        <n x="190"/>
      </t>
    </mdx>
    <mdx n="0" f="v">
      <t c="6">
        <n x="149" s="1"/>
        <n x="24" s="1"/>
        <n x="21"/>
        <n x="29"/>
        <n x="50"/>
        <n x="188"/>
      </t>
    </mdx>
    <mdx n="0" f="v">
      <t c="6">
        <n x="149" s="1"/>
        <n x="24" s="1"/>
        <n x="21"/>
        <n x="28"/>
        <n x="58"/>
        <n x="186"/>
      </t>
    </mdx>
    <mdx n="0" f="v">
      <t c="5">
        <n x="149" s="1"/>
        <n x="24" s="1"/>
        <n x="21"/>
        <n x="29"/>
        <n x="189"/>
      </t>
    </mdx>
    <mdx n="0" f="v">
      <t c="6">
        <n x="23" s="1"/>
        <n x="24" s="1"/>
        <n x="21"/>
        <n x="76"/>
        <n x="31"/>
        <n x="186"/>
      </t>
    </mdx>
    <mdx n="0" f="v">
      <t c="6">
        <n x="23" s="1"/>
        <n x="24" s="1"/>
        <n x="21"/>
        <n x="75"/>
        <n x="71"/>
        <n x="189"/>
      </t>
    </mdx>
    <mdx n="0" f="v">
      <t c="6">
        <n x="23" s="1"/>
        <n x="24" s="1"/>
        <n x="21"/>
        <n x="80"/>
        <n x="69"/>
        <n x="189"/>
      </t>
    </mdx>
    <mdx n="0" f="v">
      <t c="6">
        <n x="23" s="1"/>
        <n x="24" s="1"/>
        <n x="21"/>
        <n x="78"/>
        <n x="63"/>
        <n x="187"/>
      </t>
    </mdx>
    <mdx n="0" f="v">
      <t c="6">
        <n x="4"/>
        <n x="24" s="1"/>
        <n x="21"/>
        <n x="76"/>
        <n x="60"/>
        <n x="190"/>
      </t>
    </mdx>
    <mdx n="0" f="v">
      <t c="6">
        <n x="24" s="1"/>
        <n x="21"/>
        <n x="78"/>
        <n x="64"/>
        <n x="190"/>
        <n x="4"/>
      </t>
    </mdx>
    <mdx n="0" f="v">
      <t c="6">
        <n x="149" s="1"/>
        <n x="24" s="1"/>
        <n x="21"/>
        <n x="26"/>
        <n x="31"/>
        <n x="186"/>
      </t>
    </mdx>
    <mdx n="0" f="v">
      <t c="6">
        <n x="4"/>
        <n x="24" s="1"/>
        <n x="21"/>
        <n x="26"/>
        <n x="57"/>
        <n x="190"/>
      </t>
    </mdx>
    <mdx n="0" f="v">
      <t c="5">
        <n x="149" s="1"/>
        <n x="24" s="1"/>
        <n x="21"/>
        <n x="32"/>
        <n x="186"/>
      </t>
    </mdx>
    <mdx n="0" f="v">
      <t c="6">
        <n x="23" s="1"/>
        <n x="24" s="1"/>
        <n x="21"/>
        <n x="78"/>
        <n x="79"/>
        <n x="187"/>
      </t>
    </mdx>
    <mdx n="0" f="v">
      <t c="6">
        <n x="149" s="1"/>
        <n x="24" s="1"/>
        <n x="21"/>
        <n x="29"/>
        <n x="50"/>
        <n x="189"/>
      </t>
    </mdx>
    <mdx n="0" f="v">
      <t c="6">
        <n x="23" s="1"/>
        <n x="24" s="1"/>
        <n x="21"/>
        <n x="75"/>
        <n x="51"/>
        <n x="188"/>
      </t>
    </mdx>
    <mdx n="0" f="v">
      <t c="6">
        <n x="23" s="1"/>
        <n x="24" s="1"/>
        <n x="21"/>
        <n x="76"/>
        <n x="55"/>
        <n x="189"/>
      </t>
    </mdx>
    <mdx n="0" f="v">
      <t c="6">
        <n x="149" s="1"/>
        <n x="24" s="1"/>
        <n x="21"/>
        <n x="29"/>
        <n x="54"/>
        <n x="187"/>
      </t>
    </mdx>
    <mdx n="0" f="v">
      <t c="6">
        <n x="4"/>
        <n x="24" s="1"/>
        <n x="21"/>
        <n x="26"/>
        <n x="31"/>
        <n x="190"/>
      </t>
    </mdx>
    <mdx n="0" f="v">
      <t c="6">
        <n x="149" s="1"/>
        <n x="24" s="1"/>
        <n x="21"/>
        <n x="26"/>
        <n x="56"/>
        <n x="186"/>
      </t>
    </mdx>
    <mdx n="0" f="v">
      <t c="5">
        <n x="149" s="1"/>
        <n x="24" s="1"/>
        <n x="21"/>
        <n x="48"/>
        <n x="189"/>
      </t>
    </mdx>
    <mdx n="0" f="v">
      <t c="6">
        <n x="23" s="1"/>
        <n x="24" s="1"/>
        <n x="21"/>
        <n x="76"/>
        <n x="53"/>
        <n x="186"/>
      </t>
    </mdx>
    <mdx n="0" f="v">
      <t c="6">
        <n x="149" s="1"/>
        <n x="24" s="1"/>
        <n x="21"/>
        <n x="26"/>
        <n x="52"/>
        <n x="186"/>
      </t>
    </mdx>
    <mdx n="0" f="v">
      <t c="6">
        <n x="23" s="1"/>
        <n x="24" s="1"/>
        <n x="21"/>
        <n x="75"/>
        <n x="50"/>
        <n x="189"/>
      </t>
    </mdx>
    <mdx n="0" f="v">
      <t c="5">
        <n x="149" s="1"/>
        <n x="24" s="1"/>
        <n x="21"/>
        <n x="48"/>
        <n x="186"/>
      </t>
    </mdx>
    <mdx n="0" f="v">
      <t c="6">
        <n x="149" s="1"/>
        <n x="24" s="1"/>
        <n x="21"/>
        <n x="28"/>
        <n x="42"/>
        <n x="188"/>
      </t>
    </mdx>
    <mdx n="0" f="v">
      <t c="6">
        <n x="23" s="1"/>
        <n x="24" s="1"/>
        <n x="21"/>
        <n x="78"/>
        <n x="70"/>
        <n x="189"/>
      </t>
    </mdx>
    <mdx n="0" f="v">
      <t c="6">
        <n x="23" s="1"/>
        <n x="24" s="1"/>
        <n x="21"/>
        <n x="76"/>
        <n x="58"/>
        <n x="186"/>
      </t>
    </mdx>
    <mdx n="0" f="v">
      <t c="6">
        <n x="149" s="1"/>
        <n x="24" s="1"/>
        <n x="21"/>
        <n x="62"/>
        <n x="72"/>
        <n x="187"/>
      </t>
    </mdx>
    <mdx n="0" f="v">
      <t c="6">
        <n x="4"/>
        <n x="24" s="1"/>
        <n x="21"/>
        <n x="29"/>
        <n x="35"/>
        <n x="190"/>
      </t>
    </mdx>
    <mdx n="0" f="v">
      <t c="6">
        <n x="149" s="1"/>
        <n x="24" s="1"/>
        <n x="21"/>
        <n x="29"/>
        <n x="50"/>
        <n x="186"/>
      </t>
    </mdx>
    <mdx n="0" f="v">
      <t c="6">
        <n x="4"/>
        <n x="24" s="1"/>
        <n x="21"/>
        <n x="80"/>
        <n x="72"/>
        <n x="190"/>
      </t>
    </mdx>
    <mdx n="0" f="v">
      <t c="6">
        <n x="23" s="1"/>
        <n x="24" s="1"/>
        <n x="21"/>
        <n x="76"/>
        <n x="58"/>
        <n x="188"/>
      </t>
    </mdx>
    <mdx n="0" f="v">
      <t c="6">
        <n x="149" s="1"/>
        <n x="24" s="1"/>
        <n x="21"/>
        <n x="32"/>
        <n x="33"/>
        <n x="187"/>
      </t>
    </mdx>
    <mdx n="0" f="v">
      <t c="6">
        <n x="23" s="1"/>
        <n x="24" s="1"/>
        <n x="21"/>
        <n x="76"/>
        <n x="77"/>
        <n x="188"/>
      </t>
    </mdx>
    <mdx n="0" f="v">
      <t c="6">
        <n x="149" s="1"/>
        <n x="24" s="1"/>
        <n x="21"/>
        <n x="29"/>
        <n x="39"/>
        <n x="186"/>
      </t>
    </mdx>
    <mdx n="0" f="v">
      <t c="6">
        <n x="24" s="1"/>
        <n x="21"/>
        <n x="75"/>
        <n x="45"/>
        <n x="190"/>
        <n x="4"/>
      </t>
    </mdx>
    <mdx n="0" f="v">
      <t c="6">
        <n x="149" s="1"/>
        <n x="24" s="1"/>
        <n x="21"/>
        <n x="29"/>
        <n x="150"/>
        <n x="189"/>
      </t>
    </mdx>
    <mdx n="0" f="v">
      <t c="5">
        <n x="149" s="1"/>
        <n x="24" s="1"/>
        <n x="21"/>
        <n x="28"/>
        <n x="187"/>
      </t>
    </mdx>
    <mdx n="0" f="v">
      <t c="6">
        <n x="149" s="1"/>
        <n x="24" s="1"/>
        <n x="21"/>
        <n x="29"/>
        <n x="30"/>
        <n x="189"/>
      </t>
    </mdx>
    <mdx n="0" f="v">
      <t c="6">
        <n x="24" s="1"/>
        <n x="21"/>
        <n x="78"/>
        <n x="66"/>
        <n x="190"/>
        <n x="4"/>
      </t>
    </mdx>
    <mdx n="0" f="v">
      <t c="6">
        <n x="23" s="1"/>
        <n x="24" s="1"/>
        <n x="21"/>
        <n x="75"/>
        <n x="43"/>
        <n x="189"/>
      </t>
    </mdx>
    <mdx n="0" f="v">
      <t c="6">
        <n x="149" s="1"/>
        <n x="24" s="1"/>
        <n x="21"/>
        <n x="26"/>
        <n x="60"/>
        <n x="187"/>
      </t>
    </mdx>
    <mdx n="0" f="v">
      <t c="6">
        <n x="149" s="1"/>
        <n x="24" s="1"/>
        <n x="21"/>
        <n x="26"/>
        <n x="38"/>
        <n x="187"/>
      </t>
    </mdx>
    <mdx n="0" f="v">
      <t c="6">
        <n x="23" s="1"/>
        <n x="24" s="1"/>
        <n x="21"/>
        <n x="76"/>
        <n x="41"/>
        <n x="187"/>
      </t>
    </mdx>
    <mdx n="0" f="v">
      <t c="6">
        <n x="23" s="1"/>
        <n x="24" s="1"/>
        <n x="21"/>
        <n x="78"/>
        <n x="68"/>
        <n x="188"/>
      </t>
    </mdx>
    <mdx n="0" f="v">
      <t c="6">
        <n x="24" s="1"/>
        <n x="21"/>
        <n x="78"/>
        <n x="68"/>
        <n x="190"/>
        <n x="4"/>
      </t>
    </mdx>
    <mdx n="0" f="v">
      <t c="5">
        <n x="149" s="1"/>
        <n x="24" s="1"/>
        <n x="21"/>
        <n x="48"/>
        <n x="187"/>
      </t>
    </mdx>
    <mdx n="0" f="v">
      <t c="6">
        <n x="23" s="1"/>
        <n x="24" s="1"/>
        <n x="21"/>
        <n x="78"/>
        <n x="66"/>
        <n x="188"/>
      </t>
    </mdx>
    <mdx n="0" f="v">
      <t c="6">
        <n x="149" s="1"/>
        <n x="24" s="1"/>
        <n x="21"/>
        <n x="32"/>
        <n x="70"/>
        <n x="186"/>
      </t>
    </mdx>
    <mdx n="0" f="v">
      <t c="6">
        <n x="149" s="1"/>
        <n x="24" s="1"/>
        <n x="21"/>
        <n x="28"/>
        <n x="58"/>
        <n x="189"/>
      </t>
    </mdx>
    <mdx n="0" f="v">
      <t c="6">
        <n x="149" s="1"/>
        <n x="24" s="1"/>
        <n x="21"/>
        <n x="48"/>
        <n x="64"/>
        <n x="189"/>
      </t>
    </mdx>
    <mdx n="0" f="v">
      <t c="6">
        <n x="149" s="1"/>
        <n x="24" s="1"/>
        <n x="21"/>
        <n x="48"/>
        <n x="64"/>
        <n x="188"/>
      </t>
    </mdx>
    <mdx n="0" f="v">
      <t c="6">
        <n x="149" s="1"/>
        <n x="24" s="1"/>
        <n x="21"/>
        <n x="26"/>
        <n x="52"/>
        <n x="189"/>
      </t>
    </mdx>
    <mdx n="0" f="v">
      <t c="6">
        <n x="23" s="1"/>
        <n x="24" s="1"/>
        <n x="21"/>
        <n x="76"/>
        <n x="27"/>
        <n x="188"/>
      </t>
    </mdx>
    <mdx n="0" f="v">
      <t c="6">
        <n x="4"/>
        <n x="24" s="1"/>
        <n x="21"/>
        <n x="76"/>
        <n x="52"/>
        <n x="190"/>
      </t>
    </mdx>
    <mdx n="0" f="v">
      <t c="6">
        <n x="4"/>
        <n x="24" s="1"/>
        <n x="21"/>
        <n x="76"/>
        <n x="57"/>
        <n x="190"/>
      </t>
    </mdx>
    <mdx n="0" f="v">
      <t c="6">
        <n x="23" s="1"/>
        <n x="24" s="1"/>
        <n x="21"/>
        <n x="78"/>
        <n x="79"/>
        <n x="188"/>
      </t>
    </mdx>
    <mdx n="0" f="v">
      <t c="6">
        <n x="23" s="1"/>
        <n x="24" s="1"/>
        <n x="21"/>
        <n x="78"/>
        <n x="66"/>
        <n x="187"/>
      </t>
    </mdx>
    <mdx n="0" f="v">
      <t c="6">
        <n x="23" s="1"/>
        <n x="24" s="1"/>
        <n x="21"/>
        <n x="78"/>
        <n x="33"/>
        <n x="186"/>
      </t>
    </mdx>
    <mdx n="0" f="v">
      <t c="6">
        <n x="23" s="1"/>
        <n x="24" s="1"/>
        <n x="21"/>
        <n x="78"/>
        <n x="68"/>
        <n x="186"/>
      </t>
    </mdx>
    <mdx n="0" f="v">
      <t c="6">
        <n x="23" s="1"/>
        <n x="24" s="1"/>
        <n x="21"/>
        <n x="76"/>
        <n x="56"/>
        <n x="187"/>
      </t>
    </mdx>
    <mdx n="0" f="v">
      <t c="6">
        <n x="4"/>
        <n x="24" s="1"/>
        <n x="21"/>
        <n x="80"/>
        <n x="82"/>
        <n x="190"/>
      </t>
    </mdx>
    <mdx n="0" f="v">
      <t c="6">
        <n x="149" s="1"/>
        <n x="24" s="1"/>
        <n x="21"/>
        <n x="28"/>
        <n x="55"/>
        <n x="188"/>
      </t>
    </mdx>
    <mdx n="0" f="v">
      <t c="6">
        <n x="149" s="1"/>
        <n x="24" s="1"/>
        <n x="21"/>
        <n x="26"/>
        <n x="46"/>
        <n x="187"/>
      </t>
    </mdx>
    <mdx n="0" f="v">
      <t c="5">
        <n x="149" s="1"/>
        <n x="24" s="1"/>
        <n x="21"/>
        <n x="28"/>
        <n x="189"/>
      </t>
    </mdx>
    <mdx n="0" f="v">
      <t c="6">
        <n x="23" s="1"/>
        <n x="24" s="1"/>
        <n x="21"/>
        <n x="76"/>
        <n x="55"/>
        <n x="186"/>
      </t>
    </mdx>
    <mdx n="0" f="v">
      <t c="6">
        <n x="149" s="1"/>
        <n x="24" s="1"/>
        <n x="21"/>
        <n x="26"/>
        <n x="52"/>
        <n x="187"/>
      </t>
    </mdx>
    <mdx n="0" f="v">
      <t c="6">
        <n x="149" s="1"/>
        <n x="24" s="1"/>
        <n x="21"/>
        <n x="62"/>
        <n x="72"/>
        <n x="189"/>
      </t>
    </mdx>
    <mdx n="0" f="v">
      <t c="6">
        <n x="4"/>
        <n x="24" s="1"/>
        <n x="21"/>
        <n x="76"/>
        <n x="58"/>
        <n x="190"/>
      </t>
    </mdx>
    <mdx n="0" f="v">
      <t c="6">
        <n x="23" s="1"/>
        <n x="24" s="1"/>
        <n x="21"/>
        <n x="78"/>
        <n x="66"/>
        <n x="186"/>
      </t>
    </mdx>
    <mdx n="0" f="v">
      <t c="6">
        <n x="4"/>
        <n x="24" s="1"/>
        <n x="21"/>
        <n x="29"/>
        <n x="51"/>
        <n x="190"/>
      </t>
    </mdx>
    <mdx n="0" f="v">
      <t c="6">
        <n x="149" s="1"/>
        <n x="24" s="1"/>
        <n x="21"/>
        <n x="29"/>
        <n x="45"/>
        <n x="189"/>
      </t>
    </mdx>
    <mdx n="0" f="v">
      <t c="5">
        <n x="149" s="1"/>
        <n x="24" s="1"/>
        <n x="21"/>
        <n x="61"/>
        <n x="187"/>
      </t>
    </mdx>
    <mdx n="0" f="v">
      <t c="6">
        <n x="24" s="1"/>
        <n x="21"/>
        <n x="75"/>
        <n x="71"/>
        <n x="190"/>
        <n x="4"/>
      </t>
    </mdx>
    <mdx n="0" f="v">
      <t c="6">
        <n x="24" s="1"/>
        <n x="21"/>
        <n x="75"/>
        <n x="51"/>
        <n x="190"/>
        <n x="4"/>
      </t>
    </mdx>
    <mdx n="0" f="v">
      <t c="6">
        <n x="4"/>
        <n x="24" s="1"/>
        <n x="21"/>
        <n x="29"/>
        <n x="40"/>
        <n x="190"/>
      </t>
    </mdx>
    <mdx n="0" f="v">
      <t c="6">
        <n x="149" s="1"/>
        <n x="24" s="1"/>
        <n x="21"/>
        <n x="32"/>
        <n x="70"/>
        <n x="188"/>
      </t>
    </mdx>
    <mdx n="0" f="v">
      <t c="6">
        <n x="149" s="1"/>
        <n x="24" s="1"/>
        <n x="21"/>
        <n x="29"/>
        <n x="43"/>
        <n x="189"/>
      </t>
    </mdx>
    <mdx n="0" f="v">
      <t c="6">
        <n x="4"/>
        <n x="24" s="1"/>
        <n x="21"/>
        <n x="26"/>
        <n x="56"/>
        <n x="190"/>
      </t>
    </mdx>
    <mdx n="0" f="v">
      <t c="6">
        <n x="23" s="1"/>
        <n x="24" s="1"/>
        <n x="21"/>
        <n x="76"/>
        <n x="58"/>
        <n x="189"/>
      </t>
    </mdx>
    <mdx n="0" f="v">
      <t c="6">
        <n x="149" s="1"/>
        <n x="24" s="1"/>
        <n x="21"/>
        <n x="28"/>
        <n x="42"/>
        <n x="189"/>
      </t>
    </mdx>
    <mdx n="0" f="v">
      <t c="6">
        <n x="23" s="1"/>
        <n x="24" s="1"/>
        <n x="21"/>
        <n x="75"/>
        <n x="54"/>
        <n x="189"/>
      </t>
    </mdx>
    <mdx n="0" f="v">
      <t c="6">
        <n x="4"/>
        <n x="24" s="1"/>
        <n x="21"/>
        <n x="29"/>
        <n x="50"/>
        <n x="190"/>
      </t>
    </mdx>
    <mdx n="0" f="v">
      <t c="6">
        <n x="4"/>
        <n x="24" s="1"/>
        <n x="21"/>
        <n x="28"/>
        <n x="53"/>
        <n x="190"/>
      </t>
    </mdx>
    <mdx n="0" f="v">
      <t c="6">
        <n x="23" s="1"/>
        <n x="24" s="1"/>
        <n x="21"/>
        <n x="75"/>
        <n x="47"/>
        <n x="189"/>
      </t>
    </mdx>
    <mdx n="0" f="v">
      <t c="5">
        <n x="149" s="1"/>
        <n x="24" s="1"/>
        <n x="21"/>
        <n x="32"/>
        <n x="187"/>
      </t>
    </mdx>
    <mdx n="0" f="v">
      <t c="6">
        <n x="24" s="1"/>
        <n x="21"/>
        <n x="75"/>
        <n x="59"/>
        <n x="190"/>
        <n x="4"/>
      </t>
    </mdx>
    <mdx n="0" f="v">
      <t c="6">
        <n x="23" s="1"/>
        <n x="24" s="1"/>
        <n x="21"/>
        <n x="80"/>
        <n x="74"/>
        <n x="187"/>
      </t>
    </mdx>
    <mdx n="0" f="v">
      <t c="6">
        <n x="23" s="1"/>
        <n x="24" s="1"/>
        <n x="21"/>
        <n x="80"/>
        <n x="72"/>
        <n x="188"/>
      </t>
    </mdx>
    <mdx n="0" f="v">
      <t c="6">
        <n x="23" s="1"/>
        <n x="24" s="1"/>
        <n x="21"/>
        <n x="76"/>
        <n x="44"/>
        <n x="189"/>
      </t>
    </mdx>
    <mdx n="0" f="v">
      <t c="6">
        <n x="23" s="1"/>
        <n x="24" s="1"/>
        <n x="21"/>
        <n x="76"/>
        <n x="56"/>
        <n x="188"/>
      </t>
    </mdx>
    <mdx n="0" f="v">
      <t c="6">
        <n x="23" s="1"/>
        <n x="24" s="1"/>
        <n x="21"/>
        <n x="76"/>
        <n x="53"/>
        <n x="187"/>
      </t>
    </mdx>
    <mdx n="0" f="v">
      <t c="6">
        <n x="23" s="1"/>
        <n x="24" s="1"/>
        <n x="21"/>
        <n x="76"/>
        <n x="42"/>
        <n x="186"/>
      </t>
    </mdx>
    <mdx n="0" f="v">
      <t c="6">
        <n x="23" s="1"/>
        <n x="24" s="1"/>
        <n x="21"/>
        <n x="75"/>
        <n x="71"/>
        <n x="186"/>
      </t>
    </mdx>
    <mdx n="0" f="v">
      <t c="6">
        <n x="23" s="1"/>
        <n x="24" s="1"/>
        <n x="21"/>
        <n x="75"/>
        <n x="150"/>
        <n x="186"/>
      </t>
    </mdx>
    <mdx n="0" f="v">
      <t c="6">
        <n x="23" s="1"/>
        <n x="24" s="1"/>
        <n x="21"/>
        <n x="75"/>
        <n x="71"/>
        <n x="187"/>
      </t>
    </mdx>
    <mdx n="0" f="v">
      <t c="6">
        <n x="23" s="1"/>
        <n x="24" s="1"/>
        <n x="21"/>
        <n x="78"/>
        <n x="68"/>
        <n x="189"/>
      </t>
    </mdx>
    <mdx n="0" f="v">
      <t c="6">
        <n x="23" s="1"/>
        <n x="24" s="1"/>
        <n x="21"/>
        <n x="75"/>
        <n x="35"/>
        <n x="188"/>
      </t>
    </mdx>
    <mdx n="0" f="v">
      <t c="6">
        <n x="24" s="1"/>
        <n x="21"/>
        <n x="75"/>
        <n x="47"/>
        <n x="190"/>
        <n x="4"/>
      </t>
    </mdx>
    <mdx n="0" f="v">
      <t c="6">
        <n x="23" s="1"/>
        <n x="24" s="1"/>
        <n x="21"/>
        <n x="75"/>
        <n x="150"/>
        <n x="187"/>
      </t>
    </mdx>
    <mdx n="0" f="v">
      <t c="6">
        <n x="149" s="1"/>
        <n x="24" s="1"/>
        <n x="21"/>
        <n x="62"/>
        <n x="74"/>
        <n x="187"/>
      </t>
    </mdx>
    <mdx n="0" f="v">
      <t c="6">
        <n x="149" s="1"/>
        <n x="24" s="1"/>
        <n x="21"/>
        <n x="26"/>
        <n x="56"/>
        <n x="188"/>
      </t>
    </mdx>
    <mdx n="0" f="v">
      <t c="6">
        <n x="149" s="1"/>
        <n x="24" s="1"/>
        <n x="21"/>
        <n x="62"/>
        <n x="72"/>
        <n x="188"/>
      </t>
    </mdx>
    <mdx n="0" f="v">
      <t c="6">
        <n x="149" s="1"/>
        <n x="24" s="1"/>
        <n x="21"/>
        <n x="29"/>
        <n x="30"/>
        <n x="187"/>
      </t>
    </mdx>
    <mdx n="0" f="v">
      <t c="6">
        <n x="149" s="1"/>
        <n x="24" s="1"/>
        <n x="21"/>
        <n x="29"/>
        <n x="150"/>
        <n x="187"/>
      </t>
    </mdx>
    <mdx n="0" f="v">
      <t c="5">
        <n x="149" s="1"/>
        <n x="24" s="1"/>
        <n x="21"/>
        <n x="26"/>
        <n x="188"/>
      </t>
    </mdx>
    <mdx n="0" f="v">
      <t c="6">
        <n x="149" s="1"/>
        <n x="24" s="1"/>
        <n x="21"/>
        <n x="29"/>
        <n x="30"/>
        <n x="186"/>
      </t>
    </mdx>
    <mdx n="0" f="v">
      <t c="6">
        <n x="149" s="1"/>
        <n x="24" s="1"/>
        <n x="21"/>
        <n x="29"/>
        <n x="39"/>
        <n x="189"/>
      </t>
    </mdx>
    <mdx n="0" f="v">
      <t c="6">
        <n x="149" s="1"/>
        <n x="24" s="1"/>
        <n x="21"/>
        <n x="62"/>
        <n x="74"/>
        <n x="186"/>
      </t>
    </mdx>
    <mdx n="0" f="v">
      <t c="5">
        <n x="149" s="1"/>
        <n x="24" s="1"/>
        <n x="21"/>
        <n x="29"/>
        <n x="188"/>
      </t>
    </mdx>
    <mdx n="0" f="v">
      <t c="6">
        <n x="149" s="1"/>
        <n x="24" s="1"/>
        <n x="21"/>
        <n x="29"/>
        <n x="47"/>
        <n x="187"/>
      </t>
    </mdx>
    <mdx n="0" f="v">
      <t c="5">
        <n x="4"/>
        <n x="24" s="1"/>
        <n x="21"/>
        <n x="48"/>
        <n x="190"/>
      </t>
    </mdx>
    <mdx n="0" f="v">
      <t c="6">
        <n x="149" s="1"/>
        <n x="24" s="1"/>
        <n x="21"/>
        <n x="32"/>
        <n x="68"/>
        <n x="187"/>
      </t>
    </mdx>
    <mdx n="0" f="v">
      <t c="6">
        <n x="149" s="1"/>
        <n x="24" s="1"/>
        <n x="21"/>
        <n x="32"/>
        <n x="63"/>
        <n x="187"/>
      </t>
    </mdx>
    <mdx n="0" f="v">
      <t c="6">
        <n x="23" s="1"/>
        <n x="24" s="1"/>
        <n x="21"/>
        <n x="76"/>
        <n x="38"/>
        <n x="189"/>
      </t>
    </mdx>
    <mdx n="0" f="v">
      <t c="6">
        <n x="23" s="1"/>
        <n x="24" s="1"/>
        <n x="21"/>
        <n x="76"/>
        <n x="38"/>
        <n x="187"/>
      </t>
    </mdx>
    <mdx n="0" f="v">
      <t c="6">
        <n x="23" s="1"/>
        <n x="24" s="1"/>
        <n x="21"/>
        <n x="78"/>
        <n x="79"/>
        <n x="189"/>
      </t>
    </mdx>
    <mdx n="0" f="v">
      <t c="6">
        <n x="149" s="1"/>
        <n x="24" s="1"/>
        <n x="21"/>
        <n x="26"/>
        <n x="38"/>
        <n x="186"/>
      </t>
    </mdx>
    <mdx n="0" f="v">
      <t c="6">
        <n x="24" s="1"/>
        <n x="21"/>
        <n x="75"/>
        <n x="35"/>
        <n x="190"/>
        <n x="4"/>
      </t>
    </mdx>
    <mdx n="0" f="v">
      <t c="6">
        <n x="23" s="1"/>
        <n x="24" s="1"/>
        <n x="21"/>
        <n x="76"/>
        <n x="60"/>
        <n x="186"/>
      </t>
    </mdx>
    <mdx n="0" f="v">
      <t c="6">
        <n x="4"/>
        <n x="24" s="1"/>
        <n x="21"/>
        <n x="76"/>
        <n x="37"/>
        <n x="190"/>
      </t>
    </mdx>
    <mdx n="0" f="v">
      <t c="6">
        <n x="149" s="1"/>
        <n x="24" s="1"/>
        <n x="21"/>
        <n x="26"/>
        <n x="56"/>
        <n x="187"/>
      </t>
    </mdx>
    <mdx n="0" f="s">
      <ms ns="191" c="0"/>
    </mdx>
    <mdx n="0" f="v">
      <t c="6">
        <n x="18"/>
        <n x="24" s="1"/>
        <n x="21"/>
        <n x="26"/>
        <n x="44"/>
        <n x="146"/>
      </t>
    </mdx>
    <mdx n="0" f="v">
      <t c="6">
        <n x="18"/>
        <n x="24" s="1"/>
        <n x="21"/>
        <n x="28"/>
        <n x="42"/>
        <n x="146"/>
      </t>
    </mdx>
    <mdx n="0" f="v">
      <t c="5">
        <n x="18"/>
        <n x="24" s="1"/>
        <n x="21"/>
        <n x="26"/>
        <n x="146"/>
      </t>
    </mdx>
    <mdx n="0" f="v">
      <t c="6">
        <n x="18"/>
        <n x="24" s="1"/>
        <n x="21"/>
        <n x="29"/>
        <n x="51"/>
        <n x="146"/>
      </t>
    </mdx>
    <mdx n="0" f="v">
      <t c="6">
        <n x="18"/>
        <n x="24" s="1"/>
        <n x="21"/>
        <n x="26"/>
        <n x="56"/>
        <n x="146"/>
      </t>
    </mdx>
    <mdx n="0" f="v">
      <t c="6">
        <n x="18"/>
        <n x="24" s="1"/>
        <n x="21"/>
        <n x="29"/>
        <n x="35"/>
        <n x="146"/>
      </t>
    </mdx>
    <mdx n="0" f="v">
      <t c="6">
        <n x="18"/>
        <n x="24" s="1"/>
        <n x="21"/>
        <n x="48"/>
        <n x="49"/>
        <n x="146"/>
      </t>
    </mdx>
    <mdx n="0" f="v">
      <t c="6">
        <n x="18"/>
        <n x="24" s="1"/>
        <n x="21"/>
        <n x="29"/>
        <n x="45"/>
        <n x="146"/>
      </t>
    </mdx>
    <mdx n="0" f="v">
      <t c="6">
        <n x="18"/>
        <n x="24" s="1"/>
        <n x="21"/>
        <n x="26"/>
        <n x="38"/>
        <n x="146"/>
      </t>
    </mdx>
    <mdx n="0" f="v">
      <t c="6">
        <n x="18"/>
        <n x="24" s="1"/>
        <n x="21"/>
        <n x="32"/>
        <n x="68"/>
        <n x="146"/>
      </t>
    </mdx>
    <mdx n="0" f="v">
      <t c="6">
        <n x="18"/>
        <n x="24" s="1"/>
        <n x="21"/>
        <n x="29"/>
        <n x="30"/>
        <n x="146"/>
      </t>
    </mdx>
    <mdx n="0" f="v">
      <t c="6">
        <n x="18"/>
        <n x="24" s="1"/>
        <n x="21"/>
        <n x="36"/>
        <n x="37"/>
        <n x="146"/>
      </t>
    </mdx>
    <mdx n="0" f="v">
      <t c="6">
        <n x="18"/>
        <n x="24" s="1"/>
        <n x="21"/>
        <n x="26"/>
        <n x="31"/>
        <n x="146"/>
      </t>
    </mdx>
    <mdx n="0" f="v">
      <t c="6">
        <n x="18"/>
        <n x="24" s="1"/>
        <n x="21"/>
        <n x="32"/>
        <n x="33"/>
        <n x="146"/>
      </t>
    </mdx>
    <mdx n="0" f="v">
      <t c="6">
        <n x="18"/>
        <n x="24" s="1"/>
        <n x="21"/>
        <n x="29"/>
        <n x="47"/>
        <n x="146"/>
      </t>
    </mdx>
    <mdx n="0" f="v">
      <t c="6">
        <n x="18"/>
        <n x="24" s="1"/>
        <n x="21"/>
        <n x="26"/>
        <n x="27"/>
        <n x="146"/>
      </t>
    </mdx>
    <mdx n="0" f="v">
      <t c="6">
        <n x="18"/>
        <n x="24" s="1"/>
        <n x="21"/>
        <n x="26"/>
        <n x="57"/>
        <n x="146"/>
      </t>
    </mdx>
    <mdx n="0" f="v">
      <t c="5">
        <n x="18"/>
        <n x="24" s="1"/>
        <n x="21"/>
        <n x="48"/>
        <n x="146"/>
      </t>
    </mdx>
    <mdx n="0" f="v">
      <t c="6">
        <n x="18"/>
        <n x="24" s="1"/>
        <n x="21"/>
        <n x="32"/>
        <n x="63"/>
        <n x="146"/>
      </t>
    </mdx>
    <mdx n="0" f="v">
      <t c="5">
        <n x="18"/>
        <n x="24" s="1"/>
        <n x="21"/>
        <n x="29"/>
        <n x="146"/>
      </t>
    </mdx>
    <mdx n="0" f="v">
      <t c="6">
        <n x="18"/>
        <n x="24" s="1"/>
        <n x="21"/>
        <n x="29"/>
        <n x="39"/>
        <n x="146"/>
      </t>
    </mdx>
    <mdx n="0" f="v">
      <t c="6">
        <n x="18"/>
        <n x="24" s="1"/>
        <n x="21"/>
        <n x="26"/>
        <n x="41"/>
        <n x="146"/>
      </t>
    </mdx>
    <mdx n="0" f="v">
      <t c="6">
        <n x="18"/>
        <n x="24" s="1"/>
        <n x="21"/>
        <n x="29"/>
        <n x="54"/>
        <n x="146"/>
      </t>
    </mdx>
    <mdx n="0" f="v">
      <t c="5">
        <n x="18"/>
        <n x="24" s="1"/>
        <n x="21"/>
        <n x="32"/>
        <n x="146"/>
      </t>
    </mdx>
    <mdx n="0" f="v">
      <t c="6">
        <n x="18"/>
        <n x="24" s="1"/>
        <n x="21"/>
        <n x="26"/>
        <n x="52"/>
        <n x="146"/>
      </t>
    </mdx>
    <mdx n="0" f="v">
      <t c="6">
        <n x="18"/>
        <n x="24" s="1"/>
        <n x="21"/>
        <n x="62"/>
        <n x="72"/>
        <n x="146"/>
      </t>
    </mdx>
    <mdx n="0" f="v">
      <t c="6">
        <n x="18"/>
        <n x="24" s="1"/>
        <n x="21"/>
        <n x="26"/>
        <n x="34"/>
        <n x="146"/>
      </t>
    </mdx>
    <mdx n="0" f="v">
      <t c="6">
        <n x="18"/>
        <n x="24" s="1"/>
        <n x="21"/>
        <n x="32"/>
        <n x="70"/>
        <n x="146"/>
      </t>
    </mdx>
    <mdx n="0" f="v">
      <t c="6">
        <n x="18"/>
        <n x="24" s="1"/>
        <n x="21"/>
        <n x="32"/>
        <n x="66"/>
        <n x="146"/>
      </t>
    </mdx>
    <mdx n="0" f="v">
      <t c="5">
        <n x="18"/>
        <n x="24" s="1"/>
        <n x="21"/>
        <n x="28"/>
        <n x="146"/>
      </t>
    </mdx>
    <mdx n="0" f="v">
      <t c="6">
        <n x="18"/>
        <n x="24" s="1"/>
        <n x="21"/>
        <n x="29"/>
        <n x="43"/>
        <n x="146"/>
      </t>
    </mdx>
    <mdx n="0" f="v">
      <t c="6">
        <n x="18"/>
        <n x="24" s="1"/>
        <n x="21"/>
        <n x="62"/>
        <n x="74"/>
        <n x="146"/>
      </t>
    </mdx>
    <mdx n="0" f="v">
      <t c="6">
        <n x="18"/>
        <n x="24" s="1"/>
        <n x="21"/>
        <n x="28"/>
        <n x="53"/>
        <n x="146"/>
      </t>
    </mdx>
    <mdx n="0" f="v">
      <t c="6">
        <n x="18"/>
        <n x="24" s="1"/>
        <n x="21"/>
        <n x="62"/>
        <n x="73"/>
        <n x="146"/>
      </t>
    </mdx>
    <mdx n="0" f="v">
      <t c="6">
        <n x="18"/>
        <n x="24" s="1"/>
        <n x="21"/>
        <n x="29"/>
        <n x="150"/>
        <n x="146"/>
      </t>
    </mdx>
    <mdx n="0" f="v">
      <t c="6">
        <n x="18"/>
        <n x="24" s="1"/>
        <n x="21"/>
        <n x="29"/>
        <n x="40"/>
        <n x="146"/>
      </t>
    </mdx>
    <mdx n="0" f="v">
      <t c="5">
        <n x="18"/>
        <n x="24" s="1"/>
        <n x="21"/>
        <n x="61"/>
        <n x="146"/>
      </t>
    </mdx>
    <mdx n="0" f="v">
      <t c="6">
        <n x="18"/>
        <n x="24" s="1"/>
        <n x="21"/>
        <n x="28"/>
        <n x="55"/>
        <n x="146"/>
      </t>
    </mdx>
    <mdx n="0" f="v">
      <t c="5">
        <n x="18"/>
        <n x="24" s="1"/>
        <n x="21"/>
        <n x="65"/>
        <n x="146"/>
      </t>
    </mdx>
    <mdx n="0" f="v">
      <t c="6">
        <n x="18"/>
        <n x="24" s="1"/>
        <n x="21"/>
        <n x="48"/>
        <n x="64"/>
        <n x="146"/>
      </t>
    </mdx>
    <mdx n="0" f="v">
      <t c="6">
        <n x="18"/>
        <n x="24" s="1"/>
        <n x="21"/>
        <n x="28"/>
        <n x="58"/>
        <n x="146"/>
      </t>
    </mdx>
    <mdx n="0" f="v">
      <t c="6">
        <n x="18"/>
        <n x="24" s="1"/>
        <n x="21"/>
        <n x="29"/>
        <n x="59"/>
        <n x="146"/>
      </t>
    </mdx>
    <mdx n="0" f="v">
      <t c="5">
        <n x="18"/>
        <n x="24" s="1"/>
        <n x="21"/>
        <n x="36"/>
        <n x="146"/>
      </t>
    </mdx>
    <mdx n="0" f="v">
      <t c="6">
        <n x="18"/>
        <n x="24" s="1"/>
        <n x="21"/>
        <n x="29"/>
        <n x="50"/>
        <n x="146"/>
      </t>
    </mdx>
    <mdx n="0" f="v">
      <t c="6">
        <n x="18"/>
        <n x="24" s="1"/>
        <n x="21"/>
        <n x="26"/>
        <n x="46"/>
        <n x="146"/>
      </t>
    </mdx>
    <mdx n="0" f="v">
      <t c="6">
        <n x="18"/>
        <n x="24" s="1"/>
        <n x="21"/>
        <n x="26"/>
        <n x="60"/>
        <n x="146"/>
      </t>
    </mdx>
    <mdx n="0" f="v">
      <t c="6">
        <n x="5"/>
        <n x="24" s="1"/>
        <n x="21"/>
        <n x="26"/>
        <n x="38"/>
        <n x="102"/>
      </t>
    </mdx>
    <mdx n="0" f="v">
      <t c="5">
        <n x="5"/>
        <n x="24" s="1"/>
        <n x="21"/>
        <n x="48"/>
        <n x="102"/>
      </t>
    </mdx>
    <mdx n="0" f="v">
      <t c="6">
        <n x="5"/>
        <n x="24" s="1"/>
        <n x="21"/>
        <n x="28"/>
        <n x="42"/>
        <n x="102"/>
      </t>
    </mdx>
    <mdx n="0" f="v">
      <t c="6">
        <n x="5"/>
        <n x="24" s="1"/>
        <n x="21"/>
        <n x="29"/>
        <n x="39"/>
        <n x="102"/>
      </t>
    </mdx>
    <mdx n="0" f="v">
      <t c="6">
        <n x="5"/>
        <n x="24" s="1"/>
        <n x="21"/>
        <n x="28"/>
        <n x="55"/>
        <n x="102"/>
      </t>
    </mdx>
    <mdx n="0" f="v">
      <t c="6">
        <n x="5"/>
        <n x="24" s="1"/>
        <n x="21"/>
        <n x="62"/>
        <n x="74"/>
        <n x="102"/>
      </t>
    </mdx>
    <mdx n="0" f="v">
      <t c="6">
        <n x="5"/>
        <n x="24" s="1"/>
        <n x="21"/>
        <n x="29"/>
        <n x="150"/>
        <n x="102"/>
      </t>
    </mdx>
    <mdx n="0" f="v">
      <t c="5">
        <n x="5"/>
        <n x="24" s="1"/>
        <n x="21"/>
        <n x="32"/>
        <n x="102"/>
      </t>
    </mdx>
    <mdx n="0" f="v">
      <t c="6">
        <n x="5"/>
        <n x="24" s="1"/>
        <n x="21"/>
        <n x="28"/>
        <n x="58"/>
        <n x="102"/>
      </t>
    </mdx>
    <mdx n="0" f="v">
      <t c="6">
        <n x="5"/>
        <n x="24" s="1"/>
        <n x="21"/>
        <n x="32"/>
        <n x="33"/>
        <n x="102"/>
      </t>
    </mdx>
    <mdx n="0" f="v">
      <t c="6">
        <n x="5"/>
        <n x="24" s="1"/>
        <n x="21"/>
        <n x="32"/>
        <n x="66"/>
        <n x="102"/>
      </t>
    </mdx>
    <mdx n="0" f="v">
      <t c="6">
        <n x="5"/>
        <n x="24" s="1"/>
        <n x="21"/>
        <n x="62"/>
        <n x="73"/>
        <n x="102"/>
      </t>
    </mdx>
    <mdx n="0" f="v">
      <t c="6">
        <n x="5"/>
        <n x="24" s="1"/>
        <n x="21"/>
        <n x="26"/>
        <n x="57"/>
        <n x="102"/>
      </t>
    </mdx>
    <mdx n="0" f="v">
      <t c="6">
        <n x="5"/>
        <n x="24" s="1"/>
        <n x="21"/>
        <n x="62"/>
        <n x="72"/>
        <n x="102"/>
      </t>
    </mdx>
    <mdx n="0" f="v">
      <t c="6">
        <n x="5"/>
        <n x="24" s="1"/>
        <n x="21"/>
        <n x="29"/>
        <n x="43"/>
        <n x="102"/>
      </t>
    </mdx>
    <mdx n="0" f="v">
      <t c="6">
        <n x="5"/>
        <n x="24" s="1"/>
        <n x="21"/>
        <n x="26"/>
        <n x="56"/>
        <n x="102"/>
      </t>
    </mdx>
    <mdx n="0" f="v">
      <t c="6">
        <n x="5"/>
        <n x="24" s="1"/>
        <n x="21"/>
        <n x="48"/>
        <n x="64"/>
        <n x="102"/>
      </t>
    </mdx>
    <mdx n="0" f="v">
      <t c="6">
        <n x="5"/>
        <n x="24" s="1"/>
        <n x="21"/>
        <n x="36"/>
        <n x="37"/>
        <n x="102"/>
      </t>
    </mdx>
    <mdx n="0" f="v">
      <t c="6">
        <n x="5"/>
        <n x="24" s="1"/>
        <n x="21"/>
        <n x="29"/>
        <n x="35"/>
        <n x="102"/>
      </t>
    </mdx>
    <mdx n="0" f="v">
      <t c="6">
        <n x="5"/>
        <n x="24" s="1"/>
        <n x="21"/>
        <n x="32"/>
        <n x="63"/>
        <n x="102"/>
      </t>
    </mdx>
    <mdx n="0" f="v">
      <t c="5">
        <n x="5"/>
        <n x="24" s="1"/>
        <n x="21"/>
        <n x="61"/>
        <n x="102"/>
      </t>
    </mdx>
    <mdx n="0" f="v">
      <t c="6">
        <n x="5"/>
        <n x="24" s="1"/>
        <n x="21"/>
        <n x="32"/>
        <n x="70"/>
        <n x="102"/>
      </t>
    </mdx>
    <mdx n="0" f="v">
      <t c="6">
        <n x="5"/>
        <n x="24" s="1"/>
        <n x="21"/>
        <n x="29"/>
        <n x="51"/>
        <n x="102"/>
      </t>
    </mdx>
    <mdx n="0" f="v">
      <t c="6">
        <n x="5"/>
        <n x="24" s="1"/>
        <n x="21"/>
        <n x="26"/>
        <n x="27"/>
        <n x="102"/>
      </t>
    </mdx>
    <mdx n="0" f="v">
      <t c="6">
        <n x="5"/>
        <n x="24" s="1"/>
        <n x="21"/>
        <n x="29"/>
        <n x="59"/>
        <n x="102"/>
      </t>
    </mdx>
    <mdx n="0" f="v">
      <t c="6">
        <n x="5"/>
        <n x="24" s="1"/>
        <n x="21"/>
        <n x="48"/>
        <n x="49"/>
        <n x="102"/>
      </t>
    </mdx>
    <mdx n="0" f="v">
      <t c="6">
        <n x="5"/>
        <n x="24" s="1"/>
        <n x="21"/>
        <n x="26"/>
        <n x="52"/>
        <n x="102"/>
      </t>
    </mdx>
    <mdx n="0" f="v">
      <t c="5">
        <n x="5"/>
        <n x="24" s="1"/>
        <n x="21"/>
        <n x="65"/>
        <n x="102"/>
      </t>
    </mdx>
    <mdx n="0" f="v">
      <t c="6">
        <n x="5"/>
        <n x="24" s="1"/>
        <n x="21"/>
        <n x="26"/>
        <n x="44"/>
        <n x="102"/>
      </t>
    </mdx>
    <mdx n="0" f="v">
      <t c="5">
        <n x="5"/>
        <n x="24" s="1"/>
        <n x="21"/>
        <n x="29"/>
        <n x="102"/>
      </t>
    </mdx>
    <mdx n="0" f="v">
      <t c="6">
        <n x="5"/>
        <n x="24" s="1"/>
        <n x="21"/>
        <n x="26"/>
        <n x="34"/>
        <n x="102"/>
      </t>
    </mdx>
    <mdx n="0" f="v">
      <t c="6">
        <n x="5"/>
        <n x="24" s="1"/>
        <n x="21"/>
        <n x="26"/>
        <n x="60"/>
        <n x="102"/>
      </t>
    </mdx>
    <mdx n="0" f="v">
      <t c="6">
        <n x="5"/>
        <n x="24" s="1"/>
        <n x="21"/>
        <n x="29"/>
        <n x="47"/>
        <n x="102"/>
      </t>
    </mdx>
    <mdx n="0" f="v">
      <t c="6">
        <n x="5"/>
        <n x="24" s="1"/>
        <n x="21"/>
        <n x="32"/>
        <n x="68"/>
        <n x="102"/>
      </t>
    </mdx>
    <mdx n="0" f="v">
      <t c="6">
        <n x="5"/>
        <n x="24" s="1"/>
        <n x="21"/>
        <n x="29"/>
        <n x="30"/>
        <n x="102"/>
      </t>
    </mdx>
    <mdx n="0" f="v">
      <t c="5">
        <n x="5"/>
        <n x="24" s="1"/>
        <n x="21"/>
        <n x="36"/>
        <n x="102"/>
      </t>
    </mdx>
    <mdx n="0" f="v">
      <t c="6">
        <n x="5"/>
        <n x="24" s="1"/>
        <n x="21"/>
        <n x="29"/>
        <n x="54"/>
        <n x="102"/>
      </t>
    </mdx>
    <mdx n="0" f="v">
      <t c="6">
        <n x="5"/>
        <n x="24" s="1"/>
        <n x="21"/>
        <n x="29"/>
        <n x="45"/>
        <n x="102"/>
      </t>
    </mdx>
    <mdx n="0" f="v">
      <t c="6">
        <n x="5"/>
        <n x="24" s="1"/>
        <n x="21"/>
        <n x="26"/>
        <n x="41"/>
        <n x="102"/>
      </t>
    </mdx>
    <mdx n="0" f="v">
      <t c="5">
        <n x="5"/>
        <n x="24" s="1"/>
        <n x="21"/>
        <n x="28"/>
        <n x="102"/>
      </t>
    </mdx>
    <mdx n="0" f="v">
      <t c="6">
        <n x="5"/>
        <n x="24" s="1"/>
        <n x="21"/>
        <n x="26"/>
        <n x="46"/>
        <n x="102"/>
      </t>
    </mdx>
    <mdx n="0" f="v">
      <t c="6">
        <n x="5"/>
        <n x="24" s="1"/>
        <n x="21"/>
        <n x="26"/>
        <n x="31"/>
        <n x="102"/>
      </t>
    </mdx>
    <mdx n="0" f="v">
      <t c="6">
        <n x="5"/>
        <n x="24" s="1"/>
        <n x="21"/>
        <n x="29"/>
        <n x="50"/>
        <n x="102"/>
      </t>
    </mdx>
    <mdx n="0" f="v">
      <t c="5">
        <n x="5"/>
        <n x="24" s="1"/>
        <n x="21"/>
        <n x="26"/>
        <n x="102"/>
      </t>
    </mdx>
    <mdx n="0" f="v">
      <t c="6">
        <n x="5"/>
        <n x="24" s="1"/>
        <n x="21"/>
        <n x="28"/>
        <n x="53"/>
        <n x="102"/>
      </t>
    </mdx>
    <mdx n="0" f="v">
      <t c="6">
        <n x="5"/>
        <n x="24" s="1"/>
        <n x="21"/>
        <n x="29"/>
        <n x="40"/>
        <n x="102"/>
      </t>
    </mdx>
    <mdx n="0" f="v">
      <t c="6">
        <n x="24" s="1"/>
        <n x="21"/>
        <n x="75"/>
        <n x="50"/>
        <n x="102"/>
        <n x="5"/>
      </t>
    </mdx>
    <mdx n="0" f="v">
      <t c="6">
        <n x="24" s="1"/>
        <n x="21"/>
        <n x="75"/>
        <n x="39"/>
        <n x="102"/>
        <n x="5"/>
      </t>
    </mdx>
    <mdx n="0" f="v">
      <t c="6">
        <n x="24" s="1"/>
        <n x="21"/>
        <n x="78"/>
        <n x="64"/>
        <n x="102"/>
        <n x="5"/>
      </t>
    </mdx>
    <mdx n="0" f="v">
      <t c="6">
        <n x="24" s="1"/>
        <n x="21"/>
        <n x="75"/>
        <n x="40"/>
        <n x="102"/>
        <n x="5"/>
      </t>
    </mdx>
    <mdx n="0" f="v">
      <t c="6">
        <n x="24" s="1"/>
        <n x="21"/>
        <n x="78"/>
        <n x="66"/>
        <n x="102"/>
        <n x="5"/>
      </t>
    </mdx>
    <mdx n="0" f="v">
      <t c="6">
        <n x="24" s="1"/>
        <n x="21"/>
        <n x="75"/>
        <n x="30"/>
        <n x="102"/>
        <n x="5"/>
      </t>
    </mdx>
    <mdx n="0" f="v">
      <t c="6">
        <n x="24" s="1"/>
        <n x="21"/>
        <n x="75"/>
        <n x="71"/>
        <n x="102"/>
        <n x="5"/>
      </t>
    </mdx>
    <mdx n="0" f="v">
      <t c="6">
        <n x="24" s="1"/>
        <n x="21"/>
        <n x="75"/>
        <n x="51"/>
        <n x="102"/>
        <n x="5"/>
      </t>
    </mdx>
    <mdx n="0" f="v">
      <t c="6">
        <n x="24" s="1"/>
        <n x="21"/>
        <n x="75"/>
        <n x="47"/>
        <n x="102"/>
        <n x="5"/>
      </t>
    </mdx>
    <mdx n="0" f="v">
      <t c="6">
        <n x="24" s="1"/>
        <n x="21"/>
        <n x="75"/>
        <n x="54"/>
        <n x="102"/>
        <n x="5"/>
      </t>
    </mdx>
    <mdx n="0" f="v">
      <t c="6">
        <n x="24" s="1"/>
        <n x="21"/>
        <n x="78"/>
        <n x="68"/>
        <n x="102"/>
        <n x="5"/>
      </t>
    </mdx>
    <mdx n="0" f="v">
      <t c="6">
        <n x="24" s="1"/>
        <n x="21"/>
        <n x="78"/>
        <n x="70"/>
        <n x="102"/>
        <n x="5"/>
      </t>
    </mdx>
    <mdx n="0" f="v">
      <t c="6">
        <n x="24" s="1"/>
        <n x="21"/>
        <n x="75"/>
        <n x="150"/>
        <n x="102"/>
        <n x="5"/>
      </t>
    </mdx>
    <mdx n="0" f="v">
      <t c="6">
        <n x="24" s="1"/>
        <n x="21"/>
        <n x="75"/>
        <n x="43"/>
        <n x="102"/>
        <n x="5"/>
      </t>
    </mdx>
    <mdx n="0" f="v">
      <t c="6">
        <n x="24" s="1"/>
        <n x="21"/>
        <n x="78"/>
        <n x="79"/>
        <n x="102"/>
        <n x="5"/>
      </t>
    </mdx>
    <mdx n="0" f="v">
      <t c="6">
        <n x="24" s="1"/>
        <n x="21"/>
        <n x="78"/>
        <n x="49"/>
        <n x="102"/>
        <n x="5"/>
      </t>
    </mdx>
    <mdx n="0" f="v">
      <t c="6">
        <n x="24" s="1"/>
        <n x="21"/>
        <n x="75"/>
        <n x="45"/>
        <n x="102"/>
        <n x="5"/>
      </t>
    </mdx>
    <mdx n="0" f="v">
      <t c="6">
        <n x="24" s="1"/>
        <n x="21"/>
        <n x="78"/>
        <n x="63"/>
        <n x="102"/>
        <n x="5"/>
      </t>
    </mdx>
    <mdx n="0" f="v">
      <t c="6">
        <n x="24" s="1"/>
        <n x="21"/>
        <n x="78"/>
        <n x="33"/>
        <n x="102"/>
        <n x="5"/>
      </t>
    </mdx>
    <mdx n="0" f="v">
      <t c="6">
        <n x="24" s="1"/>
        <n x="21"/>
        <n x="75"/>
        <n x="35"/>
        <n x="102"/>
        <n x="5"/>
      </t>
    </mdx>
    <mdx n="0" f="v">
      <t c="6">
        <n x="24" s="1"/>
        <n x="21"/>
        <n x="75"/>
        <n x="59"/>
        <n x="102"/>
        <n x="5"/>
      </t>
    </mdx>
    <mdx n="0" f="v">
      <t c="6">
        <n x="24" s="1"/>
        <n x="21"/>
        <n x="78"/>
        <n x="66"/>
        <n x="146"/>
        <n x="18"/>
      </t>
    </mdx>
    <mdx n="0" f="v">
      <t c="6">
        <n x="24" s="1"/>
        <n x="21"/>
        <n x="75"/>
        <n x="43"/>
        <n x="146"/>
        <n x="18"/>
      </t>
    </mdx>
    <mdx n="0" f="v">
      <t c="6">
        <n x="24" s="1"/>
        <n x="21"/>
        <n x="78"/>
        <n x="64"/>
        <n x="146"/>
        <n x="18"/>
      </t>
    </mdx>
    <mdx n="0" f="v">
      <t c="6">
        <n x="24" s="1"/>
        <n x="21"/>
        <n x="78"/>
        <n x="79"/>
        <n x="146"/>
        <n x="18"/>
      </t>
    </mdx>
    <mdx n="0" f="v">
      <t c="6">
        <n x="24" s="1"/>
        <n x="21"/>
        <n x="78"/>
        <n x="33"/>
        <n x="146"/>
        <n x="18"/>
      </t>
    </mdx>
    <mdx n="0" f="v">
      <t c="6">
        <n x="24" s="1"/>
        <n x="21"/>
        <n x="75"/>
        <n x="39"/>
        <n x="146"/>
        <n x="18"/>
      </t>
    </mdx>
    <mdx n="0" f="v">
      <t c="6">
        <n x="24" s="1"/>
        <n x="21"/>
        <n x="75"/>
        <n x="30"/>
        <n x="146"/>
        <n x="18"/>
      </t>
    </mdx>
    <mdx n="0" f="v">
      <t c="6">
        <n x="24" s="1"/>
        <n x="21"/>
        <n x="75"/>
        <n x="71"/>
        <n x="146"/>
        <n x="18"/>
      </t>
    </mdx>
    <mdx n="0" f="v">
      <t c="6">
        <n x="24" s="1"/>
        <n x="21"/>
        <n x="75"/>
        <n x="45"/>
        <n x="146"/>
        <n x="18"/>
      </t>
    </mdx>
    <mdx n="0" f="v">
      <t c="6">
        <n x="24" s="1"/>
        <n x="21"/>
        <n x="75"/>
        <n x="51"/>
        <n x="146"/>
        <n x="18"/>
      </t>
    </mdx>
    <mdx n="0" f="v">
      <t c="6">
        <n x="24" s="1"/>
        <n x="21"/>
        <n x="75"/>
        <n x="59"/>
        <n x="146"/>
        <n x="18"/>
      </t>
    </mdx>
    <mdx n="0" f="v">
      <t c="6">
        <n x="24" s="1"/>
        <n x="21"/>
        <n x="75"/>
        <n x="50"/>
        <n x="146"/>
        <n x="18"/>
      </t>
    </mdx>
    <mdx n="0" f="v">
      <t c="6">
        <n x="24" s="1"/>
        <n x="21"/>
        <n x="75"/>
        <n x="35"/>
        <n x="146"/>
        <n x="18"/>
      </t>
    </mdx>
    <mdx n="0" f="v">
      <t c="6">
        <n x="24" s="1"/>
        <n x="21"/>
        <n x="75"/>
        <n x="54"/>
        <n x="146"/>
        <n x="18"/>
      </t>
    </mdx>
    <mdx n="0" f="v">
      <t c="6">
        <n x="24" s="1"/>
        <n x="21"/>
        <n x="75"/>
        <n x="150"/>
        <n x="146"/>
        <n x="18"/>
      </t>
    </mdx>
    <mdx n="0" f="v">
      <t c="6">
        <n x="24" s="1"/>
        <n x="21"/>
        <n x="78"/>
        <n x="49"/>
        <n x="146"/>
        <n x="18"/>
      </t>
    </mdx>
    <mdx n="0" f="v">
      <t c="6">
        <n x="24" s="1"/>
        <n x="21"/>
        <n x="78"/>
        <n x="63"/>
        <n x="146"/>
        <n x="18"/>
      </t>
    </mdx>
    <mdx n="0" f="v">
      <t c="6">
        <n x="24" s="1"/>
        <n x="21"/>
        <n x="75"/>
        <n x="40"/>
        <n x="146"/>
        <n x="18"/>
      </t>
    </mdx>
    <mdx n="0" f="v">
      <t c="6">
        <n x="24" s="1"/>
        <n x="21"/>
        <n x="78"/>
        <n x="68"/>
        <n x="146"/>
        <n x="18"/>
      </t>
    </mdx>
    <mdx n="0" f="v">
      <t c="6">
        <n x="24" s="1"/>
        <n x="21"/>
        <n x="78"/>
        <n x="70"/>
        <n x="146"/>
        <n x="18"/>
      </t>
    </mdx>
    <mdx n="0" f="v">
      <t c="6">
        <n x="24" s="1"/>
        <n x="21"/>
        <n x="75"/>
        <n x="47"/>
        <n x="146"/>
        <n x="18"/>
      </t>
    </mdx>
    <mdx n="0" f="v">
      <t c="6">
        <n x="5"/>
        <n x="24" s="1"/>
        <n x="21"/>
        <n x="76"/>
        <n x="52"/>
        <n x="102"/>
      </t>
    </mdx>
    <mdx n="0" f="v">
      <t c="6">
        <n x="5"/>
        <n x="24" s="1"/>
        <n x="21"/>
        <n x="76"/>
        <n x="38"/>
        <n x="102"/>
      </t>
    </mdx>
    <mdx n="0" f="v">
      <t c="6">
        <n x="5"/>
        <n x="24" s="1"/>
        <n x="21"/>
        <n x="76"/>
        <n x="31"/>
        <n x="102"/>
      </t>
    </mdx>
    <mdx n="0" f="v">
      <t c="6">
        <n x="5"/>
        <n x="24" s="1"/>
        <n x="21"/>
        <n x="76"/>
        <n x="46"/>
        <n x="102"/>
      </t>
    </mdx>
    <mdx n="0" f="v">
      <t c="6">
        <n x="5"/>
        <n x="24" s="1"/>
        <n x="21"/>
        <n x="76"/>
        <n x="57"/>
        <n x="102"/>
      </t>
    </mdx>
    <mdx n="0" f="v">
      <t c="6">
        <n x="5"/>
        <n x="24" s="1"/>
        <n x="21"/>
        <n x="76"/>
        <n x="67"/>
        <n x="102"/>
      </t>
    </mdx>
    <mdx n="0" f="v">
      <t c="6">
        <n x="5"/>
        <n x="24" s="1"/>
        <n x="21"/>
        <n x="80"/>
        <n x="82"/>
        <n x="102"/>
      </t>
    </mdx>
    <mdx n="0" f="v">
      <t c="6">
        <n x="5"/>
        <n x="24" s="1"/>
        <n x="21"/>
        <n x="76"/>
        <n x="37"/>
        <n x="102"/>
      </t>
    </mdx>
    <mdx n="0" f="v">
      <t c="6">
        <n x="5"/>
        <n x="24" s="1"/>
        <n x="21"/>
        <n x="76"/>
        <n x="53"/>
        <n x="102"/>
      </t>
    </mdx>
    <mdx n="0" f="v">
      <t c="6">
        <n x="5"/>
        <n x="24" s="1"/>
        <n x="21"/>
        <n x="76"/>
        <n x="44"/>
        <n x="102"/>
      </t>
    </mdx>
    <mdx n="0" f="v">
      <t c="6">
        <n x="5"/>
        <n x="24" s="1"/>
        <n x="21"/>
        <n x="80"/>
        <n x="69"/>
        <n x="102"/>
      </t>
    </mdx>
    <mdx n="0" f="v">
      <t c="6">
        <n x="5"/>
        <n x="24" s="1"/>
        <n x="21"/>
        <n x="80"/>
        <n x="72"/>
        <n x="102"/>
      </t>
    </mdx>
    <mdx n="0" f="v">
      <t c="6">
        <n x="5"/>
        <n x="24" s="1"/>
        <n x="21"/>
        <n x="76"/>
        <n x="55"/>
        <n x="102"/>
      </t>
    </mdx>
    <mdx n="0" f="v">
      <t c="6">
        <n x="5"/>
        <n x="24" s="1"/>
        <n x="21"/>
        <n x="76"/>
        <n x="27"/>
        <n x="102"/>
      </t>
    </mdx>
    <mdx n="0" f="v">
      <t c="6">
        <n x="5"/>
        <n x="24" s="1"/>
        <n x="21"/>
        <n x="80"/>
        <n x="73"/>
        <n x="102"/>
      </t>
    </mdx>
    <mdx n="0" f="v">
      <t c="6">
        <n x="5"/>
        <n x="24" s="1"/>
        <n x="21"/>
        <n x="76"/>
        <n x="58"/>
        <n x="102"/>
      </t>
    </mdx>
    <mdx n="0" f="v">
      <t c="6">
        <n x="5"/>
        <n x="24" s="1"/>
        <n x="21"/>
        <n x="76"/>
        <n x="77"/>
        <n x="102"/>
      </t>
    </mdx>
    <mdx n="0" f="v">
      <t c="6">
        <n x="5"/>
        <n x="24" s="1"/>
        <n x="21"/>
        <n x="76"/>
        <n x="56"/>
        <n x="102"/>
      </t>
    </mdx>
    <mdx n="0" f="v">
      <t c="6">
        <n x="5"/>
        <n x="24" s="1"/>
        <n x="21"/>
        <n x="76"/>
        <n x="42"/>
        <n x="102"/>
      </t>
    </mdx>
    <mdx n="0" f="v">
      <t c="6">
        <n x="5"/>
        <n x="24" s="1"/>
        <n x="21"/>
        <n x="76"/>
        <n x="60"/>
        <n x="102"/>
      </t>
    </mdx>
    <mdx n="0" f="v">
      <t c="6">
        <n x="5"/>
        <n x="24" s="1"/>
        <n x="21"/>
        <n x="80"/>
        <n x="74"/>
        <n x="102"/>
      </t>
    </mdx>
    <mdx n="0" f="v">
      <t c="6">
        <n x="5"/>
        <n x="24" s="1"/>
        <n x="21"/>
        <n x="76"/>
        <n x="41"/>
        <n x="102"/>
      </t>
    </mdx>
    <mdx n="0" f="v">
      <t c="6">
        <n x="5"/>
        <n x="24" s="1"/>
        <n x="21"/>
        <n x="76"/>
        <n x="34"/>
        <n x="102"/>
      </t>
    </mdx>
    <mdx n="0" f="v">
      <t c="6">
        <n x="18"/>
        <n x="24" s="1"/>
        <n x="21"/>
        <n x="76"/>
        <n x="53"/>
        <n x="146"/>
      </t>
    </mdx>
    <mdx n="0" f="v">
      <t c="6">
        <n x="18"/>
        <n x="24" s="1"/>
        <n x="21"/>
        <n x="80"/>
        <n x="73"/>
        <n x="146"/>
      </t>
    </mdx>
    <mdx n="0" f="v">
      <t c="6">
        <n x="18"/>
        <n x="24" s="1"/>
        <n x="21"/>
        <n x="76"/>
        <n x="44"/>
        <n x="146"/>
      </t>
    </mdx>
    <mdx n="0" f="v">
      <t c="6">
        <n x="18"/>
        <n x="24" s="1"/>
        <n x="21"/>
        <n x="76"/>
        <n x="42"/>
        <n x="146"/>
      </t>
    </mdx>
    <mdx n="0" f="v">
      <t c="6">
        <n x="18"/>
        <n x="24" s="1"/>
        <n x="21"/>
        <n x="76"/>
        <n x="60"/>
        <n x="146"/>
      </t>
    </mdx>
    <mdx n="0" f="v">
      <t c="6">
        <n x="18"/>
        <n x="24" s="1"/>
        <n x="21"/>
        <n x="76"/>
        <n x="37"/>
        <n x="146"/>
      </t>
    </mdx>
    <mdx n="0" f="v">
      <t c="6">
        <n x="18"/>
        <n x="24" s="1"/>
        <n x="21"/>
        <n x="76"/>
        <n x="57"/>
        <n x="146"/>
      </t>
    </mdx>
    <mdx n="0" f="v">
      <t c="6">
        <n x="18"/>
        <n x="24" s="1"/>
        <n x="21"/>
        <n x="76"/>
        <n x="34"/>
        <n x="146"/>
      </t>
    </mdx>
    <mdx n="0" f="v">
      <t c="6">
        <n x="18"/>
        <n x="24" s="1"/>
        <n x="21"/>
        <n x="76"/>
        <n x="58"/>
        <n x="146"/>
      </t>
    </mdx>
    <mdx n="0" f="v">
      <t c="6">
        <n x="18"/>
        <n x="24" s="1"/>
        <n x="21"/>
        <n x="76"/>
        <n x="52"/>
        <n x="146"/>
      </t>
    </mdx>
    <mdx n="0" f="v">
      <t c="6">
        <n x="18"/>
        <n x="24" s="1"/>
        <n x="21"/>
        <n x="80"/>
        <n x="82"/>
        <n x="146"/>
      </t>
    </mdx>
    <mdx n="0" f="v">
      <t c="6">
        <n x="18"/>
        <n x="24" s="1"/>
        <n x="21"/>
        <n x="76"/>
        <n x="56"/>
        <n x="146"/>
      </t>
    </mdx>
    <mdx n="0" f="v">
      <t c="6">
        <n x="18"/>
        <n x="24" s="1"/>
        <n x="21"/>
        <n x="80"/>
        <n x="69"/>
        <n x="146"/>
      </t>
    </mdx>
    <mdx n="0" f="v">
      <t c="6">
        <n x="18"/>
        <n x="24" s="1"/>
        <n x="21"/>
        <n x="76"/>
        <n x="67"/>
        <n x="146"/>
      </t>
    </mdx>
    <mdx n="0" f="v">
      <t c="6">
        <n x="18"/>
        <n x="24" s="1"/>
        <n x="21"/>
        <n x="76"/>
        <n x="41"/>
        <n x="146"/>
      </t>
    </mdx>
    <mdx n="0" f="v">
      <t c="6">
        <n x="18"/>
        <n x="24" s="1"/>
        <n x="21"/>
        <n x="76"/>
        <n x="46"/>
        <n x="146"/>
      </t>
    </mdx>
    <mdx n="0" f="v">
      <t c="6">
        <n x="18"/>
        <n x="24" s="1"/>
        <n x="21"/>
        <n x="76"/>
        <n x="27"/>
        <n x="146"/>
      </t>
    </mdx>
    <mdx n="0" f="v">
      <t c="6">
        <n x="18"/>
        <n x="24" s="1"/>
        <n x="21"/>
        <n x="76"/>
        <n x="38"/>
        <n x="146"/>
      </t>
    </mdx>
    <mdx n="0" f="v">
      <t c="6">
        <n x="18"/>
        <n x="24" s="1"/>
        <n x="21"/>
        <n x="76"/>
        <n x="77"/>
        <n x="146"/>
      </t>
    </mdx>
    <mdx n="0" f="v">
      <t c="6">
        <n x="18"/>
        <n x="24" s="1"/>
        <n x="21"/>
        <n x="76"/>
        <n x="31"/>
        <n x="146"/>
      </t>
    </mdx>
    <mdx n="0" f="v">
      <t c="6">
        <n x="18"/>
        <n x="24" s="1"/>
        <n x="21"/>
        <n x="80"/>
        <n x="74"/>
        <n x="146"/>
      </t>
    </mdx>
    <mdx n="0" f="v">
      <t c="6">
        <n x="18"/>
        <n x="24" s="1"/>
        <n x="21"/>
        <n x="80"/>
        <n x="72"/>
        <n x="146"/>
      </t>
    </mdx>
    <mdx n="0" f="v">
      <t c="6">
        <n x="18"/>
        <n x="24" s="1"/>
        <n x="21"/>
        <n x="76"/>
        <n x="55"/>
        <n x="146"/>
      </t>
    </mdx>
    <mdx n="0" f="m">
      <t c="1">
        <n x="192"/>
      </t>
    </mdx>
    <mdx n="0" f="m">
      <t c="1">
        <n x="193"/>
      </t>
    </mdx>
    <mdx n="0" f="m">
      <t c="1">
        <n x="194"/>
      </t>
    </mdx>
    <mdx n="0" f="m">
      <t c="1">
        <n x="195"/>
      </t>
    </mdx>
    <mdx n="0" f="m">
      <t c="1">
        <n x="196"/>
      </t>
    </mdx>
    <mdx n="0" f="m">
      <t c="1">
        <n x="197"/>
      </t>
    </mdx>
    <mdx n="0" f="m">
      <t c="1">
        <n x="198"/>
      </t>
    </mdx>
    <mdx n="0" f="m">
      <t c="1">
        <n x="199"/>
      </t>
    </mdx>
    <mdx n="0" f="m">
      <t c="1">
        <n x="200"/>
      </t>
    </mdx>
    <mdx n="0" f="v">
      <t c="3">
        <n x="99"/>
        <n x="138"/>
        <n x="200"/>
      </t>
    </mdx>
    <mdx n="0" f="v">
      <t c="3">
        <n x="99"/>
        <n x="138"/>
        <n x="175"/>
      </t>
    </mdx>
    <mdx n="0" f="v">
      <t c="3">
        <n x="99"/>
        <n x="138"/>
        <n x="176"/>
      </t>
    </mdx>
    <mdx n="0" f="v">
      <t c="3">
        <n x="99"/>
        <n x="140"/>
        <n x="175"/>
      </t>
    </mdx>
    <mdx n="0" f="m">
      <t c="1">
        <n x="201"/>
      </t>
    </mdx>
    <mdx n="0" f="m">
      <t c="1">
        <n x="202"/>
      </t>
    </mdx>
    <mdx n="0" f="m">
      <t c="1">
        <n x="203"/>
      </t>
    </mdx>
    <mdx n="0" f="m">
      <t c="1">
        <n x="204"/>
      </t>
    </mdx>
    <mdx n="0" f="v">
      <t c="3">
        <n x="99"/>
        <n x="140"/>
        <n x="201"/>
      </t>
    </mdx>
    <mdx n="0" f="v">
      <t c="3">
        <n x="99"/>
        <n x="138"/>
        <n x="202"/>
      </t>
    </mdx>
    <mdx n="0" f="v">
      <t c="3">
        <n x="99"/>
        <n x="204"/>
        <n x="178"/>
      </t>
    </mdx>
    <mdx n="0" f="v">
      <t c="3">
        <n x="99"/>
        <n x="204"/>
        <n x="170"/>
      </t>
    </mdx>
    <mdx n="0" f="v">
      <t c="3">
        <n x="99"/>
        <n x="204"/>
        <n x="184"/>
      </t>
    </mdx>
    <mdx n="0" f="v">
      <t c="3">
        <n x="99"/>
        <n x="204"/>
        <n x="172"/>
      </t>
    </mdx>
    <mdx n="0" f="v">
      <t c="3">
        <n x="99"/>
        <n x="140"/>
        <n x="202"/>
      </t>
    </mdx>
    <mdx n="0" f="v">
      <t c="3">
        <n x="99"/>
        <n x="204"/>
        <n x="181"/>
      </t>
    </mdx>
    <mdx n="0" f="v">
      <t c="3">
        <n x="99"/>
        <n x="138"/>
        <n x="201"/>
      </t>
    </mdx>
    <mdx n="0" f="v">
      <t c="3">
        <n x="99"/>
        <n x="204"/>
        <n x="185"/>
      </t>
    </mdx>
    <mdx n="0" f="v">
      <t c="3">
        <n x="99"/>
        <n x="204"/>
        <n x="183"/>
      </t>
    </mdx>
    <mdx n="0" f="m">
      <t c="1">
        <n x="205"/>
      </t>
    </mdx>
    <mdx n="0" f="m">
      <t c="1">
        <n x="206"/>
      </t>
    </mdx>
    <mdx n="0" f="m">
      <t c="1">
        <n x="207"/>
      </t>
    </mdx>
    <mdx n="0" f="m">
      <t c="1">
        <n x="208"/>
      </t>
    </mdx>
    <mdx n="0" f="m">
      <t c="1">
        <n x="209"/>
      </t>
    </mdx>
    <mdx n="0" f="m">
      <t c="1">
        <n x="210"/>
      </t>
    </mdx>
    <mdx n="0" f="m">
      <t c="1">
        <n x="211"/>
      </t>
    </mdx>
    <mdx n="0" f="m">
      <t c="1">
        <n x="212"/>
      </t>
    </mdx>
    <mdx n="0" f="m">
      <t c="1">
        <n x="213"/>
      </t>
    </mdx>
    <mdx n="0" f="v">
      <t c="3">
        <n x="99"/>
        <n x="144"/>
        <n x="170"/>
      </t>
    </mdx>
    <mdx n="0" f="v">
      <t c="3">
        <n x="99"/>
        <n x="138"/>
        <n x="178"/>
      </t>
    </mdx>
    <mdx n="0" f="v">
      <t c="3">
        <n x="99"/>
        <n x="144"/>
        <n x="178"/>
      </t>
    </mdx>
    <mdx n="0" f="v">
      <t c="3">
        <n x="99"/>
        <n x="138"/>
        <n x="184"/>
      </t>
    </mdx>
    <mdx n="0" f="v">
      <t c="3">
        <n x="99"/>
        <n x="144"/>
        <n x="175"/>
      </t>
    </mdx>
    <mdx n="0" f="v">
      <t c="3">
        <n x="99"/>
        <n x="144"/>
        <n x="181"/>
      </t>
    </mdx>
    <mdx n="0" f="v">
      <t c="3">
        <n x="99"/>
        <n x="144"/>
        <n x="176"/>
      </t>
    </mdx>
    <mdx n="0" f="v">
      <t c="3">
        <n x="99"/>
        <n x="144"/>
        <n x="183"/>
      </t>
    </mdx>
    <mdx n="0" f="v">
      <t c="3">
        <n x="99"/>
        <n x="144"/>
        <n x="200"/>
      </t>
    </mdx>
    <mdx n="0" f="v">
      <t c="3">
        <n x="99"/>
        <n x="144"/>
        <n x="185"/>
      </t>
    </mdx>
    <mdx n="0" f="v">
      <t c="3">
        <n x="99"/>
        <n x="140"/>
        <n x="200"/>
      </t>
    </mdx>
    <mdx n="0" f="v">
      <t c="3">
        <n x="99"/>
        <n x="144"/>
        <n x="172"/>
      </t>
    </mdx>
    <mdx n="0" f="m">
      <t c="1">
        <n x="214"/>
      </t>
    </mdx>
    <mdx n="0" f="m">
      <t c="1">
        <n x="215"/>
      </t>
    </mdx>
    <mdx n="0" f="m">
      <t c="1">
        <n x="216"/>
      </t>
    </mdx>
    <mdx n="0" f="v">
      <t c="7">
        <n x="23" s="1"/>
        <n x="24" s="1"/>
        <n x="21"/>
        <n x="26"/>
        <n x="34"/>
        <n x="8"/>
        <n x="216"/>
      </t>
    </mdx>
    <mdx n="0" f="v">
      <t c="7">
        <n x="23" s="1"/>
        <n x="24" s="1"/>
        <n x="21"/>
        <n x="29"/>
        <n x="47"/>
        <n x="15"/>
        <n x="216"/>
      </t>
    </mdx>
    <mdx n="0" f="v">
      <t c="7">
        <n x="23" s="1"/>
        <n x="24" s="1"/>
        <n x="21"/>
        <n x="29"/>
        <n x="45"/>
        <n x="6"/>
        <n x="216"/>
      </t>
    </mdx>
    <mdx n="0" f="v">
      <t c="7">
        <n x="23" s="1"/>
        <n x="24" s="1"/>
        <n x="21"/>
        <n x="26"/>
        <n x="46"/>
        <n x="7"/>
        <n x="216"/>
      </t>
    </mdx>
    <mdx n="0" f="v">
      <t c="7">
        <n x="23" s="1"/>
        <n x="24" s="1"/>
        <n x="21"/>
        <n x="62"/>
        <n x="73"/>
        <n x="14"/>
        <n x="216"/>
      </t>
    </mdx>
    <mdx n="0" f="v">
      <t c="7">
        <n x="23" s="1"/>
        <n x="24" s="1"/>
        <n x="21"/>
        <n x="32"/>
        <n x="33"/>
        <n x="11"/>
        <n x="216"/>
      </t>
    </mdx>
    <mdx n="0" f="v">
      <t c="7">
        <n x="23" s="1"/>
        <n x="24" s="1"/>
        <n x="21"/>
        <n x="26"/>
        <n x="57"/>
        <n x="16"/>
        <n x="216"/>
      </t>
    </mdx>
    <mdx n="0" f="v">
      <t c="6">
        <n x="23" s="1"/>
        <n x="24" s="1"/>
        <n x="21"/>
        <n x="32"/>
        <n x="15"/>
        <n x="216"/>
      </t>
    </mdx>
    <mdx n="0" f="v">
      <t c="7">
        <n x="23" s="1"/>
        <n x="24" s="1"/>
        <n x="21"/>
        <n x="62"/>
        <n x="72"/>
        <n x="25"/>
        <n x="216"/>
      </t>
    </mdx>
    <mdx n="0" f="v">
      <t c="7">
        <n x="23" s="1"/>
        <n x="24" s="1"/>
        <n x="21"/>
        <n x="29"/>
        <n x="40"/>
        <n x="17"/>
        <n x="216"/>
      </t>
    </mdx>
    <mdx n="0" f="v">
      <t c="7">
        <n x="23" s="1"/>
        <n x="24" s="1"/>
        <n x="21"/>
        <n x="29"/>
        <n x="54"/>
        <n x="14"/>
        <n x="216"/>
      </t>
    </mdx>
    <mdx n="0" f="v">
      <t c="7">
        <n x="23" s="1"/>
        <n x="24" s="1"/>
        <n x="21"/>
        <n x="26"/>
        <n x="34"/>
        <n x="7"/>
        <n x="216"/>
      </t>
    </mdx>
    <mdx n="0" f="v">
      <t c="6">
        <n x="23" s="1"/>
        <n x="24" s="1"/>
        <n x="21"/>
        <n x="32"/>
        <n x="9"/>
        <n x="216"/>
      </t>
    </mdx>
    <mdx n="0" f="v">
      <t c="7">
        <n x="23" s="1"/>
        <n x="24" s="1"/>
        <n x="21"/>
        <n x="29"/>
        <n x="35"/>
        <n x="12"/>
        <n x="216"/>
      </t>
    </mdx>
    <mdx n="0" f="v">
      <t c="7">
        <n x="23" s="1"/>
        <n x="24" s="1"/>
        <n x="21"/>
        <n x="29"/>
        <n x="54"/>
        <n x="11"/>
        <n x="216"/>
      </t>
    </mdx>
    <mdx n="0" f="v">
      <t c="7">
        <n x="23" s="1"/>
        <n x="24" s="1"/>
        <n x="21"/>
        <n x="32"/>
        <n x="33"/>
        <n x="14"/>
        <n x="216"/>
      </t>
    </mdx>
    <mdx n="0" f="v">
      <t c="7">
        <n x="23" s="1"/>
        <n x="24" s="1"/>
        <n x="21"/>
        <n x="26"/>
        <n x="44"/>
        <n x="17"/>
        <n x="216"/>
      </t>
    </mdx>
    <mdx n="0" f="v">
      <t c="7">
        <n x="23" s="1"/>
        <n x="24" s="1"/>
        <n x="21"/>
        <n x="36"/>
        <n x="37"/>
        <n x="16"/>
        <n x="216"/>
      </t>
    </mdx>
    <mdx n="0" f="v">
      <t c="7">
        <n x="23" s="1"/>
        <n x="24" s="1"/>
        <n x="21"/>
        <n x="62"/>
        <n x="74"/>
        <n x="6"/>
        <n x="216"/>
      </t>
    </mdx>
    <mdx n="0" f="v">
      <t c="7">
        <n x="23" s="1"/>
        <n x="24" s="1"/>
        <n x="21"/>
        <n x="32"/>
        <n x="68"/>
        <n x="13"/>
        <n x="216"/>
      </t>
    </mdx>
    <mdx n="0" f="v">
      <t c="7">
        <n x="23" s="1"/>
        <n x="24" s="1"/>
        <n x="21"/>
        <n x="32"/>
        <n x="63"/>
        <n x="10"/>
        <n x="216"/>
      </t>
    </mdx>
    <mdx n="0" f="v">
      <t c="7">
        <n x="23" s="1"/>
        <n x="24" s="1"/>
        <n x="21"/>
        <n x="29"/>
        <n x="50"/>
        <n x="25"/>
        <n x="216"/>
      </t>
    </mdx>
    <mdx n="0" f="v">
      <t c="7">
        <n x="23" s="1"/>
        <n x="24" s="1"/>
        <n x="21"/>
        <n x="26"/>
        <n x="52"/>
        <n x="9"/>
        <n x="216"/>
      </t>
    </mdx>
    <mdx n="0" f="v">
      <t c="7">
        <n x="23" s="1"/>
        <n x="24" s="1"/>
        <n x="21"/>
        <n x="28"/>
        <n x="58"/>
        <n x="10"/>
        <n x="216"/>
      </t>
    </mdx>
    <mdx n="0" f="v">
      <t c="7">
        <n x="23" s="1"/>
        <n x="24" s="1"/>
        <n x="21"/>
        <n x="26"/>
        <n x="67"/>
        <n x="16"/>
        <n x="216"/>
      </t>
    </mdx>
    <mdx n="0" f="v">
      <t c="7">
        <n x="23" s="1"/>
        <n x="24" s="1"/>
        <n x="21"/>
        <n x="62"/>
        <n x="74"/>
        <n x="8"/>
        <n x="216"/>
      </t>
    </mdx>
    <mdx n="0" f="v">
      <t c="7">
        <n x="23" s="1"/>
        <n x="24" s="1"/>
        <n x="21"/>
        <n x="29"/>
        <n x="40"/>
        <n x="6"/>
        <n x="216"/>
      </t>
    </mdx>
    <mdx n="0" f="v">
      <t c="7">
        <n x="23" s="1"/>
        <n x="24" s="1"/>
        <n x="21"/>
        <n x="29"/>
        <n x="59"/>
        <n x="9"/>
        <n x="216"/>
      </t>
    </mdx>
    <mdx n="0" f="v">
      <t c="6">
        <n x="23" s="1"/>
        <n x="24" s="1"/>
        <n x="21"/>
        <n x="36"/>
        <n x="11"/>
        <n x="216"/>
      </t>
    </mdx>
    <mdx n="0" f="v">
      <t c="6">
        <n x="23" s="1"/>
        <n x="24" s="1"/>
        <n x="21"/>
        <n x="65"/>
        <n x="25"/>
        <n x="216"/>
      </t>
    </mdx>
    <mdx n="0" f="v">
      <t c="7">
        <n x="23" s="1"/>
        <n x="24" s="1"/>
        <n x="21"/>
        <n x="36"/>
        <n x="37"/>
        <n x="10"/>
        <n x="216"/>
      </t>
    </mdx>
    <mdx n="0" f="v">
      <t c="7">
        <n x="23" s="1"/>
        <n x="24" s="1"/>
        <n x="21"/>
        <n x="26"/>
        <n x="41"/>
        <n x="17"/>
        <n x="216"/>
      </t>
    </mdx>
    <mdx n="0" f="v">
      <t c="6">
        <n x="23" s="1"/>
        <n x="24" s="1"/>
        <n x="21"/>
        <n x="36"/>
        <n x="25"/>
        <n x="216"/>
      </t>
    </mdx>
    <mdx n="0" f="v">
      <t c="7">
        <n x="23" s="1"/>
        <n x="24" s="1"/>
        <n x="21"/>
        <n x="26"/>
        <n x="27"/>
        <n x="9"/>
        <n x="216"/>
      </t>
    </mdx>
    <mdx n="0" f="v">
      <t c="7">
        <n x="23" s="1"/>
        <n x="24" s="1"/>
        <n x="21"/>
        <n x="29"/>
        <n x="35"/>
        <n x="25"/>
        <n x="216"/>
      </t>
    </mdx>
    <mdx n="0" f="v">
      <t c="7">
        <n x="23" s="1"/>
        <n x="24" s="1"/>
        <n x="21"/>
        <n x="26"/>
        <n x="27"/>
        <n x="15"/>
        <n x="216"/>
      </t>
    </mdx>
    <mdx n="0" f="v">
      <t c="6">
        <n x="23" s="1"/>
        <n x="24" s="1"/>
        <n x="21"/>
        <n x="26"/>
        <n x="11"/>
        <n x="216"/>
      </t>
    </mdx>
    <mdx n="0" f="v">
      <t c="7">
        <n x="23" s="1"/>
        <n x="24" s="1"/>
        <n x="21"/>
        <n x="26"/>
        <n x="67"/>
        <n x="12"/>
        <n x="216"/>
      </t>
    </mdx>
    <mdx n="0" f="v">
      <t c="7">
        <n x="23" s="1"/>
        <n x="24" s="1"/>
        <n x="21"/>
        <n x="29"/>
        <n x="50"/>
        <n x="14"/>
        <n x="216"/>
      </t>
    </mdx>
    <mdx n="0" f="v">
      <t c="7">
        <n x="23" s="1"/>
        <n x="24" s="1"/>
        <n x="21"/>
        <n x="29"/>
        <n x="51"/>
        <n x="11"/>
        <n x="216"/>
      </t>
    </mdx>
    <mdx n="0" f="v">
      <t c="7">
        <n x="23" s="1"/>
        <n x="24" s="1"/>
        <n x="21"/>
        <n x="29"/>
        <n x="40"/>
        <n x="25"/>
        <n x="216"/>
      </t>
    </mdx>
    <mdx n="0" f="v">
      <t c="7">
        <n x="23" s="1"/>
        <n x="24" s="1"/>
        <n x="21"/>
        <n x="32"/>
        <n x="33"/>
        <n x="17"/>
        <n x="216"/>
      </t>
    </mdx>
    <mdx n="0" f="v">
      <t c="7">
        <n x="23" s="1"/>
        <n x="24" s="1"/>
        <n x="21"/>
        <n x="26"/>
        <n x="41"/>
        <n x="11"/>
        <n x="216"/>
      </t>
    </mdx>
    <mdx n="0" f="v">
      <t c="7">
        <n x="23" s="1"/>
        <n x="24" s="1"/>
        <n x="21"/>
        <n x="36"/>
        <n x="37"/>
        <n x="8"/>
        <n x="216"/>
      </t>
    </mdx>
    <mdx n="0" f="v">
      <t c="7">
        <n x="23" s="1"/>
        <n x="24" s="1"/>
        <n x="21"/>
        <n x="26"/>
        <n x="31"/>
        <n x="10"/>
        <n x="216"/>
      </t>
    </mdx>
    <mdx n="0" f="v">
      <t c="7">
        <n x="23" s="1"/>
        <n x="24" s="1"/>
        <n x="21"/>
        <n x="29"/>
        <n x="43"/>
        <n x="11"/>
        <n x="216"/>
      </t>
    </mdx>
    <mdx n="0" f="v">
      <t c="7">
        <n x="23" s="1"/>
        <n x="24" s="1"/>
        <n x="21"/>
        <n x="28"/>
        <n x="58"/>
        <n x="6"/>
        <n x="216"/>
      </t>
    </mdx>
    <mdx n="0" f="v">
      <t c="7">
        <n x="23" s="1"/>
        <n x="24" s="1"/>
        <n x="21"/>
        <n x="48"/>
        <n x="49"/>
        <n x="7"/>
        <n x="216"/>
      </t>
    </mdx>
    <mdx n="0" f="v">
      <t c="7">
        <n x="23" s="1"/>
        <n x="24" s="1"/>
        <n x="21"/>
        <n x="29"/>
        <n x="51"/>
        <n x="6"/>
        <n x="216"/>
      </t>
    </mdx>
    <mdx n="0" f="v">
      <t c="7">
        <n x="23" s="1"/>
        <n x="24" s="1"/>
        <n x="21"/>
        <n x="32"/>
        <n x="68"/>
        <n x="9"/>
        <n x="216"/>
      </t>
    </mdx>
    <mdx n="0" f="v">
      <t c="7">
        <n x="23" s="1"/>
        <n x="24" s="1"/>
        <n x="21"/>
        <n x="48"/>
        <n x="49"/>
        <n x="14"/>
        <n x="216"/>
      </t>
    </mdx>
    <mdx n="0" f="v">
      <t c="7">
        <n x="23" s="1"/>
        <n x="24" s="1"/>
        <n x="21"/>
        <n x="26"/>
        <n x="56"/>
        <n x="12"/>
        <n x="216"/>
      </t>
    </mdx>
    <mdx n="0" f="v">
      <t c="7">
        <n x="23" s="1"/>
        <n x="24" s="1"/>
        <n x="21"/>
        <n x="32"/>
        <n x="33"/>
        <n x="8"/>
        <n x="216"/>
      </t>
    </mdx>
    <mdx n="0" f="v">
      <t c="7">
        <n x="23" s="1"/>
        <n x="24" s="1"/>
        <n x="21"/>
        <n x="36"/>
        <n x="37"/>
        <n x="9"/>
        <n x="216"/>
      </t>
    </mdx>
    <mdx n="0" f="v">
      <t c="7">
        <n x="23" s="1"/>
        <n x="24" s="1"/>
        <n x="21"/>
        <n x="28"/>
        <n x="58"/>
        <n x="16"/>
        <n x="216"/>
      </t>
    </mdx>
    <mdx n="0" f="v">
      <t c="7">
        <n x="23" s="1"/>
        <n x="24" s="1"/>
        <n x="21"/>
        <n x="26"/>
        <n x="44"/>
        <n x="16"/>
        <n x="216"/>
      </t>
    </mdx>
    <mdx n="0" f="v">
      <t c="7">
        <n x="23" s="1"/>
        <n x="24" s="1"/>
        <n x="21"/>
        <n x="29"/>
        <n x="50"/>
        <n x="10"/>
        <n x="216"/>
      </t>
    </mdx>
    <mdx n="0" f="v">
      <t c="7">
        <n x="23" s="1"/>
        <n x="24" s="1"/>
        <n x="21"/>
        <n x="62"/>
        <n x="74"/>
        <n x="16"/>
        <n x="216"/>
      </t>
    </mdx>
    <mdx n="0" f="v">
      <t c="7">
        <n x="23" s="1"/>
        <n x="24" s="1"/>
        <n x="21"/>
        <n x="26"/>
        <n x="67"/>
        <n x="11"/>
        <n x="216"/>
      </t>
    </mdx>
    <mdx n="0" f="v">
      <t c="7">
        <n x="23" s="1"/>
        <n x="24" s="1"/>
        <n x="21"/>
        <n x="29"/>
        <n x="59"/>
        <n x="17"/>
        <n x="216"/>
      </t>
    </mdx>
    <mdx n="0" f="v">
      <t c="6">
        <n x="23" s="1"/>
        <n x="24" s="1"/>
        <n x="21"/>
        <n x="29"/>
        <n x="10"/>
        <n x="216"/>
      </t>
    </mdx>
    <mdx n="0" f="v">
      <t c="7">
        <n x="23" s="1"/>
        <n x="24" s="1"/>
        <n x="21"/>
        <n x="48"/>
        <n x="49"/>
        <n x="9"/>
        <n x="216"/>
      </t>
    </mdx>
    <mdx n="0" f="v">
      <t c="7">
        <n x="23" s="1"/>
        <n x="24" s="1"/>
        <n x="21"/>
        <n x="26"/>
        <n x="34"/>
        <n x="12"/>
        <n x="216"/>
      </t>
    </mdx>
    <mdx n="0" f="v">
      <t c="7">
        <n x="23" s="1"/>
        <n x="24" s="1"/>
        <n x="21"/>
        <n x="26"/>
        <n x="38"/>
        <n x="6"/>
        <n x="216"/>
      </t>
    </mdx>
    <mdx n="0" f="v">
      <t c="7">
        <n x="23" s="1"/>
        <n x="24" s="1"/>
        <n x="21"/>
        <n x="48"/>
        <n x="49"/>
        <n x="8"/>
        <n x="216"/>
      </t>
    </mdx>
    <mdx n="0" f="v">
      <t c="6">
        <n x="23" s="1"/>
        <n x="24" s="1"/>
        <n x="21"/>
        <n x="32"/>
        <n x="11"/>
        <n x="216"/>
      </t>
    </mdx>
    <mdx n="0" f="v">
      <t c="7">
        <n x="23" s="1"/>
        <n x="24" s="1"/>
        <n x="21"/>
        <n x="26"/>
        <n x="27"/>
        <n x="12"/>
        <n x="216"/>
      </t>
    </mdx>
    <mdx n="0" f="v">
      <t c="7">
        <n x="23" s="1"/>
        <n x="24" s="1"/>
        <n x="21"/>
        <n x="28"/>
        <n x="55"/>
        <n x="16"/>
        <n x="216"/>
      </t>
    </mdx>
    <mdx n="0" f="v">
      <t c="7">
        <n x="23" s="1"/>
        <n x="24" s="1"/>
        <n x="21"/>
        <n x="26"/>
        <n x="46"/>
        <n x="11"/>
        <n x="216"/>
      </t>
    </mdx>
    <mdx n="0" f="v">
      <t c="7">
        <n x="23" s="1"/>
        <n x="24" s="1"/>
        <n x="21"/>
        <n x="26"/>
        <n x="44"/>
        <n x="9"/>
        <n x="216"/>
      </t>
    </mdx>
    <mdx n="0" f="v">
      <t c="7">
        <n x="23" s="1"/>
        <n x="24" s="1"/>
        <n x="21"/>
        <n x="32"/>
        <n x="33"/>
        <n x="13"/>
        <n x="216"/>
      </t>
    </mdx>
    <mdx n="0" f="v">
      <t c="7">
        <n x="23" s="1"/>
        <n x="24" s="1"/>
        <n x="21"/>
        <n x="29"/>
        <n x="71"/>
        <n x="12"/>
        <n x="216"/>
      </t>
    </mdx>
    <mdx n="0" f="v">
      <t c="7">
        <n x="23" s="1"/>
        <n x="24" s="1"/>
        <n x="21"/>
        <n x="26"/>
        <n x="57"/>
        <n x="13"/>
        <n x="216"/>
      </t>
    </mdx>
    <mdx n="0" f="v">
      <t c="7">
        <n x="23" s="1"/>
        <n x="24" s="1"/>
        <n x="21"/>
        <n x="26"/>
        <n x="31"/>
        <n x="7"/>
        <n x="216"/>
      </t>
    </mdx>
    <mdx n="0" f="v">
      <t c="7">
        <n x="23" s="1"/>
        <n x="24" s="1"/>
        <n x="21"/>
        <n x="26"/>
        <n x="56"/>
        <n x="8"/>
        <n x="216"/>
      </t>
    </mdx>
    <mdx n="0" f="v">
      <t c="6">
        <n x="23" s="1"/>
        <n x="24" s="1"/>
        <n x="21"/>
        <n x="65"/>
        <n x="15"/>
        <n x="216"/>
      </t>
    </mdx>
    <mdx n="0" f="v">
      <t c="7">
        <n x="23" s="1"/>
        <n x="24" s="1"/>
        <n x="21"/>
        <n x="62"/>
        <n x="73"/>
        <n x="17"/>
        <n x="216"/>
      </t>
    </mdx>
    <mdx n="0" f="v">
      <t c="7">
        <n x="23" s="1"/>
        <n x="24" s="1"/>
        <n x="21"/>
        <n x="26"/>
        <n x="60"/>
        <n x="11"/>
        <n x="216"/>
      </t>
    </mdx>
    <mdx n="0" f="v">
      <t c="6">
        <n x="23" s="1"/>
        <n x="24" s="1"/>
        <n x="21"/>
        <n x="61"/>
        <n x="13"/>
        <n x="216"/>
      </t>
    </mdx>
    <mdx n="0" f="v">
      <t c="7">
        <n x="23" s="1"/>
        <n x="24" s="1"/>
        <n x="21"/>
        <n x="28"/>
        <n x="55"/>
        <n x="15"/>
        <n x="216"/>
      </t>
    </mdx>
    <mdx n="0" f="v">
      <t c="6">
        <n x="23" s="1"/>
        <n x="24" s="1"/>
        <n x="21"/>
        <n x="61"/>
        <n x="12"/>
        <n x="216"/>
      </t>
    </mdx>
    <mdx n="0" f="v">
      <t c="7">
        <n x="23" s="1"/>
        <n x="24" s="1"/>
        <n x="21"/>
        <n x="29"/>
        <n x="50"/>
        <n x="17"/>
        <n x="216"/>
      </t>
    </mdx>
    <mdx n="0" f="v">
      <t c="7">
        <n x="23" s="1"/>
        <n x="24" s="1"/>
        <n x="21"/>
        <n x="26"/>
        <n x="60"/>
        <n x="13"/>
        <n x="216"/>
      </t>
    </mdx>
    <mdx n="0" f="v">
      <t c="7">
        <n x="23" s="1"/>
        <n x="24" s="1"/>
        <n x="21"/>
        <n x="28"/>
        <n x="53"/>
        <n x="16"/>
        <n x="216"/>
      </t>
    </mdx>
    <mdx n="0" f="v">
      <t c="7">
        <n x="23" s="1"/>
        <n x="24" s="1"/>
        <n x="21"/>
        <n x="26"/>
        <n x="69"/>
        <n x="10"/>
        <n x="216"/>
      </t>
    </mdx>
    <mdx n="0" f="v">
      <t c="6">
        <n x="23" s="1"/>
        <n x="24" s="1"/>
        <n x="21"/>
        <n x="48"/>
        <n x="10"/>
        <n x="216"/>
      </t>
    </mdx>
    <mdx n="0" f="v">
      <t c="7">
        <n x="23" s="1"/>
        <n x="24" s="1"/>
        <n x="21"/>
        <n x="26"/>
        <n x="31"/>
        <n x="25"/>
        <n x="216"/>
      </t>
    </mdx>
    <mdx n="0" f="v">
      <t c="7">
        <n x="23" s="1"/>
        <n x="24" s="1"/>
        <n x="21"/>
        <n x="29"/>
        <n x="40"/>
        <n x="9"/>
        <n x="216"/>
      </t>
    </mdx>
    <mdx n="0" f="v">
      <t c="6">
        <n x="23" s="1"/>
        <n x="24" s="1"/>
        <n x="21"/>
        <n x="48"/>
        <n x="15"/>
        <n x="216"/>
      </t>
    </mdx>
    <mdx n="0" f="v">
      <t c="7">
        <n x="23" s="1"/>
        <n x="24" s="1"/>
        <n x="21"/>
        <n x="29"/>
        <n x="45"/>
        <n x="17"/>
        <n x="216"/>
      </t>
    </mdx>
    <mdx n="0" f="v">
      <t c="7">
        <n x="23" s="1"/>
        <n x="24" s="1"/>
        <n x="21"/>
        <n x="28"/>
        <n x="58"/>
        <n x="13"/>
        <n x="216"/>
      </t>
    </mdx>
    <mdx n="0" f="v">
      <t c="7">
        <n x="23" s="1"/>
        <n x="24" s="1"/>
        <n x="21"/>
        <n x="26"/>
        <n x="38"/>
        <n x="9"/>
        <n x="216"/>
      </t>
    </mdx>
    <mdx n="0" f="v">
      <t c="6">
        <n x="23" s="1"/>
        <n x="24" s="1"/>
        <n x="21"/>
        <n x="61"/>
        <n x="9"/>
        <n x="216"/>
      </t>
    </mdx>
    <mdx n="0" f="v">
      <t c="7">
        <n x="23" s="1"/>
        <n x="24" s="1"/>
        <n x="21"/>
        <n x="26"/>
        <n x="57"/>
        <n x="12"/>
        <n x="216"/>
      </t>
    </mdx>
    <mdx n="0" f="v">
      <t c="7">
        <n x="23" s="1"/>
        <n x="24" s="1"/>
        <n x="21"/>
        <n x="26"/>
        <n x="52"/>
        <n x="16"/>
        <n x="216"/>
      </t>
    </mdx>
    <mdx n="0" f="v">
      <t c="7">
        <n x="23" s="1"/>
        <n x="24" s="1"/>
        <n x="21"/>
        <n x="32"/>
        <n x="68"/>
        <n x="11"/>
        <n x="216"/>
      </t>
    </mdx>
    <mdx n="0" f="v">
      <t c="7">
        <n x="23" s="1"/>
        <n x="24" s="1"/>
        <n x="21"/>
        <n x="26"/>
        <n x="31"/>
        <n x="15"/>
        <n x="216"/>
      </t>
    </mdx>
    <mdx n="0" f="v">
      <t c="7">
        <n x="23" s="1"/>
        <n x="24" s="1"/>
        <n x="21"/>
        <n x="32"/>
        <n x="66"/>
        <n x="11"/>
        <n x="216"/>
      </t>
    </mdx>
    <mdx n="0" f="v">
      <t c="7">
        <n x="23" s="1"/>
        <n x="24" s="1"/>
        <n x="21"/>
        <n x="26"/>
        <n x="27"/>
        <n x="11"/>
        <n x="216"/>
      </t>
    </mdx>
    <mdx n="0" f="v">
      <t c="7">
        <n x="23" s="1"/>
        <n x="24" s="1"/>
        <n x="21"/>
        <n x="26"/>
        <n x="69"/>
        <n x="9"/>
        <n x="216"/>
      </t>
    </mdx>
    <mdx n="0" f="v">
      <t c="6">
        <n x="23" s="1"/>
        <n x="24" s="1"/>
        <n x="21"/>
        <n x="26"/>
        <n x="14"/>
        <n x="216"/>
      </t>
    </mdx>
    <mdx n="0" f="v">
      <t c="7">
        <n x="23" s="1"/>
        <n x="24" s="1"/>
        <n x="21"/>
        <n x="29"/>
        <n x="50"/>
        <n x="7"/>
        <n x="216"/>
      </t>
    </mdx>
    <mdx n="0" f="v">
      <t c="7">
        <n x="23" s="1"/>
        <n x="24" s="1"/>
        <n x="21"/>
        <n x="28"/>
        <n x="55"/>
        <n x="8"/>
        <n x="216"/>
      </t>
    </mdx>
    <mdx n="0" f="v">
      <t c="7">
        <n x="23" s="1"/>
        <n x="24" s="1"/>
        <n x="21"/>
        <n x="29"/>
        <n x="59"/>
        <n x="11"/>
        <n x="216"/>
      </t>
    </mdx>
    <mdx n="0" f="v">
      <t c="6">
        <n x="23" s="1"/>
        <n x="24" s="1"/>
        <n x="21"/>
        <n x="61"/>
        <n x="11"/>
        <n x="216"/>
      </t>
    </mdx>
    <mdx n="0" f="v">
      <t c="7">
        <n x="23" s="1"/>
        <n x="24" s="1"/>
        <n x="21"/>
        <n x="29"/>
        <n x="51"/>
        <n x="9"/>
        <n x="216"/>
      </t>
    </mdx>
    <mdx n="0" f="v">
      <t c="7">
        <n x="23" s="1"/>
        <n x="24" s="1"/>
        <n x="21"/>
        <n x="29"/>
        <n x="50"/>
        <n x="16"/>
        <n x="216"/>
      </t>
    </mdx>
    <mdx n="0" f="v">
      <t c="6">
        <n x="23" s="1"/>
        <n x="24" s="1"/>
        <n x="21"/>
        <n x="32"/>
        <n x="16"/>
        <n x="216"/>
      </t>
    </mdx>
    <mdx n="0" f="v">
      <t c="6">
        <n x="23" s="1"/>
        <n x="24" s="1"/>
        <n x="21"/>
        <n x="48"/>
        <n x="16"/>
        <n x="216"/>
      </t>
    </mdx>
    <mdx n="0" f="v">
      <t c="7">
        <n x="23" s="1"/>
        <n x="24" s="1"/>
        <n x="21"/>
        <n x="29"/>
        <n x="45"/>
        <n x="8"/>
        <n x="216"/>
      </t>
    </mdx>
    <mdx n="0" f="v">
      <t c="7">
        <n x="23" s="1"/>
        <n x="24" s="1"/>
        <n x="21"/>
        <n x="26"/>
        <n x="52"/>
        <n x="7"/>
        <n x="216"/>
      </t>
    </mdx>
    <mdx n="0" f="v">
      <t c="7">
        <n x="23" s="1"/>
        <n x="24" s="1"/>
        <n x="21"/>
        <n x="28"/>
        <n x="58"/>
        <n x="15"/>
        <n x="216"/>
      </t>
    </mdx>
    <mdx n="0" f="v">
      <t c="7">
        <n x="23" s="1"/>
        <n x="24" s="1"/>
        <n x="21"/>
        <n x="26"/>
        <n x="41"/>
        <n x="12"/>
        <n x="216"/>
      </t>
    </mdx>
    <mdx n="0" f="v">
      <t c="7">
        <n x="23" s="1"/>
        <n x="24" s="1"/>
        <n x="21"/>
        <n x="29"/>
        <n x="54"/>
        <n x="13"/>
        <n x="216"/>
      </t>
    </mdx>
    <mdx n="0" f="v">
      <t c="7">
        <n x="23" s="1"/>
        <n x="24" s="1"/>
        <n x="21"/>
        <n x="62"/>
        <n x="74"/>
        <n x="10"/>
        <n x="216"/>
      </t>
    </mdx>
    <mdx n="0" f="v">
      <t c="7">
        <n x="23" s="1"/>
        <n x="24" s="1"/>
        <n x="21"/>
        <n x="32"/>
        <n x="66"/>
        <n x="9"/>
        <n x="216"/>
      </t>
    </mdx>
    <mdx n="0" f="v">
      <t c="7">
        <n x="23" s="1"/>
        <n x="24" s="1"/>
        <n x="21"/>
        <n x="62"/>
        <n x="73"/>
        <n x="10"/>
        <n x="216"/>
      </t>
    </mdx>
    <mdx n="0" f="v">
      <t c="6">
        <n x="23" s="1"/>
        <n x="24" s="1"/>
        <n x="21"/>
        <n x="26"/>
        <n x="9"/>
        <n x="216"/>
      </t>
    </mdx>
    <mdx n="0" f="v">
      <t c="7">
        <n x="23" s="1"/>
        <n x="24" s="1"/>
        <n x="21"/>
        <n x="26"/>
        <n x="31"/>
        <n x="9"/>
        <n x="216"/>
      </t>
    </mdx>
    <mdx n="0" f="v">
      <t c="7">
        <n x="23" s="1"/>
        <n x="24" s="1"/>
        <n x="21"/>
        <n x="26"/>
        <n x="69"/>
        <n x="25"/>
        <n x="216"/>
      </t>
    </mdx>
    <mdx n="0" f="v">
      <t c="7">
        <n x="23" s="1"/>
        <n x="24" s="1"/>
        <n x="21"/>
        <n x="36"/>
        <n x="37"/>
        <n x="25"/>
        <n x="216"/>
      </t>
    </mdx>
    <mdx n="0" f="v">
      <t c="7">
        <n x="23" s="1"/>
        <n x="24" s="1"/>
        <n x="21"/>
        <n x="48"/>
        <n x="49"/>
        <n x="11"/>
        <n x="216"/>
      </t>
    </mdx>
    <mdx n="0" f="v">
      <t c="7">
        <n x="23" s="1"/>
        <n x="24" s="1"/>
        <n x="21"/>
        <n x="26"/>
        <n x="34"/>
        <n x="13"/>
        <n x="216"/>
      </t>
    </mdx>
    <mdx n="0" f="v">
      <t c="7">
        <n x="23" s="1"/>
        <n x="24" s="1"/>
        <n x="21"/>
        <n x="28"/>
        <n x="58"/>
        <n x="25"/>
        <n x="216"/>
      </t>
    </mdx>
    <mdx n="0" f="v">
      <t c="7">
        <n x="23" s="1"/>
        <n x="24" s="1"/>
        <n x="21"/>
        <n x="48"/>
        <n x="49"/>
        <n x="25"/>
        <n x="216"/>
      </t>
    </mdx>
    <mdx n="0" f="v">
      <t c="7">
        <n x="23" s="1"/>
        <n x="24" s="1"/>
        <n x="21"/>
        <n x="29"/>
        <n x="30"/>
        <n x="25"/>
        <n x="216"/>
      </t>
    </mdx>
    <mdx n="0" f="v">
      <t c="7">
        <n x="23" s="1"/>
        <n x="24" s="1"/>
        <n x="21"/>
        <n x="29"/>
        <n x="59"/>
        <n x="14"/>
        <n x="216"/>
      </t>
    </mdx>
    <mdx n="0" f="v">
      <t c="7">
        <n x="23" s="1"/>
        <n x="24" s="1"/>
        <n x="21"/>
        <n x="29"/>
        <n x="39"/>
        <n x="9"/>
        <n x="216"/>
      </t>
    </mdx>
    <mdx n="0" f="v">
      <t c="7">
        <n x="23" s="1"/>
        <n x="24" s="1"/>
        <n x="21"/>
        <n x="28"/>
        <n x="55"/>
        <n x="25"/>
        <n x="216"/>
      </t>
    </mdx>
    <mdx n="0" f="v">
      <t c="7">
        <n x="23" s="1"/>
        <n x="24" s="1"/>
        <n x="21"/>
        <n x="29"/>
        <n x="30"/>
        <n x="13"/>
        <n x="216"/>
      </t>
    </mdx>
    <mdx n="0" f="v">
      <t c="7">
        <n x="23" s="1"/>
        <n x="24" s="1"/>
        <n x="21"/>
        <n x="26"/>
        <n x="46"/>
        <n x="9"/>
        <n x="216"/>
      </t>
    </mdx>
    <mdx n="0" f="v">
      <t c="7">
        <n x="23" s="1"/>
        <n x="24" s="1"/>
        <n x="21"/>
        <n x="29"/>
        <n x="43"/>
        <n x="14"/>
        <n x="216"/>
      </t>
    </mdx>
    <mdx n="0" f="v">
      <t c="7">
        <n x="23" s="1"/>
        <n x="24" s="1"/>
        <n x="21"/>
        <n x="26"/>
        <n x="44"/>
        <n x="7"/>
        <n x="216"/>
      </t>
    </mdx>
    <mdx n="0" f="v">
      <t c="7">
        <n x="23" s="1"/>
        <n x="24" s="1"/>
        <n x="21"/>
        <n x="48"/>
        <n x="64"/>
        <n x="13"/>
        <n x="216"/>
      </t>
    </mdx>
    <mdx n="0" f="v">
      <t c="7">
        <n x="23" s="1"/>
        <n x="24" s="1"/>
        <n x="21"/>
        <n x="26"/>
        <n x="44"/>
        <n x="12"/>
        <n x="216"/>
      </t>
    </mdx>
    <mdx n="0" f="v">
      <t c="7">
        <n x="23" s="1"/>
        <n x="24" s="1"/>
        <n x="21"/>
        <n x="29"/>
        <n x="35"/>
        <n x="7"/>
        <n x="216"/>
      </t>
    </mdx>
    <mdx n="0" f="v">
      <t c="7">
        <n x="23" s="1"/>
        <n x="24" s="1"/>
        <n x="21"/>
        <n x="29"/>
        <n x="45"/>
        <n x="14"/>
        <n x="216"/>
      </t>
    </mdx>
    <mdx n="0" f="v">
      <t c="7">
        <n x="23" s="1"/>
        <n x="24" s="1"/>
        <n x="21"/>
        <n x="29"/>
        <n x="40"/>
        <n x="12"/>
        <n x="216"/>
      </t>
    </mdx>
    <mdx n="0" f="v">
      <t c="6">
        <n x="23" s="1"/>
        <n x="24" s="1"/>
        <n x="21"/>
        <n x="65"/>
        <n x="16"/>
        <n x="216"/>
      </t>
    </mdx>
    <mdx n="0" f="v">
      <t c="7">
        <n x="23" s="1"/>
        <n x="24" s="1"/>
        <n x="21"/>
        <n x="28"/>
        <n x="53"/>
        <n x="11"/>
        <n x="216"/>
      </t>
    </mdx>
    <mdx n="0" f="v">
      <t c="7">
        <n x="23" s="1"/>
        <n x="24" s="1"/>
        <n x="21"/>
        <n x="29"/>
        <n x="43"/>
        <n x="10"/>
        <n x="216"/>
      </t>
    </mdx>
    <mdx n="0" f="v">
      <t c="7">
        <n x="23" s="1"/>
        <n x="24" s="1"/>
        <n x="21"/>
        <n x="28"/>
        <n x="53"/>
        <n x="17"/>
        <n x="216"/>
      </t>
    </mdx>
    <mdx n="0" f="v">
      <t c="7">
        <n x="23" s="1"/>
        <n x="24" s="1"/>
        <n x="21"/>
        <n x="29"/>
        <n x="35"/>
        <n x="11"/>
        <n x="216"/>
      </t>
    </mdx>
    <mdx n="0" f="v">
      <t c="7">
        <n x="23" s="1"/>
        <n x="24" s="1"/>
        <n x="21"/>
        <n x="26"/>
        <n x="67"/>
        <n x="25"/>
        <n x="216"/>
      </t>
    </mdx>
    <mdx n="0" f="v">
      <t c="7">
        <n x="23" s="1"/>
        <n x="24" s="1"/>
        <n x="21"/>
        <n x="26"/>
        <n x="56"/>
        <n x="9"/>
        <n x="216"/>
      </t>
    </mdx>
    <mdx n="0" f="v">
      <t c="7">
        <n x="23" s="1"/>
        <n x="24" s="1"/>
        <n x="21"/>
        <n x="48"/>
        <n x="64"/>
        <n x="17"/>
        <n x="216"/>
      </t>
    </mdx>
    <mdx n="0" f="v">
      <t c="7">
        <n x="23" s="1"/>
        <n x="24" s="1"/>
        <n x="21"/>
        <n x="26"/>
        <n x="57"/>
        <n x="17"/>
        <n x="216"/>
      </t>
    </mdx>
    <mdx n="0" f="v">
      <t c="7">
        <n x="23" s="1"/>
        <n x="24" s="1"/>
        <n x="21"/>
        <n x="36"/>
        <n x="37"/>
        <n x="17"/>
        <n x="216"/>
      </t>
    </mdx>
    <mdx n="0" f="v">
      <t c="7">
        <n x="23" s="1"/>
        <n x="24" s="1"/>
        <n x="21"/>
        <n x="26"/>
        <n x="46"/>
        <n x="17"/>
        <n x="216"/>
      </t>
    </mdx>
    <mdx n="0" f="v">
      <t c="6">
        <n x="23" s="1"/>
        <n x="24" s="1"/>
        <n x="21"/>
        <n x="65"/>
        <n x="13"/>
        <n x="216"/>
      </t>
    </mdx>
    <mdx n="0" f="v">
      <t c="7">
        <n x="23" s="1"/>
        <n x="24" s="1"/>
        <n x="21"/>
        <n x="48"/>
        <n x="49"/>
        <n x="12"/>
        <n x="216"/>
      </t>
    </mdx>
    <mdx n="0" f="v">
      <t c="7">
        <n x="23" s="1"/>
        <n x="24" s="1"/>
        <n x="21"/>
        <n x="29"/>
        <n x="43"/>
        <n x="16"/>
        <n x="216"/>
      </t>
    </mdx>
    <mdx n="0" f="v">
      <t c="7">
        <n x="23" s="1"/>
        <n x="24" s="1"/>
        <n x="21"/>
        <n x="28"/>
        <n x="58"/>
        <n x="7"/>
        <n x="216"/>
      </t>
    </mdx>
    <mdx n="0" f="v">
      <t c="7">
        <n x="23" s="1"/>
        <n x="24" s="1"/>
        <n x="21"/>
        <n x="29"/>
        <n x="43"/>
        <n x="25"/>
        <n x="216"/>
      </t>
    </mdx>
    <mdx n="0" f="v">
      <t c="7">
        <n x="23" s="1"/>
        <n x="24" s="1"/>
        <n x="21"/>
        <n x="32"/>
        <n x="66"/>
        <n x="15"/>
        <n x="216"/>
      </t>
    </mdx>
    <mdx n="0" f="v">
      <t c="7">
        <n x="23" s="1"/>
        <n x="24" s="1"/>
        <n x="21"/>
        <n x="26"/>
        <n x="57"/>
        <n x="10"/>
        <n x="216"/>
      </t>
    </mdx>
    <mdx n="0" f="v">
      <t c="7">
        <n x="23" s="1"/>
        <n x="24" s="1"/>
        <n x="21"/>
        <n x="28"/>
        <n x="58"/>
        <n x="11"/>
        <n x="216"/>
      </t>
    </mdx>
    <mdx n="0" f="v">
      <t c="7">
        <n x="23" s="1"/>
        <n x="24" s="1"/>
        <n x="21"/>
        <n x="29"/>
        <n x="47"/>
        <n x="17"/>
        <n x="216"/>
      </t>
    </mdx>
    <mdx n="0" f="v">
      <t c="6">
        <n x="23" s="1"/>
        <n x="24" s="1"/>
        <n x="21"/>
        <n x="26"/>
        <n x="13"/>
        <n x="216"/>
      </t>
    </mdx>
    <mdx n="0" f="v">
      <t c="7">
        <n x="23" s="1"/>
        <n x="24" s="1"/>
        <n x="21"/>
        <n x="32"/>
        <n x="70"/>
        <n x="8"/>
        <n x="216"/>
      </t>
    </mdx>
    <mdx n="0" f="v">
      <t c="6">
        <n x="23" s="1"/>
        <n x="24" s="1"/>
        <n x="21"/>
        <n x="65"/>
        <n x="6"/>
        <n x="216"/>
      </t>
    </mdx>
    <mdx n="0" f="v">
      <t c="7">
        <n x="23" s="1"/>
        <n x="24" s="1"/>
        <n x="21"/>
        <n x="28"/>
        <n x="53"/>
        <n x="8"/>
        <n x="216"/>
      </t>
    </mdx>
    <mdx n="0" f="v">
      <t c="7">
        <n x="23" s="1"/>
        <n x="24" s="1"/>
        <n x="21"/>
        <n x="26"/>
        <n x="41"/>
        <n x="7"/>
        <n x="216"/>
      </t>
    </mdx>
    <mdx n="0" f="v">
      <t c="7">
        <n x="23" s="1"/>
        <n x="24" s="1"/>
        <n x="21"/>
        <n x="62"/>
        <n x="74"/>
        <n x="17"/>
        <n x="216"/>
      </t>
    </mdx>
    <mdx n="0" f="v">
      <t c="7">
        <n x="23" s="1"/>
        <n x="24" s="1"/>
        <n x="21"/>
        <n x="48"/>
        <n x="64"/>
        <n x="6"/>
        <n x="216"/>
      </t>
    </mdx>
    <mdx n="0" f="v">
      <t c="7">
        <n x="23" s="1"/>
        <n x="24" s="1"/>
        <n x="21"/>
        <n x="29"/>
        <n x="39"/>
        <n x="15"/>
        <n x="216"/>
      </t>
    </mdx>
    <mdx n="0" f="v">
      <t c="7">
        <n x="23" s="1"/>
        <n x="24" s="1"/>
        <n x="21"/>
        <n x="29"/>
        <n x="45"/>
        <n x="16"/>
        <n x="216"/>
      </t>
    </mdx>
    <mdx n="0" f="v">
      <t c="6">
        <n x="23" s="1"/>
        <n x="24" s="1"/>
        <n x="21"/>
        <n x="29"/>
        <n x="16"/>
        <n x="216"/>
      </t>
    </mdx>
    <mdx n="0" f="v">
      <t c="7">
        <n x="23" s="1"/>
        <n x="24" s="1"/>
        <n x="21"/>
        <n x="28"/>
        <n x="55"/>
        <n x="6"/>
        <n x="216"/>
      </t>
    </mdx>
    <mdx n="0" f="v">
      <t c="7">
        <n x="23" s="1"/>
        <n x="24" s="1"/>
        <n x="21"/>
        <n x="29"/>
        <n x="30"/>
        <n x="11"/>
        <n x="216"/>
      </t>
    </mdx>
    <mdx n="0" f="v">
      <t c="7">
        <n x="23" s="1"/>
        <n x="24" s="1"/>
        <n x="21"/>
        <n x="48"/>
        <n x="64"/>
        <n x="25"/>
        <n x="216"/>
      </t>
    </mdx>
    <mdx n="0" f="v">
      <t c="7">
        <n x="23" s="1"/>
        <n x="24" s="1"/>
        <n x="21"/>
        <n x="32"/>
        <n x="63"/>
        <n x="14"/>
        <n x="216"/>
      </t>
    </mdx>
    <mdx n="0" f="v">
      <t c="7">
        <n x="23" s="1"/>
        <n x="24" s="1"/>
        <n x="21"/>
        <n x="26"/>
        <n x="34"/>
        <n x="10"/>
        <n x="216"/>
      </t>
    </mdx>
    <mdx n="0" f="v">
      <t c="7">
        <n x="23" s="1"/>
        <n x="24" s="1"/>
        <n x="21"/>
        <n x="62"/>
        <n x="73"/>
        <n x="9"/>
        <n x="216"/>
      </t>
    </mdx>
    <mdx n="0" f="v">
      <t c="7">
        <n x="23" s="1"/>
        <n x="24" s="1"/>
        <n x="21"/>
        <n x="32"/>
        <n x="33"/>
        <n x="6"/>
        <n x="216"/>
      </t>
    </mdx>
    <mdx n="0" f="v">
      <t c="7">
        <n x="23" s="1"/>
        <n x="24" s="1"/>
        <n x="21"/>
        <n x="29"/>
        <n x="71"/>
        <n x="9"/>
        <n x="216"/>
      </t>
    </mdx>
    <mdx n="0" f="v">
      <t c="6">
        <n x="23" s="1"/>
        <n x="24" s="1"/>
        <n x="21"/>
        <n x="29"/>
        <n x="11"/>
        <n x="216"/>
      </t>
    </mdx>
    <mdx n="0" f="v">
      <t c="6">
        <n x="23" s="1"/>
        <n x="24" s="1"/>
        <n x="21"/>
        <n x="32"/>
        <n x="12"/>
        <n x="216"/>
      </t>
    </mdx>
    <mdx n="0" f="v">
      <t c="7">
        <n x="23" s="1"/>
        <n x="24" s="1"/>
        <n x="21"/>
        <n x="29"/>
        <n x="71"/>
        <n x="11"/>
        <n x="216"/>
      </t>
    </mdx>
    <mdx n="0" f="v">
      <t c="7">
        <n x="23" s="1"/>
        <n x="24" s="1"/>
        <n x="21"/>
        <n x="26"/>
        <n x="44"/>
        <n x="11"/>
        <n x="216"/>
      </t>
    </mdx>
    <mdx n="0" f="v">
      <t c="7">
        <n x="23" s="1"/>
        <n x="24" s="1"/>
        <n x="21"/>
        <n x="29"/>
        <n x="30"/>
        <n x="15"/>
        <n x="216"/>
      </t>
    </mdx>
    <mdx n="0" f="v">
      <t c="7">
        <n x="23" s="1"/>
        <n x="24" s="1"/>
        <n x="21"/>
        <n x="28"/>
        <n x="58"/>
        <n x="8"/>
        <n x="216"/>
      </t>
    </mdx>
    <mdx n="0" f="v">
      <t c="7">
        <n x="23" s="1"/>
        <n x="24" s="1"/>
        <n x="21"/>
        <n x="29"/>
        <n x="35"/>
        <n x="6"/>
        <n x="216"/>
      </t>
    </mdx>
    <mdx n="0" f="v">
      <t c="7">
        <n x="23" s="1"/>
        <n x="24" s="1"/>
        <n x="21"/>
        <n x="29"/>
        <n x="59"/>
        <n x="8"/>
        <n x="216"/>
      </t>
    </mdx>
    <mdx n="0" f="v">
      <t c="7">
        <n x="23" s="1"/>
        <n x="24" s="1"/>
        <n x="21"/>
        <n x="26"/>
        <n x="52"/>
        <n x="17"/>
        <n x="216"/>
      </t>
    </mdx>
    <mdx n="0" f="v">
      <t c="7">
        <n x="23" s="1"/>
        <n x="24" s="1"/>
        <n x="21"/>
        <n x="26"/>
        <n x="34"/>
        <n x="15"/>
        <n x="216"/>
      </t>
    </mdx>
    <mdx n="0" f="v">
      <t c="6">
        <n x="23" s="1"/>
        <n x="24" s="1"/>
        <n x="21"/>
        <n x="61"/>
        <n x="6"/>
        <n x="216"/>
      </t>
    </mdx>
    <mdx n="0" f="v">
      <t c="7">
        <n x="23" s="1"/>
        <n x="24" s="1"/>
        <n x="21"/>
        <n x="26"/>
        <n x="52"/>
        <n x="10"/>
        <n x="216"/>
      </t>
    </mdx>
    <mdx n="0" f="v">
      <t c="7">
        <n x="23" s="1"/>
        <n x="24" s="1"/>
        <n x="21"/>
        <n x="62"/>
        <n x="74"/>
        <n x="14"/>
        <n x="216"/>
      </t>
    </mdx>
    <mdx n="0" f="v">
      <t c="7">
        <n x="23" s="1"/>
        <n x="24" s="1"/>
        <n x="21"/>
        <n x="26"/>
        <n x="69"/>
        <n x="8"/>
        <n x="216"/>
      </t>
    </mdx>
    <mdx n="0" f="v">
      <t c="7">
        <n x="23" s="1"/>
        <n x="24" s="1"/>
        <n x="21"/>
        <n x="32"/>
        <n x="70"/>
        <n x="17"/>
        <n x="216"/>
      </t>
    </mdx>
    <mdx n="0" f="v">
      <t c="6">
        <n x="23" s="1"/>
        <n x="24" s="1"/>
        <n x="21"/>
        <n x="65"/>
        <n x="12"/>
        <n x="216"/>
      </t>
    </mdx>
    <mdx n="0" f="v">
      <t c="7">
        <n x="23" s="1"/>
        <n x="24" s="1"/>
        <n x="21"/>
        <n x="29"/>
        <n x="35"/>
        <n x="14"/>
        <n x="216"/>
      </t>
    </mdx>
    <mdx n="0" f="v">
      <t c="7">
        <n x="23" s="1"/>
        <n x="24" s="1"/>
        <n x="21"/>
        <n x="29"/>
        <n x="39"/>
        <n x="10"/>
        <n x="216"/>
      </t>
    </mdx>
    <mdx n="0" f="v">
      <t c="7">
        <n x="23" s="1"/>
        <n x="24" s="1"/>
        <n x="21"/>
        <n x="26"/>
        <n x="41"/>
        <n x="13"/>
        <n x="216"/>
      </t>
    </mdx>
    <mdx n="0" f="v">
      <t c="7">
        <n x="23" s="1"/>
        <n x="24" s="1"/>
        <n x="21"/>
        <n x="29"/>
        <n x="35"/>
        <n x="17"/>
        <n x="216"/>
      </t>
    </mdx>
    <mdx n="0" f="v">
      <t c="7">
        <n x="23" s="1"/>
        <n x="24" s="1"/>
        <n x="21"/>
        <n x="29"/>
        <n x="43"/>
        <n x="17"/>
        <n x="216"/>
      </t>
    </mdx>
    <mdx n="0" f="v">
      <t c="6">
        <n x="23" s="1"/>
        <n x="24" s="1"/>
        <n x="21"/>
        <n x="26"/>
        <n x="17"/>
        <n x="216"/>
      </t>
    </mdx>
    <mdx n="0" f="v">
      <t c="7">
        <n x="23" s="1"/>
        <n x="24" s="1"/>
        <n x="21"/>
        <n x="26"/>
        <n x="41"/>
        <n x="6"/>
        <n x="216"/>
      </t>
    </mdx>
    <mdx n="0" f="v">
      <t c="7">
        <n x="23" s="1"/>
        <n x="24" s="1"/>
        <n x="21"/>
        <n x="48"/>
        <n x="49"/>
        <n x="6"/>
        <n x="216"/>
      </t>
    </mdx>
    <mdx n="0" f="v">
      <t c="7">
        <n x="23" s="1"/>
        <n x="24" s="1"/>
        <n x="21"/>
        <n x="29"/>
        <n x="43"/>
        <n x="13"/>
        <n x="216"/>
      </t>
    </mdx>
    <mdx n="0" f="v">
      <t c="7">
        <n x="23" s="1"/>
        <n x="24" s="1"/>
        <n x="21"/>
        <n x="62"/>
        <n x="72"/>
        <n x="9"/>
        <n x="216"/>
      </t>
    </mdx>
    <mdx n="0" f="v">
      <t c="7">
        <n x="23" s="1"/>
        <n x="24" s="1"/>
        <n x="21"/>
        <n x="29"/>
        <n x="71"/>
        <n x="6"/>
        <n x="216"/>
      </t>
    </mdx>
    <mdx n="0" f="v">
      <t c="7">
        <n x="23" s="1"/>
        <n x="24" s="1"/>
        <n x="21"/>
        <n x="28"/>
        <n x="58"/>
        <n x="9"/>
        <n x="216"/>
      </t>
    </mdx>
    <mdx n="0" f="v">
      <t c="7">
        <n x="23" s="1"/>
        <n x="24" s="1"/>
        <n x="21"/>
        <n x="26"/>
        <n x="38"/>
        <n x="10"/>
        <n x="216"/>
      </t>
    </mdx>
    <mdx n="0" f="v">
      <t c="6">
        <n x="23" s="1"/>
        <n x="24" s="1"/>
        <n x="21"/>
        <n x="65"/>
        <n x="7"/>
        <n x="216"/>
      </t>
    </mdx>
    <mdx n="0" f="v">
      <t c="7">
        <n x="23" s="1"/>
        <n x="24" s="1"/>
        <n x="21"/>
        <n x="28"/>
        <n x="58"/>
        <n x="17"/>
        <n x="216"/>
      </t>
    </mdx>
    <mdx n="0" f="v">
      <t c="7">
        <n x="23" s="1"/>
        <n x="24" s="1"/>
        <n x="21"/>
        <n x="28"/>
        <n x="42"/>
        <n x="12"/>
        <n x="216"/>
      </t>
    </mdx>
    <mdx n="0" f="v">
      <t c="7">
        <n x="23" s="1"/>
        <n x="24" s="1"/>
        <n x="21"/>
        <n x="26"/>
        <n x="69"/>
        <n x="12"/>
        <n x="216"/>
      </t>
    </mdx>
    <mdx n="0" f="v">
      <t c="7">
        <n x="23" s="1"/>
        <n x="24" s="1"/>
        <n x="21"/>
        <n x="29"/>
        <n x="71"/>
        <n x="17"/>
        <n x="216"/>
      </t>
    </mdx>
    <mdx n="0" f="v">
      <t c="7">
        <n x="23" s="1"/>
        <n x="24" s="1"/>
        <n x="21"/>
        <n x="29"/>
        <n x="54"/>
        <n x="8"/>
        <n x="216"/>
      </t>
    </mdx>
    <mdx n="0" f="v">
      <t c="7">
        <n x="23" s="1"/>
        <n x="24" s="1"/>
        <n x="21"/>
        <n x="32"/>
        <n x="68"/>
        <n x="7"/>
        <n x="216"/>
      </t>
    </mdx>
    <mdx n="0" f="v">
      <t c="7">
        <n x="23" s="1"/>
        <n x="24" s="1"/>
        <n x="21"/>
        <n x="28"/>
        <n x="53"/>
        <n x="25"/>
        <n x="216"/>
      </t>
    </mdx>
    <mdx n="0" f="v">
      <t c="7">
        <n x="23" s="1"/>
        <n x="24" s="1"/>
        <n x="21"/>
        <n x="29"/>
        <n x="30"/>
        <n x="14"/>
        <n x="216"/>
      </t>
    </mdx>
    <mdx n="0" f="v">
      <t c="6">
        <n x="23" s="1"/>
        <n x="24" s="1"/>
        <n x="21"/>
        <n x="65"/>
        <n x="17"/>
        <n x="216"/>
      </t>
    </mdx>
    <mdx n="0" f="v">
      <t c="7">
        <n x="23" s="1"/>
        <n x="24" s="1"/>
        <n x="21"/>
        <n x="29"/>
        <n x="30"/>
        <n x="17"/>
        <n x="216"/>
      </t>
    </mdx>
    <mdx n="0" f="v">
      <t c="7">
        <n x="23" s="1"/>
        <n x="24" s="1"/>
        <n x="21"/>
        <n x="29"/>
        <n x="54"/>
        <n x="16"/>
        <n x="216"/>
      </t>
    </mdx>
    <mdx n="0" f="v">
      <t c="7">
        <n x="23" s="1"/>
        <n x="24" s="1"/>
        <n x="21"/>
        <n x="26"/>
        <n x="44"/>
        <n x="25"/>
        <n x="216"/>
      </t>
    </mdx>
    <mdx n="0" f="v">
      <t c="7">
        <n x="23" s="1"/>
        <n x="24" s="1"/>
        <n x="21"/>
        <n x="26"/>
        <n x="69"/>
        <n x="7"/>
        <n x="216"/>
      </t>
    </mdx>
    <mdx n="0" f="v">
      <t c="7">
        <n x="23" s="1"/>
        <n x="24" s="1"/>
        <n x="21"/>
        <n x="32"/>
        <n x="63"/>
        <n x="7"/>
        <n x="216"/>
      </t>
    </mdx>
    <mdx n="0" f="v">
      <t c="7">
        <n x="23" s="1"/>
        <n x="24" s="1"/>
        <n x="21"/>
        <n x="29"/>
        <n x="59"/>
        <n x="6"/>
        <n x="216"/>
      </t>
    </mdx>
    <mdx n="0" f="v">
      <t c="7">
        <n x="23" s="1"/>
        <n x="24" s="1"/>
        <n x="21"/>
        <n x="26"/>
        <n x="41"/>
        <n x="9"/>
        <n x="216"/>
      </t>
    </mdx>
    <mdx n="0" f="v">
      <t c="7">
        <n x="23" s="1"/>
        <n x="24" s="1"/>
        <n x="21"/>
        <n x="32"/>
        <n x="70"/>
        <n x="6"/>
        <n x="216"/>
      </t>
    </mdx>
    <mdx n="0" f="v">
      <t c="7">
        <n x="23" s="1"/>
        <n x="24" s="1"/>
        <n x="21"/>
        <n x="26"/>
        <n x="67"/>
        <n x="8"/>
        <n x="216"/>
      </t>
    </mdx>
    <mdx n="0" f="v">
      <t c="6">
        <n x="23" s="1"/>
        <n x="24" s="1"/>
        <n x="21"/>
        <n x="48"/>
        <n x="11"/>
        <n x="216"/>
      </t>
    </mdx>
    <mdx n="0" f="v">
      <t c="7">
        <n x="23" s="1"/>
        <n x="24" s="1"/>
        <n x="21"/>
        <n x="26"/>
        <n x="44"/>
        <n x="14"/>
        <n x="216"/>
      </t>
    </mdx>
    <mdx n="0" f="v">
      <t c="7">
        <n x="23" s="1"/>
        <n x="24" s="1"/>
        <n x="21"/>
        <n x="26"/>
        <n x="52"/>
        <n x="12"/>
        <n x="216"/>
      </t>
    </mdx>
    <mdx n="0" f="v">
      <t c="7">
        <n x="23" s="1"/>
        <n x="24" s="1"/>
        <n x="21"/>
        <n x="62"/>
        <n x="74"/>
        <n x="25"/>
        <n x="216"/>
      </t>
    </mdx>
    <mdx n="0" f="v">
      <t c="6">
        <n x="23" s="1"/>
        <n x="24" s="1"/>
        <n x="21"/>
        <n x="61"/>
        <n x="10"/>
        <n x="216"/>
      </t>
    </mdx>
    <mdx n="0" f="v">
      <t c="7">
        <n x="23" s="1"/>
        <n x="24" s="1"/>
        <n x="21"/>
        <n x="26"/>
        <n x="60"/>
        <n x="17"/>
        <n x="216"/>
      </t>
    </mdx>
    <mdx n="0" f="v">
      <t c="7">
        <n x="23" s="1"/>
        <n x="24" s="1"/>
        <n x="21"/>
        <n x="29"/>
        <n x="54"/>
        <n x="25"/>
        <n x="216"/>
      </t>
    </mdx>
    <mdx n="0" f="v">
      <t c="7">
        <n x="23" s="1"/>
        <n x="24" s="1"/>
        <n x="21"/>
        <n x="28"/>
        <n x="55"/>
        <n x="9"/>
        <n x="216"/>
      </t>
    </mdx>
    <mdx n="0" f="v">
      <t c="6">
        <n x="23" s="1"/>
        <n x="24" s="1"/>
        <n x="21"/>
        <n x="36"/>
        <n x="10"/>
        <n x="216"/>
      </t>
    </mdx>
    <mdx n="0" f="v">
      <t c="6">
        <n x="23" s="1"/>
        <n x="24" s="1"/>
        <n x="21"/>
        <n x="32"/>
        <n x="17"/>
        <n x="216"/>
      </t>
    </mdx>
    <mdx n="0" f="v">
      <t c="7">
        <n x="23" s="1"/>
        <n x="24" s="1"/>
        <n x="21"/>
        <n x="62"/>
        <n x="72"/>
        <n x="13"/>
        <n x="216"/>
      </t>
    </mdx>
    <mdx n="0" f="v">
      <t c="7">
        <n x="23" s="1"/>
        <n x="24" s="1"/>
        <n x="21"/>
        <n x="29"/>
        <n x="43"/>
        <n x="9"/>
        <n x="216"/>
      </t>
    </mdx>
    <mdx n="0" f="v">
      <t c="7">
        <n x="23" s="1"/>
        <n x="24" s="1"/>
        <n x="21"/>
        <n x="26"/>
        <n x="41"/>
        <n x="25"/>
        <n x="216"/>
      </t>
    </mdx>
    <mdx n="0" f="v">
      <t c="7">
        <n x="23" s="1"/>
        <n x="24" s="1"/>
        <n x="21"/>
        <n x="26"/>
        <n x="60"/>
        <n x="9"/>
        <n x="216"/>
      </t>
    </mdx>
    <mdx n="0" f="v">
      <t c="7">
        <n x="23" s="1"/>
        <n x="24" s="1"/>
        <n x="21"/>
        <n x="26"/>
        <n x="69"/>
        <n x="17"/>
        <n x="216"/>
      </t>
    </mdx>
    <mdx n="0" f="v">
      <t c="7">
        <n x="23" s="1"/>
        <n x="24" s="1"/>
        <n x="21"/>
        <n x="62"/>
        <n x="72"/>
        <n x="8"/>
        <n x="216"/>
      </t>
    </mdx>
    <mdx n="0" f="v">
      <t c="7">
        <n x="23" s="1"/>
        <n x="24" s="1"/>
        <n x="21"/>
        <n x="26"/>
        <n x="38"/>
        <n x="13"/>
        <n x="216"/>
      </t>
    </mdx>
    <mdx n="0" f="v">
      <t c="7">
        <n x="23" s="1"/>
        <n x="24" s="1"/>
        <n x="21"/>
        <n x="32"/>
        <n x="68"/>
        <n x="17"/>
        <n x="216"/>
      </t>
    </mdx>
    <mdx n="0" f="v">
      <t c="7">
        <n x="23" s="1"/>
        <n x="24" s="1"/>
        <n x="21"/>
        <n x="28"/>
        <n x="42"/>
        <n x="17"/>
        <n x="216"/>
      </t>
    </mdx>
    <mdx n="0" f="v">
      <t c="7">
        <n x="23" s="1"/>
        <n x="24" s="1"/>
        <n x="21"/>
        <n x="29"/>
        <n x="50"/>
        <n x="6"/>
        <n x="216"/>
      </t>
    </mdx>
    <mdx n="0" f="v">
      <t c="7">
        <n x="23" s="1"/>
        <n x="24" s="1"/>
        <n x="21"/>
        <n x="26"/>
        <n x="52"/>
        <n x="6"/>
        <n x="216"/>
      </t>
    </mdx>
    <mdx n="0" f="v">
      <t c="7">
        <n x="23" s="1"/>
        <n x="24" s="1"/>
        <n x="21"/>
        <n x="29"/>
        <n x="39"/>
        <n x="14"/>
        <n x="216"/>
      </t>
    </mdx>
    <mdx n="0" f="v">
      <t c="7">
        <n x="23" s="1"/>
        <n x="24" s="1"/>
        <n x="21"/>
        <n x="26"/>
        <n x="44"/>
        <n x="6"/>
        <n x="216"/>
      </t>
    </mdx>
    <mdx n="0" f="v">
      <t c="7">
        <n x="23" s="1"/>
        <n x="24" s="1"/>
        <n x="21"/>
        <n x="32"/>
        <n x="63"/>
        <n x="17"/>
        <n x="216"/>
      </t>
    </mdx>
    <mdx n="0" f="v">
      <t c="7">
        <n x="23" s="1"/>
        <n x="24" s="1"/>
        <n x="21"/>
        <n x="29"/>
        <n x="39"/>
        <n x="7"/>
        <n x="216"/>
      </t>
    </mdx>
    <mdx n="0" f="v">
      <t c="7">
        <n x="23" s="1"/>
        <n x="24" s="1"/>
        <n x="21"/>
        <n x="32"/>
        <n x="66"/>
        <n x="25"/>
        <n x="216"/>
      </t>
    </mdx>
    <mdx n="0" f="v">
      <t c="6">
        <n x="23" s="1"/>
        <n x="24" s="1"/>
        <n x="21"/>
        <n x="36"/>
        <n x="7"/>
        <n x="216"/>
      </t>
    </mdx>
    <mdx n="0" f="v">
      <t c="6">
        <n x="23" s="1"/>
        <n x="24" s="1"/>
        <n x="21"/>
        <n x="32"/>
        <n x="10"/>
        <n x="216"/>
      </t>
    </mdx>
    <mdx n="0" f="v">
      <t c="6">
        <n x="23" s="1"/>
        <n x="24" s="1"/>
        <n x="21"/>
        <n x="36"/>
        <n x="13"/>
        <n x="216"/>
      </t>
    </mdx>
    <mdx n="0" f="v">
      <t c="6">
        <n x="23" s="1"/>
        <n x="24" s="1"/>
        <n x="21"/>
        <n x="61"/>
        <n x="25"/>
        <n x="216"/>
      </t>
    </mdx>
    <mdx n="0" f="v">
      <t c="6">
        <n x="23" s="1"/>
        <n x="24" s="1"/>
        <n x="21"/>
        <n x="29"/>
        <n x="13"/>
        <n x="216"/>
      </t>
    </mdx>
    <mdx n="0" f="v">
      <t c="7">
        <n x="23" s="1"/>
        <n x="24" s="1"/>
        <n x="21"/>
        <n x="26"/>
        <n x="44"/>
        <n x="8"/>
        <n x="216"/>
      </t>
    </mdx>
    <mdx n="0" f="v">
      <t c="6">
        <n x="23" s="1"/>
        <n x="24" s="1"/>
        <n x="21"/>
        <n x="48"/>
        <n x="13"/>
        <n x="216"/>
      </t>
    </mdx>
    <mdx n="0" f="v">
      <t c="7">
        <n x="23" s="1"/>
        <n x="24" s="1"/>
        <n x="21"/>
        <n x="29"/>
        <n x="45"/>
        <n x="11"/>
        <n x="216"/>
      </t>
    </mdx>
    <mdx n="0" f="v">
      <t c="7">
        <n x="23" s="1"/>
        <n x="24" s="1"/>
        <n x="21"/>
        <n x="26"/>
        <n x="38"/>
        <n x="17"/>
        <n x="216"/>
      </t>
    </mdx>
    <mdx n="0" f="v">
      <t c="7">
        <n x="23" s="1"/>
        <n x="24" s="1"/>
        <n x="21"/>
        <n x="36"/>
        <n x="37"/>
        <n x="13"/>
        <n x="216"/>
      </t>
    </mdx>
    <mdx n="0" f="v">
      <t c="6">
        <n x="23" s="1"/>
        <n x="24" s="1"/>
        <n x="21"/>
        <n x="28"/>
        <n x="13"/>
        <n x="216"/>
      </t>
    </mdx>
    <mdx n="0" f="v">
      <t c="7">
        <n x="23" s="1"/>
        <n x="24" s="1"/>
        <n x="21"/>
        <n x="48"/>
        <n x="64"/>
        <n x="14"/>
        <n x="216"/>
      </t>
    </mdx>
    <mdx n="0" f="v">
      <t c="7">
        <n x="23" s="1"/>
        <n x="24" s="1"/>
        <n x="21"/>
        <n x="26"/>
        <n x="46"/>
        <n x="8"/>
        <n x="216"/>
      </t>
    </mdx>
    <mdx n="0" f="v">
      <t c="7">
        <n x="23" s="1"/>
        <n x="24" s="1"/>
        <n x="21"/>
        <n x="26"/>
        <n x="46"/>
        <n x="14"/>
        <n x="216"/>
      </t>
    </mdx>
    <mdx n="0" f="v">
      <t c="6">
        <n x="23" s="1"/>
        <n x="24" s="1"/>
        <n x="21"/>
        <n x="61"/>
        <n x="17"/>
        <n x="216"/>
      </t>
    </mdx>
    <mdx n="0" f="v">
      <t c="7">
        <n x="23" s="1"/>
        <n x="24" s="1"/>
        <n x="21"/>
        <n x="32"/>
        <n x="70"/>
        <n x="14"/>
        <n x="216"/>
      </t>
    </mdx>
    <mdx n="0" f="v">
      <t c="7">
        <n x="23" s="1"/>
        <n x="24" s="1"/>
        <n x="21"/>
        <n x="29"/>
        <n x="39"/>
        <n x="12"/>
        <n x="216"/>
      </t>
    </mdx>
    <mdx n="0" f="v">
      <t c="6">
        <n x="23" s="1"/>
        <n x="24" s="1"/>
        <n x="21"/>
        <n x="26"/>
        <n x="10"/>
        <n x="216"/>
      </t>
    </mdx>
    <mdx n="0" f="v">
      <t c="7">
        <n x="23" s="1"/>
        <n x="24" s="1"/>
        <n x="21"/>
        <n x="32"/>
        <n x="66"/>
        <n x="17"/>
        <n x="216"/>
      </t>
    </mdx>
    <mdx n="0" f="v">
      <t c="7">
        <n x="23" s="1"/>
        <n x="24" s="1"/>
        <n x="21"/>
        <n x="32"/>
        <n x="70"/>
        <n x="10"/>
        <n x="216"/>
      </t>
    </mdx>
    <mdx n="0" f="v">
      <t c="7">
        <n x="23" s="1"/>
        <n x="24" s="1"/>
        <n x="21"/>
        <n x="62"/>
        <n x="74"/>
        <n x="15"/>
        <n x="216"/>
      </t>
    </mdx>
    <mdx n="0" f="v">
      <t c="7">
        <n x="23" s="1"/>
        <n x="24" s="1"/>
        <n x="21"/>
        <n x="26"/>
        <n x="56"/>
        <n x="6"/>
        <n x="216"/>
      </t>
    </mdx>
    <mdx n="0" f="v">
      <t c="7">
        <n x="23" s="1"/>
        <n x="24" s="1"/>
        <n x="21"/>
        <n x="26"/>
        <n x="60"/>
        <n x="7"/>
        <n x="216"/>
      </t>
    </mdx>
    <mdx n="0" f="v">
      <t c="7">
        <n x="23" s="1"/>
        <n x="24" s="1"/>
        <n x="21"/>
        <n x="62"/>
        <n x="73"/>
        <n x="6"/>
        <n x="216"/>
      </t>
    </mdx>
    <mdx n="0" f="v">
      <t c="6">
        <n x="23" s="1"/>
        <n x="24" s="1"/>
        <n x="21"/>
        <n x="48"/>
        <n x="12"/>
        <n x="216"/>
      </t>
    </mdx>
    <mdx n="0" f="v">
      <t c="7">
        <n x="23" s="1"/>
        <n x="24" s="1"/>
        <n x="21"/>
        <n x="29"/>
        <n x="51"/>
        <n x="8"/>
        <n x="216"/>
      </t>
    </mdx>
    <mdx n="0" f="v">
      <t c="7">
        <n x="23" s="1"/>
        <n x="24" s="1"/>
        <n x="21"/>
        <n x="29"/>
        <n x="50"/>
        <n x="11"/>
        <n x="216"/>
      </t>
    </mdx>
    <mdx n="0" f="v">
      <t c="7">
        <n x="23" s="1"/>
        <n x="24" s="1"/>
        <n x="21"/>
        <n x="26"/>
        <n x="38"/>
        <n x="25"/>
        <n x="216"/>
      </t>
    </mdx>
    <mdx n="0" f="v">
      <t c="7">
        <n x="23" s="1"/>
        <n x="24" s="1"/>
        <n x="21"/>
        <n x="32"/>
        <n x="66"/>
        <n x="12"/>
        <n x="216"/>
      </t>
    </mdx>
    <mdx n="0" f="v">
      <t c="7">
        <n x="23" s="1"/>
        <n x="24" s="1"/>
        <n x="21"/>
        <n x="29"/>
        <n x="39"/>
        <n x="6"/>
        <n x="216"/>
      </t>
    </mdx>
    <mdx n="0" f="v">
      <t c="7">
        <n x="23" s="1"/>
        <n x="24" s="1"/>
        <n x="21"/>
        <n x="26"/>
        <n x="46"/>
        <n x="10"/>
        <n x="216"/>
      </t>
    </mdx>
    <mdx n="0" f="v">
      <t c="7">
        <n x="23" s="1"/>
        <n x="24" s="1"/>
        <n x="21"/>
        <n x="26"/>
        <n x="41"/>
        <n x="16"/>
        <n x="216"/>
      </t>
    </mdx>
    <mdx n="0" f="v">
      <t c="7">
        <n x="23" s="1"/>
        <n x="24" s="1"/>
        <n x="21"/>
        <n x="29"/>
        <n x="71"/>
        <n x="7"/>
        <n x="216"/>
      </t>
    </mdx>
    <mdx n="0" f="v">
      <t c="7">
        <n x="23" s="1"/>
        <n x="24" s="1"/>
        <n x="21"/>
        <n x="62"/>
        <n x="73"/>
        <n x="25"/>
        <n x="216"/>
      </t>
    </mdx>
    <mdx n="0" f="v">
      <t c="7">
        <n x="23" s="1"/>
        <n x="24" s="1"/>
        <n x="21"/>
        <n x="26"/>
        <n x="60"/>
        <n x="6"/>
        <n x="216"/>
      </t>
    </mdx>
    <mdx n="0" f="v">
      <t c="7">
        <n x="23" s="1"/>
        <n x="24" s="1"/>
        <n x="21"/>
        <n x="32"/>
        <n x="68"/>
        <n x="12"/>
        <n x="216"/>
      </t>
    </mdx>
    <mdx n="0" f="v">
      <t c="7">
        <n x="23" s="1"/>
        <n x="24" s="1"/>
        <n x="21"/>
        <n x="28"/>
        <n x="55"/>
        <n x="13"/>
        <n x="216"/>
      </t>
    </mdx>
    <mdx n="0" f="v">
      <t c="7">
        <n x="23" s="1"/>
        <n x="24" s="1"/>
        <n x="21"/>
        <n x="32"/>
        <n x="33"/>
        <n x="10"/>
        <n x="216"/>
      </t>
    </mdx>
    <mdx n="0" f="v">
      <t c="7">
        <n x="23" s="1"/>
        <n x="24" s="1"/>
        <n x="21"/>
        <n x="28"/>
        <n x="42"/>
        <n x="15"/>
        <n x="216"/>
      </t>
    </mdx>
    <mdx n="0" f="v">
      <t c="6">
        <n x="23" s="1"/>
        <n x="24" s="1"/>
        <n x="21"/>
        <n x="29"/>
        <n x="14"/>
        <n x="216"/>
      </t>
    </mdx>
    <mdx n="0" f="v">
      <t c="7">
        <n x="23" s="1"/>
        <n x="24" s="1"/>
        <n x="21"/>
        <n x="26"/>
        <n x="31"/>
        <n x="8"/>
        <n x="216"/>
      </t>
    </mdx>
    <mdx n="0" f="v">
      <t c="7">
        <n x="23" s="1"/>
        <n x="24" s="1"/>
        <n x="21"/>
        <n x="29"/>
        <n x="54"/>
        <n x="7"/>
        <n x="216"/>
      </t>
    </mdx>
    <mdx n="0" f="v">
      <t c="7">
        <n x="23" s="1"/>
        <n x="24" s="1"/>
        <n x="21"/>
        <n x="26"/>
        <n x="60"/>
        <n x="12"/>
        <n x="216"/>
      </t>
    </mdx>
    <mdx n="0" f="v">
      <t c="6">
        <n x="23" s="1"/>
        <n x="24" s="1"/>
        <n x="21"/>
        <n x="26"/>
        <n x="25"/>
        <n x="216"/>
      </t>
    </mdx>
    <mdx n="0" f="v">
      <t c="7">
        <n x="23" s="1"/>
        <n x="24" s="1"/>
        <n x="21"/>
        <n x="62"/>
        <n x="72"/>
        <n x="15"/>
        <n x="216"/>
      </t>
    </mdx>
    <mdx n="0" f="v">
      <t c="7">
        <n x="23" s="1"/>
        <n x="24" s="1"/>
        <n x="21"/>
        <n x="26"/>
        <n x="67"/>
        <n x="17"/>
        <n x="216"/>
      </t>
    </mdx>
    <mdx n="0" f="v">
      <t c="7">
        <n x="23" s="1"/>
        <n x="24" s="1"/>
        <n x="21"/>
        <n x="62"/>
        <n x="73"/>
        <n x="7"/>
        <n x="216"/>
      </t>
    </mdx>
    <mdx n="0" f="v">
      <t c="7">
        <n x="23" s="1"/>
        <n x="24" s="1"/>
        <n x="21"/>
        <n x="32"/>
        <n x="66"/>
        <n x="13"/>
        <n x="216"/>
      </t>
    </mdx>
    <mdx n="0" f="v">
      <t c="7">
        <n x="23" s="1"/>
        <n x="24" s="1"/>
        <n x="21"/>
        <n x="26"/>
        <n x="69"/>
        <n x="6"/>
        <n x="216"/>
      </t>
    </mdx>
    <mdx n="0" f="v">
      <t c="7">
        <n x="23" s="1"/>
        <n x="24" s="1"/>
        <n x="21"/>
        <n x="62"/>
        <n x="72"/>
        <n x="16"/>
        <n x="216"/>
      </t>
    </mdx>
    <mdx n="0" f="v">
      <t c="7">
        <n x="23" s="1"/>
        <n x="24" s="1"/>
        <n x="21"/>
        <n x="32"/>
        <n x="68"/>
        <n x="6"/>
        <n x="216"/>
      </t>
    </mdx>
    <mdx n="0" f="v">
      <t c="7">
        <n x="23" s="1"/>
        <n x="24" s="1"/>
        <n x="21"/>
        <n x="28"/>
        <n x="53"/>
        <n x="10"/>
        <n x="216"/>
      </t>
    </mdx>
    <mdx n="0" f="v">
      <t c="7">
        <n x="23" s="1"/>
        <n x="24" s="1"/>
        <n x="21"/>
        <n x="26"/>
        <n x="52"/>
        <n x="25"/>
        <n x="216"/>
      </t>
    </mdx>
    <mdx n="0" f="v">
      <t c="6">
        <n x="23" s="1"/>
        <n x="24" s="1"/>
        <n x="21"/>
        <n x="48"/>
        <n x="7"/>
        <n x="216"/>
      </t>
    </mdx>
    <mdx n="0" f="v">
      <t c="6">
        <n x="23" s="1"/>
        <n x="24" s="1"/>
        <n x="21"/>
        <n x="28"/>
        <n x="25"/>
        <n x="216"/>
      </t>
    </mdx>
    <mdx n="0" f="v">
      <t c="6">
        <n x="23" s="1"/>
        <n x="24" s="1"/>
        <n x="21"/>
        <n x="65"/>
        <n x="8"/>
        <n x="216"/>
      </t>
    </mdx>
    <mdx n="0" f="v">
      <t c="7">
        <n x="23" s="1"/>
        <n x="24" s="1"/>
        <n x="21"/>
        <n x="29"/>
        <n x="51"/>
        <n x="16"/>
        <n x="216"/>
      </t>
    </mdx>
    <mdx n="0" f="v">
      <t c="7">
        <n x="23" s="1"/>
        <n x="24" s="1"/>
        <n x="21"/>
        <n x="48"/>
        <n x="49"/>
        <n x="16"/>
        <n x="216"/>
      </t>
    </mdx>
    <mdx n="0" f="v">
      <t c="7">
        <n x="23" s="1"/>
        <n x="24" s="1"/>
        <n x="21"/>
        <n x="26"/>
        <n x="67"/>
        <n x="6"/>
        <n x="216"/>
      </t>
    </mdx>
    <mdx n="0" f="v">
      <t c="7">
        <n x="23" s="1"/>
        <n x="24" s="1"/>
        <n x="21"/>
        <n x="26"/>
        <n x="31"/>
        <n x="17"/>
        <n x="216"/>
      </t>
    </mdx>
    <mdx n="0" f="v">
      <t c="7">
        <n x="23" s="1"/>
        <n x="24" s="1"/>
        <n x="21"/>
        <n x="29"/>
        <n x="71"/>
        <n x="10"/>
        <n x="216"/>
      </t>
    </mdx>
    <mdx n="0" f="v">
      <t c="7">
        <n x="23" s="1"/>
        <n x="24" s="1"/>
        <n x="21"/>
        <n x="26"/>
        <n x="38"/>
        <n x="14"/>
        <n x="216"/>
      </t>
    </mdx>
    <mdx n="0" f="v">
      <t c="7">
        <n x="23" s="1"/>
        <n x="24" s="1"/>
        <n x="21"/>
        <n x="62"/>
        <n x="72"/>
        <n x="11"/>
        <n x="216"/>
      </t>
    </mdx>
    <mdx n="0" f="v">
      <t c="7">
        <n x="23" s="1"/>
        <n x="24" s="1"/>
        <n x="21"/>
        <n x="62"/>
        <n x="73"/>
        <n x="13"/>
        <n x="216"/>
      </t>
    </mdx>
    <mdx n="0" f="v">
      <t c="7">
        <n x="23" s="1"/>
        <n x="24" s="1"/>
        <n x="21"/>
        <n x="29"/>
        <n x="40"/>
        <n x="13"/>
        <n x="216"/>
      </t>
    </mdx>
    <mdx n="0" f="v">
      <t c="6">
        <n x="23" s="1"/>
        <n x="24" s="1"/>
        <n x="21"/>
        <n x="29"/>
        <n x="25"/>
        <n x="216"/>
      </t>
    </mdx>
    <mdx n="0" f="v">
      <t c="6">
        <n x="23" s="1"/>
        <n x="24" s="1"/>
        <n x="21"/>
        <n x="28"/>
        <n x="8"/>
        <n x="216"/>
      </t>
    </mdx>
    <mdx n="0" f="v">
      <t c="7">
        <n x="23" s="1"/>
        <n x="24" s="1"/>
        <n x="21"/>
        <n x="26"/>
        <n x="67"/>
        <n x="13"/>
        <n x="216"/>
      </t>
    </mdx>
    <mdx n="0" f="v">
      <t c="7">
        <n x="23" s="1"/>
        <n x="24" s="1"/>
        <n x="21"/>
        <n x="26"/>
        <n x="44"/>
        <n x="13"/>
        <n x="216"/>
      </t>
    </mdx>
    <mdx n="0" f="v">
      <t c="7">
        <n x="23" s="1"/>
        <n x="24" s="1"/>
        <n x="21"/>
        <n x="26"/>
        <n x="56"/>
        <n x="17"/>
        <n x="216"/>
      </t>
    </mdx>
    <mdx n="0" f="v">
      <t c="7">
        <n x="23" s="1"/>
        <n x="24" s="1"/>
        <n x="21"/>
        <n x="26"/>
        <n x="27"/>
        <n x="10"/>
        <n x="216"/>
      </t>
    </mdx>
    <mdx n="0" f="v">
      <t c="6">
        <n x="23" s="1"/>
        <n x="24" s="1"/>
        <n x="21"/>
        <n x="48"/>
        <n x="8"/>
        <n x="216"/>
      </t>
    </mdx>
    <mdx n="0" f="v">
      <t c="7">
        <n x="23" s="1"/>
        <n x="24" s="1"/>
        <n x="21"/>
        <n x="48"/>
        <n x="64"/>
        <n x="15"/>
        <n x="216"/>
      </t>
    </mdx>
    <mdx n="0" f="v">
      <t c="7">
        <n x="23" s="1"/>
        <n x="24" s="1"/>
        <n x="21"/>
        <n x="62"/>
        <n x="72"/>
        <n x="14"/>
        <n x="216"/>
      </t>
    </mdx>
    <mdx n="0" f="v">
      <t c="6">
        <n x="23" s="1"/>
        <n x="24" s="1"/>
        <n x="21"/>
        <n x="61"/>
        <n x="16"/>
        <n x="216"/>
      </t>
    </mdx>
    <mdx n="0" f="v">
      <t c="7">
        <n x="23" s="1"/>
        <n x="24" s="1"/>
        <n x="21"/>
        <n x="36"/>
        <n x="37"/>
        <n x="6"/>
        <n x="216"/>
      </t>
    </mdx>
    <mdx n="0" f="v">
      <t c="6">
        <n x="23" s="1"/>
        <n x="24" s="1"/>
        <n x="21"/>
        <n x="29"/>
        <n x="6"/>
        <n x="216"/>
      </t>
    </mdx>
    <mdx n="0" f="v">
      <t c="7">
        <n x="23" s="1"/>
        <n x="24" s="1"/>
        <n x="21"/>
        <n x="62"/>
        <n x="74"/>
        <n x="9"/>
        <n x="216"/>
      </t>
    </mdx>
    <mdx n="0" f="v">
      <t c="7">
        <n x="23" s="1"/>
        <n x="24" s="1"/>
        <n x="21"/>
        <n x="28"/>
        <n x="53"/>
        <n x="7"/>
        <n x="216"/>
      </t>
    </mdx>
    <mdx n="0" f="v">
      <t c="7">
        <n x="23" s="1"/>
        <n x="24" s="1"/>
        <n x="21"/>
        <n x="29"/>
        <n x="40"/>
        <n x="15"/>
        <n x="216"/>
      </t>
    </mdx>
    <mdx n="0" f="v">
      <t c="6">
        <n x="23" s="1"/>
        <n x="24" s="1"/>
        <n x="21"/>
        <n x="29"/>
        <n x="12"/>
        <n x="216"/>
      </t>
    </mdx>
    <mdx n="0" f="v">
      <t c="7">
        <n x="23" s="1"/>
        <n x="24" s="1"/>
        <n x="21"/>
        <n x="29"/>
        <n x="39"/>
        <n x="16"/>
        <n x="216"/>
      </t>
    </mdx>
    <mdx n="0" f="v">
      <t c="7">
        <n x="23" s="1"/>
        <n x="24" s="1"/>
        <n x="21"/>
        <n x="28"/>
        <n x="55"/>
        <n x="17"/>
        <n x="216"/>
      </t>
    </mdx>
    <mdx n="0" f="v">
      <t c="7">
        <n x="23" s="1"/>
        <n x="24" s="1"/>
        <n x="21"/>
        <n x="26"/>
        <n x="60"/>
        <n x="25"/>
        <n x="216"/>
      </t>
    </mdx>
    <mdx n="0" f="v">
      <t c="7">
        <n x="23" s="1"/>
        <n x="24" s="1"/>
        <n x="21"/>
        <n x="48"/>
        <n x="49"/>
        <n x="10"/>
        <n x="216"/>
      </t>
    </mdx>
    <mdx n="0" f="v">
      <t c="6">
        <n x="23" s="1"/>
        <n x="24" s="1"/>
        <n x="21"/>
        <n x="61"/>
        <n x="14"/>
        <n x="216"/>
      </t>
    </mdx>
    <mdx n="0" f="v">
      <t c="6">
        <n x="23" s="1"/>
        <n x="24" s="1"/>
        <n x="21"/>
        <n x="28"/>
        <n x="10"/>
        <n x="216"/>
      </t>
    </mdx>
    <mdx n="0" f="v">
      <t c="6">
        <n x="23" s="1"/>
        <n x="24" s="1"/>
        <n x="21"/>
        <n x="65"/>
        <n x="10"/>
        <n x="216"/>
      </t>
    </mdx>
    <mdx n="0" f="v">
      <t c="7">
        <n x="23" s="1"/>
        <n x="24" s="1"/>
        <n x="21"/>
        <n x="32"/>
        <n x="63"/>
        <n x="6"/>
        <n x="216"/>
      </t>
    </mdx>
    <mdx n="0" f="v">
      <t c="7">
        <n x="23" s="1"/>
        <n x="24" s="1"/>
        <n x="21"/>
        <n x="29"/>
        <n x="47"/>
        <n x="14"/>
        <n x="216"/>
      </t>
    </mdx>
    <mdx n="0" f="v">
      <t c="7">
        <n x="23" s="1"/>
        <n x="24" s="1"/>
        <n x="21"/>
        <n x="29"/>
        <n x="59"/>
        <n x="7"/>
        <n x="216"/>
      </t>
    </mdx>
    <mdx n="0" f="v">
      <t c="7">
        <n x="23" s="1"/>
        <n x="24" s="1"/>
        <n x="21"/>
        <n x="26"/>
        <n x="44"/>
        <n x="10"/>
        <n x="216"/>
      </t>
    </mdx>
    <mdx n="0" f="v">
      <t c="6">
        <n x="23" s="1"/>
        <n x="24" s="1"/>
        <n x="21"/>
        <n x="32"/>
        <n x="7"/>
        <n x="216"/>
      </t>
    </mdx>
    <mdx n="0" f="v">
      <t c="7">
        <n x="23" s="1"/>
        <n x="24" s="1"/>
        <n x="21"/>
        <n x="29"/>
        <n x="39"/>
        <n x="8"/>
        <n x="216"/>
      </t>
    </mdx>
    <mdx n="0" f="v">
      <t c="7">
        <n x="23" s="1"/>
        <n x="24" s="1"/>
        <n x="21"/>
        <n x="29"/>
        <n x="43"/>
        <n x="7"/>
        <n x="216"/>
      </t>
    </mdx>
    <mdx n="0" f="v">
      <t c="7">
        <n x="23" s="1"/>
        <n x="24" s="1"/>
        <n x="21"/>
        <n x="26"/>
        <n x="46"/>
        <n x="6"/>
        <n x="216"/>
      </t>
    </mdx>
    <mdx n="0" f="v">
      <t c="7">
        <n x="23" s="1"/>
        <n x="24" s="1"/>
        <n x="21"/>
        <n x="29"/>
        <n x="50"/>
        <n x="8"/>
        <n x="216"/>
      </t>
    </mdx>
    <mdx n="0" f="v">
      <t c="7">
        <n x="23" s="1"/>
        <n x="24" s="1"/>
        <n x="21"/>
        <n x="29"/>
        <n x="39"/>
        <n x="11"/>
        <n x="216"/>
      </t>
    </mdx>
    <mdx n="0" f="v">
      <t c="7">
        <n x="23" s="1"/>
        <n x="24" s="1"/>
        <n x="21"/>
        <n x="26"/>
        <n x="31"/>
        <n x="14"/>
        <n x="216"/>
      </t>
    </mdx>
    <mdx n="0" f="v">
      <t c="7">
        <n x="23" s="1"/>
        <n x="24" s="1"/>
        <n x="21"/>
        <n x="32"/>
        <n x="66"/>
        <n x="14"/>
        <n x="216"/>
      </t>
    </mdx>
    <mdx n="0" f="v">
      <t c="7">
        <n x="23" s="1"/>
        <n x="24" s="1"/>
        <n x="21"/>
        <n x="32"/>
        <n x="63"/>
        <n x="25"/>
        <n x="216"/>
      </t>
    </mdx>
    <mdx n="0" f="v">
      <t c="7">
        <n x="23" s="1"/>
        <n x="24" s="1"/>
        <n x="21"/>
        <n x="32"/>
        <n x="70"/>
        <n x="11"/>
        <n x="216"/>
      </t>
    </mdx>
    <mdx n="0" f="v">
      <t c="7">
        <n x="23" s="1"/>
        <n x="24" s="1"/>
        <n x="21"/>
        <n x="26"/>
        <n x="60"/>
        <n x="15"/>
        <n x="216"/>
      </t>
    </mdx>
    <mdx n="0" f="v">
      <t c="6">
        <n x="23" s="1"/>
        <n x="24" s="1"/>
        <n x="21"/>
        <n x="36"/>
        <n x="8"/>
        <n x="216"/>
      </t>
    </mdx>
    <mdx n="0" f="v">
      <t c="7">
        <n x="23" s="1"/>
        <n x="24" s="1"/>
        <n x="21"/>
        <n x="32"/>
        <n x="68"/>
        <n x="10"/>
        <n x="216"/>
      </t>
    </mdx>
    <mdx n="0" f="v">
      <t c="7">
        <n x="23" s="1"/>
        <n x="24" s="1"/>
        <n x="21"/>
        <n x="29"/>
        <n x="47"/>
        <n x="6"/>
        <n x="216"/>
      </t>
    </mdx>
    <mdx n="0" f="v">
      <t c="7">
        <n x="23" s="1"/>
        <n x="24" s="1"/>
        <n x="21"/>
        <n x="26"/>
        <n x="57"/>
        <n x="6"/>
        <n x="216"/>
      </t>
    </mdx>
    <mdx n="0" f="v">
      <t c="7">
        <n x="23" s="1"/>
        <n x="24" s="1"/>
        <n x="21"/>
        <n x="26"/>
        <n x="52"/>
        <n x="13"/>
        <n x="216"/>
      </t>
    </mdx>
    <mdx n="0" f="v">
      <t c="6">
        <n x="23" s="1"/>
        <n x="24" s="1"/>
        <n x="21"/>
        <n x="61"/>
        <n x="15"/>
        <n x="216"/>
      </t>
    </mdx>
    <mdx n="0" f="v">
      <t c="7">
        <n x="23" s="1"/>
        <n x="24" s="1"/>
        <n x="21"/>
        <n x="26"/>
        <n x="31"/>
        <n x="6"/>
        <n x="216"/>
      </t>
    </mdx>
    <mdx n="0" f="v">
      <t c="7">
        <n x="23" s="1"/>
        <n x="24" s="1"/>
        <n x="21"/>
        <n x="29"/>
        <n x="54"/>
        <n x="6"/>
        <n x="216"/>
      </t>
    </mdx>
    <mdx n="0" f="v">
      <t c="7">
        <n x="23" s="1"/>
        <n x="24" s="1"/>
        <n x="21"/>
        <n x="48"/>
        <n x="49"/>
        <n x="17"/>
        <n x="216"/>
      </t>
    </mdx>
    <mdx n="0" f="v">
      <t c="6">
        <n x="23" s="1"/>
        <n x="24" s="1"/>
        <n x="21"/>
        <n x="32"/>
        <n x="25"/>
        <n x="216"/>
      </t>
    </mdx>
    <mdx n="0" f="v">
      <t c="6">
        <n x="23" s="1"/>
        <n x="24" s="1"/>
        <n x="21"/>
        <n x="28"/>
        <n x="9"/>
        <n x="216"/>
      </t>
    </mdx>
    <mdx n="0" f="v">
      <t c="7">
        <n x="23" s="1"/>
        <n x="24" s="1"/>
        <n x="21"/>
        <n x="32"/>
        <n x="33"/>
        <n x="12"/>
        <n x="216"/>
      </t>
    </mdx>
    <mdx n="0" f="v">
      <t c="6">
        <n x="23" s="1"/>
        <n x="24" s="1"/>
        <n x="21"/>
        <n x="26"/>
        <n x="8"/>
        <n x="216"/>
      </t>
    </mdx>
    <mdx n="0" f="v">
      <t c="6">
        <n x="23" s="1"/>
        <n x="24" s="1"/>
        <n x="21"/>
        <n x="36"/>
        <n x="16"/>
        <n x="216"/>
      </t>
    </mdx>
    <mdx n="0" f="v">
      <t c="6">
        <n x="23" s="1"/>
        <n x="24" s="1"/>
        <n x="21"/>
        <n x="48"/>
        <n x="6"/>
        <n x="216"/>
      </t>
    </mdx>
    <mdx n="0" f="v">
      <t c="6">
        <n x="23" s="1"/>
        <n x="24" s="1"/>
        <n x="21"/>
        <n x="29"/>
        <n x="9"/>
        <n x="216"/>
      </t>
    </mdx>
    <mdx n="0" f="v">
      <t c="7">
        <n x="23" s="1"/>
        <n x="24" s="1"/>
        <n x="21"/>
        <n x="29"/>
        <n x="51"/>
        <n x="10"/>
        <n x="216"/>
      </t>
    </mdx>
    <mdx n="0" f="v">
      <t c="7">
        <n x="23" s="1"/>
        <n x="24" s="1"/>
        <n x="21"/>
        <n x="26"/>
        <n x="56"/>
        <n x="25"/>
        <n x="216"/>
      </t>
    </mdx>
    <mdx n="0" f="v">
      <t c="7">
        <n x="23" s="1"/>
        <n x="24" s="1"/>
        <n x="21"/>
        <n x="48"/>
        <n x="64"/>
        <n x="8"/>
        <n x="216"/>
      </t>
    </mdx>
    <mdx n="0" f="v">
      <t c="7">
        <n x="23" s="1"/>
        <n x="24" s="1"/>
        <n x="21"/>
        <n x="62"/>
        <n x="72"/>
        <n x="12"/>
        <n x="216"/>
      </t>
    </mdx>
    <mdx n="0" f="v">
      <t c="7">
        <n x="23" s="1"/>
        <n x="24" s="1"/>
        <n x="21"/>
        <n x="28"/>
        <n x="55"/>
        <n x="14"/>
        <n x="216"/>
      </t>
    </mdx>
    <mdx n="0" f="v">
      <t c="7">
        <n x="23" s="1"/>
        <n x="24" s="1"/>
        <n x="21"/>
        <n x="32"/>
        <n x="66"/>
        <n x="6"/>
        <n x="216"/>
      </t>
    </mdx>
    <mdx n="0" f="v">
      <t c="7">
        <n x="23" s="1"/>
        <n x="24" s="1"/>
        <n x="21"/>
        <n x="26"/>
        <n x="34"/>
        <n x="11"/>
        <n x="216"/>
      </t>
    </mdx>
    <mdx n="0" f="v">
      <t c="7">
        <n x="23" s="1"/>
        <n x="24" s="1"/>
        <n x="21"/>
        <n x="32"/>
        <n x="33"/>
        <n x="16"/>
        <n x="216"/>
      </t>
    </mdx>
    <mdx n="0" f="v">
      <t c="7">
        <n x="23" s="1"/>
        <n x="24" s="1"/>
        <n x="21"/>
        <n x="62"/>
        <n x="72"/>
        <n x="6"/>
        <n x="216"/>
      </t>
    </mdx>
    <mdx n="0" f="v">
      <t c="7">
        <n x="23" s="1"/>
        <n x="24" s="1"/>
        <n x="21"/>
        <n x="29"/>
        <n x="54"/>
        <n x="15"/>
        <n x="216"/>
      </t>
    </mdx>
    <mdx n="0" f="v">
      <t c="7">
        <n x="23" s="1"/>
        <n x="24" s="1"/>
        <n x="21"/>
        <n x="29"/>
        <n x="47"/>
        <n x="10"/>
        <n x="216"/>
      </t>
    </mdx>
    <mdx n="0" f="v">
      <t c="6">
        <n x="23" s="1"/>
        <n x="24" s="1"/>
        <n x="21"/>
        <n x="28"/>
        <n x="17"/>
        <n x="216"/>
      </t>
    </mdx>
    <mdx n="0" f="v">
      <t c="7">
        <n x="23" s="1"/>
        <n x="24" s="1"/>
        <n x="21"/>
        <n x="36"/>
        <n x="37"/>
        <n x="7"/>
        <n x="216"/>
      </t>
    </mdx>
    <mdx n="0" f="v">
      <t c="7">
        <n x="23" s="1"/>
        <n x="24" s="1"/>
        <n x="21"/>
        <n x="29"/>
        <n x="54"/>
        <n x="9"/>
        <n x="216"/>
      </t>
    </mdx>
    <mdx n="0" f="v">
      <t c="6">
        <n x="23" s="1"/>
        <n x="24" s="1"/>
        <n x="21"/>
        <n x="48"/>
        <n x="9"/>
        <n x="216"/>
      </t>
    </mdx>
    <mdx n="0" f="v">
      <t c="6">
        <n x="23" s="1"/>
        <n x="24" s="1"/>
        <n x="21"/>
        <n x="28"/>
        <n x="6"/>
        <n x="216"/>
      </t>
    </mdx>
    <mdx n="0" f="v">
      <t c="7">
        <n x="23" s="1"/>
        <n x="24" s="1"/>
        <n x="21"/>
        <n x="29"/>
        <n x="50"/>
        <n x="12"/>
        <n x="216"/>
      </t>
    </mdx>
    <mdx n="0" f="v">
      <t c="7">
        <n x="23" s="1"/>
        <n x="24" s="1"/>
        <n x="21"/>
        <n x="29"/>
        <n x="45"/>
        <n x="25"/>
        <n x="216"/>
      </t>
    </mdx>
    <mdx n="0" f="v">
      <t c="7">
        <n x="23" s="1"/>
        <n x="24" s="1"/>
        <n x="21"/>
        <n x="26"/>
        <n x="52"/>
        <n x="11"/>
        <n x="216"/>
      </t>
    </mdx>
    <mdx n="0" f="v">
      <t c="7">
        <n x="23" s="1"/>
        <n x="24" s="1"/>
        <n x="21"/>
        <n x="26"/>
        <n x="69"/>
        <n x="11"/>
        <n x="216"/>
      </t>
    </mdx>
    <mdx n="0" f="v">
      <t c="7">
        <n x="23" s="1"/>
        <n x="24" s="1"/>
        <n x="21"/>
        <n x="32"/>
        <n x="33"/>
        <n x="25"/>
        <n x="216"/>
      </t>
    </mdx>
    <mdx n="0" f="v">
      <t c="7">
        <n x="23" s="1"/>
        <n x="24" s="1"/>
        <n x="21"/>
        <n x="32"/>
        <n x="70"/>
        <n x="16"/>
        <n x="216"/>
      </t>
    </mdx>
    <mdx n="0" f="v">
      <t c="7">
        <n x="23" s="1"/>
        <n x="24" s="1"/>
        <n x="21"/>
        <n x="29"/>
        <n x="43"/>
        <n x="15"/>
        <n x="216"/>
      </t>
    </mdx>
    <mdx n="0" f="v">
      <t c="7">
        <n x="23" s="1"/>
        <n x="24" s="1"/>
        <n x="21"/>
        <n x="26"/>
        <n x="27"/>
        <n x="6"/>
        <n x="216"/>
      </t>
    </mdx>
    <mdx n="0" f="v">
      <t c="7">
        <n x="23" s="1"/>
        <n x="24" s="1"/>
        <n x="21"/>
        <n x="26"/>
        <n x="52"/>
        <n x="14"/>
        <n x="216"/>
      </t>
    </mdx>
    <mdx n="0" f="v">
      <t c="7">
        <n x="23" s="1"/>
        <n x="24" s="1"/>
        <n x="21"/>
        <n x="62"/>
        <n x="73"/>
        <n x="15"/>
        <n x="216"/>
      </t>
    </mdx>
    <mdx n="0" f="v">
      <t c="7">
        <n x="23" s="1"/>
        <n x="24" s="1"/>
        <n x="21"/>
        <n x="29"/>
        <n x="51"/>
        <n x="13"/>
        <n x="216"/>
      </t>
    </mdx>
    <mdx n="0" f="v">
      <t c="6">
        <n x="23" s="1"/>
        <n x="24" s="1"/>
        <n x="21"/>
        <n x="28"/>
        <n x="11"/>
        <n x="216"/>
      </t>
    </mdx>
    <mdx n="0" f="v">
      <t c="6">
        <n x="23" s="1"/>
        <n x="24" s="1"/>
        <n x="21"/>
        <n x="29"/>
        <n x="8"/>
        <n x="216"/>
      </t>
    </mdx>
    <mdx n="0" f="v">
      <t c="7">
        <n x="23" s="1"/>
        <n x="24" s="1"/>
        <n x="21"/>
        <n x="26"/>
        <n x="46"/>
        <n x="25"/>
        <n x="216"/>
      </t>
    </mdx>
    <mdx n="0" f="v">
      <t c="7">
        <n x="23" s="1"/>
        <n x="24" s="1"/>
        <n x="21"/>
        <n x="29"/>
        <n x="51"/>
        <n x="7"/>
        <n x="216"/>
      </t>
    </mdx>
    <mdx n="0" f="v">
      <t c="6">
        <n x="23" s="1"/>
        <n x="24" s="1"/>
        <n x="21"/>
        <n x="28"/>
        <n x="14"/>
        <n x="216"/>
      </t>
    </mdx>
    <mdx n="0" f="v">
      <t c="7">
        <n x="23" s="1"/>
        <n x="24" s="1"/>
        <n x="21"/>
        <n x="48"/>
        <n x="49"/>
        <n x="15"/>
        <n x="216"/>
      </t>
    </mdx>
    <mdx n="0" f="v">
      <t c="7">
        <n x="23" s="1"/>
        <n x="24" s="1"/>
        <n x="21"/>
        <n x="29"/>
        <n x="35"/>
        <n x="13"/>
        <n x="216"/>
      </t>
    </mdx>
    <mdx n="0" f="v">
      <t c="7">
        <n x="23" s="1"/>
        <n x="24" s="1"/>
        <n x="21"/>
        <n x="32"/>
        <n x="70"/>
        <n x="25"/>
        <n x="216"/>
      </t>
    </mdx>
    <mdx n="0" f="v">
      <t c="7">
        <n x="23" s="1"/>
        <n x="24" s="1"/>
        <n x="21"/>
        <n x="32"/>
        <n x="70"/>
        <n x="15"/>
        <n x="216"/>
      </t>
    </mdx>
    <mdx n="0" f="v">
      <t c="7">
        <n x="23" s="1"/>
        <n x="24" s="1"/>
        <n x="21"/>
        <n x="62"/>
        <n x="73"/>
        <n x="8"/>
        <n x="216"/>
      </t>
    </mdx>
    <mdx n="0" f="v">
      <t c="7">
        <n x="23" s="1"/>
        <n x="24" s="1"/>
        <n x="21"/>
        <n x="28"/>
        <n x="53"/>
        <n x="6"/>
        <n x="216"/>
      </t>
    </mdx>
    <mdx n="0" f="v">
      <t c="7">
        <n x="23" s="1"/>
        <n x="24" s="1"/>
        <n x="21"/>
        <n x="29"/>
        <n x="40"/>
        <n x="16"/>
        <n x="216"/>
      </t>
    </mdx>
    <mdx n="0" f="v">
      <t c="7">
        <n x="23" s="1"/>
        <n x="24" s="1"/>
        <n x="21"/>
        <n x="29"/>
        <n x="30"/>
        <n x="10"/>
        <n x="216"/>
      </t>
    </mdx>
    <mdx n="0" f="v">
      <t c="7">
        <n x="23" s="1"/>
        <n x="24" s="1"/>
        <n x="21"/>
        <n x="48"/>
        <n x="64"/>
        <n x="11"/>
        <n x="216"/>
      </t>
    </mdx>
    <mdx n="0" f="v">
      <t c="6">
        <n x="23" s="1"/>
        <n x="24" s="1"/>
        <n x="21"/>
        <n x="36"/>
        <n x="15"/>
        <n x="216"/>
      </t>
    </mdx>
    <mdx n="0" f="v">
      <t c="6">
        <n x="23" s="1"/>
        <n x="24" s="1"/>
        <n x="21"/>
        <n x="26"/>
        <n x="6"/>
        <n x="216"/>
      </t>
    </mdx>
    <mdx n="0" f="v">
      <t c="7">
        <n x="23" s="1"/>
        <n x="24" s="1"/>
        <n x="21"/>
        <n x="26"/>
        <n x="56"/>
        <n x="10"/>
        <n x="216"/>
      </t>
    </mdx>
    <mdx n="0" f="v">
      <t c="7">
        <n x="23" s="1"/>
        <n x="24" s="1"/>
        <n x="21"/>
        <n x="29"/>
        <n x="47"/>
        <n x="12"/>
        <n x="216"/>
      </t>
    </mdx>
    <mdx n="0" f="v">
      <t c="7">
        <n x="23" s="1"/>
        <n x="24" s="1"/>
        <n x="21"/>
        <n x="29"/>
        <n x="51"/>
        <n x="25"/>
        <n x="216"/>
      </t>
    </mdx>
    <mdx n="0" f="v">
      <t c="7">
        <n x="23" s="1"/>
        <n x="24" s="1"/>
        <n x="21"/>
        <n x="32"/>
        <n x="68"/>
        <n x="14"/>
        <n x="216"/>
      </t>
    </mdx>
    <mdx n="0" f="v">
      <t c="6">
        <n x="23" s="1"/>
        <n x="24" s="1"/>
        <n x="21"/>
        <n x="36"/>
        <n x="6"/>
        <n x="216"/>
      </t>
    </mdx>
    <mdx n="0" f="v">
      <t c="7">
        <n x="23" s="1"/>
        <n x="24" s="1"/>
        <n x="21"/>
        <n x="29"/>
        <n x="71"/>
        <n x="25"/>
        <n x="216"/>
      </t>
    </mdx>
    <mdx n="0" f="v">
      <t c="7">
        <n x="23" s="1"/>
        <n x="24" s="1"/>
        <n x="21"/>
        <n x="26"/>
        <n x="56"/>
        <n x="11"/>
        <n x="216"/>
      </t>
    </mdx>
    <mdx n="0" f="v">
      <t c="7">
        <n x="23" s="1"/>
        <n x="24" s="1"/>
        <n x="21"/>
        <n x="26"/>
        <n x="60"/>
        <n x="8"/>
        <n x="216"/>
      </t>
    </mdx>
    <mdx n="0" f="v">
      <t c="7">
        <n x="23" s="1"/>
        <n x="24" s="1"/>
        <n x="21"/>
        <n x="32"/>
        <n x="70"/>
        <n x="12"/>
        <n x="216"/>
      </t>
    </mdx>
    <mdx n="0" f="v">
      <t c="7">
        <n x="23" s="1"/>
        <n x="24" s="1"/>
        <n x="21"/>
        <n x="29"/>
        <n x="39"/>
        <n x="13"/>
        <n x="216"/>
      </t>
    </mdx>
    <mdx n="0" f="v">
      <t c="7">
        <n x="23" s="1"/>
        <n x="24" s="1"/>
        <n x="21"/>
        <n x="62"/>
        <n x="72"/>
        <n x="10"/>
        <n x="216"/>
      </t>
    </mdx>
    <mdx n="0" f="v">
      <t c="7">
        <n x="23" s="1"/>
        <n x="24" s="1"/>
        <n x="21"/>
        <n x="26"/>
        <n x="27"/>
        <n x="25"/>
        <n x="216"/>
      </t>
    </mdx>
    <mdx n="0" f="v">
      <t c="6">
        <n x="23" s="1"/>
        <n x="24" s="1"/>
        <n x="21"/>
        <n x="32"/>
        <n x="6"/>
        <n x="216"/>
      </t>
    </mdx>
    <mdx n="0" f="v">
      <t c="7">
        <n x="23" s="1"/>
        <n x="24" s="1"/>
        <n x="21"/>
        <n x="29"/>
        <n x="40"/>
        <n x="10"/>
        <n x="216"/>
      </t>
    </mdx>
    <mdx n="0" f="v">
      <t c="7">
        <n x="23" s="1"/>
        <n x="24" s="1"/>
        <n x="21"/>
        <n x="26"/>
        <n x="60"/>
        <n x="14"/>
        <n x="216"/>
      </t>
    </mdx>
    <mdx n="0" f="v">
      <t c="7">
        <n x="23" s="1"/>
        <n x="24" s="1"/>
        <n x="21"/>
        <n x="26"/>
        <n x="57"/>
        <n x="11"/>
        <n x="216"/>
      </t>
    </mdx>
    <mdx n="0" f="v">
      <t c="7">
        <n x="23" s="1"/>
        <n x="24" s="1"/>
        <n x="21"/>
        <n x="26"/>
        <n x="56"/>
        <n x="14"/>
        <n x="216"/>
      </t>
    </mdx>
    <mdx n="0" f="v">
      <t c="7">
        <n x="23" s="1"/>
        <n x="24" s="1"/>
        <n x="21"/>
        <n x="32"/>
        <n x="68"/>
        <n x="25"/>
        <n x="216"/>
      </t>
    </mdx>
    <mdx n="0" f="v">
      <t c="7">
        <n x="23" s="1"/>
        <n x="24" s="1"/>
        <n x="21"/>
        <n x="29"/>
        <n x="71"/>
        <n x="8"/>
        <n x="216"/>
      </t>
    </mdx>
    <mdx n="0" f="v">
      <t c="7">
        <n x="23" s="1"/>
        <n x="24" s="1"/>
        <n x="21"/>
        <n x="26"/>
        <n x="31"/>
        <n x="12"/>
        <n x="216"/>
      </t>
    </mdx>
    <mdx n="0" f="v">
      <t c="7">
        <n x="23" s="1"/>
        <n x="24" s="1"/>
        <n x="21"/>
        <n x="36"/>
        <n x="37"/>
        <n x="11"/>
        <n x="216"/>
      </t>
    </mdx>
    <mdx n="0" f="v">
      <t c="7">
        <n x="23" s="1"/>
        <n x="24" s="1"/>
        <n x="21"/>
        <n x="29"/>
        <n x="43"/>
        <n x="6"/>
        <n x="216"/>
      </t>
    </mdx>
    <mdx n="0" f="v">
      <t c="7">
        <n x="23" s="1"/>
        <n x="24" s="1"/>
        <n x="21"/>
        <n x="26"/>
        <n x="57"/>
        <n x="14"/>
        <n x="216"/>
      </t>
    </mdx>
    <mdx n="0" f="v">
      <t c="7">
        <n x="23" s="1"/>
        <n x="24" s="1"/>
        <n x="21"/>
        <n x="28"/>
        <n x="53"/>
        <n x="15"/>
        <n x="216"/>
      </t>
    </mdx>
    <mdx n="0" f="v">
      <t c="7">
        <n x="23" s="1"/>
        <n x="24" s="1"/>
        <n x="21"/>
        <n x="32"/>
        <n x="63"/>
        <n x="8"/>
        <n x="216"/>
      </t>
    </mdx>
    <mdx n="0" f="v">
      <t c="7">
        <n x="23" s="1"/>
        <n x="24" s="1"/>
        <n x="21"/>
        <n x="28"/>
        <n x="55"/>
        <n x="7"/>
        <n x="216"/>
      </t>
    </mdx>
    <mdx n="0" f="v">
      <t c="7">
        <n x="23" s="1"/>
        <n x="24" s="1"/>
        <n x="21"/>
        <n x="32"/>
        <n x="33"/>
        <n x="7"/>
        <n x="216"/>
      </t>
    </mdx>
    <mdx n="0" f="v">
      <t c="7">
        <n x="23" s="1"/>
        <n x="24" s="1"/>
        <n x="21"/>
        <n x="28"/>
        <n x="42"/>
        <n x="9"/>
        <n x="216"/>
      </t>
    </mdx>
    <mdx n="0" f="v">
      <t c="7">
        <n x="23" s="1"/>
        <n x="24" s="1"/>
        <n x="21"/>
        <n x="28"/>
        <n x="42"/>
        <n x="6"/>
        <n x="216"/>
      </t>
    </mdx>
    <mdx n="0" f="v">
      <t c="7">
        <n x="23" s="1"/>
        <n x="24" s="1"/>
        <n x="21"/>
        <n x="29"/>
        <n x="54"/>
        <n x="17"/>
        <n x="216"/>
      </t>
    </mdx>
    <mdx n="0" f="v">
      <t c="7">
        <n x="23" s="1"/>
        <n x="24" s="1"/>
        <n x="21"/>
        <n x="29"/>
        <n x="40"/>
        <n x="7"/>
        <n x="216"/>
      </t>
    </mdx>
    <mdx n="0" f="v">
      <t c="7">
        <n x="23" s="1"/>
        <n x="24" s="1"/>
        <n x="21"/>
        <n x="62"/>
        <n x="74"/>
        <n x="7"/>
        <n x="216"/>
      </t>
    </mdx>
    <mdx n="0" f="v">
      <t c="7">
        <n x="23" s="1"/>
        <n x="24" s="1"/>
        <n x="21"/>
        <n x="62"/>
        <n x="74"/>
        <n x="11"/>
        <n x="216"/>
      </t>
    </mdx>
    <mdx n="0" f="v">
      <t c="7">
        <n x="23" s="1"/>
        <n x="24" s="1"/>
        <n x="21"/>
        <n x="26"/>
        <n x="67"/>
        <n x="10"/>
        <n x="216"/>
      </t>
    </mdx>
    <mdx n="0" f="v">
      <t c="7">
        <n x="23" s="1"/>
        <n x="24" s="1"/>
        <n x="21"/>
        <n x="29"/>
        <n x="54"/>
        <n x="10"/>
        <n x="216"/>
      </t>
    </mdx>
    <mdx n="0" f="v">
      <t c="7">
        <n x="23" s="1"/>
        <n x="24" s="1"/>
        <n x="21"/>
        <n x="32"/>
        <n x="70"/>
        <n x="7"/>
        <n x="216"/>
      </t>
    </mdx>
    <mdx n="0" f="v">
      <t c="7">
        <n x="23" s="1"/>
        <n x="24" s="1"/>
        <n x="21"/>
        <n x="29"/>
        <n x="40"/>
        <n x="8"/>
        <n x="216"/>
      </t>
    </mdx>
    <mdx n="0" f="v">
      <t c="6">
        <n x="23" s="1"/>
        <n x="24" s="1"/>
        <n x="21"/>
        <n x="48"/>
        <n x="17"/>
        <n x="216"/>
      </t>
    </mdx>
    <mdx n="0" f="v">
      <t c="7">
        <n x="23" s="1"/>
        <n x="24" s="1"/>
        <n x="21"/>
        <n x="26"/>
        <n x="57"/>
        <n x="9"/>
        <n x="216"/>
      </t>
    </mdx>
    <mdx n="0" f="v">
      <t c="7">
        <n x="23" s="1"/>
        <n x="24" s="1"/>
        <n x="21"/>
        <n x="29"/>
        <n x="35"/>
        <n x="8"/>
        <n x="216"/>
      </t>
    </mdx>
    <mdx n="0" f="v">
      <t c="7">
        <n x="23" s="1"/>
        <n x="24" s="1"/>
        <n x="21"/>
        <n x="26"/>
        <n x="60"/>
        <n x="16"/>
        <n x="216"/>
      </t>
    </mdx>
    <mdx n="0" f="v">
      <t c="7">
        <n x="23" s="1"/>
        <n x="24" s="1"/>
        <n x="21"/>
        <n x="26"/>
        <n x="69"/>
        <n x="13"/>
        <n x="216"/>
      </t>
    </mdx>
    <mdx n="0" f="v">
      <t c="6">
        <n x="23" s="1"/>
        <n x="24" s="1"/>
        <n x="21"/>
        <n x="36"/>
        <n x="9"/>
        <n x="216"/>
      </t>
    </mdx>
    <mdx n="0" f="v">
      <t c="7">
        <n x="23" s="1"/>
        <n x="24" s="1"/>
        <n x="21"/>
        <n x="29"/>
        <n x="51"/>
        <n x="17"/>
        <n x="216"/>
      </t>
    </mdx>
    <mdx n="0" f="v">
      <t c="7">
        <n x="23" s="1"/>
        <n x="24" s="1"/>
        <n x="21"/>
        <n x="26"/>
        <n x="41"/>
        <n x="8"/>
        <n x="216"/>
      </t>
    </mdx>
    <mdx n="0" f="v">
      <t c="6">
        <n x="23" s="1"/>
        <n x="24" s="1"/>
        <n x="21"/>
        <n x="36"/>
        <n x="17"/>
        <n x="216"/>
      </t>
    </mdx>
    <mdx n="0" f="v">
      <t c="7">
        <n x="23" s="1"/>
        <n x="24" s="1"/>
        <n x="21"/>
        <n x="29"/>
        <n x="45"/>
        <n x="15"/>
        <n x="216"/>
      </t>
    </mdx>
    <mdx n="0" f="v">
      <t c="7">
        <n x="23" s="1"/>
        <n x="24" s="1"/>
        <n x="21"/>
        <n x="26"/>
        <n x="56"/>
        <n x="16"/>
        <n x="216"/>
      </t>
    </mdx>
    <mdx n="0" f="v">
      <t c="7">
        <n x="23" s="1"/>
        <n x="24" s="1"/>
        <n x="21"/>
        <n x="48"/>
        <n x="49"/>
        <n x="13"/>
        <n x="216"/>
      </t>
    </mdx>
    <mdx n="0" f="v">
      <t c="7">
        <n x="23" s="1"/>
        <n x="24" s="1"/>
        <n x="21"/>
        <n x="26"/>
        <n x="34"/>
        <n x="14"/>
        <n x="216"/>
      </t>
    </mdx>
    <mdx n="0" f="v">
      <t c="7">
        <n x="23" s="1"/>
        <n x="24" s="1"/>
        <n x="21"/>
        <n x="26"/>
        <n x="38"/>
        <n x="7"/>
        <n x="216"/>
      </t>
    </mdx>
    <mdx n="0" f="v">
      <t c="6">
        <n x="23" s="1"/>
        <n x="24" s="1"/>
        <n x="21"/>
        <n x="65"/>
        <n x="11"/>
        <n x="216"/>
      </t>
    </mdx>
    <mdx n="0" f="v">
      <t c="6">
        <n x="23" s="1"/>
        <n x="24" s="1"/>
        <n x="21"/>
        <n x="36"/>
        <n x="14"/>
        <n x="216"/>
      </t>
    </mdx>
    <mdx n="0" f="v">
      <t c="7">
        <n x="23" s="1"/>
        <n x="24" s="1"/>
        <n x="21"/>
        <n x="26"/>
        <n x="46"/>
        <n x="13"/>
        <n x="216"/>
      </t>
    </mdx>
    <mdx n="0" f="v">
      <t c="7">
        <n x="23" s="1"/>
        <n x="24" s="1"/>
        <n x="21"/>
        <n x="28"/>
        <n x="53"/>
        <n x="14"/>
        <n x="216"/>
      </t>
    </mdx>
    <mdx n="0" f="v">
      <t c="6">
        <n x="23" s="1"/>
        <n x="24" s="1"/>
        <n x="21"/>
        <n x="61"/>
        <n x="7"/>
        <n x="216"/>
      </t>
    </mdx>
    <mdx n="0" f="v">
      <t c="7">
        <n x="23" s="1"/>
        <n x="24" s="1"/>
        <n x="21"/>
        <n x="26"/>
        <n x="67"/>
        <n x="14"/>
        <n x="216"/>
      </t>
    </mdx>
    <mdx n="0" f="v">
      <t c="7">
        <n x="23" s="1"/>
        <n x="24" s="1"/>
        <n x="21"/>
        <n x="62"/>
        <n x="74"/>
        <n x="13"/>
        <n x="216"/>
      </t>
    </mdx>
    <mdx n="0" f="v">
      <t c="6">
        <n x="23" s="1"/>
        <n x="24" s="1"/>
        <n x="21"/>
        <n x="29"/>
        <n x="17"/>
        <n x="216"/>
      </t>
    </mdx>
    <mdx n="0" f="v">
      <t c="7">
        <n x="23" s="1"/>
        <n x="24" s="1"/>
        <n x="21"/>
        <n x="26"/>
        <n x="67"/>
        <n x="9"/>
        <n x="216"/>
      </t>
    </mdx>
    <mdx n="0" f="v">
      <t c="7">
        <n x="23" s="1"/>
        <n x="24" s="1"/>
        <n x="21"/>
        <n x="26"/>
        <n x="38"/>
        <n x="12"/>
        <n x="216"/>
      </t>
    </mdx>
    <mdx n="0" f="v">
      <t c="7">
        <n x="23" s="1"/>
        <n x="24" s="1"/>
        <n x="21"/>
        <n x="62"/>
        <n x="72"/>
        <n x="17"/>
        <n x="216"/>
      </t>
    </mdx>
    <mdx n="0" f="v">
      <t c="7">
        <n x="23" s="1"/>
        <n x="24" s="1"/>
        <n x="21"/>
        <n x="28"/>
        <n x="53"/>
        <n x="12"/>
        <n x="216"/>
      </t>
    </mdx>
    <mdx n="0" f="v">
      <t c="7">
        <n x="23" s="1"/>
        <n x="24" s="1"/>
        <n x="21"/>
        <n x="26"/>
        <n x="31"/>
        <n x="11"/>
        <n x="216"/>
      </t>
    </mdx>
    <mdx n="0" f="v">
      <t c="7">
        <n x="23" s="1"/>
        <n x="24" s="1"/>
        <n x="21"/>
        <n x="28"/>
        <n x="42"/>
        <n x="16"/>
        <n x="216"/>
      </t>
    </mdx>
    <mdx n="0" f="v">
      <t c="7">
        <n x="23" s="1"/>
        <n x="24" s="1"/>
        <n x="21"/>
        <n x="29"/>
        <n x="59"/>
        <n x="12"/>
        <n x="216"/>
      </t>
    </mdx>
    <mdx n="0" f="v">
      <t c="7">
        <n x="23" s="1"/>
        <n x="24" s="1"/>
        <n x="21"/>
        <n x="26"/>
        <n x="34"/>
        <n x="25"/>
        <n x="216"/>
      </t>
    </mdx>
    <mdx n="0" f="v">
      <t c="7">
        <n x="23" s="1"/>
        <n x="24" s="1"/>
        <n x="21"/>
        <n x="29"/>
        <n x="40"/>
        <n x="11"/>
        <n x="216"/>
      </t>
    </mdx>
    <mdx n="0" f="v">
      <t c="7">
        <n x="23" s="1"/>
        <n x="24" s="1"/>
        <n x="21"/>
        <n x="32"/>
        <n x="66"/>
        <n x="8"/>
        <n x="216"/>
      </t>
    </mdx>
    <mdx n="0" f="v">
      <t c="7">
        <n x="23" s="1"/>
        <n x="24" s="1"/>
        <n x="21"/>
        <n x="29"/>
        <n x="50"/>
        <n x="13"/>
        <n x="216"/>
      </t>
    </mdx>
    <mdx n="0" f="v">
      <t c="7">
        <n x="23" s="1"/>
        <n x="24" s="1"/>
        <n x="21"/>
        <n x="26"/>
        <n x="69"/>
        <n x="16"/>
        <n x="216"/>
      </t>
    </mdx>
    <mdx n="0" f="v">
      <t c="7">
        <n x="23" s="1"/>
        <n x="24" s="1"/>
        <n x="21"/>
        <n x="28"/>
        <n x="42"/>
        <n x="8"/>
        <n x="216"/>
      </t>
    </mdx>
    <mdx n="0" f="v">
      <t c="7">
        <n x="23" s="1"/>
        <n x="24" s="1"/>
        <n x="21"/>
        <n x="29"/>
        <n x="47"/>
        <n x="25"/>
        <n x="216"/>
      </t>
    </mdx>
    <mdx n="0" f="v">
      <t c="7">
        <n x="23" s="1"/>
        <n x="24" s="1"/>
        <n x="21"/>
        <n x="26"/>
        <n x="27"/>
        <n x="13"/>
        <n x="216"/>
      </t>
    </mdx>
    <mdx n="0" f="v">
      <t c="7">
        <n x="23" s="1"/>
        <n x="24" s="1"/>
        <n x="21"/>
        <n x="32"/>
        <n x="66"/>
        <n x="16"/>
        <n x="216"/>
      </t>
    </mdx>
    <mdx n="0" f="v">
      <t c="7">
        <n x="23" s="1"/>
        <n x="24" s="1"/>
        <n x="21"/>
        <n x="26"/>
        <n x="34"/>
        <n x="17"/>
        <n x="216"/>
      </t>
    </mdx>
    <mdx n="0" f="v">
      <t c="7">
        <n x="23" s="1"/>
        <n x="24" s="1"/>
        <n x="21"/>
        <n x="29"/>
        <n x="30"/>
        <n x="9"/>
        <n x="216"/>
      </t>
    </mdx>
    <mdx n="0" f="v">
      <t c="7">
        <n x="23" s="1"/>
        <n x="24" s="1"/>
        <n x="21"/>
        <n x="26"/>
        <n x="38"/>
        <n x="8"/>
        <n x="216"/>
      </t>
    </mdx>
    <mdx n="0" f="v">
      <t c="7">
        <n x="23" s="1"/>
        <n x="24" s="1"/>
        <n x="21"/>
        <n x="36"/>
        <n x="37"/>
        <n x="12"/>
        <n x="216"/>
      </t>
    </mdx>
    <mdx n="0" f="v">
      <t c="7">
        <n x="23" s="1"/>
        <n x="24" s="1"/>
        <n x="21"/>
        <n x="26"/>
        <n x="56"/>
        <n x="15"/>
        <n x="216"/>
      </t>
    </mdx>
    <mdx n="0" f="v">
      <t c="7">
        <n x="23" s="1"/>
        <n x="24" s="1"/>
        <n x="21"/>
        <n x="29"/>
        <n x="35"/>
        <n x="16"/>
        <n x="216"/>
      </t>
    </mdx>
    <mdx n="0" f="v">
      <t c="7">
        <n x="23" s="1"/>
        <n x="24" s="1"/>
        <n x="21"/>
        <n x="32"/>
        <n x="66"/>
        <n x="7"/>
        <n x="216"/>
      </t>
    </mdx>
    <mdx n="0" f="v">
      <t c="7">
        <n x="23" s="1"/>
        <n x="24" s="1"/>
        <n x="21"/>
        <n x="29"/>
        <n x="47"/>
        <n x="9"/>
        <n x="216"/>
      </t>
    </mdx>
    <mdx n="0" f="v">
      <t c="7">
        <n x="23" s="1"/>
        <n x="24" s="1"/>
        <n x="21"/>
        <n x="26"/>
        <n x="38"/>
        <n x="15"/>
        <n x="216"/>
      </t>
    </mdx>
    <mdx n="0" f="v">
      <t c="7">
        <n x="23" s="1"/>
        <n x="24" s="1"/>
        <n x="21"/>
        <n x="26"/>
        <n x="60"/>
        <n x="10"/>
        <n x="216"/>
      </t>
    </mdx>
    <mdx n="0" f="v">
      <t c="7">
        <n x="23" s="1"/>
        <n x="24" s="1"/>
        <n x="21"/>
        <n x="29"/>
        <n x="35"/>
        <n x="10"/>
        <n x="216"/>
      </t>
    </mdx>
    <mdx n="0" f="v">
      <t c="7">
        <n x="23" s="1"/>
        <n x="24" s="1"/>
        <n x="21"/>
        <n x="48"/>
        <n x="64"/>
        <n x="16"/>
        <n x="216"/>
      </t>
    </mdx>
    <mdx n="0" f="v">
      <t c="7">
        <n x="23" s="1"/>
        <n x="24" s="1"/>
        <n x="21"/>
        <n x="32"/>
        <n x="33"/>
        <n x="15"/>
        <n x="216"/>
      </t>
    </mdx>
    <mdx n="0" f="v">
      <t c="7">
        <n x="23" s="1"/>
        <n x="24" s="1"/>
        <n x="21"/>
        <n x="28"/>
        <n x="53"/>
        <n x="9"/>
        <n x="216"/>
      </t>
    </mdx>
    <mdx n="0" f="v">
      <t c="7">
        <n x="23" s="1"/>
        <n x="24" s="1"/>
        <n x="21"/>
        <n x="29"/>
        <n x="45"/>
        <n x="9"/>
        <n x="216"/>
      </t>
    </mdx>
    <mdx n="0" f="v">
      <t c="7">
        <n x="23" s="1"/>
        <n x="24" s="1"/>
        <n x="21"/>
        <n x="36"/>
        <n x="37"/>
        <n x="14"/>
        <n x="216"/>
      </t>
    </mdx>
    <mdx n="0" f="v">
      <t c="7">
        <n x="23" s="1"/>
        <n x="24" s="1"/>
        <n x="21"/>
        <n x="29"/>
        <n x="30"/>
        <n x="12"/>
        <n x="216"/>
      </t>
    </mdx>
    <mdx n="0" f="v">
      <t c="7">
        <n x="23" s="1"/>
        <n x="24" s="1"/>
        <n x="21"/>
        <n x="29"/>
        <n x="35"/>
        <n x="9"/>
        <n x="216"/>
      </t>
    </mdx>
    <mdx n="0" f="v">
      <t c="7">
        <n x="23" s="1"/>
        <n x="24" s="1"/>
        <n x="21"/>
        <n x="26"/>
        <n x="57"/>
        <n x="7"/>
        <n x="216"/>
      </t>
    </mdx>
    <mdx n="0" f="v">
      <t c="7">
        <n x="23" s="1"/>
        <n x="24" s="1"/>
        <n x="21"/>
        <n x="28"/>
        <n x="55"/>
        <n x="11"/>
        <n x="216"/>
      </t>
    </mdx>
    <mdx n="0" f="v">
      <t c="7">
        <n x="23" s="1"/>
        <n x="24" s="1"/>
        <n x="21"/>
        <n x="32"/>
        <n x="68"/>
        <n x="15"/>
        <n x="216"/>
      </t>
    </mdx>
    <mdx n="0" f="v">
      <t c="7">
        <n x="23" s="1"/>
        <n x="24" s="1"/>
        <n x="21"/>
        <n x="28"/>
        <n x="42"/>
        <n x="13"/>
        <n x="216"/>
      </t>
    </mdx>
    <mdx n="0" f="v">
      <t c="7">
        <n x="23" s="1"/>
        <n x="24" s="1"/>
        <n x="21"/>
        <n x="62"/>
        <n x="72"/>
        <n x="7"/>
        <n x="216"/>
      </t>
    </mdx>
    <mdx n="0" f="v">
      <t c="7">
        <n x="23" s="1"/>
        <n x="24" s="1"/>
        <n x="21"/>
        <n x="32"/>
        <n x="63"/>
        <n x="13"/>
        <n x="216"/>
      </t>
    </mdx>
    <mdx n="0" f="v">
      <t c="6">
        <n x="23" s="1"/>
        <n x="24" s="1"/>
        <n x="21"/>
        <n x="32"/>
        <n x="8"/>
        <n x="216"/>
      </t>
    </mdx>
    <mdx n="0" f="v">
      <t c="6">
        <n x="23" s="1"/>
        <n x="24" s="1"/>
        <n x="21"/>
        <n x="26"/>
        <n x="7"/>
        <n x="216"/>
      </t>
    </mdx>
    <mdx n="0" f="v">
      <t c="7">
        <n x="23" s="1"/>
        <n x="24" s="1"/>
        <n x="21"/>
        <n x="62"/>
        <n x="73"/>
        <n x="11"/>
        <n x="216"/>
      </t>
    </mdx>
    <mdx n="0" f="v">
      <t c="7">
        <n x="23" s="1"/>
        <n x="24" s="1"/>
        <n x="21"/>
        <n x="29"/>
        <n x="59"/>
        <n x="15"/>
        <n x="216"/>
      </t>
    </mdx>
    <mdx n="0" f="v">
      <t c="7">
        <n x="23" s="1"/>
        <n x="24" s="1"/>
        <n x="21"/>
        <n x="32"/>
        <n x="63"/>
        <n x="9"/>
        <n x="216"/>
      </t>
    </mdx>
    <mdx n="0" f="v">
      <t c="7">
        <n x="23" s="1"/>
        <n x="24" s="1"/>
        <n x="21"/>
        <n x="26"/>
        <n x="56"/>
        <n x="7"/>
        <n x="216"/>
      </t>
    </mdx>
    <mdx n="0" f="v">
      <t c="7">
        <n x="23" s="1"/>
        <n x="24" s="1"/>
        <n x="21"/>
        <n x="29"/>
        <n x="47"/>
        <n x="13"/>
        <n x="216"/>
      </t>
    </mdx>
    <mdx n="0" f="v">
      <t c="7">
        <n x="23" s="1"/>
        <n x="24" s="1"/>
        <n x="21"/>
        <n x="26"/>
        <n x="27"/>
        <n x="16"/>
        <n x="216"/>
      </t>
    </mdx>
    <mdx n="0" f="v">
      <t c="7">
        <n x="23" s="1"/>
        <n x="24" s="1"/>
        <n x="21"/>
        <n x="29"/>
        <n x="47"/>
        <n x="8"/>
        <n x="216"/>
      </t>
    </mdx>
    <mdx n="0" f="v">
      <t c="7">
        <n x="23" s="1"/>
        <n x="24" s="1"/>
        <n x="21"/>
        <n x="32"/>
        <n x="70"/>
        <n x="9"/>
        <n x="216"/>
      </t>
    </mdx>
    <mdx n="0" f="v">
      <t c="6">
        <n x="23" s="1"/>
        <n x="24" s="1"/>
        <n x="21"/>
        <n x="26"/>
        <n x="15"/>
        <n x="216"/>
      </t>
    </mdx>
    <mdx n="0" f="v">
      <t c="7">
        <n x="23" s="1"/>
        <n x="24" s="1"/>
        <n x="21"/>
        <n x="32"/>
        <n x="63"/>
        <n x="11"/>
        <n x="216"/>
      </t>
    </mdx>
    <mdx n="0" f="v">
      <t c="7">
        <n x="23" s="1"/>
        <n x="24" s="1"/>
        <n x="21"/>
        <n x="26"/>
        <n x="52"/>
        <n x="15"/>
        <n x="216"/>
      </t>
    </mdx>
    <mdx n="0" f="v">
      <t c="7">
        <n x="23" s="1"/>
        <n x="24" s="1"/>
        <n x="21"/>
        <n x="29"/>
        <n x="47"/>
        <n x="7"/>
        <n x="216"/>
      </t>
    </mdx>
    <mdx n="0" f="v">
      <t c="7">
        <n x="23" s="1"/>
        <n x="24" s="1"/>
        <n x="21"/>
        <n x="26"/>
        <n x="56"/>
        <n x="13"/>
        <n x="216"/>
      </t>
    </mdx>
    <mdx n="0" f="v">
      <t c="7">
        <n x="23" s="1"/>
        <n x="24" s="1"/>
        <n x="21"/>
        <n x="29"/>
        <n x="54"/>
        <n x="12"/>
        <n x="216"/>
      </t>
    </mdx>
    <mdx n="0" f="v">
      <t c="7">
        <n x="23" s="1"/>
        <n x="24" s="1"/>
        <n x="21"/>
        <n x="28"/>
        <n x="53"/>
        <n x="13"/>
        <n x="216"/>
      </t>
    </mdx>
    <mdx n="0" f="v">
      <t c="7">
        <n x="23" s="1"/>
        <n x="24" s="1"/>
        <n x="21"/>
        <n x="48"/>
        <n x="64"/>
        <n x="12"/>
        <n x="216"/>
      </t>
    </mdx>
    <mdx n="0" f="v">
      <t c="6">
        <n x="23" s="1"/>
        <n x="24" s="1"/>
        <n x="21"/>
        <n x="29"/>
        <n x="7"/>
        <n x="216"/>
      </t>
    </mdx>
    <mdx n="0" f="v">
      <t c="7">
        <n x="23" s="1"/>
        <n x="24" s="1"/>
        <n x="21"/>
        <n x="26"/>
        <n x="41"/>
        <n x="14"/>
        <n x="216"/>
      </t>
    </mdx>
    <mdx n="0" f="v">
      <t c="7">
        <n x="23" s="1"/>
        <n x="24" s="1"/>
        <n x="21"/>
        <n x="26"/>
        <n x="44"/>
        <n x="15"/>
        <n x="216"/>
      </t>
    </mdx>
    <mdx n="0" f="v">
      <t c="7">
        <n x="23" s="1"/>
        <n x="24" s="1"/>
        <n x="21"/>
        <n x="28"/>
        <n x="42"/>
        <n x="25"/>
        <n x="216"/>
      </t>
    </mdx>
    <mdx n="0" f="v">
      <t c="7">
        <n x="23" s="1"/>
        <n x="24" s="1"/>
        <n x="21"/>
        <n x="26"/>
        <n x="34"/>
        <n x="6"/>
        <n x="216"/>
      </t>
    </mdx>
    <mdx n="0" f="v">
      <t c="7">
        <n x="23" s="1"/>
        <n x="24" s="1"/>
        <n x="21"/>
        <n x="29"/>
        <n x="43"/>
        <n x="8"/>
        <n x="216"/>
      </t>
    </mdx>
    <mdx n="0" f="v">
      <t c="7">
        <n x="23" s="1"/>
        <n x="24" s="1"/>
        <n x="21"/>
        <n x="26"/>
        <n x="57"/>
        <n x="8"/>
        <n x="216"/>
      </t>
    </mdx>
    <mdx n="0" f="v">
      <t c="7">
        <n x="23" s="1"/>
        <n x="24" s="1"/>
        <n x="21"/>
        <n x="26"/>
        <n x="69"/>
        <n x="15"/>
        <n x="216"/>
      </t>
    </mdx>
    <mdx n="0" f="v">
      <t c="7">
        <n x="23" s="1"/>
        <n x="24" s="1"/>
        <n x="21"/>
        <n x="26"/>
        <n x="57"/>
        <n x="15"/>
        <n x="216"/>
      </t>
    </mdx>
    <mdx n="0" f="v">
      <t c="7">
        <n x="23" s="1"/>
        <n x="24" s="1"/>
        <n x="21"/>
        <n x="26"/>
        <n x="57"/>
        <n x="25"/>
        <n x="216"/>
      </t>
    </mdx>
    <mdx n="0" f="v">
      <t c="7">
        <n x="23" s="1"/>
        <n x="24" s="1"/>
        <n x="21"/>
        <n x="48"/>
        <n x="64"/>
        <n x="7"/>
        <n x="216"/>
      </t>
    </mdx>
    <mdx n="0" f="v">
      <t c="7">
        <n x="23" s="1"/>
        <n x="24" s="1"/>
        <n x="21"/>
        <n x="26"/>
        <n x="31"/>
        <n x="16"/>
        <n x="216"/>
      </t>
    </mdx>
    <mdx n="0" f="v">
      <t c="6">
        <n x="23" s="1"/>
        <n x="24" s="1"/>
        <n x="21"/>
        <n x="32"/>
        <n x="14"/>
        <n x="216"/>
      </t>
    </mdx>
    <mdx n="0" f="v">
      <t c="7">
        <n x="23" s="1"/>
        <n x="24" s="1"/>
        <n x="21"/>
        <n x="29"/>
        <n x="59"/>
        <n x="25"/>
        <n x="216"/>
      </t>
    </mdx>
    <mdx n="0" f="v">
      <t c="7">
        <n x="23" s="1"/>
        <n x="24" s="1"/>
        <n x="21"/>
        <n x="29"/>
        <n x="30"/>
        <n x="8"/>
        <n x="216"/>
      </t>
    </mdx>
    <mdx n="0" f="v">
      <t c="7">
        <n x="23" s="1"/>
        <n x="24" s="1"/>
        <n x="21"/>
        <n x="29"/>
        <n x="40"/>
        <n x="14"/>
        <n x="216"/>
      </t>
    </mdx>
    <mdx n="0" f="v">
      <t c="7">
        <n x="23" s="1"/>
        <n x="24" s="1"/>
        <n x="21"/>
        <n x="29"/>
        <n x="71"/>
        <n x="16"/>
        <n x="216"/>
      </t>
    </mdx>
    <mdx n="0" f="v">
      <t c="7">
        <n x="23" s="1"/>
        <n x="24" s="1"/>
        <n x="21"/>
        <n x="36"/>
        <n x="37"/>
        <n x="15"/>
        <n x="216"/>
      </t>
    </mdx>
    <mdx n="0" f="v">
      <t c="6">
        <n x="23" s="1"/>
        <n x="24" s="1"/>
        <n x="21"/>
        <n x="48"/>
        <n x="14"/>
        <n x="216"/>
      </t>
    </mdx>
    <mdx n="0" f="v">
      <t c="7">
        <n x="23" s="1"/>
        <n x="24" s="1"/>
        <n x="21"/>
        <n x="29"/>
        <n x="59"/>
        <n x="13"/>
        <n x="216"/>
      </t>
    </mdx>
    <mdx n="0" f="v">
      <t c="7">
        <n x="23" s="1"/>
        <n x="24" s="1"/>
        <n x="21"/>
        <n x="29"/>
        <n x="71"/>
        <n x="15"/>
        <n x="216"/>
      </t>
    </mdx>
    <mdx n="0" f="v">
      <t c="6">
        <n x="23" s="1"/>
        <n x="24" s="1"/>
        <n x="21"/>
        <n x="65"/>
        <n x="9"/>
        <n x="216"/>
      </t>
    </mdx>
    <mdx n="0" f="v">
      <t c="7">
        <n x="23" s="1"/>
        <n x="24" s="1"/>
        <n x="21"/>
        <n x="32"/>
        <n x="68"/>
        <n x="8"/>
        <n x="216"/>
      </t>
    </mdx>
    <mdx n="0" f="v">
      <t c="7">
        <n x="23" s="1"/>
        <n x="24" s="1"/>
        <n x="21"/>
        <n x="62"/>
        <n x="73"/>
        <n x="16"/>
        <n x="216"/>
      </t>
    </mdx>
    <mdx n="0" f="v">
      <t c="7">
        <n x="23" s="1"/>
        <n x="24" s="1"/>
        <n x="21"/>
        <n x="48"/>
        <n x="64"/>
        <n x="9"/>
        <n x="216"/>
      </t>
    </mdx>
    <mdx n="0" f="v">
      <t c="7">
        <n x="23" s="1"/>
        <n x="24" s="1"/>
        <n x="21"/>
        <n x="29"/>
        <n x="51"/>
        <n x="15"/>
        <n x="216"/>
      </t>
    </mdx>
    <mdx n="0" f="v">
      <t c="7">
        <n x="23" s="1"/>
        <n x="24" s="1"/>
        <n x="21"/>
        <n x="28"/>
        <n x="58"/>
        <n x="14"/>
        <n x="216"/>
      </t>
    </mdx>
    <mdx n="0" f="v">
      <t c="6">
        <n x="23" s="1"/>
        <n x="24" s="1"/>
        <n x="21"/>
        <n x="61"/>
        <n x="8"/>
        <n x="216"/>
      </t>
    </mdx>
    <mdx n="0" f="v">
      <t c="6">
        <n x="23" s="1"/>
        <n x="24" s="1"/>
        <n x="21"/>
        <n x="48"/>
        <n x="25"/>
        <n x="216"/>
      </t>
    </mdx>
    <mdx n="0" f="v">
      <t c="7">
        <n x="23" s="1"/>
        <n x="24" s="1"/>
        <n x="21"/>
        <n x="29"/>
        <n x="45"/>
        <n x="10"/>
        <n x="216"/>
      </t>
    </mdx>
    <mdx n="0" f="v">
      <t c="7">
        <n x="23" s="1"/>
        <n x="24" s="1"/>
        <n x="21"/>
        <n x="32"/>
        <n x="70"/>
        <n x="13"/>
        <n x="216"/>
      </t>
    </mdx>
    <mdx n="0" f="v">
      <t c="6">
        <n x="23" s="1"/>
        <n x="24" s="1"/>
        <n x="21"/>
        <n x="32"/>
        <n x="13"/>
        <n x="216"/>
      </t>
    </mdx>
    <mdx n="0" f="v">
      <t c="7">
        <n x="23" s="1"/>
        <n x="24" s="1"/>
        <n x="21"/>
        <n x="29"/>
        <n x="30"/>
        <n x="7"/>
        <n x="216"/>
      </t>
    </mdx>
    <mdx n="0" f="v">
      <t c="7">
        <n x="23" s="1"/>
        <n x="24" s="1"/>
        <n x="21"/>
        <n x="26"/>
        <n x="38"/>
        <n x="11"/>
        <n x="216"/>
      </t>
    </mdx>
    <mdx n="0" f="v">
      <t c="7">
        <n x="23" s="1"/>
        <n x="24" s="1"/>
        <n x="21"/>
        <n x="26"/>
        <n x="46"/>
        <n x="12"/>
        <n x="216"/>
      </t>
    </mdx>
    <mdx n="0" f="v">
      <t c="7">
        <n x="23" s="1"/>
        <n x="24" s="1"/>
        <n x="21"/>
        <n x="26"/>
        <n x="27"/>
        <n x="14"/>
        <n x="216"/>
      </t>
    </mdx>
    <mdx n="0" f="v">
      <t c="7">
        <n x="23" s="1"/>
        <n x="24" s="1"/>
        <n x="21"/>
        <n x="29"/>
        <n x="35"/>
        <n x="15"/>
        <n x="216"/>
      </t>
    </mdx>
    <mdx n="0" f="v">
      <t c="6">
        <n x="23" s="1"/>
        <n x="24" s="1"/>
        <n x="21"/>
        <n x="29"/>
        <n x="15"/>
        <n x="216"/>
      </t>
    </mdx>
    <mdx n="0" f="v">
      <t c="7">
        <n x="23" s="1"/>
        <n x="24" s="1"/>
        <n x="21"/>
        <n x="29"/>
        <n x="47"/>
        <n x="16"/>
        <n x="216"/>
      </t>
    </mdx>
    <mdx n="0" f="v">
      <t c="7">
        <n x="23" s="1"/>
        <n x="24" s="1"/>
        <n x="21"/>
        <n x="26"/>
        <n x="41"/>
        <n x="15"/>
        <n x="216"/>
      </t>
    </mdx>
    <mdx n="0" f="v">
      <t c="7">
        <n x="23" s="1"/>
        <n x="24" s="1"/>
        <n x="21"/>
        <n x="29"/>
        <n x="50"/>
        <n x="15"/>
        <n x="216"/>
      </t>
    </mdx>
    <mdx n="0" f="v">
      <t c="7">
        <n x="23" s="1"/>
        <n x="24" s="1"/>
        <n x="21"/>
        <n x="29"/>
        <n x="59"/>
        <n x="16"/>
        <n x="216"/>
      </t>
    </mdx>
    <mdx n="0" f="v">
      <t c="6">
        <n x="23" s="1"/>
        <n x="24" s="1"/>
        <n x="21"/>
        <n x="26"/>
        <n x="16"/>
        <n x="216"/>
      </t>
    </mdx>
    <mdx n="0" f="v">
      <t c="7">
        <n x="23" s="1"/>
        <n x="24" s="1"/>
        <n x="21"/>
        <n x="62"/>
        <n x="74"/>
        <n x="12"/>
        <n x="216"/>
      </t>
    </mdx>
    <mdx n="0" f="v">
      <t c="7">
        <n x="23" s="1"/>
        <n x="24" s="1"/>
        <n x="21"/>
        <n x="26"/>
        <n x="67"/>
        <n x="7"/>
        <n x="216"/>
      </t>
    </mdx>
    <mdx n="0" f="v">
      <t c="7">
        <n x="23" s="1"/>
        <n x="24" s="1"/>
        <n x="21"/>
        <n x="29"/>
        <n x="45"/>
        <n x="7"/>
        <n x="216"/>
      </t>
    </mdx>
    <mdx n="0" f="v">
      <t c="7">
        <n x="23" s="1"/>
        <n x="24" s="1"/>
        <n x="21"/>
        <n x="28"/>
        <n x="58"/>
        <n x="12"/>
        <n x="216"/>
      </t>
    </mdx>
    <mdx n="0" f="v">
      <t c="7">
        <n x="23" s="1"/>
        <n x="24" s="1"/>
        <n x="21"/>
        <n x="28"/>
        <n x="55"/>
        <n x="12"/>
        <n x="216"/>
      </t>
    </mdx>
    <mdx n="0" f="v">
      <t c="7">
        <n x="23" s="1"/>
        <n x="24" s="1"/>
        <n x="21"/>
        <n x="26"/>
        <n x="34"/>
        <n x="16"/>
        <n x="216"/>
      </t>
    </mdx>
    <mdx n="0" f="v">
      <t c="7">
        <n x="23" s="1"/>
        <n x="24" s="1"/>
        <n x="21"/>
        <n x="29"/>
        <n x="50"/>
        <n x="9"/>
        <n x="216"/>
      </t>
    </mdx>
    <mdx n="0" f="v">
      <t c="7">
        <n x="23" s="1"/>
        <n x="24" s="1"/>
        <n x="21"/>
        <n x="29"/>
        <n x="51"/>
        <n x="14"/>
        <n x="216"/>
      </t>
    </mdx>
    <mdx n="0" f="v">
      <t c="7">
        <n x="23" s="1"/>
        <n x="24" s="1"/>
        <n x="21"/>
        <n x="26"/>
        <n x="69"/>
        <n x="14"/>
        <n x="216"/>
      </t>
    </mdx>
    <mdx n="0" f="v">
      <t c="7">
        <n x="23" s="1"/>
        <n x="24" s="1"/>
        <n x="21"/>
        <n x="26"/>
        <n x="67"/>
        <n x="15"/>
        <n x="216"/>
      </t>
    </mdx>
    <mdx n="0" f="v">
      <t c="7">
        <n x="23" s="1"/>
        <n x="24" s="1"/>
        <n x="21"/>
        <n x="26"/>
        <n x="34"/>
        <n x="9"/>
        <n x="216"/>
      </t>
    </mdx>
    <mdx n="0" f="v">
      <t c="7">
        <n x="23" s="1"/>
        <n x="24" s="1"/>
        <n x="21"/>
        <n x="29"/>
        <n x="47"/>
        <n x="11"/>
        <n x="216"/>
      </t>
    </mdx>
    <mdx n="0" f="v">
      <t c="7">
        <n x="23" s="1"/>
        <n x="24" s="1"/>
        <n x="21"/>
        <n x="28"/>
        <n x="42"/>
        <n x="11"/>
        <n x="216"/>
      </t>
    </mdx>
    <mdx n="0" f="v">
      <t c="7">
        <n x="23" s="1"/>
        <n x="24" s="1"/>
        <n x="21"/>
        <n x="29"/>
        <n x="71"/>
        <n x="14"/>
        <n x="216"/>
      </t>
    </mdx>
    <mdx n="0" f="v">
      <t c="7">
        <n x="23" s="1"/>
        <n x="24" s="1"/>
        <n x="21"/>
        <n x="26"/>
        <n x="31"/>
        <n x="13"/>
        <n x="216"/>
      </t>
    </mdx>
    <mdx n="0" f="v">
      <t c="7">
        <n x="23" s="1"/>
        <n x="24" s="1"/>
        <n x="21"/>
        <n x="29"/>
        <n x="30"/>
        <n x="6"/>
        <n x="216"/>
      </t>
    </mdx>
    <mdx n="0" f="v">
      <t c="7">
        <n x="23" s="1"/>
        <n x="24" s="1"/>
        <n x="21"/>
        <n x="28"/>
        <n x="42"/>
        <n x="10"/>
        <n x="216"/>
      </t>
    </mdx>
    <mdx n="0" f="v">
      <t c="7">
        <n x="23" s="1"/>
        <n x="24" s="1"/>
        <n x="21"/>
        <n x="28"/>
        <n x="42"/>
        <n x="7"/>
        <n x="216"/>
      </t>
    </mdx>
    <mdx n="0" f="v">
      <t c="7">
        <n x="23" s="1"/>
        <n x="24" s="1"/>
        <n x="21"/>
        <n x="29"/>
        <n x="45"/>
        <n x="12"/>
        <n x="216"/>
      </t>
    </mdx>
    <mdx n="0" f="v">
      <t c="7">
        <n x="23" s="1"/>
        <n x="24" s="1"/>
        <n x="21"/>
        <n x="32"/>
        <n x="63"/>
        <n x="15"/>
        <n x="216"/>
      </t>
    </mdx>
    <mdx n="0" f="v">
      <t c="7">
        <n x="23" s="1"/>
        <n x="24" s="1"/>
        <n x="21"/>
        <n x="26"/>
        <n x="46"/>
        <n x="16"/>
        <n x="216"/>
      </t>
    </mdx>
    <mdx n="0" f="v">
      <t c="7">
        <n x="23" s="1"/>
        <n x="24" s="1"/>
        <n x="21"/>
        <n x="28"/>
        <n x="42"/>
        <n x="14"/>
        <n x="216"/>
      </t>
    </mdx>
    <mdx n="0" f="v">
      <t c="6">
        <n x="23" s="1"/>
        <n x="24" s="1"/>
        <n x="21"/>
        <n x="28"/>
        <n x="16"/>
        <n x="216"/>
      </t>
    </mdx>
    <mdx n="0" f="v">
      <t c="7">
        <n x="23" s="1"/>
        <n x="24" s="1"/>
        <n x="21"/>
        <n x="26"/>
        <n x="27"/>
        <n x="17"/>
        <n x="216"/>
      </t>
    </mdx>
    <mdx n="0" f="v">
      <t c="7">
        <n x="23" s="1"/>
        <n x="24" s="1"/>
        <n x="21"/>
        <n x="29"/>
        <n x="71"/>
        <n x="13"/>
        <n x="216"/>
      </t>
    </mdx>
    <mdx n="0" f="v">
      <t c="7">
        <n x="23" s="1"/>
        <n x="24" s="1"/>
        <n x="21"/>
        <n x="29"/>
        <n x="43"/>
        <n x="12"/>
        <n x="216"/>
      </t>
    </mdx>
    <mdx n="0" f="v">
      <t c="7">
        <n x="23" s="1"/>
        <n x="24" s="1"/>
        <n x="21"/>
        <n x="26"/>
        <n x="27"/>
        <n x="8"/>
        <n x="216"/>
      </t>
    </mdx>
    <mdx n="0" f="v">
      <t c="6">
        <n x="23" s="1"/>
        <n x="24" s="1"/>
        <n x="21"/>
        <n x="65"/>
        <n x="14"/>
        <n x="216"/>
      </t>
    </mdx>
    <mdx n="0" f="v">
      <t c="7">
        <n x="23" s="1"/>
        <n x="24" s="1"/>
        <n x="21"/>
        <n x="32"/>
        <n x="63"/>
        <n x="12"/>
        <n x="216"/>
      </t>
    </mdx>
    <mdx n="0" f="v">
      <t c="7">
        <n x="23" s="1"/>
        <n x="24" s="1"/>
        <n x="21"/>
        <n x="28"/>
        <n x="55"/>
        <n x="10"/>
        <n x="216"/>
      </t>
    </mdx>
    <mdx n="0" f="v">
      <t c="7">
        <n x="23" s="1"/>
        <n x="24" s="1"/>
        <n x="21"/>
        <n x="26"/>
        <n x="46"/>
        <n x="15"/>
        <n x="216"/>
      </t>
    </mdx>
    <mdx n="0" f="v">
      <t c="7">
        <n x="23" s="1"/>
        <n x="24" s="1"/>
        <n x="21"/>
        <n x="48"/>
        <n x="64"/>
        <n x="10"/>
        <n x="216"/>
      </t>
    </mdx>
    <mdx n="0" f="v">
      <t c="7">
        <n x="23" s="1"/>
        <n x="24" s="1"/>
        <n x="21"/>
        <n x="32"/>
        <n x="66"/>
        <n x="10"/>
        <n x="216"/>
      </t>
    </mdx>
    <mdx n="0" f="v">
      <t c="6">
        <n x="23" s="1"/>
        <n x="24" s="1"/>
        <n x="21"/>
        <n x="36"/>
        <n x="12"/>
        <n x="216"/>
      </t>
    </mdx>
    <mdx n="0" f="v">
      <t c="7">
        <n x="23" s="1"/>
        <n x="24" s="1"/>
        <n x="21"/>
        <n x="32"/>
        <n x="33"/>
        <n x="9"/>
        <n x="216"/>
      </t>
    </mdx>
    <mdx n="0" f="v">
      <t c="7">
        <n x="23" s="1"/>
        <n x="24" s="1"/>
        <n x="21"/>
        <n x="29"/>
        <n x="39"/>
        <n x="25"/>
        <n x="216"/>
      </t>
    </mdx>
    <mdx n="0" f="v">
      <t c="7">
        <n x="23" s="1"/>
        <n x="24" s="1"/>
        <n x="21"/>
        <n x="29"/>
        <n x="59"/>
        <n x="10"/>
        <n x="216"/>
      </t>
    </mdx>
    <mdx n="0" f="v">
      <t c="7">
        <n x="23" s="1"/>
        <n x="24" s="1"/>
        <n x="21"/>
        <n x="32"/>
        <n x="63"/>
        <n x="16"/>
        <n x="216"/>
      </t>
    </mdx>
    <mdx n="0" f="v">
      <t c="7">
        <n x="23" s="1"/>
        <n x="24" s="1"/>
        <n x="21"/>
        <n x="26"/>
        <n x="52"/>
        <n x="8"/>
        <n x="216"/>
      </t>
    </mdx>
    <mdx n="0" f="v">
      <t c="7">
        <n x="23" s="1"/>
        <n x="24" s="1"/>
        <n x="21"/>
        <n x="26"/>
        <n x="41"/>
        <n x="10"/>
        <n x="216"/>
      </t>
    </mdx>
    <mdx n="0" f="v">
      <t c="7">
        <n x="23" s="1"/>
        <n x="24" s="1"/>
        <n x="21"/>
        <n x="29"/>
        <n x="51"/>
        <n x="12"/>
        <n x="216"/>
      </t>
    </mdx>
    <mdx n="0" f="v">
      <t c="6">
        <n x="23" s="1"/>
        <n x="24" s="1"/>
        <n x="21"/>
        <n x="26"/>
        <n x="12"/>
        <n x="216"/>
      </t>
    </mdx>
    <mdx n="0" f="v">
      <t c="7">
        <n x="23" s="1"/>
        <n x="24" s="1"/>
        <n x="21"/>
        <n x="32"/>
        <n x="68"/>
        <n x="16"/>
        <n x="216"/>
      </t>
    </mdx>
    <mdx n="0" f="v">
      <t c="7">
        <n x="23" s="1"/>
        <n x="24" s="1"/>
        <n x="21"/>
        <n x="26"/>
        <n x="27"/>
        <n x="7"/>
        <n x="216"/>
      </t>
    </mdx>
    <mdx n="0" f="v">
      <t c="7">
        <n x="23" s="1"/>
        <n x="24" s="1"/>
        <n x="21"/>
        <n x="62"/>
        <n x="73"/>
        <n x="12"/>
        <n x="216"/>
      </t>
    </mdx>
    <mdx n="0" f="v">
      <t c="7">
        <n x="23" s="1"/>
        <n x="24" s="1"/>
        <n x="21"/>
        <n x="29"/>
        <n x="39"/>
        <n x="17"/>
        <n x="216"/>
      </t>
    </mdx>
    <mdx n="0" f="v">
      <t c="7">
        <n x="23" s="1"/>
        <n x="24" s="1"/>
        <n x="21"/>
        <n x="26"/>
        <n x="38"/>
        <n x="16"/>
        <n x="216"/>
      </t>
    </mdx>
    <mdx n="0" f="v">
      <t c="7">
        <n x="23" s="1"/>
        <n x="24" s="1"/>
        <n x="21"/>
        <n x="29"/>
        <n x="45"/>
        <n x="13"/>
        <n x="216"/>
      </t>
    </mdx>
    <mdx n="0" f="v">
      <t c="7">
        <n x="23" s="1"/>
        <n x="24" s="1"/>
        <n x="21"/>
        <n x="29"/>
        <n x="30"/>
        <n x="16"/>
        <n x="216"/>
      </t>
    </mdx>
    <mdx n="0" f="v">
      <t c="6">
        <n x="23" s="1"/>
        <n x="24" s="1"/>
        <n x="21"/>
        <n x="28"/>
        <n x="15"/>
        <n x="216"/>
      </t>
    </mdx>
    <mdx n="0" f="v">
      <t c="6">
        <n x="23" s="1"/>
        <n x="24" s="1"/>
        <n x="21"/>
        <n x="28"/>
        <n x="7"/>
        <n x="216"/>
      </t>
    </mdx>
    <mdx n="0" f="v">
      <t c="6">
        <n x="23" s="1"/>
        <n x="24" s="1"/>
        <n x="21"/>
        <n x="28"/>
        <n x="12"/>
        <n x="216"/>
      </t>
    </mdx>
    <mdx n="0" f="s">
      <ms ns="217" c="0"/>
    </mdx>
    <mdx n="0" f="s">
      <ms ns="218" c="0"/>
    </mdx>
    <mdx n="0" f="m">
      <t c="1">
        <n x="219"/>
      </t>
    </mdx>
    <mdx n="0" f="m">
      <t c="1">
        <n x="220"/>
      </t>
    </mdx>
    <mdx n="0" f="s">
      <ms ns="221" c="0"/>
    </mdx>
    <mdx n="0" f="m">
      <t c="1">
        <n x="222"/>
      </t>
    </mdx>
    <mdx n="0" f="v">
      <t c="3">
        <n x="222"/>
        <n x="156"/>
        <n x="195"/>
      </t>
    </mdx>
    <mdx n="0" f="v">
      <t c="3">
        <n x="222"/>
        <n x="154"/>
        <n x="177"/>
      </t>
    </mdx>
    <mdx n="0" f="v">
      <t c="3">
        <n x="222"/>
        <n x="152"/>
        <n x="193"/>
      </t>
    </mdx>
    <mdx n="0" f="v">
      <t c="3">
        <n x="222"/>
        <n x="141"/>
        <n x="195"/>
      </t>
    </mdx>
    <mdx n="0" f="v">
      <t c="3">
        <n x="222"/>
        <n x="153"/>
        <n x="197"/>
      </t>
    </mdx>
    <mdx n="0" f="v">
      <t c="3">
        <n x="222"/>
        <n x="205"/>
        <n x="197"/>
      </t>
    </mdx>
    <mdx n="0" f="v">
      <t c="3">
        <n x="222"/>
        <n x="152"/>
        <n x="169"/>
      </t>
    </mdx>
    <mdx n="0" f="v">
      <t c="3">
        <n x="222"/>
        <n x="160"/>
        <n x="196"/>
      </t>
    </mdx>
    <mdx n="0" f="v">
      <t c="3">
        <n x="222"/>
        <n x="214"/>
        <n x="195"/>
      </t>
    </mdx>
    <mdx n="0" f="v">
      <t c="3">
        <n x="222"/>
        <n x="159"/>
        <n x="180"/>
      </t>
    </mdx>
    <mdx n="0" f="v">
      <t c="3">
        <n x="222"/>
        <n x="141"/>
        <n x="169"/>
      </t>
    </mdx>
    <mdx n="0" f="v">
      <t c="3">
        <n x="222"/>
        <n x="142"/>
        <n x="192"/>
      </t>
    </mdx>
    <mdx n="0" f="v">
      <t c="3">
        <n x="222"/>
        <n x="213"/>
        <n x="177"/>
      </t>
    </mdx>
    <mdx n="0" f="v">
      <t c="3">
        <n x="222"/>
        <n x="203"/>
        <n x="174"/>
      </t>
    </mdx>
    <mdx n="0" f="v">
      <t c="3">
        <n x="222"/>
        <n x="214"/>
        <n x="197"/>
      </t>
    </mdx>
    <mdx n="0" f="v">
      <t c="3">
        <n x="222"/>
        <n x="211"/>
        <n x="174"/>
      </t>
    </mdx>
    <mdx n="0" f="v">
      <t c="3">
        <n x="222"/>
        <n x="220"/>
        <n x="180"/>
      </t>
    </mdx>
    <mdx n="0" f="v">
      <t c="3">
        <n x="222"/>
        <n x="160"/>
        <n x="169"/>
      </t>
    </mdx>
    <mdx n="0" f="v">
      <t c="3">
        <n x="222"/>
        <n x="153"/>
        <n x="195"/>
      </t>
    </mdx>
    <mdx n="0" f="v">
      <t c="3">
        <n x="222"/>
        <n x="156"/>
        <n x="169"/>
      </t>
    </mdx>
    <mdx n="0" f="v">
      <t c="3">
        <n x="222"/>
        <n x="160"/>
        <n x="171"/>
      </t>
    </mdx>
    <mdx n="0" f="v">
      <t c="3">
        <n x="222"/>
        <n x="220"/>
        <n x="174"/>
      </t>
    </mdx>
    <mdx n="0" f="v">
      <t c="3">
        <n x="222"/>
        <n x="214"/>
        <n x="182"/>
      </t>
    </mdx>
    <mdx n="0" f="v">
      <t c="3">
        <n x="222"/>
        <n x="143"/>
        <n x="197"/>
      </t>
    </mdx>
    <mdx n="0" f="v">
      <t c="3">
        <n x="222"/>
        <n x="214"/>
        <n x="180"/>
      </t>
    </mdx>
    <mdx n="0" f="v">
      <t c="3">
        <n x="222"/>
        <n x="143"/>
        <n x="169"/>
      </t>
    </mdx>
    <mdx n="0" f="v">
      <t c="3">
        <n x="222"/>
        <n x="156"/>
        <n x="177"/>
      </t>
    </mdx>
    <mdx n="0" f="v">
      <t c="3">
        <n x="222"/>
        <n x="142"/>
        <n x="195"/>
      </t>
    </mdx>
    <mdx n="0" f="v">
      <t c="3">
        <n x="222"/>
        <n x="159"/>
        <n x="199"/>
      </t>
    </mdx>
    <mdx n="0" f="v">
      <t c="3">
        <n x="222"/>
        <n x="209"/>
        <n x="174"/>
      </t>
    </mdx>
    <mdx n="0" f="v">
      <t c="3">
        <n x="222"/>
        <n x="212"/>
        <n x="177"/>
      </t>
    </mdx>
    <mdx n="0" f="v">
      <t c="3">
        <n x="222"/>
        <n x="143"/>
        <n x="194"/>
      </t>
    </mdx>
    <mdx n="0" f="v">
      <t c="3">
        <n x="222"/>
        <n x="211"/>
        <n x="180"/>
      </t>
    </mdx>
    <mdx n="0" f="v">
      <t c="3">
        <n x="222"/>
        <n x="101"/>
        <n x="177"/>
      </t>
    </mdx>
    <mdx n="0" f="v">
      <t c="3">
        <n x="222"/>
        <n x="208"/>
        <n x="199"/>
      </t>
    </mdx>
    <mdx n="0" f="v">
      <t c="3">
        <n x="222"/>
        <n x="158"/>
        <n x="193"/>
      </t>
    </mdx>
    <mdx n="0" f="v">
      <t c="3">
        <n x="222"/>
        <n x="141"/>
        <n x="177"/>
      </t>
    </mdx>
    <mdx n="0" f="v">
      <t c="3">
        <n x="222"/>
        <n x="205"/>
        <n x="177"/>
      </t>
    </mdx>
    <mdx n="0" f="v">
      <t c="3">
        <n x="222"/>
        <n x="139"/>
        <n x="173"/>
      </t>
    </mdx>
    <mdx n="0" f="v">
      <t c="3">
        <n x="222"/>
        <n x="159"/>
        <n x="197"/>
      </t>
    </mdx>
    <mdx n="0" f="v">
      <t c="3">
        <n x="222"/>
        <n x="209"/>
        <n x="180"/>
      </t>
    </mdx>
    <mdx n="0" f="v">
      <t c="3">
        <n x="222"/>
        <n x="214"/>
        <n x="198"/>
      </t>
    </mdx>
    <mdx n="0" f="v">
      <t c="3">
        <n x="222"/>
        <n x="213"/>
        <n x="164"/>
      </t>
    </mdx>
    <mdx n="0" f="v">
      <t c="3">
        <n x="222"/>
        <n x="159"/>
        <n x="169"/>
      </t>
    </mdx>
    <mdx n="0" f="v">
      <t c="3">
        <n x="222"/>
        <n x="209"/>
        <n x="193"/>
      </t>
    </mdx>
    <mdx n="0" f="v">
      <t c="3">
        <n x="222"/>
        <n x="158"/>
        <n x="199"/>
      </t>
    </mdx>
    <mdx n="0" f="v">
      <t c="3">
        <n x="222"/>
        <n x="139"/>
        <n x="167"/>
      </t>
    </mdx>
    <mdx n="0" f="v">
      <t c="3">
        <n x="222"/>
        <n x="207"/>
        <n x="193"/>
      </t>
    </mdx>
    <mdx n="0" f="v">
      <t c="3">
        <n x="222"/>
        <n x="139"/>
        <n x="182"/>
      </t>
    </mdx>
    <mdx n="0" f="v">
      <t c="3">
        <n x="222"/>
        <n x="207"/>
        <n x="169"/>
      </t>
    </mdx>
    <mdx n="0" f="v">
      <t c="3">
        <n x="222"/>
        <n x="142"/>
        <n x="193"/>
      </t>
    </mdx>
    <mdx n="0" f="v">
      <t c="3">
        <n x="222"/>
        <n x="203"/>
        <n x="198"/>
      </t>
    </mdx>
    <mdx n="0" f="v">
      <t c="3">
        <n x="222"/>
        <n x="206"/>
        <n x="174"/>
      </t>
    </mdx>
    <mdx n="0" f="v">
      <t c="3">
        <n x="222"/>
        <n x="219"/>
        <n x="192"/>
      </t>
    </mdx>
    <mdx n="0" f="v">
      <t c="3">
        <n x="222"/>
        <n x="158"/>
        <n x="194"/>
      </t>
    </mdx>
    <mdx n="0" f="v">
      <t c="3">
        <n x="222"/>
        <n x="214"/>
        <n x="151"/>
      </t>
    </mdx>
    <mdx n="0" f="v">
      <t c="3">
        <n x="222"/>
        <n x="160"/>
        <n x="173"/>
      </t>
    </mdx>
    <mdx n="0" f="v">
      <t c="3">
        <n x="222"/>
        <n x="219"/>
        <n x="195"/>
      </t>
    </mdx>
    <mdx n="0" f="v">
      <t c="3">
        <n x="222"/>
        <n x="154"/>
        <n x="195"/>
      </t>
    </mdx>
    <mdx n="0" f="v">
      <t c="3">
        <n x="222"/>
        <n x="206"/>
        <n x="193"/>
      </t>
    </mdx>
    <mdx n="0" f="v">
      <t c="3">
        <n x="222"/>
        <n x="141"/>
        <n x="197"/>
      </t>
    </mdx>
    <mdx n="0" f="v">
      <t c="3">
        <n x="222"/>
        <n x="220"/>
        <n x="192"/>
      </t>
    </mdx>
    <mdx n="0" f="v">
      <t c="3">
        <n x="222"/>
        <n x="152"/>
        <n x="180"/>
      </t>
    </mdx>
    <mdx n="0" f="v">
      <t c="3">
        <n x="222"/>
        <n x="160"/>
        <n x="182"/>
      </t>
    </mdx>
    <mdx n="0" f="v">
      <t c="3">
        <n x="222"/>
        <n x="214"/>
        <n x="179"/>
      </t>
    </mdx>
    <mdx n="0" f="v">
      <t c="3">
        <n x="222"/>
        <n x="159"/>
        <n x="192"/>
      </t>
    </mdx>
    <mdx n="0" f="v">
      <t c="3">
        <n x="222"/>
        <n x="159"/>
        <n x="194"/>
      </t>
    </mdx>
    <mdx n="0" f="v">
      <t c="3">
        <n x="222"/>
        <n x="211"/>
        <n x="177"/>
      </t>
    </mdx>
    <mdx n="0" f="v">
      <t c="3">
        <n x="222"/>
        <n x="220"/>
        <n x="177"/>
      </t>
    </mdx>
    <mdx n="0" f="v">
      <t c="3">
        <n x="222"/>
        <n x="153"/>
        <n x="199"/>
      </t>
    </mdx>
    <mdx n="0" f="v">
      <t c="3">
        <n x="222"/>
        <n x="214"/>
        <n x="199"/>
      </t>
    </mdx>
    <mdx n="0" f="v">
      <t c="3">
        <n x="222"/>
        <n x="141"/>
        <n x="193"/>
      </t>
    </mdx>
    <mdx n="0" f="v">
      <t c="3">
        <n x="222"/>
        <n x="143"/>
        <n x="193"/>
      </t>
    </mdx>
    <mdx n="0" f="v">
      <t c="3">
        <n x="222"/>
        <n x="203"/>
        <n x="197"/>
      </t>
    </mdx>
    <mdx n="0" f="v">
      <t c="3">
        <n x="222"/>
        <n x="207"/>
        <n x="151"/>
      </t>
    </mdx>
    <mdx n="0" f="v">
      <t c="3">
        <n x="222"/>
        <n x="101"/>
        <n x="193"/>
      </t>
    </mdx>
    <mdx n="0" f="v">
      <t c="3">
        <n x="222"/>
        <n x="139"/>
        <n x="166"/>
      </t>
    </mdx>
    <mdx n="0" f="v">
      <t c="3">
        <n x="222"/>
        <n x="219"/>
        <n x="194"/>
      </t>
    </mdx>
    <mdx n="0" f="v">
      <t c="3">
        <n x="222"/>
        <n x="205"/>
        <n x="180"/>
      </t>
    </mdx>
    <mdx n="0" f="v">
      <t c="3">
        <n x="222"/>
        <n x="152"/>
        <n x="199"/>
      </t>
    </mdx>
    <mdx n="0" f="v">
      <t c="3">
        <n x="222"/>
        <n x="203"/>
        <n x="167"/>
      </t>
    </mdx>
    <mdx n="0" f="v">
      <t c="3">
        <n x="222"/>
        <n x="207"/>
        <n x="177"/>
      </t>
    </mdx>
    <mdx n="0" f="v">
      <t c="3">
        <n x="222"/>
        <n x="160"/>
        <n x="165"/>
      </t>
    </mdx>
    <mdx n="0" f="v">
      <t c="3">
        <n x="222"/>
        <n x="214"/>
        <n x="215"/>
      </t>
    </mdx>
    <mdx n="0" f="v">
      <t c="3">
        <n x="222"/>
        <n x="154"/>
        <n x="199"/>
      </t>
    </mdx>
    <mdx n="0" f="v">
      <t c="3">
        <n x="222"/>
        <n x="155"/>
        <n x="164"/>
      </t>
    </mdx>
    <mdx n="0" f="v">
      <t c="3">
        <n x="222"/>
        <n x="160"/>
        <n x="192"/>
      </t>
    </mdx>
    <mdx n="0" f="v">
      <t c="3">
        <n x="222"/>
        <n x="139"/>
        <n x="196"/>
      </t>
    </mdx>
    <mdx n="0" f="v">
      <t c="3">
        <n x="222"/>
        <n x="206"/>
        <n x="194"/>
      </t>
    </mdx>
    <mdx n="0" f="v">
      <t c="3">
        <n x="222"/>
        <n x="158"/>
        <n x="197"/>
      </t>
    </mdx>
    <mdx n="0" f="v">
      <t c="3">
        <n x="222"/>
        <n x="155"/>
        <n x="193"/>
      </t>
    </mdx>
    <mdx n="0" f="v">
      <t c="3">
        <n x="222"/>
        <n x="160"/>
        <n x="174"/>
      </t>
    </mdx>
    <mdx n="0" f="v">
      <t c="3">
        <n x="222"/>
        <n x="152"/>
        <n x="174"/>
      </t>
    </mdx>
    <mdx n="0" f="v">
      <t c="3">
        <n x="222"/>
        <n x="214"/>
        <n x="177"/>
      </t>
    </mdx>
    <mdx n="0" f="v">
      <t c="3">
        <n x="222"/>
        <n x="153"/>
        <n x="151"/>
      </t>
    </mdx>
    <mdx n="0" f="v">
      <t c="3">
        <n x="222"/>
        <n x="155"/>
        <n x="197"/>
      </t>
    </mdx>
    <mdx n="0" f="v">
      <t c="3">
        <n x="222"/>
        <n x="143"/>
        <n x="195"/>
      </t>
    </mdx>
    <mdx n="0" f="v">
      <t c="3">
        <n x="222"/>
        <n x="213"/>
        <n x="193"/>
      </t>
    </mdx>
    <mdx n="0" f="v">
      <t c="3">
        <n x="222"/>
        <n x="220"/>
        <n x="199"/>
      </t>
    </mdx>
    <mdx n="0" f="v">
      <t c="3">
        <n x="222"/>
        <n x="205"/>
        <n x="164"/>
      </t>
    </mdx>
    <mdx n="0" f="v">
      <t c="3">
        <n x="222"/>
        <n x="205"/>
        <n x="174"/>
      </t>
    </mdx>
    <mdx n="0" f="v">
      <t c="3">
        <n x="222"/>
        <n x="211"/>
        <n x="193"/>
      </t>
    </mdx>
    <mdx n="0" f="v">
      <t c="3">
        <n x="222"/>
        <n x="154"/>
        <n x="151"/>
      </t>
    </mdx>
    <mdx n="0" f="v">
      <t c="3">
        <n x="222"/>
        <n x="207"/>
        <n x="164"/>
      </t>
    </mdx>
    <mdx n="0" f="v">
      <t c="3">
        <n x="222"/>
        <n x="139"/>
        <n x="171"/>
      </t>
    </mdx>
    <mdx n="0" f="v">
      <t c="3">
        <n x="222"/>
        <n x="214"/>
        <n x="171"/>
      </t>
    </mdx>
    <mdx n="0" f="v">
      <t c="3">
        <n x="222"/>
        <n x="203"/>
        <n x="192"/>
      </t>
    </mdx>
    <mdx n="0" f="v">
      <t c="3">
        <n x="222"/>
        <n x="209"/>
        <n x="177"/>
      </t>
    </mdx>
    <mdx n="0" f="v">
      <t c="3">
        <n x="222"/>
        <n x="210"/>
        <n x="199"/>
      </t>
    </mdx>
    <mdx n="0" f="v">
      <t c="3">
        <n x="222"/>
        <n x="139"/>
        <n x="165"/>
      </t>
    </mdx>
    <mdx n="0" f="v">
      <t c="3">
        <n x="222"/>
        <n x="211"/>
        <n x="164"/>
      </t>
    </mdx>
    <mdx n="0" f="v">
      <t c="3">
        <n x="222"/>
        <n x="207"/>
        <n x="199"/>
      </t>
    </mdx>
    <mdx n="0" f="v">
      <t c="3">
        <n x="222"/>
        <n x="143"/>
        <n x="151"/>
      </t>
    </mdx>
    <mdx n="0" f="v">
      <t c="3">
        <n x="222"/>
        <n x="152"/>
        <n x="151"/>
      </t>
    </mdx>
    <mdx n="0" f="v">
      <t c="3">
        <n x="222"/>
        <n x="209"/>
        <n x="194"/>
      </t>
    </mdx>
    <mdx n="0" f="v">
      <t c="3">
        <n x="222"/>
        <n x="220"/>
        <n x="194"/>
      </t>
    </mdx>
    <mdx n="0" f="v">
      <t c="3">
        <n x="222"/>
        <n x="213"/>
        <n x="169"/>
      </t>
    </mdx>
    <mdx n="0" f="v">
      <t c="3">
        <n x="222"/>
        <n x="143"/>
        <n x="174"/>
      </t>
    </mdx>
    <mdx n="0" f="v">
      <t c="3">
        <n x="222"/>
        <n x="214"/>
        <n x="173"/>
      </t>
    </mdx>
    <mdx n="0" f="v">
      <t c="3">
        <n x="222"/>
        <n x="154"/>
        <n x="169"/>
      </t>
    </mdx>
    <mdx n="0" f="v">
      <t c="3">
        <n x="222"/>
        <n x="203"/>
        <n x="169"/>
      </t>
    </mdx>
    <mdx n="0" f="v">
      <t c="3">
        <n x="222"/>
        <n x="160"/>
        <n x="215"/>
      </t>
    </mdx>
    <mdx n="0" f="v">
      <t c="3">
        <n x="222"/>
        <n x="210"/>
        <n x="195"/>
      </t>
    </mdx>
    <mdx n="0" f="v">
      <t c="3">
        <n x="222"/>
        <n x="209"/>
        <n x="169"/>
      </t>
    </mdx>
    <mdx n="0" f="v">
      <t c="3">
        <n x="222"/>
        <n x="155"/>
        <n x="174"/>
      </t>
    </mdx>
    <mdx n="0" f="v">
      <t c="3">
        <n x="222"/>
        <n x="160"/>
        <n x="151"/>
      </t>
    </mdx>
    <mdx n="0" f="v">
      <t c="3">
        <n x="222"/>
        <n x="153"/>
        <n x="192"/>
      </t>
    </mdx>
    <mdx n="0" f="v">
      <t c="3">
        <n x="222"/>
        <n x="160"/>
        <n x="179"/>
      </t>
    </mdx>
    <mdx n="0" f="v">
      <t c="3">
        <n x="222"/>
        <n x="208"/>
        <n x="193"/>
      </t>
    </mdx>
    <mdx n="0" f="v">
      <t c="3">
        <n x="222"/>
        <n x="159"/>
        <n x="195"/>
      </t>
    </mdx>
    <mdx n="0" f="v">
      <t c="3">
        <n x="222"/>
        <n x="156"/>
        <n x="174"/>
      </t>
    </mdx>
    <mdx n="0" f="v">
      <t c="3">
        <n x="222"/>
        <n x="153"/>
        <n x="180"/>
      </t>
    </mdx>
    <mdx n="0" f="v">
      <t c="3">
        <n x="222"/>
        <n x="158"/>
        <n x="174"/>
      </t>
    </mdx>
    <mdx n="0" f="v">
      <t c="3">
        <n x="222"/>
        <n x="139"/>
        <n x="197"/>
      </t>
    </mdx>
    <mdx n="0" f="v">
      <t c="3">
        <n x="222"/>
        <n x="155"/>
        <n x="177"/>
      </t>
    </mdx>
    <mdx n="0" f="v">
      <t c="3">
        <n x="222"/>
        <n x="210"/>
        <n x="177"/>
      </t>
    </mdx>
    <mdx n="0" f="v">
      <t c="3">
        <n x="222"/>
        <n x="210"/>
        <n x="197"/>
      </t>
    </mdx>
    <mdx n="0" f="v">
      <t c="3">
        <n x="222"/>
        <n x="209"/>
        <n x="164"/>
      </t>
    </mdx>
    <mdx n="0" f="v">
      <t c="3">
        <n x="222"/>
        <n x="208"/>
        <n x="195"/>
      </t>
    </mdx>
    <mdx n="0" f="v">
      <t c="3">
        <n x="222"/>
        <n x="208"/>
        <n x="192"/>
      </t>
    </mdx>
    <mdx n="0" f="v">
      <t c="3">
        <n x="222"/>
        <n x="152"/>
        <n x="195"/>
      </t>
    </mdx>
    <mdx n="0" f="v">
      <t c="3">
        <n x="222"/>
        <n x="212"/>
        <n x="193"/>
      </t>
    </mdx>
    <mdx n="0" f="v">
      <t c="3">
        <n x="222"/>
        <n x="212"/>
        <n x="194"/>
      </t>
    </mdx>
    <mdx n="0" f="v">
      <t c="3">
        <n x="222"/>
        <n x="159"/>
        <n x="174"/>
      </t>
    </mdx>
    <mdx n="0" f="v">
      <t c="3">
        <n x="222"/>
        <n x="219"/>
        <n x="197"/>
      </t>
    </mdx>
    <mdx n="0" f="v">
      <t c="3">
        <n x="222"/>
        <n x="203"/>
        <n x="165"/>
      </t>
    </mdx>
    <mdx n="0" f="v">
      <t c="3">
        <n x="222"/>
        <n x="205"/>
        <n x="195"/>
      </t>
    </mdx>
    <mdx n="0" f="v">
      <t c="3">
        <n x="222"/>
        <n x="155"/>
        <n x="169"/>
      </t>
    </mdx>
    <mdx n="0" f="v">
      <t c="3">
        <n x="222"/>
        <n x="141"/>
        <n x="164"/>
      </t>
    </mdx>
    <mdx n="0" f="v">
      <t c="3">
        <n x="222"/>
        <n x="101"/>
        <n x="199"/>
      </t>
    </mdx>
    <mdx n="0" f="v">
      <t c="3">
        <n x="222"/>
        <n x="208"/>
        <n x="197"/>
      </t>
    </mdx>
    <mdx n="0" f="v">
      <t c="3">
        <n x="222"/>
        <n x="208"/>
        <n x="169"/>
      </t>
    </mdx>
    <mdx n="0" f="v">
      <t c="3">
        <n x="222"/>
        <n x="203"/>
        <n x="180"/>
      </t>
    </mdx>
    <mdx n="0" f="v">
      <t c="3">
        <n x="222"/>
        <n x="212"/>
        <n x="169"/>
      </t>
    </mdx>
    <mdx n="0" f="v">
      <t c="3">
        <n x="222"/>
        <n x="155"/>
        <n x="151"/>
      </t>
    </mdx>
    <mdx n="0" f="v">
      <t c="3">
        <n x="222"/>
        <n x="139"/>
        <n x="192"/>
      </t>
    </mdx>
    <mdx n="0" f="v">
      <t c="3">
        <n x="222"/>
        <n x="219"/>
        <n x="180"/>
      </t>
    </mdx>
    <mdx n="0" f="v">
      <t c="3">
        <n x="222"/>
        <n x="208"/>
        <n x="180"/>
      </t>
    </mdx>
    <mdx n="0" f="v">
      <t c="3">
        <n x="222"/>
        <n x="214"/>
        <n x="165"/>
      </t>
    </mdx>
    <mdx n="0" f="v">
      <t c="3">
        <n x="222"/>
        <n x="158"/>
        <n x="177"/>
      </t>
    </mdx>
    <mdx n="0" f="v">
      <t c="3">
        <n x="222"/>
        <n x="152"/>
        <n x="197"/>
      </t>
    </mdx>
    <mdx n="0" f="v">
      <t c="3">
        <n x="222"/>
        <n x="208"/>
        <n x="177"/>
      </t>
    </mdx>
    <mdx n="0" f="v">
      <t c="3">
        <n x="222"/>
        <n x="219"/>
        <n x="164"/>
      </t>
    </mdx>
    <mdx n="0" f="v">
      <t c="3">
        <n x="222"/>
        <n x="160"/>
        <n x="198"/>
      </t>
    </mdx>
    <mdx n="0" f="v">
      <t c="3">
        <n x="222"/>
        <n x="212"/>
        <n x="180"/>
      </t>
    </mdx>
    <mdx n="0" f="v">
      <t c="3">
        <n x="222"/>
        <n x="203"/>
        <n x="166"/>
      </t>
    </mdx>
    <mdx n="0" f="v">
      <t c="3">
        <n x="222"/>
        <n x="142"/>
        <n x="197"/>
      </t>
    </mdx>
    <mdx n="0" f="v">
      <t c="3">
        <n x="222"/>
        <n x="214"/>
        <n x="167"/>
      </t>
    </mdx>
    <mdx n="0" f="v">
      <t c="3">
        <n x="222"/>
        <n x="211"/>
        <n x="199"/>
      </t>
    </mdx>
    <mdx n="0" f="v">
      <t c="3">
        <n x="222"/>
        <n x="160"/>
        <n x="199"/>
      </t>
    </mdx>
    <mdx n="0" f="v">
      <t c="3">
        <n x="222"/>
        <n x="160"/>
        <n x="197"/>
      </t>
    </mdx>
    <mdx n="0" f="v">
      <t c="3">
        <n x="222"/>
        <n x="157"/>
        <n x="164"/>
      </t>
    </mdx>
    <mdx n="0" f="v">
      <t c="3">
        <n x="222"/>
        <n x="220"/>
        <n x="195"/>
      </t>
    </mdx>
    <mdx n="0" f="v">
      <t c="3">
        <n x="222"/>
        <n x="101"/>
        <n x="197"/>
      </t>
    </mdx>
    <mdx n="0" f="v">
      <t c="3">
        <n x="222"/>
        <n x="210"/>
        <n x="194"/>
      </t>
    </mdx>
    <mdx n="0" f="v">
      <t c="3">
        <n x="222"/>
        <n x="211"/>
        <n x="195"/>
      </t>
    </mdx>
    <mdx n="0" f="v">
      <t c="3">
        <n x="222"/>
        <n x="157"/>
        <n x="151"/>
      </t>
    </mdx>
    <mdx n="0" f="v">
      <t c="3">
        <n x="222"/>
        <n x="142"/>
        <n x="151"/>
      </t>
    </mdx>
    <mdx n="0" f="v">
      <t c="3">
        <n x="222"/>
        <n x="142"/>
        <n x="174"/>
      </t>
    </mdx>
    <mdx n="0" f="v">
      <t c="3">
        <n x="222"/>
        <n x="153"/>
        <n x="169"/>
      </t>
    </mdx>
    <mdx n="0" f="v">
      <t c="3">
        <n x="222"/>
        <n x="158"/>
        <n x="164"/>
      </t>
    </mdx>
    <mdx n="0" f="v">
      <t c="3">
        <n x="222"/>
        <n x="210"/>
        <n x="192"/>
      </t>
    </mdx>
    <mdx n="0" f="v">
      <t c="3">
        <n x="222"/>
        <n x="214"/>
        <n x="169"/>
      </t>
    </mdx>
    <mdx n="0" f="v">
      <t c="3">
        <n x="222"/>
        <n x="206"/>
        <n x="180"/>
      </t>
    </mdx>
    <mdx n="0" f="v">
      <t c="3">
        <n x="222"/>
        <n x="212"/>
        <n x="174"/>
      </t>
    </mdx>
    <mdx n="0" f="v">
      <t c="3">
        <n x="222"/>
        <n x="207"/>
        <n x="192"/>
      </t>
    </mdx>
    <mdx n="0" f="v">
      <t c="3">
        <n x="222"/>
        <n x="101"/>
        <n x="195"/>
      </t>
    </mdx>
    <mdx n="0" f="v">
      <t c="3">
        <n x="222"/>
        <n x="154"/>
        <n x="194"/>
      </t>
    </mdx>
    <mdx n="0" f="v">
      <t c="3">
        <n x="222"/>
        <n x="160"/>
        <n x="193"/>
      </t>
    </mdx>
    <mdx n="0" f="v">
      <t c="3">
        <n x="222"/>
        <n x="160"/>
        <n x="180"/>
      </t>
    </mdx>
    <mdx n="0" f="v">
      <t c="3">
        <n x="222"/>
        <n x="203"/>
        <n x="199"/>
      </t>
    </mdx>
    <mdx n="0" f="v">
      <t c="3">
        <n x="222"/>
        <n x="156"/>
        <n x="197"/>
      </t>
    </mdx>
    <mdx n="0" f="v">
      <t c="3">
        <n x="222"/>
        <n x="214"/>
        <n x="166"/>
      </t>
    </mdx>
    <mdx n="0" f="v">
      <t c="3">
        <n x="222"/>
        <n x="214"/>
        <n x="192"/>
      </t>
    </mdx>
    <mdx n="0" f="v">
      <t c="3">
        <n x="222"/>
        <n x="211"/>
        <n x="151"/>
      </t>
    </mdx>
    <mdx n="0" f="v">
      <t c="3">
        <n x="222"/>
        <n x="203"/>
        <n x="173"/>
      </t>
    </mdx>
    <mdx n="0" f="v">
      <t c="3">
        <n x="222"/>
        <n x="154"/>
        <n x="164"/>
      </t>
    </mdx>
    <mdx n="0" f="v">
      <t c="3">
        <n x="222"/>
        <n x="160"/>
        <n x="194"/>
      </t>
    </mdx>
    <mdx n="0" f="v">
      <t c="3">
        <n x="222"/>
        <n x="156"/>
        <n x="180"/>
      </t>
    </mdx>
    <mdx n="0" f="v">
      <t c="3">
        <n x="222"/>
        <n x="153"/>
        <n x="194"/>
      </t>
    </mdx>
    <mdx n="0" f="v">
      <t c="3">
        <n x="222"/>
        <n x="213"/>
        <n x="195"/>
      </t>
    </mdx>
    <mdx n="0" f="v">
      <t c="3">
        <n x="222"/>
        <n x="205"/>
        <n x="194"/>
      </t>
    </mdx>
    <mdx n="0" f="v">
      <t c="3">
        <n x="222"/>
        <n x="157"/>
        <n x="199"/>
      </t>
    </mdx>
    <mdx n="0" f="v">
      <t c="3">
        <n x="222"/>
        <n x="154"/>
        <n x="192"/>
      </t>
    </mdx>
    <mdx n="0" f="v">
      <t c="3">
        <n x="222"/>
        <n x="152"/>
        <n x="192"/>
      </t>
    </mdx>
    <mdx n="0" f="v">
      <t c="3">
        <n x="222"/>
        <n x="139"/>
        <n x="151"/>
      </t>
    </mdx>
    <mdx n="0" f="v">
      <t c="3">
        <n x="222"/>
        <n x="220"/>
        <n x="151"/>
      </t>
    </mdx>
    <mdx n="0" f="v">
      <t c="3">
        <n x="222"/>
        <n x="211"/>
        <n x="197"/>
      </t>
    </mdx>
    <mdx n="0" f="v">
      <t c="3">
        <n x="222"/>
        <n x="209"/>
        <n x="197"/>
      </t>
    </mdx>
    <mdx n="0" f="v">
      <t c="3">
        <n x="222"/>
        <n x="160"/>
        <n x="166"/>
      </t>
    </mdx>
    <mdx n="0" f="v">
      <t c="3">
        <n x="222"/>
        <n x="203"/>
        <n x="177"/>
      </t>
    </mdx>
    <mdx n="0" f="v">
      <t c="3">
        <n x="222"/>
        <n x="220"/>
        <n x="169"/>
      </t>
    </mdx>
    <mdx n="0" f="v">
      <t c="3">
        <n x="222"/>
        <n x="210"/>
        <n x="180"/>
      </t>
    </mdx>
    <mdx n="0" f="v">
      <t c="3">
        <n x="222"/>
        <n x="157"/>
        <n x="180"/>
      </t>
    </mdx>
    <mdx n="0" f="v">
      <t c="3">
        <n x="222"/>
        <n x="203"/>
        <n x="182"/>
      </t>
    </mdx>
    <mdx n="0" f="v">
      <t c="3">
        <n x="222"/>
        <n x="139"/>
        <n x="215"/>
      </t>
    </mdx>
    <mdx n="0" f="v">
      <t c="3">
        <n x="222"/>
        <n x="211"/>
        <n x="192"/>
      </t>
    </mdx>
    <mdx n="0" f="v">
      <t c="3">
        <n x="222"/>
        <n x="206"/>
        <n x="195"/>
      </t>
    </mdx>
    <mdx n="0" f="v">
      <t c="3">
        <n x="222"/>
        <n x="158"/>
        <n x="151"/>
      </t>
    </mdx>
    <mdx n="0" f="v">
      <t c="3">
        <n x="222"/>
        <n x="157"/>
        <n x="195"/>
      </t>
    </mdx>
    <mdx n="0" f="v">
      <t c="3">
        <n x="222"/>
        <n x="152"/>
        <n x="164"/>
      </t>
    </mdx>
    <mdx n="0" f="v">
      <t c="3">
        <n x="222"/>
        <n x="208"/>
        <n x="194"/>
      </t>
    </mdx>
    <mdx n="0" f="v">
      <t c="3">
        <n x="222"/>
        <n x="139"/>
        <n x="164"/>
      </t>
    </mdx>
    <mdx n="0" f="v">
      <t c="3">
        <n x="222"/>
        <n x="205"/>
        <n x="169"/>
      </t>
    </mdx>
    <mdx n="0" f="v">
      <t c="3">
        <n x="222"/>
        <n x="219"/>
        <n x="199"/>
      </t>
    </mdx>
    <mdx n="0" f="v">
      <t c="3">
        <n x="222"/>
        <n x="210"/>
        <n x="151"/>
      </t>
    </mdx>
    <mdx n="0" f="v">
      <t c="3">
        <n x="222"/>
        <n x="101"/>
        <n x="194"/>
      </t>
    </mdx>
    <mdx n="0" f="v">
      <t c="3">
        <n x="222"/>
        <n x="209"/>
        <n x="195"/>
      </t>
    </mdx>
    <mdx n="0" f="v">
      <t c="3">
        <n x="222"/>
        <n x="101"/>
        <n x="180"/>
      </t>
    </mdx>
    <mdx n="0" f="v">
      <t c="3">
        <n x="222"/>
        <n x="203"/>
        <n x="171"/>
      </t>
    </mdx>
    <mdx n="0" f="v">
      <t c="3">
        <n x="222"/>
        <n x="153"/>
        <n x="164"/>
      </t>
    </mdx>
    <mdx n="0" f="v">
      <t c="3">
        <n x="222"/>
        <n x="206"/>
        <n x="164"/>
      </t>
    </mdx>
    <mdx n="0" f="v">
      <t c="3">
        <n x="222"/>
        <n x="139"/>
        <n x="169"/>
      </t>
    </mdx>
    <mdx n="0" f="v">
      <t c="3">
        <n x="222"/>
        <n x="143"/>
        <n x="199"/>
      </t>
    </mdx>
    <mdx n="0" f="v">
      <t c="3">
        <n x="222"/>
        <n x="152"/>
        <n x="194"/>
      </t>
    </mdx>
    <mdx n="0" f="v">
      <t c="3">
        <n x="222"/>
        <n x="155"/>
        <n x="180"/>
      </t>
    </mdx>
    <mdx n="0" f="v">
      <t c="3">
        <n x="222"/>
        <n x="155"/>
        <n x="194"/>
      </t>
    </mdx>
    <mdx n="0" f="v">
      <t c="3">
        <n x="222"/>
        <n x="213"/>
        <n x="199"/>
      </t>
    </mdx>
    <mdx n="0" f="v">
      <t c="3">
        <n x="222"/>
        <n x="205"/>
        <n x="199"/>
      </t>
    </mdx>
    <mdx n="0" f="v">
      <t c="3">
        <n x="222"/>
        <n x="219"/>
        <n x="174"/>
      </t>
    </mdx>
    <mdx n="0" f="v">
      <t c="3">
        <n x="222"/>
        <n x="157"/>
        <n x="169"/>
      </t>
    </mdx>
    <mdx n="0" f="v">
      <t c="3">
        <n x="222"/>
        <n x="214"/>
        <n x="194"/>
      </t>
    </mdx>
    <mdx n="0" f="v">
      <t c="3">
        <n x="222"/>
        <n x="142"/>
        <n x="194"/>
      </t>
    </mdx>
    <mdx n="0" f="v">
      <t c="3">
        <n x="222"/>
        <n x="154"/>
        <n x="180"/>
      </t>
    </mdx>
    <mdx n="0" f="v">
      <t c="3">
        <n x="222"/>
        <n x="141"/>
        <n x="192"/>
      </t>
    </mdx>
    <mdx n="0" f="v">
      <t c="3">
        <n x="222"/>
        <n x="156"/>
        <n x="192"/>
      </t>
    </mdx>
    <mdx n="0" f="v">
      <t c="3">
        <n x="222"/>
        <n x="210"/>
        <n x="169"/>
      </t>
    </mdx>
    <mdx n="0" f="v">
      <t c="3">
        <n x="222"/>
        <n x="159"/>
        <n x="164"/>
      </t>
    </mdx>
    <mdx n="0" f="v">
      <t c="3">
        <n x="222"/>
        <n x="207"/>
        <n x="180"/>
      </t>
    </mdx>
    <mdx n="0" f="v">
      <t c="3">
        <n x="222"/>
        <n x="141"/>
        <n x="151"/>
      </t>
    </mdx>
    <mdx n="0" f="v">
      <t c="3">
        <n x="222"/>
        <n x="158"/>
        <n x="169"/>
      </t>
    </mdx>
    <mdx n="0" f="v">
      <t c="3">
        <n x="222"/>
        <n x="157"/>
        <n x="197"/>
      </t>
    </mdx>
    <mdx n="0" f="v">
      <t c="3">
        <n x="222"/>
        <n x="210"/>
        <n x="193"/>
      </t>
    </mdx>
    <mdx n="0" f="v">
      <t c="3">
        <n x="222"/>
        <n x="157"/>
        <n x="194"/>
      </t>
    </mdx>
    <mdx n="0" f="v">
      <t c="3">
        <n x="222"/>
        <n x="142"/>
        <n x="177"/>
      </t>
    </mdx>
    <mdx n="0" f="v">
      <t c="3">
        <n x="222"/>
        <n x="206"/>
        <n x="177"/>
      </t>
    </mdx>
    <mdx n="0" f="v">
      <t c="3">
        <n x="222"/>
        <n x="203"/>
        <n x="164"/>
      </t>
    </mdx>
    <mdx n="0" f="v">
      <t c="3">
        <n x="222"/>
        <n x="214"/>
        <n x="193"/>
      </t>
    </mdx>
    <mdx n="0" f="v">
      <t c="3">
        <n x="222"/>
        <n x="159"/>
        <n x="193"/>
      </t>
    </mdx>
    <mdx n="0" f="v">
      <t c="3">
        <n x="222"/>
        <n x="203"/>
        <n x="195"/>
      </t>
    </mdx>
    <mdx n="0" f="v">
      <t c="3">
        <n x="222"/>
        <n x="206"/>
        <n x="199"/>
      </t>
    </mdx>
    <mdx n="0" f="v">
      <t c="3">
        <n x="222"/>
        <n x="101"/>
        <n x="192"/>
      </t>
    </mdx>
    <mdx n="0" f="v">
      <t c="3">
        <n x="222"/>
        <n x="157"/>
        <n x="193"/>
      </t>
    </mdx>
    <mdx n="0" f="v">
      <t c="3">
        <n x="222"/>
        <n x="156"/>
        <n x="199"/>
      </t>
    </mdx>
    <mdx n="0" f="v">
      <t c="3">
        <n x="222"/>
        <n x="203"/>
        <n x="196"/>
      </t>
    </mdx>
    <mdx n="0" f="v">
      <t c="3">
        <n x="222"/>
        <n x="213"/>
        <n x="174"/>
      </t>
    </mdx>
    <mdx n="0" f="v">
      <t c="3">
        <n x="222"/>
        <n x="141"/>
        <n x="199"/>
      </t>
    </mdx>
    <mdx n="0" f="v">
      <t c="3">
        <n x="222"/>
        <n x="139"/>
        <n x="177"/>
      </t>
    </mdx>
    <mdx n="0" f="v">
      <t c="3">
        <n x="222"/>
        <n x="141"/>
        <n x="174"/>
      </t>
    </mdx>
    <mdx n="0" f="v">
      <t c="3">
        <n x="222"/>
        <n x="203"/>
        <n x="215"/>
      </t>
    </mdx>
    <mdx n="0" f="v">
      <t c="3">
        <n x="222"/>
        <n x="208"/>
        <n x="151"/>
      </t>
    </mdx>
    <mdx n="0" f="v">
      <t c="3">
        <n x="222"/>
        <n x="143"/>
        <n x="180"/>
      </t>
    </mdx>
    <mdx n="0" f="v">
      <t c="3">
        <n x="222"/>
        <n x="141"/>
        <n x="194"/>
      </t>
    </mdx>
    <mdx n="0" f="v">
      <t c="3">
        <n x="222"/>
        <n x="211"/>
        <n x="194"/>
      </t>
    </mdx>
    <mdx n="0" f="v">
      <t c="3">
        <n x="222"/>
        <n x="208"/>
        <n x="174"/>
      </t>
    </mdx>
    <mdx n="0" f="v">
      <t c="3">
        <n x="222"/>
        <n x="212"/>
        <n x="199"/>
      </t>
    </mdx>
    <mdx n="0" f="v">
      <t c="3">
        <n x="222"/>
        <n x="208"/>
        <n x="164"/>
      </t>
    </mdx>
    <mdx n="0" f="v">
      <t c="3">
        <n x="222"/>
        <n x="207"/>
        <n x="195"/>
      </t>
    </mdx>
    <mdx n="0" f="v">
      <t c="3">
        <n x="222"/>
        <n x="158"/>
        <n x="192"/>
      </t>
    </mdx>
    <mdx n="0" f="v">
      <t c="3">
        <n x="222"/>
        <n x="209"/>
        <n x="151"/>
      </t>
    </mdx>
    <mdx n="0" f="v">
      <t c="3">
        <n x="222"/>
        <n x="203"/>
        <n x="179"/>
      </t>
    </mdx>
    <mdx n="0" f="v">
      <t c="3">
        <n x="222"/>
        <n x="212"/>
        <n x="164"/>
      </t>
    </mdx>
    <mdx n="0" f="v">
      <t c="3">
        <n x="222"/>
        <n x="142"/>
        <n x="169"/>
      </t>
    </mdx>
    <mdx n="0" f="v">
      <t c="3">
        <n x="222"/>
        <n x="101"/>
        <n x="174"/>
      </t>
    </mdx>
    <mdx n="0" f="v">
      <t c="3">
        <n x="222"/>
        <n x="219"/>
        <n x="177"/>
      </t>
    </mdx>
    <mdx n="0" f="v">
      <t c="3">
        <n x="222"/>
        <n x="159"/>
        <n x="151"/>
      </t>
    </mdx>
    <mdx n="0" f="v">
      <t c="3">
        <n x="222"/>
        <n x="158"/>
        <n x="180"/>
      </t>
    </mdx>
    <mdx n="0" f="v">
      <t c="3">
        <n x="222"/>
        <n x="156"/>
        <n x="164"/>
      </t>
    </mdx>
    <mdx n="0" f="v">
      <t c="3">
        <n x="222"/>
        <n x="219"/>
        <n x="151"/>
      </t>
    </mdx>
    <mdx n="0" f="v">
      <t c="3">
        <n x="222"/>
        <n x="203"/>
        <n x="193"/>
      </t>
    </mdx>
    <mdx n="0" f="v">
      <t c="3">
        <n x="222"/>
        <n x="214"/>
        <n x="196"/>
      </t>
    </mdx>
    <mdx n="0" f="v">
      <t c="3">
        <n x="222"/>
        <n x="156"/>
        <n x="194"/>
      </t>
    </mdx>
    <mdx n="0" f="v">
      <t c="3">
        <n x="222"/>
        <n x="155"/>
        <n x="195"/>
      </t>
    </mdx>
    <mdx n="0" f="v">
      <t c="3">
        <n x="222"/>
        <n x="214"/>
        <n x="164"/>
      </t>
    </mdx>
    <mdx n="0" f="v">
      <t c="3">
        <n x="222"/>
        <n x="205"/>
        <n x="151"/>
      </t>
    </mdx>
    <mdx n="0" f="v">
      <t c="3">
        <n x="222"/>
        <n x="157"/>
        <n x="192"/>
      </t>
    </mdx>
    <mdx n="0" f="v">
      <t c="3">
        <n x="222"/>
        <n x="157"/>
        <n x="174"/>
      </t>
    </mdx>
    <mdx n="0" f="v">
      <t c="3">
        <n x="222"/>
        <n x="212"/>
        <n x="195"/>
      </t>
    </mdx>
    <mdx n="0" f="v">
      <t c="3">
        <n x="222"/>
        <n x="160"/>
        <n x="164"/>
      </t>
    </mdx>
    <mdx n="0" f="v">
      <t c="3">
        <n x="222"/>
        <n x="213"/>
        <n x="194"/>
      </t>
    </mdx>
    <mdx n="0" f="v">
      <t c="3">
        <n x="222"/>
        <n x="139"/>
        <n x="198"/>
      </t>
    </mdx>
    <mdx n="0" f="v">
      <t c="3">
        <n x="222"/>
        <n x="212"/>
        <n x="192"/>
      </t>
    </mdx>
    <mdx n="0" f="v">
      <t c="3">
        <n x="222"/>
        <n x="142"/>
        <n x="164"/>
      </t>
    </mdx>
    <mdx n="0" f="v">
      <t c="3">
        <n x="222"/>
        <n x="153"/>
        <n x="177"/>
      </t>
    </mdx>
    <mdx n="0" f="v">
      <t c="3">
        <n x="222"/>
        <n x="139"/>
        <n x="195"/>
      </t>
    </mdx>
    <mdx n="0" f="v">
      <t c="3">
        <n x="222"/>
        <n x="139"/>
        <n x="194"/>
      </t>
    </mdx>
    <mdx n="0" f="v">
      <t c="3">
        <n x="222"/>
        <n x="143"/>
        <n x="192"/>
      </t>
    </mdx>
    <mdx n="0" f="v">
      <t c="3">
        <n x="222"/>
        <n x="209"/>
        <n x="192"/>
      </t>
    </mdx>
    <mdx n="0" f="v">
      <t c="3">
        <n x="222"/>
        <n x="159"/>
        <n x="177"/>
      </t>
    </mdx>
    <mdx n="0" f="v">
      <t c="3">
        <n x="222"/>
        <n x="206"/>
        <n x="151"/>
      </t>
    </mdx>
    <mdx n="0" f="v">
      <t c="3">
        <n x="222"/>
        <n x="207"/>
        <n x="174"/>
      </t>
    </mdx>
    <mdx n="0" f="v">
      <t c="3">
        <n x="222"/>
        <n x="214"/>
        <n x="174"/>
      </t>
    </mdx>
    <mdx n="0" f="v">
      <t c="3">
        <n x="222"/>
        <n x="213"/>
        <n x="151"/>
      </t>
    </mdx>
    <mdx n="0" f="v">
      <t c="3">
        <n x="222"/>
        <n x="157"/>
        <n x="177"/>
      </t>
    </mdx>
    <mdx n="0" f="v">
      <t c="3">
        <n x="222"/>
        <n x="207"/>
        <n x="197"/>
      </t>
    </mdx>
    <mdx n="0" f="v">
      <t c="3">
        <n x="222"/>
        <n x="101"/>
        <n x="164"/>
      </t>
    </mdx>
    <mdx n="0" f="v">
      <t c="3">
        <n x="222"/>
        <n x="212"/>
        <n x="151"/>
      </t>
    </mdx>
    <mdx n="0" f="v">
      <t c="3">
        <n x="222"/>
        <n x="141"/>
        <n x="180"/>
      </t>
    </mdx>
    <mdx n="0" f="v">
      <t c="3">
        <n x="222"/>
        <n x="101"/>
        <n x="169"/>
      </t>
    </mdx>
    <mdx n="0" f="v">
      <t c="3">
        <n x="222"/>
        <n x="209"/>
        <n x="199"/>
      </t>
    </mdx>
    <mdx n="0" f="v">
      <t c="3">
        <n x="222"/>
        <n x="211"/>
        <n x="169"/>
      </t>
    </mdx>
    <mdx n="0" f="v">
      <t c="3">
        <n x="222"/>
        <n x="153"/>
        <n x="174"/>
      </t>
    </mdx>
    <mdx n="0" f="v">
      <t c="3">
        <n x="222"/>
        <n x="139"/>
        <n x="199"/>
      </t>
    </mdx>
    <mdx n="0" f="v">
      <t c="3">
        <n x="222"/>
        <n x="213"/>
        <n x="192"/>
      </t>
    </mdx>
    <mdx n="0" f="v">
      <t c="3">
        <n x="222"/>
        <n x="207"/>
        <n x="194"/>
      </t>
    </mdx>
    <mdx n="0" f="v">
      <t c="3">
        <n x="222"/>
        <n x="154"/>
        <n x="193"/>
      </t>
    </mdx>
    <mdx n="0" f="v">
      <t c="3">
        <n x="222"/>
        <n x="154"/>
        <n x="174"/>
      </t>
    </mdx>
    <mdx n="0" f="v">
      <t c="3">
        <n x="222"/>
        <n x="206"/>
        <n x="192"/>
      </t>
    </mdx>
    <mdx n="0" f="v">
      <t c="3">
        <n x="222"/>
        <n x="156"/>
        <n x="193"/>
      </t>
    </mdx>
    <mdx n="0" f="v">
      <t c="3">
        <n x="222"/>
        <n x="213"/>
        <n x="180"/>
      </t>
    </mdx>
    <mdx n="0" f="v">
      <t c="3">
        <n x="222"/>
        <n x="153"/>
        <n x="193"/>
      </t>
    </mdx>
    <mdx n="0" f="v">
      <t c="3">
        <n x="222"/>
        <n x="143"/>
        <n x="177"/>
      </t>
    </mdx>
    <mdx n="0" f="v">
      <t c="3">
        <n x="222"/>
        <n x="219"/>
        <n x="169"/>
      </t>
    </mdx>
    <mdx n="0" f="v">
      <t c="3">
        <n x="222"/>
        <n x="220"/>
        <n x="164"/>
      </t>
    </mdx>
    <mdx n="0" f="v">
      <t c="3">
        <n x="222"/>
        <n x="219"/>
        <n x="193"/>
      </t>
    </mdx>
    <mdx n="0" f="v">
      <t c="3">
        <n x="222"/>
        <n x="220"/>
        <n x="197"/>
      </t>
    </mdx>
    <mdx n="0" f="v">
      <t c="3">
        <n x="222"/>
        <n x="156"/>
        <n x="151"/>
      </t>
    </mdx>
    <mdx n="0" f="v">
      <t c="3">
        <n x="222"/>
        <n x="142"/>
        <n x="180"/>
      </t>
    </mdx>
    <mdx n="0" f="v">
      <t c="3">
        <n x="222"/>
        <n x="220"/>
        <n x="193"/>
      </t>
    </mdx>
    <mdx n="0" f="v">
      <t c="3">
        <n x="222"/>
        <n x="152"/>
        <n x="177"/>
      </t>
    </mdx>
    <mdx n="0" f="v">
      <t c="3">
        <n x="222"/>
        <n x="205"/>
        <n x="193"/>
      </t>
    </mdx>
    <mdx n="0" f="v">
      <t c="3">
        <n x="222"/>
        <n x="205"/>
        <n x="192"/>
      </t>
    </mdx>
    <mdx n="0" f="v">
      <t c="3">
        <n x="222"/>
        <n x="142"/>
        <n x="199"/>
      </t>
    </mdx>
    <mdx n="0" f="v">
      <t c="3">
        <n x="222"/>
        <n x="155"/>
        <n x="192"/>
      </t>
    </mdx>
    <mdx n="0" f="v">
      <t c="3">
        <n x="222"/>
        <n x="143"/>
        <n x="164"/>
      </t>
    </mdx>
    <mdx n="0" f="v">
      <t c="3">
        <n x="222"/>
        <n x="158"/>
        <n x="195"/>
      </t>
    </mdx>
    <mdx n="0" f="v">
      <t c="3">
        <n x="222"/>
        <n x="206"/>
        <n x="197"/>
      </t>
    </mdx>
    <mdx n="0" f="v">
      <t c="3">
        <n x="222"/>
        <n x="203"/>
        <n x="151"/>
      </t>
    </mdx>
    <mdx n="0" f="v">
      <t c="3">
        <n x="222"/>
        <n x="212"/>
        <n x="197"/>
      </t>
    </mdx>
    <mdx n="0" f="v">
      <t c="3">
        <n x="222"/>
        <n x="154"/>
        <n x="197"/>
      </t>
    </mdx>
    <mdx n="0" f="v">
      <t c="3">
        <n x="222"/>
        <n x="155"/>
        <n x="199"/>
      </t>
    </mdx>
    <mdx n="0" f="v">
      <t c="3">
        <n x="222"/>
        <n x="210"/>
        <n x="164"/>
      </t>
    </mdx>
    <mdx n="0" f="v">
      <t c="3">
        <n x="222"/>
        <n x="213"/>
        <n x="197"/>
      </t>
    </mdx>
    <mdx n="0" f="v">
      <t c="3">
        <n x="222"/>
        <n x="206"/>
        <n x="169"/>
      </t>
    </mdx>
    <mdx n="0" f="v">
      <t c="3">
        <n x="222"/>
        <n x="210"/>
        <n x="174"/>
      </t>
    </mdx>
    <mdx n="0" f="v">
      <t c="3">
        <n x="222"/>
        <n x="160"/>
        <n x="195"/>
      </t>
    </mdx>
    <mdx n="0" f="v">
      <t c="3">
        <n x="222"/>
        <n x="203"/>
        <n x="194"/>
      </t>
    </mdx>
    <mdx n="0" f="v">
      <t c="3">
        <n x="222"/>
        <n x="160"/>
        <n x="167"/>
      </t>
    </mdx>
    <mdx n="0" f="v">
      <t c="3">
        <n x="222"/>
        <n x="160"/>
        <n x="177"/>
      </t>
    </mdx>
    <mdx n="0" f="v">
      <t c="3">
        <n x="222"/>
        <n x="139"/>
        <n x="179"/>
      </t>
    </mdx>
    <mdx n="0" f="v">
      <t c="3">
        <n x="222"/>
        <n x="139"/>
        <n x="174"/>
      </t>
    </mdx>
    <mdx n="0" f="v">
      <t c="3">
        <n x="222"/>
        <n x="139"/>
        <n x="193"/>
      </t>
    </mdx>
    <mdx n="0" f="v">
      <t c="3">
        <n x="222"/>
        <n x="139"/>
        <n x="180"/>
      </t>
    </mdx>
  </mdxMetadata>
  <valueMetadata count="3146">
    <bk>
      <rc t="1" v="0"/>
    </bk>
    <bk>
      <rc t="1" v="1"/>
    </bk>
    <bk>
      <rc t="1" v="2"/>
    </bk>
    <bk>
      <rc t="1" v="3"/>
    </bk>
    <bk>
      <rc t="1" v="4"/>
    </bk>
    <bk>
      <rc t="1" v="5"/>
    </bk>
    <bk>
      <rc t="1" v="6"/>
    </bk>
    <bk>
      <rc t="1" v="7"/>
    </bk>
    <bk>
      <rc t="1" v="8"/>
    </bk>
    <bk>
      <rc t="1" v="9"/>
    </bk>
    <bk>
      <rc t="1" v="10"/>
    </bk>
    <bk>
      <rc t="1" v="11"/>
    </bk>
    <bk>
      <rc t="1" v="12"/>
    </bk>
    <bk>
      <rc t="1" v="13"/>
    </bk>
    <bk>
      <rc t="1" v="14"/>
    </bk>
    <bk>
      <rc t="1" v="15"/>
    </bk>
    <bk>
      <rc t="1" v="16"/>
    </bk>
    <bk>
      <rc t="1" v="17"/>
    </bk>
    <bk>
      <rc t="1" v="18"/>
    </bk>
    <bk>
      <rc t="1" v="19"/>
    </bk>
    <bk>
      <rc t="1" v="20"/>
    </bk>
    <bk>
      <rc t="1" v="21"/>
    </bk>
    <bk>
      <rc t="1" v="22"/>
    </bk>
    <bk>
      <rc t="1" v="23"/>
    </bk>
    <bk>
      <rc t="1" v="24"/>
    </bk>
    <bk>
      <rc t="1" v="25"/>
    </bk>
    <bk>
      <rc t="1" v="26"/>
    </bk>
    <bk>
      <rc t="1" v="27"/>
    </bk>
    <bk>
      <rc t="1" v="28"/>
    </bk>
    <bk>
      <rc t="1" v="29"/>
    </bk>
    <bk>
      <rc t="1" v="30"/>
    </bk>
    <bk>
      <rc t="1" v="31"/>
    </bk>
    <bk>
      <rc t="1" v="32"/>
    </bk>
    <bk>
      <rc t="1" v="33"/>
    </bk>
    <bk>
      <rc t="1" v="34"/>
    </bk>
    <bk>
      <rc t="1" v="35"/>
    </bk>
    <bk>
      <rc t="1" v="36"/>
    </bk>
    <bk>
      <rc t="1" v="37"/>
    </bk>
    <bk>
      <rc t="1" v="38"/>
    </bk>
    <bk>
      <rc t="1" v="39"/>
    </bk>
    <bk>
      <rc t="1" v="40"/>
    </bk>
    <bk>
      <rc t="1" v="41"/>
    </bk>
    <bk>
      <rc t="1" v="42"/>
    </bk>
    <bk>
      <rc t="1" v="43"/>
    </bk>
    <bk>
      <rc t="1" v="44"/>
    </bk>
    <bk>
      <rc t="1" v="45"/>
    </bk>
    <bk>
      <rc t="1" v="46"/>
    </bk>
    <bk>
      <rc t="1" v="47"/>
    </bk>
    <bk>
      <rc t="1" v="48"/>
    </bk>
    <bk>
      <rc t="1" v="49"/>
    </bk>
    <bk>
      <rc t="1" v="50"/>
    </bk>
    <bk>
      <rc t="1" v="51"/>
    </bk>
    <bk>
      <rc t="1" v="52"/>
    </bk>
    <bk>
      <rc t="1" v="53"/>
    </bk>
    <bk>
      <rc t="1" v="54"/>
    </bk>
    <bk>
      <rc t="1" v="55"/>
    </bk>
    <bk>
      <rc t="1" v="56"/>
    </bk>
    <bk>
      <rc t="1" v="57"/>
    </bk>
    <bk>
      <rc t="1" v="58"/>
    </bk>
    <bk>
      <rc t="1" v="59"/>
    </bk>
    <bk>
      <rc t="1" v="60"/>
    </bk>
    <bk>
      <rc t="1" v="61"/>
    </bk>
    <bk>
      <rc t="1" v="62"/>
    </bk>
    <bk>
      <rc t="1" v="63"/>
    </bk>
    <bk>
      <rc t="1" v="64"/>
    </bk>
    <bk>
      <rc t="1" v="65"/>
    </bk>
    <bk>
      <rc t="1" v="66"/>
    </bk>
    <bk>
      <rc t="1" v="67"/>
    </bk>
    <bk>
      <rc t="1" v="68"/>
    </bk>
    <bk>
      <rc t="1" v="69"/>
    </bk>
    <bk>
      <rc t="1" v="70"/>
    </bk>
    <bk>
      <rc t="1" v="71"/>
    </bk>
    <bk>
      <rc t="1" v="72"/>
    </bk>
    <bk>
      <rc t="1" v="73"/>
    </bk>
    <bk>
      <rc t="1" v="74"/>
    </bk>
    <bk>
      <rc t="1" v="75"/>
    </bk>
    <bk>
      <rc t="1" v="76"/>
    </bk>
    <bk>
      <rc t="1" v="77"/>
    </bk>
    <bk>
      <rc t="1" v="78"/>
    </bk>
    <bk>
      <rc t="1" v="79"/>
    </bk>
    <bk>
      <rc t="1" v="80"/>
    </bk>
    <bk>
      <rc t="1" v="81"/>
    </bk>
    <bk>
      <rc t="1" v="82"/>
    </bk>
    <bk>
      <rc t="1" v="83"/>
    </bk>
    <bk>
      <rc t="1" v="84"/>
    </bk>
    <bk>
      <rc t="1" v="85"/>
    </bk>
    <bk>
      <rc t="1" v="86"/>
    </bk>
    <bk>
      <rc t="1" v="87"/>
    </bk>
    <bk>
      <rc t="1" v="88"/>
    </bk>
    <bk>
      <rc t="1" v="89"/>
    </bk>
    <bk>
      <rc t="1" v="90"/>
    </bk>
    <bk>
      <rc t="1" v="91"/>
    </bk>
    <bk>
      <rc t="1" v="92"/>
    </bk>
    <bk>
      <rc t="1" v="93"/>
    </bk>
    <bk>
      <rc t="1" v="94"/>
    </bk>
    <bk>
      <rc t="1" v="95"/>
    </bk>
    <bk>
      <rc t="1" v="96"/>
    </bk>
    <bk>
      <rc t="1" v="97"/>
    </bk>
    <bk>
      <rc t="1" v="98"/>
    </bk>
    <bk>
      <rc t="1" v="99"/>
    </bk>
    <bk>
      <rc t="1" v="100"/>
    </bk>
    <bk>
      <rc t="1" v="101"/>
    </bk>
    <bk>
      <rc t="1" v="102"/>
    </bk>
    <bk>
      <rc t="1" v="103"/>
    </bk>
    <bk>
      <rc t="1" v="104"/>
    </bk>
    <bk>
      <rc t="1" v="105"/>
    </bk>
    <bk>
      <rc t="1" v="106"/>
    </bk>
    <bk>
      <rc t="1" v="107"/>
    </bk>
    <bk>
      <rc t="1" v="108"/>
    </bk>
    <bk>
      <rc t="1" v="109"/>
    </bk>
    <bk>
      <rc t="1" v="110"/>
    </bk>
    <bk>
      <rc t="1" v="111"/>
    </bk>
    <bk>
      <rc t="1" v="112"/>
    </bk>
    <bk>
      <rc t="1" v="113"/>
    </bk>
    <bk>
      <rc t="1" v="114"/>
    </bk>
    <bk>
      <rc t="1" v="115"/>
    </bk>
    <bk>
      <rc t="1" v="116"/>
    </bk>
    <bk>
      <rc t="1" v="117"/>
    </bk>
    <bk>
      <rc t="1" v="118"/>
    </bk>
    <bk>
      <rc t="1" v="119"/>
    </bk>
    <bk>
      <rc t="1" v="120"/>
    </bk>
    <bk>
      <rc t="1" v="121"/>
    </bk>
    <bk>
      <rc t="1" v="122"/>
    </bk>
    <bk>
      <rc t="1" v="123"/>
    </bk>
    <bk>
      <rc t="1" v="124"/>
    </bk>
    <bk>
      <rc t="1" v="125"/>
    </bk>
    <bk>
      <rc t="1" v="126"/>
    </bk>
    <bk>
      <rc t="1" v="127"/>
    </bk>
    <bk>
      <rc t="1" v="128"/>
    </bk>
    <bk>
      <rc t="1" v="129"/>
    </bk>
    <bk>
      <rc t="1" v="130"/>
    </bk>
    <bk>
      <rc t="1" v="131"/>
    </bk>
    <bk>
      <rc t="1" v="132"/>
    </bk>
    <bk>
      <rc t="1" v="133"/>
    </bk>
    <bk>
      <rc t="1" v="134"/>
    </bk>
    <bk>
      <rc t="1" v="135"/>
    </bk>
    <bk>
      <rc t="1" v="136"/>
    </bk>
    <bk>
      <rc t="1" v="137"/>
    </bk>
    <bk>
      <rc t="1" v="138"/>
    </bk>
    <bk>
      <rc t="1" v="139"/>
    </bk>
    <bk>
      <rc t="1" v="140"/>
    </bk>
    <bk>
      <rc t="1" v="141"/>
    </bk>
    <bk>
      <rc t="1" v="142"/>
    </bk>
    <bk>
      <rc t="1" v="143"/>
    </bk>
    <bk>
      <rc t="1" v="144"/>
    </bk>
    <bk>
      <rc t="1" v="145"/>
    </bk>
    <bk>
      <rc t="1" v="146"/>
    </bk>
    <bk>
      <rc t="1" v="147"/>
    </bk>
    <bk>
      <rc t="1" v="148"/>
    </bk>
    <bk>
      <rc t="1" v="149"/>
    </bk>
    <bk>
      <rc t="1" v="150"/>
    </bk>
    <bk>
      <rc t="1" v="151"/>
    </bk>
    <bk>
      <rc t="1" v="152"/>
    </bk>
    <bk>
      <rc t="1" v="153"/>
    </bk>
    <bk>
      <rc t="1" v="154"/>
    </bk>
    <bk>
      <rc t="1" v="155"/>
    </bk>
    <bk>
      <rc t="1" v="156"/>
    </bk>
    <bk>
      <rc t="1" v="157"/>
    </bk>
    <bk>
      <rc t="1" v="158"/>
    </bk>
    <bk>
      <rc t="1" v="159"/>
    </bk>
    <bk>
      <rc t="1" v="160"/>
    </bk>
    <bk>
      <rc t="1" v="161"/>
    </bk>
    <bk>
      <rc t="1" v="162"/>
    </bk>
    <bk>
      <rc t="1" v="163"/>
    </bk>
    <bk>
      <rc t="1" v="164"/>
    </bk>
    <bk>
      <rc t="1" v="165"/>
    </bk>
    <bk>
      <rc t="1" v="166"/>
    </bk>
    <bk>
      <rc t="1" v="167"/>
    </bk>
    <bk>
      <rc t="1" v="168"/>
    </bk>
    <bk>
      <rc t="1" v="169"/>
    </bk>
    <bk>
      <rc t="1" v="170"/>
    </bk>
    <bk>
      <rc t="1" v="171"/>
    </bk>
    <bk>
      <rc t="1" v="172"/>
    </bk>
    <bk>
      <rc t="1" v="173"/>
    </bk>
    <bk>
      <rc t="1" v="174"/>
    </bk>
    <bk>
      <rc t="1" v="175"/>
    </bk>
    <bk>
      <rc t="1" v="176"/>
    </bk>
    <bk>
      <rc t="1" v="177"/>
    </bk>
    <bk>
      <rc t="1" v="178"/>
    </bk>
    <bk>
      <rc t="1" v="179"/>
    </bk>
    <bk>
      <rc t="1" v="180"/>
    </bk>
    <bk>
      <rc t="1" v="181"/>
    </bk>
    <bk>
      <rc t="1" v="182"/>
    </bk>
    <bk>
      <rc t="1" v="183"/>
    </bk>
    <bk>
      <rc t="1" v="184"/>
    </bk>
    <bk>
      <rc t="1" v="185"/>
    </bk>
    <bk>
      <rc t="1" v="186"/>
    </bk>
    <bk>
      <rc t="1" v="187"/>
    </bk>
    <bk>
      <rc t="1" v="188"/>
    </bk>
    <bk>
      <rc t="1" v="189"/>
    </bk>
    <bk>
      <rc t="1" v="190"/>
    </bk>
    <bk>
      <rc t="1" v="191"/>
    </bk>
    <bk>
      <rc t="1" v="192"/>
    </bk>
    <bk>
      <rc t="1" v="193"/>
    </bk>
    <bk>
      <rc t="1" v="194"/>
    </bk>
    <bk>
      <rc t="1" v="195"/>
    </bk>
    <bk>
      <rc t="1" v="196"/>
    </bk>
    <bk>
      <rc t="1" v="197"/>
    </bk>
    <bk>
      <rc t="1" v="198"/>
    </bk>
    <bk>
      <rc t="1" v="199"/>
    </bk>
    <bk>
      <rc t="1" v="200"/>
    </bk>
    <bk>
      <rc t="1" v="201"/>
    </bk>
    <bk>
      <rc t="1" v="202"/>
    </bk>
    <bk>
      <rc t="1" v="203"/>
    </bk>
    <bk>
      <rc t="1" v="204"/>
    </bk>
    <bk>
      <rc t="1" v="205"/>
    </bk>
    <bk>
      <rc t="1" v="206"/>
    </bk>
    <bk>
      <rc t="1" v="207"/>
    </bk>
    <bk>
      <rc t="1" v="208"/>
    </bk>
    <bk>
      <rc t="1" v="209"/>
    </bk>
    <bk>
      <rc t="1" v="210"/>
    </bk>
    <bk>
      <rc t="1" v="211"/>
    </bk>
    <bk>
      <rc t="1" v="212"/>
    </bk>
    <bk>
      <rc t="1" v="213"/>
    </bk>
    <bk>
      <rc t="1" v="214"/>
    </bk>
    <bk>
      <rc t="1" v="215"/>
    </bk>
    <bk>
      <rc t="1" v="216"/>
    </bk>
    <bk>
      <rc t="1" v="217"/>
    </bk>
    <bk>
      <rc t="1" v="218"/>
    </bk>
    <bk>
      <rc t="1" v="219"/>
    </bk>
    <bk>
      <rc t="1" v="220"/>
    </bk>
    <bk>
      <rc t="1" v="221"/>
    </bk>
    <bk>
      <rc t="1" v="222"/>
    </bk>
    <bk>
      <rc t="1" v="223"/>
    </bk>
    <bk>
      <rc t="1" v="224"/>
    </bk>
    <bk>
      <rc t="1" v="225"/>
    </bk>
    <bk>
      <rc t="1" v="226"/>
    </bk>
    <bk>
      <rc t="1" v="227"/>
    </bk>
    <bk>
      <rc t="1" v="228"/>
    </bk>
    <bk>
      <rc t="1" v="229"/>
    </bk>
    <bk>
      <rc t="1" v="230"/>
    </bk>
    <bk>
      <rc t="1" v="231"/>
    </bk>
    <bk>
      <rc t="1" v="232"/>
    </bk>
    <bk>
      <rc t="1" v="233"/>
    </bk>
    <bk>
      <rc t="1" v="234"/>
    </bk>
    <bk>
      <rc t="1" v="235"/>
    </bk>
    <bk>
      <rc t="1" v="236"/>
    </bk>
    <bk>
      <rc t="1" v="237"/>
    </bk>
    <bk>
      <rc t="1" v="238"/>
    </bk>
    <bk>
      <rc t="1" v="239"/>
    </bk>
    <bk>
      <rc t="1" v="240"/>
    </bk>
    <bk>
      <rc t="1" v="241"/>
    </bk>
    <bk>
      <rc t="1" v="242"/>
    </bk>
    <bk>
      <rc t="1" v="243"/>
    </bk>
    <bk>
      <rc t="1" v="244"/>
    </bk>
    <bk>
      <rc t="1" v="245"/>
    </bk>
    <bk>
      <rc t="1" v="246"/>
    </bk>
    <bk>
      <rc t="1" v="247"/>
    </bk>
    <bk>
      <rc t="1" v="248"/>
    </bk>
    <bk>
      <rc t="1" v="249"/>
    </bk>
    <bk>
      <rc t="1" v="250"/>
    </bk>
    <bk>
      <rc t="1" v="251"/>
    </bk>
    <bk>
      <rc t="1" v="252"/>
    </bk>
    <bk>
      <rc t="1" v="253"/>
    </bk>
    <bk>
      <rc t="1" v="254"/>
    </bk>
    <bk>
      <rc t="1" v="255"/>
    </bk>
    <bk>
      <rc t="1" v="256"/>
    </bk>
    <bk>
      <rc t="1" v="257"/>
    </bk>
    <bk>
      <rc t="1" v="258"/>
    </bk>
    <bk>
      <rc t="1" v="259"/>
    </bk>
    <bk>
      <rc t="1" v="260"/>
    </bk>
    <bk>
      <rc t="1" v="261"/>
    </bk>
    <bk>
      <rc t="1" v="262"/>
    </bk>
    <bk>
      <rc t="1" v="263"/>
    </bk>
    <bk>
      <rc t="1" v="264"/>
    </bk>
    <bk>
      <rc t="1" v="265"/>
    </bk>
    <bk>
      <rc t="1" v="266"/>
    </bk>
    <bk>
      <rc t="1" v="267"/>
    </bk>
    <bk>
      <rc t="1" v="268"/>
    </bk>
    <bk>
      <rc t="1" v="269"/>
    </bk>
    <bk>
      <rc t="1" v="270"/>
    </bk>
    <bk>
      <rc t="1" v="271"/>
    </bk>
    <bk>
      <rc t="1" v="272"/>
    </bk>
    <bk>
      <rc t="1" v="273"/>
    </bk>
    <bk>
      <rc t="1" v="274"/>
    </bk>
    <bk>
      <rc t="1" v="275"/>
    </bk>
    <bk>
      <rc t="1" v="276"/>
    </bk>
    <bk>
      <rc t="1" v="277"/>
    </bk>
    <bk>
      <rc t="1" v="278"/>
    </bk>
    <bk>
      <rc t="1" v="279"/>
    </bk>
    <bk>
      <rc t="1" v="280"/>
    </bk>
    <bk>
      <rc t="1" v="281"/>
    </bk>
    <bk>
      <rc t="1" v="282"/>
    </bk>
    <bk>
      <rc t="1" v="283"/>
    </bk>
    <bk>
      <rc t="1" v="284"/>
    </bk>
    <bk>
      <rc t="1" v="285"/>
    </bk>
    <bk>
      <rc t="1" v="286"/>
    </bk>
    <bk>
      <rc t="1" v="287"/>
    </bk>
    <bk>
      <rc t="1" v="288"/>
    </bk>
    <bk>
      <rc t="1" v="289"/>
    </bk>
    <bk>
      <rc t="1" v="290"/>
    </bk>
    <bk>
      <rc t="1" v="291"/>
    </bk>
    <bk>
      <rc t="1" v="292"/>
    </bk>
    <bk>
      <rc t="1" v="293"/>
    </bk>
    <bk>
      <rc t="1" v="294"/>
    </bk>
    <bk>
      <rc t="1" v="295"/>
    </bk>
    <bk>
      <rc t="1" v="296"/>
    </bk>
    <bk>
      <rc t="1" v="297"/>
    </bk>
    <bk>
      <rc t="1" v="298"/>
    </bk>
    <bk>
      <rc t="1" v="299"/>
    </bk>
    <bk>
      <rc t="1" v="300"/>
    </bk>
    <bk>
      <rc t="1" v="301"/>
    </bk>
    <bk>
      <rc t="1" v="302"/>
    </bk>
    <bk>
      <rc t="1" v="303"/>
    </bk>
    <bk>
      <rc t="1" v="304"/>
    </bk>
    <bk>
      <rc t="1" v="305"/>
    </bk>
    <bk>
      <rc t="1" v="306"/>
    </bk>
    <bk>
      <rc t="1" v="307"/>
    </bk>
    <bk>
      <rc t="1" v="308"/>
    </bk>
    <bk>
      <rc t="1" v="309"/>
    </bk>
    <bk>
      <rc t="1" v="310"/>
    </bk>
    <bk>
      <rc t="1" v="311"/>
    </bk>
    <bk>
      <rc t="1" v="312"/>
    </bk>
    <bk>
      <rc t="1" v="313"/>
    </bk>
    <bk>
      <rc t="1" v="314"/>
    </bk>
    <bk>
      <rc t="1" v="315"/>
    </bk>
    <bk>
      <rc t="1" v="316"/>
    </bk>
    <bk>
      <rc t="1" v="317"/>
    </bk>
    <bk>
      <rc t="1" v="318"/>
    </bk>
    <bk>
      <rc t="1" v="319"/>
    </bk>
    <bk>
      <rc t="1" v="320"/>
    </bk>
    <bk>
      <rc t="1" v="321"/>
    </bk>
    <bk>
      <rc t="1" v="322"/>
    </bk>
    <bk>
      <rc t="1" v="323"/>
    </bk>
    <bk>
      <rc t="1" v="324"/>
    </bk>
    <bk>
      <rc t="1" v="325"/>
    </bk>
    <bk>
      <rc t="1" v="326"/>
    </bk>
    <bk>
      <rc t="1" v="327"/>
    </bk>
    <bk>
      <rc t="1" v="328"/>
    </bk>
    <bk>
      <rc t="1" v="329"/>
    </bk>
    <bk>
      <rc t="1" v="330"/>
    </bk>
    <bk>
      <rc t="1" v="331"/>
    </bk>
    <bk>
      <rc t="1" v="332"/>
    </bk>
    <bk>
      <rc t="1" v="333"/>
    </bk>
    <bk>
      <rc t="1" v="334"/>
    </bk>
    <bk>
      <rc t="1" v="335"/>
    </bk>
    <bk>
      <rc t="1" v="336"/>
    </bk>
    <bk>
      <rc t="1" v="337"/>
    </bk>
    <bk>
      <rc t="1" v="338"/>
    </bk>
    <bk>
      <rc t="1" v="339"/>
    </bk>
    <bk>
      <rc t="1" v="340"/>
    </bk>
    <bk>
      <rc t="1" v="341"/>
    </bk>
    <bk>
      <rc t="1" v="342"/>
    </bk>
    <bk>
      <rc t="1" v="343"/>
    </bk>
    <bk>
      <rc t="1" v="344"/>
    </bk>
    <bk>
      <rc t="1" v="345"/>
    </bk>
    <bk>
      <rc t="1" v="346"/>
    </bk>
    <bk>
      <rc t="1" v="347"/>
    </bk>
    <bk>
      <rc t="1" v="348"/>
    </bk>
    <bk>
      <rc t="1" v="349"/>
    </bk>
    <bk>
      <rc t="1" v="350"/>
    </bk>
    <bk>
      <rc t="1" v="351"/>
    </bk>
    <bk>
      <rc t="1" v="352"/>
    </bk>
    <bk>
      <rc t="1" v="353"/>
    </bk>
    <bk>
      <rc t="1" v="354"/>
    </bk>
    <bk>
      <rc t="1" v="355"/>
    </bk>
    <bk>
      <rc t="1" v="356"/>
    </bk>
    <bk>
      <rc t="1" v="357"/>
    </bk>
    <bk>
      <rc t="1" v="358"/>
    </bk>
    <bk>
      <rc t="1" v="359"/>
    </bk>
    <bk>
      <rc t="1" v="360"/>
    </bk>
    <bk>
      <rc t="1" v="361"/>
    </bk>
    <bk>
      <rc t="1" v="362"/>
    </bk>
    <bk>
      <rc t="1" v="363"/>
    </bk>
    <bk>
      <rc t="1" v="364"/>
    </bk>
    <bk>
      <rc t="1" v="365"/>
    </bk>
    <bk>
      <rc t="1" v="366"/>
    </bk>
    <bk>
      <rc t="1" v="367"/>
    </bk>
    <bk>
      <rc t="1" v="368"/>
    </bk>
    <bk>
      <rc t="1" v="369"/>
    </bk>
    <bk>
      <rc t="1" v="370"/>
    </bk>
    <bk>
      <rc t="1" v="371"/>
    </bk>
    <bk>
      <rc t="1" v="372"/>
    </bk>
    <bk>
      <rc t="1" v="373"/>
    </bk>
    <bk>
      <rc t="1" v="374"/>
    </bk>
    <bk>
      <rc t="1" v="375"/>
    </bk>
    <bk>
      <rc t="1" v="376"/>
    </bk>
    <bk>
      <rc t="1" v="377"/>
    </bk>
    <bk>
      <rc t="1" v="378"/>
    </bk>
    <bk>
      <rc t="1" v="379"/>
    </bk>
    <bk>
      <rc t="1" v="380"/>
    </bk>
    <bk>
      <rc t="1" v="381"/>
    </bk>
    <bk>
      <rc t="1" v="382"/>
    </bk>
    <bk>
      <rc t="1" v="383"/>
    </bk>
    <bk>
      <rc t="1" v="384"/>
    </bk>
    <bk>
      <rc t="1" v="385"/>
    </bk>
    <bk>
      <rc t="1" v="386"/>
    </bk>
    <bk>
      <rc t="1" v="387"/>
    </bk>
    <bk>
      <rc t="1" v="388"/>
    </bk>
    <bk>
      <rc t="1" v="389"/>
    </bk>
    <bk>
      <rc t="1" v="390"/>
    </bk>
    <bk>
      <rc t="1" v="391"/>
    </bk>
    <bk>
      <rc t="1" v="392"/>
    </bk>
    <bk>
      <rc t="1" v="393"/>
    </bk>
    <bk>
      <rc t="1" v="394"/>
    </bk>
    <bk>
      <rc t="1" v="395"/>
    </bk>
    <bk>
      <rc t="1" v="396"/>
    </bk>
    <bk>
      <rc t="1" v="397"/>
    </bk>
    <bk>
      <rc t="1" v="398"/>
    </bk>
    <bk>
      <rc t="1" v="399"/>
    </bk>
    <bk>
      <rc t="1" v="400"/>
    </bk>
    <bk>
      <rc t="1" v="401"/>
    </bk>
    <bk>
      <rc t="1" v="402"/>
    </bk>
    <bk>
      <rc t="1" v="403"/>
    </bk>
    <bk>
      <rc t="1" v="404"/>
    </bk>
    <bk>
      <rc t="1" v="405"/>
    </bk>
    <bk>
      <rc t="1" v="406"/>
    </bk>
    <bk>
      <rc t="1" v="407"/>
    </bk>
    <bk>
      <rc t="1" v="408"/>
    </bk>
    <bk>
      <rc t="1" v="409"/>
    </bk>
    <bk>
      <rc t="1" v="410"/>
    </bk>
    <bk>
      <rc t="1" v="411"/>
    </bk>
    <bk>
      <rc t="1" v="412"/>
    </bk>
    <bk>
      <rc t="1" v="413"/>
    </bk>
    <bk>
      <rc t="1" v="414"/>
    </bk>
    <bk>
      <rc t="1" v="415"/>
    </bk>
    <bk>
      <rc t="1" v="416"/>
    </bk>
    <bk>
      <rc t="1" v="417"/>
    </bk>
    <bk>
      <rc t="1" v="418"/>
    </bk>
    <bk>
      <rc t="1" v="419"/>
    </bk>
    <bk>
      <rc t="1" v="420"/>
    </bk>
    <bk>
      <rc t="1" v="421"/>
    </bk>
    <bk>
      <rc t="1" v="422"/>
    </bk>
    <bk>
      <rc t="1" v="423"/>
    </bk>
    <bk>
      <rc t="1" v="424"/>
    </bk>
    <bk>
      <rc t="1" v="425"/>
    </bk>
    <bk>
      <rc t="1" v="426"/>
    </bk>
    <bk>
      <rc t="1" v="427"/>
    </bk>
    <bk>
      <rc t="1" v="428"/>
    </bk>
    <bk>
      <rc t="1" v="429"/>
    </bk>
    <bk>
      <rc t="1" v="430"/>
    </bk>
    <bk>
      <rc t="1" v="431"/>
    </bk>
    <bk>
      <rc t="1" v="432"/>
    </bk>
    <bk>
      <rc t="1" v="433"/>
    </bk>
    <bk>
      <rc t="1" v="434"/>
    </bk>
    <bk>
      <rc t="1" v="435"/>
    </bk>
    <bk>
      <rc t="1" v="436"/>
    </bk>
    <bk>
      <rc t="1" v="437"/>
    </bk>
    <bk>
      <rc t="1" v="438"/>
    </bk>
    <bk>
      <rc t="1" v="439"/>
    </bk>
    <bk>
      <rc t="1" v="440"/>
    </bk>
    <bk>
      <rc t="1" v="441"/>
    </bk>
    <bk>
      <rc t="1" v="442"/>
    </bk>
    <bk>
      <rc t="1" v="443"/>
    </bk>
    <bk>
      <rc t="1" v="444"/>
    </bk>
    <bk>
      <rc t="1" v="445"/>
    </bk>
    <bk>
      <rc t="1" v="446"/>
    </bk>
    <bk>
      <rc t="1" v="447"/>
    </bk>
    <bk>
      <rc t="1" v="448"/>
    </bk>
    <bk>
      <rc t="1" v="449"/>
    </bk>
    <bk>
      <rc t="1" v="450"/>
    </bk>
    <bk>
      <rc t="1" v="451"/>
    </bk>
    <bk>
      <rc t="1" v="452"/>
    </bk>
    <bk>
      <rc t="1" v="453"/>
    </bk>
    <bk>
      <rc t="1" v="454"/>
    </bk>
    <bk>
      <rc t="1" v="455"/>
    </bk>
    <bk>
      <rc t="1" v="456"/>
    </bk>
    <bk>
      <rc t="1" v="457"/>
    </bk>
    <bk>
      <rc t="1" v="458"/>
    </bk>
    <bk>
      <rc t="1" v="459"/>
    </bk>
    <bk>
      <rc t="1" v="460"/>
    </bk>
    <bk>
      <rc t="1" v="461"/>
    </bk>
    <bk>
      <rc t="1" v="462"/>
    </bk>
    <bk>
      <rc t="1" v="463"/>
    </bk>
    <bk>
      <rc t="1" v="464"/>
    </bk>
    <bk>
      <rc t="1" v="465"/>
    </bk>
    <bk>
      <rc t="1" v="466"/>
    </bk>
    <bk>
      <rc t="1" v="467"/>
    </bk>
    <bk>
      <rc t="1" v="468"/>
    </bk>
    <bk>
      <rc t="1" v="469"/>
    </bk>
    <bk>
      <rc t="1" v="470"/>
    </bk>
    <bk>
      <rc t="1" v="471"/>
    </bk>
    <bk>
      <rc t="1" v="472"/>
    </bk>
    <bk>
      <rc t="1" v="473"/>
    </bk>
    <bk>
      <rc t="1" v="474"/>
    </bk>
    <bk>
      <rc t="1" v="475"/>
    </bk>
    <bk>
      <rc t="1" v="476"/>
    </bk>
    <bk>
      <rc t="1" v="477"/>
    </bk>
    <bk>
      <rc t="1" v="478"/>
    </bk>
    <bk>
      <rc t="1" v="479"/>
    </bk>
    <bk>
      <rc t="1" v="480"/>
    </bk>
    <bk>
      <rc t="1" v="481"/>
    </bk>
    <bk>
      <rc t="1" v="482"/>
    </bk>
    <bk>
      <rc t="1" v="483"/>
    </bk>
    <bk>
      <rc t="1" v="484"/>
    </bk>
    <bk>
      <rc t="1" v="485"/>
    </bk>
    <bk>
      <rc t="1" v="486"/>
    </bk>
    <bk>
      <rc t="1" v="487"/>
    </bk>
    <bk>
      <rc t="1" v="488"/>
    </bk>
    <bk>
      <rc t="1" v="489"/>
    </bk>
    <bk>
      <rc t="1" v="490"/>
    </bk>
    <bk>
      <rc t="1" v="491"/>
    </bk>
    <bk>
      <rc t="1" v="492"/>
    </bk>
    <bk>
      <rc t="1" v="493"/>
    </bk>
    <bk>
      <rc t="1" v="494"/>
    </bk>
    <bk>
      <rc t="1" v="495"/>
    </bk>
    <bk>
      <rc t="1" v="496"/>
    </bk>
    <bk>
      <rc t="1" v="497"/>
    </bk>
    <bk>
      <rc t="1" v="498"/>
    </bk>
    <bk>
      <rc t="1" v="499"/>
    </bk>
    <bk>
      <rc t="1" v="500"/>
    </bk>
    <bk>
      <rc t="1" v="501"/>
    </bk>
    <bk>
      <rc t="1" v="502"/>
    </bk>
    <bk>
      <rc t="1" v="503"/>
    </bk>
    <bk>
      <rc t="1" v="504"/>
    </bk>
    <bk>
      <rc t="1" v="505"/>
    </bk>
    <bk>
      <rc t="1" v="506"/>
    </bk>
    <bk>
      <rc t="1" v="507"/>
    </bk>
    <bk>
      <rc t="1" v="508"/>
    </bk>
    <bk>
      <rc t="1" v="509"/>
    </bk>
    <bk>
      <rc t="1" v="510"/>
    </bk>
    <bk>
      <rc t="1" v="511"/>
    </bk>
    <bk>
      <rc t="1" v="512"/>
    </bk>
    <bk>
      <rc t="1" v="513"/>
    </bk>
    <bk>
      <rc t="1" v="514"/>
    </bk>
    <bk>
      <rc t="1" v="515"/>
    </bk>
    <bk>
      <rc t="1" v="516"/>
    </bk>
    <bk>
      <rc t="1" v="517"/>
    </bk>
    <bk>
      <rc t="1" v="518"/>
    </bk>
    <bk>
      <rc t="1" v="519"/>
    </bk>
    <bk>
      <rc t="1" v="520"/>
    </bk>
    <bk>
      <rc t="1" v="521"/>
    </bk>
    <bk>
      <rc t="1" v="522"/>
    </bk>
    <bk>
      <rc t="1" v="523"/>
    </bk>
    <bk>
      <rc t="1" v="524"/>
    </bk>
    <bk>
      <rc t="1" v="525"/>
    </bk>
    <bk>
      <rc t="1" v="526"/>
    </bk>
    <bk>
      <rc t="1" v="527"/>
    </bk>
    <bk>
      <rc t="1" v="528"/>
    </bk>
    <bk>
      <rc t="1" v="529"/>
    </bk>
    <bk>
      <rc t="1" v="530"/>
    </bk>
    <bk>
      <rc t="1" v="531"/>
    </bk>
    <bk>
      <rc t="1" v="532"/>
    </bk>
    <bk>
      <rc t="1" v="533"/>
    </bk>
    <bk>
      <rc t="1" v="534"/>
    </bk>
    <bk>
      <rc t="1" v="535"/>
    </bk>
    <bk>
      <rc t="1" v="536"/>
    </bk>
    <bk>
      <rc t="1" v="537"/>
    </bk>
    <bk>
      <rc t="1" v="538"/>
    </bk>
    <bk>
      <rc t="1" v="539"/>
    </bk>
    <bk>
      <rc t="1" v="540"/>
    </bk>
    <bk>
      <rc t="1" v="541"/>
    </bk>
    <bk>
      <rc t="1" v="542"/>
    </bk>
    <bk>
      <rc t="1" v="543"/>
    </bk>
    <bk>
      <rc t="1" v="544"/>
    </bk>
    <bk>
      <rc t="1" v="545"/>
    </bk>
    <bk>
      <rc t="1" v="546"/>
    </bk>
    <bk>
      <rc t="1" v="547"/>
    </bk>
    <bk>
      <rc t="1" v="548"/>
    </bk>
    <bk>
      <rc t="1" v="549"/>
    </bk>
    <bk>
      <rc t="1" v="550"/>
    </bk>
    <bk>
      <rc t="1" v="551"/>
    </bk>
    <bk>
      <rc t="1" v="552"/>
    </bk>
    <bk>
      <rc t="1" v="553"/>
    </bk>
    <bk>
      <rc t="1" v="554"/>
    </bk>
    <bk>
      <rc t="1" v="555"/>
    </bk>
    <bk>
      <rc t="1" v="556"/>
    </bk>
    <bk>
      <rc t="1" v="557"/>
    </bk>
    <bk>
      <rc t="1" v="558"/>
    </bk>
    <bk>
      <rc t="1" v="559"/>
    </bk>
    <bk>
      <rc t="1" v="560"/>
    </bk>
    <bk>
      <rc t="1" v="561"/>
    </bk>
    <bk>
      <rc t="1" v="562"/>
    </bk>
    <bk>
      <rc t="1" v="563"/>
    </bk>
    <bk>
      <rc t="1" v="564"/>
    </bk>
    <bk>
      <rc t="1" v="565"/>
    </bk>
    <bk>
      <rc t="1" v="566"/>
    </bk>
    <bk>
      <rc t="1" v="567"/>
    </bk>
    <bk>
      <rc t="1" v="568"/>
    </bk>
    <bk>
      <rc t="1" v="569"/>
    </bk>
    <bk>
      <rc t="1" v="570"/>
    </bk>
    <bk>
      <rc t="1" v="571"/>
    </bk>
    <bk>
      <rc t="1" v="572"/>
    </bk>
    <bk>
      <rc t="1" v="573"/>
    </bk>
    <bk>
      <rc t="1" v="574"/>
    </bk>
    <bk>
      <rc t="1" v="575"/>
    </bk>
    <bk>
      <rc t="1" v="576"/>
    </bk>
    <bk>
      <rc t="1" v="577"/>
    </bk>
    <bk>
      <rc t="1" v="578"/>
    </bk>
    <bk>
      <rc t="1" v="579"/>
    </bk>
    <bk>
      <rc t="1" v="580"/>
    </bk>
    <bk>
      <rc t="1" v="581"/>
    </bk>
    <bk>
      <rc t="1" v="582"/>
    </bk>
    <bk>
      <rc t="1" v="583"/>
    </bk>
    <bk>
      <rc t="1" v="584"/>
    </bk>
    <bk>
      <rc t="1" v="585"/>
    </bk>
    <bk>
      <rc t="1" v="586"/>
    </bk>
    <bk>
      <rc t="1" v="587"/>
    </bk>
    <bk>
      <rc t="1" v="588"/>
    </bk>
    <bk>
      <rc t="1" v="589"/>
    </bk>
    <bk>
      <rc t="1" v="590"/>
    </bk>
    <bk>
      <rc t="1" v="591"/>
    </bk>
    <bk>
      <rc t="1" v="592"/>
    </bk>
    <bk>
      <rc t="1" v="593"/>
    </bk>
    <bk>
      <rc t="1" v="594"/>
    </bk>
    <bk>
      <rc t="1" v="595"/>
    </bk>
    <bk>
      <rc t="1" v="596"/>
    </bk>
    <bk>
      <rc t="1" v="597"/>
    </bk>
    <bk>
      <rc t="1" v="598"/>
    </bk>
    <bk>
      <rc t="1" v="599"/>
    </bk>
    <bk>
      <rc t="1" v="600"/>
    </bk>
    <bk>
      <rc t="1" v="601"/>
    </bk>
    <bk>
      <rc t="1" v="602"/>
    </bk>
    <bk>
      <rc t="1" v="603"/>
    </bk>
    <bk>
      <rc t="1" v="604"/>
    </bk>
    <bk>
      <rc t="1" v="605"/>
    </bk>
    <bk>
      <rc t="1" v="606"/>
    </bk>
    <bk>
      <rc t="1" v="607"/>
    </bk>
    <bk>
      <rc t="1" v="608"/>
    </bk>
    <bk>
      <rc t="1" v="609"/>
    </bk>
    <bk>
      <rc t="1" v="610"/>
    </bk>
    <bk>
      <rc t="1" v="611"/>
    </bk>
    <bk>
      <rc t="1" v="612"/>
    </bk>
    <bk>
      <rc t="1" v="613"/>
    </bk>
    <bk>
      <rc t="1" v="614"/>
    </bk>
    <bk>
      <rc t="1" v="615"/>
    </bk>
    <bk>
      <rc t="1" v="616"/>
    </bk>
    <bk>
      <rc t="1" v="617"/>
    </bk>
    <bk>
      <rc t="1" v="618"/>
    </bk>
    <bk>
      <rc t="1" v="619"/>
    </bk>
    <bk>
      <rc t="1" v="620"/>
    </bk>
    <bk>
      <rc t="1" v="621"/>
    </bk>
    <bk>
      <rc t="1" v="622"/>
    </bk>
    <bk>
      <rc t="1" v="623"/>
    </bk>
    <bk>
      <rc t="1" v="624"/>
    </bk>
    <bk>
      <rc t="1" v="625"/>
    </bk>
    <bk>
      <rc t="1" v="626"/>
    </bk>
    <bk>
      <rc t="1" v="627"/>
    </bk>
    <bk>
      <rc t="1" v="628"/>
    </bk>
    <bk>
      <rc t="1" v="629"/>
    </bk>
    <bk>
      <rc t="1" v="630"/>
    </bk>
    <bk>
      <rc t="1" v="631"/>
    </bk>
    <bk>
      <rc t="1" v="632"/>
    </bk>
    <bk>
      <rc t="1" v="633"/>
    </bk>
    <bk>
      <rc t="1" v="634"/>
    </bk>
    <bk>
      <rc t="1" v="635"/>
    </bk>
    <bk>
      <rc t="1" v="636"/>
    </bk>
    <bk>
      <rc t="1" v="637"/>
    </bk>
    <bk>
      <rc t="1" v="638"/>
    </bk>
    <bk>
      <rc t="1" v="639"/>
    </bk>
    <bk>
      <rc t="1" v="640"/>
    </bk>
    <bk>
      <rc t="1" v="641"/>
    </bk>
    <bk>
      <rc t="1" v="642"/>
    </bk>
    <bk>
      <rc t="1" v="643"/>
    </bk>
    <bk>
      <rc t="1" v="644"/>
    </bk>
    <bk>
      <rc t="1" v="645"/>
    </bk>
    <bk>
      <rc t="1" v="646"/>
    </bk>
    <bk>
      <rc t="1" v="647"/>
    </bk>
    <bk>
      <rc t="1" v="648"/>
    </bk>
    <bk>
      <rc t="1" v="649"/>
    </bk>
    <bk>
      <rc t="1" v="650"/>
    </bk>
    <bk>
      <rc t="1" v="651"/>
    </bk>
    <bk>
      <rc t="1" v="652"/>
    </bk>
    <bk>
      <rc t="1" v="653"/>
    </bk>
    <bk>
      <rc t="1" v="654"/>
    </bk>
    <bk>
      <rc t="1" v="655"/>
    </bk>
    <bk>
      <rc t="1" v="656"/>
    </bk>
    <bk>
      <rc t="1" v="657"/>
    </bk>
    <bk>
      <rc t="1" v="658"/>
    </bk>
    <bk>
      <rc t="1" v="659"/>
    </bk>
    <bk>
      <rc t="1" v="660"/>
    </bk>
    <bk>
      <rc t="1" v="661"/>
    </bk>
    <bk>
      <rc t="1" v="662"/>
    </bk>
    <bk>
      <rc t="1" v="663"/>
    </bk>
    <bk>
      <rc t="1" v="664"/>
    </bk>
    <bk>
      <rc t="1" v="665"/>
    </bk>
    <bk>
      <rc t="1" v="666"/>
    </bk>
    <bk>
      <rc t="1" v="667"/>
    </bk>
    <bk>
      <rc t="1" v="668"/>
    </bk>
    <bk>
      <rc t="1" v="669"/>
    </bk>
    <bk>
      <rc t="1" v="670"/>
    </bk>
    <bk>
      <rc t="1" v="671"/>
    </bk>
    <bk>
      <rc t="1" v="672"/>
    </bk>
    <bk>
      <rc t="1" v="673"/>
    </bk>
    <bk>
      <rc t="1" v="674"/>
    </bk>
    <bk>
      <rc t="1" v="675"/>
    </bk>
    <bk>
      <rc t="1" v="676"/>
    </bk>
    <bk>
      <rc t="1" v="677"/>
    </bk>
    <bk>
      <rc t="1" v="678"/>
    </bk>
    <bk>
      <rc t="1" v="679"/>
    </bk>
    <bk>
      <rc t="1" v="680"/>
    </bk>
    <bk>
      <rc t="1" v="681"/>
    </bk>
    <bk>
      <rc t="1" v="682"/>
    </bk>
    <bk>
      <rc t="1" v="683"/>
    </bk>
    <bk>
      <rc t="1" v="684"/>
    </bk>
    <bk>
      <rc t="1" v="685"/>
    </bk>
    <bk>
      <rc t="1" v="686"/>
    </bk>
    <bk>
      <rc t="1" v="687"/>
    </bk>
    <bk>
      <rc t="1" v="688"/>
    </bk>
    <bk>
      <rc t="1" v="689"/>
    </bk>
    <bk>
      <rc t="1" v="690"/>
    </bk>
    <bk>
      <rc t="1" v="691"/>
    </bk>
    <bk>
      <rc t="1" v="692"/>
    </bk>
    <bk>
      <rc t="1" v="693"/>
    </bk>
    <bk>
      <rc t="1" v="694"/>
    </bk>
    <bk>
      <rc t="1" v="695"/>
    </bk>
    <bk>
      <rc t="1" v="696"/>
    </bk>
    <bk>
      <rc t="1" v="697"/>
    </bk>
    <bk>
      <rc t="1" v="698"/>
    </bk>
    <bk>
      <rc t="1" v="699"/>
    </bk>
    <bk>
      <rc t="1" v="700"/>
    </bk>
    <bk>
      <rc t="1" v="701"/>
    </bk>
    <bk>
      <rc t="1" v="702"/>
    </bk>
    <bk>
      <rc t="1" v="703"/>
    </bk>
    <bk>
      <rc t="1" v="704"/>
    </bk>
    <bk>
      <rc t="1" v="705"/>
    </bk>
    <bk>
      <rc t="1" v="706"/>
    </bk>
    <bk>
      <rc t="1" v="707"/>
    </bk>
    <bk>
      <rc t="1" v="708"/>
    </bk>
    <bk>
      <rc t="1" v="709"/>
    </bk>
    <bk>
      <rc t="1" v="710"/>
    </bk>
    <bk>
      <rc t="1" v="711"/>
    </bk>
    <bk>
      <rc t="1" v="712"/>
    </bk>
    <bk>
      <rc t="1" v="713"/>
    </bk>
    <bk>
      <rc t="1" v="714"/>
    </bk>
    <bk>
      <rc t="1" v="715"/>
    </bk>
    <bk>
      <rc t="1" v="716"/>
    </bk>
    <bk>
      <rc t="1" v="717"/>
    </bk>
    <bk>
      <rc t="1" v="718"/>
    </bk>
    <bk>
      <rc t="1" v="719"/>
    </bk>
    <bk>
      <rc t="1" v="720"/>
    </bk>
    <bk>
      <rc t="1" v="721"/>
    </bk>
    <bk>
      <rc t="1" v="722"/>
    </bk>
    <bk>
      <rc t="1" v="723"/>
    </bk>
    <bk>
      <rc t="1" v="724"/>
    </bk>
    <bk>
      <rc t="1" v="725"/>
    </bk>
    <bk>
      <rc t="1" v="726"/>
    </bk>
    <bk>
      <rc t="1" v="727"/>
    </bk>
    <bk>
      <rc t="1" v="728"/>
    </bk>
    <bk>
      <rc t="1" v="729"/>
    </bk>
    <bk>
      <rc t="1" v="730"/>
    </bk>
    <bk>
      <rc t="1" v="731"/>
    </bk>
    <bk>
      <rc t="1" v="732"/>
    </bk>
    <bk>
      <rc t="1" v="733"/>
    </bk>
    <bk>
      <rc t="1" v="734"/>
    </bk>
    <bk>
      <rc t="1" v="735"/>
    </bk>
    <bk>
      <rc t="1" v="736"/>
    </bk>
    <bk>
      <rc t="1" v="737"/>
    </bk>
    <bk>
      <rc t="1" v="738"/>
    </bk>
    <bk>
      <rc t="1" v="739"/>
    </bk>
    <bk>
      <rc t="1" v="740"/>
    </bk>
    <bk>
      <rc t="1" v="741"/>
    </bk>
    <bk>
      <rc t="1" v="742"/>
    </bk>
    <bk>
      <rc t="1" v="743"/>
    </bk>
    <bk>
      <rc t="1" v="744"/>
    </bk>
    <bk>
      <rc t="1" v="745"/>
    </bk>
    <bk>
      <rc t="1" v="746"/>
    </bk>
    <bk>
      <rc t="1" v="747"/>
    </bk>
    <bk>
      <rc t="1" v="748"/>
    </bk>
    <bk>
      <rc t="1" v="749"/>
    </bk>
    <bk>
      <rc t="1" v="750"/>
    </bk>
    <bk>
      <rc t="1" v="751"/>
    </bk>
    <bk>
      <rc t="1" v="752"/>
    </bk>
    <bk>
      <rc t="1" v="753"/>
    </bk>
    <bk>
      <rc t="1" v="754"/>
    </bk>
    <bk>
      <rc t="1" v="755"/>
    </bk>
    <bk>
      <rc t="1" v="756"/>
    </bk>
    <bk>
      <rc t="1" v="757"/>
    </bk>
    <bk>
      <rc t="1" v="758"/>
    </bk>
    <bk>
      <rc t="1" v="759"/>
    </bk>
    <bk>
      <rc t="1" v="760"/>
    </bk>
    <bk>
      <rc t="1" v="761"/>
    </bk>
    <bk>
      <rc t="1" v="762"/>
    </bk>
    <bk>
      <rc t="1" v="763"/>
    </bk>
    <bk>
      <rc t="1" v="764"/>
    </bk>
    <bk>
      <rc t="1" v="765"/>
    </bk>
    <bk>
      <rc t="1" v="766"/>
    </bk>
    <bk>
      <rc t="1" v="767"/>
    </bk>
    <bk>
      <rc t="1" v="768"/>
    </bk>
    <bk>
      <rc t="1" v="769"/>
    </bk>
    <bk>
      <rc t="1" v="770"/>
    </bk>
    <bk>
      <rc t="1" v="771"/>
    </bk>
    <bk>
      <rc t="1" v="772"/>
    </bk>
    <bk>
      <rc t="1" v="773"/>
    </bk>
    <bk>
      <rc t="1" v="774"/>
    </bk>
    <bk>
      <rc t="1" v="775"/>
    </bk>
    <bk>
      <rc t="1" v="776"/>
    </bk>
    <bk>
      <rc t="1" v="777"/>
    </bk>
    <bk>
      <rc t="1" v="778"/>
    </bk>
    <bk>
      <rc t="1" v="779"/>
    </bk>
    <bk>
      <rc t="1" v="780"/>
    </bk>
    <bk>
      <rc t="1" v="781"/>
    </bk>
    <bk>
      <rc t="1" v="782"/>
    </bk>
    <bk>
      <rc t="1" v="783"/>
    </bk>
    <bk>
      <rc t="1" v="784"/>
    </bk>
    <bk>
      <rc t="1" v="785"/>
    </bk>
    <bk>
      <rc t="1" v="786"/>
    </bk>
    <bk>
      <rc t="1" v="787"/>
    </bk>
    <bk>
      <rc t="1" v="788"/>
    </bk>
    <bk>
      <rc t="1" v="789"/>
    </bk>
    <bk>
      <rc t="1" v="790"/>
    </bk>
    <bk>
      <rc t="1" v="791"/>
    </bk>
    <bk>
      <rc t="1" v="792"/>
    </bk>
    <bk>
      <rc t="1" v="793"/>
    </bk>
    <bk>
      <rc t="1" v="794"/>
    </bk>
    <bk>
      <rc t="1" v="795"/>
    </bk>
    <bk>
      <rc t="1" v="796"/>
    </bk>
    <bk>
      <rc t="1" v="797"/>
    </bk>
    <bk>
      <rc t="1" v="798"/>
    </bk>
    <bk>
      <rc t="1" v="799"/>
    </bk>
    <bk>
      <rc t="1" v="800"/>
    </bk>
    <bk>
      <rc t="1" v="801"/>
    </bk>
    <bk>
      <rc t="1" v="802"/>
    </bk>
    <bk>
      <rc t="1" v="803"/>
    </bk>
    <bk>
      <rc t="1" v="804"/>
    </bk>
    <bk>
      <rc t="1" v="805"/>
    </bk>
    <bk>
      <rc t="1" v="806"/>
    </bk>
    <bk>
      <rc t="1" v="807"/>
    </bk>
    <bk>
      <rc t="1" v="808"/>
    </bk>
    <bk>
      <rc t="1" v="809"/>
    </bk>
    <bk>
      <rc t="1" v="810"/>
    </bk>
    <bk>
      <rc t="1" v="811"/>
    </bk>
    <bk>
      <rc t="1" v="812"/>
    </bk>
    <bk>
      <rc t="1" v="813"/>
    </bk>
    <bk>
      <rc t="1" v="814"/>
    </bk>
    <bk>
      <rc t="1" v="815"/>
    </bk>
    <bk>
      <rc t="1" v="816"/>
    </bk>
    <bk>
      <rc t="1" v="817"/>
    </bk>
    <bk>
      <rc t="1" v="818"/>
    </bk>
    <bk>
      <rc t="1" v="819"/>
    </bk>
    <bk>
      <rc t="1" v="820"/>
    </bk>
    <bk>
      <rc t="1" v="821"/>
    </bk>
    <bk>
      <rc t="1" v="822"/>
    </bk>
    <bk>
      <rc t="1" v="823"/>
    </bk>
    <bk>
      <rc t="1" v="824"/>
    </bk>
    <bk>
      <rc t="1" v="825"/>
    </bk>
    <bk>
      <rc t="1" v="826"/>
    </bk>
    <bk>
      <rc t="1" v="827"/>
    </bk>
    <bk>
      <rc t="1" v="828"/>
    </bk>
    <bk>
      <rc t="1" v="829"/>
    </bk>
    <bk>
      <rc t="1" v="830"/>
    </bk>
    <bk>
      <rc t="1" v="831"/>
    </bk>
    <bk>
      <rc t="1" v="832"/>
    </bk>
    <bk>
      <rc t="1" v="833"/>
    </bk>
    <bk>
      <rc t="1" v="834"/>
    </bk>
    <bk>
      <rc t="1" v="835"/>
    </bk>
    <bk>
      <rc t="1" v="836"/>
    </bk>
    <bk>
      <rc t="1" v="837"/>
    </bk>
    <bk>
      <rc t="1" v="838"/>
    </bk>
    <bk>
      <rc t="1" v="839"/>
    </bk>
    <bk>
      <rc t="1" v="840"/>
    </bk>
    <bk>
      <rc t="1" v="841"/>
    </bk>
    <bk>
      <rc t="1" v="842"/>
    </bk>
    <bk>
      <rc t="1" v="843"/>
    </bk>
    <bk>
      <rc t="1" v="844"/>
    </bk>
    <bk>
      <rc t="1" v="845"/>
    </bk>
    <bk>
      <rc t="1" v="846"/>
    </bk>
    <bk>
      <rc t="1" v="847"/>
    </bk>
    <bk>
      <rc t="1" v="848"/>
    </bk>
    <bk>
      <rc t="1" v="849"/>
    </bk>
    <bk>
      <rc t="1" v="850"/>
    </bk>
    <bk>
      <rc t="1" v="851"/>
    </bk>
    <bk>
      <rc t="1" v="852"/>
    </bk>
    <bk>
      <rc t="1" v="853"/>
    </bk>
    <bk>
      <rc t="1" v="854"/>
    </bk>
    <bk>
      <rc t="1" v="855"/>
    </bk>
    <bk>
      <rc t="1" v="856"/>
    </bk>
    <bk>
      <rc t="1" v="857"/>
    </bk>
    <bk>
      <rc t="1" v="858"/>
    </bk>
    <bk>
      <rc t="1" v="859"/>
    </bk>
    <bk>
      <rc t="1" v="860"/>
    </bk>
    <bk>
      <rc t="1" v="861"/>
    </bk>
    <bk>
      <rc t="1" v="862"/>
    </bk>
    <bk>
      <rc t="1" v="863"/>
    </bk>
    <bk>
      <rc t="1" v="864"/>
    </bk>
    <bk>
      <rc t="1" v="865"/>
    </bk>
    <bk>
      <rc t="1" v="866"/>
    </bk>
    <bk>
      <rc t="1" v="867"/>
    </bk>
    <bk>
      <rc t="1" v="868"/>
    </bk>
    <bk>
      <rc t="1" v="869"/>
    </bk>
    <bk>
      <rc t="1" v="870"/>
    </bk>
    <bk>
      <rc t="1" v="871"/>
    </bk>
    <bk>
      <rc t="1" v="872"/>
    </bk>
    <bk>
      <rc t="1" v="873"/>
    </bk>
    <bk>
      <rc t="1" v="874"/>
    </bk>
    <bk>
      <rc t="1" v="875"/>
    </bk>
    <bk>
      <rc t="1" v="876"/>
    </bk>
    <bk>
      <rc t="1" v="877"/>
    </bk>
    <bk>
      <rc t="1" v="878"/>
    </bk>
    <bk>
      <rc t="1" v="879"/>
    </bk>
    <bk>
      <rc t="1" v="880"/>
    </bk>
    <bk>
      <rc t="1" v="881"/>
    </bk>
    <bk>
      <rc t="1" v="882"/>
    </bk>
    <bk>
      <rc t="1" v="883"/>
    </bk>
    <bk>
      <rc t="1" v="884"/>
    </bk>
    <bk>
      <rc t="1" v="885"/>
    </bk>
    <bk>
      <rc t="1" v="886"/>
    </bk>
    <bk>
      <rc t="1" v="887"/>
    </bk>
    <bk>
      <rc t="1" v="888"/>
    </bk>
    <bk>
      <rc t="1" v="889"/>
    </bk>
    <bk>
      <rc t="1" v="890"/>
    </bk>
    <bk>
      <rc t="1" v="891"/>
    </bk>
    <bk>
      <rc t="1" v="892"/>
    </bk>
    <bk>
      <rc t="1" v="893"/>
    </bk>
    <bk>
      <rc t="1" v="894"/>
    </bk>
    <bk>
      <rc t="1" v="895"/>
    </bk>
    <bk>
      <rc t="1" v="896"/>
    </bk>
    <bk>
      <rc t="1" v="897"/>
    </bk>
    <bk>
      <rc t="1" v="898"/>
    </bk>
    <bk>
      <rc t="1" v="899"/>
    </bk>
    <bk>
      <rc t="1" v="900"/>
    </bk>
    <bk>
      <rc t="1" v="901"/>
    </bk>
    <bk>
      <rc t="1" v="902"/>
    </bk>
    <bk>
      <rc t="1" v="903"/>
    </bk>
    <bk>
      <rc t="1" v="904"/>
    </bk>
    <bk>
      <rc t="1" v="905"/>
    </bk>
    <bk>
      <rc t="1" v="906"/>
    </bk>
    <bk>
      <rc t="1" v="907"/>
    </bk>
    <bk>
      <rc t="1" v="908"/>
    </bk>
    <bk>
      <rc t="1" v="909"/>
    </bk>
    <bk>
      <rc t="1" v="910"/>
    </bk>
    <bk>
      <rc t="1" v="911"/>
    </bk>
    <bk>
      <rc t="1" v="912"/>
    </bk>
    <bk>
      <rc t="1" v="913"/>
    </bk>
    <bk>
      <rc t="1" v="914"/>
    </bk>
    <bk>
      <rc t="1" v="915"/>
    </bk>
    <bk>
      <rc t="1" v="916"/>
    </bk>
    <bk>
      <rc t="1" v="917"/>
    </bk>
    <bk>
      <rc t="1" v="918"/>
    </bk>
    <bk>
      <rc t="1" v="919"/>
    </bk>
    <bk>
      <rc t="1" v="920"/>
    </bk>
    <bk>
      <rc t="1" v="921"/>
    </bk>
    <bk>
      <rc t="1" v="922"/>
    </bk>
    <bk>
      <rc t="1" v="923"/>
    </bk>
    <bk>
      <rc t="1" v="924"/>
    </bk>
    <bk>
      <rc t="1" v="925"/>
    </bk>
    <bk>
      <rc t="1" v="926"/>
    </bk>
    <bk>
      <rc t="1" v="927"/>
    </bk>
    <bk>
      <rc t="1" v="928"/>
    </bk>
    <bk>
      <rc t="1" v="929"/>
    </bk>
    <bk>
      <rc t="1" v="930"/>
    </bk>
    <bk>
      <rc t="1" v="931"/>
    </bk>
    <bk>
      <rc t="1" v="932"/>
    </bk>
    <bk>
      <rc t="1" v="933"/>
    </bk>
    <bk>
      <rc t="1" v="934"/>
    </bk>
    <bk>
      <rc t="1" v="935"/>
    </bk>
    <bk>
      <rc t="1" v="936"/>
    </bk>
    <bk>
      <rc t="1" v="937"/>
    </bk>
    <bk>
      <rc t="1" v="938"/>
    </bk>
    <bk>
      <rc t="1" v="939"/>
    </bk>
    <bk>
      <rc t="1" v="940"/>
    </bk>
    <bk>
      <rc t="1" v="941"/>
    </bk>
    <bk>
      <rc t="1" v="942"/>
    </bk>
    <bk>
      <rc t="1" v="943"/>
    </bk>
    <bk>
      <rc t="1" v="944"/>
    </bk>
    <bk>
      <rc t="1" v="945"/>
    </bk>
    <bk>
      <rc t="1" v="946"/>
    </bk>
    <bk>
      <rc t="1" v="947"/>
    </bk>
    <bk>
      <rc t="1" v="948"/>
    </bk>
    <bk>
      <rc t="1" v="949"/>
    </bk>
    <bk>
      <rc t="1" v="950"/>
    </bk>
    <bk>
      <rc t="1" v="951"/>
    </bk>
    <bk>
      <rc t="1" v="952"/>
    </bk>
    <bk>
      <rc t="1" v="953"/>
    </bk>
    <bk>
      <rc t="1" v="954"/>
    </bk>
    <bk>
      <rc t="1" v="955"/>
    </bk>
    <bk>
      <rc t="1" v="956"/>
    </bk>
    <bk>
      <rc t="1" v="957"/>
    </bk>
    <bk>
      <rc t="1" v="958"/>
    </bk>
    <bk>
      <rc t="1" v="959"/>
    </bk>
    <bk>
      <rc t="1" v="960"/>
    </bk>
    <bk>
      <rc t="1" v="961"/>
    </bk>
    <bk>
      <rc t="1" v="962"/>
    </bk>
    <bk>
      <rc t="1" v="963"/>
    </bk>
    <bk>
      <rc t="1" v="964"/>
    </bk>
    <bk>
      <rc t="1" v="965"/>
    </bk>
    <bk>
      <rc t="1" v="966"/>
    </bk>
    <bk>
      <rc t="1" v="967"/>
    </bk>
    <bk>
      <rc t="1" v="968"/>
    </bk>
    <bk>
      <rc t="1" v="969"/>
    </bk>
    <bk>
      <rc t="1" v="970"/>
    </bk>
    <bk>
      <rc t="1" v="971"/>
    </bk>
    <bk>
      <rc t="1" v="972"/>
    </bk>
    <bk>
      <rc t="1" v="973"/>
    </bk>
    <bk>
      <rc t="1" v="974"/>
    </bk>
    <bk>
      <rc t="1" v="975"/>
    </bk>
    <bk>
      <rc t="1" v="976"/>
    </bk>
    <bk>
      <rc t="1" v="977"/>
    </bk>
    <bk>
      <rc t="1" v="978"/>
    </bk>
    <bk>
      <rc t="1" v="979"/>
    </bk>
    <bk>
      <rc t="1" v="980"/>
    </bk>
    <bk>
      <rc t="1" v="981"/>
    </bk>
    <bk>
      <rc t="1" v="982"/>
    </bk>
    <bk>
      <rc t="1" v="983"/>
    </bk>
    <bk>
      <rc t="1" v="984"/>
    </bk>
    <bk>
      <rc t="1" v="985"/>
    </bk>
    <bk>
      <rc t="1" v="986"/>
    </bk>
    <bk>
      <rc t="1" v="987"/>
    </bk>
    <bk>
      <rc t="1" v="988"/>
    </bk>
    <bk>
      <rc t="1" v="989"/>
    </bk>
    <bk>
      <rc t="1" v="990"/>
    </bk>
    <bk>
      <rc t="1" v="991"/>
    </bk>
    <bk>
      <rc t="1" v="992"/>
    </bk>
    <bk>
      <rc t="1" v="993"/>
    </bk>
    <bk>
      <rc t="1" v="994"/>
    </bk>
    <bk>
      <rc t="1" v="995"/>
    </bk>
    <bk>
      <rc t="1" v="996"/>
    </bk>
    <bk>
      <rc t="1" v="997"/>
    </bk>
    <bk>
      <rc t="1" v="998"/>
    </bk>
    <bk>
      <rc t="1" v="999"/>
    </bk>
    <bk>
      <rc t="1" v="1000"/>
    </bk>
    <bk>
      <rc t="1" v="1001"/>
    </bk>
    <bk>
      <rc t="1" v="1002"/>
    </bk>
    <bk>
      <rc t="1" v="1003"/>
    </bk>
    <bk>
      <rc t="1" v="1004"/>
    </bk>
    <bk>
      <rc t="1" v="1005"/>
    </bk>
    <bk>
      <rc t="1" v="1006"/>
    </bk>
    <bk>
      <rc t="1" v="1007"/>
    </bk>
    <bk>
      <rc t="1" v="1008"/>
    </bk>
    <bk>
      <rc t="1" v="1009"/>
    </bk>
    <bk>
      <rc t="1" v="1010"/>
    </bk>
    <bk>
      <rc t="1" v="1011"/>
    </bk>
    <bk>
      <rc t="1" v="1012"/>
    </bk>
    <bk>
      <rc t="1" v="1013"/>
    </bk>
    <bk>
      <rc t="1" v="1014"/>
    </bk>
    <bk>
      <rc t="1" v="1015"/>
    </bk>
    <bk>
      <rc t="1" v="1016"/>
    </bk>
    <bk>
      <rc t="1" v="1017"/>
    </bk>
    <bk>
      <rc t="1" v="1018"/>
    </bk>
    <bk>
      <rc t="1" v="1019"/>
    </bk>
    <bk>
      <rc t="1" v="1020"/>
    </bk>
    <bk>
      <rc t="1" v="1021"/>
    </bk>
    <bk>
      <rc t="1" v="1022"/>
    </bk>
    <bk>
      <rc t="1" v="1023"/>
    </bk>
    <bk>
      <rc t="1" v="1024"/>
    </bk>
    <bk>
      <rc t="1" v="1025"/>
    </bk>
    <bk>
      <rc t="1" v="1026"/>
    </bk>
    <bk>
      <rc t="1" v="1027"/>
    </bk>
    <bk>
      <rc t="1" v="1028"/>
    </bk>
    <bk>
      <rc t="1" v="1029"/>
    </bk>
    <bk>
      <rc t="1" v="1030"/>
    </bk>
    <bk>
      <rc t="1" v="1031"/>
    </bk>
    <bk>
      <rc t="1" v="1032"/>
    </bk>
    <bk>
      <rc t="1" v="1033"/>
    </bk>
    <bk>
      <rc t="1" v="1034"/>
    </bk>
    <bk>
      <rc t="1" v="1035"/>
    </bk>
    <bk>
      <rc t="1" v="1036"/>
    </bk>
    <bk>
      <rc t="1" v="1037"/>
    </bk>
    <bk>
      <rc t="1" v="1038"/>
    </bk>
    <bk>
      <rc t="1" v="1039"/>
    </bk>
    <bk>
      <rc t="1" v="1040"/>
    </bk>
    <bk>
      <rc t="1" v="1041"/>
    </bk>
    <bk>
      <rc t="1" v="1042"/>
    </bk>
    <bk>
      <rc t="1" v="1043"/>
    </bk>
    <bk>
      <rc t="1" v="1044"/>
    </bk>
    <bk>
      <rc t="1" v="1045"/>
    </bk>
    <bk>
      <rc t="1" v="1046"/>
    </bk>
    <bk>
      <rc t="1" v="1047"/>
    </bk>
    <bk>
      <rc t="1" v="1048"/>
    </bk>
    <bk>
      <rc t="1" v="1049"/>
    </bk>
    <bk>
      <rc t="1" v="1050"/>
    </bk>
    <bk>
      <rc t="1" v="1051"/>
    </bk>
    <bk>
      <rc t="1" v="1052"/>
    </bk>
    <bk>
      <rc t="1" v="1053"/>
    </bk>
    <bk>
      <rc t="1" v="1054"/>
    </bk>
    <bk>
      <rc t="1" v="1055"/>
    </bk>
    <bk>
      <rc t="1" v="1056"/>
    </bk>
    <bk>
      <rc t="1" v="1057"/>
    </bk>
    <bk>
      <rc t="1" v="1058"/>
    </bk>
    <bk>
      <rc t="1" v="1059"/>
    </bk>
    <bk>
      <rc t="1" v="1060"/>
    </bk>
    <bk>
      <rc t="1" v="1061"/>
    </bk>
    <bk>
      <rc t="1" v="1062"/>
    </bk>
    <bk>
      <rc t="1" v="1063"/>
    </bk>
    <bk>
      <rc t="1" v="1064"/>
    </bk>
    <bk>
      <rc t="1" v="1065"/>
    </bk>
    <bk>
      <rc t="1" v="1066"/>
    </bk>
    <bk>
      <rc t="1" v="1067"/>
    </bk>
    <bk>
      <rc t="1" v="1068"/>
    </bk>
    <bk>
      <rc t="1" v="1069"/>
    </bk>
    <bk>
      <rc t="1" v="1070"/>
    </bk>
    <bk>
      <rc t="1" v="1071"/>
    </bk>
    <bk>
      <rc t="1" v="1072"/>
    </bk>
    <bk>
      <rc t="1" v="1073"/>
    </bk>
    <bk>
      <rc t="1" v="1074"/>
    </bk>
    <bk>
      <rc t="1" v="1075"/>
    </bk>
    <bk>
      <rc t="1" v="1076"/>
    </bk>
    <bk>
      <rc t="1" v="1077"/>
    </bk>
    <bk>
      <rc t="1" v="1078"/>
    </bk>
    <bk>
      <rc t="1" v="1079"/>
    </bk>
    <bk>
      <rc t="1" v="1080"/>
    </bk>
    <bk>
      <rc t="1" v="1081"/>
    </bk>
    <bk>
      <rc t="1" v="1082"/>
    </bk>
    <bk>
      <rc t="1" v="1083"/>
    </bk>
    <bk>
      <rc t="1" v="1084"/>
    </bk>
    <bk>
      <rc t="1" v="1085"/>
    </bk>
    <bk>
      <rc t="1" v="1086"/>
    </bk>
    <bk>
      <rc t="1" v="1087"/>
    </bk>
    <bk>
      <rc t="1" v="1088"/>
    </bk>
    <bk>
      <rc t="1" v="1089"/>
    </bk>
    <bk>
      <rc t="1" v="1090"/>
    </bk>
    <bk>
      <rc t="1" v="1091"/>
    </bk>
    <bk>
      <rc t="1" v="1092"/>
    </bk>
    <bk>
      <rc t="1" v="1093"/>
    </bk>
    <bk>
      <rc t="1" v="1094"/>
    </bk>
    <bk>
      <rc t="1" v="1095"/>
    </bk>
    <bk>
      <rc t="1" v="1096"/>
    </bk>
    <bk>
      <rc t="1" v="1097"/>
    </bk>
    <bk>
      <rc t="1" v="1098"/>
    </bk>
    <bk>
      <rc t="1" v="1099"/>
    </bk>
    <bk>
      <rc t="1" v="1100"/>
    </bk>
    <bk>
      <rc t="1" v="1101"/>
    </bk>
    <bk>
      <rc t="1" v="1102"/>
    </bk>
    <bk>
      <rc t="1" v="1103"/>
    </bk>
    <bk>
      <rc t="1" v="1104"/>
    </bk>
    <bk>
      <rc t="1" v="1105"/>
    </bk>
    <bk>
      <rc t="1" v="1106"/>
    </bk>
    <bk>
      <rc t="1" v="1107"/>
    </bk>
    <bk>
      <rc t="1" v="1108"/>
    </bk>
    <bk>
      <rc t="1" v="1109"/>
    </bk>
    <bk>
      <rc t="1" v="1110"/>
    </bk>
    <bk>
      <rc t="1" v="1111"/>
    </bk>
    <bk>
      <rc t="1" v="1112"/>
    </bk>
    <bk>
      <rc t="1" v="1113"/>
    </bk>
    <bk>
      <rc t="1" v="1114"/>
    </bk>
    <bk>
      <rc t="1" v="1115"/>
    </bk>
    <bk>
      <rc t="1" v="1116"/>
    </bk>
    <bk>
      <rc t="1" v="1117"/>
    </bk>
    <bk>
      <rc t="1" v="1118"/>
    </bk>
    <bk>
      <rc t="1" v="1119"/>
    </bk>
    <bk>
      <rc t="1" v="1120"/>
    </bk>
    <bk>
      <rc t="1" v="1121"/>
    </bk>
    <bk>
      <rc t="1" v="1122"/>
    </bk>
    <bk>
      <rc t="1" v="1123"/>
    </bk>
    <bk>
      <rc t="1" v="1124"/>
    </bk>
    <bk>
      <rc t="1" v="1125"/>
    </bk>
    <bk>
      <rc t="1" v="1126"/>
    </bk>
    <bk>
      <rc t="1" v="1127"/>
    </bk>
    <bk>
      <rc t="1" v="1128"/>
    </bk>
    <bk>
      <rc t="1" v="1129"/>
    </bk>
    <bk>
      <rc t="1" v="1130"/>
    </bk>
    <bk>
      <rc t="1" v="1131"/>
    </bk>
    <bk>
      <rc t="1" v="1132"/>
    </bk>
    <bk>
      <rc t="1" v="1133"/>
    </bk>
    <bk>
      <rc t="1" v="1134"/>
    </bk>
    <bk>
      <rc t="1" v="1135"/>
    </bk>
    <bk>
      <rc t="1" v="1136"/>
    </bk>
    <bk>
      <rc t="1" v="1137"/>
    </bk>
    <bk>
      <rc t="1" v="1138"/>
    </bk>
    <bk>
      <rc t="1" v="1139"/>
    </bk>
    <bk>
      <rc t="1" v="1140"/>
    </bk>
    <bk>
      <rc t="1" v="1141"/>
    </bk>
    <bk>
      <rc t="1" v="1142"/>
    </bk>
    <bk>
      <rc t="1" v="1143"/>
    </bk>
    <bk>
      <rc t="1" v="1144"/>
    </bk>
    <bk>
      <rc t="1" v="1145"/>
    </bk>
    <bk>
      <rc t="1" v="1146"/>
    </bk>
    <bk>
      <rc t="1" v="1147"/>
    </bk>
    <bk>
      <rc t="1" v="1148"/>
    </bk>
    <bk>
      <rc t="1" v="1149"/>
    </bk>
    <bk>
      <rc t="1" v="1150"/>
    </bk>
    <bk>
      <rc t="1" v="1151"/>
    </bk>
    <bk>
      <rc t="1" v="1152"/>
    </bk>
    <bk>
      <rc t="1" v="1153"/>
    </bk>
    <bk>
      <rc t="1" v="1154"/>
    </bk>
    <bk>
      <rc t="1" v="1155"/>
    </bk>
    <bk>
      <rc t="1" v="1156"/>
    </bk>
    <bk>
      <rc t="1" v="1157"/>
    </bk>
    <bk>
      <rc t="1" v="1158"/>
    </bk>
    <bk>
      <rc t="1" v="1159"/>
    </bk>
    <bk>
      <rc t="1" v="1160"/>
    </bk>
    <bk>
      <rc t="1" v="1161"/>
    </bk>
    <bk>
      <rc t="1" v="1162"/>
    </bk>
    <bk>
      <rc t="1" v="1163"/>
    </bk>
    <bk>
      <rc t="1" v="1164"/>
    </bk>
    <bk>
      <rc t="1" v="1165"/>
    </bk>
    <bk>
      <rc t="1" v="1166"/>
    </bk>
    <bk>
      <rc t="1" v="1167"/>
    </bk>
    <bk>
      <rc t="1" v="1168"/>
    </bk>
    <bk>
      <rc t="1" v="1169"/>
    </bk>
    <bk>
      <rc t="1" v="1170"/>
    </bk>
    <bk>
      <rc t="1" v="1171"/>
    </bk>
    <bk>
      <rc t="1" v="1172"/>
    </bk>
    <bk>
      <rc t="1" v="1173"/>
    </bk>
    <bk>
      <rc t="1" v="1174"/>
    </bk>
    <bk>
      <rc t="1" v="1175"/>
    </bk>
    <bk>
      <rc t="1" v="1176"/>
    </bk>
    <bk>
      <rc t="1" v="1177"/>
    </bk>
    <bk>
      <rc t="1" v="1178"/>
    </bk>
    <bk>
      <rc t="1" v="1179"/>
    </bk>
    <bk>
      <rc t="1" v="1180"/>
    </bk>
    <bk>
      <rc t="1" v="1181"/>
    </bk>
    <bk>
      <rc t="1" v="1182"/>
    </bk>
    <bk>
      <rc t="1" v="1183"/>
    </bk>
    <bk>
      <rc t="1" v="1184"/>
    </bk>
    <bk>
      <rc t="1" v="1185"/>
    </bk>
    <bk>
      <rc t="1" v="1186"/>
    </bk>
    <bk>
      <rc t="1" v="1187"/>
    </bk>
    <bk>
      <rc t="1" v="1188"/>
    </bk>
    <bk>
      <rc t="1" v="1189"/>
    </bk>
    <bk>
      <rc t="1" v="1190"/>
    </bk>
    <bk>
      <rc t="1" v="1191"/>
    </bk>
    <bk>
      <rc t="1" v="1192"/>
    </bk>
    <bk>
      <rc t="1" v="1193"/>
    </bk>
    <bk>
      <rc t="1" v="1194"/>
    </bk>
    <bk>
      <rc t="1" v="1195"/>
    </bk>
    <bk>
      <rc t="1" v="1196"/>
    </bk>
    <bk>
      <rc t="1" v="1197"/>
    </bk>
    <bk>
      <rc t="1" v="1198"/>
    </bk>
    <bk>
      <rc t="1" v="1199"/>
    </bk>
    <bk>
      <rc t="1" v="1200"/>
    </bk>
    <bk>
      <rc t="1" v="1201"/>
    </bk>
    <bk>
      <rc t="1" v="1202"/>
    </bk>
    <bk>
      <rc t="1" v="1203"/>
    </bk>
    <bk>
      <rc t="1" v="1204"/>
    </bk>
    <bk>
      <rc t="1" v="1205"/>
    </bk>
    <bk>
      <rc t="1" v="1206"/>
    </bk>
    <bk>
      <rc t="1" v="1207"/>
    </bk>
    <bk>
      <rc t="1" v="1208"/>
    </bk>
    <bk>
      <rc t="1" v="1209"/>
    </bk>
    <bk>
      <rc t="1" v="1210"/>
    </bk>
    <bk>
      <rc t="1" v="1211"/>
    </bk>
    <bk>
      <rc t="1" v="1212"/>
    </bk>
    <bk>
      <rc t="1" v="1213"/>
    </bk>
    <bk>
      <rc t="1" v="1214"/>
    </bk>
    <bk>
      <rc t="1" v="1215"/>
    </bk>
    <bk>
      <rc t="1" v="1216"/>
    </bk>
    <bk>
      <rc t="1" v="1217"/>
    </bk>
    <bk>
      <rc t="1" v="1218"/>
    </bk>
    <bk>
      <rc t="1" v="1219"/>
    </bk>
    <bk>
      <rc t="1" v="1220"/>
    </bk>
    <bk>
      <rc t="1" v="1221"/>
    </bk>
    <bk>
      <rc t="1" v="1222"/>
    </bk>
    <bk>
      <rc t="1" v="1223"/>
    </bk>
    <bk>
      <rc t="1" v="1224"/>
    </bk>
    <bk>
      <rc t="1" v="1225"/>
    </bk>
    <bk>
      <rc t="1" v="1226"/>
    </bk>
    <bk>
      <rc t="1" v="1227"/>
    </bk>
    <bk>
      <rc t="1" v="1228"/>
    </bk>
    <bk>
      <rc t="1" v="1229"/>
    </bk>
    <bk>
      <rc t="1" v="1230"/>
    </bk>
    <bk>
      <rc t="1" v="1231"/>
    </bk>
    <bk>
      <rc t="1" v="1232"/>
    </bk>
    <bk>
      <rc t="1" v="1233"/>
    </bk>
    <bk>
      <rc t="1" v="1234"/>
    </bk>
    <bk>
      <rc t="1" v="1235"/>
    </bk>
    <bk>
      <rc t="1" v="1236"/>
    </bk>
    <bk>
      <rc t="1" v="1237"/>
    </bk>
    <bk>
      <rc t="1" v="1238"/>
    </bk>
    <bk>
      <rc t="1" v="1239"/>
    </bk>
    <bk>
      <rc t="1" v="1240"/>
    </bk>
    <bk>
      <rc t="1" v="1241"/>
    </bk>
    <bk>
      <rc t="1" v="1242"/>
    </bk>
    <bk>
      <rc t="1" v="1243"/>
    </bk>
    <bk>
      <rc t="1" v="1244"/>
    </bk>
    <bk>
      <rc t="1" v="1245"/>
    </bk>
    <bk>
      <rc t="1" v="1246"/>
    </bk>
    <bk>
      <rc t="1" v="1247"/>
    </bk>
    <bk>
      <rc t="1" v="1248"/>
    </bk>
    <bk>
      <rc t="1" v="1249"/>
    </bk>
    <bk>
      <rc t="1" v="1250"/>
    </bk>
    <bk>
      <rc t="1" v="1251"/>
    </bk>
    <bk>
      <rc t="1" v="1252"/>
    </bk>
    <bk>
      <rc t="1" v="1253"/>
    </bk>
    <bk>
      <rc t="1" v="1254"/>
    </bk>
    <bk>
      <rc t="1" v="1255"/>
    </bk>
    <bk>
      <rc t="1" v="1256"/>
    </bk>
    <bk>
      <rc t="1" v="1257"/>
    </bk>
    <bk>
      <rc t="1" v="1258"/>
    </bk>
    <bk>
      <rc t="1" v="1259"/>
    </bk>
    <bk>
      <rc t="1" v="1260"/>
    </bk>
    <bk>
      <rc t="1" v="1261"/>
    </bk>
    <bk>
      <rc t="1" v="1262"/>
    </bk>
    <bk>
      <rc t="1" v="1263"/>
    </bk>
    <bk>
      <rc t="1" v="1264"/>
    </bk>
    <bk>
      <rc t="1" v="1265"/>
    </bk>
    <bk>
      <rc t="1" v="1266"/>
    </bk>
    <bk>
      <rc t="1" v="1267"/>
    </bk>
    <bk>
      <rc t="1" v="1268"/>
    </bk>
    <bk>
      <rc t="1" v="1269"/>
    </bk>
    <bk>
      <rc t="1" v="1270"/>
    </bk>
    <bk>
      <rc t="1" v="1271"/>
    </bk>
    <bk>
      <rc t="1" v="1272"/>
    </bk>
    <bk>
      <rc t="1" v="1273"/>
    </bk>
    <bk>
      <rc t="1" v="1274"/>
    </bk>
    <bk>
      <rc t="1" v="1275"/>
    </bk>
    <bk>
      <rc t="1" v="1276"/>
    </bk>
    <bk>
      <rc t="1" v="1277"/>
    </bk>
    <bk>
      <rc t="1" v="1278"/>
    </bk>
    <bk>
      <rc t="1" v="1279"/>
    </bk>
    <bk>
      <rc t="1" v="1280"/>
    </bk>
    <bk>
      <rc t="1" v="1281"/>
    </bk>
    <bk>
      <rc t="1" v="1282"/>
    </bk>
    <bk>
      <rc t="1" v="1283"/>
    </bk>
    <bk>
      <rc t="1" v="1284"/>
    </bk>
    <bk>
      <rc t="1" v="1285"/>
    </bk>
    <bk>
      <rc t="1" v="1286"/>
    </bk>
    <bk>
      <rc t="1" v="1287"/>
    </bk>
    <bk>
      <rc t="1" v="1288"/>
    </bk>
    <bk>
      <rc t="1" v="1289"/>
    </bk>
    <bk>
      <rc t="1" v="1290"/>
    </bk>
    <bk>
      <rc t="1" v="1291"/>
    </bk>
    <bk>
      <rc t="1" v="1292"/>
    </bk>
    <bk>
      <rc t="1" v="1293"/>
    </bk>
    <bk>
      <rc t="1" v="1294"/>
    </bk>
    <bk>
      <rc t="1" v="1295"/>
    </bk>
    <bk>
      <rc t="1" v="1296"/>
    </bk>
    <bk>
      <rc t="1" v="1297"/>
    </bk>
    <bk>
      <rc t="1" v="1298"/>
    </bk>
    <bk>
      <rc t="1" v="1299"/>
    </bk>
    <bk>
      <rc t="1" v="1300"/>
    </bk>
    <bk>
      <rc t="1" v="1301"/>
    </bk>
    <bk>
      <rc t="1" v="1302"/>
    </bk>
    <bk>
      <rc t="1" v="1303"/>
    </bk>
    <bk>
      <rc t="1" v="1304"/>
    </bk>
    <bk>
      <rc t="1" v="1305"/>
    </bk>
    <bk>
      <rc t="1" v="1306"/>
    </bk>
    <bk>
      <rc t="1" v="1307"/>
    </bk>
    <bk>
      <rc t="1" v="1308"/>
    </bk>
    <bk>
      <rc t="1" v="1309"/>
    </bk>
    <bk>
      <rc t="1" v="1310"/>
    </bk>
    <bk>
      <rc t="1" v="1311"/>
    </bk>
    <bk>
      <rc t="1" v="1312"/>
    </bk>
    <bk>
      <rc t="1" v="1313"/>
    </bk>
    <bk>
      <rc t="1" v="1314"/>
    </bk>
    <bk>
      <rc t="1" v="1315"/>
    </bk>
    <bk>
      <rc t="1" v="1316"/>
    </bk>
    <bk>
      <rc t="1" v="1317"/>
    </bk>
    <bk>
      <rc t="1" v="1318"/>
    </bk>
    <bk>
      <rc t="1" v="1319"/>
    </bk>
    <bk>
      <rc t="1" v="1320"/>
    </bk>
    <bk>
      <rc t="1" v="1321"/>
    </bk>
    <bk>
      <rc t="1" v="1322"/>
    </bk>
    <bk>
      <rc t="1" v="1323"/>
    </bk>
    <bk>
      <rc t="1" v="1324"/>
    </bk>
    <bk>
      <rc t="1" v="1325"/>
    </bk>
    <bk>
      <rc t="1" v="1326"/>
    </bk>
    <bk>
      <rc t="1" v="1327"/>
    </bk>
    <bk>
      <rc t="1" v="1328"/>
    </bk>
    <bk>
      <rc t="1" v="1329"/>
    </bk>
    <bk>
      <rc t="1" v="1330"/>
    </bk>
    <bk>
      <rc t="1" v="1331"/>
    </bk>
    <bk>
      <rc t="1" v="1332"/>
    </bk>
    <bk>
      <rc t="1" v="1333"/>
    </bk>
    <bk>
      <rc t="1" v="1334"/>
    </bk>
    <bk>
      <rc t="1" v="1335"/>
    </bk>
    <bk>
      <rc t="1" v="1336"/>
    </bk>
    <bk>
      <rc t="1" v="1337"/>
    </bk>
    <bk>
      <rc t="1" v="1338"/>
    </bk>
    <bk>
      <rc t="1" v="1339"/>
    </bk>
    <bk>
      <rc t="1" v="1340"/>
    </bk>
    <bk>
      <rc t="1" v="1341"/>
    </bk>
    <bk>
      <rc t="1" v="1342"/>
    </bk>
    <bk>
      <rc t="1" v="1343"/>
    </bk>
    <bk>
      <rc t="1" v="1344"/>
    </bk>
    <bk>
      <rc t="1" v="1345"/>
    </bk>
    <bk>
      <rc t="1" v="1346"/>
    </bk>
    <bk>
      <rc t="1" v="1347"/>
    </bk>
    <bk>
      <rc t="1" v="1348"/>
    </bk>
    <bk>
      <rc t="1" v="1349"/>
    </bk>
    <bk>
      <rc t="1" v="1350"/>
    </bk>
    <bk>
      <rc t="1" v="1351"/>
    </bk>
    <bk>
      <rc t="1" v="1352"/>
    </bk>
    <bk>
      <rc t="1" v="1353"/>
    </bk>
    <bk>
      <rc t="1" v="1354"/>
    </bk>
    <bk>
      <rc t="1" v="1355"/>
    </bk>
    <bk>
      <rc t="1" v="1356"/>
    </bk>
    <bk>
      <rc t="1" v="1357"/>
    </bk>
    <bk>
      <rc t="1" v="1358"/>
    </bk>
    <bk>
      <rc t="1" v="1359"/>
    </bk>
    <bk>
      <rc t="1" v="1360"/>
    </bk>
    <bk>
      <rc t="1" v="1361"/>
    </bk>
    <bk>
      <rc t="1" v="1362"/>
    </bk>
    <bk>
      <rc t="1" v="1363"/>
    </bk>
    <bk>
      <rc t="1" v="1364"/>
    </bk>
    <bk>
      <rc t="1" v="1365"/>
    </bk>
    <bk>
      <rc t="1" v="1366"/>
    </bk>
    <bk>
      <rc t="1" v="1367"/>
    </bk>
    <bk>
      <rc t="1" v="1368"/>
    </bk>
    <bk>
      <rc t="1" v="1369"/>
    </bk>
    <bk>
      <rc t="1" v="1370"/>
    </bk>
    <bk>
      <rc t="1" v="1371"/>
    </bk>
    <bk>
      <rc t="1" v="1372"/>
    </bk>
    <bk>
      <rc t="1" v="1373"/>
    </bk>
    <bk>
      <rc t="1" v="1374"/>
    </bk>
    <bk>
      <rc t="1" v="1375"/>
    </bk>
    <bk>
      <rc t="1" v="1376"/>
    </bk>
    <bk>
      <rc t="1" v="1377"/>
    </bk>
    <bk>
      <rc t="1" v="1378"/>
    </bk>
    <bk>
      <rc t="1" v="1379"/>
    </bk>
    <bk>
      <rc t="1" v="1380"/>
    </bk>
    <bk>
      <rc t="1" v="1381"/>
    </bk>
    <bk>
      <rc t="1" v="1382"/>
    </bk>
    <bk>
      <rc t="1" v="1383"/>
    </bk>
    <bk>
      <rc t="1" v="1384"/>
    </bk>
    <bk>
      <rc t="1" v="1385"/>
    </bk>
    <bk>
      <rc t="1" v="1386"/>
    </bk>
    <bk>
      <rc t="1" v="1387"/>
    </bk>
    <bk>
      <rc t="1" v="1388"/>
    </bk>
    <bk>
      <rc t="1" v="1389"/>
    </bk>
    <bk>
      <rc t="1" v="1390"/>
    </bk>
    <bk>
      <rc t="1" v="1391"/>
    </bk>
    <bk>
      <rc t="1" v="1392"/>
    </bk>
    <bk>
      <rc t="1" v="1393"/>
    </bk>
    <bk>
      <rc t="1" v="1394"/>
    </bk>
    <bk>
      <rc t="1" v="1395"/>
    </bk>
    <bk>
      <rc t="1" v="1396"/>
    </bk>
    <bk>
      <rc t="1" v="1397"/>
    </bk>
    <bk>
      <rc t="1" v="1398"/>
    </bk>
    <bk>
      <rc t="1" v="1399"/>
    </bk>
    <bk>
      <rc t="1" v="1400"/>
    </bk>
    <bk>
      <rc t="1" v="1401"/>
    </bk>
    <bk>
      <rc t="1" v="1402"/>
    </bk>
    <bk>
      <rc t="1" v="1403"/>
    </bk>
    <bk>
      <rc t="1" v="1404"/>
    </bk>
    <bk>
      <rc t="1" v="1405"/>
    </bk>
    <bk>
      <rc t="1" v="1406"/>
    </bk>
    <bk>
      <rc t="1" v="1407"/>
    </bk>
    <bk>
      <rc t="1" v="1408"/>
    </bk>
    <bk>
      <rc t="1" v="1409"/>
    </bk>
    <bk>
      <rc t="1" v="1410"/>
    </bk>
    <bk>
      <rc t="1" v="1411"/>
    </bk>
    <bk>
      <rc t="1" v="1412"/>
    </bk>
    <bk>
      <rc t="1" v="1413"/>
    </bk>
    <bk>
      <rc t="1" v="1414"/>
    </bk>
    <bk>
      <rc t="1" v="1415"/>
    </bk>
    <bk>
      <rc t="1" v="1416"/>
    </bk>
    <bk>
      <rc t="1" v="1417"/>
    </bk>
    <bk>
      <rc t="1" v="1418"/>
    </bk>
    <bk>
      <rc t="1" v="1419"/>
    </bk>
    <bk>
      <rc t="1" v="1420"/>
    </bk>
    <bk>
      <rc t="1" v="1421"/>
    </bk>
    <bk>
      <rc t="1" v="1422"/>
    </bk>
    <bk>
      <rc t="1" v="1423"/>
    </bk>
    <bk>
      <rc t="1" v="1424"/>
    </bk>
    <bk>
      <rc t="1" v="1425"/>
    </bk>
    <bk>
      <rc t="1" v="1426"/>
    </bk>
    <bk>
      <rc t="1" v="1427"/>
    </bk>
    <bk>
      <rc t="1" v="1428"/>
    </bk>
    <bk>
      <rc t="1" v="1429"/>
    </bk>
    <bk>
      <rc t="1" v="1430"/>
    </bk>
    <bk>
      <rc t="1" v="1431"/>
    </bk>
    <bk>
      <rc t="1" v="1432"/>
    </bk>
    <bk>
      <rc t="1" v="1433"/>
    </bk>
    <bk>
      <rc t="1" v="1434"/>
    </bk>
    <bk>
      <rc t="1" v="1435"/>
    </bk>
    <bk>
      <rc t="1" v="1436"/>
    </bk>
    <bk>
      <rc t="1" v="1437"/>
    </bk>
    <bk>
      <rc t="1" v="1438"/>
    </bk>
    <bk>
      <rc t="1" v="1439"/>
    </bk>
    <bk>
      <rc t="1" v="1440"/>
    </bk>
    <bk>
      <rc t="1" v="1441"/>
    </bk>
    <bk>
      <rc t="1" v="1442"/>
    </bk>
    <bk>
      <rc t="1" v="1443"/>
    </bk>
    <bk>
      <rc t="1" v="1444"/>
    </bk>
    <bk>
      <rc t="1" v="1445"/>
    </bk>
    <bk>
      <rc t="1" v="1446"/>
    </bk>
    <bk>
      <rc t="1" v="1447"/>
    </bk>
    <bk>
      <rc t="1" v="1448"/>
    </bk>
    <bk>
      <rc t="1" v="1449"/>
    </bk>
    <bk>
      <rc t="1" v="1450"/>
    </bk>
    <bk>
      <rc t="1" v="1451"/>
    </bk>
    <bk>
      <rc t="1" v="1452"/>
    </bk>
    <bk>
      <rc t="1" v="1453"/>
    </bk>
    <bk>
      <rc t="1" v="1454"/>
    </bk>
    <bk>
      <rc t="1" v="1455"/>
    </bk>
    <bk>
      <rc t="1" v="1456"/>
    </bk>
    <bk>
      <rc t="1" v="1457"/>
    </bk>
    <bk>
      <rc t="1" v="1458"/>
    </bk>
    <bk>
      <rc t="1" v="1459"/>
    </bk>
    <bk>
      <rc t="1" v="1460"/>
    </bk>
    <bk>
      <rc t="1" v="1461"/>
    </bk>
    <bk>
      <rc t="1" v="1462"/>
    </bk>
    <bk>
      <rc t="1" v="1463"/>
    </bk>
    <bk>
      <rc t="1" v="1464"/>
    </bk>
    <bk>
      <rc t="1" v="1465"/>
    </bk>
    <bk>
      <rc t="1" v="1466"/>
    </bk>
    <bk>
      <rc t="1" v="1467"/>
    </bk>
    <bk>
      <rc t="1" v="1468"/>
    </bk>
    <bk>
      <rc t="1" v="1469"/>
    </bk>
    <bk>
      <rc t="1" v="1470"/>
    </bk>
    <bk>
      <rc t="1" v="1471"/>
    </bk>
    <bk>
      <rc t="1" v="1472"/>
    </bk>
    <bk>
      <rc t="1" v="1473"/>
    </bk>
    <bk>
      <rc t="1" v="1474"/>
    </bk>
    <bk>
      <rc t="1" v="1475"/>
    </bk>
    <bk>
      <rc t="1" v="1476"/>
    </bk>
    <bk>
      <rc t="1" v="1477"/>
    </bk>
    <bk>
      <rc t="1" v="1478"/>
    </bk>
    <bk>
      <rc t="1" v="1479"/>
    </bk>
    <bk>
      <rc t="1" v="1480"/>
    </bk>
    <bk>
      <rc t="1" v="1481"/>
    </bk>
    <bk>
      <rc t="1" v="1482"/>
    </bk>
    <bk>
      <rc t="1" v="1483"/>
    </bk>
    <bk>
      <rc t="1" v="1484"/>
    </bk>
    <bk>
      <rc t="1" v="1485"/>
    </bk>
    <bk>
      <rc t="1" v="1486"/>
    </bk>
    <bk>
      <rc t="1" v="1487"/>
    </bk>
    <bk>
      <rc t="1" v="1488"/>
    </bk>
    <bk>
      <rc t="1" v="1489"/>
    </bk>
    <bk>
      <rc t="1" v="1490"/>
    </bk>
    <bk>
      <rc t="1" v="1491"/>
    </bk>
    <bk>
      <rc t="1" v="1492"/>
    </bk>
    <bk>
      <rc t="1" v="1493"/>
    </bk>
    <bk>
      <rc t="1" v="1494"/>
    </bk>
    <bk>
      <rc t="1" v="1495"/>
    </bk>
    <bk>
      <rc t="1" v="1496"/>
    </bk>
    <bk>
      <rc t="1" v="1497"/>
    </bk>
    <bk>
      <rc t="1" v="1498"/>
    </bk>
    <bk>
      <rc t="1" v="1499"/>
    </bk>
    <bk>
      <rc t="1" v="1500"/>
    </bk>
    <bk>
      <rc t="1" v="1501"/>
    </bk>
    <bk>
      <rc t="1" v="1502"/>
    </bk>
    <bk>
      <rc t="1" v="1503"/>
    </bk>
    <bk>
      <rc t="1" v="1504"/>
    </bk>
    <bk>
      <rc t="1" v="1505"/>
    </bk>
    <bk>
      <rc t="1" v="1506"/>
    </bk>
    <bk>
      <rc t="1" v="1507"/>
    </bk>
    <bk>
      <rc t="1" v="1508"/>
    </bk>
    <bk>
      <rc t="1" v="1509"/>
    </bk>
    <bk>
      <rc t="1" v="1510"/>
    </bk>
    <bk>
      <rc t="1" v="1511"/>
    </bk>
    <bk>
      <rc t="1" v="1512"/>
    </bk>
    <bk>
      <rc t="1" v="1513"/>
    </bk>
    <bk>
      <rc t="1" v="1514"/>
    </bk>
    <bk>
      <rc t="1" v="1515"/>
    </bk>
    <bk>
      <rc t="1" v="1516"/>
    </bk>
    <bk>
      <rc t="1" v="1517"/>
    </bk>
    <bk>
      <rc t="1" v="1518"/>
    </bk>
    <bk>
      <rc t="1" v="1519"/>
    </bk>
    <bk>
      <rc t="1" v="1520"/>
    </bk>
    <bk>
      <rc t="1" v="1521"/>
    </bk>
    <bk>
      <rc t="1" v="1522"/>
    </bk>
    <bk>
      <rc t="1" v="1523"/>
    </bk>
    <bk>
      <rc t="1" v="1524"/>
    </bk>
    <bk>
      <rc t="1" v="1525"/>
    </bk>
    <bk>
      <rc t="1" v="1526"/>
    </bk>
    <bk>
      <rc t="1" v="1527"/>
    </bk>
    <bk>
      <rc t="1" v="1528"/>
    </bk>
    <bk>
      <rc t="1" v="1529"/>
    </bk>
    <bk>
      <rc t="1" v="1530"/>
    </bk>
    <bk>
      <rc t="1" v="1531"/>
    </bk>
    <bk>
      <rc t="1" v="1532"/>
    </bk>
    <bk>
      <rc t="1" v="1533"/>
    </bk>
    <bk>
      <rc t="1" v="1534"/>
    </bk>
    <bk>
      <rc t="1" v="1535"/>
    </bk>
    <bk>
      <rc t="1" v="1536"/>
    </bk>
    <bk>
      <rc t="1" v="1537"/>
    </bk>
    <bk>
      <rc t="1" v="1538"/>
    </bk>
    <bk>
      <rc t="1" v="1539"/>
    </bk>
    <bk>
      <rc t="1" v="1540"/>
    </bk>
    <bk>
      <rc t="1" v="1541"/>
    </bk>
    <bk>
      <rc t="1" v="1542"/>
    </bk>
    <bk>
      <rc t="1" v="1543"/>
    </bk>
    <bk>
      <rc t="1" v="1544"/>
    </bk>
    <bk>
      <rc t="1" v="1545"/>
    </bk>
    <bk>
      <rc t="1" v="1546"/>
    </bk>
    <bk>
      <rc t="1" v="1547"/>
    </bk>
    <bk>
      <rc t="1" v="1548"/>
    </bk>
    <bk>
      <rc t="1" v="1549"/>
    </bk>
    <bk>
      <rc t="1" v="1550"/>
    </bk>
    <bk>
      <rc t="1" v="1551"/>
    </bk>
    <bk>
      <rc t="1" v="1552"/>
    </bk>
    <bk>
      <rc t="1" v="1553"/>
    </bk>
    <bk>
      <rc t="1" v="1554"/>
    </bk>
    <bk>
      <rc t="1" v="1555"/>
    </bk>
    <bk>
      <rc t="1" v="1556"/>
    </bk>
    <bk>
      <rc t="1" v="1557"/>
    </bk>
    <bk>
      <rc t="1" v="1558"/>
    </bk>
    <bk>
      <rc t="1" v="1559"/>
    </bk>
    <bk>
      <rc t="1" v="1560"/>
    </bk>
    <bk>
      <rc t="1" v="1561"/>
    </bk>
    <bk>
      <rc t="1" v="1562"/>
    </bk>
    <bk>
      <rc t="1" v="1563"/>
    </bk>
    <bk>
      <rc t="1" v="1564"/>
    </bk>
    <bk>
      <rc t="1" v="1565"/>
    </bk>
    <bk>
      <rc t="1" v="1566"/>
    </bk>
    <bk>
      <rc t="1" v="1567"/>
    </bk>
    <bk>
      <rc t="1" v="1568"/>
    </bk>
    <bk>
      <rc t="1" v="1569"/>
    </bk>
    <bk>
      <rc t="1" v="1570"/>
    </bk>
    <bk>
      <rc t="1" v="1571"/>
    </bk>
    <bk>
      <rc t="1" v="1572"/>
    </bk>
    <bk>
      <rc t="1" v="1573"/>
    </bk>
    <bk>
      <rc t="1" v="1574"/>
    </bk>
    <bk>
      <rc t="1" v="1575"/>
    </bk>
    <bk>
      <rc t="1" v="1576"/>
    </bk>
    <bk>
      <rc t="1" v="1577"/>
    </bk>
    <bk>
      <rc t="1" v="1578"/>
    </bk>
    <bk>
      <rc t="1" v="1579"/>
    </bk>
    <bk>
      <rc t="1" v="1580"/>
    </bk>
    <bk>
      <rc t="1" v="1581"/>
    </bk>
    <bk>
      <rc t="1" v="1582"/>
    </bk>
    <bk>
      <rc t="1" v="1583"/>
    </bk>
    <bk>
      <rc t="1" v="1584"/>
    </bk>
    <bk>
      <rc t="1" v="1585"/>
    </bk>
    <bk>
      <rc t="1" v="1586"/>
    </bk>
    <bk>
      <rc t="1" v="1587"/>
    </bk>
    <bk>
      <rc t="1" v="1588"/>
    </bk>
    <bk>
      <rc t="1" v="1589"/>
    </bk>
    <bk>
      <rc t="1" v="1590"/>
    </bk>
    <bk>
      <rc t="1" v="1591"/>
    </bk>
    <bk>
      <rc t="1" v="1592"/>
    </bk>
    <bk>
      <rc t="1" v="1593"/>
    </bk>
    <bk>
      <rc t="1" v="1594"/>
    </bk>
    <bk>
      <rc t="1" v="1595"/>
    </bk>
    <bk>
      <rc t="1" v="1596"/>
    </bk>
    <bk>
      <rc t="1" v="1597"/>
    </bk>
    <bk>
      <rc t="1" v="1598"/>
    </bk>
    <bk>
      <rc t="1" v="1599"/>
    </bk>
    <bk>
      <rc t="1" v="1600"/>
    </bk>
    <bk>
      <rc t="1" v="1601"/>
    </bk>
    <bk>
      <rc t="1" v="1602"/>
    </bk>
    <bk>
      <rc t="1" v="1603"/>
    </bk>
    <bk>
      <rc t="1" v="1604"/>
    </bk>
    <bk>
      <rc t="1" v="1605"/>
    </bk>
    <bk>
      <rc t="1" v="1606"/>
    </bk>
    <bk>
      <rc t="1" v="1607"/>
    </bk>
    <bk>
      <rc t="1" v="1608"/>
    </bk>
    <bk>
      <rc t="1" v="1609"/>
    </bk>
    <bk>
      <rc t="1" v="1610"/>
    </bk>
    <bk>
      <rc t="1" v="1611"/>
    </bk>
    <bk>
      <rc t="1" v="1612"/>
    </bk>
    <bk>
      <rc t="1" v="1613"/>
    </bk>
    <bk>
      <rc t="1" v="1614"/>
    </bk>
    <bk>
      <rc t="1" v="1615"/>
    </bk>
    <bk>
      <rc t="1" v="1616"/>
    </bk>
    <bk>
      <rc t="1" v="1617"/>
    </bk>
    <bk>
      <rc t="1" v="1618"/>
    </bk>
    <bk>
      <rc t="1" v="1619"/>
    </bk>
    <bk>
      <rc t="1" v="1620"/>
    </bk>
    <bk>
      <rc t="1" v="1621"/>
    </bk>
    <bk>
      <rc t="1" v="1622"/>
    </bk>
    <bk>
      <rc t="1" v="1623"/>
    </bk>
    <bk>
      <rc t="1" v="1624"/>
    </bk>
    <bk>
      <rc t="1" v="1625"/>
    </bk>
    <bk>
      <rc t="1" v="1626"/>
    </bk>
    <bk>
      <rc t="1" v="1627"/>
    </bk>
    <bk>
      <rc t="1" v="1628"/>
    </bk>
    <bk>
      <rc t="1" v="1629"/>
    </bk>
    <bk>
      <rc t="1" v="1630"/>
    </bk>
    <bk>
      <rc t="1" v="1631"/>
    </bk>
    <bk>
      <rc t="1" v="1632"/>
    </bk>
    <bk>
      <rc t="1" v="1633"/>
    </bk>
    <bk>
      <rc t="1" v="1634"/>
    </bk>
    <bk>
      <rc t="1" v="1635"/>
    </bk>
    <bk>
      <rc t="1" v="1636"/>
    </bk>
    <bk>
      <rc t="1" v="1637"/>
    </bk>
    <bk>
      <rc t="1" v="1638"/>
    </bk>
    <bk>
      <rc t="1" v="1639"/>
    </bk>
    <bk>
      <rc t="1" v="1640"/>
    </bk>
    <bk>
      <rc t="1" v="1641"/>
    </bk>
    <bk>
      <rc t="1" v="1642"/>
    </bk>
    <bk>
      <rc t="1" v="1643"/>
    </bk>
    <bk>
      <rc t="1" v="1644"/>
    </bk>
    <bk>
      <rc t="1" v="1645"/>
    </bk>
    <bk>
      <rc t="1" v="1646"/>
    </bk>
    <bk>
      <rc t="1" v="1647"/>
    </bk>
    <bk>
      <rc t="1" v="1648"/>
    </bk>
    <bk>
      <rc t="1" v="1649"/>
    </bk>
    <bk>
      <rc t="1" v="1650"/>
    </bk>
    <bk>
      <rc t="1" v="1651"/>
    </bk>
    <bk>
      <rc t="1" v="1652"/>
    </bk>
    <bk>
      <rc t="1" v="1653"/>
    </bk>
    <bk>
      <rc t="1" v="1654"/>
    </bk>
    <bk>
      <rc t="1" v="1655"/>
    </bk>
    <bk>
      <rc t="1" v="1656"/>
    </bk>
    <bk>
      <rc t="1" v="1657"/>
    </bk>
    <bk>
      <rc t="1" v="1658"/>
    </bk>
    <bk>
      <rc t="1" v="1659"/>
    </bk>
    <bk>
      <rc t="1" v="1660"/>
    </bk>
    <bk>
      <rc t="1" v="1661"/>
    </bk>
    <bk>
      <rc t="1" v="1662"/>
    </bk>
    <bk>
      <rc t="1" v="1663"/>
    </bk>
    <bk>
      <rc t="1" v="1664"/>
    </bk>
    <bk>
      <rc t="1" v="1665"/>
    </bk>
    <bk>
      <rc t="1" v="1666"/>
    </bk>
    <bk>
      <rc t="1" v="1667"/>
    </bk>
    <bk>
      <rc t="1" v="1668"/>
    </bk>
    <bk>
      <rc t="1" v="1669"/>
    </bk>
    <bk>
      <rc t="1" v="1670"/>
    </bk>
    <bk>
      <rc t="1" v="1671"/>
    </bk>
    <bk>
      <rc t="1" v="1672"/>
    </bk>
    <bk>
      <rc t="1" v="1673"/>
    </bk>
    <bk>
      <rc t="1" v="1674"/>
    </bk>
    <bk>
      <rc t="1" v="1675"/>
    </bk>
    <bk>
      <rc t="1" v="1676"/>
    </bk>
    <bk>
      <rc t="1" v="1677"/>
    </bk>
    <bk>
      <rc t="1" v="1678"/>
    </bk>
    <bk>
      <rc t="1" v="1679"/>
    </bk>
    <bk>
      <rc t="1" v="1680"/>
    </bk>
    <bk>
      <rc t="1" v="1681"/>
    </bk>
    <bk>
      <rc t="1" v="1682"/>
    </bk>
    <bk>
      <rc t="1" v="1683"/>
    </bk>
    <bk>
      <rc t="1" v="1684"/>
    </bk>
    <bk>
      <rc t="1" v="1685"/>
    </bk>
    <bk>
      <rc t="1" v="1686"/>
    </bk>
    <bk>
      <rc t="1" v="1687"/>
    </bk>
    <bk>
      <rc t="1" v="1688"/>
    </bk>
    <bk>
      <rc t="1" v="1689"/>
    </bk>
    <bk>
      <rc t="1" v="1690"/>
    </bk>
    <bk>
      <rc t="1" v="1691"/>
    </bk>
    <bk>
      <rc t="1" v="1692"/>
    </bk>
    <bk>
      <rc t="1" v="1693"/>
    </bk>
    <bk>
      <rc t="1" v="1694"/>
    </bk>
    <bk>
      <rc t="1" v="1695"/>
    </bk>
    <bk>
      <rc t="1" v="1696"/>
    </bk>
    <bk>
      <rc t="1" v="1697"/>
    </bk>
    <bk>
      <rc t="1" v="1698"/>
    </bk>
    <bk>
      <rc t="1" v="1699"/>
    </bk>
    <bk>
      <rc t="1" v="1700"/>
    </bk>
    <bk>
      <rc t="1" v="1701"/>
    </bk>
    <bk>
      <rc t="1" v="1702"/>
    </bk>
    <bk>
      <rc t="1" v="1703"/>
    </bk>
    <bk>
      <rc t="1" v="1704"/>
    </bk>
    <bk>
      <rc t="1" v="1705"/>
    </bk>
    <bk>
      <rc t="1" v="1706"/>
    </bk>
    <bk>
      <rc t="1" v="1707"/>
    </bk>
    <bk>
      <rc t="1" v="1708"/>
    </bk>
    <bk>
      <rc t="1" v="1709"/>
    </bk>
    <bk>
      <rc t="1" v="1710"/>
    </bk>
    <bk>
      <rc t="1" v="1711"/>
    </bk>
    <bk>
      <rc t="1" v="1712"/>
    </bk>
    <bk>
      <rc t="1" v="1713"/>
    </bk>
    <bk>
      <rc t="1" v="1714"/>
    </bk>
    <bk>
      <rc t="1" v="1715"/>
    </bk>
    <bk>
      <rc t="1" v="1716"/>
    </bk>
    <bk>
      <rc t="1" v="1717"/>
    </bk>
    <bk>
      <rc t="1" v="1718"/>
    </bk>
    <bk>
      <rc t="1" v="1719"/>
    </bk>
    <bk>
      <rc t="1" v="1720"/>
    </bk>
    <bk>
      <rc t="1" v="1721"/>
    </bk>
    <bk>
      <rc t="1" v="1722"/>
    </bk>
    <bk>
      <rc t="1" v="1723"/>
    </bk>
    <bk>
      <rc t="1" v="1724"/>
    </bk>
    <bk>
      <rc t="1" v="1725"/>
    </bk>
    <bk>
      <rc t="1" v="1726"/>
    </bk>
    <bk>
      <rc t="1" v="1727"/>
    </bk>
    <bk>
      <rc t="1" v="1728"/>
    </bk>
    <bk>
      <rc t="1" v="1729"/>
    </bk>
    <bk>
      <rc t="1" v="1730"/>
    </bk>
    <bk>
      <rc t="1" v="1731"/>
    </bk>
    <bk>
      <rc t="1" v="1732"/>
    </bk>
    <bk>
      <rc t="1" v="1733"/>
    </bk>
    <bk>
      <rc t="1" v="1734"/>
    </bk>
    <bk>
      <rc t="1" v="1735"/>
    </bk>
    <bk>
      <rc t="1" v="1736"/>
    </bk>
    <bk>
      <rc t="1" v="1737"/>
    </bk>
    <bk>
      <rc t="1" v="1738"/>
    </bk>
    <bk>
      <rc t="1" v="1739"/>
    </bk>
    <bk>
      <rc t="1" v="1740"/>
    </bk>
    <bk>
      <rc t="1" v="1741"/>
    </bk>
    <bk>
      <rc t="1" v="1742"/>
    </bk>
    <bk>
      <rc t="1" v="1743"/>
    </bk>
    <bk>
      <rc t="1" v="1744"/>
    </bk>
    <bk>
      <rc t="1" v="1745"/>
    </bk>
    <bk>
      <rc t="1" v="1746"/>
    </bk>
    <bk>
      <rc t="1" v="1747"/>
    </bk>
    <bk>
      <rc t="1" v="1748"/>
    </bk>
    <bk>
      <rc t="1" v="1749"/>
    </bk>
    <bk>
      <rc t="1" v="1750"/>
    </bk>
    <bk>
      <rc t="1" v="1751"/>
    </bk>
    <bk>
      <rc t="1" v="1752"/>
    </bk>
    <bk>
      <rc t="1" v="1753"/>
    </bk>
    <bk>
      <rc t="1" v="1754"/>
    </bk>
    <bk>
      <rc t="1" v="1755"/>
    </bk>
    <bk>
      <rc t="1" v="1756"/>
    </bk>
    <bk>
      <rc t="1" v="1757"/>
    </bk>
    <bk>
      <rc t="1" v="1758"/>
    </bk>
    <bk>
      <rc t="1" v="1759"/>
    </bk>
    <bk>
      <rc t="1" v="1760"/>
    </bk>
    <bk>
      <rc t="1" v="1761"/>
    </bk>
    <bk>
      <rc t="1" v="1762"/>
    </bk>
    <bk>
      <rc t="1" v="1763"/>
    </bk>
    <bk>
      <rc t="1" v="1764"/>
    </bk>
    <bk>
      <rc t="1" v="1765"/>
    </bk>
    <bk>
      <rc t="1" v="1766"/>
    </bk>
    <bk>
      <rc t="1" v="1767"/>
    </bk>
    <bk>
      <rc t="1" v="1768"/>
    </bk>
    <bk>
      <rc t="1" v="1769"/>
    </bk>
    <bk>
      <rc t="1" v="1770"/>
    </bk>
    <bk>
      <rc t="1" v="1771"/>
    </bk>
    <bk>
      <rc t="1" v="1772"/>
    </bk>
    <bk>
      <rc t="1" v="1773"/>
    </bk>
    <bk>
      <rc t="1" v="1774"/>
    </bk>
    <bk>
      <rc t="1" v="1775"/>
    </bk>
    <bk>
      <rc t="1" v="1776"/>
    </bk>
    <bk>
      <rc t="1" v="1777"/>
    </bk>
    <bk>
      <rc t="1" v="1778"/>
    </bk>
    <bk>
      <rc t="1" v="1779"/>
    </bk>
    <bk>
      <rc t="1" v="1780"/>
    </bk>
    <bk>
      <rc t="1" v="1781"/>
    </bk>
    <bk>
      <rc t="1" v="1782"/>
    </bk>
    <bk>
      <rc t="1" v="1783"/>
    </bk>
    <bk>
      <rc t="1" v="1784"/>
    </bk>
    <bk>
      <rc t="1" v="1785"/>
    </bk>
    <bk>
      <rc t="1" v="1786"/>
    </bk>
    <bk>
      <rc t="1" v="1787"/>
    </bk>
    <bk>
      <rc t="1" v="1788"/>
    </bk>
    <bk>
      <rc t="1" v="1789"/>
    </bk>
    <bk>
      <rc t="1" v="1790"/>
    </bk>
    <bk>
      <rc t="1" v="1791"/>
    </bk>
    <bk>
      <rc t="1" v="1792"/>
    </bk>
    <bk>
      <rc t="1" v="1793"/>
    </bk>
    <bk>
      <rc t="1" v="1794"/>
    </bk>
    <bk>
      <rc t="1" v="1795"/>
    </bk>
    <bk>
      <rc t="1" v="1796"/>
    </bk>
    <bk>
      <rc t="1" v="1797"/>
    </bk>
    <bk>
      <rc t="1" v="1798"/>
    </bk>
    <bk>
      <rc t="1" v="1799"/>
    </bk>
    <bk>
      <rc t="1" v="1800"/>
    </bk>
    <bk>
      <rc t="1" v="1801"/>
    </bk>
    <bk>
      <rc t="1" v="1802"/>
    </bk>
    <bk>
      <rc t="1" v="1803"/>
    </bk>
    <bk>
      <rc t="1" v="1804"/>
    </bk>
    <bk>
      <rc t="1" v="1805"/>
    </bk>
    <bk>
      <rc t="1" v="1806"/>
    </bk>
    <bk>
      <rc t="1" v="1807"/>
    </bk>
    <bk>
      <rc t="1" v="1808"/>
    </bk>
    <bk>
      <rc t="1" v="1809"/>
    </bk>
    <bk>
      <rc t="1" v="1810"/>
    </bk>
    <bk>
      <rc t="1" v="1811"/>
    </bk>
    <bk>
      <rc t="1" v="1812"/>
    </bk>
    <bk>
      <rc t="1" v="1813"/>
    </bk>
    <bk>
      <rc t="1" v="1814"/>
    </bk>
    <bk>
      <rc t="1" v="1815"/>
    </bk>
    <bk>
      <rc t="1" v="1816"/>
    </bk>
    <bk>
      <rc t="1" v="1817"/>
    </bk>
    <bk>
      <rc t="1" v="1818"/>
    </bk>
    <bk>
      <rc t="1" v="1819"/>
    </bk>
    <bk>
      <rc t="1" v="1820"/>
    </bk>
    <bk>
      <rc t="1" v="1821"/>
    </bk>
    <bk>
      <rc t="1" v="1822"/>
    </bk>
    <bk>
      <rc t="1" v="1823"/>
    </bk>
    <bk>
      <rc t="1" v="1824"/>
    </bk>
    <bk>
      <rc t="1" v="1825"/>
    </bk>
    <bk>
      <rc t="1" v="1826"/>
    </bk>
    <bk>
      <rc t="1" v="1827"/>
    </bk>
    <bk>
      <rc t="1" v="1828"/>
    </bk>
    <bk>
      <rc t="1" v="1829"/>
    </bk>
    <bk>
      <rc t="1" v="1830"/>
    </bk>
    <bk>
      <rc t="1" v="1831"/>
    </bk>
    <bk>
      <rc t="1" v="1832"/>
    </bk>
    <bk>
      <rc t="1" v="1833"/>
    </bk>
    <bk>
      <rc t="1" v="1834"/>
    </bk>
    <bk>
      <rc t="1" v="1835"/>
    </bk>
    <bk>
      <rc t="1" v="1836"/>
    </bk>
    <bk>
      <rc t="1" v="1837"/>
    </bk>
    <bk>
      <rc t="1" v="1838"/>
    </bk>
    <bk>
      <rc t="1" v="1839"/>
    </bk>
    <bk>
      <rc t="1" v="1840"/>
    </bk>
    <bk>
      <rc t="1" v="1841"/>
    </bk>
    <bk>
      <rc t="1" v="1842"/>
    </bk>
    <bk>
      <rc t="1" v="1843"/>
    </bk>
    <bk>
      <rc t="1" v="1844"/>
    </bk>
    <bk>
      <rc t="1" v="1845"/>
    </bk>
    <bk>
      <rc t="1" v="1846"/>
    </bk>
    <bk>
      <rc t="1" v="1847"/>
    </bk>
    <bk>
      <rc t="1" v="1848"/>
    </bk>
    <bk>
      <rc t="1" v="1849"/>
    </bk>
    <bk>
      <rc t="1" v="1850"/>
    </bk>
    <bk>
      <rc t="1" v="1851"/>
    </bk>
    <bk>
      <rc t="1" v="1852"/>
    </bk>
    <bk>
      <rc t="1" v="1853"/>
    </bk>
    <bk>
      <rc t="1" v="1854"/>
    </bk>
    <bk>
      <rc t="1" v="1855"/>
    </bk>
    <bk>
      <rc t="1" v="1856"/>
    </bk>
    <bk>
      <rc t="1" v="1857"/>
    </bk>
    <bk>
      <rc t="1" v="1858"/>
    </bk>
    <bk>
      <rc t="1" v="1859"/>
    </bk>
    <bk>
      <rc t="1" v="1860"/>
    </bk>
    <bk>
      <rc t="1" v="1861"/>
    </bk>
    <bk>
      <rc t="1" v="1862"/>
    </bk>
    <bk>
      <rc t="1" v="1863"/>
    </bk>
    <bk>
      <rc t="1" v="1864"/>
    </bk>
    <bk>
      <rc t="1" v="1865"/>
    </bk>
    <bk>
      <rc t="1" v="1866"/>
    </bk>
    <bk>
      <rc t="1" v="1867"/>
    </bk>
    <bk>
      <rc t="1" v="1868"/>
    </bk>
    <bk>
      <rc t="1" v="1869"/>
    </bk>
    <bk>
      <rc t="1" v="1870"/>
    </bk>
    <bk>
      <rc t="1" v="1871"/>
    </bk>
    <bk>
      <rc t="1" v="1872"/>
    </bk>
    <bk>
      <rc t="1" v="1873"/>
    </bk>
    <bk>
      <rc t="1" v="1874"/>
    </bk>
    <bk>
      <rc t="1" v="1875"/>
    </bk>
    <bk>
      <rc t="1" v="1876"/>
    </bk>
    <bk>
      <rc t="1" v="1877"/>
    </bk>
    <bk>
      <rc t="1" v="1878"/>
    </bk>
    <bk>
      <rc t="1" v="1879"/>
    </bk>
    <bk>
      <rc t="1" v="1880"/>
    </bk>
    <bk>
      <rc t="1" v="1881"/>
    </bk>
    <bk>
      <rc t="1" v="1882"/>
    </bk>
    <bk>
      <rc t="1" v="1883"/>
    </bk>
    <bk>
      <rc t="1" v="1884"/>
    </bk>
    <bk>
      <rc t="1" v="1885"/>
    </bk>
    <bk>
      <rc t="1" v="1886"/>
    </bk>
    <bk>
      <rc t="1" v="1887"/>
    </bk>
    <bk>
      <rc t="1" v="1888"/>
    </bk>
    <bk>
      <rc t="1" v="1889"/>
    </bk>
    <bk>
      <rc t="1" v="1890"/>
    </bk>
    <bk>
      <rc t="1" v="1891"/>
    </bk>
    <bk>
      <rc t="1" v="1892"/>
    </bk>
    <bk>
      <rc t="1" v="1893"/>
    </bk>
    <bk>
      <rc t="1" v="1894"/>
    </bk>
    <bk>
      <rc t="1" v="1895"/>
    </bk>
    <bk>
      <rc t="1" v="1896"/>
    </bk>
    <bk>
      <rc t="1" v="1897"/>
    </bk>
    <bk>
      <rc t="1" v="1898"/>
    </bk>
    <bk>
      <rc t="1" v="1899"/>
    </bk>
    <bk>
      <rc t="1" v="1900"/>
    </bk>
    <bk>
      <rc t="1" v="1901"/>
    </bk>
    <bk>
      <rc t="1" v="1902"/>
    </bk>
    <bk>
      <rc t="1" v="1903"/>
    </bk>
    <bk>
      <rc t="1" v="1904"/>
    </bk>
    <bk>
      <rc t="1" v="1905"/>
    </bk>
    <bk>
      <rc t="1" v="1906"/>
    </bk>
    <bk>
      <rc t="1" v="1907"/>
    </bk>
    <bk>
      <rc t="1" v="1908"/>
    </bk>
    <bk>
      <rc t="1" v="1909"/>
    </bk>
    <bk>
      <rc t="1" v="1910"/>
    </bk>
    <bk>
      <rc t="1" v="1911"/>
    </bk>
    <bk>
      <rc t="1" v="1912"/>
    </bk>
    <bk>
      <rc t="1" v="1913"/>
    </bk>
    <bk>
      <rc t="1" v="1914"/>
    </bk>
    <bk>
      <rc t="1" v="1915"/>
    </bk>
    <bk>
      <rc t="1" v="1916"/>
    </bk>
    <bk>
      <rc t="1" v="1917"/>
    </bk>
    <bk>
      <rc t="1" v="1918"/>
    </bk>
    <bk>
      <rc t="1" v="1919"/>
    </bk>
    <bk>
      <rc t="1" v="1920"/>
    </bk>
    <bk>
      <rc t="1" v="1921"/>
    </bk>
    <bk>
      <rc t="1" v="1922"/>
    </bk>
    <bk>
      <rc t="1" v="1923"/>
    </bk>
    <bk>
      <rc t="1" v="1924"/>
    </bk>
    <bk>
      <rc t="1" v="1925"/>
    </bk>
    <bk>
      <rc t="1" v="1926"/>
    </bk>
    <bk>
      <rc t="1" v="1927"/>
    </bk>
    <bk>
      <rc t="1" v="1928"/>
    </bk>
    <bk>
      <rc t="1" v="1929"/>
    </bk>
    <bk>
      <rc t="1" v="1930"/>
    </bk>
    <bk>
      <rc t="1" v="1931"/>
    </bk>
    <bk>
      <rc t="1" v="1932"/>
    </bk>
    <bk>
      <rc t="1" v="1933"/>
    </bk>
    <bk>
      <rc t="1" v="1934"/>
    </bk>
    <bk>
      <rc t="1" v="1935"/>
    </bk>
    <bk>
      <rc t="1" v="1936"/>
    </bk>
    <bk>
      <rc t="1" v="1937"/>
    </bk>
    <bk>
      <rc t="1" v="1938"/>
    </bk>
    <bk>
      <rc t="1" v="1939"/>
    </bk>
    <bk>
      <rc t="1" v="1940"/>
    </bk>
    <bk>
      <rc t="1" v="1941"/>
    </bk>
    <bk>
      <rc t="1" v="1942"/>
    </bk>
    <bk>
      <rc t="1" v="1943"/>
    </bk>
    <bk>
      <rc t="1" v="1944"/>
    </bk>
    <bk>
      <rc t="1" v="1945"/>
    </bk>
    <bk>
      <rc t="1" v="1946"/>
    </bk>
    <bk>
      <rc t="1" v="1947"/>
    </bk>
    <bk>
      <rc t="1" v="1948"/>
    </bk>
    <bk>
      <rc t="1" v="1949"/>
    </bk>
    <bk>
      <rc t="1" v="1950"/>
    </bk>
    <bk>
      <rc t="1" v="1951"/>
    </bk>
    <bk>
      <rc t="1" v="1952"/>
    </bk>
    <bk>
      <rc t="1" v="1953"/>
    </bk>
    <bk>
      <rc t="1" v="1954"/>
    </bk>
    <bk>
      <rc t="1" v="1955"/>
    </bk>
    <bk>
      <rc t="1" v="1956"/>
    </bk>
    <bk>
      <rc t="1" v="1957"/>
    </bk>
    <bk>
      <rc t="1" v="1958"/>
    </bk>
    <bk>
      <rc t="1" v="1959"/>
    </bk>
    <bk>
      <rc t="1" v="1960"/>
    </bk>
    <bk>
      <rc t="1" v="1961"/>
    </bk>
    <bk>
      <rc t="1" v="1962"/>
    </bk>
    <bk>
      <rc t="1" v="1963"/>
    </bk>
    <bk>
      <rc t="1" v="1964"/>
    </bk>
    <bk>
      <rc t="1" v="1965"/>
    </bk>
    <bk>
      <rc t="1" v="1966"/>
    </bk>
    <bk>
      <rc t="1" v="1967"/>
    </bk>
    <bk>
      <rc t="1" v="1968"/>
    </bk>
    <bk>
      <rc t="1" v="1969"/>
    </bk>
    <bk>
      <rc t="1" v="1970"/>
    </bk>
    <bk>
      <rc t="1" v="1971"/>
    </bk>
    <bk>
      <rc t="1" v="1972"/>
    </bk>
    <bk>
      <rc t="1" v="1973"/>
    </bk>
    <bk>
      <rc t="1" v="1974"/>
    </bk>
    <bk>
      <rc t="1" v="1975"/>
    </bk>
    <bk>
      <rc t="1" v="1976"/>
    </bk>
    <bk>
      <rc t="1" v="1977"/>
    </bk>
    <bk>
      <rc t="1" v="1978"/>
    </bk>
    <bk>
      <rc t="1" v="1979"/>
    </bk>
    <bk>
      <rc t="1" v="1980"/>
    </bk>
    <bk>
      <rc t="1" v="1981"/>
    </bk>
    <bk>
      <rc t="1" v="1982"/>
    </bk>
    <bk>
      <rc t="1" v="1983"/>
    </bk>
    <bk>
      <rc t="1" v="1984"/>
    </bk>
    <bk>
      <rc t="1" v="1985"/>
    </bk>
    <bk>
      <rc t="1" v="1986"/>
    </bk>
    <bk>
      <rc t="1" v="1987"/>
    </bk>
    <bk>
      <rc t="1" v="1988"/>
    </bk>
    <bk>
      <rc t="1" v="1989"/>
    </bk>
    <bk>
      <rc t="1" v="1990"/>
    </bk>
    <bk>
      <rc t="1" v="1991"/>
    </bk>
    <bk>
      <rc t="1" v="1992"/>
    </bk>
    <bk>
      <rc t="1" v="1993"/>
    </bk>
    <bk>
      <rc t="1" v="1994"/>
    </bk>
    <bk>
      <rc t="1" v="1995"/>
    </bk>
    <bk>
      <rc t="1" v="1996"/>
    </bk>
    <bk>
      <rc t="1" v="1997"/>
    </bk>
    <bk>
      <rc t="1" v="1998"/>
    </bk>
    <bk>
      <rc t="1" v="1999"/>
    </bk>
    <bk>
      <rc t="1" v="2000"/>
    </bk>
    <bk>
      <rc t="1" v="2001"/>
    </bk>
    <bk>
      <rc t="1" v="2002"/>
    </bk>
    <bk>
      <rc t="1" v="2003"/>
    </bk>
    <bk>
      <rc t="1" v="2004"/>
    </bk>
    <bk>
      <rc t="1" v="2005"/>
    </bk>
    <bk>
      <rc t="1" v="2006"/>
    </bk>
    <bk>
      <rc t="1" v="2007"/>
    </bk>
    <bk>
      <rc t="1" v="2008"/>
    </bk>
    <bk>
      <rc t="1" v="2009"/>
    </bk>
    <bk>
      <rc t="1" v="2010"/>
    </bk>
    <bk>
      <rc t="1" v="2011"/>
    </bk>
    <bk>
      <rc t="1" v="2012"/>
    </bk>
    <bk>
      <rc t="1" v="2013"/>
    </bk>
    <bk>
      <rc t="1" v="2014"/>
    </bk>
    <bk>
      <rc t="1" v="2015"/>
    </bk>
    <bk>
      <rc t="1" v="2016"/>
    </bk>
    <bk>
      <rc t="1" v="2017"/>
    </bk>
    <bk>
      <rc t="1" v="2018"/>
    </bk>
    <bk>
      <rc t="1" v="2019"/>
    </bk>
    <bk>
      <rc t="1" v="2020"/>
    </bk>
    <bk>
      <rc t="1" v="2021"/>
    </bk>
    <bk>
      <rc t="1" v="2022"/>
    </bk>
    <bk>
      <rc t="1" v="2023"/>
    </bk>
    <bk>
      <rc t="1" v="2024"/>
    </bk>
    <bk>
      <rc t="1" v="2025"/>
    </bk>
    <bk>
      <rc t="1" v="2026"/>
    </bk>
    <bk>
      <rc t="1" v="2027"/>
    </bk>
    <bk>
      <rc t="1" v="2028"/>
    </bk>
    <bk>
      <rc t="1" v="2029"/>
    </bk>
    <bk>
      <rc t="1" v="2030"/>
    </bk>
    <bk>
      <rc t="1" v="2031"/>
    </bk>
    <bk>
      <rc t="1" v="2032"/>
    </bk>
    <bk>
      <rc t="1" v="2033"/>
    </bk>
    <bk>
      <rc t="1" v="2034"/>
    </bk>
    <bk>
      <rc t="1" v="2035"/>
    </bk>
    <bk>
      <rc t="1" v="2036"/>
    </bk>
    <bk>
      <rc t="1" v="2037"/>
    </bk>
    <bk>
      <rc t="1" v="2038"/>
    </bk>
    <bk>
      <rc t="1" v="2039"/>
    </bk>
    <bk>
      <rc t="1" v="2040"/>
    </bk>
    <bk>
      <rc t="1" v="2041"/>
    </bk>
    <bk>
      <rc t="1" v="2042"/>
    </bk>
    <bk>
      <rc t="1" v="2043"/>
    </bk>
    <bk>
      <rc t="1" v="2044"/>
    </bk>
    <bk>
      <rc t="1" v="2045"/>
    </bk>
    <bk>
      <rc t="1" v="2046"/>
    </bk>
    <bk>
      <rc t="1" v="2047"/>
    </bk>
    <bk>
      <rc t="1" v="2048"/>
    </bk>
    <bk>
      <rc t="1" v="2049"/>
    </bk>
    <bk>
      <rc t="1" v="2050"/>
    </bk>
    <bk>
      <rc t="1" v="2051"/>
    </bk>
    <bk>
      <rc t="1" v="2052"/>
    </bk>
    <bk>
      <rc t="1" v="2053"/>
    </bk>
    <bk>
      <rc t="1" v="2054"/>
    </bk>
    <bk>
      <rc t="1" v="2055"/>
    </bk>
    <bk>
      <rc t="1" v="2056"/>
    </bk>
    <bk>
      <rc t="1" v="2057"/>
    </bk>
    <bk>
      <rc t="1" v="2058"/>
    </bk>
    <bk>
      <rc t="1" v="2059"/>
    </bk>
    <bk>
      <rc t="1" v="2060"/>
    </bk>
    <bk>
      <rc t="1" v="2061"/>
    </bk>
    <bk>
      <rc t="1" v="2062"/>
    </bk>
    <bk>
      <rc t="1" v="2063"/>
    </bk>
    <bk>
      <rc t="1" v="2064"/>
    </bk>
    <bk>
      <rc t="1" v="2065"/>
    </bk>
    <bk>
      <rc t="1" v="2066"/>
    </bk>
    <bk>
      <rc t="1" v="2067"/>
    </bk>
    <bk>
      <rc t="1" v="2068"/>
    </bk>
    <bk>
      <rc t="1" v="2069"/>
    </bk>
    <bk>
      <rc t="1" v="2070"/>
    </bk>
    <bk>
      <rc t="1" v="2071"/>
    </bk>
    <bk>
      <rc t="1" v="2072"/>
    </bk>
    <bk>
      <rc t="1" v="2073"/>
    </bk>
    <bk>
      <rc t="1" v="2074"/>
    </bk>
    <bk>
      <rc t="1" v="2075"/>
    </bk>
    <bk>
      <rc t="1" v="2076"/>
    </bk>
    <bk>
      <rc t="1" v="2077"/>
    </bk>
    <bk>
      <rc t="1" v="2078"/>
    </bk>
    <bk>
      <rc t="1" v="2079"/>
    </bk>
    <bk>
      <rc t="1" v="2080"/>
    </bk>
    <bk>
      <rc t="1" v="2081"/>
    </bk>
    <bk>
      <rc t="1" v="2082"/>
    </bk>
    <bk>
      <rc t="1" v="2083"/>
    </bk>
    <bk>
      <rc t="1" v="2084"/>
    </bk>
    <bk>
      <rc t="1" v="2085"/>
    </bk>
    <bk>
      <rc t="1" v="2086"/>
    </bk>
    <bk>
      <rc t="1" v="2087"/>
    </bk>
    <bk>
      <rc t="1" v="2088"/>
    </bk>
    <bk>
      <rc t="1" v="2089"/>
    </bk>
    <bk>
      <rc t="1" v="2090"/>
    </bk>
    <bk>
      <rc t="1" v="2091"/>
    </bk>
    <bk>
      <rc t="1" v="2092"/>
    </bk>
    <bk>
      <rc t="1" v="2093"/>
    </bk>
    <bk>
      <rc t="1" v="2094"/>
    </bk>
    <bk>
      <rc t="1" v="2095"/>
    </bk>
    <bk>
      <rc t="1" v="2096"/>
    </bk>
    <bk>
      <rc t="1" v="2097"/>
    </bk>
    <bk>
      <rc t="1" v="2098"/>
    </bk>
    <bk>
      <rc t="1" v="2099"/>
    </bk>
    <bk>
      <rc t="1" v="2100"/>
    </bk>
    <bk>
      <rc t="1" v="2101"/>
    </bk>
    <bk>
      <rc t="1" v="2102"/>
    </bk>
    <bk>
      <rc t="1" v="2103"/>
    </bk>
    <bk>
      <rc t="1" v="2104"/>
    </bk>
    <bk>
      <rc t="1" v="2105"/>
    </bk>
    <bk>
      <rc t="1" v="2106"/>
    </bk>
    <bk>
      <rc t="1" v="2107"/>
    </bk>
    <bk>
      <rc t="1" v="2108"/>
    </bk>
    <bk>
      <rc t="1" v="2109"/>
    </bk>
    <bk>
      <rc t="1" v="2110"/>
    </bk>
    <bk>
      <rc t="1" v="2111"/>
    </bk>
    <bk>
      <rc t="1" v="2112"/>
    </bk>
    <bk>
      <rc t="1" v="2113"/>
    </bk>
    <bk>
      <rc t="1" v="2114"/>
    </bk>
    <bk>
      <rc t="1" v="2115"/>
    </bk>
    <bk>
      <rc t="1" v="2116"/>
    </bk>
    <bk>
      <rc t="1" v="2117"/>
    </bk>
    <bk>
      <rc t="1" v="2118"/>
    </bk>
    <bk>
      <rc t="1" v="2119"/>
    </bk>
    <bk>
      <rc t="1" v="2120"/>
    </bk>
    <bk>
      <rc t="1" v="2121"/>
    </bk>
    <bk>
      <rc t="1" v="2122"/>
    </bk>
    <bk>
      <rc t="1" v="2123"/>
    </bk>
    <bk>
      <rc t="1" v="2124"/>
    </bk>
    <bk>
      <rc t="1" v="2125"/>
    </bk>
    <bk>
      <rc t="1" v="2126"/>
    </bk>
    <bk>
      <rc t="1" v="2127"/>
    </bk>
    <bk>
      <rc t="1" v="2128"/>
    </bk>
    <bk>
      <rc t="1" v="2129"/>
    </bk>
    <bk>
      <rc t="1" v="2130"/>
    </bk>
    <bk>
      <rc t="1" v="2131"/>
    </bk>
    <bk>
      <rc t="1" v="2132"/>
    </bk>
    <bk>
      <rc t="1" v="2133"/>
    </bk>
    <bk>
      <rc t="1" v="2134"/>
    </bk>
    <bk>
      <rc t="1" v="2135"/>
    </bk>
    <bk>
      <rc t="1" v="2136"/>
    </bk>
    <bk>
      <rc t="1" v="2137"/>
    </bk>
    <bk>
      <rc t="1" v="2138"/>
    </bk>
    <bk>
      <rc t="1" v="2139"/>
    </bk>
    <bk>
      <rc t="1" v="2140"/>
    </bk>
    <bk>
      <rc t="1" v="2141"/>
    </bk>
    <bk>
      <rc t="1" v="2142"/>
    </bk>
    <bk>
      <rc t="1" v="2143"/>
    </bk>
    <bk>
      <rc t="1" v="2144"/>
    </bk>
    <bk>
      <rc t="1" v="2145"/>
    </bk>
    <bk>
      <rc t="1" v="2146"/>
    </bk>
    <bk>
      <rc t="1" v="2147"/>
    </bk>
    <bk>
      <rc t="1" v="2148"/>
    </bk>
    <bk>
      <rc t="1" v="2149"/>
    </bk>
    <bk>
      <rc t="1" v="2150"/>
    </bk>
    <bk>
      <rc t="1" v="2151"/>
    </bk>
    <bk>
      <rc t="1" v="2152"/>
    </bk>
    <bk>
      <rc t="1" v="2153"/>
    </bk>
    <bk>
      <rc t="1" v="2154"/>
    </bk>
    <bk>
      <rc t="1" v="2155"/>
    </bk>
    <bk>
      <rc t="1" v="2156"/>
    </bk>
    <bk>
      <rc t="1" v="2157"/>
    </bk>
    <bk>
      <rc t="1" v="2158"/>
    </bk>
    <bk>
      <rc t="1" v="2159"/>
    </bk>
    <bk>
      <rc t="1" v="2160"/>
    </bk>
    <bk>
      <rc t="1" v="2161"/>
    </bk>
    <bk>
      <rc t="1" v="2162"/>
    </bk>
    <bk>
      <rc t="1" v="2163"/>
    </bk>
    <bk>
      <rc t="1" v="2164"/>
    </bk>
    <bk>
      <rc t="1" v="2165"/>
    </bk>
    <bk>
      <rc t="1" v="2166"/>
    </bk>
    <bk>
      <rc t="1" v="2167"/>
    </bk>
    <bk>
      <rc t="1" v="2168"/>
    </bk>
    <bk>
      <rc t="1" v="2169"/>
    </bk>
    <bk>
      <rc t="1" v="2170"/>
    </bk>
    <bk>
      <rc t="1" v="2171"/>
    </bk>
    <bk>
      <rc t="1" v="2172"/>
    </bk>
    <bk>
      <rc t="1" v="2173"/>
    </bk>
    <bk>
      <rc t="1" v="2174"/>
    </bk>
    <bk>
      <rc t="1" v="2175"/>
    </bk>
    <bk>
      <rc t="1" v="2176"/>
    </bk>
    <bk>
      <rc t="1" v="2177"/>
    </bk>
    <bk>
      <rc t="1" v="2178"/>
    </bk>
    <bk>
      <rc t="1" v="2179"/>
    </bk>
    <bk>
      <rc t="1" v="2180"/>
    </bk>
    <bk>
      <rc t="1" v="2181"/>
    </bk>
    <bk>
      <rc t="1" v="2182"/>
    </bk>
    <bk>
      <rc t="1" v="2183"/>
    </bk>
    <bk>
      <rc t="1" v="2184"/>
    </bk>
    <bk>
      <rc t="1" v="2185"/>
    </bk>
    <bk>
      <rc t="1" v="2186"/>
    </bk>
    <bk>
      <rc t="1" v="2187"/>
    </bk>
    <bk>
      <rc t="1" v="2188"/>
    </bk>
    <bk>
      <rc t="1" v="2189"/>
    </bk>
    <bk>
      <rc t="1" v="2190"/>
    </bk>
    <bk>
      <rc t="1" v="2191"/>
    </bk>
    <bk>
      <rc t="1" v="2192"/>
    </bk>
    <bk>
      <rc t="1" v="2193"/>
    </bk>
    <bk>
      <rc t="1" v="2194"/>
    </bk>
    <bk>
      <rc t="1" v="2195"/>
    </bk>
    <bk>
      <rc t="1" v="2196"/>
    </bk>
    <bk>
      <rc t="1" v="2197"/>
    </bk>
    <bk>
      <rc t="1" v="2198"/>
    </bk>
    <bk>
      <rc t="1" v="2199"/>
    </bk>
    <bk>
      <rc t="1" v="2200"/>
    </bk>
    <bk>
      <rc t="1" v="2201"/>
    </bk>
    <bk>
      <rc t="1" v="2202"/>
    </bk>
    <bk>
      <rc t="1" v="2203"/>
    </bk>
    <bk>
      <rc t="1" v="2204"/>
    </bk>
    <bk>
      <rc t="1" v="2205"/>
    </bk>
    <bk>
      <rc t="1" v="2206"/>
    </bk>
    <bk>
      <rc t="1" v="2207"/>
    </bk>
    <bk>
      <rc t="1" v="2208"/>
    </bk>
    <bk>
      <rc t="1" v="2209"/>
    </bk>
    <bk>
      <rc t="1" v="2210"/>
    </bk>
    <bk>
      <rc t="1" v="2211"/>
    </bk>
    <bk>
      <rc t="1" v="2212"/>
    </bk>
    <bk>
      <rc t="1" v="2213"/>
    </bk>
    <bk>
      <rc t="1" v="2214"/>
    </bk>
    <bk>
      <rc t="1" v="2215"/>
    </bk>
    <bk>
      <rc t="1" v="2216"/>
    </bk>
    <bk>
      <rc t="1" v="2217"/>
    </bk>
    <bk>
      <rc t="1" v="2218"/>
    </bk>
    <bk>
      <rc t="1" v="2219"/>
    </bk>
    <bk>
      <rc t="1" v="2220"/>
    </bk>
    <bk>
      <rc t="1" v="2221"/>
    </bk>
    <bk>
      <rc t="1" v="2222"/>
    </bk>
    <bk>
      <rc t="1" v="2223"/>
    </bk>
    <bk>
      <rc t="1" v="2224"/>
    </bk>
    <bk>
      <rc t="1" v="2225"/>
    </bk>
    <bk>
      <rc t="1" v="2226"/>
    </bk>
    <bk>
      <rc t="1" v="2227"/>
    </bk>
    <bk>
      <rc t="1" v="2228"/>
    </bk>
    <bk>
      <rc t="1" v="2229"/>
    </bk>
    <bk>
      <rc t="1" v="2230"/>
    </bk>
    <bk>
      <rc t="1" v="2231"/>
    </bk>
    <bk>
      <rc t="1" v="2232"/>
    </bk>
    <bk>
      <rc t="1" v="2233"/>
    </bk>
    <bk>
      <rc t="1" v="2234"/>
    </bk>
    <bk>
      <rc t="1" v="2235"/>
    </bk>
    <bk>
      <rc t="1" v="2236"/>
    </bk>
    <bk>
      <rc t="1" v="2237"/>
    </bk>
    <bk>
      <rc t="1" v="2238"/>
    </bk>
    <bk>
      <rc t="1" v="2239"/>
    </bk>
    <bk>
      <rc t="1" v="2240"/>
    </bk>
    <bk>
      <rc t="1" v="2241"/>
    </bk>
    <bk>
      <rc t="1" v="2242"/>
    </bk>
    <bk>
      <rc t="1" v="2243"/>
    </bk>
    <bk>
      <rc t="1" v="2244"/>
    </bk>
    <bk>
      <rc t="1" v="2245"/>
    </bk>
    <bk>
      <rc t="1" v="2246"/>
    </bk>
    <bk>
      <rc t="1" v="2247"/>
    </bk>
    <bk>
      <rc t="1" v="2248"/>
    </bk>
    <bk>
      <rc t="1" v="2249"/>
    </bk>
    <bk>
      <rc t="1" v="2250"/>
    </bk>
    <bk>
      <rc t="1" v="2251"/>
    </bk>
    <bk>
      <rc t="1" v="2252"/>
    </bk>
    <bk>
      <rc t="1" v="2253"/>
    </bk>
    <bk>
      <rc t="1" v="2254"/>
    </bk>
    <bk>
      <rc t="1" v="2255"/>
    </bk>
    <bk>
      <rc t="1" v="2256"/>
    </bk>
    <bk>
      <rc t="1" v="2257"/>
    </bk>
    <bk>
      <rc t="1" v="2258"/>
    </bk>
    <bk>
      <rc t="1" v="2259"/>
    </bk>
    <bk>
      <rc t="1" v="2260"/>
    </bk>
    <bk>
      <rc t="1" v="2261"/>
    </bk>
    <bk>
      <rc t="1" v="2262"/>
    </bk>
    <bk>
      <rc t="1" v="2263"/>
    </bk>
    <bk>
      <rc t="1" v="2264"/>
    </bk>
    <bk>
      <rc t="1" v="2265"/>
    </bk>
    <bk>
      <rc t="1" v="2266"/>
    </bk>
    <bk>
      <rc t="1" v="2267"/>
    </bk>
    <bk>
      <rc t="1" v="2268"/>
    </bk>
    <bk>
      <rc t="1" v="2269"/>
    </bk>
    <bk>
      <rc t="1" v="2270"/>
    </bk>
    <bk>
      <rc t="1" v="2271"/>
    </bk>
    <bk>
      <rc t="1" v="2272"/>
    </bk>
    <bk>
      <rc t="1" v="2273"/>
    </bk>
    <bk>
      <rc t="1" v="2274"/>
    </bk>
    <bk>
      <rc t="1" v="2275"/>
    </bk>
    <bk>
      <rc t="1" v="2276"/>
    </bk>
    <bk>
      <rc t="1" v="2277"/>
    </bk>
    <bk>
      <rc t="1" v="2278"/>
    </bk>
    <bk>
      <rc t="1" v="2279"/>
    </bk>
    <bk>
      <rc t="1" v="2280"/>
    </bk>
    <bk>
      <rc t="1" v="2281"/>
    </bk>
    <bk>
      <rc t="1" v="2282"/>
    </bk>
    <bk>
      <rc t="1" v="2283"/>
    </bk>
    <bk>
      <rc t="1" v="2284"/>
    </bk>
    <bk>
      <rc t="1" v="2285"/>
    </bk>
    <bk>
      <rc t="1" v="2286"/>
    </bk>
    <bk>
      <rc t="1" v="2287"/>
    </bk>
    <bk>
      <rc t="1" v="2288"/>
    </bk>
    <bk>
      <rc t="1" v="2289"/>
    </bk>
    <bk>
      <rc t="1" v="2290"/>
    </bk>
    <bk>
      <rc t="1" v="2291"/>
    </bk>
    <bk>
      <rc t="1" v="2292"/>
    </bk>
    <bk>
      <rc t="1" v="2293"/>
    </bk>
    <bk>
      <rc t="1" v="2294"/>
    </bk>
    <bk>
      <rc t="1" v="2295"/>
    </bk>
    <bk>
      <rc t="1" v="2296"/>
    </bk>
    <bk>
      <rc t="1" v="2297"/>
    </bk>
    <bk>
      <rc t="1" v="2298"/>
    </bk>
    <bk>
      <rc t="1" v="2299"/>
    </bk>
    <bk>
      <rc t="1" v="2300"/>
    </bk>
    <bk>
      <rc t="1" v="2301"/>
    </bk>
    <bk>
      <rc t="1" v="2302"/>
    </bk>
    <bk>
      <rc t="1" v="2303"/>
    </bk>
    <bk>
      <rc t="1" v="2304"/>
    </bk>
    <bk>
      <rc t="1" v="2305"/>
    </bk>
    <bk>
      <rc t="1" v="2306"/>
    </bk>
    <bk>
      <rc t="1" v="2307"/>
    </bk>
    <bk>
      <rc t="1" v="2308"/>
    </bk>
    <bk>
      <rc t="1" v="2309"/>
    </bk>
    <bk>
      <rc t="1" v="2310"/>
    </bk>
    <bk>
      <rc t="1" v="2311"/>
    </bk>
    <bk>
      <rc t="1" v="2312"/>
    </bk>
    <bk>
      <rc t="1" v="2313"/>
    </bk>
    <bk>
      <rc t="1" v="2314"/>
    </bk>
    <bk>
      <rc t="1" v="2315"/>
    </bk>
    <bk>
      <rc t="1" v="2316"/>
    </bk>
    <bk>
      <rc t="1" v="2317"/>
    </bk>
    <bk>
      <rc t="1" v="2318"/>
    </bk>
    <bk>
      <rc t="1" v="2319"/>
    </bk>
    <bk>
      <rc t="1" v="2320"/>
    </bk>
    <bk>
      <rc t="1" v="2321"/>
    </bk>
    <bk>
      <rc t="1" v="2322"/>
    </bk>
    <bk>
      <rc t="1" v="2323"/>
    </bk>
    <bk>
      <rc t="1" v="2324"/>
    </bk>
    <bk>
      <rc t="1" v="2325"/>
    </bk>
    <bk>
      <rc t="1" v="2326"/>
    </bk>
    <bk>
      <rc t="1" v="2327"/>
    </bk>
    <bk>
      <rc t="1" v="2328"/>
    </bk>
    <bk>
      <rc t="1" v="2329"/>
    </bk>
    <bk>
      <rc t="1" v="2330"/>
    </bk>
    <bk>
      <rc t="1" v="2331"/>
    </bk>
    <bk>
      <rc t="1" v="2332"/>
    </bk>
    <bk>
      <rc t="1" v="2333"/>
    </bk>
    <bk>
      <rc t="1" v="2334"/>
    </bk>
    <bk>
      <rc t="1" v="2335"/>
    </bk>
    <bk>
      <rc t="1" v="2336"/>
    </bk>
    <bk>
      <rc t="1" v="2337"/>
    </bk>
    <bk>
      <rc t="1" v="2338"/>
    </bk>
    <bk>
      <rc t="1" v="2339"/>
    </bk>
    <bk>
      <rc t="1" v="2340"/>
    </bk>
    <bk>
      <rc t="1" v="2341"/>
    </bk>
    <bk>
      <rc t="1" v="2342"/>
    </bk>
    <bk>
      <rc t="1" v="2343"/>
    </bk>
    <bk>
      <rc t="1" v="2344"/>
    </bk>
    <bk>
      <rc t="1" v="2345"/>
    </bk>
    <bk>
      <rc t="1" v="2346"/>
    </bk>
    <bk>
      <rc t="1" v="2347"/>
    </bk>
    <bk>
      <rc t="1" v="2348"/>
    </bk>
    <bk>
      <rc t="1" v="2349"/>
    </bk>
    <bk>
      <rc t="1" v="2350"/>
    </bk>
    <bk>
      <rc t="1" v="2351"/>
    </bk>
    <bk>
      <rc t="1" v="2352"/>
    </bk>
    <bk>
      <rc t="1" v="2353"/>
    </bk>
    <bk>
      <rc t="1" v="2354"/>
    </bk>
    <bk>
      <rc t="1" v="2355"/>
    </bk>
    <bk>
      <rc t="1" v="2356"/>
    </bk>
    <bk>
      <rc t="1" v="2357"/>
    </bk>
    <bk>
      <rc t="1" v="2358"/>
    </bk>
    <bk>
      <rc t="1" v="2359"/>
    </bk>
    <bk>
      <rc t="1" v="2360"/>
    </bk>
    <bk>
      <rc t="1" v="2361"/>
    </bk>
    <bk>
      <rc t="1" v="2362"/>
    </bk>
    <bk>
      <rc t="1" v="2363"/>
    </bk>
    <bk>
      <rc t="1" v="2364"/>
    </bk>
    <bk>
      <rc t="1" v="2365"/>
    </bk>
    <bk>
      <rc t="1" v="2366"/>
    </bk>
    <bk>
      <rc t="1" v="2367"/>
    </bk>
    <bk>
      <rc t="1" v="2368"/>
    </bk>
    <bk>
      <rc t="1" v="2369"/>
    </bk>
    <bk>
      <rc t="1" v="2370"/>
    </bk>
    <bk>
      <rc t="1" v="2371"/>
    </bk>
    <bk>
      <rc t="1" v="2372"/>
    </bk>
    <bk>
      <rc t="1" v="2373"/>
    </bk>
    <bk>
      <rc t="1" v="2374"/>
    </bk>
    <bk>
      <rc t="1" v="2375"/>
    </bk>
    <bk>
      <rc t="1" v="2376"/>
    </bk>
    <bk>
      <rc t="1" v="2377"/>
    </bk>
    <bk>
      <rc t="1" v="2378"/>
    </bk>
    <bk>
      <rc t="1" v="2379"/>
    </bk>
    <bk>
      <rc t="1" v="2380"/>
    </bk>
    <bk>
      <rc t="1" v="2381"/>
    </bk>
    <bk>
      <rc t="1" v="2382"/>
    </bk>
    <bk>
      <rc t="1" v="2383"/>
    </bk>
    <bk>
      <rc t="1" v="2384"/>
    </bk>
    <bk>
      <rc t="1" v="2385"/>
    </bk>
    <bk>
      <rc t="1" v="2386"/>
    </bk>
    <bk>
      <rc t="1" v="2387"/>
    </bk>
    <bk>
      <rc t="1" v="2388"/>
    </bk>
    <bk>
      <rc t="1" v="2389"/>
    </bk>
    <bk>
      <rc t="1" v="2390"/>
    </bk>
    <bk>
      <rc t="1" v="2391"/>
    </bk>
    <bk>
      <rc t="1" v="2392"/>
    </bk>
    <bk>
      <rc t="1" v="2393"/>
    </bk>
    <bk>
      <rc t="1" v="2394"/>
    </bk>
    <bk>
      <rc t="1" v="2395"/>
    </bk>
    <bk>
      <rc t="1" v="2396"/>
    </bk>
    <bk>
      <rc t="1" v="2397"/>
    </bk>
    <bk>
      <rc t="1" v="2398"/>
    </bk>
    <bk>
      <rc t="1" v="2399"/>
    </bk>
    <bk>
      <rc t="1" v="2400"/>
    </bk>
    <bk>
      <rc t="1" v="2401"/>
    </bk>
    <bk>
      <rc t="1" v="2402"/>
    </bk>
    <bk>
      <rc t="1" v="2403"/>
    </bk>
    <bk>
      <rc t="1" v="2404"/>
    </bk>
    <bk>
      <rc t="1" v="2405"/>
    </bk>
    <bk>
      <rc t="1" v="2406"/>
    </bk>
    <bk>
      <rc t="1" v="2407"/>
    </bk>
    <bk>
      <rc t="1" v="2408"/>
    </bk>
    <bk>
      <rc t="1" v="2409"/>
    </bk>
    <bk>
      <rc t="1" v="2410"/>
    </bk>
    <bk>
      <rc t="1" v="2411"/>
    </bk>
    <bk>
      <rc t="1" v="2412"/>
    </bk>
    <bk>
      <rc t="1" v="2413"/>
    </bk>
    <bk>
      <rc t="1" v="2414"/>
    </bk>
    <bk>
      <rc t="1" v="2415"/>
    </bk>
    <bk>
      <rc t="1" v="2416"/>
    </bk>
    <bk>
      <rc t="1" v="2417"/>
    </bk>
    <bk>
      <rc t="1" v="2418"/>
    </bk>
    <bk>
      <rc t="1" v="2419"/>
    </bk>
    <bk>
      <rc t="1" v="2420"/>
    </bk>
    <bk>
      <rc t="1" v="2421"/>
    </bk>
    <bk>
      <rc t="1" v="2422"/>
    </bk>
    <bk>
      <rc t="1" v="2423"/>
    </bk>
    <bk>
      <rc t="1" v="2424"/>
    </bk>
    <bk>
      <rc t="1" v="2425"/>
    </bk>
    <bk>
      <rc t="1" v="2426"/>
    </bk>
    <bk>
      <rc t="1" v="2427"/>
    </bk>
    <bk>
      <rc t="1" v="2428"/>
    </bk>
    <bk>
      <rc t="1" v="2429"/>
    </bk>
    <bk>
      <rc t="1" v="2430"/>
    </bk>
    <bk>
      <rc t="1" v="2431"/>
    </bk>
    <bk>
      <rc t="1" v="2432"/>
    </bk>
    <bk>
      <rc t="1" v="2433"/>
    </bk>
    <bk>
      <rc t="1" v="2434"/>
    </bk>
    <bk>
      <rc t="1" v="2435"/>
    </bk>
    <bk>
      <rc t="1" v="2436"/>
    </bk>
    <bk>
      <rc t="1" v="2437"/>
    </bk>
    <bk>
      <rc t="1" v="2438"/>
    </bk>
    <bk>
      <rc t="1" v="2439"/>
    </bk>
    <bk>
      <rc t="1" v="2440"/>
    </bk>
    <bk>
      <rc t="1" v="2441"/>
    </bk>
    <bk>
      <rc t="1" v="2442"/>
    </bk>
    <bk>
      <rc t="1" v="2443"/>
    </bk>
    <bk>
      <rc t="1" v="2444"/>
    </bk>
    <bk>
      <rc t="1" v="2445"/>
    </bk>
    <bk>
      <rc t="1" v="2446"/>
    </bk>
    <bk>
      <rc t="1" v="2447"/>
    </bk>
    <bk>
      <rc t="1" v="2448"/>
    </bk>
    <bk>
      <rc t="1" v="2449"/>
    </bk>
    <bk>
      <rc t="1" v="2450"/>
    </bk>
    <bk>
      <rc t="1" v="2451"/>
    </bk>
    <bk>
      <rc t="1" v="2452"/>
    </bk>
    <bk>
      <rc t="1" v="2453"/>
    </bk>
    <bk>
      <rc t="1" v="2454"/>
    </bk>
    <bk>
      <rc t="1" v="2455"/>
    </bk>
    <bk>
      <rc t="1" v="2456"/>
    </bk>
    <bk>
      <rc t="1" v="2457"/>
    </bk>
    <bk>
      <rc t="1" v="2458"/>
    </bk>
    <bk>
      <rc t="1" v="2459"/>
    </bk>
    <bk>
      <rc t="1" v="2460"/>
    </bk>
    <bk>
      <rc t="1" v="2461"/>
    </bk>
    <bk>
      <rc t="1" v="2462"/>
    </bk>
    <bk>
      <rc t="1" v="2463"/>
    </bk>
    <bk>
      <rc t="1" v="2464"/>
    </bk>
    <bk>
      <rc t="1" v="2465"/>
    </bk>
    <bk>
      <rc t="1" v="2466"/>
    </bk>
    <bk>
      <rc t="1" v="2467"/>
    </bk>
    <bk>
      <rc t="1" v="2468"/>
    </bk>
    <bk>
      <rc t="1" v="2469"/>
    </bk>
    <bk>
      <rc t="1" v="2470"/>
    </bk>
    <bk>
      <rc t="1" v="2471"/>
    </bk>
    <bk>
      <rc t="1" v="2472"/>
    </bk>
    <bk>
      <rc t="1" v="2473"/>
    </bk>
    <bk>
      <rc t="1" v="2474"/>
    </bk>
    <bk>
      <rc t="1" v="2475"/>
    </bk>
    <bk>
      <rc t="1" v="2476"/>
    </bk>
    <bk>
      <rc t="1" v="2477"/>
    </bk>
    <bk>
      <rc t="1" v="2478"/>
    </bk>
    <bk>
      <rc t="1" v="2479"/>
    </bk>
    <bk>
      <rc t="1" v="2480"/>
    </bk>
    <bk>
      <rc t="1" v="2481"/>
    </bk>
    <bk>
      <rc t="1" v="2482"/>
    </bk>
    <bk>
      <rc t="1" v="2483"/>
    </bk>
    <bk>
      <rc t="1" v="2484"/>
    </bk>
    <bk>
      <rc t="1" v="2485"/>
    </bk>
    <bk>
      <rc t="1" v="2486"/>
    </bk>
    <bk>
      <rc t="1" v="2487"/>
    </bk>
    <bk>
      <rc t="1" v="2488"/>
    </bk>
    <bk>
      <rc t="1" v="2489"/>
    </bk>
    <bk>
      <rc t="1" v="2490"/>
    </bk>
    <bk>
      <rc t="1" v="2491"/>
    </bk>
    <bk>
      <rc t="1" v="2492"/>
    </bk>
    <bk>
      <rc t="1" v="2493"/>
    </bk>
    <bk>
      <rc t="1" v="2494"/>
    </bk>
    <bk>
      <rc t="1" v="2495"/>
    </bk>
    <bk>
      <rc t="1" v="2496"/>
    </bk>
    <bk>
      <rc t="1" v="2497"/>
    </bk>
    <bk>
      <rc t="1" v="2498"/>
    </bk>
    <bk>
      <rc t="1" v="2499"/>
    </bk>
    <bk>
      <rc t="1" v="2500"/>
    </bk>
    <bk>
      <rc t="1" v="2501"/>
    </bk>
    <bk>
      <rc t="1" v="2502"/>
    </bk>
    <bk>
      <rc t="1" v="2503"/>
    </bk>
    <bk>
      <rc t="1" v="2504"/>
    </bk>
    <bk>
      <rc t="1" v="2505"/>
    </bk>
    <bk>
      <rc t="1" v="2506"/>
    </bk>
    <bk>
      <rc t="1" v="2507"/>
    </bk>
    <bk>
      <rc t="1" v="2508"/>
    </bk>
    <bk>
      <rc t="1" v="2509"/>
    </bk>
    <bk>
      <rc t="1" v="2510"/>
    </bk>
    <bk>
      <rc t="1" v="2511"/>
    </bk>
    <bk>
      <rc t="1" v="2512"/>
    </bk>
    <bk>
      <rc t="1" v="2513"/>
    </bk>
    <bk>
      <rc t="1" v="2514"/>
    </bk>
    <bk>
      <rc t="1" v="2515"/>
    </bk>
    <bk>
      <rc t="1" v="2516"/>
    </bk>
    <bk>
      <rc t="1" v="2517"/>
    </bk>
    <bk>
      <rc t="1" v="2518"/>
    </bk>
    <bk>
      <rc t="1" v="2519"/>
    </bk>
    <bk>
      <rc t="1" v="2520"/>
    </bk>
    <bk>
      <rc t="1" v="2521"/>
    </bk>
    <bk>
      <rc t="1" v="2522"/>
    </bk>
    <bk>
      <rc t="1" v="2523"/>
    </bk>
    <bk>
      <rc t="1" v="2524"/>
    </bk>
    <bk>
      <rc t="1" v="2525"/>
    </bk>
    <bk>
      <rc t="1" v="2526"/>
    </bk>
    <bk>
      <rc t="1" v="2527"/>
    </bk>
    <bk>
      <rc t="1" v="2528"/>
    </bk>
    <bk>
      <rc t="1" v="2529"/>
    </bk>
    <bk>
      <rc t="1" v="2530"/>
    </bk>
    <bk>
      <rc t="1" v="2531"/>
    </bk>
    <bk>
      <rc t="1" v="2532"/>
    </bk>
    <bk>
      <rc t="1" v="2533"/>
    </bk>
    <bk>
      <rc t="1" v="2534"/>
    </bk>
    <bk>
      <rc t="1" v="2535"/>
    </bk>
    <bk>
      <rc t="1" v="2536"/>
    </bk>
    <bk>
      <rc t="1" v="2537"/>
    </bk>
    <bk>
      <rc t="1" v="2538"/>
    </bk>
    <bk>
      <rc t="1" v="2539"/>
    </bk>
    <bk>
      <rc t="1" v="2540"/>
    </bk>
    <bk>
      <rc t="1" v="2541"/>
    </bk>
    <bk>
      <rc t="1" v="2542"/>
    </bk>
    <bk>
      <rc t="1" v="2543"/>
    </bk>
    <bk>
      <rc t="1" v="2544"/>
    </bk>
    <bk>
      <rc t="1" v="2545"/>
    </bk>
    <bk>
      <rc t="1" v="2546"/>
    </bk>
    <bk>
      <rc t="1" v="2547"/>
    </bk>
    <bk>
      <rc t="1" v="2548"/>
    </bk>
    <bk>
      <rc t="1" v="2549"/>
    </bk>
    <bk>
      <rc t="1" v="2550"/>
    </bk>
    <bk>
      <rc t="1" v="2551"/>
    </bk>
    <bk>
      <rc t="1" v="2552"/>
    </bk>
    <bk>
      <rc t="1" v="2553"/>
    </bk>
    <bk>
      <rc t="1" v="2554"/>
    </bk>
    <bk>
      <rc t="1" v="2555"/>
    </bk>
    <bk>
      <rc t="1" v="2556"/>
    </bk>
    <bk>
      <rc t="1" v="2557"/>
    </bk>
    <bk>
      <rc t="1" v="2558"/>
    </bk>
    <bk>
      <rc t="1" v="2559"/>
    </bk>
    <bk>
      <rc t="1" v="2560"/>
    </bk>
    <bk>
      <rc t="1" v="2561"/>
    </bk>
    <bk>
      <rc t="1" v="2562"/>
    </bk>
    <bk>
      <rc t="1" v="2563"/>
    </bk>
    <bk>
      <rc t="1" v="2564"/>
    </bk>
    <bk>
      <rc t="1" v="2565"/>
    </bk>
    <bk>
      <rc t="1" v="2566"/>
    </bk>
    <bk>
      <rc t="1" v="2567"/>
    </bk>
    <bk>
      <rc t="1" v="2568"/>
    </bk>
    <bk>
      <rc t="1" v="2569"/>
    </bk>
    <bk>
      <rc t="1" v="2570"/>
    </bk>
    <bk>
      <rc t="1" v="2571"/>
    </bk>
    <bk>
      <rc t="1" v="2572"/>
    </bk>
    <bk>
      <rc t="1" v="2573"/>
    </bk>
    <bk>
      <rc t="1" v="2574"/>
    </bk>
    <bk>
      <rc t="1" v="2575"/>
    </bk>
    <bk>
      <rc t="1" v="2576"/>
    </bk>
    <bk>
      <rc t="1" v="2577"/>
    </bk>
    <bk>
      <rc t="1" v="2578"/>
    </bk>
    <bk>
      <rc t="1" v="2579"/>
    </bk>
    <bk>
      <rc t="1" v="2580"/>
    </bk>
    <bk>
      <rc t="1" v="2581"/>
    </bk>
    <bk>
      <rc t="1" v="2582"/>
    </bk>
    <bk>
      <rc t="1" v="2583"/>
    </bk>
    <bk>
      <rc t="1" v="2584"/>
    </bk>
    <bk>
      <rc t="1" v="2585"/>
    </bk>
    <bk>
      <rc t="1" v="2586"/>
    </bk>
    <bk>
      <rc t="1" v="2587"/>
    </bk>
    <bk>
      <rc t="1" v="2588"/>
    </bk>
    <bk>
      <rc t="1" v="2589"/>
    </bk>
    <bk>
      <rc t="1" v="2590"/>
    </bk>
    <bk>
      <rc t="1" v="2591"/>
    </bk>
    <bk>
      <rc t="1" v="2592"/>
    </bk>
    <bk>
      <rc t="1" v="2593"/>
    </bk>
    <bk>
      <rc t="1" v="2594"/>
    </bk>
    <bk>
      <rc t="1" v="2595"/>
    </bk>
    <bk>
      <rc t="1" v="2596"/>
    </bk>
    <bk>
      <rc t="1" v="2597"/>
    </bk>
    <bk>
      <rc t="1" v="2598"/>
    </bk>
    <bk>
      <rc t="1" v="2599"/>
    </bk>
    <bk>
      <rc t="1" v="2600"/>
    </bk>
    <bk>
      <rc t="1" v="2601"/>
    </bk>
    <bk>
      <rc t="1" v="2602"/>
    </bk>
    <bk>
      <rc t="1" v="2603"/>
    </bk>
    <bk>
      <rc t="1" v="2604"/>
    </bk>
    <bk>
      <rc t="1" v="2605"/>
    </bk>
    <bk>
      <rc t="1" v="2606"/>
    </bk>
    <bk>
      <rc t="1" v="2607"/>
    </bk>
    <bk>
      <rc t="1" v="2608"/>
    </bk>
    <bk>
      <rc t="1" v="2609"/>
    </bk>
    <bk>
      <rc t="1" v="2610"/>
    </bk>
    <bk>
      <rc t="1" v="2611"/>
    </bk>
    <bk>
      <rc t="1" v="2612"/>
    </bk>
    <bk>
      <rc t="1" v="2613"/>
    </bk>
    <bk>
      <rc t="1" v="2614"/>
    </bk>
    <bk>
      <rc t="1" v="2615"/>
    </bk>
    <bk>
      <rc t="1" v="2616"/>
    </bk>
    <bk>
      <rc t="1" v="2617"/>
    </bk>
    <bk>
      <rc t="1" v="2618"/>
    </bk>
    <bk>
      <rc t="1" v="2619"/>
    </bk>
    <bk>
      <rc t="1" v="2620"/>
    </bk>
    <bk>
      <rc t="1" v="2621"/>
    </bk>
    <bk>
      <rc t="1" v="2622"/>
    </bk>
    <bk>
      <rc t="1" v="2623"/>
    </bk>
    <bk>
      <rc t="1" v="2624"/>
    </bk>
    <bk>
      <rc t="1" v="2625"/>
    </bk>
    <bk>
      <rc t="1" v="2626"/>
    </bk>
    <bk>
      <rc t="1" v="2627"/>
    </bk>
    <bk>
      <rc t="1" v="2628"/>
    </bk>
    <bk>
      <rc t="1" v="2629"/>
    </bk>
    <bk>
      <rc t="1" v="2630"/>
    </bk>
    <bk>
      <rc t="1" v="2631"/>
    </bk>
    <bk>
      <rc t="1" v="2632"/>
    </bk>
    <bk>
      <rc t="1" v="2633"/>
    </bk>
    <bk>
      <rc t="1" v="2634"/>
    </bk>
    <bk>
      <rc t="1" v="2635"/>
    </bk>
    <bk>
      <rc t="1" v="2636"/>
    </bk>
    <bk>
      <rc t="1" v="2637"/>
    </bk>
    <bk>
      <rc t="1" v="2638"/>
    </bk>
    <bk>
      <rc t="1" v="2639"/>
    </bk>
    <bk>
      <rc t="1" v="2640"/>
    </bk>
    <bk>
      <rc t="1" v="2641"/>
    </bk>
    <bk>
      <rc t="1" v="2642"/>
    </bk>
    <bk>
      <rc t="1" v="2643"/>
    </bk>
    <bk>
      <rc t="1" v="2644"/>
    </bk>
    <bk>
      <rc t="1" v="2645"/>
    </bk>
    <bk>
      <rc t="1" v="2646"/>
    </bk>
    <bk>
      <rc t="1" v="2647"/>
    </bk>
    <bk>
      <rc t="1" v="2648"/>
    </bk>
    <bk>
      <rc t="1" v="2649"/>
    </bk>
    <bk>
      <rc t="1" v="2650"/>
    </bk>
    <bk>
      <rc t="1" v="2651"/>
    </bk>
    <bk>
      <rc t="1" v="2652"/>
    </bk>
    <bk>
      <rc t="1" v="2653"/>
    </bk>
    <bk>
      <rc t="1" v="2654"/>
    </bk>
    <bk>
      <rc t="1" v="2655"/>
    </bk>
    <bk>
      <rc t="1" v="2656"/>
    </bk>
    <bk>
      <rc t="1" v="2657"/>
    </bk>
    <bk>
      <rc t="1" v="2658"/>
    </bk>
    <bk>
      <rc t="1" v="2659"/>
    </bk>
    <bk>
      <rc t="1" v="2660"/>
    </bk>
    <bk>
      <rc t="1" v="2661"/>
    </bk>
    <bk>
      <rc t="1" v="2662"/>
    </bk>
    <bk>
      <rc t="1" v="2663"/>
    </bk>
    <bk>
      <rc t="1" v="2664"/>
    </bk>
    <bk>
      <rc t="1" v="2665"/>
    </bk>
    <bk>
      <rc t="1" v="2666"/>
    </bk>
    <bk>
      <rc t="1" v="2667"/>
    </bk>
    <bk>
      <rc t="1" v="2668"/>
    </bk>
    <bk>
      <rc t="1" v="2669"/>
    </bk>
    <bk>
      <rc t="1" v="2670"/>
    </bk>
    <bk>
      <rc t="1" v="2671"/>
    </bk>
    <bk>
      <rc t="1" v="2672"/>
    </bk>
    <bk>
      <rc t="1" v="2673"/>
    </bk>
    <bk>
      <rc t="1" v="2674"/>
    </bk>
    <bk>
      <rc t="1" v="2675"/>
    </bk>
    <bk>
      <rc t="1" v="2676"/>
    </bk>
    <bk>
      <rc t="1" v="2677"/>
    </bk>
    <bk>
      <rc t="1" v="2678"/>
    </bk>
    <bk>
      <rc t="1" v="2679"/>
    </bk>
    <bk>
      <rc t="1" v="2680"/>
    </bk>
    <bk>
      <rc t="1" v="2681"/>
    </bk>
    <bk>
      <rc t="1" v="2682"/>
    </bk>
    <bk>
      <rc t="1" v="2683"/>
    </bk>
    <bk>
      <rc t="1" v="2684"/>
    </bk>
    <bk>
      <rc t="1" v="2685"/>
    </bk>
    <bk>
      <rc t="1" v="2686"/>
    </bk>
    <bk>
      <rc t="1" v="2687"/>
    </bk>
    <bk>
      <rc t="1" v="2688"/>
    </bk>
    <bk>
      <rc t="1" v="2689"/>
    </bk>
    <bk>
      <rc t="1" v="2690"/>
    </bk>
    <bk>
      <rc t="1" v="2691"/>
    </bk>
    <bk>
      <rc t="1" v="2692"/>
    </bk>
    <bk>
      <rc t="1" v="2693"/>
    </bk>
    <bk>
      <rc t="1" v="2694"/>
    </bk>
    <bk>
      <rc t="1" v="2695"/>
    </bk>
    <bk>
      <rc t="1" v="2696"/>
    </bk>
    <bk>
      <rc t="1" v="2697"/>
    </bk>
    <bk>
      <rc t="1" v="2698"/>
    </bk>
    <bk>
      <rc t="1" v="2699"/>
    </bk>
    <bk>
      <rc t="1" v="2700"/>
    </bk>
    <bk>
      <rc t="1" v="2701"/>
    </bk>
    <bk>
      <rc t="1" v="2702"/>
    </bk>
    <bk>
      <rc t="1" v="2703"/>
    </bk>
    <bk>
      <rc t="1" v="2704"/>
    </bk>
    <bk>
      <rc t="1" v="2705"/>
    </bk>
    <bk>
      <rc t="1" v="2706"/>
    </bk>
    <bk>
      <rc t="1" v="2707"/>
    </bk>
    <bk>
      <rc t="1" v="2708"/>
    </bk>
    <bk>
      <rc t="1" v="2709"/>
    </bk>
    <bk>
      <rc t="1" v="2710"/>
    </bk>
    <bk>
      <rc t="1" v="2711"/>
    </bk>
    <bk>
      <rc t="1" v="2712"/>
    </bk>
    <bk>
      <rc t="1" v="2713"/>
    </bk>
    <bk>
      <rc t="1" v="2714"/>
    </bk>
    <bk>
      <rc t="1" v="2715"/>
    </bk>
    <bk>
      <rc t="1" v="2716"/>
    </bk>
    <bk>
      <rc t="1" v="2717"/>
    </bk>
    <bk>
      <rc t="1" v="2718"/>
    </bk>
    <bk>
      <rc t="1" v="2719"/>
    </bk>
    <bk>
      <rc t="1" v="2720"/>
    </bk>
    <bk>
      <rc t="1" v="2721"/>
    </bk>
    <bk>
      <rc t="1" v="2722"/>
    </bk>
    <bk>
      <rc t="1" v="2723"/>
    </bk>
    <bk>
      <rc t="1" v="2724"/>
    </bk>
    <bk>
      <rc t="1" v="2725"/>
    </bk>
    <bk>
      <rc t="1" v="2726"/>
    </bk>
    <bk>
      <rc t="1" v="2727"/>
    </bk>
    <bk>
      <rc t="1" v="2728"/>
    </bk>
    <bk>
      <rc t="1" v="2729"/>
    </bk>
    <bk>
      <rc t="1" v="2730"/>
    </bk>
    <bk>
      <rc t="1" v="2731"/>
    </bk>
    <bk>
      <rc t="1" v="2732"/>
    </bk>
    <bk>
      <rc t="1" v="2733"/>
    </bk>
    <bk>
      <rc t="1" v="2734"/>
    </bk>
    <bk>
      <rc t="1" v="2735"/>
    </bk>
    <bk>
      <rc t="1" v="2736"/>
    </bk>
    <bk>
      <rc t="1" v="2737"/>
    </bk>
    <bk>
      <rc t="1" v="2738"/>
    </bk>
    <bk>
      <rc t="1" v="2739"/>
    </bk>
    <bk>
      <rc t="1" v="2740"/>
    </bk>
    <bk>
      <rc t="1" v="2741"/>
    </bk>
    <bk>
      <rc t="1" v="2742"/>
    </bk>
    <bk>
      <rc t="1" v="2743"/>
    </bk>
    <bk>
      <rc t="1" v="2744"/>
    </bk>
    <bk>
      <rc t="1" v="2745"/>
    </bk>
    <bk>
      <rc t="1" v="2746"/>
    </bk>
    <bk>
      <rc t="1" v="2747"/>
    </bk>
    <bk>
      <rc t="1" v="2748"/>
    </bk>
    <bk>
      <rc t="1" v="2749"/>
    </bk>
    <bk>
      <rc t="1" v="2750"/>
    </bk>
    <bk>
      <rc t="1" v="2751"/>
    </bk>
    <bk>
      <rc t="1" v="2752"/>
    </bk>
    <bk>
      <rc t="1" v="2753"/>
    </bk>
    <bk>
      <rc t="1" v="2754"/>
    </bk>
    <bk>
      <rc t="1" v="2755"/>
    </bk>
    <bk>
      <rc t="1" v="2756"/>
    </bk>
    <bk>
      <rc t="1" v="2757"/>
    </bk>
    <bk>
      <rc t="1" v="2758"/>
    </bk>
    <bk>
      <rc t="1" v="2759"/>
    </bk>
    <bk>
      <rc t="1" v="2760"/>
    </bk>
    <bk>
      <rc t="1" v="2761"/>
    </bk>
    <bk>
      <rc t="1" v="2762"/>
    </bk>
    <bk>
      <rc t="1" v="2763"/>
    </bk>
    <bk>
      <rc t="1" v="2764"/>
    </bk>
    <bk>
      <rc t="1" v="2765"/>
    </bk>
    <bk>
      <rc t="1" v="2766"/>
    </bk>
    <bk>
      <rc t="1" v="2767"/>
    </bk>
    <bk>
      <rc t="1" v="2768"/>
    </bk>
    <bk>
      <rc t="1" v="2769"/>
    </bk>
    <bk>
      <rc t="1" v="2770"/>
    </bk>
    <bk>
      <rc t="1" v="2771"/>
    </bk>
    <bk>
      <rc t="1" v="2772"/>
    </bk>
    <bk>
      <rc t="1" v="2773"/>
    </bk>
    <bk>
      <rc t="1" v="2774"/>
    </bk>
    <bk>
      <rc t="1" v="2775"/>
    </bk>
    <bk>
      <rc t="1" v="2776"/>
    </bk>
    <bk>
      <rc t="1" v="2777"/>
    </bk>
    <bk>
      <rc t="1" v="2778"/>
    </bk>
    <bk>
      <rc t="1" v="2779"/>
    </bk>
    <bk>
      <rc t="1" v="2780"/>
    </bk>
    <bk>
      <rc t="1" v="2781"/>
    </bk>
    <bk>
      <rc t="1" v="2782"/>
    </bk>
    <bk>
      <rc t="1" v="2783"/>
    </bk>
    <bk>
      <rc t="1" v="2784"/>
    </bk>
    <bk>
      <rc t="1" v="2785"/>
    </bk>
    <bk>
      <rc t="1" v="2786"/>
    </bk>
    <bk>
      <rc t="1" v="2787"/>
    </bk>
    <bk>
      <rc t="1" v="2788"/>
    </bk>
    <bk>
      <rc t="1" v="2789"/>
    </bk>
    <bk>
      <rc t="1" v="2790"/>
    </bk>
    <bk>
      <rc t="1" v="2791"/>
    </bk>
    <bk>
      <rc t="1" v="2792"/>
    </bk>
    <bk>
      <rc t="1" v="2793"/>
    </bk>
    <bk>
      <rc t="1" v="2794"/>
    </bk>
    <bk>
      <rc t="1" v="2795"/>
    </bk>
    <bk>
      <rc t="1" v="2796"/>
    </bk>
    <bk>
      <rc t="1" v="2797"/>
    </bk>
    <bk>
      <rc t="1" v="2798"/>
    </bk>
    <bk>
      <rc t="1" v="2799"/>
    </bk>
    <bk>
      <rc t="1" v="2800"/>
    </bk>
    <bk>
      <rc t="1" v="2801"/>
    </bk>
    <bk>
      <rc t="1" v="2802"/>
    </bk>
    <bk>
      <rc t="1" v="2803"/>
    </bk>
    <bk>
      <rc t="1" v="2804"/>
    </bk>
    <bk>
      <rc t="1" v="2805"/>
    </bk>
    <bk>
      <rc t="1" v="2806"/>
    </bk>
    <bk>
      <rc t="1" v="2807"/>
    </bk>
    <bk>
      <rc t="1" v="2808"/>
    </bk>
    <bk>
      <rc t="1" v="2809"/>
    </bk>
    <bk>
      <rc t="1" v="2810"/>
    </bk>
    <bk>
      <rc t="1" v="2811"/>
    </bk>
    <bk>
      <rc t="1" v="2812"/>
    </bk>
    <bk>
      <rc t="1" v="2813"/>
    </bk>
    <bk>
      <rc t="1" v="2814"/>
    </bk>
    <bk>
      <rc t="1" v="2815"/>
    </bk>
    <bk>
      <rc t="1" v="2816"/>
    </bk>
    <bk>
      <rc t="1" v="2817"/>
    </bk>
    <bk>
      <rc t="1" v="2818"/>
    </bk>
    <bk>
      <rc t="1" v="2819"/>
    </bk>
    <bk>
      <rc t="1" v="2820"/>
    </bk>
    <bk>
      <rc t="1" v="2821"/>
    </bk>
    <bk>
      <rc t="1" v="2822"/>
    </bk>
    <bk>
      <rc t="1" v="2823"/>
    </bk>
    <bk>
      <rc t="1" v="2824"/>
    </bk>
    <bk>
      <rc t="1" v="2825"/>
    </bk>
    <bk>
      <rc t="1" v="2826"/>
    </bk>
    <bk>
      <rc t="1" v="2827"/>
    </bk>
    <bk>
      <rc t="1" v="2828"/>
    </bk>
    <bk>
      <rc t="1" v="2829"/>
    </bk>
    <bk>
      <rc t="1" v="2830"/>
    </bk>
    <bk>
      <rc t="1" v="2831"/>
    </bk>
    <bk>
      <rc t="1" v="2832"/>
    </bk>
    <bk>
      <rc t="1" v="2833"/>
    </bk>
    <bk>
      <rc t="1" v="2834"/>
    </bk>
    <bk>
      <rc t="1" v="2835"/>
    </bk>
    <bk>
      <rc t="1" v="2836"/>
    </bk>
    <bk>
      <rc t="1" v="2837"/>
    </bk>
    <bk>
      <rc t="1" v="2838"/>
    </bk>
    <bk>
      <rc t="1" v="2839"/>
    </bk>
    <bk>
      <rc t="1" v="2840"/>
    </bk>
    <bk>
      <rc t="1" v="2841"/>
    </bk>
    <bk>
      <rc t="1" v="2842"/>
    </bk>
    <bk>
      <rc t="1" v="2843"/>
    </bk>
    <bk>
      <rc t="1" v="2844"/>
    </bk>
    <bk>
      <rc t="1" v="2845"/>
    </bk>
    <bk>
      <rc t="1" v="2846"/>
    </bk>
    <bk>
      <rc t="1" v="2847"/>
    </bk>
    <bk>
      <rc t="1" v="2848"/>
    </bk>
    <bk>
      <rc t="1" v="2849"/>
    </bk>
    <bk>
      <rc t="1" v="2850"/>
    </bk>
    <bk>
      <rc t="1" v="2851"/>
    </bk>
    <bk>
      <rc t="1" v="2852"/>
    </bk>
    <bk>
      <rc t="1" v="2853"/>
    </bk>
    <bk>
      <rc t="1" v="2854"/>
    </bk>
    <bk>
      <rc t="1" v="2855"/>
    </bk>
    <bk>
      <rc t="1" v="2856"/>
    </bk>
    <bk>
      <rc t="1" v="2857"/>
    </bk>
    <bk>
      <rc t="1" v="2858"/>
    </bk>
    <bk>
      <rc t="1" v="2859"/>
    </bk>
    <bk>
      <rc t="1" v="2860"/>
    </bk>
    <bk>
      <rc t="1" v="2861"/>
    </bk>
    <bk>
      <rc t="1" v="2862"/>
    </bk>
    <bk>
      <rc t="1" v="2863"/>
    </bk>
    <bk>
      <rc t="1" v="2864"/>
    </bk>
    <bk>
      <rc t="1" v="2865"/>
    </bk>
    <bk>
      <rc t="1" v="2866"/>
    </bk>
    <bk>
      <rc t="1" v="2867"/>
    </bk>
    <bk>
      <rc t="1" v="2868"/>
    </bk>
    <bk>
      <rc t="1" v="2869"/>
    </bk>
    <bk>
      <rc t="1" v="2870"/>
    </bk>
    <bk>
      <rc t="1" v="2871"/>
    </bk>
    <bk>
      <rc t="1" v="2872"/>
    </bk>
    <bk>
      <rc t="1" v="2873"/>
    </bk>
    <bk>
      <rc t="1" v="2874"/>
    </bk>
    <bk>
      <rc t="1" v="2875"/>
    </bk>
    <bk>
      <rc t="1" v="2876"/>
    </bk>
    <bk>
      <rc t="1" v="2877"/>
    </bk>
    <bk>
      <rc t="1" v="2878"/>
    </bk>
    <bk>
      <rc t="1" v="2879"/>
    </bk>
    <bk>
      <rc t="1" v="2880"/>
    </bk>
    <bk>
      <rc t="1" v="2881"/>
    </bk>
    <bk>
      <rc t="1" v="2882"/>
    </bk>
    <bk>
      <rc t="1" v="2883"/>
    </bk>
    <bk>
      <rc t="1" v="2884"/>
    </bk>
    <bk>
      <rc t="1" v="2885"/>
    </bk>
    <bk>
      <rc t="1" v="2886"/>
    </bk>
    <bk>
      <rc t="1" v="2887"/>
    </bk>
    <bk>
      <rc t="1" v="2888"/>
    </bk>
    <bk>
      <rc t="1" v="2889"/>
    </bk>
    <bk>
      <rc t="1" v="2890"/>
    </bk>
    <bk>
      <rc t="1" v="2891"/>
    </bk>
    <bk>
      <rc t="1" v="2892"/>
    </bk>
    <bk>
      <rc t="1" v="2893"/>
    </bk>
    <bk>
      <rc t="1" v="2894"/>
    </bk>
    <bk>
      <rc t="1" v="2895"/>
    </bk>
    <bk>
      <rc t="1" v="2896"/>
    </bk>
    <bk>
      <rc t="1" v="2897"/>
    </bk>
    <bk>
      <rc t="1" v="2898"/>
    </bk>
    <bk>
      <rc t="1" v="2899"/>
    </bk>
    <bk>
      <rc t="1" v="2900"/>
    </bk>
    <bk>
      <rc t="1" v="2901"/>
    </bk>
    <bk>
      <rc t="1" v="2902"/>
    </bk>
    <bk>
      <rc t="1" v="2903"/>
    </bk>
    <bk>
      <rc t="1" v="2904"/>
    </bk>
    <bk>
      <rc t="1" v="2905"/>
    </bk>
    <bk>
      <rc t="1" v="2906"/>
    </bk>
    <bk>
      <rc t="1" v="2907"/>
    </bk>
    <bk>
      <rc t="1" v="2908"/>
    </bk>
    <bk>
      <rc t="1" v="2909"/>
    </bk>
    <bk>
      <rc t="1" v="2910"/>
    </bk>
    <bk>
      <rc t="1" v="2911"/>
    </bk>
    <bk>
      <rc t="1" v="2912"/>
    </bk>
    <bk>
      <rc t="1" v="2913"/>
    </bk>
    <bk>
      <rc t="1" v="2914"/>
    </bk>
    <bk>
      <rc t="1" v="2915"/>
    </bk>
    <bk>
      <rc t="1" v="2916"/>
    </bk>
    <bk>
      <rc t="1" v="2917"/>
    </bk>
    <bk>
      <rc t="1" v="2918"/>
    </bk>
    <bk>
      <rc t="1" v="2919"/>
    </bk>
    <bk>
      <rc t="1" v="2920"/>
    </bk>
    <bk>
      <rc t="1" v="2921"/>
    </bk>
    <bk>
      <rc t="1" v="2922"/>
    </bk>
    <bk>
      <rc t="1" v="2923"/>
    </bk>
    <bk>
      <rc t="1" v="2924"/>
    </bk>
    <bk>
      <rc t="1" v="2925"/>
    </bk>
    <bk>
      <rc t="1" v="2926"/>
    </bk>
    <bk>
      <rc t="1" v="2927"/>
    </bk>
    <bk>
      <rc t="1" v="2928"/>
    </bk>
    <bk>
      <rc t="1" v="2929"/>
    </bk>
    <bk>
      <rc t="1" v="2930"/>
    </bk>
    <bk>
      <rc t="1" v="2931"/>
    </bk>
    <bk>
      <rc t="1" v="2932"/>
    </bk>
    <bk>
      <rc t="1" v="2933"/>
    </bk>
    <bk>
      <rc t="1" v="2934"/>
    </bk>
    <bk>
      <rc t="1" v="2935"/>
    </bk>
    <bk>
      <rc t="1" v="2936"/>
    </bk>
    <bk>
      <rc t="1" v="2937"/>
    </bk>
    <bk>
      <rc t="1" v="2938"/>
    </bk>
    <bk>
      <rc t="1" v="2939"/>
    </bk>
    <bk>
      <rc t="1" v="2940"/>
    </bk>
    <bk>
      <rc t="1" v="2941"/>
    </bk>
    <bk>
      <rc t="1" v="2942"/>
    </bk>
    <bk>
      <rc t="1" v="2943"/>
    </bk>
    <bk>
      <rc t="1" v="2944"/>
    </bk>
    <bk>
      <rc t="1" v="2945"/>
    </bk>
    <bk>
      <rc t="1" v="2946"/>
    </bk>
    <bk>
      <rc t="1" v="2947"/>
    </bk>
    <bk>
      <rc t="1" v="2948"/>
    </bk>
    <bk>
      <rc t="1" v="2949"/>
    </bk>
    <bk>
      <rc t="1" v="2950"/>
    </bk>
    <bk>
      <rc t="1" v="2951"/>
    </bk>
    <bk>
      <rc t="1" v="2952"/>
    </bk>
    <bk>
      <rc t="1" v="2953"/>
    </bk>
    <bk>
      <rc t="1" v="2954"/>
    </bk>
    <bk>
      <rc t="1" v="2955"/>
    </bk>
    <bk>
      <rc t="1" v="2956"/>
    </bk>
    <bk>
      <rc t="1" v="2957"/>
    </bk>
    <bk>
      <rc t="1" v="2958"/>
    </bk>
    <bk>
      <rc t="1" v="2959"/>
    </bk>
    <bk>
      <rc t="1" v="2960"/>
    </bk>
    <bk>
      <rc t="1" v="2961"/>
    </bk>
    <bk>
      <rc t="1" v="2962"/>
    </bk>
    <bk>
      <rc t="1" v="2963"/>
    </bk>
    <bk>
      <rc t="1" v="2964"/>
    </bk>
    <bk>
      <rc t="1" v="2965"/>
    </bk>
    <bk>
      <rc t="1" v="2966"/>
    </bk>
    <bk>
      <rc t="1" v="2967"/>
    </bk>
    <bk>
      <rc t="1" v="2968"/>
    </bk>
    <bk>
      <rc t="1" v="2969"/>
    </bk>
    <bk>
      <rc t="1" v="2970"/>
    </bk>
    <bk>
      <rc t="1" v="2971"/>
    </bk>
    <bk>
      <rc t="1" v="2972"/>
    </bk>
    <bk>
      <rc t="1" v="2973"/>
    </bk>
    <bk>
      <rc t="1" v="2974"/>
    </bk>
    <bk>
      <rc t="1" v="2975"/>
    </bk>
    <bk>
      <rc t="1" v="2976"/>
    </bk>
    <bk>
      <rc t="1" v="2977"/>
    </bk>
    <bk>
      <rc t="1" v="2978"/>
    </bk>
    <bk>
      <rc t="1" v="2979"/>
    </bk>
    <bk>
      <rc t="1" v="2980"/>
    </bk>
    <bk>
      <rc t="1" v="2981"/>
    </bk>
    <bk>
      <rc t="1" v="2982"/>
    </bk>
    <bk>
      <rc t="1" v="2983"/>
    </bk>
    <bk>
      <rc t="1" v="2984"/>
    </bk>
    <bk>
      <rc t="1" v="2985"/>
    </bk>
    <bk>
      <rc t="1" v="2986"/>
    </bk>
    <bk>
      <rc t="1" v="2987"/>
    </bk>
    <bk>
      <rc t="1" v="2988"/>
    </bk>
    <bk>
      <rc t="1" v="2989"/>
    </bk>
    <bk>
      <rc t="1" v="2990"/>
    </bk>
    <bk>
      <rc t="1" v="2991"/>
    </bk>
    <bk>
      <rc t="1" v="2992"/>
    </bk>
    <bk>
      <rc t="1" v="2993"/>
    </bk>
    <bk>
      <rc t="1" v="2994"/>
    </bk>
    <bk>
      <rc t="1" v="2995"/>
    </bk>
    <bk>
      <rc t="1" v="2996"/>
    </bk>
    <bk>
      <rc t="1" v="2997"/>
    </bk>
    <bk>
      <rc t="1" v="2998"/>
    </bk>
    <bk>
      <rc t="1" v="2999"/>
    </bk>
    <bk>
      <rc t="1" v="3000"/>
    </bk>
    <bk>
      <rc t="1" v="3001"/>
    </bk>
    <bk>
      <rc t="1" v="3002"/>
    </bk>
    <bk>
      <rc t="1" v="3003"/>
    </bk>
    <bk>
      <rc t="1" v="3004"/>
    </bk>
    <bk>
      <rc t="1" v="3005"/>
    </bk>
    <bk>
      <rc t="1" v="3006"/>
    </bk>
    <bk>
      <rc t="1" v="3007"/>
    </bk>
    <bk>
      <rc t="1" v="3008"/>
    </bk>
    <bk>
      <rc t="1" v="3009"/>
    </bk>
    <bk>
      <rc t="1" v="3010"/>
    </bk>
    <bk>
      <rc t="1" v="3011"/>
    </bk>
    <bk>
      <rc t="1" v="3012"/>
    </bk>
    <bk>
      <rc t="1" v="3013"/>
    </bk>
    <bk>
      <rc t="1" v="3014"/>
    </bk>
    <bk>
      <rc t="1" v="3015"/>
    </bk>
    <bk>
      <rc t="1" v="3016"/>
    </bk>
    <bk>
      <rc t="1" v="3017"/>
    </bk>
    <bk>
      <rc t="1" v="3018"/>
    </bk>
    <bk>
      <rc t="1" v="3019"/>
    </bk>
    <bk>
      <rc t="1" v="3020"/>
    </bk>
    <bk>
      <rc t="1" v="3021"/>
    </bk>
    <bk>
      <rc t="1" v="3022"/>
    </bk>
    <bk>
      <rc t="1" v="3023"/>
    </bk>
    <bk>
      <rc t="1" v="3024"/>
    </bk>
    <bk>
      <rc t="1" v="3025"/>
    </bk>
    <bk>
      <rc t="1" v="3026"/>
    </bk>
    <bk>
      <rc t="1" v="3027"/>
    </bk>
    <bk>
      <rc t="1" v="3028"/>
    </bk>
    <bk>
      <rc t="1" v="3029"/>
    </bk>
    <bk>
      <rc t="1" v="3030"/>
    </bk>
    <bk>
      <rc t="1" v="3031"/>
    </bk>
    <bk>
      <rc t="1" v="3032"/>
    </bk>
    <bk>
      <rc t="1" v="3033"/>
    </bk>
    <bk>
      <rc t="1" v="3034"/>
    </bk>
    <bk>
      <rc t="1" v="3035"/>
    </bk>
    <bk>
      <rc t="1" v="3036"/>
    </bk>
    <bk>
      <rc t="1" v="3037"/>
    </bk>
    <bk>
      <rc t="1" v="3038"/>
    </bk>
    <bk>
      <rc t="1" v="3039"/>
    </bk>
    <bk>
      <rc t="1" v="3040"/>
    </bk>
    <bk>
      <rc t="1" v="3041"/>
    </bk>
    <bk>
      <rc t="1" v="3042"/>
    </bk>
    <bk>
      <rc t="1" v="3043"/>
    </bk>
    <bk>
      <rc t="1" v="3044"/>
    </bk>
    <bk>
      <rc t="1" v="3045"/>
    </bk>
    <bk>
      <rc t="1" v="3046"/>
    </bk>
    <bk>
      <rc t="1" v="3047"/>
    </bk>
    <bk>
      <rc t="1" v="3048"/>
    </bk>
    <bk>
      <rc t="1" v="3049"/>
    </bk>
    <bk>
      <rc t="1" v="3050"/>
    </bk>
    <bk>
      <rc t="1" v="3051"/>
    </bk>
    <bk>
      <rc t="1" v="3052"/>
    </bk>
    <bk>
      <rc t="1" v="3053"/>
    </bk>
    <bk>
      <rc t="1" v="3054"/>
    </bk>
    <bk>
      <rc t="1" v="3055"/>
    </bk>
    <bk>
      <rc t="1" v="3056"/>
    </bk>
    <bk>
      <rc t="1" v="3057"/>
    </bk>
    <bk>
      <rc t="1" v="3058"/>
    </bk>
    <bk>
      <rc t="1" v="3059"/>
    </bk>
    <bk>
      <rc t="1" v="3060"/>
    </bk>
    <bk>
      <rc t="1" v="3061"/>
    </bk>
    <bk>
      <rc t="1" v="3062"/>
    </bk>
    <bk>
      <rc t="1" v="3063"/>
    </bk>
    <bk>
      <rc t="1" v="3064"/>
    </bk>
    <bk>
      <rc t="1" v="3065"/>
    </bk>
    <bk>
      <rc t="1" v="3066"/>
    </bk>
    <bk>
      <rc t="1" v="3067"/>
    </bk>
    <bk>
      <rc t="1" v="3068"/>
    </bk>
    <bk>
      <rc t="1" v="3069"/>
    </bk>
    <bk>
      <rc t="1" v="3070"/>
    </bk>
    <bk>
      <rc t="1" v="3071"/>
    </bk>
    <bk>
      <rc t="1" v="3072"/>
    </bk>
    <bk>
      <rc t="1" v="3073"/>
    </bk>
    <bk>
      <rc t="1" v="3074"/>
    </bk>
    <bk>
      <rc t="1" v="3075"/>
    </bk>
    <bk>
      <rc t="1" v="3076"/>
    </bk>
    <bk>
      <rc t="1" v="3077"/>
    </bk>
    <bk>
      <rc t="1" v="3078"/>
    </bk>
    <bk>
      <rc t="1" v="3079"/>
    </bk>
    <bk>
      <rc t="1" v="3080"/>
    </bk>
    <bk>
      <rc t="1" v="3081"/>
    </bk>
    <bk>
      <rc t="1" v="3082"/>
    </bk>
    <bk>
      <rc t="1" v="3083"/>
    </bk>
    <bk>
      <rc t="1" v="3084"/>
    </bk>
    <bk>
      <rc t="1" v="3085"/>
    </bk>
    <bk>
      <rc t="1" v="3086"/>
    </bk>
    <bk>
      <rc t="1" v="3087"/>
    </bk>
    <bk>
      <rc t="1" v="3088"/>
    </bk>
    <bk>
      <rc t="1" v="3089"/>
    </bk>
    <bk>
      <rc t="1" v="3090"/>
    </bk>
    <bk>
      <rc t="1" v="3091"/>
    </bk>
    <bk>
      <rc t="1" v="3092"/>
    </bk>
    <bk>
      <rc t="1" v="3093"/>
    </bk>
    <bk>
      <rc t="1" v="3094"/>
    </bk>
    <bk>
      <rc t="1" v="3095"/>
    </bk>
    <bk>
      <rc t="1" v="3096"/>
    </bk>
    <bk>
      <rc t="1" v="3097"/>
    </bk>
    <bk>
      <rc t="1" v="3098"/>
    </bk>
    <bk>
      <rc t="1" v="3099"/>
    </bk>
    <bk>
      <rc t="1" v="3100"/>
    </bk>
    <bk>
      <rc t="1" v="3101"/>
    </bk>
    <bk>
      <rc t="1" v="3102"/>
    </bk>
    <bk>
      <rc t="1" v="3103"/>
    </bk>
    <bk>
      <rc t="1" v="3104"/>
    </bk>
    <bk>
      <rc t="1" v="3105"/>
    </bk>
    <bk>
      <rc t="1" v="3106"/>
    </bk>
    <bk>
      <rc t="1" v="3107"/>
    </bk>
    <bk>
      <rc t="1" v="3108"/>
    </bk>
    <bk>
      <rc t="1" v="3109"/>
    </bk>
    <bk>
      <rc t="1" v="3110"/>
    </bk>
    <bk>
      <rc t="1" v="3111"/>
    </bk>
    <bk>
      <rc t="1" v="3112"/>
    </bk>
    <bk>
      <rc t="1" v="3113"/>
    </bk>
    <bk>
      <rc t="1" v="3114"/>
    </bk>
    <bk>
      <rc t="1" v="3115"/>
    </bk>
    <bk>
      <rc t="1" v="3116"/>
    </bk>
    <bk>
      <rc t="1" v="3117"/>
    </bk>
    <bk>
      <rc t="1" v="3118"/>
    </bk>
    <bk>
      <rc t="1" v="3119"/>
    </bk>
    <bk>
      <rc t="1" v="3120"/>
    </bk>
    <bk>
      <rc t="1" v="3121"/>
    </bk>
    <bk>
      <rc t="1" v="3122"/>
    </bk>
    <bk>
      <rc t="1" v="3123"/>
    </bk>
    <bk>
      <rc t="1" v="3124"/>
    </bk>
    <bk>
      <rc t="1" v="3125"/>
    </bk>
    <bk>
      <rc t="1" v="3126"/>
    </bk>
    <bk>
      <rc t="1" v="3127"/>
    </bk>
    <bk>
      <rc t="1" v="3128"/>
    </bk>
    <bk>
      <rc t="1" v="3129"/>
    </bk>
    <bk>
      <rc t="1" v="3130"/>
    </bk>
    <bk>
      <rc t="1" v="3131"/>
    </bk>
    <bk>
      <rc t="1" v="3132"/>
    </bk>
    <bk>
      <rc t="1" v="3133"/>
    </bk>
    <bk>
      <rc t="1" v="3134"/>
    </bk>
    <bk>
      <rc t="1" v="3135"/>
    </bk>
    <bk>
      <rc t="1" v="3136"/>
    </bk>
    <bk>
      <rc t="1" v="3137"/>
    </bk>
    <bk>
      <rc t="1" v="3138"/>
    </bk>
    <bk>
      <rc t="1" v="3139"/>
    </bk>
    <bk>
      <rc t="1" v="3140"/>
    </bk>
    <bk>
      <rc t="1" v="3141"/>
    </bk>
    <bk>
      <rc t="1" v="3142"/>
    </bk>
    <bk>
      <rc t="1" v="3143"/>
    </bk>
    <bk>
      <rc t="1" v="3144"/>
    </bk>
    <bk>
      <rc t="1" v="3145"/>
    </bk>
  </valueMetadata>
</metadata>
</file>

<file path=xl/sharedStrings.xml><?xml version="1.0" encoding="utf-8"?>
<sst xmlns="http://schemas.openxmlformats.org/spreadsheetml/2006/main" count="25700" uniqueCount="1535">
  <si>
    <t>Регион</t>
  </si>
  <si>
    <t>Продажно место</t>
  </si>
  <si>
    <t>Поштенски код</t>
  </si>
  <si>
    <t>Регистар име</t>
  </si>
  <si>
    <t>Услуга име</t>
  </si>
  <si>
    <t>Период</t>
  </si>
  <si>
    <t>Трансакции</t>
  </si>
  <si>
    <t>On-line</t>
  </si>
  <si>
    <t>Заложен регистар</t>
  </si>
  <si>
    <t>Други неспомнати услуги</t>
  </si>
  <si>
    <t>Издавање на потврда за издадена информација</t>
  </si>
  <si>
    <t>Конечен упис на пријавата до 30 заложени средства</t>
  </si>
  <si>
    <t>Конечен упис на пријавата над 30 заложени средства</t>
  </si>
  <si>
    <t>Отпечаток од скенирани записи</t>
  </si>
  <si>
    <t>Привремен упис на пријавата до 30 заложени средства</t>
  </si>
  <si>
    <t>Привремен упис на пријавата над 30 заложени средства</t>
  </si>
  <si>
    <t>Упис на бришење на залог – престанок на заложно право</t>
  </si>
  <si>
    <t>Упис на промени за останати промени (заложен доверител, вредност на обезбеденото побарување, рокот на пристигнатост на побарувањето и др)</t>
  </si>
  <si>
    <t>Упис на промени на заложени средства (до 30) и/или заложен должник</t>
  </si>
  <si>
    <t>Упис на промени на заложени средства (над 30) и/или заложен должник</t>
  </si>
  <si>
    <t>ПКД</t>
  </si>
  <si>
    <t>Изработени предмети</t>
  </si>
  <si>
    <t>Потврда дека не е впишана главна парична казна</t>
  </si>
  <si>
    <t>Потврда дека не е впишана споредна казна забрана за добивање дозвола, лиценца, концесија, овластување или друго право утврдено со посебен закон</t>
  </si>
  <si>
    <t>Потврда дека не е впишана споредна казна забрана за користење на субвенции и други поволни кредити</t>
  </si>
  <si>
    <t>Потврда дека не е впишана споредна казна забрана за основање на нови правни лица</t>
  </si>
  <si>
    <t>Потврда дека не е впишана споредна казна забрана за учество во постапки за јавен повик, доделување на договори за јавна набавка и договори за јавно - приватно партнерство</t>
  </si>
  <si>
    <t>Потврда дека не е впишана споредна казна одземање на дозвола, лиценца, концесија, овластување или друго право утврдено со посебен закон</t>
  </si>
  <si>
    <t>Потврда дека не е впишана споредна казна престанок на правното лице</t>
  </si>
  <si>
    <t>Потврда дека не е впишана споредна казна привремена забрана за вршење на одделна дејност</t>
  </si>
  <si>
    <t>Потврда дека не е впишана споредна казна трајна забрана за вршење на одделна дејност</t>
  </si>
  <si>
    <t>Потврда дека не е изречена прекршочна санкција забрана за вршење професија,дејност или должност</t>
  </si>
  <si>
    <t>Потврда дека не е изречена прекршочна санкција привремена забрана за вршење одделна дејност</t>
  </si>
  <si>
    <t>Регистар за задолжница</t>
  </si>
  <si>
    <t>Издавање на информација</t>
  </si>
  <si>
    <t>Регистар на вложувања во недвижности на нерезиденти во РМ</t>
  </si>
  <si>
    <t>Бришење од регистарот итна постапка</t>
  </si>
  <si>
    <t>Бришење од регистарот редовна постапка</t>
  </si>
  <si>
    <t>Други неспомнати услуги - пребарување низ базата на АКН</t>
  </si>
  <si>
    <t>Издадени информации</t>
  </si>
  <si>
    <t>Регистрација на вложување итна постапка</t>
  </si>
  <si>
    <t>Регистрација на вложување редовна постапка</t>
  </si>
  <si>
    <t>Регистрација на промена итна постапка</t>
  </si>
  <si>
    <t>Регистрација на промена редовна постапка</t>
  </si>
  <si>
    <t>Регистар на вложувања во недвижности на резиденти во странство</t>
  </si>
  <si>
    <t>Регистар на годишни сметки</t>
  </si>
  <si>
    <t>Анализа на 
паричен 
тек и промени на капиталот 489 ден.</t>
  </si>
  <si>
    <t>Други неспомнати дејствија
505,00 ден.</t>
  </si>
  <si>
    <t>Извештај за БС и податоци од БУ 1.750,00 ден.</t>
  </si>
  <si>
    <t>Информација за економско финансиска состојба 1.750,00 ден.</t>
  </si>
  <si>
    <t>Информација за структура на приходи по дејности (СПД) 509,00 ден.</t>
  </si>
  <si>
    <t>Листинг од обработена 
годишна сметка 
и гот.текови 
и оценка 
769,00 ден.</t>
  </si>
  <si>
    <t>Листинг од обработена годишна сметка и 
оценка 595,00 ден.</t>
  </si>
  <si>
    <t>Листинг од обработена годишна сметка со податоци од БС и БУ 699,00 ден.</t>
  </si>
  <si>
    <t>Листинг од обработена годишна сметка со податоци од БС, БУ и гот. 
Текови (англиски) 1.049,00 ден.</t>
  </si>
  <si>
    <t>Листинг од обработена годишна сметка со податоци од БС, БУ и гот. текови 875,00 ден.</t>
  </si>
  <si>
    <t>Оценка на ликвидност со мислење 
349,00 ден.</t>
  </si>
  <si>
    <t>Писма-Информација за новоосновани субјекти кои започнале со 
работа во тековната година 
255,00 ден.</t>
  </si>
  <si>
    <t>Поединечен податок
70,00 ден.</t>
  </si>
  <si>
    <t>Скратен исказ од ГС со оценка на работењето
350,00 ден.</t>
  </si>
  <si>
    <t>Скратен исказ од ГС
254,00 ден.</t>
  </si>
  <si>
    <t>Фотокопија од годишна сметка 505,00 ден.</t>
  </si>
  <si>
    <t>Регистар на директни инвестиции</t>
  </si>
  <si>
    <t>Актуелна состојба на инветицијата</t>
  </si>
  <si>
    <t>Бришење од регистарот</t>
  </si>
  <si>
    <t>Издадено фотокопие и отпечаток од скенирани записи</t>
  </si>
  <si>
    <t>Информација за збирен податок</t>
  </si>
  <si>
    <t>Информација за поединечен податок</t>
  </si>
  <si>
    <t>Историјат на инвестицијата</t>
  </si>
  <si>
    <t>Регистрација на вложување</t>
  </si>
  <si>
    <t>Регистрација на промена</t>
  </si>
  <si>
    <t>Увид во досие</t>
  </si>
  <si>
    <t>Регистар на лизинг</t>
  </si>
  <si>
    <t>Бришење на регистриран лизинг</t>
  </si>
  <si>
    <t>Промена на регистрација на лизинг</t>
  </si>
  <si>
    <t>Регистрација на лизинг</t>
  </si>
  <si>
    <t>Регистар на права врз недвижности</t>
  </si>
  <si>
    <t>Издавање на информации</t>
  </si>
  <si>
    <t>Трговски регистар и регистар на други правни субјекти</t>
  </si>
  <si>
    <t>Други не спомнати дејствија
505,00 ден.</t>
  </si>
  <si>
    <t>Заверка на фотокопија од Решение со прилози 25,00 ден. од страна</t>
  </si>
  <si>
    <t>Информација за стечај или ликвидација
257,00 ден.</t>
  </si>
  <si>
    <t>Историјат од 01.01.2006 год.
1.245,00 ден.</t>
  </si>
  <si>
    <t>Корекција</t>
  </si>
  <si>
    <t>Објава за ликвидација</t>
  </si>
  <si>
    <t>Останато</t>
  </si>
  <si>
    <t>Отпечаток од скенирани записи (200,00 ден. до 10 стр. + 5 ден. од страна)</t>
  </si>
  <si>
    <t>Поединечен податок
101,00 ден.</t>
  </si>
  <si>
    <t>Регистрирана дејност
248,00 ден.</t>
  </si>
  <si>
    <t>Тековна состојба
256,00 ден</t>
  </si>
  <si>
    <t>Увид во регистарска влошка 752,00 ден.</t>
  </si>
  <si>
    <t>Упис на бришење</t>
  </si>
  <si>
    <t>Упис на ликвидација</t>
  </si>
  <si>
    <t>Упис на основање</t>
  </si>
  <si>
    <t>Упис на промена</t>
  </si>
  <si>
    <t>Упис на работно време</t>
  </si>
  <si>
    <t>Упис на статусна промена</t>
  </si>
  <si>
    <t>Упис на стечај</t>
  </si>
  <si>
    <t>Фотокопија од Решение со прилози (200,00 ден. до 10 стр. + 5 ден. од страна)</t>
  </si>
  <si>
    <t>РРК Битола</t>
  </si>
  <si>
    <t>Битола</t>
  </si>
  <si>
    <t>Кичево</t>
  </si>
  <si>
    <t>Ресен</t>
  </si>
  <si>
    <t>РРК Велес</t>
  </si>
  <si>
    <t>Велес</t>
  </si>
  <si>
    <t>Гевгелија</t>
  </si>
  <si>
    <t>Кавадарци</t>
  </si>
  <si>
    <t>Неготино</t>
  </si>
  <si>
    <t>РРК Кочани</t>
  </si>
  <si>
    <t>Берово</t>
  </si>
  <si>
    <t>Виница</t>
  </si>
  <si>
    <t>Делчево</t>
  </si>
  <si>
    <t>Кочани</t>
  </si>
  <si>
    <t>РРК Куманово</t>
  </si>
  <si>
    <t>Крива Паланка</t>
  </si>
  <si>
    <t>Куманово</t>
  </si>
  <si>
    <t>РРК Охрид</t>
  </si>
  <si>
    <t>Дебар</t>
  </si>
  <si>
    <t>Охрид</t>
  </si>
  <si>
    <t>Струга</t>
  </si>
  <si>
    <t>РРК Прилеп</t>
  </si>
  <si>
    <t>Македонски Брод</t>
  </si>
  <si>
    <t>Прилеп</t>
  </si>
  <si>
    <t>РРК Струмица</t>
  </si>
  <si>
    <t>Валандово</t>
  </si>
  <si>
    <t>Радовиш</t>
  </si>
  <si>
    <t>Струмица</t>
  </si>
  <si>
    <t>РРК Тетово</t>
  </si>
  <si>
    <t>Гостивар</t>
  </si>
  <si>
    <t>Тетово</t>
  </si>
  <si>
    <t>РРК Штип</t>
  </si>
  <si>
    <t>Пробиштип</t>
  </si>
  <si>
    <t>Св.Николе</t>
  </si>
  <si>
    <t>Штип</t>
  </si>
  <si>
    <t>РРК Скопје</t>
  </si>
  <si>
    <t>Скопје</t>
  </si>
  <si>
    <t>Sum of Износ</t>
  </si>
  <si>
    <t>Column Labels</t>
  </si>
  <si>
    <t>Grand Total</t>
  </si>
  <si>
    <t>Месец</t>
  </si>
  <si>
    <t>Jan</t>
  </si>
  <si>
    <t>Feb</t>
  </si>
  <si>
    <t>Mar</t>
  </si>
  <si>
    <t>Apr</t>
  </si>
  <si>
    <t>May</t>
  </si>
  <si>
    <t>Jun</t>
  </si>
  <si>
    <t>Jul</t>
  </si>
  <si>
    <t>Aug</t>
  </si>
  <si>
    <t>Sep</t>
  </si>
  <si>
    <t>Oct</t>
  </si>
  <si>
    <t>Nov</t>
  </si>
  <si>
    <t>Година</t>
  </si>
  <si>
    <t>ReportType</t>
  </si>
  <si>
    <t>Вкупно</t>
  </si>
  <si>
    <t>Тип на издаток</t>
  </si>
  <si>
    <t>CAPEX (капитални инвестиции)</t>
  </si>
  <si>
    <t>OPEX (оперативни трошоци (без амортизација)</t>
  </si>
  <si>
    <t>Вкупно расходи без амортизација</t>
  </si>
  <si>
    <t>Оперативна добивка (EBITDA)</t>
  </si>
  <si>
    <t>Нето добивка</t>
  </si>
  <si>
    <t>Оперативна добивка - маржа, %</t>
  </si>
  <si>
    <t>Нето добивка - маржа, %</t>
  </si>
  <si>
    <t>Dec</t>
  </si>
  <si>
    <t>2019</t>
  </si>
  <si>
    <t>2.31. Вкупно оперативни приходи (29+30)</t>
  </si>
  <si>
    <t>2.38. Вкупно оперативни расходи (32+33+34+35+36+37)</t>
  </si>
  <si>
    <t>2.42. Добивка пред оданочување (39+40-41)</t>
  </si>
  <si>
    <t>2.39. Добивка од оперативно работење (31-38)</t>
  </si>
  <si>
    <t>Вкупни оперативни приходи</t>
  </si>
  <si>
    <t>Вкупно останати приходи</t>
  </si>
  <si>
    <t>Вкупно приходи</t>
  </si>
  <si>
    <t>Вкупно оперативни расходи</t>
  </si>
  <si>
    <t>4.2. Останати расходи</t>
  </si>
  <si>
    <t>Вкупно расходи</t>
  </si>
  <si>
    <t>3. СПЕЦИФИРАНИ ПРИХОДИ по квартали</t>
  </si>
  <si>
    <t>4. СПЕЦИФИРАНИ РАСХОДИ по квартали</t>
  </si>
  <si>
    <t>Вкупно останати расходи</t>
  </si>
  <si>
    <t>АКТИВА</t>
  </si>
  <si>
    <t>1.6. Тековна актива (1 + 2 + 3 + 4 + 5)</t>
  </si>
  <si>
    <t>1.12. Вкупна актива (6 + 7 + 8 + 9 + 10 + 11 )</t>
  </si>
  <si>
    <t>ПАСИВА (Обврски и Акционерски капитал)</t>
  </si>
  <si>
    <t>1.16 Тековни обврски (14+15)</t>
  </si>
  <si>
    <t>1.19. Нетековни обврски (14+15)</t>
  </si>
  <si>
    <t>1.20. Обврски (16+19)</t>
  </si>
  <si>
    <t>1.26. Вкупен капитал (21+22+23+24+25)</t>
  </si>
  <si>
    <t>1.27. Вкупно Обврски и капитал (20+26)</t>
  </si>
  <si>
    <t>(Multiple Items)</t>
  </si>
  <si>
    <t>Pomosen bilans na sostojba, ne pipaj!!!</t>
  </si>
  <si>
    <t>Структурна Анализа Тековна година (%)</t>
  </si>
  <si>
    <t>Нераспределена добивка на почетокот на периодот</t>
  </si>
  <si>
    <t>Нето добивка/загуба за деловната година</t>
  </si>
  <si>
    <t>Резерви</t>
  </si>
  <si>
    <t>Ревалоризациони резерви</t>
  </si>
  <si>
    <t>Дивиденда</t>
  </si>
  <si>
    <t>Усогласувања на задржаната добивка</t>
  </si>
  <si>
    <t>7. ИЗВЕШТАЈ ЗА ПРОМЕНИТЕ ВО КАПИТАЛОТ по квартали</t>
  </si>
  <si>
    <t>Амортизација на материјални средства</t>
  </si>
  <si>
    <t>Вредносно усогласување на тековни средства</t>
  </si>
  <si>
    <t>Побарувања од купувачите</t>
  </si>
  <si>
    <t>Залихи</t>
  </si>
  <si>
    <t>Обврски кон добавувачи</t>
  </si>
  <si>
    <t>АВР</t>
  </si>
  <si>
    <t>ПВР</t>
  </si>
  <si>
    <t>Парични средства од оперативни активности</t>
  </si>
  <si>
    <t>Парични средства од инвестиции</t>
  </si>
  <si>
    <t>Парични средства од финансиски активности</t>
  </si>
  <si>
    <t>Краткорочни обврски</t>
  </si>
  <si>
    <t>Долгорочни обврски</t>
  </si>
  <si>
    <t>Капитал</t>
  </si>
  <si>
    <t>Исплатена дивиденда</t>
  </si>
  <si>
    <t>Нето зголемување / намалување на паричните текови</t>
  </si>
  <si>
    <t>Парични средства на почетокот на периодот</t>
  </si>
  <si>
    <t>Парични средства на крајот на периодот</t>
  </si>
  <si>
    <t>8. ИЗВЕШТАЈ ЗА ПАРИЧНИТЕ ТЕКОВИ по месеци</t>
  </si>
  <si>
    <t>претходни салда</t>
  </si>
  <si>
    <t>разлика</t>
  </si>
  <si>
    <t xml:space="preserve">9. ПРЕГЛЕД НА КВАРТАЛНИ ПОДАТОЦИ </t>
  </si>
  <si>
    <t>Тековна актива</t>
  </si>
  <si>
    <t>Тековни обрвски</t>
  </si>
  <si>
    <t>Вкупно приходи од дејноста</t>
  </si>
  <si>
    <t>Вкупно расходи од дејноста</t>
  </si>
  <si>
    <t>Трошоци за плата</t>
  </si>
  <si>
    <t>Просечен број на вработени</t>
  </si>
  <si>
    <t>Вкупно трошоци за кредити</t>
  </si>
  <si>
    <t xml:space="preserve">Капитал </t>
  </si>
  <si>
    <t>Добивка / Загуба</t>
  </si>
  <si>
    <t>Вкупно материјални средства</t>
  </si>
  <si>
    <t>Вкупно нематеријални с-ва</t>
  </si>
  <si>
    <t xml:space="preserve">Вкупно средства </t>
  </si>
  <si>
    <t>Нето добивка / загуба пред оданочување</t>
  </si>
  <si>
    <t>проверка</t>
  </si>
  <si>
    <t>Вкупен капитал на крај на периодот</t>
  </si>
  <si>
    <t>Конто</t>
  </si>
  <si>
    <t>Приходи од донации (сразмерно на амортизација)</t>
  </si>
  <si>
    <t>ова не може да се направи без реални податоци за амртизација</t>
  </si>
  <si>
    <t>Показател на моментална ликвидност</t>
  </si>
  <si>
    <t>=</t>
  </si>
  <si>
    <t>43030</t>
  </si>
  <si>
    <t>Year</t>
  </si>
  <si>
    <t>План</t>
  </si>
  <si>
    <t>Month</t>
  </si>
  <si>
    <t>4.1. Расходи од дејноста</t>
  </si>
  <si>
    <t>Row Labels</t>
  </si>
  <si>
    <t>2.34. Амортизација на материјални средства</t>
  </si>
  <si>
    <t>ObrazecIme</t>
  </si>
  <si>
    <t>Finansiski plan_Bilans na uspeh</t>
  </si>
  <si>
    <t>Споредбена анализа
оств. тек. Година / оств. претх. год (%)</t>
  </si>
  <si>
    <t>Споредбена анализа
план. идна година / оств. тек. год (%)</t>
  </si>
  <si>
    <t>Предвидување</t>
  </si>
  <si>
    <t>Споредбена анализа
оств. тек. година / оств. претх. год (%)</t>
  </si>
  <si>
    <t>2020 Total</t>
  </si>
  <si>
    <t>2019-001</t>
  </si>
  <si>
    <t>2019-002</t>
  </si>
  <si>
    <t>2019-003</t>
  </si>
  <si>
    <t>2019-004</t>
  </si>
  <si>
    <t>2019-005</t>
  </si>
  <si>
    <t>2019-006</t>
  </si>
  <si>
    <t>2019-007</t>
  </si>
  <si>
    <t>2019-008</t>
  </si>
  <si>
    <t>2019-009</t>
  </si>
  <si>
    <t>2019-011</t>
  </si>
  <si>
    <t>2019-013</t>
  </si>
  <si>
    <t>2019-014</t>
  </si>
  <si>
    <t>2019-015</t>
  </si>
  <si>
    <t>2019-016</t>
  </si>
  <si>
    <t>2020-002</t>
  </si>
  <si>
    <t>2020-003</t>
  </si>
  <si>
    <t>2020-004</t>
  </si>
  <si>
    <t>2020-006</t>
  </si>
  <si>
    <t>Број на јавна набавка (план)</t>
  </si>
  <si>
    <t>Предмет на договорот за јавна набавка</t>
  </si>
  <si>
    <t>2019-010</t>
  </si>
  <si>
    <t>Finansiski plan_Bilans na sostojba</t>
  </si>
  <si>
    <t>Amortizacija okt-dek 2019</t>
  </si>
  <si>
    <t>promena 10-12</t>
  </si>
  <si>
    <t>Saldo 31.12.2019</t>
  </si>
  <si>
    <t>DateColumn</t>
  </si>
  <si>
    <t>Dec Total</t>
  </si>
  <si>
    <t>43030 Total</t>
  </si>
  <si>
    <t>treba da se podelat po sredstva</t>
  </si>
  <si>
    <t>2020-001</t>
  </si>
  <si>
    <t>2020-007</t>
  </si>
  <si>
    <t>2020-008</t>
  </si>
  <si>
    <t>2019-017</t>
  </si>
  <si>
    <t>2019-018</t>
  </si>
  <si>
    <t>2020-005</t>
  </si>
  <si>
    <t>2019-012</t>
  </si>
  <si>
    <t>2020-009</t>
  </si>
  <si>
    <t>Очекуван датум на плаќање</t>
  </si>
  <si>
    <t>Конто Средства</t>
  </si>
  <si>
    <t>0030</t>
  </si>
  <si>
    <t>01341</t>
  </si>
  <si>
    <t>01363</t>
  </si>
  <si>
    <t>Очекуван датум за ставање во употреба (месец)</t>
  </si>
  <si>
    <t>Материјални</t>
  </si>
  <si>
    <t>Нематеријални</t>
  </si>
  <si>
    <t>43134</t>
  </si>
  <si>
    <t>43134 Total</t>
  </si>
  <si>
    <t>Вкупна амортизација за во БС</t>
  </si>
  <si>
    <t>0191001</t>
  </si>
  <si>
    <t>0031</t>
  </si>
  <si>
    <t>Остварено</t>
  </si>
  <si>
    <t>ТРОШОЦИ ЗА ПЛАТИ И ПРИДОНЕСИ</t>
  </si>
  <si>
    <t>ПРОСЕЧЕН БРОЈ НА ВРАБОТЕНИ</t>
  </si>
  <si>
    <t>n.a.</t>
  </si>
  <si>
    <t xml:space="preserve">Вкупно расходи </t>
  </si>
  <si>
    <t>4.1.11 - Надомест на трошоци на вработените, подароци и помошти</t>
  </si>
  <si>
    <t>4.1.1 - Потрошени суровини и материјали</t>
  </si>
  <si>
    <t>4.1.10 - Амортизација по минимални стапки</t>
  </si>
  <si>
    <t>4.1.12 - Дневници за службени патувања и патни трошоци</t>
  </si>
  <si>
    <t>4.1.13 - Трошоци за промоција,пропаганда, реклама, репрезентација и спонзорство</t>
  </si>
  <si>
    <t>4.1.14 - Премии за осигурување</t>
  </si>
  <si>
    <t>4.1.15 - Даноци,чланарини и други давачки кои не зависат од резултатот</t>
  </si>
  <si>
    <t>4.1.16 - Банкарски услуги и трошоци за платен промет</t>
  </si>
  <si>
    <t>4.1.17 - Лиценци за разни софтвери (едногодишни, обновливи)</t>
  </si>
  <si>
    <t>4.1.19 - Останати нематеријални трошоци</t>
  </si>
  <si>
    <t>4.1.2 - Потрoшена енергија и гориво за возила</t>
  </si>
  <si>
    <t>4.1.3 - Потрошени резервни делови</t>
  </si>
  <si>
    <t>4.1.4 - Потрошок на ситен инвентар и автогуми</t>
  </si>
  <si>
    <t>4.1.5 - Транспортни услуги</t>
  </si>
  <si>
    <t>4.1.6 - Надворешни услуги</t>
  </si>
  <si>
    <t>4.1.7 - Услуги за одржување и заштита</t>
  </si>
  <si>
    <t>4.1.8 - Наемнини и лизинг</t>
  </si>
  <si>
    <t>4.1.9 - Останати услуги</t>
  </si>
  <si>
    <t>Предвидување Total</t>
  </si>
  <si>
    <t>во денари</t>
  </si>
  <si>
    <t>43136</t>
  </si>
  <si>
    <t>43136 Total</t>
  </si>
  <si>
    <t>Договор на дело</t>
  </si>
  <si>
    <t>Обуки</t>
  </si>
  <si>
    <t>Систематски прегледи</t>
  </si>
  <si>
    <t>Агенција за привремени вработувања</t>
  </si>
  <si>
    <t>Преглед</t>
  </si>
  <si>
    <t>на реализирани и планирани средства за бруто плати и средства за ангажирање лица</t>
  </si>
  <si>
    <t>Назив на институција Централен регистар на Република Северна Македонија</t>
  </si>
  <si>
    <t>реализирани средства за бруто плати</t>
  </si>
  <si>
    <t>реализирани средства</t>
  </si>
  <si>
    <t>планирани средства за бруто плати (тековна година)*</t>
  </si>
  <si>
    <t>планирани средства</t>
  </si>
  <si>
    <t>(претходна година)*</t>
  </si>
  <si>
    <t>за ангажирање</t>
  </si>
  <si>
    <t>неопределено</t>
  </si>
  <si>
    <t>определено</t>
  </si>
  <si>
    <t>лица/Закон за</t>
  </si>
  <si>
    <t>неопределено работно време</t>
  </si>
  <si>
    <t>определено време/АПВ</t>
  </si>
  <si>
    <t>трансформација во</t>
  </si>
  <si>
    <t>работно време</t>
  </si>
  <si>
    <t>време/АПВ</t>
  </si>
  <si>
    <t>редовен работен однос</t>
  </si>
  <si>
    <t>(претходна година)</t>
  </si>
  <si>
    <t>износ (во</t>
  </si>
  <si>
    <t>број на</t>
  </si>
  <si>
    <t>денари)</t>
  </si>
  <si>
    <t>лица</t>
  </si>
  <si>
    <t>јануари</t>
  </si>
  <si>
    <t>февруари</t>
  </si>
  <si>
    <t>март</t>
  </si>
  <si>
    <t>април</t>
  </si>
  <si>
    <t>мај</t>
  </si>
  <si>
    <t>јуни</t>
  </si>
  <si>
    <t>јули</t>
  </si>
  <si>
    <t>август</t>
  </si>
  <si>
    <t>септември</t>
  </si>
  <si>
    <t>октомври</t>
  </si>
  <si>
    <t>ноември</t>
  </si>
  <si>
    <t>декември</t>
  </si>
  <si>
    <t>вкупно</t>
  </si>
  <si>
    <t>*Тековна година е годината за која се однесува Финансискиот план.</t>
  </si>
  <si>
    <t>**Претходна година е годината која претходи на годината за која се однесува Финансискиот план.</t>
  </si>
  <si>
    <t>Предмет на јавна набавка</t>
  </si>
  <si>
    <t>Предвиден датум на набавка</t>
  </si>
  <si>
    <t>Проценета вредност на набавка со ДДВ (денари)</t>
  </si>
  <si>
    <t>Надоместоци за членови на УО</t>
  </si>
  <si>
    <t>Надоместоци за членови на комисија за жалби</t>
  </si>
  <si>
    <t>Дневници за службени патувања во странство</t>
  </si>
  <si>
    <t>2.29. Приходи од продажба</t>
  </si>
  <si>
    <t>2.30. Останати оперативни приходи</t>
  </si>
  <si>
    <t>2.32. Потрошени суровини и материјали</t>
  </si>
  <si>
    <t>40103</t>
  </si>
  <si>
    <t>40105</t>
  </si>
  <si>
    <t>4030</t>
  </si>
  <si>
    <t>40304</t>
  </si>
  <si>
    <t>4051</t>
  </si>
  <si>
    <t>4080</t>
  </si>
  <si>
    <t>4081</t>
  </si>
  <si>
    <t>2.33. Трошоци за вработените</t>
  </si>
  <si>
    <t>4200</t>
  </si>
  <si>
    <t>4220</t>
  </si>
  <si>
    <t>42222</t>
  </si>
  <si>
    <t>4224</t>
  </si>
  <si>
    <t>43031</t>
  </si>
  <si>
    <t>43132</t>
  </si>
  <si>
    <t>43133</t>
  </si>
  <si>
    <t>43139</t>
  </si>
  <si>
    <t>43155</t>
  </si>
  <si>
    <t>2.37. Останати оперативни расходи</t>
  </si>
  <si>
    <t>4104</t>
  </si>
  <si>
    <t>41101</t>
  </si>
  <si>
    <t>41102</t>
  </si>
  <si>
    <t>41103</t>
  </si>
  <si>
    <t>4111</t>
  </si>
  <si>
    <t>4131</t>
  </si>
  <si>
    <t>4132</t>
  </si>
  <si>
    <t>4133</t>
  </si>
  <si>
    <t>4134</t>
  </si>
  <si>
    <t>4143</t>
  </si>
  <si>
    <t>41500</t>
  </si>
  <si>
    <t>41501</t>
  </si>
  <si>
    <t>41502</t>
  </si>
  <si>
    <t>41503</t>
  </si>
  <si>
    <t>4170</t>
  </si>
  <si>
    <t>41700</t>
  </si>
  <si>
    <t>41701</t>
  </si>
  <si>
    <t>41733</t>
  </si>
  <si>
    <t>41921</t>
  </si>
  <si>
    <t>41925</t>
  </si>
  <si>
    <t>41931</t>
  </si>
  <si>
    <t>41934</t>
  </si>
  <si>
    <t>44001</t>
  </si>
  <si>
    <t>4401</t>
  </si>
  <si>
    <t>44011</t>
  </si>
  <si>
    <t>4403</t>
  </si>
  <si>
    <t>44032</t>
  </si>
  <si>
    <t>44091</t>
  </si>
  <si>
    <t>4422</t>
  </si>
  <si>
    <t>44220</t>
  </si>
  <si>
    <t>4440</t>
  </si>
  <si>
    <t>44500</t>
  </si>
  <si>
    <t>44501</t>
  </si>
  <si>
    <t>44502</t>
  </si>
  <si>
    <t>44510</t>
  </si>
  <si>
    <t>4459</t>
  </si>
  <si>
    <t>4460</t>
  </si>
  <si>
    <t>4476</t>
  </si>
  <si>
    <t>44902</t>
  </si>
  <si>
    <t>44903</t>
  </si>
  <si>
    <t>44904</t>
  </si>
  <si>
    <t>44907</t>
  </si>
  <si>
    <t>449071</t>
  </si>
  <si>
    <t>44908</t>
  </si>
  <si>
    <t>449083</t>
  </si>
  <si>
    <t>4494</t>
  </si>
  <si>
    <t>4496</t>
  </si>
  <si>
    <t>4497</t>
  </si>
  <si>
    <t>44970</t>
  </si>
  <si>
    <t>44972</t>
  </si>
  <si>
    <t>44973</t>
  </si>
  <si>
    <t>4499</t>
  </si>
  <si>
    <t>44990</t>
  </si>
  <si>
    <t>2.40. Приходи од финансирање</t>
  </si>
  <si>
    <t>40107</t>
  </si>
  <si>
    <t>403102</t>
  </si>
  <si>
    <t>403103</t>
  </si>
  <si>
    <t>403104</t>
  </si>
  <si>
    <t>403105</t>
  </si>
  <si>
    <t>4031601</t>
  </si>
  <si>
    <t>4031602</t>
  </si>
  <si>
    <t>4031603</t>
  </si>
  <si>
    <t>4031604</t>
  </si>
  <si>
    <t>4031605</t>
  </si>
  <si>
    <t>4031606</t>
  </si>
  <si>
    <t>4031607</t>
  </si>
  <si>
    <t>4031608</t>
  </si>
  <si>
    <t>4031609</t>
  </si>
  <si>
    <t>4031610</t>
  </si>
  <si>
    <t>4031611</t>
  </si>
  <si>
    <t>4106</t>
  </si>
  <si>
    <t>4113</t>
  </si>
  <si>
    <t>41330</t>
  </si>
  <si>
    <t>4139</t>
  </si>
  <si>
    <t>44980</t>
  </si>
  <si>
    <t>2.41. Расходи од финансирање</t>
  </si>
  <si>
    <t>4660</t>
  </si>
  <si>
    <t>4750</t>
  </si>
  <si>
    <t>TRO[.ZA REKLAMI,PROPAG.I PROMOC.</t>
  </si>
  <si>
    <t>USL.ZA TEKOV.ODR@.NA GRADE@NI OBJEKTI</t>
  </si>
  <si>
    <t>USL.ZA TEKOV.ODR@.NA OPREMA</t>
  </si>
  <si>
    <t>USL.ZA TEKOV.ODR@UV.NA OPREMA ZA AOP</t>
  </si>
  <si>
    <t>USL.ZA ODR@UV.NA HIGIENA VO PROSTORII</t>
  </si>
  <si>
    <t>OSTANATI USL.ZA ODR@UVAWE</t>
  </si>
  <si>
    <t>INTELEKTUALNI USLUGI</t>
  </si>
  <si>
    <t>PRAVNI,ADVOKATSKI I NOTARSKI USLUGI</t>
  </si>
  <si>
    <t>USLUGI ZA REVIZIJA I PROCENKA</t>
  </si>
  <si>
    <t>USLUGI ZA PREPISI I PREVODI</t>
  </si>
  <si>
    <t>DRUGI DOGOVORNI USLUGI</t>
  </si>
  <si>
    <t>ZAEDN.TRO[OCI SO NBR</t>
  </si>
  <si>
    <t>KOPIRAWE,PE^ATEWE,POVRZUV.I IZDAVAWE</t>
  </si>
  <si>
    <t>TRO[.ZA REGISTR.NA VOZILO</t>
  </si>
  <si>
    <t>SERVISIRAWE I POPRAVKA NA VOZILO</t>
  </si>
  <si>
    <t>DR.TRO[OCI NA VOZILO</t>
  </si>
  <si>
    <t>TRO[OCI ZA PATARINA</t>
  </si>
  <si>
    <t>TAKSI PREVOZ</t>
  </si>
  <si>
    <t>DR.TRANSPORTNI USLUGI</t>
  </si>
  <si>
    <t>TRO[.ZA TELEKOMUNIKACII</t>
  </si>
  <si>
    <t>TRO[.ZA INTERNET</t>
  </si>
  <si>
    <t>TRO[.ZA MOBILNA TELEFONIJA</t>
  </si>
  <si>
    <t>PO[TENSKI USLUGI</t>
  </si>
  <si>
    <t>OSTANATI NESPOM.TRO[OCI</t>
  </si>
  <si>
    <t>TRO[.ZA REPREZENTACIA</t>
  </si>
  <si>
    <t>DR.PREMIJI ZA OSIGURUVAWE</t>
  </si>
  <si>
    <t>SUDSKI TRO[OCI</t>
  </si>
  <si>
    <t>DR.NESPOMNATI NEMATERIJALNI TRO[OCI</t>
  </si>
  <si>
    <t>DADENA PARI^NA POMO[ NA FIZI^KI LICA</t>
  </si>
  <si>
    <t>POTRO[.KANCELARISKI MATERIJAL</t>
  </si>
  <si>
    <t>POTRO[.MATER.ZA HIGIENA</t>
  </si>
  <si>
    <t>POTR.SRED.ZA ZA[TITA PRI RAB.-RAB.(OBLEKA I OBUVKI</t>
  </si>
  <si>
    <t>AMORTIZACIJA NA SOFTVER 0030</t>
  </si>
  <si>
    <t>AMORTIZACIJA NA SOFTVER 0031</t>
  </si>
  <si>
    <t>BANKARSKI USLUGI I TRO[OCI ZA PLATEN PROMET</t>
  </si>
  <si>
    <t>^LANARINA</t>
  </si>
  <si>
    <t>PATNI TRO[OCI VO ZEMJA</t>
  </si>
  <si>
    <t>PATNI TRO[OCI ZA SLU@BENI PATUVAWA VO STRANSTVO</t>
  </si>
  <si>
    <t>NADOMEST ZA NO]EVAWE VO ZEMJA</t>
  </si>
  <si>
    <t>NADOMEST ZA NO]EVAWE VO STRANSTVO</t>
  </si>
  <si>
    <t>USL.ZA TEKOV.ODR@U.NA NEMATERIJALNI VLO@.(LICENCI)</t>
  </si>
  <si>
    <t>OSTANATI NADVORE[.USLUGI</t>
  </si>
  <si>
    <t>TRO[OCI ZA VODA</t>
  </si>
  <si>
    <t>TRO[OCI ZA SMET</t>
  </si>
  <si>
    <t>TRO[.ZA ODR@UV.NA ZELENILO</t>
  </si>
  <si>
    <t>TRO[.ZA GARA@IRAWE I PARKING</t>
  </si>
  <si>
    <t>OSTANATI TRO[OCI ZA SNIMAWE, FOTO, IKEBANI</t>
  </si>
  <si>
    <t>OGLASI VO PE^ATENI MEDIUMI</t>
  </si>
  <si>
    <t>NAEMNINA ZA NEDVI@NOSTI - ZAKUP OD PRAVNO LICE</t>
  </si>
  <si>
    <t>PREMIJA ZA OSIGUR.NA GRADE@NI OBJEKTI</t>
  </si>
  <si>
    <t>PREMIJA ZA OSIGUR.NA TRANSPORTNI SRED.</t>
  </si>
  <si>
    <t>PREMIJA ZA OSIGUR.NA KOMPJUTERSKA OPREMA</t>
  </si>
  <si>
    <t>PREMIJA ZA OSIGUR.OD PROF.ODG.ZA [TETI PR.TRETI LICA</t>
  </si>
  <si>
    <t>RASHOD OD PORANE[NI GODINI</t>
  </si>
  <si>
    <t>KURSNA RAZLIKA</t>
  </si>
  <si>
    <t>OTPIS NA SITEN INVENTAR VO UPOTREBA</t>
  </si>
  <si>
    <t>OTPIS NA AVTOGUMI VO UPOTREBA</t>
  </si>
  <si>
    <t>POTR.REZERVNI DELOVI ZA TEKOVNO ODR@UV.</t>
  </si>
  <si>
    <t>POTR.ELEKT.ENERGIJA</t>
  </si>
  <si>
    <t>POTRO[.NAFTA</t>
  </si>
  <si>
    <t>POTRO[ENO GORVO SK 2082 AI</t>
  </si>
  <si>
    <t>POTRO[ENO GORIVO SK 2083 AI</t>
  </si>
  <si>
    <t>POTRO[ENO GORIVO SK 2084 AI</t>
  </si>
  <si>
    <t>POTRO[ENO GORIVO SK 2085 AI</t>
  </si>
  <si>
    <t>POTRO[ENO GORIVO SK 0601 АС</t>
  </si>
  <si>
    <t>POTRO[ENO GORIVO SK 0602 АС</t>
  </si>
  <si>
    <t>POTRO[ENO GORIVO SK 0603 АС</t>
  </si>
  <si>
    <t>POTRO[ENO GORIVO SK 0604 АС</t>
  </si>
  <si>
    <t>POTRO[ENO GORIVO SK 0605 АС</t>
  </si>
  <si>
    <t>POTRO[ENO GORIVO SK 0606 АС</t>
  </si>
  <si>
    <t>POTRO[ENO GORIVO SK 0607 АС</t>
  </si>
  <si>
    <t>POTRO[ENO GORIVO SK 0608 АС</t>
  </si>
  <si>
    <t>POTRO[ENO GORIVO SK 0609 АС</t>
  </si>
  <si>
    <t>POTRO[ENO GORIVO SK 0610 АС</t>
  </si>
  <si>
    <t>POTRO[ENO GORIVO SK 0611 АС</t>
  </si>
  <si>
    <t>431001</t>
  </si>
  <si>
    <t>DEPRECIJACIJA NA GRAD. OBJEKTI SOPSTVENI</t>
  </si>
  <si>
    <t>431002</t>
  </si>
  <si>
    <t>Банкарски услуги и трошоци за платен промет</t>
  </si>
  <si>
    <t>Даноци,чланарини и други давачки кои не зависат од резултатот</t>
  </si>
  <si>
    <t>Дневници за службени патувања и патни трошоци</t>
  </si>
  <si>
    <t>Надворешни услуги</t>
  </si>
  <si>
    <t>Наемнини и лизинг</t>
  </si>
  <si>
    <t>Останати нематеријални трошоци</t>
  </si>
  <si>
    <t>Останати услуги</t>
  </si>
  <si>
    <t>Премии за осигурување</t>
  </si>
  <si>
    <t>Транспортни услуги</t>
  </si>
  <si>
    <t>Трошоци за промоција,пропаганда, реклама, репрезентација и спонзорство</t>
  </si>
  <si>
    <t>Услуги за одржување и заштита</t>
  </si>
  <si>
    <t>Надомест на трошоци на вработените, подароци и помошти</t>
  </si>
  <si>
    <t>.</t>
  </si>
  <si>
    <t>2021-010</t>
  </si>
  <si>
    <t>Софтверско решение за активација на банкарската сметка преку ЕШС</t>
  </si>
  <si>
    <t>2021-010 Софтверско решение за активација на банкарската сметка преку ЕШС</t>
  </si>
  <si>
    <t>Амортизација по минимални стапки</t>
  </si>
  <si>
    <t>2022</t>
  </si>
  <si>
    <t>Values</t>
  </si>
  <si>
    <t>Total Sum of Износ донација</t>
  </si>
  <si>
    <t>Sum of Износ донација</t>
  </si>
  <si>
    <t>Проект</t>
  </si>
  <si>
    <t>Број на проект</t>
  </si>
  <si>
    <t>AMORTIZACIJA NA VLO@UVAWE VO TU\I NEDVI@NOSTI</t>
  </si>
  <si>
    <t>AMORTIZACIJA NA TRANSPORTNI SREDSTVA</t>
  </si>
  <si>
    <t>AMORTIZACIJA NA TELEKOMUNIKACISKI UREDI</t>
  </si>
  <si>
    <t>AMORTIZACIJA NA MED.UREDI - DEFIBR. 01391</t>
  </si>
  <si>
    <t>AMORTIZACIJA NA KOMPJUTERSKA OPREMA 01341</t>
  </si>
  <si>
    <t>AMORTIZACIJA NA KANCELARISKI MEBEL 01363</t>
  </si>
  <si>
    <t>DEPRECIJACIJA NA GRAD. OBJEKTI SO PRAVO NA KORISTE</t>
  </si>
  <si>
    <t>AMORTIZACIJA NA PATENTI I LICENCI 0020</t>
  </si>
  <si>
    <t>43020</t>
  </si>
  <si>
    <t>Потрoшена енергија и гориво за возила</t>
  </si>
  <si>
    <t>Потрошени резервни делови</t>
  </si>
  <si>
    <t>Потрошени суровини и материјали</t>
  </si>
  <si>
    <t>Потрошок на ситен инвентар и автогуми</t>
  </si>
  <si>
    <t>Други неспомнати приходи</t>
  </si>
  <si>
    <t>Приходи од донации</t>
  </si>
  <si>
    <t>2021-011</t>
  </si>
  <si>
    <t>2021-012</t>
  </si>
  <si>
    <t>PO[TENSKI USLUGI PRATKI DO 50 GRAMA</t>
  </si>
  <si>
    <t>41111</t>
  </si>
  <si>
    <t>2021-013</t>
  </si>
  <si>
    <t>2021-014</t>
  </si>
  <si>
    <t>Такси превоз</t>
  </si>
  <si>
    <t>Економски оператор за карго услуги - други транспортни услуги</t>
  </si>
  <si>
    <t>Фиксна телефонија и IPVPN по договор</t>
  </si>
  <si>
    <t>Етернет</t>
  </si>
  <si>
    <t>Интернет</t>
  </si>
  <si>
    <t>Претплата за тв</t>
  </si>
  <si>
    <t>Мобилна телефонија</t>
  </si>
  <si>
    <t>Поштенски услуги</t>
  </si>
  <si>
    <t>Поштенски услуги до 50 грама</t>
  </si>
  <si>
    <t>месеци</t>
  </si>
  <si>
    <t>литри</t>
  </si>
  <si>
    <t>превоз</t>
  </si>
  <si>
    <t>парче</t>
  </si>
  <si>
    <t>Осигурување</t>
  </si>
  <si>
    <t>Останати трошоци</t>
  </si>
  <si>
    <t>Безалкохолни пијалоци</t>
  </si>
  <si>
    <t>Вода за канистри во Централа, РРК и СИТ</t>
  </si>
  <si>
    <t>Нескафе</t>
  </si>
  <si>
    <t>Турско кафе</t>
  </si>
  <si>
    <t>Угостителски услуги - новогодишна прослава</t>
  </si>
  <si>
    <t>Угостителски услуги - репрезентација</t>
  </si>
  <si>
    <t>Економски оператор за поправка на објекти и мебел, санации, занатски услуги, сервисирање,  реконструкции</t>
  </si>
  <si>
    <t>Климатизација - износ по договор</t>
  </si>
  <si>
    <t>Одржување на системи за напојување - износ по договор</t>
  </si>
  <si>
    <t>ПП системи одржување - годишен износ по договор</t>
  </si>
  <si>
    <t>Набавка на услуги за одржување, поправка и поддршка на информатичка инфраструктура (на 24 месеци), даден е годишниот износ на трошок</t>
  </si>
  <si>
    <t>Набавка на софтверски лиценци (продолжување на постоечки лиценци за софтвер за анкети, за валидација на емаил адреси (се користи во сите софтверски решенија, сертификати за системите, софтвер за автоматско испраќање на емаил пораки, софтвер за далечински пристап)</t>
  </si>
  <si>
    <t>Обновување на услуги за поддршка - управување со компјутерска безбедност</t>
  </si>
  <si>
    <t>Тековно одржување на хигиена во деловниот простор на Централен регистар</t>
  </si>
  <si>
    <t>Одржување на систем за фср - износ по договор</t>
  </si>
  <si>
    <t>Годишен просечен трошок за вода</t>
  </si>
  <si>
    <t>Годишен просечен трошок за смет</t>
  </si>
  <si>
    <t>Трошоци за одржување на зеленило</t>
  </si>
  <si>
    <t>Трошоци за возила за гаражирање и паркинг</t>
  </si>
  <si>
    <t>Маркетинг агенција за промоција на услуги по задолжување од Влада за подобрување на бизнис климата</t>
  </si>
  <si>
    <t>Рекламен материјал - календари</t>
  </si>
  <si>
    <t>Рекламен материјал - пенкала</t>
  </si>
  <si>
    <t>Рекламен материјал - тефтери</t>
  </si>
  <si>
    <t>Рекламен материјал - чадори</t>
  </si>
  <si>
    <t>Икебани и цвекиња за погреби</t>
  </si>
  <si>
    <t>Фотографирање и снимање (делење на пакетчиња и промотивен настан)</t>
  </si>
  <si>
    <t>Просечен годишен трошок за објава на огласи</t>
  </si>
  <si>
    <t>Просечен годишен трошок за објава на отворен повик</t>
  </si>
  <si>
    <t>Регистарција на домеин</t>
  </si>
  <si>
    <t>Советување и семинар</t>
  </si>
  <si>
    <t>Авторска агенција за посредување при давање на мислење од домен на Закон за заштита на личните податоци</t>
  </si>
  <si>
    <t>Авторска агенција за посредување при давање на мислење од физички лица од домен на ЗЕШС/ЗЦР и преостанаат домен на регистри</t>
  </si>
  <si>
    <t>Безбедносно тестирање на информацискиот систем</t>
  </si>
  <si>
    <t>ИСО сертификација 4 стандарди</t>
  </si>
  <si>
    <t>Консултантски услуги од домен на регистри, транспонирање на ЕУ директиви</t>
  </si>
  <si>
    <t>Обележување на безбедносни зони во ЦР</t>
  </si>
  <si>
    <t>Процена на вредност на расходувани средства од попис 2020</t>
  </si>
  <si>
    <t>Процена на вредност на раходувани стари средства со употребна вредност</t>
  </si>
  <si>
    <t>Процена на средства на вработени кои заминуваат во пензија</t>
  </si>
  <si>
    <t>Редовен трошок за банкарски услуги и трошоци за платен промет</t>
  </si>
  <si>
    <t>Чланарина за ЕБРА</t>
  </si>
  <si>
    <t>Чланарина за ИАСА</t>
  </si>
  <si>
    <t>Чланарина за ЦРФ</t>
  </si>
  <si>
    <t>Патни трошоци во земјата</t>
  </si>
  <si>
    <t>Авионски билети повратни - Африка</t>
  </si>
  <si>
    <t>Авионски билети повратни - ЕУ</t>
  </si>
  <si>
    <t>Авионски билети повратни - САД</t>
  </si>
  <si>
    <t>Хотелско сместување во земјата на пописната комисија за попис на средства</t>
  </si>
  <si>
    <t>Хотелско сместување во странство за CRF Уганда за двајца вработени</t>
  </si>
  <si>
    <t>Хотелско сместување во странство за EBRA Холандија за двајца вработени</t>
  </si>
  <si>
    <t>Хотелско сместување во странство за IACA USA за двајца вработени</t>
  </si>
  <si>
    <t>Хотелско сместување за работилница за нов регистар за вистински сопственици во ЕУ за еден вработен</t>
  </si>
  <si>
    <t>Хотелско сместување за работна група за Company Law за еден вработен</t>
  </si>
  <si>
    <t>Останати надворешни услуги - адмнистративни услуги, имотни листови</t>
  </si>
  <si>
    <t>Договор за дигит сертификати</t>
  </si>
  <si>
    <t>Договор со КИБС за банкарски сметки</t>
  </si>
  <si>
    <t>Клипинг сервиси</t>
  </si>
  <si>
    <t>Услуга за издавање на временски печат (100000 транскации)</t>
  </si>
  <si>
    <t>Осигурување на градежни објекти</t>
  </si>
  <si>
    <t>Автоодговорност и каско осигурување</t>
  </si>
  <si>
    <t>Премија за осигурување на транспортни средства</t>
  </si>
  <si>
    <t>Премија за осигурување на компјутерска опрема</t>
  </si>
  <si>
    <t>Премија за осигурување од професионална одговорност за штети према трети лица</t>
  </si>
  <si>
    <t>Други премии за осигурување -Патничко осигурување</t>
  </si>
  <si>
    <t>Весници</t>
  </si>
  <si>
    <t>Останата литература</t>
  </si>
  <si>
    <t>Портал за законски прописи - договор со оператор за портал со законски прописи</t>
  </si>
  <si>
    <t>Службен весник- хартија</t>
  </si>
  <si>
    <t>Просечен годишен трошок за судски трошоци</t>
  </si>
  <si>
    <t>Други неспомнати нематеријални трошоци : погрешно уплатени средства и непредвидени трошоци</t>
  </si>
  <si>
    <t>Давање на парична помош на физички лица</t>
  </si>
  <si>
    <t>Правни, адвокатски и нотарски услуги</t>
  </si>
  <si>
    <t>Услуги за ревизија и проценка на завршна годишна сметка, давање на мислење</t>
  </si>
  <si>
    <t>Услуги за преписи и преводи исполнување на законските обврски од Закон за јазиците</t>
  </si>
  <si>
    <t>Заеднички трошоци со НБРМ по договор за одржување на објекти</t>
  </si>
  <si>
    <t>Печатење на билтен со статистички податоци</t>
  </si>
  <si>
    <t>Надомест за јавни патишта</t>
  </si>
  <si>
    <t>Трошоци за возила за 
технички преглед</t>
  </si>
  <si>
    <t>Трошоци за возила за зелен картон</t>
  </si>
  <si>
    <t>Трошоци за возила за таксена марка</t>
  </si>
  <si>
    <t>Трошоци за возила за трошоци за регистрација</t>
  </si>
  <si>
    <t>Трошоци за возила за сервисирање на возила</t>
  </si>
  <si>
    <t>Вулканизерски услуги</t>
  </si>
  <si>
    <t>Други трошоци за возила</t>
  </si>
  <si>
    <t>Меѓународна возачка дозвола</t>
  </si>
  <si>
    <t>Перење на возила</t>
  </si>
  <si>
    <t>Сијалички</t>
  </si>
  <si>
    <t>Течност за стакло</t>
  </si>
  <si>
    <t>Трошоци за патарина</t>
  </si>
  <si>
    <t>Материјал</t>
  </si>
  <si>
    <t>услуга</t>
  </si>
  <si>
    <t>настан</t>
  </si>
  <si>
    <t>час</t>
  </si>
  <si>
    <t>настани</t>
  </si>
  <si>
    <t>вработени</t>
  </si>
  <si>
    <t>годишен трошок</t>
  </si>
  <si>
    <t>Комуналии</t>
  </si>
  <si>
    <t>Консултантски услуги</t>
  </si>
  <si>
    <t>Маркетинг и промоција</t>
  </si>
  <si>
    <t>Репрезентација</t>
  </si>
  <si>
    <t>Тековно и останато одржување</t>
  </si>
  <si>
    <t>Трошоци за возила</t>
  </si>
  <si>
    <t>Трошоци поврзани со патувања</t>
  </si>
  <si>
    <t>Категорија Артикл</t>
  </si>
  <si>
    <t>Ставка</t>
  </si>
  <si>
    <t>Единечна мерка</t>
  </si>
  <si>
    <t>Комуналии Total</t>
  </si>
  <si>
    <t>Останати трошоци Total</t>
  </si>
  <si>
    <t>Тековно и останато одржување Total</t>
  </si>
  <si>
    <t>Трошоци за возила Total</t>
  </si>
  <si>
    <t>Едногодишни лиценци на софтверски решенија Total</t>
  </si>
  <si>
    <t>Консултантски услуги Total</t>
  </si>
  <si>
    <t>Маркетинг и промоција Total</t>
  </si>
  <si>
    <t>Осигурување Total</t>
  </si>
  <si>
    <t>Репрезентација Total</t>
  </si>
  <si>
    <t>Трошоци поврзани со патувања Total</t>
  </si>
  <si>
    <t>2.37. Останати оперативни расходи Total</t>
  </si>
  <si>
    <t>Конференции, семинари и настани</t>
  </si>
  <si>
    <t>Конференции, семинари и настани Total</t>
  </si>
  <si>
    <t>Наемнини</t>
  </si>
  <si>
    <t>Наемнини Total</t>
  </si>
  <si>
    <t>Печатење, поврзување и огласи</t>
  </si>
  <si>
    <t>Печатење, поврзување и огласи Total</t>
  </si>
  <si>
    <t>Претплата за весници и списанија</t>
  </si>
  <si>
    <t>Претплата за весници и списанија Total</t>
  </si>
  <si>
    <t>Транспортни услуги Total</t>
  </si>
  <si>
    <t>Услуги од областа на правото, облигационите односи и други договорни обврски</t>
  </si>
  <si>
    <t>Службено лице за здравје и безбедност при работа аг</t>
  </si>
  <si>
    <t>Услуги од областа на правото, облигационите односи и други договорни обврски Total</t>
  </si>
  <si>
    <t>Чланарини</t>
  </si>
  <si>
    <t>Чланарини Total</t>
  </si>
  <si>
    <t>Трошоци за спорт и рекреација на вработени</t>
  </si>
  <si>
    <t>(blank)</t>
  </si>
  <si>
    <t>Количина</t>
  </si>
  <si>
    <t>Единечна цена</t>
  </si>
  <si>
    <t>Вкупно трошок</t>
  </si>
  <si>
    <t>ДДВ %</t>
  </si>
  <si>
    <t>Износ</t>
  </si>
  <si>
    <t>Опис на трошок</t>
  </si>
  <si>
    <t>Трошоци поврзани со човечките ресурси</t>
  </si>
  <si>
    <t>Трошоци поврзани со човечките ресурси Total</t>
  </si>
  <si>
    <t>Артикл</t>
  </si>
  <si>
    <t xml:space="preserve"> </t>
  </si>
  <si>
    <t>ком</t>
  </si>
  <si>
    <t>пакување</t>
  </si>
  <si>
    <t>Остварено / предвидување</t>
  </si>
  <si>
    <t>Интернет конекција за промотивен настан</t>
  </si>
  <si>
    <t>Преведувач за странци за промотивен настан</t>
  </si>
  <si>
    <t>Озвучување и останати реквизити за настан, бина и банери за прмотивен настан</t>
  </si>
  <si>
    <t>Презентер за прмотивен настан</t>
  </si>
  <si>
    <t>Закуп на сали од правно лице (промотивен настан и работилница во организација на ЦР)</t>
  </si>
  <si>
    <t>Приходи од годишни сметки</t>
  </si>
  <si>
    <t>Приходи од заложен регистар</t>
  </si>
  <si>
    <t>Приходи од интернет дистрибутивен систем</t>
  </si>
  <si>
    <t>Приходи од регистар на директни странски инвестиции</t>
  </si>
  <si>
    <t>Приходи од Регистар на лизинг</t>
  </si>
  <si>
    <t>Приходи од регистар на недвижности</t>
  </si>
  <si>
    <t>Приходи од Регистар на резиденти и нерезиденти</t>
  </si>
  <si>
    <t>Приходи од регистрите за кривични санкции, пресуди и др.</t>
  </si>
  <si>
    <t>Приходи од странство</t>
  </si>
  <si>
    <t>Приходи од трговски регистар</t>
  </si>
  <si>
    <t>Приходи од камати</t>
  </si>
  <si>
    <t>Приходи од курсни разлики</t>
  </si>
  <si>
    <t>Курсни разлики</t>
  </si>
  <si>
    <t>Останати расходи</t>
  </si>
  <si>
    <t>All</t>
  </si>
  <si>
    <t>Услуги за советувања и семинари</t>
  </si>
  <si>
    <t>Услуги за стручно усовршување и обуки</t>
  </si>
  <si>
    <t>(blank) Total</t>
  </si>
  <si>
    <t>74001</t>
  </si>
  <si>
    <t>74002</t>
  </si>
  <si>
    <t>74003</t>
  </si>
  <si>
    <t>74004</t>
  </si>
  <si>
    <t>74011</t>
  </si>
  <si>
    <t>74021</t>
  </si>
  <si>
    <t>74023</t>
  </si>
  <si>
    <t>74024</t>
  </si>
  <si>
    <t>74025</t>
  </si>
  <si>
    <t>74031</t>
  </si>
  <si>
    <t>74032</t>
  </si>
  <si>
    <t>74033</t>
  </si>
  <si>
    <t>74034</t>
  </si>
  <si>
    <t>74035</t>
  </si>
  <si>
    <t>74036</t>
  </si>
  <si>
    <t>74037</t>
  </si>
  <si>
    <t>74038</t>
  </si>
  <si>
    <t>74041</t>
  </si>
  <si>
    <t>74042</t>
  </si>
  <si>
    <t>74043</t>
  </si>
  <si>
    <t>74044</t>
  </si>
  <si>
    <t>74051</t>
  </si>
  <si>
    <t>74052</t>
  </si>
  <si>
    <t>74053</t>
  </si>
  <si>
    <t>7406</t>
  </si>
  <si>
    <t>740641</t>
  </si>
  <si>
    <t>740642</t>
  </si>
  <si>
    <t>740643</t>
  </si>
  <si>
    <t>74071</t>
  </si>
  <si>
    <t>74072</t>
  </si>
  <si>
    <t>7409</t>
  </si>
  <si>
    <t>7420</t>
  </si>
  <si>
    <t>7672</t>
  </si>
  <si>
    <t>76721</t>
  </si>
  <si>
    <t>7690</t>
  </si>
  <si>
    <t>7799</t>
  </si>
  <si>
    <t>7709</t>
  </si>
  <si>
    <t>7710</t>
  </si>
  <si>
    <t>7743</t>
  </si>
  <si>
    <t>7751</t>
  </si>
  <si>
    <t>4223</t>
  </si>
  <si>
    <t>44909</t>
  </si>
  <si>
    <t>4691</t>
  </si>
  <si>
    <t>2.35. Вредносно усогласување на тековни средства</t>
  </si>
  <si>
    <t>0020</t>
  </si>
  <si>
    <t>006</t>
  </si>
  <si>
    <t>00920</t>
  </si>
  <si>
    <t>00930</t>
  </si>
  <si>
    <t>00931</t>
  </si>
  <si>
    <t>01100</t>
  </si>
  <si>
    <t>011001</t>
  </si>
  <si>
    <t>011002</t>
  </si>
  <si>
    <t>01212</t>
  </si>
  <si>
    <t>01213</t>
  </si>
  <si>
    <t>01218</t>
  </si>
  <si>
    <t>0132</t>
  </si>
  <si>
    <t>0133</t>
  </si>
  <si>
    <t>01349</t>
  </si>
  <si>
    <t>0135</t>
  </si>
  <si>
    <t>01391</t>
  </si>
  <si>
    <t>01399</t>
  </si>
  <si>
    <t>0150</t>
  </si>
  <si>
    <t>0155</t>
  </si>
  <si>
    <t>01590</t>
  </si>
  <si>
    <t>0161</t>
  </si>
  <si>
    <t>01690</t>
  </si>
  <si>
    <t>0171</t>
  </si>
  <si>
    <t>0172</t>
  </si>
  <si>
    <t>019100</t>
  </si>
  <si>
    <t>0191002</t>
  </si>
  <si>
    <t>01932</t>
  </si>
  <si>
    <t>01933</t>
  </si>
  <si>
    <t>019341</t>
  </si>
  <si>
    <t>019363</t>
  </si>
  <si>
    <t>019391</t>
  </si>
  <si>
    <t>01955</t>
  </si>
  <si>
    <t>0270</t>
  </si>
  <si>
    <t>100001</t>
  </si>
  <si>
    <t>100002</t>
  </si>
  <si>
    <t>100003</t>
  </si>
  <si>
    <t>100004</t>
  </si>
  <si>
    <t>100005</t>
  </si>
  <si>
    <t>100007</t>
  </si>
  <si>
    <t>100009</t>
  </si>
  <si>
    <t>100010</t>
  </si>
  <si>
    <t>1009</t>
  </si>
  <si>
    <t>1020</t>
  </si>
  <si>
    <t>103001</t>
  </si>
  <si>
    <t>103002</t>
  </si>
  <si>
    <t>103003</t>
  </si>
  <si>
    <t>120447</t>
  </si>
  <si>
    <t>120448</t>
  </si>
  <si>
    <t>1221</t>
  </si>
  <si>
    <t>1222</t>
  </si>
  <si>
    <t>1330</t>
  </si>
  <si>
    <t>1340</t>
  </si>
  <si>
    <t>1350</t>
  </si>
  <si>
    <t>1351</t>
  </si>
  <si>
    <t>1352</t>
  </si>
  <si>
    <t>1353</t>
  </si>
  <si>
    <t>1430</t>
  </si>
  <si>
    <t>1450</t>
  </si>
  <si>
    <t>14510</t>
  </si>
  <si>
    <t>14513</t>
  </si>
  <si>
    <t>14516</t>
  </si>
  <si>
    <t>14517</t>
  </si>
  <si>
    <t>14571</t>
  </si>
  <si>
    <t>1622</t>
  </si>
  <si>
    <t>1625</t>
  </si>
  <si>
    <t>1627</t>
  </si>
  <si>
    <t>2201</t>
  </si>
  <si>
    <t>222001</t>
  </si>
  <si>
    <t>222002</t>
  </si>
  <si>
    <t>222003</t>
  </si>
  <si>
    <t>222004</t>
  </si>
  <si>
    <t>222005</t>
  </si>
  <si>
    <t>222006</t>
  </si>
  <si>
    <t>222007</t>
  </si>
  <si>
    <t>222008</t>
  </si>
  <si>
    <t>222009</t>
  </si>
  <si>
    <t>222010</t>
  </si>
  <si>
    <t>23310</t>
  </si>
  <si>
    <t>2340</t>
  </si>
  <si>
    <t>2343</t>
  </si>
  <si>
    <t>23440</t>
  </si>
  <si>
    <t>23441</t>
  </si>
  <si>
    <t>2345</t>
  </si>
  <si>
    <t>23501</t>
  </si>
  <si>
    <t>23502</t>
  </si>
  <si>
    <t>23503</t>
  </si>
  <si>
    <t>23505</t>
  </si>
  <si>
    <t>23590</t>
  </si>
  <si>
    <t>23591</t>
  </si>
  <si>
    <t>2400</t>
  </si>
  <si>
    <t>2411</t>
  </si>
  <si>
    <t>2420</t>
  </si>
  <si>
    <t>2422</t>
  </si>
  <si>
    <t>2551</t>
  </si>
  <si>
    <t>2552</t>
  </si>
  <si>
    <t>2553</t>
  </si>
  <si>
    <t>2631</t>
  </si>
  <si>
    <t>2860</t>
  </si>
  <si>
    <t>2940</t>
  </si>
  <si>
    <t>3000</t>
  </si>
  <si>
    <t>3103</t>
  </si>
  <si>
    <t>3109</t>
  </si>
  <si>
    <t>3500</t>
  </si>
  <si>
    <t>3510</t>
  </si>
  <si>
    <t>3550</t>
  </si>
  <si>
    <t>3551</t>
  </si>
  <si>
    <t>3580</t>
  </si>
  <si>
    <t>3590</t>
  </si>
  <si>
    <t>40104</t>
  </si>
  <si>
    <t>40108</t>
  </si>
  <si>
    <t>4031</t>
  </si>
  <si>
    <t>403101</t>
  </si>
  <si>
    <t>403106</t>
  </si>
  <si>
    <t>403107</t>
  </si>
  <si>
    <t>40510</t>
  </si>
  <si>
    <t>41211</t>
  </si>
  <si>
    <t>4123</t>
  </si>
  <si>
    <t>4125</t>
  </si>
  <si>
    <t>4129</t>
  </si>
  <si>
    <t>4136</t>
  </si>
  <si>
    <t>4147</t>
  </si>
  <si>
    <t>41504</t>
  </si>
  <si>
    <t>4171</t>
  </si>
  <si>
    <t>4210</t>
  </si>
  <si>
    <t>42291</t>
  </si>
  <si>
    <t>43211</t>
  </si>
  <si>
    <t>44031</t>
  </si>
  <si>
    <t>4409</t>
  </si>
  <si>
    <t>44102</t>
  </si>
  <si>
    <t>44221</t>
  </si>
  <si>
    <t>4490</t>
  </si>
  <si>
    <t>44906</t>
  </si>
  <si>
    <t>44983</t>
  </si>
  <si>
    <t>4512</t>
  </si>
  <si>
    <t>4560</t>
  </si>
  <si>
    <t>4562</t>
  </si>
  <si>
    <t>4600</t>
  </si>
  <si>
    <t>4640</t>
  </si>
  <si>
    <t>4741</t>
  </si>
  <si>
    <t>740611</t>
  </si>
  <si>
    <t>740615</t>
  </si>
  <si>
    <t>740616</t>
  </si>
  <si>
    <t>740644</t>
  </si>
  <si>
    <t>74082</t>
  </si>
  <si>
    <t>9001</t>
  </si>
  <si>
    <t>9010</t>
  </si>
  <si>
    <t>9400</t>
  </si>
  <si>
    <t>9420</t>
  </si>
  <si>
    <t>94201</t>
  </si>
  <si>
    <t>94202</t>
  </si>
  <si>
    <t>94203</t>
  </si>
  <si>
    <t>9500</t>
  </si>
  <si>
    <t>9510</t>
  </si>
  <si>
    <t>9930</t>
  </si>
  <si>
    <t>9980</t>
  </si>
  <si>
    <t>1.1. Парични средства</t>
  </si>
  <si>
    <t>1.13. Вонбилансна актива</t>
  </si>
  <si>
    <t>1.14. Краткорочни обврски</t>
  </si>
  <si>
    <t>1.15. Одложено плаќање на трошоци и приходи (ПВР)</t>
  </si>
  <si>
    <t>1.17. Долгорочни обврски</t>
  </si>
  <si>
    <t>1.2. Побарувања</t>
  </si>
  <si>
    <t>1.21. Капитал</t>
  </si>
  <si>
    <t>1.22. Акумулирана добивка</t>
  </si>
  <si>
    <t>1.23. Резерви</t>
  </si>
  <si>
    <t>1.25. Добивка / Загуба за деловната година</t>
  </si>
  <si>
    <t>1.28. Вонбилансна пасива</t>
  </si>
  <si>
    <t>1.3. Залихи</t>
  </si>
  <si>
    <t>1.7. Материјални средства и вложувања во недвижности</t>
  </si>
  <si>
    <t>1.9. Нематеријални средства</t>
  </si>
  <si>
    <t>Приходи од прекршочна постапка</t>
  </si>
  <si>
    <t>Приходи од регистар на задолжница</t>
  </si>
  <si>
    <t>Вонредни невообичаени приходи</t>
  </si>
  <si>
    <t>Капитална добивка од продажба на материјални и неметеријални средства</t>
  </si>
  <si>
    <t>Приходи од закуп</t>
  </si>
  <si>
    <t>Приходи од продажба на подвижен имот</t>
  </si>
  <si>
    <t>Казни, пенали и надомест на штети затезни камати</t>
  </si>
  <si>
    <t>Лиценци за разни софтвери (едногодишни, обновливи)</t>
  </si>
  <si>
    <t>Загуби и кусоци</t>
  </si>
  <si>
    <t>Остварено Total</t>
  </si>
  <si>
    <t>План Total</t>
  </si>
  <si>
    <t>3.1. Приходи од дејноста</t>
  </si>
  <si>
    <t>3.1.1 - Приходи од заложен регистар</t>
  </si>
  <si>
    <t>3.1.11 - Приходи од прекршочна постапка</t>
  </si>
  <si>
    <t>3.1.12 - Приходи од интернет дистрибутивен систем</t>
  </si>
  <si>
    <t>3.1.13 - Приходи од странство</t>
  </si>
  <si>
    <t>3.1.14 - Приходи од регистар на задолжница</t>
  </si>
  <si>
    <t>3.1.2 - Приходи од годишни сметки</t>
  </si>
  <si>
    <t>3.1.4 - Приходи од Регистар на резиденти и нерезиденти</t>
  </si>
  <si>
    <t>3.1.5 - Приходи од Регистар на лизинг</t>
  </si>
  <si>
    <t>3.1.6 - Приходи од регистар на недвижности</t>
  </si>
  <si>
    <t>3.1.7 - Приходи од трговски регистар</t>
  </si>
  <si>
    <t>3.1.8 - Приходи од регистар на директни странски инвестиции</t>
  </si>
  <si>
    <t>3.1.9 - Приходи од регистрите за кривични санкции, пресуди и др.</t>
  </si>
  <si>
    <t>3.2. Останати приходи</t>
  </si>
  <si>
    <t>3.2.1 - Приходи од камати</t>
  </si>
  <si>
    <t>3.2.2 - Приходи од курсни разлики</t>
  </si>
  <si>
    <t>3.2.3 - Други неспомнати приходи</t>
  </si>
  <si>
    <t>3.2.4 - Капитална добивка од продажба на материјални и неметеријални средства</t>
  </si>
  <si>
    <t>3.2.5 - Приходи од донации</t>
  </si>
  <si>
    <t>3.2.6 - Приходи од продажба на подвижен имот</t>
  </si>
  <si>
    <t>3.2.7 - Приходи од закуп</t>
  </si>
  <si>
    <t>3.2.8 - Вонредни невообичаени приходи</t>
  </si>
  <si>
    <t xml:space="preserve">43010 - </t>
  </si>
  <si>
    <t xml:space="preserve">43011 - </t>
  </si>
  <si>
    <t xml:space="preserve">43020 - </t>
  </si>
  <si>
    <t xml:space="preserve">43030 - </t>
  </si>
  <si>
    <t xml:space="preserve">43031 - </t>
  </si>
  <si>
    <t xml:space="preserve">431001 - </t>
  </si>
  <si>
    <t xml:space="preserve">431002 - </t>
  </si>
  <si>
    <t xml:space="preserve">43132 - </t>
  </si>
  <si>
    <t xml:space="preserve">43133 - </t>
  </si>
  <si>
    <t xml:space="preserve">43134 - </t>
  </si>
  <si>
    <t xml:space="preserve">43136 - </t>
  </si>
  <si>
    <t xml:space="preserve">43139 - </t>
  </si>
  <si>
    <t xml:space="preserve">43155 - </t>
  </si>
  <si>
    <t xml:space="preserve">43211 - </t>
  </si>
  <si>
    <t>4.2.2 - Казни, пенали и надомест на штети затезни камати</t>
  </si>
  <si>
    <t>4.2.3 - Вредносно усогласување на тековни и нетековни средства</t>
  </si>
  <si>
    <t>4.2.5 - Курсни разлики</t>
  </si>
  <si>
    <t>4.2.6 - Загуби и кусоци</t>
  </si>
  <si>
    <t>4.2.7 - Останати расходи</t>
  </si>
  <si>
    <t xml:space="preserve">41733 - </t>
  </si>
  <si>
    <t xml:space="preserve">4409 - </t>
  </si>
  <si>
    <t xml:space="preserve">44091 - </t>
  </si>
  <si>
    <t xml:space="preserve">4422 - </t>
  </si>
  <si>
    <t xml:space="preserve">44220 - </t>
  </si>
  <si>
    <t xml:space="preserve">44221 - </t>
  </si>
  <si>
    <t xml:space="preserve">44312 - </t>
  </si>
  <si>
    <t xml:space="preserve">4440 - </t>
  </si>
  <si>
    <t xml:space="preserve">4494 - </t>
  </si>
  <si>
    <t xml:space="preserve">4497 - </t>
  </si>
  <si>
    <t xml:space="preserve">4499 - </t>
  </si>
  <si>
    <t xml:space="preserve">44990 - </t>
  </si>
  <si>
    <t xml:space="preserve">4104 - </t>
  </si>
  <si>
    <t xml:space="preserve">4106 - </t>
  </si>
  <si>
    <t xml:space="preserve">41101 - </t>
  </si>
  <si>
    <t xml:space="preserve">41102 - </t>
  </si>
  <si>
    <t xml:space="preserve">41103 - </t>
  </si>
  <si>
    <t xml:space="preserve">4111 - </t>
  </si>
  <si>
    <t xml:space="preserve">41111 - </t>
  </si>
  <si>
    <t>2023</t>
  </si>
  <si>
    <t>Систем за сметководствена евиденција- напредно електронско решение</t>
  </si>
  <si>
    <t>Софтверско решение за водење на порамнувања во регистар на годишни сметки за неподнесена завршна сметка - I фаза бизнис анализа и  функционална  спецификација</t>
  </si>
  <si>
    <t>Софтверско решение за водење на порамнувања во регистар на годишни сметки за неподнесена завршна сметка - II фаза техничка спецификација</t>
  </si>
  <si>
    <t>Софтверско решение за водење на порамнувања во регистар на годишни сметки за неподнесена завршна сметка - III фаза испорака на софтверско решение</t>
  </si>
  <si>
    <t>Надградба на Едношалтерскиот систем, заедничката платформа за отпочнување со бизнис, вклучувајќи го системот за размена на податоци со институциите, со нови услуги: интеграција со УЈП и Царинска управа за автоматско добивање на податоци од Потврди за платени даноци и царнски давачки, банките размена на договор и други документи за отворање на сметка) и технолошка надградба на сите постојни сервиси за размена на податоци (со УЈП и банките) - спецификации функционална и бизнис околина</t>
  </si>
  <si>
    <t>Надградба на софтверско решение за водење на Регистарот на вистински сопственици</t>
  </si>
  <si>
    <t>2022-002</t>
  </si>
  <si>
    <t>2022-003</t>
  </si>
  <si>
    <t>Надградба на Софтверско решение за управување со IT процеси</t>
  </si>
  <si>
    <t>2022-006</t>
  </si>
  <si>
    <t>Софтверско решение за генерирање извештаи</t>
  </si>
  <si>
    <t>2022-007</t>
  </si>
  <si>
    <t>Обновување на услуги за поддршка - управување со компјутерска безбедност  - Q-radar</t>
  </si>
  <si>
    <t>2022-013</t>
  </si>
  <si>
    <t>2021-011 Софтверско решение за водење на порамнувања во регистар на годишни сметки за неподнесена завршна сметка - I фаза бизнис анализа и  функционална  спецификација</t>
  </si>
  <si>
    <t>2021-011 Софтверско решение за водење на порамнувања во регистар на годишни сметки за неподнесена завршна сметка - II фаза техничка спецификација</t>
  </si>
  <si>
    <t>2021-011 Софтверско решение за водење на порамнувања во регистар на годишни сметки за неподнесена завршна сметка - III фаза испорака на софтверско решение</t>
  </si>
  <si>
    <t>2021-012 Надградба на Едношалтерскиот систем, заедничката платформа за отпочнување со бизнис, вклучувајќи го системот за размена на податоци со институциите, со нови услуги: интеграција со УЈП и Царинска управа за автоматско добивање на податоци од Потврди за платени даноци и царнски давачки, банките размена на договор и други документи за отворање на сметка) и технолошка надградба на сите постојни сервиси за размена на податоци (со УЈП и банките) - спецификации функционална и бизнис околина</t>
  </si>
  <si>
    <t xml:space="preserve">2019-006 Систем за сметководствена евиденција- напредно електронско решение </t>
  </si>
  <si>
    <t>2021-014 Периферна компјутерска опрема проект од 2021</t>
  </si>
  <si>
    <t xml:space="preserve">2022-002 Мрежно каблирање </t>
  </si>
  <si>
    <t>2022-003 Надградба на Софтверско решение за управување со IT процеси</t>
  </si>
  <si>
    <t>2022-006 Софтверско решение за генерирање извештаи</t>
  </si>
  <si>
    <t xml:space="preserve">2022-007 Систем за складирање на податоци </t>
  </si>
  <si>
    <t>Приходи од регистар на вистински сопственици</t>
  </si>
  <si>
    <t>2022-016</t>
  </si>
  <si>
    <t>Надградба и интеграција на Системот за централизирано управување на корисници (ЦМК) со Националниот систем за единствена најава (ССО)</t>
  </si>
  <si>
    <t>2022-016 Надградба и интеграција на Системот за централизирано управување на корисници (ЦМК) со Националниот систем за единствена најава (ССО)</t>
  </si>
  <si>
    <t>Saldo 12/2021</t>
  </si>
  <si>
    <t>вкупна актива</t>
  </si>
  <si>
    <t>вкупна пасива</t>
  </si>
  <si>
    <t>разлика (dobivka/zaguba)</t>
  </si>
  <si>
    <t>2022-005</t>
  </si>
  <si>
    <t>2022-012</t>
  </si>
  <si>
    <t>2022-005 Надградба на софтверско решение за водење на Регистарот на вистински сопственици</t>
  </si>
  <si>
    <t>proverka capex</t>
  </si>
  <si>
    <t>treba da bide 0</t>
  </si>
  <si>
    <t>se vnesuva istiot iznos od amorizacija na proekti od donacii</t>
  </si>
  <si>
    <t>Возобновување на регистар за залог и лизинг и други побарувања што се евидентираат во ЦР во Регистар на обезбедени трансакции</t>
  </si>
  <si>
    <t>Тековна состојба со додадена вредност - дополнително поле за издедена валидна дозвола за работа или лиценца</t>
  </si>
  <si>
    <t>2022-012 Возобновување на регистар за залог и лизинг и други побарувања што се евидентираат во ЦР во Регистар на обезбедени трансакции</t>
  </si>
  <si>
    <t>2022-013 Тековна состојба со додадена вредност - дополнително поле за издедена валидна дозвола за работа или лиценца</t>
  </si>
  <si>
    <t>2021-017</t>
  </si>
  <si>
    <t>Надградба на дистрибутивниот систем, системот за е-потврди и системот за електронско плаќање, со нов модерен интерфејс  согласно дизајнот на новиот портал и можност за динамично формирање на пакети на услуги и можност за нивно користење во определен временски период, со задржување на постојните функционалности, вклучувајќи и нарачка и плаќање на било која услуга, испорака на домашна адреса и нови производи</t>
  </si>
  <si>
    <t>2021-017 Надградба на дистрибутивниот систем, системот за е-потврди и системот за електронско плаќање, со нов модерен интерфејс  согласно дизајнот на новиот портал и можност за динамично формирање на пакети на услуги и можност за нивно користење во определен временски период, со задржување на постојните функционалности, вклучувајќи и нарачка и плаќање на било која услуга, испорака на домашна адреса и нови производи</t>
  </si>
  <si>
    <t>3. СПЕЦИФИРАНИ ПРИХОДИ - споредбено</t>
  </si>
  <si>
    <t>3. СПЕЦИФИРАНИ РАСХОДИ споредбен</t>
  </si>
  <si>
    <t>БИЛАНС НА СОСТОЈБА 2023 по квартали</t>
  </si>
  <si>
    <t>БИЛАНС НА СОСТОЈБА 2023 споредбен</t>
  </si>
  <si>
    <t>Структурна анализа План 2023</t>
  </si>
  <si>
    <t>БИЛАНС НА УСПЕХ 2023 по квартали</t>
  </si>
  <si>
    <t>БИЛАНС НА УСПЕХ 2023 споредбен</t>
  </si>
  <si>
    <t>Вкупно 2023 План</t>
  </si>
  <si>
    <t>2021 Total</t>
  </si>
  <si>
    <t>Буџет планиран за 2023</t>
  </si>
  <si>
    <t>Млеко</t>
  </si>
  <si>
    <t>пакувања</t>
  </si>
  <si>
    <t>ПВЦ чаши и цевки</t>
  </si>
  <si>
    <t>2.37 Банкарски услуги и трошоци на платен промет</t>
  </si>
  <si>
    <t>2.37 Банкарски услуги и трошоци на платен промет Total</t>
  </si>
  <si>
    <t>2.37 Даноци чланарини и други давачки кои не зависат од резултатот</t>
  </si>
  <si>
    <t>кол</t>
  </si>
  <si>
    <t>2.37 Даноци чланарини и други давачки кои не зависат од резултатот Total</t>
  </si>
  <si>
    <t>2.37 Дневници за службени патувања и патни трошоци</t>
  </si>
  <si>
    <t>авиобилети</t>
  </si>
  <si>
    <t>Хотелско сместување во земјата на пописната комисија за попис на средства за 3 члена</t>
  </si>
  <si>
    <t>ноќевање</t>
  </si>
  <si>
    <t>2.37 Дневници за службени патувања и патни трошоци Total</t>
  </si>
  <si>
    <t>2.37 Лиценци за разни софтвери едногодишни обновливи</t>
  </si>
  <si>
    <t>2.37 Лиценци за разни софтвери едногодишни обновливи Total</t>
  </si>
  <si>
    <t>2.37 Надворешни услуги</t>
  </si>
  <si>
    <t>2.37 Надворешни услуги Total</t>
  </si>
  <si>
    <t>2.37 Наемнини и лизинг</t>
  </si>
  <si>
    <t>Закуп ( сала - обука за професионалните заедници за новини во законските решенија</t>
  </si>
  <si>
    <t>2.37 Наемнини и лизинг Total</t>
  </si>
  <si>
    <t>2.37 Останати нематеријални трошоци</t>
  </si>
  <si>
    <t>Весници - претплати Правник</t>
  </si>
  <si>
    <t>Газирани пијалоци</t>
  </si>
  <si>
    <t>Дневни весници</t>
  </si>
  <si>
    <t>Заверка за обнова на сертификат</t>
  </si>
  <si>
    <t>Кафе</t>
  </si>
  <si>
    <t>килограм</t>
  </si>
  <si>
    <t>Нотарски награди</t>
  </si>
  <si>
    <t>Просечен годишен трошок за судски такси</t>
  </si>
  <si>
    <t>Растворливо кафе во гранули</t>
  </si>
  <si>
    <t>Службен весник- електронска верзија</t>
  </si>
  <si>
    <t>претплата</t>
  </si>
  <si>
    <t>Службеник весник - ел.претплата</t>
  </si>
  <si>
    <t>Угостителски услуги - репрезентација ( деловни средби на 4 до 6 лица)</t>
  </si>
  <si>
    <t>Чај</t>
  </si>
  <si>
    <t>Шеќер</t>
  </si>
  <si>
    <t>2.37 Останати нематеријални трошоци Total</t>
  </si>
  <si>
    <t>2.37 Останати услуги</t>
  </si>
  <si>
    <t>Замена на пневматици (зимски и летни; за 15 возила промена на гуми два пати годишно)</t>
  </si>
  <si>
    <t>возило</t>
  </si>
  <si>
    <t>Интервентни поправки</t>
  </si>
  <si>
    <t>Поправки и одржување на делови од систем сала</t>
  </si>
  <si>
    <t>Портал за законски прописи - договор со оператор</t>
  </si>
  <si>
    <t>Регистарција на возила</t>
  </si>
  <si>
    <t>Редовен сервис на Opel Insignia</t>
  </si>
  <si>
    <t>Редовен сервис на мали возила</t>
  </si>
  <si>
    <t>Сијалички и други трошоци за возила</t>
  </si>
  <si>
    <t>Технички преглед за возила</t>
  </si>
  <si>
    <t>2.37 Останати услуги Total</t>
  </si>
  <si>
    <t>2.37 Премии за осигурување</t>
  </si>
  <si>
    <t>2.37 Премии за осигурување Total</t>
  </si>
  <si>
    <t>2.37 Транспортни услуги</t>
  </si>
  <si>
    <t>2.37 Транспортни услуги Total</t>
  </si>
  <si>
    <t>2.37 Трошоци за промоција,пропаганда, реклама, репрезентација и спонзорство</t>
  </si>
  <si>
    <t>Вода (за панелисти)</t>
  </si>
  <si>
    <t>Годишен трошок за објава на огласи во весници</t>
  </si>
  <si>
    <t>Изведувачи (за време на коктел)</t>
  </si>
  <si>
    <t>Календарчиња</t>
  </si>
  <si>
    <t>Кафе (за гости)</t>
  </si>
  <si>
    <t>Коктел шведска маса</t>
  </si>
  <si>
    <t>Освежителни пијалоци</t>
  </si>
  <si>
    <t>Персонал за 200 гости</t>
  </si>
  <si>
    <t>Просторија за коктел</t>
  </si>
  <si>
    <t>Работни тетратки</t>
  </si>
  <si>
    <t>Репрезентативни комплети</t>
  </si>
  <si>
    <t>Сала</t>
  </si>
  <si>
    <t>2.37 Трошоци за промоција,пропаганда, реклама, репрезентација и спонзорство Total</t>
  </si>
  <si>
    <t>2.37 Услуги за одржување и заштита</t>
  </si>
  <si>
    <t>Техничко одржување и поправки на објекти во РРК и РК - белеење, тековни поправки, санации</t>
  </si>
  <si>
    <t>2.37 Услуги за одржување и заштита Total</t>
  </si>
  <si>
    <t>PRIHODI OD UPIS NA ZALOG</t>
  </si>
  <si>
    <t>PRIHODI OD PROMENA NA ZALOG</t>
  </si>
  <si>
    <t>PRIHODI OD INFORMACII NA ZALOG</t>
  </si>
  <si>
    <t>PRIHODI OD BRI[EWE NA ZALOG</t>
  </si>
  <si>
    <t>PRIHODI OD INFORMACII ZA NEDVI@NOSTI</t>
  </si>
  <si>
    <t>PRIHODI OD IZDADENI BONITETI</t>
  </si>
  <si>
    <t>PRIHODI OD VNES NA GODI[NI SMETKI</t>
  </si>
  <si>
    <t>PRIHODI OD INFORMACII OD GODI[NI SMETKI</t>
  </si>
  <si>
    <t>DRUGI PRIHODI OD REGISTAR NA GODI[NI SMETKI</t>
  </si>
  <si>
    <t>PRIHODI OD UPIS NA OSNOVAWE</t>
  </si>
  <si>
    <t>PRIHODI OD UPIS NA PROMENA</t>
  </si>
  <si>
    <t>PRIHODI OD BRI[EWE</t>
  </si>
  <si>
    <t>PRIHODI OD REGISTAR NA SANKCII I PREKR[OCI</t>
  </si>
  <si>
    <t>PRIHODI OD IZDADENI INFORMACII</t>
  </si>
  <si>
    <t>DRUGI PRIHODI OD TRGOVSKI REGISTAR</t>
  </si>
  <si>
    <t>PRIHODI OD OBJAVA NA LIKVIDACIJA</t>
  </si>
  <si>
    <t>PRIHODI OD UPIS NA LIZING</t>
  </si>
  <si>
    <t>PRIHODI OD PROMENA NA LIZING</t>
  </si>
  <si>
    <t>PRIHODI OD BRI[EWE NA LIZING</t>
  </si>
  <si>
    <t>PRIHODI OD IZDADENI INFORMACII NA LIZING</t>
  </si>
  <si>
    <t>PRIHODI OD UPIS NA VLO@.NA REZIDENTI I NEREZIDENTI</t>
  </si>
  <si>
    <t>PRIHODI OD PROMENA NA VLO@.NA REZID.I NEREZIDENTI</t>
  </si>
  <si>
    <t>PRIHODI OD BRI[EWE NA REZIDENTI I NEREZIDENTI</t>
  </si>
  <si>
    <t>PRIHODI OD PREKR[O^NA POSTAPKA</t>
  </si>
  <si>
    <t>UPIS VO REGISTAR NA VISTINSKI SOPSTVENICI PO ISTEK</t>
  </si>
  <si>
    <t>INFORMACII OD RVS - TEKOVNA SOSTOJBA</t>
  </si>
  <si>
    <t>INFORMACII OD RVS - ISTORIJAT</t>
  </si>
  <si>
    <t>PRIHODI OD INTEGRIRANA INFORMACIJA-PAKETI</t>
  </si>
  <si>
    <t>DOKUMENTI ZA LI^NA SOSTOJBA</t>
  </si>
  <si>
    <t>PRIHODI OD ELEKTRON. IZVESTUVAWE ZA PROMENA-PAKETI</t>
  </si>
  <si>
    <t>PRIHODI OD INFORMACIJA ZA POVRZANI SUBJEKTI</t>
  </si>
  <si>
    <t>PRIHODI OD UPIS NA DIR. STRANSKI INVESTICII</t>
  </si>
  <si>
    <t>PRIHODI OD UPIS NA PROMENA NA DIR.STR.INVESTICII</t>
  </si>
  <si>
    <t>PRIHODI OD INFORMACIJA OD REGISTAR NA ZADOL@NICI</t>
  </si>
  <si>
    <t>PRIHODI OD INTERNET DISTRIBUTIVEN SISTEM</t>
  </si>
  <si>
    <t>PRIH.OD IZVR[.USL.NA STRANSKI PAZAR</t>
  </si>
  <si>
    <t>PRIHOD EDNAKOV NA DEPREC NA S-VA DOB. NA KORISTEWE</t>
  </si>
  <si>
    <t>PRIHODI OD DONACII I POMO[TI-ORGANIZ. NA CRF 2019</t>
  </si>
  <si>
    <t>OSTANATI PRIHODI OD RABOTEWETO</t>
  </si>
  <si>
    <t>DRUGI NESPOMNATI PRIHODI</t>
  </si>
  <si>
    <t>BRUTO PLATA I NADOMESTOCI ZA PLATA ZA PROIZVODSTVO</t>
  </si>
  <si>
    <t>OTPREMN.ZA ODEWE VO PENZIJA</t>
  </si>
  <si>
    <t>NAGRADI NA VRABOTENI PO OSNOV OCENUVAWE I DR.</t>
  </si>
  <si>
    <t>REGRES ZA GOD.ODMOR</t>
  </si>
  <si>
    <t>POMO[ NA SEMEJSTVO VO SLU^AJ NA BOLEST I SMRT</t>
  </si>
  <si>
    <t>DEPRECIJACIJA NA GRAD. OBJEKTI (SREDSTVA NA KORISTEWE)</t>
  </si>
  <si>
    <t>USL.ZA SOVETUV.I SEMINAR</t>
  </si>
  <si>
    <t>USLUGI ZA STRU^NO USOVR[.I OBUKA</t>
  </si>
  <si>
    <t>ZDRAVSTVENI USLUGI</t>
  </si>
  <si>
    <t>DNEVNICI ZA SLU@BENI PATUVAWA VO STRANSTVO</t>
  </si>
  <si>
    <t>TRO[OCI ZA SPORT I REKREACIJA NA VRABOTENI</t>
  </si>
  <si>
    <t>OSTANATI NESPOMNATI TRO[OCI</t>
  </si>
  <si>
    <t>NADOM.ZA ^L.NA KOMISIA ZA @ALBI</t>
  </si>
  <si>
    <t>AGENCIJA ZA PRIVREMENI VRABOTUVAWA</t>
  </si>
  <si>
    <t>TRO[.ZA DOGOVOR ZA DELO</t>
  </si>
  <si>
    <t>TRO[OCI ZA INTELEKTUALNI USLUGI</t>
  </si>
  <si>
    <t>PRIHODI OD KAMATI</t>
  </si>
  <si>
    <t>PRIHODI OD KURSNA RAZLIKA</t>
  </si>
  <si>
    <t>PRIHODI OD KAMATA</t>
  </si>
  <si>
    <t>PRIHODI OD POZITIVNA KURSNA RAZLIKA</t>
  </si>
  <si>
    <t>7791</t>
  </si>
  <si>
    <t>БИЛАНС НА СОСТОЈБА 2023</t>
  </si>
  <si>
    <t>7790</t>
  </si>
  <si>
    <t>=Amortizacija_CUBE!C20*-1</t>
  </si>
  <si>
    <t>=Amortizacija_CUBE!C19*-1</t>
  </si>
  <si>
    <t>14301</t>
  </si>
  <si>
    <t>vidi komentar</t>
  </si>
  <si>
    <t>ВАЖНО!!! САЛДАТА ВО ДЕК СЕ ИСТИ СО ОКТ 2022 ЗА ДА СЕ ПРОВЕРИ СЛОЖУВАЊЕТО НА БС...КОГА ЌЕ СЕ РАБОТИ ФАКТИЧКИ НА НЕГО, ДА СЕ СРЕДИ КОЛОНА q</t>
  </si>
  <si>
    <t>NADOMEST ZA ODVOEN @IVOT</t>
  </si>
  <si>
    <t>Беџови</t>
  </si>
  <si>
    <t>Техника / осветлување, бим</t>
  </si>
  <si>
    <t>2024</t>
  </si>
  <si>
    <t>Набавка на лиценци за Софтверско решение за управување со IT процеси</t>
  </si>
  <si>
    <t>Набавка на софтверски лиценци (продолжување на постоечки лиценци за софтвер за анкети, за валидација на емаил адреси (се користи во сите софтверски решенија), сертификати за системите, софтвер за автоматско испраќање на емаил пораки, софтвер за далечински пристап)</t>
  </si>
  <si>
    <t>Набавка на софтверско решение за Q-radar за  Vulnerability скенирање (за скенирање на 150 уреди)</t>
  </si>
  <si>
    <t>Услуга – пенетрациско тестирање на безбедноста на информациските системи</t>
  </si>
  <si>
    <t>Услуги за поддршка за Софтверско решение за управување со резервни копии - COMMVAULT</t>
  </si>
  <si>
    <t>ИСО надзорна проверка за 3 стандарди (ИСО 9001, ИСО 14001 и ИСО 45001)</t>
  </si>
  <si>
    <t>ИСО ресертификација и надзорни проверки на систем за управување со безбедност на информации согласно ИСО 27001 за три години</t>
  </si>
  <si>
    <t>Стручно лице за здравје и безбедност при работа  и услуги од таа област</t>
  </si>
  <si>
    <t>Авионски билети повратни - BIFIDEX</t>
  </si>
  <si>
    <t>Авионски билети повратни - EBRA</t>
  </si>
  <si>
    <t>Авионски билети повратни -Брисел</t>
  </si>
  <si>
    <t>Сместување за службено патување во Брисел</t>
  </si>
  <si>
    <t>Сместување за службено патување за Бифидекс</t>
  </si>
  <si>
    <t>Сместување за службено патување за присуство на работни групи на ЕБРА</t>
  </si>
  <si>
    <t>Закуп за канцеларија за РРК/PK</t>
  </si>
  <si>
    <t>Адвокатски услуги - рочишта</t>
  </si>
  <si>
    <t>Авторска агенција за посредување</t>
  </si>
  <si>
    <t>Процена на вредност на расходувани средства од попис</t>
  </si>
  <si>
    <t>2023-001</t>
  </si>
  <si>
    <t>Microsoft софтверски лиценци и обуки Износот е даден за една година</t>
  </si>
  <si>
    <t>2023-004</t>
  </si>
  <si>
    <t>2023-007</t>
  </si>
  <si>
    <t>Надградба на системот за централизирано управување со корисници и интеграција со дигитална услуга за потврдување на идентитетот на корисниците</t>
  </si>
  <si>
    <t>2023-009</t>
  </si>
  <si>
    <t>2023-010</t>
  </si>
  <si>
    <t>Гаранција со поддршка за критична опрема во систем сали</t>
  </si>
  <si>
    <t>Електронски систем за е-анкети и истражување - surveymonkey (Годишно продолжување на основната партиципација за користење на апликацијата)</t>
  </si>
  <si>
    <t>Услуга за издавање на временски печат (800000 транскации) (за 24 месеци вредноста е 1416000)</t>
  </si>
  <si>
    <t>Услуга-Компонента за дигитално потпишување - по постоен договор</t>
  </si>
  <si>
    <t>Услуга – Податочно Ethernet приватно поврзување</t>
  </si>
  <si>
    <t>Услуги за одржување и поправка на против пожарни системи за систем сали  - износ по договор</t>
  </si>
  <si>
    <t>Услуги за одржување на системи за напојување и климатизација во СС и РК/РРК - износ по договор</t>
  </si>
  <si>
    <t>2023-005 Систем за заштита и архивирање на податоци</t>
  </si>
  <si>
    <t>2023-001 Microsoft софтверски лиценци и обуки Износот е даден за една година</t>
  </si>
  <si>
    <t>2023-002 Системи за мрежна безбедност</t>
  </si>
  <si>
    <t>2023-003 Серверска инфраструктура</t>
  </si>
  <si>
    <t>2023-006 Мрежна опрема за дистрибуција Скопје и Штип</t>
  </si>
  <si>
    <t>2023-007 Надградба на системот за централизирано управување со корисници и интеграција со дигитална услуга за потврдување на идентитетот на корисниците</t>
  </si>
  <si>
    <t>7801</t>
  </si>
  <si>
    <t>Амортизација која продолжува од 2022</t>
  </si>
  <si>
    <t>Договор за дигитални сертификати ( вкупна вредност за 2 години е 160000)</t>
  </si>
  <si>
    <t>Систем за безбедност на електронска пошта</t>
  </si>
  <si>
    <t>ЕРТС</t>
  </si>
  <si>
    <t>Надградба на системите за водењето на регистри</t>
  </si>
  <si>
    <t>2021-013 Градежно занатски работи во деловниот простор (СИТ) - во тек, ќе се плаќа во 2023</t>
  </si>
  <si>
    <t xml:space="preserve">2023-004 Систем за безбедност на електронска пошта </t>
  </si>
  <si>
    <t>2023-009 ЕРТС</t>
  </si>
  <si>
    <t xml:space="preserve">2023-010 Надградба на системите за водењето на регистри </t>
  </si>
  <si>
    <t>2023-011 МЕБЕЛ - РАФТОВИ И ПЛАКАРИ ЗА РК И РРК</t>
  </si>
  <si>
    <t>2023-012 МЕБЕЛ - КЛИМИ</t>
  </si>
  <si>
    <t xml:space="preserve">  </t>
  </si>
  <si>
    <t>43010</t>
  </si>
  <si>
    <t>43011</t>
  </si>
  <si>
    <t>Градежно занатски работи во деловниот простор (СИТ) - во тек, ќе се плаќа во 2023</t>
  </si>
  <si>
    <t>Мрежно каблирање</t>
  </si>
  <si>
    <t>Периферна компјутерска опрема проект од 2021</t>
  </si>
  <si>
    <t>Серверска инфраструктура</t>
  </si>
  <si>
    <t>Систем за заштита и архивирање на податоци</t>
  </si>
  <si>
    <t>Систем за складирање на податоци</t>
  </si>
  <si>
    <t>Системи за мрежна безбедност</t>
  </si>
  <si>
    <t>МЕБЕЛ - КЛИМИ</t>
  </si>
  <si>
    <t>МЕБЕЛ - РАФТОВИ И ПЛАКАРИ ЗА РК И РРК</t>
  </si>
  <si>
    <t>Promena 11-12-2022</t>
  </si>
  <si>
    <t>Amortizacija 11-12-2022</t>
  </si>
  <si>
    <t>3.1.10 - Приходи од регионален портал</t>
  </si>
  <si>
    <t>Приходи од регионален портал</t>
  </si>
  <si>
    <t>44092</t>
  </si>
  <si>
    <t>Трошоци за синдикат</t>
  </si>
  <si>
    <t>Sum of Износ1</t>
  </si>
  <si>
    <t xml:space="preserve"> 2.29. Приходи од продажба</t>
  </si>
  <si>
    <t>Вредносно усогласување на тековни и нетековни средства</t>
  </si>
  <si>
    <t>Sum of Вкупно трошок</t>
  </si>
  <si>
    <t>Услуги од проценители</t>
  </si>
  <si>
    <t>2023-013</t>
  </si>
  <si>
    <t>2023-014</t>
  </si>
  <si>
    <t>Регистар на политички изложени лица</t>
  </si>
  <si>
    <t>2023-013 Набавка на софтверско решение за Q-radar за  Vulnerability скенирање (за скенирање на 150 уреди)</t>
  </si>
  <si>
    <t>2023-014 Регистар на политички изложени лица</t>
  </si>
  <si>
    <t>2023-002</t>
  </si>
  <si>
    <t>2023-003</t>
  </si>
  <si>
    <t>2023-005</t>
  </si>
  <si>
    <t>2023-006</t>
  </si>
  <si>
    <t>Мрежна опрема за дистрибуција Скопје и Штип</t>
  </si>
  <si>
    <t>2023-011</t>
  </si>
  <si>
    <t>2023-012</t>
  </si>
  <si>
    <t>Очекуван датум на плаќање (Month)</t>
  </si>
  <si>
    <t>MMM-YYYY</t>
  </si>
  <si>
    <t>Jan-2024</t>
  </si>
  <si>
    <t>Jan-2023</t>
  </si>
  <si>
    <t>Feb-2023</t>
  </si>
  <si>
    <t>Mar-2023</t>
  </si>
  <si>
    <t>Apr-2023</t>
  </si>
  <si>
    <t>May-2023</t>
  </si>
  <si>
    <t>Jun-2023</t>
  </si>
  <si>
    <t>Aug-2024</t>
  </si>
  <si>
    <t>Aug-2023</t>
  </si>
  <si>
    <t>Sep-2023</t>
  </si>
  <si>
    <t>Oct-2022</t>
  </si>
  <si>
    <t>Oct-2023</t>
  </si>
  <si>
    <t>Nov-2023</t>
  </si>
  <si>
    <t>Nov-2024</t>
  </si>
  <si>
    <t>Dec-2024</t>
  </si>
  <si>
    <t>Dec-2022</t>
  </si>
  <si>
    <t>Dec-2023</t>
  </si>
  <si>
    <t>Jan-2022</t>
  </si>
  <si>
    <t>Jan-2017</t>
  </si>
  <si>
    <t>Jan-2016</t>
  </si>
  <si>
    <t>Jan-2019</t>
  </si>
  <si>
    <t>Jan-2015</t>
  </si>
  <si>
    <t>Jan-2021</t>
  </si>
  <si>
    <t>Jan-2020</t>
  </si>
  <si>
    <t>Jan-2018</t>
  </si>
  <si>
    <t>Feb-2019</t>
  </si>
  <si>
    <t>Feb-2018</t>
  </si>
  <si>
    <t>Feb-2024</t>
  </si>
  <si>
    <t>Feb-2022</t>
  </si>
  <si>
    <t>Feb-2016</t>
  </si>
  <si>
    <t>Feb-2021</t>
  </si>
  <si>
    <t>Feb-2020</t>
  </si>
  <si>
    <t>Feb-2017</t>
  </si>
  <si>
    <t>Feb-2015</t>
  </si>
  <si>
    <t>Mar-2019</t>
  </si>
  <si>
    <t>Mar-2020</t>
  </si>
  <si>
    <t>Mar-2018</t>
  </si>
  <si>
    <t>Mar-2024</t>
  </si>
  <si>
    <t>Mar-2022</t>
  </si>
  <si>
    <t>Mar-2015</t>
  </si>
  <si>
    <t>Mar-2016</t>
  </si>
  <si>
    <t>Mar-2021</t>
  </si>
  <si>
    <t>Mar-2017</t>
  </si>
  <si>
    <t>Apr-2021</t>
  </si>
  <si>
    <t>Apr-2015</t>
  </si>
  <si>
    <t>Apr-2016</t>
  </si>
  <si>
    <t>Apr-2017</t>
  </si>
  <si>
    <t>Apr-2018</t>
  </si>
  <si>
    <t>Apr-2019</t>
  </si>
  <si>
    <t>Apr-2020</t>
  </si>
  <si>
    <t>Apr-2022</t>
  </si>
  <si>
    <t>Apr-2024</t>
  </si>
  <si>
    <t>May-2017</t>
  </si>
  <si>
    <t>May-2020</t>
  </si>
  <si>
    <t>May-2024</t>
  </si>
  <si>
    <t>May-2015</t>
  </si>
  <si>
    <t>May-2021</t>
  </si>
  <si>
    <t>May-2019</t>
  </si>
  <si>
    <t>May-2018</t>
  </si>
  <si>
    <t>May-2022</t>
  </si>
  <si>
    <t>May-2016</t>
  </si>
  <si>
    <t>Jun-2021</t>
  </si>
  <si>
    <t>Jun-2016</t>
  </si>
  <si>
    <t>Jun-2020</t>
  </si>
  <si>
    <t>Jun-2024</t>
  </si>
  <si>
    <t>Jun-2022</t>
  </si>
  <si>
    <t>Jun-2019</t>
  </si>
  <si>
    <t>Jun-2015</t>
  </si>
  <si>
    <t>Jun-2018</t>
  </si>
  <si>
    <t>Jun-2017</t>
  </si>
  <si>
    <t>Jul-2024</t>
  </si>
  <si>
    <t>Jul-2018</t>
  </si>
  <si>
    <t>Jul-2017</t>
  </si>
  <si>
    <t>Jul-2019</t>
  </si>
  <si>
    <t>Jul-2020</t>
  </si>
  <si>
    <t>Jul-2016</t>
  </si>
  <si>
    <t>Jul-2021</t>
  </si>
  <si>
    <t>Jul-2022</t>
  </si>
  <si>
    <t>Jul-2023</t>
  </si>
  <si>
    <t>Jul-2015</t>
  </si>
  <si>
    <t>Aug-2018</t>
  </si>
  <si>
    <t>Aug-2022</t>
  </si>
  <si>
    <t>Aug-2017</t>
  </si>
  <si>
    <t>Aug-2015</t>
  </si>
  <si>
    <t>Aug-2019</t>
  </si>
  <si>
    <t>Aug-2016</t>
  </si>
  <si>
    <t>Aug-2020</t>
  </si>
  <si>
    <t>Aug-2021</t>
  </si>
  <si>
    <t>Sep-2021</t>
  </si>
  <si>
    <t>Sep-2022</t>
  </si>
  <si>
    <t>Sep-2024</t>
  </si>
  <si>
    <t>Sep-2015</t>
  </si>
  <si>
    <t>Sep-2018</t>
  </si>
  <si>
    <t>Sep-2020</t>
  </si>
  <si>
    <t>Sep-2017</t>
  </si>
  <si>
    <t>Sep-2016</t>
  </si>
  <si>
    <t>Sep-2019</t>
  </si>
  <si>
    <t>Oct-2020</t>
  </si>
  <si>
    <t>Oct-2017</t>
  </si>
  <si>
    <t>Oct-2021</t>
  </si>
  <si>
    <t>Oct-2024</t>
  </si>
  <si>
    <t>Oct-2019</t>
  </si>
  <si>
    <t>Oct-2015</t>
  </si>
  <si>
    <t>Oct-2018</t>
  </si>
  <si>
    <t>Oct-2016</t>
  </si>
  <si>
    <t>Nov-2018</t>
  </si>
  <si>
    <t>Nov-2019</t>
  </si>
  <si>
    <t>Nov-2021</t>
  </si>
  <si>
    <t>Nov-2015</t>
  </si>
  <si>
    <t>Nov-2016</t>
  </si>
  <si>
    <t>Nov-2020</t>
  </si>
  <si>
    <t>Nov-2017</t>
  </si>
  <si>
    <t>Nov-2022</t>
  </si>
  <si>
    <t>Dec-2017</t>
  </si>
  <si>
    <t>Dec-2015</t>
  </si>
  <si>
    <t>Dec-2021</t>
  </si>
  <si>
    <t>Dec-2020</t>
  </si>
  <si>
    <t>Dec-2016</t>
  </si>
  <si>
    <t>Dec-2019</t>
  </si>
  <si>
    <t>Dec-2018</t>
  </si>
  <si>
    <t>Total Sum of Проценета вредност на набавка со ДДВ (денари)</t>
  </si>
  <si>
    <t>Sum of Проценета вредност на набавка со ДДВ (денари)</t>
  </si>
  <si>
    <t>Останата репрезентација</t>
  </si>
  <si>
    <t>Угостителски услуги - останати</t>
  </si>
  <si>
    <t>Единствен регистар за водење на трансакциски сметки</t>
  </si>
  <si>
    <t>2025</t>
  </si>
  <si>
    <t>Бруто плата</t>
  </si>
  <si>
    <t>Награди-интерни</t>
  </si>
  <si>
    <t>Отпремнина за пензија</t>
  </si>
  <si>
    <t>Помош за болест и смрт-бруто</t>
  </si>
  <si>
    <t>Регрес за годишен одмор</t>
  </si>
  <si>
    <t>Потрошена електрична енергија - ЕВН</t>
  </si>
  <si>
    <t>Потрошена електрична енергија - оператор</t>
  </si>
  <si>
    <t>Трошоци за нафта за затоплување со склучен договор</t>
  </si>
  <si>
    <t>Резервни делови - батерии</t>
  </si>
  <si>
    <t>Резервни делови - брави, клучеви</t>
  </si>
  <si>
    <t>Резервни делови - вентили</t>
  </si>
  <si>
    <t>Резервни делови - кабли, штекери</t>
  </si>
  <si>
    <t>Резервни делови - силикони, лепаци</t>
  </si>
  <si>
    <t>Вреќи за отпад, ПВЦ, големи од  90 до 120 литри, од мин. 10 во пакување</t>
  </si>
  <si>
    <t>Дератизација, дезинфекција и дезинскеција</t>
  </si>
  <si>
    <t>Крпи за бришење со моќ на впивање на течност, со димензии 200x190x4 мм +/- 20%</t>
  </si>
  <si>
    <t>Крпи за чистење на маси и други површини (микрофибер), со димензии330х330 мм +/- 20%</t>
  </si>
  <si>
    <t>Лопатки за ѓубре</t>
  </si>
  <si>
    <t>Метли</t>
  </si>
  <si>
    <t>Останат канцелариски материјал</t>
  </si>
  <si>
    <t>ПВЦ Кофа за цедење на џогер мин. 10 литри</t>
  </si>
  <si>
    <t>Ракавици гумени хигиеничарски големина М,L,XL</t>
  </si>
  <si>
    <t>Резерва за џогер пуцвал</t>
  </si>
  <si>
    <t>Средство за миење на садови: 5-15% анјонски активни материи, &lt; 5% нејонски активни материи, парфем, 750 -1000мл</t>
  </si>
  <si>
    <t>Средство за чистење на плочки, пакување од  0,5л - 1 литар</t>
  </si>
  <si>
    <t>Средство за чистење на подови  кое се состои најмалку од &lt;5% Non-Ionic Surfactants, Perfume, Benzisothiazolinone, алкохол, боја</t>
  </si>
  <si>
    <t>Средство за чистење на тоалет санитарии антибигор против наслаги од каменец, рѓа и сапун, &lt;5% ензиоактиви нејонски, тензиоактиви анфотери, фосфонати, парфем, 750 -1000мл.</t>
  </si>
  <si>
    <t>Средство за чистење стаклени површини со пумпа распрскувач кое се состои најмалку од &lt;5% Non-Ionic Surfactants, Perfume, Benzisothiazolinone</t>
  </si>
  <si>
    <t>Сунѓери со абразивна подлога за миење на садови, димензии мин. 9х5 см</t>
  </si>
  <si>
    <t>Течен сапун за миење на раце со ph неутрален фактор, антибактериски, во пакување од 300 мл до 1 литар со пумпица</t>
  </si>
  <si>
    <t>Тонери</t>
  </si>
  <si>
    <t>Трослојна абсорбентна хартија 100% целулоза, бела боја со најмалку 100 ливчиња во ролна со димензии најмалку 230 х 100 mm во поединечно пакување во кеса со должина на хартија во ролната од најмалку 25 метри</t>
  </si>
  <si>
    <t>Трослојна тоалетна хартија во ролна 100% целулоза, бела боја со најмалку 200 листови со димензии најмалку 100 х 205mm</t>
  </si>
  <si>
    <t>Хартија</t>
  </si>
  <si>
    <t>Четка за WC шоља со пластична рачка</t>
  </si>
  <si>
    <t>Четка за собирање на пајажина со димензии на рачка од 80 см до 120 см</t>
  </si>
  <si>
    <t>Џогер Пуцвал со рачка во висина минимум 140 см</t>
  </si>
  <si>
    <t>Зимски пневматици</t>
  </si>
  <si>
    <t>Летни пневматици</t>
  </si>
  <si>
    <t>Печати</t>
  </si>
  <si>
    <t>Вредносно усогласување на ситен инвентар и автогуми</t>
  </si>
  <si>
    <t>Вредносно усогласување на суровини и материјали</t>
  </si>
  <si>
    <t>Закуп ( сала - по потреба)</t>
  </si>
  <si>
    <t xml:space="preserve"> ВРАБОТЕНИ                                                                                                                                                                                                            ВРЗ ОСНОВА НА НАЦИОНАЛНАТА СТРУКТУРА</t>
  </si>
  <si>
    <t>Табела: Вработени, врз основа на националната структура, со состојба до 31 декември 2022 година</t>
  </si>
  <si>
    <t>дирекција/подружница</t>
  </si>
  <si>
    <t>Македонци</t>
  </si>
  <si>
    <t>Албанци</t>
  </si>
  <si>
    <t xml:space="preserve">Срби </t>
  </si>
  <si>
    <t>Турци</t>
  </si>
  <si>
    <t>Роми</t>
  </si>
  <si>
    <t>Власи</t>
  </si>
  <si>
    <t>Други националности</t>
  </si>
  <si>
    <t>Вкупно:</t>
  </si>
  <si>
    <t>Централа</t>
  </si>
  <si>
    <t>%</t>
  </si>
  <si>
    <t xml:space="preserve">РРК Битола </t>
  </si>
  <si>
    <t>РРК Гостивар</t>
  </si>
  <si>
    <t>РРК Гевгелија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</si>
</sst>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7">
    <numFmt numFmtId="41" formatCode="_(* #,##0_);_(* \(#,##0\);_(* &quot;-&quot;_);_(@_)"/>
    <numFmt numFmtId="43" formatCode="_(* #,##0.00_);_(* \(#,##0.00\);_(* &quot;-&quot;??_);_(@_)"/>
    <numFmt numFmtId="164" formatCode="_-* #,##0.00\ _д_е_н_._-;\-* #,##0.00\ _д_е_н_._-;_-* &quot;-&quot;??\ _д_е_н_._-;_-@_-"/>
    <numFmt numFmtId="165" formatCode="0.0%"/>
    <numFmt numFmtId="166" formatCode="_(* #,##0_);_(* \(#,##0\);_(* &quot;-&quot;??_);_(@_)"/>
    <numFmt numFmtId="167" formatCode="_(* #,##0.00_);_(* \(#,##0.00\);_(* &quot;-&quot;_);_(@_)"/>
    <numFmt numFmtId="168" formatCode="#,##0.0"/>
  </numFmts>
  <fonts count="38" x14ac:knownFonts="1">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scheme val="minor"/>
    </font>
    <font>
      <sz val="11"/>
      <color theme="4" tint="0.79998168889431442"/>
      <name val="Calibri"/>
      <family val="2"/>
      <scheme val="minor"/>
    </font>
    <font>
      <b/>
      <sz val="11"/>
      <color theme="1"/>
      <name val="Calibri"/>
      <family val="2"/>
      <charset val="204"/>
      <scheme val="minor"/>
    </font>
    <font>
      <sz val="9"/>
      <color indexed="81"/>
      <name val="Tahoma"/>
      <family val="2"/>
      <charset val="204"/>
    </font>
    <font>
      <b/>
      <sz val="9"/>
      <color indexed="81"/>
      <name val="Tahoma"/>
      <family val="2"/>
      <charset val="204"/>
    </font>
    <font>
      <sz val="11"/>
      <color rgb="FFFF0000"/>
      <name val="Calibri"/>
      <family val="2"/>
      <scheme val="minor"/>
    </font>
    <font>
      <sz val="11"/>
      <color theme="1"/>
      <name val="Calibri"/>
      <family val="2"/>
      <charset val="204"/>
      <scheme val="minor"/>
    </font>
    <font>
      <u/>
      <sz val="11"/>
      <color theme="1"/>
      <name val="Calibri"/>
      <family val="2"/>
      <scheme val="minor"/>
    </font>
    <font>
      <u/>
      <sz val="11"/>
      <color theme="1"/>
      <name val="Calibri"/>
      <family val="2"/>
      <charset val="204"/>
      <scheme val="minor"/>
    </font>
    <font>
      <b/>
      <u/>
      <sz val="11"/>
      <color theme="1"/>
      <name val="Calibri"/>
      <family val="2"/>
      <charset val="204"/>
      <scheme val="minor"/>
    </font>
    <font>
      <sz val="11"/>
      <name val="Calibri"/>
      <family val="2"/>
      <scheme val="minor"/>
    </font>
    <font>
      <i/>
      <sz val="11"/>
      <color theme="1"/>
      <name val="Calibri"/>
      <family val="2"/>
      <charset val="204"/>
      <scheme val="minor"/>
    </font>
    <font>
      <sz val="11"/>
      <name val="Calibri"/>
      <family val="2"/>
      <charset val="204"/>
      <scheme val="minor"/>
    </font>
    <font>
      <sz val="10"/>
      <name val="Arial"/>
      <family val="2"/>
      <charset val="204"/>
    </font>
    <font>
      <b/>
      <sz val="10"/>
      <name val="Arial"/>
      <family val="2"/>
      <charset val="204"/>
    </font>
    <font>
      <b/>
      <sz val="11"/>
      <color theme="1"/>
      <name val="Calibri"/>
      <family val="2"/>
      <scheme val="minor"/>
    </font>
    <font>
      <sz val="8"/>
      <name val="Calibri"/>
      <family val="2"/>
      <scheme val="minor"/>
    </font>
    <font>
      <b/>
      <sz val="11"/>
      <color theme="0"/>
      <name val="Calibri"/>
      <family val="2"/>
      <scheme val="minor"/>
    </font>
    <font>
      <sz val="11"/>
      <color theme="0"/>
      <name val="Calibri"/>
      <family val="2"/>
      <scheme val="minor"/>
    </font>
    <font>
      <b/>
      <sz val="11"/>
      <name val="Calibri"/>
      <family val="2"/>
      <scheme val="minor"/>
    </font>
    <font>
      <sz val="11"/>
      <color rgb="FF000000"/>
      <name val="Calibri"/>
      <family val="2"/>
      <charset val="1"/>
    </font>
    <font>
      <b/>
      <sz val="11"/>
      <color rgb="FF000000"/>
      <name val="Calibri"/>
      <family val="2"/>
      <charset val="1"/>
    </font>
    <font>
      <sz val="9"/>
      <color theme="1"/>
      <name val="Calibri"/>
      <family val="2"/>
      <scheme val="minor"/>
    </font>
    <font>
      <sz val="9"/>
      <color theme="4" tint="0.79998168889431442"/>
      <name val="Calibri"/>
      <family val="2"/>
      <scheme val="minor"/>
    </font>
    <font>
      <sz val="10"/>
      <name val="Arial"/>
      <family val="2"/>
    </font>
    <font>
      <b/>
      <sz val="10"/>
      <color theme="0"/>
      <name val="Arial"/>
      <family val="2"/>
    </font>
    <font>
      <b/>
      <sz val="10"/>
      <name val="Arial"/>
      <family val="2"/>
    </font>
    <font>
      <i/>
      <sz val="10"/>
      <name val="Arial"/>
      <family val="2"/>
    </font>
    <font>
      <i/>
      <sz val="10"/>
      <color theme="1"/>
      <name val="Arial"/>
      <family val="2"/>
    </font>
    <font>
      <sz val="10"/>
      <color indexed="8"/>
      <name val="Arial"/>
      <family val="2"/>
    </font>
    <font>
      <b/>
      <sz val="10"/>
      <color theme="1"/>
      <name val="Arial"/>
      <family val="2"/>
    </font>
    <font>
      <sz val="10"/>
      <color theme="0"/>
      <name val="Arial"/>
      <family val="2"/>
    </font>
    <font>
      <sz val="10"/>
      <color theme="1"/>
      <name val="Arial"/>
      <family val="2"/>
    </font>
    <font>
      <b/>
      <sz val="10"/>
      <color indexed="10"/>
      <name val="Arial"/>
      <family val="2"/>
    </font>
  </fonts>
  <fills count="11">
    <fill>
      <patternFill patternType="none"/>
    </fill>
    <fill>
      <patternFill patternType="gray125"/>
    </fill>
    <fill>
      <patternFill patternType="solid">
        <fgColor rgb="FFFFFF00"/>
        <bgColor indexed="64"/>
      </patternFill>
    </fill>
    <fill>
      <patternFill patternType="solid">
        <fgColor rgb="FF92D050"/>
        <bgColor indexed="64"/>
      </patternFill>
    </fill>
    <fill>
      <patternFill patternType="solid">
        <fgColor rgb="FFFFC000"/>
        <bgColor indexed="64"/>
      </patternFill>
    </fill>
    <fill>
      <patternFill patternType="solid">
        <fgColor theme="4"/>
        <bgColor indexed="64"/>
      </patternFill>
    </fill>
    <fill>
      <patternFill patternType="solid">
        <fgColor theme="0"/>
        <bgColor indexed="64"/>
      </patternFill>
    </fill>
    <fill>
      <patternFill patternType="solid">
        <fgColor theme="4" tint="-0.249977111117893"/>
        <bgColor indexed="64"/>
      </patternFill>
    </fill>
    <fill>
      <patternFill patternType="solid">
        <fgColor theme="7" tint="-0.249977111117893"/>
        <bgColor indexed="64"/>
      </patternFill>
    </fill>
    <fill>
      <patternFill patternType="solid">
        <fgColor theme="4" tint="0.39997558519241921"/>
        <bgColor indexed="64"/>
      </patternFill>
    </fill>
    <fill>
      <patternFill patternType="solid">
        <fgColor theme="7" tint="0.59999389629810485"/>
        <bgColor indexed="64"/>
      </patternFill>
    </fill>
  </fills>
  <borders count="88">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dotted">
        <color auto="1"/>
      </right>
      <top style="thin">
        <color auto="1"/>
      </top>
      <bottom style="dotted">
        <color auto="1"/>
      </bottom>
      <diagonal/>
    </border>
    <border>
      <left style="dotted">
        <color auto="1"/>
      </left>
      <right style="dotted">
        <color auto="1"/>
      </right>
      <top style="thin">
        <color auto="1"/>
      </top>
      <bottom style="dotted">
        <color auto="1"/>
      </bottom>
      <diagonal/>
    </border>
    <border>
      <left style="dotted">
        <color auto="1"/>
      </left>
      <right style="thin">
        <color auto="1"/>
      </right>
      <top style="thin">
        <color auto="1"/>
      </top>
      <bottom style="dotted">
        <color auto="1"/>
      </bottom>
      <diagonal/>
    </border>
    <border>
      <left style="thin">
        <color auto="1"/>
      </left>
      <right style="dotted">
        <color auto="1"/>
      </right>
      <top style="dotted">
        <color auto="1"/>
      </top>
      <bottom style="dotted">
        <color auto="1"/>
      </bottom>
      <diagonal/>
    </border>
    <border>
      <left style="dotted">
        <color auto="1"/>
      </left>
      <right style="dotted">
        <color auto="1"/>
      </right>
      <top style="dotted">
        <color auto="1"/>
      </top>
      <bottom style="dotted">
        <color auto="1"/>
      </bottom>
      <diagonal/>
    </border>
    <border>
      <left style="dotted">
        <color auto="1"/>
      </left>
      <right style="thin">
        <color auto="1"/>
      </right>
      <top style="dotted">
        <color auto="1"/>
      </top>
      <bottom style="dotted">
        <color auto="1"/>
      </bottom>
      <diagonal/>
    </border>
    <border>
      <left style="thin">
        <color auto="1"/>
      </left>
      <right style="dotted">
        <color auto="1"/>
      </right>
      <top style="dotted">
        <color auto="1"/>
      </top>
      <bottom style="thin">
        <color auto="1"/>
      </bottom>
      <diagonal/>
    </border>
    <border>
      <left style="dotted">
        <color auto="1"/>
      </left>
      <right style="dotted">
        <color auto="1"/>
      </right>
      <top style="dotted">
        <color auto="1"/>
      </top>
      <bottom style="thin">
        <color auto="1"/>
      </bottom>
      <diagonal/>
    </border>
    <border>
      <left style="dotted">
        <color auto="1"/>
      </left>
      <right style="thin">
        <color auto="1"/>
      </right>
      <top style="dotted">
        <color auto="1"/>
      </top>
      <bottom style="thin">
        <color auto="1"/>
      </bottom>
      <diagonal/>
    </border>
    <border>
      <left style="thin">
        <color auto="1"/>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hair">
        <color auto="1"/>
      </left>
      <right style="thin">
        <color auto="1"/>
      </right>
      <top style="hair">
        <color auto="1"/>
      </top>
      <bottom style="hair">
        <color auto="1"/>
      </bottom>
      <diagonal/>
    </border>
    <border>
      <left style="thin">
        <color auto="1"/>
      </left>
      <right style="hair">
        <color auto="1"/>
      </right>
      <top style="hair">
        <color auto="1"/>
      </top>
      <bottom style="thin">
        <color auto="1"/>
      </bottom>
      <diagonal/>
    </border>
    <border>
      <left style="hair">
        <color auto="1"/>
      </left>
      <right style="hair">
        <color auto="1"/>
      </right>
      <top style="hair">
        <color auto="1"/>
      </top>
      <bottom style="thin">
        <color auto="1"/>
      </bottom>
      <diagonal/>
    </border>
    <border>
      <left style="hair">
        <color auto="1"/>
      </left>
      <right style="thin">
        <color auto="1"/>
      </right>
      <top style="hair">
        <color auto="1"/>
      </top>
      <bottom style="thin">
        <color auto="1"/>
      </bottom>
      <diagonal/>
    </border>
    <border>
      <left style="hair">
        <color auto="1"/>
      </left>
      <right style="hair">
        <color auto="1"/>
      </right>
      <top/>
      <bottom style="hair">
        <color auto="1"/>
      </bottom>
      <diagonal/>
    </border>
    <border>
      <left style="hair">
        <color auto="1"/>
      </left>
      <right style="thin">
        <color auto="1"/>
      </right>
      <top/>
      <bottom style="hair">
        <color auto="1"/>
      </bottom>
      <diagonal/>
    </border>
    <border>
      <left style="hair">
        <color auto="1"/>
      </left>
      <right style="hair">
        <color auto="1"/>
      </right>
      <top style="thin">
        <color auto="1"/>
      </top>
      <bottom/>
      <diagonal/>
    </border>
    <border>
      <left style="hair">
        <color auto="1"/>
      </left>
      <right style="thin">
        <color auto="1"/>
      </right>
      <top style="thin">
        <color auto="1"/>
      </top>
      <bottom/>
      <diagonal/>
    </border>
    <border>
      <left style="thin">
        <color auto="1"/>
      </left>
      <right style="hair">
        <color auto="1"/>
      </right>
      <top style="thin">
        <color auto="1"/>
      </top>
      <bottom style="hair">
        <color auto="1"/>
      </bottom>
      <diagonal/>
    </border>
    <border>
      <left style="hair">
        <color auto="1"/>
      </left>
      <right style="hair">
        <color auto="1"/>
      </right>
      <top style="thin">
        <color auto="1"/>
      </top>
      <bottom style="hair">
        <color auto="1"/>
      </bottom>
      <diagonal/>
    </border>
    <border>
      <left style="hair">
        <color auto="1"/>
      </left>
      <right style="thin">
        <color auto="1"/>
      </right>
      <top style="thin">
        <color auto="1"/>
      </top>
      <bottom style="hair">
        <color auto="1"/>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right style="hair">
        <color auto="1"/>
      </right>
      <top style="hair">
        <color auto="1"/>
      </top>
      <bottom style="hair">
        <color auto="1"/>
      </bottom>
      <diagonal/>
    </border>
    <border>
      <left/>
      <right/>
      <top style="thin">
        <color theme="4" tint="0.39997558519241921"/>
      </top>
      <bottom style="thin">
        <color theme="4" tint="0.39997558519241921"/>
      </bottom>
      <diagonal/>
    </border>
    <border>
      <left style="thin">
        <color auto="1"/>
      </left>
      <right style="dotted">
        <color auto="1"/>
      </right>
      <top/>
      <bottom style="dotted">
        <color auto="1"/>
      </bottom>
      <diagonal/>
    </border>
    <border>
      <left style="dotted">
        <color auto="1"/>
      </left>
      <right style="dotted">
        <color auto="1"/>
      </right>
      <top/>
      <bottom style="dotted">
        <color auto="1"/>
      </bottom>
      <diagonal/>
    </border>
    <border>
      <left style="thin">
        <color auto="1"/>
      </left>
      <right style="dotted">
        <color auto="1"/>
      </right>
      <top style="thin">
        <color auto="1"/>
      </top>
      <bottom/>
      <diagonal/>
    </border>
    <border>
      <left style="hair">
        <color auto="1"/>
      </left>
      <right style="hair">
        <color auto="1"/>
      </right>
      <top/>
      <bottom style="dotted">
        <color auto="1"/>
      </bottom>
      <diagonal/>
    </border>
    <border>
      <left/>
      <right/>
      <top/>
      <bottom style="dotted">
        <color auto="1"/>
      </bottom>
      <diagonal/>
    </border>
    <border>
      <left style="hair">
        <color auto="1"/>
      </left>
      <right style="thin">
        <color auto="1"/>
      </right>
      <top/>
      <bottom style="dotted">
        <color auto="1"/>
      </bottom>
      <diagonal/>
    </border>
    <border>
      <left style="dotted">
        <color auto="1"/>
      </left>
      <right style="dotted">
        <color auto="1"/>
      </right>
      <top style="thin">
        <color auto="1"/>
      </top>
      <bottom/>
      <diagonal/>
    </border>
    <border>
      <left style="thin">
        <color rgb="FF999999"/>
      </left>
      <right style="thin">
        <color rgb="FF999999"/>
      </right>
      <top style="thin">
        <color rgb="FF999999"/>
      </top>
      <bottom style="thin">
        <color rgb="FF999999"/>
      </bottom>
      <diagonal/>
    </border>
    <border>
      <left style="dotted">
        <color auto="1"/>
      </left>
      <right style="dotted">
        <color auto="1"/>
      </right>
      <top/>
      <bottom style="thin">
        <color auto="1"/>
      </bottom>
      <diagonal/>
    </border>
    <border>
      <left/>
      <right style="hair">
        <color auto="1"/>
      </right>
      <top style="thin">
        <color auto="1"/>
      </top>
      <bottom style="hair">
        <color auto="1"/>
      </bottom>
      <diagonal/>
    </border>
    <border>
      <left style="medium">
        <color indexed="64"/>
      </left>
      <right/>
      <top/>
      <bottom/>
      <diagonal/>
    </border>
    <border>
      <left/>
      <right style="medium">
        <color indexed="64"/>
      </right>
      <top/>
      <bottom/>
      <diagonal/>
    </border>
    <border>
      <left style="medium">
        <color indexed="64"/>
      </left>
      <right/>
      <top style="medium">
        <color indexed="64"/>
      </top>
      <bottom/>
      <diagonal/>
    </border>
    <border>
      <left/>
      <right style="medium">
        <color indexed="64"/>
      </right>
      <top style="medium">
        <color indexed="64"/>
      </top>
      <bottom/>
      <diagonal/>
    </border>
    <border>
      <left/>
      <right/>
      <top style="medium">
        <color indexed="64"/>
      </top>
      <bottom/>
      <diagonal/>
    </border>
    <border>
      <left/>
      <right/>
      <top style="thin">
        <color auto="1"/>
      </top>
      <bottom/>
      <diagonal/>
    </border>
    <border>
      <left style="thin">
        <color auto="1"/>
      </left>
      <right/>
      <top/>
      <bottom/>
      <diagonal/>
    </border>
    <border>
      <left style="medium">
        <color indexed="64"/>
      </left>
      <right/>
      <top style="double">
        <color indexed="64"/>
      </top>
      <bottom/>
      <diagonal/>
    </border>
    <border>
      <left/>
      <right/>
      <top style="double">
        <color indexed="64"/>
      </top>
      <bottom/>
      <diagonal/>
    </border>
    <border>
      <left style="double">
        <color indexed="64"/>
      </left>
      <right style="dotted">
        <color indexed="64"/>
      </right>
      <top style="double">
        <color indexed="64"/>
      </top>
      <bottom/>
      <diagonal/>
    </border>
    <border>
      <left style="dotted">
        <color indexed="64"/>
      </left>
      <right style="double">
        <color indexed="64"/>
      </right>
      <top style="double">
        <color indexed="64"/>
      </top>
      <bottom/>
      <diagonal/>
    </border>
    <border>
      <left style="double">
        <color indexed="64"/>
      </left>
      <right style="dotted">
        <color indexed="64"/>
      </right>
      <top/>
      <bottom/>
      <diagonal/>
    </border>
    <border>
      <left style="dotted">
        <color indexed="64"/>
      </left>
      <right style="double">
        <color indexed="64"/>
      </right>
      <top/>
      <bottom/>
      <diagonal/>
    </border>
    <border>
      <left style="double">
        <color indexed="64"/>
      </left>
      <right style="dotted">
        <color indexed="64"/>
      </right>
      <top style="double">
        <color indexed="64"/>
      </top>
      <bottom style="thin">
        <color indexed="64"/>
      </bottom>
      <diagonal/>
    </border>
    <border>
      <left style="dotted">
        <color indexed="64"/>
      </left>
      <right style="double">
        <color indexed="64"/>
      </right>
      <top style="double">
        <color indexed="64"/>
      </top>
      <bottom style="thin">
        <color indexed="64"/>
      </bottom>
      <diagonal/>
    </border>
    <border>
      <left style="double">
        <color indexed="64"/>
      </left>
      <right style="dotted">
        <color indexed="64"/>
      </right>
      <top style="thin">
        <color indexed="64"/>
      </top>
      <bottom style="thin">
        <color indexed="64"/>
      </bottom>
      <diagonal/>
    </border>
    <border>
      <left style="dotted">
        <color indexed="64"/>
      </left>
      <right style="double">
        <color indexed="64"/>
      </right>
      <top style="thin">
        <color indexed="64"/>
      </top>
      <bottom style="thin">
        <color indexed="64"/>
      </bottom>
      <diagonal/>
    </border>
    <border>
      <left style="double">
        <color indexed="64"/>
      </left>
      <right style="dotted">
        <color indexed="64"/>
      </right>
      <top style="thin">
        <color indexed="64"/>
      </top>
      <bottom style="double">
        <color indexed="64"/>
      </bottom>
      <diagonal/>
    </border>
    <border>
      <left style="dotted">
        <color indexed="64"/>
      </left>
      <right style="double">
        <color indexed="64"/>
      </right>
      <top style="thin">
        <color indexed="64"/>
      </top>
      <bottom style="double">
        <color indexed="64"/>
      </bottom>
      <diagonal/>
    </border>
    <border>
      <left style="double">
        <color indexed="64"/>
      </left>
      <right style="dotted">
        <color indexed="64"/>
      </right>
      <top/>
      <bottom style="double">
        <color indexed="64"/>
      </bottom>
      <diagonal/>
    </border>
    <border>
      <left style="dotted">
        <color indexed="64"/>
      </left>
      <right style="double">
        <color indexed="64"/>
      </right>
      <top/>
      <bottom style="double">
        <color indexed="64"/>
      </bottom>
      <diagonal/>
    </border>
    <border>
      <left style="double">
        <color indexed="64"/>
      </left>
      <right/>
      <top style="double">
        <color indexed="64"/>
      </top>
      <bottom/>
      <diagonal/>
    </border>
    <border>
      <left/>
      <right style="medium">
        <color indexed="64"/>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style="double">
        <color indexed="64"/>
      </left>
      <right/>
      <top style="double">
        <color indexed="64"/>
      </top>
      <bottom style="hair">
        <color indexed="64"/>
      </bottom>
      <diagonal/>
    </border>
    <border>
      <left style="double">
        <color indexed="64"/>
      </left>
      <right/>
      <top style="hair">
        <color indexed="64"/>
      </top>
      <bottom style="hair">
        <color indexed="64"/>
      </bottom>
      <diagonal/>
    </border>
    <border>
      <left style="double">
        <color indexed="64"/>
      </left>
      <right/>
      <top style="hair">
        <color indexed="64"/>
      </top>
      <bottom/>
      <diagonal/>
    </border>
    <border>
      <left style="double">
        <color indexed="64"/>
      </left>
      <right/>
      <top style="medium">
        <color indexed="64"/>
      </top>
      <bottom style="double">
        <color indexed="64"/>
      </bottom>
      <diagonal/>
    </border>
    <border>
      <left style="thin">
        <color indexed="64"/>
      </left>
      <right/>
      <top style="thin">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medium">
        <color indexed="64"/>
      </left>
      <right style="medium">
        <color indexed="64"/>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s>
  <cellStyleXfs count="12">
    <xf numFmtId="0" fontId="0" fillId="0" borderId="0"/>
    <xf numFmtId="9" fontId="4" fillId="0" borderId="0" applyFont="0" applyFill="0" applyBorder="0" applyAlignment="0" applyProtection="0"/>
    <xf numFmtId="43" fontId="4" fillId="0" borderId="0" applyFont="0" applyFill="0" applyBorder="0" applyAlignment="0" applyProtection="0"/>
    <xf numFmtId="0" fontId="4" fillId="0" borderId="0"/>
    <xf numFmtId="0" fontId="24" fillId="0" borderId="0"/>
    <xf numFmtId="0" fontId="24" fillId="0" borderId="0" applyBorder="0" applyProtection="0">
      <alignment horizontal="left"/>
    </xf>
    <xf numFmtId="0" fontId="24" fillId="0" borderId="0" applyBorder="0" applyProtection="0"/>
    <xf numFmtId="0" fontId="24" fillId="0" borderId="0" applyBorder="0" applyProtection="0"/>
    <xf numFmtId="0" fontId="25" fillId="0" borderId="0" applyBorder="0" applyProtection="0"/>
    <xf numFmtId="0" fontId="25" fillId="0" borderId="0" applyBorder="0" applyProtection="0">
      <alignment horizontal="left"/>
    </xf>
    <xf numFmtId="0" fontId="24" fillId="0" borderId="0" applyBorder="0" applyProtection="0"/>
    <xf numFmtId="0" fontId="17" fillId="0" borderId="0"/>
  </cellStyleXfs>
  <cellXfs count="396">
    <xf numFmtId="0" fontId="0" fillId="0" borderId="0" xfId="0"/>
    <xf numFmtId="3" fontId="0" fillId="0" borderId="0" xfId="0" applyNumberFormat="1"/>
    <xf numFmtId="0" fontId="0" fillId="0" borderId="0" xfId="0" applyAlignment="1">
      <alignment wrapText="1"/>
    </xf>
    <xf numFmtId="0" fontId="5" fillId="0" borderId="0" xfId="0" applyFont="1" applyAlignment="1">
      <alignment wrapText="1"/>
    </xf>
    <xf numFmtId="0" fontId="0" fillId="0" borderId="0" xfId="0" pivotButton="1"/>
    <xf numFmtId="14" fontId="0" fillId="0" borderId="0" xfId="0" applyNumberFormat="1"/>
    <xf numFmtId="0" fontId="0" fillId="0" borderId="0" xfId="0" applyAlignment="1">
      <alignment horizontal="left"/>
    </xf>
    <xf numFmtId="0" fontId="0" fillId="0" borderId="0" xfId="0" applyAlignment="1">
      <alignment horizontal="left" indent="1"/>
    </xf>
    <xf numFmtId="0" fontId="6" fillId="0" borderId="0" xfId="0" applyFont="1"/>
    <xf numFmtId="3" fontId="6" fillId="0" borderId="1" xfId="0" applyNumberFormat="1" applyFont="1" applyBorder="1"/>
    <xf numFmtId="3" fontId="0" fillId="0" borderId="1" xfId="0" applyNumberFormat="1" applyBorder="1"/>
    <xf numFmtId="0" fontId="6" fillId="0" borderId="2" xfId="0" applyFont="1" applyBorder="1" applyAlignment="1">
      <alignment horizontal="center" wrapText="1"/>
    </xf>
    <xf numFmtId="165" fontId="0" fillId="0" borderId="0" xfId="1" applyNumberFormat="1" applyFont="1"/>
    <xf numFmtId="0" fontId="0" fillId="0" borderId="0" xfId="0" applyAlignment="1">
      <alignment horizontal="center" vertical="center" wrapText="1"/>
    </xf>
    <xf numFmtId="3" fontId="6" fillId="0" borderId="0" xfId="0" applyNumberFormat="1" applyFont="1"/>
    <xf numFmtId="0" fontId="11" fillId="0" borderId="0" xfId="0" applyFont="1" applyAlignment="1">
      <alignment horizontal="center" vertical="center" wrapText="1"/>
    </xf>
    <xf numFmtId="0" fontId="6" fillId="0" borderId="3" xfId="0" applyFont="1" applyBorder="1" applyAlignment="1">
      <alignment horizontal="left" vertical="center" wrapText="1"/>
    </xf>
    <xf numFmtId="3" fontId="0" fillId="0" borderId="7" xfId="0" applyNumberFormat="1" applyBorder="1"/>
    <xf numFmtId="165" fontId="0" fillId="0" borderId="8" xfId="1" applyNumberFormat="1" applyFont="1" applyBorder="1"/>
    <xf numFmtId="0" fontId="6" fillId="0" borderId="6" xfId="0" applyFont="1" applyBorder="1" applyAlignment="1">
      <alignment horizontal="left"/>
    </xf>
    <xf numFmtId="3" fontId="6" fillId="0" borderId="7" xfId="0" applyNumberFormat="1" applyFont="1" applyBorder="1"/>
    <xf numFmtId="165" fontId="6" fillId="0" borderId="8" xfId="1" applyNumberFormat="1" applyFont="1" applyBorder="1"/>
    <xf numFmtId="0" fontId="6" fillId="0" borderId="9" xfId="0" applyFont="1" applyBorder="1"/>
    <xf numFmtId="3" fontId="6" fillId="0" borderId="10" xfId="0" applyNumberFormat="1" applyFont="1" applyBorder="1"/>
    <xf numFmtId="165" fontId="6" fillId="0" borderId="11" xfId="1" applyNumberFormat="1" applyFont="1" applyBorder="1"/>
    <xf numFmtId="3" fontId="0" fillId="0" borderId="13" xfId="0" applyNumberFormat="1" applyBorder="1"/>
    <xf numFmtId="165" fontId="0" fillId="0" borderId="13" xfId="1" applyNumberFormat="1" applyFont="1" applyBorder="1"/>
    <xf numFmtId="165" fontId="0" fillId="0" borderId="14" xfId="1" applyNumberFormat="1" applyFont="1" applyBorder="1"/>
    <xf numFmtId="0" fontId="6" fillId="0" borderId="12" xfId="0" applyFont="1" applyBorder="1" applyAlignment="1">
      <alignment horizontal="left"/>
    </xf>
    <xf numFmtId="3" fontId="6" fillId="0" borderId="13" xfId="0" applyNumberFormat="1" applyFont="1" applyBorder="1"/>
    <xf numFmtId="165" fontId="6" fillId="0" borderId="13" xfId="1" applyNumberFormat="1" applyFont="1" applyBorder="1"/>
    <xf numFmtId="165" fontId="6" fillId="0" borderId="14" xfId="1" applyNumberFormat="1" applyFont="1" applyBorder="1"/>
    <xf numFmtId="3" fontId="6" fillId="0" borderId="16" xfId="0" applyNumberFormat="1" applyFont="1" applyBorder="1"/>
    <xf numFmtId="0" fontId="6" fillId="0" borderId="22" xfId="0" applyFont="1" applyBorder="1" applyAlignment="1">
      <alignment horizontal="left" vertical="center" wrapText="1"/>
    </xf>
    <xf numFmtId="0" fontId="6" fillId="0" borderId="12" xfId="0" applyFont="1" applyBorder="1" applyAlignment="1">
      <alignment horizontal="left" vertical="center" wrapText="1"/>
    </xf>
    <xf numFmtId="0" fontId="14" fillId="0" borderId="0" xfId="0" applyFont="1" applyAlignment="1">
      <alignment wrapText="1"/>
    </xf>
    <xf numFmtId="166" fontId="0" fillId="0" borderId="0" xfId="2" applyNumberFormat="1" applyFont="1"/>
    <xf numFmtId="17" fontId="11" fillId="0" borderId="23" xfId="0" applyNumberFormat="1" applyFont="1" applyBorder="1" applyAlignment="1">
      <alignment horizontal="right" vertical="center" wrapText="1"/>
    </xf>
    <xf numFmtId="17" fontId="11" fillId="0" borderId="24" xfId="0" applyNumberFormat="1" applyFont="1" applyBorder="1" applyAlignment="1">
      <alignment horizontal="right" vertical="center" wrapText="1"/>
    </xf>
    <xf numFmtId="0" fontId="11" fillId="0" borderId="13" xfId="0" applyFont="1" applyBorder="1" applyAlignment="1">
      <alignment horizontal="right" vertical="center" wrapText="1"/>
    </xf>
    <xf numFmtId="0" fontId="12" fillId="0" borderId="13" xfId="0" applyFont="1" applyBorder="1" applyAlignment="1">
      <alignment horizontal="center" vertical="center" wrapText="1"/>
    </xf>
    <xf numFmtId="0" fontId="11" fillId="0" borderId="13" xfId="0" applyFont="1" applyBorder="1" applyAlignment="1">
      <alignment horizontal="center" vertical="center" wrapText="1"/>
    </xf>
    <xf numFmtId="0" fontId="11" fillId="0" borderId="14" xfId="0" applyFont="1" applyBorder="1" applyAlignment="1">
      <alignment horizontal="center" vertical="center" wrapText="1"/>
    </xf>
    <xf numFmtId="0" fontId="0" fillId="0" borderId="12" xfId="0" applyBorder="1" applyAlignment="1">
      <alignment horizontal="left" indent="1"/>
    </xf>
    <xf numFmtId="3" fontId="10" fillId="0" borderId="13" xfId="0" applyNumberFormat="1" applyFont="1" applyBorder="1"/>
    <xf numFmtId="0" fontId="0" fillId="0" borderId="13" xfId="0" applyBorder="1"/>
    <xf numFmtId="0" fontId="0" fillId="0" borderId="14" xfId="0" applyBorder="1"/>
    <xf numFmtId="3" fontId="0" fillId="0" borderId="14" xfId="0" applyNumberFormat="1" applyBorder="1"/>
    <xf numFmtId="0" fontId="6" fillId="0" borderId="13" xfId="0" applyFont="1" applyBorder="1"/>
    <xf numFmtId="0" fontId="6" fillId="0" borderId="14" xfId="0" applyFont="1" applyBorder="1"/>
    <xf numFmtId="0" fontId="6" fillId="0" borderId="12" xfId="0" applyFont="1" applyBorder="1" applyAlignment="1">
      <alignment horizontal="left" indent="1"/>
    </xf>
    <xf numFmtId="3" fontId="6" fillId="0" borderId="14" xfId="0" applyNumberFormat="1" applyFont="1" applyBorder="1"/>
    <xf numFmtId="0" fontId="0" fillId="0" borderId="15" xfId="0" applyBorder="1" applyAlignment="1">
      <alignment horizontal="left" indent="1"/>
    </xf>
    <xf numFmtId="0" fontId="6" fillId="0" borderId="17" xfId="0" applyFont="1" applyBorder="1"/>
    <xf numFmtId="0" fontId="6" fillId="0" borderId="22" xfId="0" applyFont="1" applyBorder="1" applyAlignment="1">
      <alignment horizontal="left"/>
    </xf>
    <xf numFmtId="3" fontId="6" fillId="0" borderId="23" xfId="0" applyNumberFormat="1" applyFont="1" applyBorder="1"/>
    <xf numFmtId="0" fontId="6" fillId="0" borderId="23" xfId="0" applyFont="1" applyBorder="1"/>
    <xf numFmtId="0" fontId="6" fillId="0" borderId="24" xfId="0" applyFont="1" applyBorder="1"/>
    <xf numFmtId="0" fontId="6" fillId="0" borderId="15" xfId="0" applyFont="1" applyBorder="1" applyAlignment="1">
      <alignment horizontal="left" indent="1"/>
    </xf>
    <xf numFmtId="3" fontId="6" fillId="0" borderId="17" xfId="0" applyNumberFormat="1" applyFont="1" applyBorder="1"/>
    <xf numFmtId="0" fontId="0" fillId="0" borderId="25" xfId="0" applyBorder="1" applyAlignment="1">
      <alignment horizontal="left" indent="1"/>
    </xf>
    <xf numFmtId="3" fontId="0" fillId="0" borderId="26" xfId="0" applyNumberFormat="1" applyBorder="1"/>
    <xf numFmtId="0" fontId="0" fillId="0" borderId="0" xfId="0" quotePrefix="1"/>
    <xf numFmtId="0" fontId="9" fillId="0" borderId="0" xfId="0" applyFont="1" applyAlignment="1">
      <alignment wrapText="1"/>
    </xf>
    <xf numFmtId="0" fontId="11" fillId="0" borderId="23" xfId="0" applyFont="1" applyBorder="1" applyAlignment="1">
      <alignment horizontal="right" vertical="center" wrapText="1"/>
    </xf>
    <xf numFmtId="0" fontId="11" fillId="0" borderId="24" xfId="0" applyFont="1" applyBorder="1" applyAlignment="1">
      <alignment horizontal="center" vertical="center" wrapText="1"/>
    </xf>
    <xf numFmtId="0" fontId="0" fillId="0" borderId="17" xfId="0" applyBorder="1"/>
    <xf numFmtId="0" fontId="10" fillId="0" borderId="12" xfId="0" applyFont="1" applyBorder="1" applyAlignment="1">
      <alignment horizontal="left" vertical="center" wrapText="1" indent="1"/>
    </xf>
    <xf numFmtId="0" fontId="10" fillId="0" borderId="12" xfId="0" applyFont="1" applyBorder="1" applyAlignment="1">
      <alignment horizontal="left" indent="1"/>
    </xf>
    <xf numFmtId="0" fontId="10" fillId="0" borderId="15" xfId="0" applyFont="1" applyBorder="1" applyAlignment="1">
      <alignment horizontal="left" indent="1"/>
    </xf>
    <xf numFmtId="0" fontId="11" fillId="0" borderId="24" xfId="0" applyFont="1" applyBorder="1" applyAlignment="1">
      <alignment horizontal="right" vertical="center" wrapText="1"/>
    </xf>
    <xf numFmtId="0" fontId="6" fillId="0" borderId="15" xfId="0" applyFont="1" applyBorder="1" applyAlignment="1">
      <alignment horizontal="left"/>
    </xf>
    <xf numFmtId="0" fontId="12" fillId="0" borderId="24" xfId="0" applyFont="1" applyBorder="1" applyAlignment="1">
      <alignment horizontal="center" vertical="center" wrapText="1"/>
    </xf>
    <xf numFmtId="0" fontId="13" fillId="0" borderId="0" xfId="0" applyFont="1" applyAlignment="1">
      <alignment horizontal="center" vertical="center" wrapText="1"/>
    </xf>
    <xf numFmtId="0" fontId="10" fillId="0" borderId="0" xfId="0" applyFont="1"/>
    <xf numFmtId="0" fontId="6" fillId="0" borderId="27" xfId="0" applyFont="1" applyBorder="1" applyAlignment="1">
      <alignment horizontal="left" vertical="center" wrapText="1"/>
    </xf>
    <xf numFmtId="0" fontId="0" fillId="0" borderId="0" xfId="0" applyAlignment="1">
      <alignment horizontal="left" vertical="center"/>
    </xf>
    <xf numFmtId="0" fontId="13" fillId="0" borderId="20" xfId="0" applyFont="1" applyBorder="1" applyAlignment="1">
      <alignment horizontal="center" vertical="center" wrapText="1"/>
    </xf>
    <xf numFmtId="0" fontId="15" fillId="0" borderId="0" xfId="0" applyFont="1" applyAlignment="1">
      <alignment horizontal="right"/>
    </xf>
    <xf numFmtId="166" fontId="6" fillId="0" borderId="23" xfId="2" applyNumberFormat="1" applyFont="1" applyBorder="1" applyAlignment="1">
      <alignment horizontal="right" vertical="center" wrapText="1"/>
    </xf>
    <xf numFmtId="166" fontId="6" fillId="0" borderId="23" xfId="0" applyNumberFormat="1" applyFont="1" applyBorder="1" applyAlignment="1">
      <alignment horizontal="right" vertical="center" wrapText="1"/>
    </xf>
    <xf numFmtId="0" fontId="6" fillId="0" borderId="24" xfId="0" applyFont="1" applyBorder="1" applyAlignment="1">
      <alignment horizontal="center" vertical="center" wrapText="1"/>
    </xf>
    <xf numFmtId="41" fontId="0" fillId="0" borderId="13" xfId="0" applyNumberFormat="1" applyBorder="1"/>
    <xf numFmtId="41" fontId="0" fillId="0" borderId="14" xfId="0" applyNumberFormat="1" applyBorder="1"/>
    <xf numFmtId="41" fontId="10" fillId="0" borderId="13" xfId="0" applyNumberFormat="1" applyFont="1" applyBorder="1"/>
    <xf numFmtId="41" fontId="10" fillId="0" borderId="14" xfId="0" applyNumberFormat="1" applyFont="1" applyBorder="1"/>
    <xf numFmtId="41" fontId="6" fillId="0" borderId="13" xfId="0" applyNumberFormat="1" applyFont="1" applyBorder="1"/>
    <xf numFmtId="41" fontId="6" fillId="0" borderId="14" xfId="0" applyNumberFormat="1" applyFont="1" applyBorder="1"/>
    <xf numFmtId="41" fontId="6" fillId="0" borderId="16" xfId="0" applyNumberFormat="1" applyFont="1" applyBorder="1"/>
    <xf numFmtId="41" fontId="6" fillId="0" borderId="17" xfId="0" applyNumberFormat="1" applyFont="1" applyBorder="1"/>
    <xf numFmtId="41" fontId="0" fillId="0" borderId="16" xfId="0" applyNumberFormat="1" applyBorder="1"/>
    <xf numFmtId="17" fontId="11" fillId="0" borderId="23" xfId="0" applyNumberFormat="1" applyFont="1" applyBorder="1" applyAlignment="1">
      <alignment horizontal="center" vertical="center" wrapText="1"/>
    </xf>
    <xf numFmtId="167" fontId="0" fillId="0" borderId="0" xfId="0" applyNumberFormat="1"/>
    <xf numFmtId="41" fontId="0" fillId="0" borderId="17" xfId="0" applyNumberFormat="1" applyBorder="1"/>
    <xf numFmtId="166" fontId="0" fillId="0" borderId="0" xfId="0" applyNumberFormat="1"/>
    <xf numFmtId="1" fontId="0" fillId="0" borderId="0" xfId="0" applyNumberFormat="1"/>
    <xf numFmtId="43" fontId="0" fillId="0" borderId="0" xfId="2" applyFont="1"/>
    <xf numFmtId="2" fontId="0" fillId="0" borderId="0" xfId="0" applyNumberFormat="1"/>
    <xf numFmtId="166" fontId="6" fillId="0" borderId="13" xfId="2" applyNumberFormat="1" applyFont="1" applyBorder="1"/>
    <xf numFmtId="0" fontId="6" fillId="0" borderId="0" xfId="0" applyFont="1" applyAlignment="1">
      <alignment horizontal="left"/>
    </xf>
    <xf numFmtId="166" fontId="6" fillId="0" borderId="0" xfId="2" applyNumberFormat="1" applyFont="1"/>
    <xf numFmtId="0" fontId="10" fillId="0" borderId="6" xfId="0" applyFont="1" applyBorder="1" applyAlignment="1">
      <alignment horizontal="left"/>
    </xf>
    <xf numFmtId="3" fontId="10" fillId="0" borderId="7" xfId="0" applyNumberFormat="1" applyFont="1" applyBorder="1"/>
    <xf numFmtId="165" fontId="10" fillId="0" borderId="8" xfId="1" applyNumberFormat="1" applyFont="1" applyBorder="1"/>
    <xf numFmtId="0" fontId="10" fillId="0" borderId="6" xfId="0" applyFont="1" applyBorder="1" applyAlignment="1">
      <alignment horizontal="left" indent="1"/>
    </xf>
    <xf numFmtId="0" fontId="0" fillId="0" borderId="6" xfId="0" applyBorder="1" applyAlignment="1">
      <alignment horizontal="left" indent="1"/>
    </xf>
    <xf numFmtId="0" fontId="0" fillId="0" borderId="8" xfId="0" applyBorder="1"/>
    <xf numFmtId="165" fontId="6" fillId="0" borderId="8" xfId="0" applyNumberFormat="1" applyFont="1" applyBorder="1"/>
    <xf numFmtId="0" fontId="10" fillId="0" borderId="7" xfId="0" applyFont="1" applyBorder="1"/>
    <xf numFmtId="0" fontId="0" fillId="0" borderId="7" xfId="0" applyBorder="1"/>
    <xf numFmtId="14" fontId="6" fillId="0" borderId="4" xfId="0" applyNumberFormat="1" applyFont="1" applyBorder="1" applyAlignment="1">
      <alignment horizontal="center" vertical="center" wrapText="1"/>
    </xf>
    <xf numFmtId="0" fontId="6" fillId="0" borderId="4" xfId="0" applyFont="1" applyBorder="1" applyAlignment="1">
      <alignment horizontal="center" vertical="center" wrapText="1"/>
    </xf>
    <xf numFmtId="0" fontId="6" fillId="0" borderId="5" xfId="0" applyFont="1" applyBorder="1" applyAlignment="1">
      <alignment horizontal="center" vertical="center" wrapText="1"/>
    </xf>
    <xf numFmtId="14" fontId="6" fillId="0" borderId="30" xfId="0" applyNumberFormat="1" applyFont="1" applyBorder="1" applyAlignment="1">
      <alignment horizontal="center" vertical="center" wrapText="1"/>
    </xf>
    <xf numFmtId="165" fontId="10" fillId="0" borderId="7" xfId="1" applyNumberFormat="1" applyFont="1" applyBorder="1"/>
    <xf numFmtId="165" fontId="0" fillId="0" borderId="7" xfId="1" applyNumberFormat="1" applyFont="1" applyBorder="1"/>
    <xf numFmtId="165" fontId="6" fillId="0" borderId="7" xfId="1" applyNumberFormat="1" applyFont="1" applyBorder="1"/>
    <xf numFmtId="165" fontId="6" fillId="0" borderId="10" xfId="1" applyNumberFormat="1" applyFont="1" applyBorder="1"/>
    <xf numFmtId="165" fontId="10" fillId="0" borderId="18" xfId="1" applyNumberFormat="1" applyFont="1" applyBorder="1"/>
    <xf numFmtId="165" fontId="10" fillId="0" borderId="19" xfId="1" applyNumberFormat="1" applyFont="1" applyBorder="1"/>
    <xf numFmtId="0" fontId="10" fillId="0" borderId="29" xfId="0" applyFont="1" applyBorder="1" applyAlignment="1">
      <alignment horizontal="left"/>
    </xf>
    <xf numFmtId="3" fontId="10" fillId="0" borderId="30" xfId="0" applyNumberFormat="1" applyFont="1" applyBorder="1"/>
    <xf numFmtId="0" fontId="6" fillId="0" borderId="33" xfId="0" applyFont="1" applyBorder="1" applyAlignment="1">
      <alignment horizontal="center" vertical="center"/>
    </xf>
    <xf numFmtId="0" fontId="0" fillId="0" borderId="4" xfId="0" applyBorder="1" applyAlignment="1">
      <alignment horizontal="center" vertical="center" wrapText="1"/>
    </xf>
    <xf numFmtId="0" fontId="0" fillId="0" borderId="5" xfId="0" applyBorder="1" applyAlignment="1">
      <alignment horizontal="center" vertical="center" wrapText="1"/>
    </xf>
    <xf numFmtId="166" fontId="0" fillId="0" borderId="7" xfId="2" applyNumberFormat="1" applyFont="1" applyBorder="1"/>
    <xf numFmtId="166" fontId="6" fillId="0" borderId="7" xfId="2" applyNumberFormat="1" applyFont="1" applyBorder="1"/>
    <xf numFmtId="0" fontId="6" fillId="0" borderId="6" xfId="0" applyFont="1" applyBorder="1" applyAlignment="1">
      <alignment horizontal="left" indent="1"/>
    </xf>
    <xf numFmtId="166" fontId="6" fillId="0" borderId="10" xfId="0" applyNumberFormat="1" applyFont="1" applyBorder="1"/>
    <xf numFmtId="165" fontId="6" fillId="0" borderId="11" xfId="0" applyNumberFormat="1" applyFont="1" applyBorder="1"/>
    <xf numFmtId="0" fontId="10" fillId="0" borderId="3" xfId="0" applyFont="1" applyBorder="1" applyAlignment="1">
      <alignment vertical="center" wrapText="1"/>
    </xf>
    <xf numFmtId="166" fontId="6" fillId="0" borderId="7" xfId="0" applyNumberFormat="1" applyFont="1" applyBorder="1"/>
    <xf numFmtId="14" fontId="10" fillId="0" borderId="30" xfId="0" applyNumberFormat="1" applyFont="1" applyBorder="1" applyAlignment="1">
      <alignment horizontal="center" vertical="center" wrapText="1"/>
    </xf>
    <xf numFmtId="0" fontId="12" fillId="0" borderId="35" xfId="0" applyFont="1" applyBorder="1" applyAlignment="1">
      <alignment horizontal="center" vertical="center" wrapText="1"/>
    </xf>
    <xf numFmtId="0" fontId="10" fillId="0" borderId="30" xfId="0" applyFont="1" applyBorder="1" applyAlignment="1">
      <alignment horizontal="center" vertical="center"/>
    </xf>
    <xf numFmtId="166" fontId="6" fillId="0" borderId="10" xfId="2" applyNumberFormat="1" applyFont="1" applyBorder="1"/>
    <xf numFmtId="0" fontId="0" fillId="0" borderId="8" xfId="0" applyBorder="1" applyAlignment="1">
      <alignment horizontal="center" vertical="center" wrapText="1"/>
    </xf>
    <xf numFmtId="3" fontId="16" fillId="0" borderId="30" xfId="0" applyNumberFormat="1" applyFont="1" applyBorder="1"/>
    <xf numFmtId="0" fontId="0" fillId="2" borderId="0" xfId="0" applyFill="1"/>
    <xf numFmtId="0" fontId="6" fillId="0" borderId="3" xfId="0" applyFont="1" applyBorder="1" applyAlignment="1">
      <alignment vertical="center" wrapText="1"/>
    </xf>
    <xf numFmtId="0" fontId="6" fillId="0" borderId="6" xfId="0" applyFont="1" applyBorder="1"/>
    <xf numFmtId="0" fontId="6" fillId="0" borderId="6" xfId="0" applyFont="1" applyBorder="1" applyAlignment="1">
      <alignment wrapText="1"/>
    </xf>
    <xf numFmtId="0" fontId="0" fillId="0" borderId="36" xfId="0" pivotButton="1" applyBorder="1"/>
    <xf numFmtId="0" fontId="0" fillId="0" borderId="36" xfId="0" applyBorder="1"/>
    <xf numFmtId="166" fontId="0" fillId="0" borderId="0" xfId="2" applyNumberFormat="1" applyFont="1" applyAlignment="1">
      <alignment horizontal="left" indent="1"/>
    </xf>
    <xf numFmtId="41" fontId="0" fillId="0" borderId="0" xfId="0" applyNumberFormat="1"/>
    <xf numFmtId="0" fontId="6" fillId="2" borderId="0" xfId="0" applyFont="1" applyFill="1" applyAlignment="1">
      <alignment horizontal="left"/>
    </xf>
    <xf numFmtId="166" fontId="6" fillId="2" borderId="0" xfId="2" applyNumberFormat="1" applyFont="1" applyFill="1"/>
    <xf numFmtId="0" fontId="6" fillId="2" borderId="0" xfId="0" applyFont="1" applyFill="1"/>
    <xf numFmtId="166" fontId="0" fillId="0" borderId="28" xfId="2" quotePrefix="1" applyNumberFormat="1" applyFont="1" applyBorder="1"/>
    <xf numFmtId="0" fontId="0" fillId="0" borderId="3" xfId="0" applyBorder="1"/>
    <xf numFmtId="0" fontId="0" fillId="0" borderId="9" xfId="0" applyBorder="1"/>
    <xf numFmtId="165" fontId="0" fillId="0" borderId="4" xfId="1" applyNumberFormat="1" applyFont="1" applyBorder="1"/>
    <xf numFmtId="165" fontId="0" fillId="0" borderId="5" xfId="1" applyNumberFormat="1" applyFont="1" applyBorder="1"/>
    <xf numFmtId="0" fontId="0" fillId="0" borderId="11" xfId="0" applyBorder="1" applyAlignment="1">
      <alignment horizontal="right"/>
    </xf>
    <xf numFmtId="165" fontId="0" fillId="0" borderId="10" xfId="1" applyNumberFormat="1" applyFont="1" applyBorder="1"/>
    <xf numFmtId="166" fontId="6" fillId="0" borderId="4" xfId="2" applyNumberFormat="1" applyFont="1" applyBorder="1"/>
    <xf numFmtId="165" fontId="6" fillId="0" borderId="5" xfId="1" applyNumberFormat="1" applyFont="1" applyBorder="1"/>
    <xf numFmtId="165" fontId="0" fillId="0" borderId="1" xfId="1" applyNumberFormat="1" applyFont="1" applyBorder="1"/>
    <xf numFmtId="3" fontId="6" fillId="0" borderId="30" xfId="0" applyNumberFormat="1" applyFont="1" applyBorder="1"/>
    <xf numFmtId="3" fontId="10" fillId="0" borderId="37" xfId="0" applyNumberFormat="1" applyFont="1" applyBorder="1"/>
    <xf numFmtId="165" fontId="10" fillId="0" borderId="10" xfId="1" applyNumberFormat="1" applyFont="1" applyBorder="1"/>
    <xf numFmtId="165" fontId="10" fillId="0" borderId="11" xfId="1" applyNumberFormat="1" applyFont="1" applyBorder="1"/>
    <xf numFmtId="3" fontId="10" fillId="0" borderId="0" xfId="0" applyNumberFormat="1" applyFont="1"/>
    <xf numFmtId="165" fontId="10" fillId="0" borderId="0" xfId="1" applyNumberFormat="1" applyFont="1" applyBorder="1"/>
    <xf numFmtId="3" fontId="10" fillId="0" borderId="4" xfId="0" applyNumberFormat="1" applyFont="1" applyBorder="1"/>
    <xf numFmtId="165" fontId="10" fillId="0" borderId="23" xfId="1" applyNumberFormat="1" applyFont="1" applyBorder="1"/>
    <xf numFmtId="165" fontId="10" fillId="0" borderId="4" xfId="1" applyNumberFormat="1" applyFont="1" applyBorder="1"/>
    <xf numFmtId="165" fontId="10" fillId="0" borderId="5" xfId="1" applyNumberFormat="1" applyFont="1" applyBorder="1"/>
    <xf numFmtId="0" fontId="0" fillId="0" borderId="27" xfId="0" applyBorder="1" applyAlignment="1">
      <alignment horizontal="left" indent="1"/>
    </xf>
    <xf numFmtId="0" fontId="6" fillId="0" borderId="38" xfId="0" applyFont="1" applyBorder="1" applyAlignment="1">
      <alignment horizontal="left"/>
    </xf>
    <xf numFmtId="165" fontId="10" fillId="0" borderId="8" xfId="0" applyNumberFormat="1" applyFont="1" applyBorder="1"/>
    <xf numFmtId="165" fontId="6" fillId="0" borderId="18" xfId="1" applyNumberFormat="1" applyFont="1" applyBorder="1"/>
    <xf numFmtId="0" fontId="0" fillId="0" borderId="0" xfId="0" applyAlignment="1">
      <alignment horizontal="left" wrapText="1"/>
    </xf>
    <xf numFmtId="0" fontId="0" fillId="0" borderId="0" xfId="0" applyAlignment="1">
      <alignment horizontal="left" indent="2"/>
    </xf>
    <xf numFmtId="0" fontId="0" fillId="0" borderId="0" xfId="0" applyAlignment="1">
      <alignment horizontal="left" wrapText="1" indent="2"/>
    </xf>
    <xf numFmtId="3" fontId="0" fillId="2" borderId="0" xfId="0" applyNumberFormat="1" applyFill="1"/>
    <xf numFmtId="0" fontId="17" fillId="0" borderId="0" xfId="0" applyFont="1"/>
    <xf numFmtId="166" fontId="6" fillId="0" borderId="0" xfId="2" applyNumberFormat="1" applyFont="1" applyAlignment="1">
      <alignment horizontal="left"/>
    </xf>
    <xf numFmtId="0" fontId="3" fillId="0" borderId="0" xfId="0" applyFont="1"/>
    <xf numFmtId="165" fontId="6" fillId="0" borderId="11" xfId="1" applyNumberFormat="1" applyFont="1" applyBorder="1" applyAlignment="1">
      <alignment horizontal="right"/>
    </xf>
    <xf numFmtId="0" fontId="19" fillId="0" borderId="0" xfId="0" applyFont="1"/>
    <xf numFmtId="0" fontId="0" fillId="0" borderId="0" xfId="0" applyAlignment="1">
      <alignment horizontal="center"/>
    </xf>
    <xf numFmtId="3" fontId="0" fillId="2" borderId="13" xfId="0" applyNumberFormat="1" applyFill="1" applyBorder="1"/>
    <xf numFmtId="3" fontId="0" fillId="4" borderId="13" xfId="0" applyNumberFormat="1" applyFill="1" applyBorder="1"/>
    <xf numFmtId="17" fontId="0" fillId="0" borderId="0" xfId="0" applyNumberFormat="1"/>
    <xf numFmtId="0" fontId="6" fillId="0" borderId="2" xfId="0" applyFont="1" applyBorder="1" applyAlignment="1">
      <alignment horizontal="center"/>
    </xf>
    <xf numFmtId="0" fontId="0" fillId="0" borderId="1" xfId="0" pivotButton="1" applyBorder="1"/>
    <xf numFmtId="0" fontId="0" fillId="0" borderId="1" xfId="0" applyBorder="1"/>
    <xf numFmtId="0" fontId="0" fillId="0" borderId="1" xfId="0" applyBorder="1" applyAlignment="1">
      <alignment horizontal="left"/>
    </xf>
    <xf numFmtId="0" fontId="0" fillId="0" borderId="1" xfId="0" applyBorder="1" applyAlignment="1">
      <alignment horizontal="center"/>
    </xf>
    <xf numFmtId="0" fontId="6" fillId="5" borderId="0" xfId="0" applyFont="1" applyFill="1"/>
    <xf numFmtId="0" fontId="0" fillId="5" borderId="0" xfId="0" applyFill="1"/>
    <xf numFmtId="0" fontId="6" fillId="6" borderId="0" xfId="0" applyFont="1" applyFill="1" applyAlignment="1">
      <alignment wrapText="1"/>
    </xf>
    <xf numFmtId="0" fontId="0" fillId="7" borderId="0" xfId="0" applyFill="1"/>
    <xf numFmtId="0" fontId="0" fillId="7" borderId="0" xfId="0" applyFill="1" applyAlignment="1">
      <alignment wrapText="1"/>
    </xf>
    <xf numFmtId="166" fontId="6" fillId="0" borderId="0" xfId="0" applyNumberFormat="1" applyFont="1"/>
    <xf numFmtId="164" fontId="0" fillId="0" borderId="0" xfId="0" applyNumberFormat="1"/>
    <xf numFmtId="166" fontId="0" fillId="6" borderId="7" xfId="2" applyNumberFormat="1" applyFont="1" applyFill="1" applyBorder="1"/>
    <xf numFmtId="0" fontId="17" fillId="0" borderId="0" xfId="3" applyFont="1"/>
    <xf numFmtId="0" fontId="0" fillId="3" borderId="0" xfId="0" applyFill="1"/>
    <xf numFmtId="3" fontId="2" fillId="0" borderId="1" xfId="0" applyNumberFormat="1" applyFont="1" applyBorder="1"/>
    <xf numFmtId="3" fontId="1" fillId="0" borderId="30" xfId="0" applyNumberFormat="1" applyFont="1" applyBorder="1"/>
    <xf numFmtId="9" fontId="0" fillId="0" borderId="1" xfId="0" applyNumberFormat="1" applyBorder="1"/>
    <xf numFmtId="0" fontId="0" fillId="0" borderId="1" xfId="0" applyBorder="1" applyAlignment="1">
      <alignment wrapText="1"/>
    </xf>
    <xf numFmtId="0" fontId="6" fillId="0" borderId="44" xfId="0" applyFont="1" applyBorder="1" applyAlignment="1">
      <alignment horizontal="center"/>
    </xf>
    <xf numFmtId="0" fontId="6" fillId="0" borderId="0" xfId="0" applyFont="1" applyAlignment="1">
      <alignment horizontal="center"/>
    </xf>
    <xf numFmtId="0" fontId="0" fillId="0" borderId="45" xfId="0" applyBorder="1"/>
    <xf numFmtId="0" fontId="0" fillId="0" borderId="1" xfId="0" pivotButton="1" applyBorder="1" applyAlignment="1">
      <alignment horizontal="center" vertical="center"/>
    </xf>
    <xf numFmtId="0" fontId="0" fillId="0" borderId="1" xfId="0" pivotButton="1" applyBorder="1" applyAlignment="1">
      <alignment horizontal="center" vertical="center" wrapText="1"/>
    </xf>
    <xf numFmtId="0" fontId="0" fillId="0" borderId="1" xfId="0" applyBorder="1" applyAlignment="1">
      <alignment horizontal="center" vertical="center" wrapText="1"/>
    </xf>
    <xf numFmtId="0" fontId="0" fillId="0" borderId="0" xfId="0" applyAlignment="1">
      <alignment horizontal="center" vertical="center"/>
    </xf>
    <xf numFmtId="3" fontId="22" fillId="0" borderId="1" xfId="0" applyNumberFormat="1" applyFont="1" applyBorder="1"/>
    <xf numFmtId="9" fontId="22" fillId="0" borderId="1" xfId="0" applyNumberFormat="1" applyFont="1" applyBorder="1"/>
    <xf numFmtId="3" fontId="14" fillId="0" borderId="1" xfId="0" applyNumberFormat="1" applyFont="1" applyBorder="1"/>
    <xf numFmtId="0" fontId="0" fillId="0" borderId="45" xfId="0" applyBorder="1" applyAlignment="1">
      <alignment wrapText="1"/>
    </xf>
    <xf numFmtId="0" fontId="6" fillId="0" borderId="0" xfId="0" applyFont="1" applyAlignment="1">
      <alignment horizontal="center" wrapText="1"/>
    </xf>
    <xf numFmtId="0" fontId="19" fillId="0" borderId="1" xfId="0" applyFont="1" applyBorder="1" applyAlignment="1">
      <alignment horizontal="center"/>
    </xf>
    <xf numFmtId="3" fontId="21" fillId="0" borderId="1" xfId="0" applyNumberFormat="1" applyFont="1" applyBorder="1"/>
    <xf numFmtId="3" fontId="19" fillId="0" borderId="1" xfId="0" applyNumberFormat="1" applyFont="1" applyBorder="1"/>
    <xf numFmtId="9" fontId="21" fillId="0" borderId="1" xfId="0" applyNumberFormat="1" applyFont="1" applyBorder="1"/>
    <xf numFmtId="9" fontId="19" fillId="0" borderId="1" xfId="0" applyNumberFormat="1" applyFont="1" applyBorder="1"/>
    <xf numFmtId="3" fontId="23" fillId="0" borderId="1" xfId="0" applyNumberFormat="1" applyFont="1" applyBorder="1"/>
    <xf numFmtId="0" fontId="19" fillId="0" borderId="1" xfId="0" applyFont="1" applyBorder="1"/>
    <xf numFmtId="0" fontId="19" fillId="0" borderId="1" xfId="0" applyFont="1" applyBorder="1" applyAlignment="1">
      <alignment wrapText="1"/>
    </xf>
    <xf numFmtId="0" fontId="19" fillId="0" borderId="1" xfId="0" applyFont="1" applyBorder="1" applyAlignment="1">
      <alignment horizontal="center" vertical="center"/>
    </xf>
    <xf numFmtId="0" fontId="19" fillId="0" borderId="1" xfId="0" applyFont="1" applyBorder="1" applyAlignment="1">
      <alignment horizontal="center" vertical="center" wrapText="1"/>
    </xf>
    <xf numFmtId="0" fontId="19" fillId="0" borderId="0" xfId="0" applyFont="1" applyAlignment="1">
      <alignment horizontal="center" vertical="center"/>
    </xf>
    <xf numFmtId="0" fontId="19" fillId="0" borderId="0" xfId="0" applyFont="1" applyAlignment="1">
      <alignment horizontal="center" vertical="center" wrapText="1"/>
    </xf>
    <xf numFmtId="0" fontId="0" fillId="0" borderId="1" xfId="0" applyBorder="1" applyAlignment="1">
      <alignment horizontal="left" indent="1"/>
    </xf>
    <xf numFmtId="165" fontId="6" fillId="0" borderId="1" xfId="1" applyNumberFormat="1" applyFont="1" applyBorder="1"/>
    <xf numFmtId="0" fontId="0" fillId="6" borderId="1" xfId="0" applyFill="1" applyBorder="1" applyAlignment="1">
      <alignment horizontal="left" indent="1"/>
    </xf>
    <xf numFmtId="3" fontId="0" fillId="6" borderId="1" xfId="0" applyNumberFormat="1" applyFill="1" applyBorder="1"/>
    <xf numFmtId="0" fontId="0" fillId="6" borderId="0" xfId="0" applyFill="1"/>
    <xf numFmtId="0" fontId="6" fillId="0" borderId="1" xfId="0" applyFont="1" applyBorder="1" applyAlignment="1">
      <alignment horizontal="center" wrapText="1"/>
    </xf>
    <xf numFmtId="0" fontId="5" fillId="0" borderId="1" xfId="0" applyFont="1" applyBorder="1" applyAlignment="1">
      <alignment wrapText="1"/>
    </xf>
    <xf numFmtId="0" fontId="6" fillId="0" borderId="1" xfId="0" applyFont="1" applyBorder="1" applyAlignment="1">
      <alignment horizontal="center" vertical="center" wrapText="1"/>
    </xf>
    <xf numFmtId="0" fontId="6" fillId="0" borderId="1" xfId="0" applyFont="1" applyBorder="1" applyAlignment="1">
      <alignment horizontal="left"/>
    </xf>
    <xf numFmtId="0" fontId="0" fillId="0" borderId="1" xfId="0" applyBorder="1" applyAlignment="1">
      <alignment vertical="top"/>
    </xf>
    <xf numFmtId="166" fontId="6" fillId="3" borderId="0" xfId="2" applyNumberFormat="1" applyFont="1" applyFill="1"/>
    <xf numFmtId="166" fontId="0" fillId="6" borderId="4" xfId="2" applyNumberFormat="1" applyFont="1" applyFill="1" applyBorder="1"/>
    <xf numFmtId="166" fontId="0" fillId="2" borderId="0" xfId="2" applyNumberFormat="1" applyFont="1" applyFill="1"/>
    <xf numFmtId="1" fontId="0" fillId="2" borderId="0" xfId="0" applyNumberFormat="1" applyFill="1"/>
    <xf numFmtId="3" fontId="9" fillId="2" borderId="13" xfId="0" applyNumberFormat="1" applyFont="1" applyFill="1" applyBorder="1"/>
    <xf numFmtId="43" fontId="0" fillId="0" borderId="0" xfId="0" applyNumberFormat="1"/>
    <xf numFmtId="3" fontId="10" fillId="6" borderId="30" xfId="0" applyNumberFormat="1" applyFont="1" applyFill="1" applyBorder="1"/>
    <xf numFmtId="3" fontId="1" fillId="6" borderId="30" xfId="0" applyNumberFormat="1" applyFont="1" applyFill="1" applyBorder="1"/>
    <xf numFmtId="3" fontId="6" fillId="6" borderId="10" xfId="0" applyNumberFormat="1" applyFont="1" applyFill="1" applyBorder="1"/>
    <xf numFmtId="0" fontId="17" fillId="0" borderId="39" xfId="3" applyFont="1" applyBorder="1" applyAlignment="1">
      <alignment horizontal="center"/>
    </xf>
    <xf numFmtId="0" fontId="6" fillId="0" borderId="0" xfId="0" quotePrefix="1" applyFont="1"/>
    <xf numFmtId="166" fontId="6" fillId="0" borderId="0" xfId="0" quotePrefix="1" applyNumberFormat="1" applyFont="1"/>
    <xf numFmtId="0" fontId="9" fillId="0" borderId="0" xfId="0" applyFont="1"/>
    <xf numFmtId="3" fontId="0" fillId="3" borderId="0" xfId="0" applyNumberFormat="1" applyFill="1"/>
    <xf numFmtId="0" fontId="6" fillId="5" borderId="0" xfId="0" quotePrefix="1" applyFont="1" applyFill="1"/>
    <xf numFmtId="166" fontId="19" fillId="0" borderId="0" xfId="2" applyNumberFormat="1" applyFont="1"/>
    <xf numFmtId="166" fontId="0" fillId="3" borderId="0" xfId="2" applyNumberFormat="1" applyFont="1" applyFill="1"/>
    <xf numFmtId="166" fontId="0" fillId="0" borderId="0" xfId="2" applyNumberFormat="1" applyFont="1" applyFill="1"/>
    <xf numFmtId="166" fontId="19" fillId="0" borderId="0" xfId="2" applyNumberFormat="1" applyFont="1" applyFill="1"/>
    <xf numFmtId="166" fontId="6" fillId="0" borderId="0" xfId="2" applyNumberFormat="1" applyFont="1" applyFill="1"/>
    <xf numFmtId="0" fontId="0" fillId="0" borderId="0" xfId="0" applyAlignment="1">
      <alignment horizontal="left" indent="3"/>
    </xf>
    <xf numFmtId="0" fontId="6" fillId="0" borderId="0" xfId="0" applyFont="1" applyAlignment="1">
      <alignment wrapText="1"/>
    </xf>
    <xf numFmtId="166" fontId="0" fillId="2" borderId="0" xfId="0" applyNumberFormat="1" applyFill="1"/>
    <xf numFmtId="0" fontId="17" fillId="0" borderId="40" xfId="3" applyFont="1" applyBorder="1" applyAlignment="1">
      <alignment horizontal="center"/>
    </xf>
    <xf numFmtId="166" fontId="0" fillId="0" borderId="10" xfId="2" applyNumberFormat="1" applyFont="1" applyFill="1" applyBorder="1"/>
    <xf numFmtId="166" fontId="6" fillId="0" borderId="10" xfId="2" applyNumberFormat="1" applyFont="1" applyFill="1" applyBorder="1"/>
    <xf numFmtId="3" fontId="0" fillId="0" borderId="44" xfId="0" applyNumberFormat="1" applyBorder="1"/>
    <xf numFmtId="165" fontId="0" fillId="0" borderId="44" xfId="1" applyNumberFormat="1" applyFont="1" applyFill="1" applyBorder="1"/>
    <xf numFmtId="0" fontId="17" fillId="0" borderId="48" xfId="3" applyFont="1" applyBorder="1" applyAlignment="1">
      <alignment horizontal="center"/>
    </xf>
    <xf numFmtId="0" fontId="17" fillId="0" borderId="49" xfId="3" applyFont="1" applyBorder="1" applyAlignment="1">
      <alignment horizontal="center"/>
    </xf>
    <xf numFmtId="0" fontId="17" fillId="0" borderId="50" xfId="3" applyFont="1" applyBorder="1" applyAlignment="1">
      <alignment horizontal="center"/>
    </xf>
    <xf numFmtId="0" fontId="17" fillId="0" borderId="51" xfId="3" applyFont="1" applyBorder="1" applyAlignment="1">
      <alignment horizontal="center"/>
    </xf>
    <xf numFmtId="3" fontId="17" fillId="0" borderId="52" xfId="3" applyNumberFormat="1" applyFont="1" applyBorder="1"/>
    <xf numFmtId="3" fontId="17" fillId="0" borderId="53" xfId="3" applyNumberFormat="1" applyFont="1" applyBorder="1"/>
    <xf numFmtId="3" fontId="17" fillId="0" borderId="54" xfId="3" applyNumberFormat="1" applyFont="1" applyBorder="1"/>
    <xf numFmtId="3" fontId="17" fillId="0" borderId="55" xfId="3" applyNumberFormat="1" applyFont="1" applyBorder="1"/>
    <xf numFmtId="3" fontId="17" fillId="0" borderId="56" xfId="3" applyNumberFormat="1" applyFont="1" applyBorder="1"/>
    <xf numFmtId="3" fontId="17" fillId="0" borderId="57" xfId="3" applyNumberFormat="1" applyFont="1" applyBorder="1"/>
    <xf numFmtId="3" fontId="18" fillId="0" borderId="58" xfId="3" applyNumberFormat="1" applyFont="1" applyBorder="1"/>
    <xf numFmtId="3" fontId="18" fillId="0" borderId="59" xfId="3" applyNumberFormat="1" applyFont="1" applyBorder="1"/>
    <xf numFmtId="3" fontId="17" fillId="0" borderId="59" xfId="3" applyNumberFormat="1" applyFont="1" applyBorder="1"/>
    <xf numFmtId="0" fontId="24" fillId="0" borderId="53" xfId="4" applyBorder="1"/>
    <xf numFmtId="0" fontId="24" fillId="0" borderId="55" xfId="4" applyBorder="1"/>
    <xf numFmtId="0" fontId="24" fillId="0" borderId="57" xfId="4" applyBorder="1"/>
    <xf numFmtId="1" fontId="0" fillId="0" borderId="52" xfId="0" applyNumberFormat="1" applyBorder="1"/>
    <xf numFmtId="0" fontId="17" fillId="0" borderId="66" xfId="3" applyFont="1" applyBorder="1"/>
    <xf numFmtId="0" fontId="17" fillId="0" borderId="67" xfId="3" applyFont="1" applyBorder="1"/>
    <xf numFmtId="0" fontId="17" fillId="0" borderId="68" xfId="3" applyFont="1" applyBorder="1"/>
    <xf numFmtId="0" fontId="18" fillId="0" borderId="69" xfId="3" applyFont="1" applyBorder="1"/>
    <xf numFmtId="166" fontId="19" fillId="0" borderId="0" xfId="0" applyNumberFormat="1" applyFont="1"/>
    <xf numFmtId="0" fontId="0" fillId="0" borderId="13" xfId="0" applyBorder="1" applyAlignment="1">
      <alignment horizontal="center" vertical="center"/>
    </xf>
    <xf numFmtId="165" fontId="10" fillId="0" borderId="13" xfId="1" applyNumberFormat="1" applyFont="1" applyBorder="1"/>
    <xf numFmtId="165" fontId="10" fillId="0" borderId="14" xfId="1" applyNumberFormat="1" applyFont="1" applyBorder="1"/>
    <xf numFmtId="3" fontId="10" fillId="0" borderId="16" xfId="0" applyNumberFormat="1" applyFont="1" applyBorder="1"/>
    <xf numFmtId="165" fontId="10" fillId="0" borderId="16" xfId="1" applyNumberFormat="1" applyFont="1" applyBorder="1"/>
    <xf numFmtId="165" fontId="10" fillId="0" borderId="17" xfId="1" applyNumberFormat="1" applyFont="1" applyBorder="1"/>
    <xf numFmtId="14" fontId="6" fillId="0" borderId="18" xfId="0" applyNumberFormat="1" applyFont="1" applyBorder="1" applyAlignment="1">
      <alignment horizontal="center" vertical="center" wrapText="1"/>
    </xf>
    <xf numFmtId="0" fontId="6" fillId="0" borderId="18" xfId="0" applyFont="1" applyBorder="1" applyAlignment="1">
      <alignment horizontal="center" vertical="center"/>
    </xf>
    <xf numFmtId="0" fontId="22" fillId="0" borderId="0" xfId="0" applyFont="1"/>
    <xf numFmtId="0" fontId="26" fillId="0" borderId="0" xfId="0" applyFont="1" applyAlignment="1">
      <alignment wrapText="1"/>
    </xf>
    <xf numFmtId="0" fontId="26" fillId="0" borderId="0" xfId="0" pivotButton="1" applyFont="1"/>
    <xf numFmtId="0" fontId="26" fillId="0" borderId="0" xfId="0" pivotButton="1" applyFont="1" applyAlignment="1">
      <alignment wrapText="1"/>
    </xf>
    <xf numFmtId="0" fontId="26" fillId="0" borderId="0" xfId="0" applyFont="1" applyAlignment="1">
      <alignment horizontal="center" vertical="center" wrapText="1"/>
    </xf>
    <xf numFmtId="0" fontId="27" fillId="0" borderId="0" xfId="0" applyFont="1"/>
    <xf numFmtId="0" fontId="26" fillId="0" borderId="0" xfId="0" applyFont="1"/>
    <xf numFmtId="0" fontId="26" fillId="6" borderId="0" xfId="0" applyFont="1" applyFill="1" applyAlignment="1">
      <alignment wrapText="1"/>
    </xf>
    <xf numFmtId="3" fontId="26" fillId="0" borderId="0" xfId="0" applyNumberFormat="1" applyFont="1"/>
    <xf numFmtId="0" fontId="0" fillId="0" borderId="0" xfId="0" applyNumberFormat="1"/>
    <xf numFmtId="3" fontId="0" fillId="0" borderId="1" xfId="0" applyNumberFormat="1" applyFill="1" applyBorder="1"/>
    <xf numFmtId="0" fontId="0" fillId="0" borderId="1" xfId="0" applyFill="1" applyBorder="1"/>
    <xf numFmtId="0" fontId="0" fillId="0" borderId="1" xfId="0" applyFill="1" applyBorder="1" applyAlignment="1">
      <alignment horizontal="center"/>
    </xf>
    <xf numFmtId="0" fontId="0" fillId="0" borderId="1" xfId="0" applyFill="1" applyBorder="1" applyAlignment="1">
      <alignment horizontal="left"/>
    </xf>
    <xf numFmtId="0" fontId="0" fillId="0" borderId="1" xfId="0" applyFill="1" applyBorder="1" applyAlignment="1">
      <alignment horizontal="center" vertical="center" wrapText="1"/>
    </xf>
    <xf numFmtId="0" fontId="0" fillId="0" borderId="0" xfId="0" applyFill="1"/>
    <xf numFmtId="3" fontId="0" fillId="0" borderId="0" xfId="0" applyNumberFormat="1" applyFill="1"/>
    <xf numFmtId="0" fontId="26" fillId="0" borderId="0" xfId="0" applyNumberFormat="1" applyFont="1"/>
    <xf numFmtId="0" fontId="0" fillId="0" borderId="0" xfId="0" applyFill="1" applyAlignment="1">
      <alignment horizontal="center" vertical="center"/>
    </xf>
    <xf numFmtId="0" fontId="5" fillId="0" borderId="0" xfId="0" pivotButton="1" applyFont="1"/>
    <xf numFmtId="0" fontId="5" fillId="0" borderId="0" xfId="0" applyFont="1"/>
    <xf numFmtId="0" fontId="28" fillId="0" borderId="0" xfId="0" applyFont="1" applyAlignment="1">
      <alignment horizontal="center" vertical="center"/>
    </xf>
    <xf numFmtId="0" fontId="29" fillId="8" borderId="0" xfId="0" applyFont="1" applyFill="1" applyAlignment="1">
      <alignment vertical="center" wrapText="1"/>
    </xf>
    <xf numFmtId="0" fontId="30" fillId="0" borderId="0" xfId="0" applyFont="1" applyAlignment="1">
      <alignment vertical="center" wrapText="1"/>
    </xf>
    <xf numFmtId="0" fontId="28" fillId="10" borderId="70" xfId="0" applyFont="1" applyFill="1" applyBorder="1" applyAlignment="1">
      <alignment horizontal="center" vertical="center" wrapText="1"/>
    </xf>
    <xf numFmtId="0" fontId="30" fillId="10" borderId="71" xfId="0" applyFont="1" applyFill="1" applyBorder="1" applyAlignment="1">
      <alignment horizontal="center" vertical="center"/>
    </xf>
    <xf numFmtId="0" fontId="30" fillId="10" borderId="72" xfId="0" applyFont="1" applyFill="1" applyBorder="1" applyAlignment="1">
      <alignment horizontal="center" vertical="center"/>
    </xf>
    <xf numFmtId="0" fontId="30" fillId="10" borderId="73" xfId="0" applyFont="1" applyFill="1" applyBorder="1" applyAlignment="1">
      <alignment horizontal="center" vertical="center" wrapText="1"/>
    </xf>
    <xf numFmtId="0" fontId="30" fillId="10" borderId="74" xfId="0" applyFont="1" applyFill="1" applyBorder="1" applyAlignment="1">
      <alignment horizontal="center" vertical="center" wrapText="1"/>
    </xf>
    <xf numFmtId="0" fontId="30" fillId="0" borderId="0" xfId="0" applyFont="1" applyAlignment="1">
      <alignment horizontal="center" vertical="center"/>
    </xf>
    <xf numFmtId="0" fontId="30" fillId="10" borderId="75" xfId="0" applyFont="1" applyFill="1" applyBorder="1" applyAlignment="1">
      <alignment horizontal="center" vertical="center" wrapText="1"/>
    </xf>
    <xf numFmtId="0" fontId="33" fillId="0" borderId="76" xfId="11" applyFont="1" applyBorder="1" applyAlignment="1">
      <alignment horizontal="center" vertical="center"/>
    </xf>
    <xf numFmtId="0" fontId="33" fillId="0" borderId="77" xfId="11" applyFont="1" applyBorder="1" applyAlignment="1">
      <alignment horizontal="center" vertical="center"/>
    </xf>
    <xf numFmtId="3" fontId="34" fillId="0" borderId="75" xfId="0" applyNumberFormat="1" applyFont="1" applyBorder="1" applyAlignment="1">
      <alignment horizontal="center" vertical="center"/>
    </xf>
    <xf numFmtId="0" fontId="28" fillId="0" borderId="1" xfId="0" applyFont="1" applyBorder="1" applyAlignment="1">
      <alignment horizontal="center" vertical="center"/>
    </xf>
    <xf numFmtId="168" fontId="28" fillId="0" borderId="0" xfId="0" applyNumberFormat="1" applyFont="1" applyAlignment="1">
      <alignment horizontal="center" vertical="center"/>
    </xf>
    <xf numFmtId="168" fontId="29" fillId="8" borderId="78" xfId="0" applyNumberFormat="1" applyFont="1" applyFill="1" applyBorder="1" applyAlignment="1">
      <alignment horizontal="center" vertical="center" wrapText="1"/>
    </xf>
    <xf numFmtId="9" fontId="35" fillId="8" borderId="79" xfId="1" applyFont="1" applyFill="1" applyBorder="1" applyAlignment="1">
      <alignment horizontal="center" vertical="center"/>
    </xf>
    <xf numFmtId="168" fontId="35" fillId="8" borderId="80" xfId="0" applyNumberFormat="1" applyFont="1" applyFill="1" applyBorder="1" applyAlignment="1">
      <alignment horizontal="center" vertical="center"/>
    </xf>
    <xf numFmtId="3" fontId="35" fillId="8" borderId="78" xfId="0" applyNumberFormat="1" applyFont="1" applyFill="1" applyBorder="1" applyAlignment="1">
      <alignment horizontal="center" vertical="center"/>
    </xf>
    <xf numFmtId="168" fontId="28" fillId="0" borderId="1" xfId="0" applyNumberFormat="1" applyFont="1" applyBorder="1" applyAlignment="1">
      <alignment horizontal="center" vertical="center"/>
    </xf>
    <xf numFmtId="0" fontId="30" fillId="10" borderId="81" xfId="0" applyFont="1" applyFill="1" applyBorder="1" applyAlignment="1">
      <alignment horizontal="center" vertical="center" wrapText="1"/>
    </xf>
    <xf numFmtId="0" fontId="28" fillId="0" borderId="82" xfId="0" applyFont="1" applyBorder="1" applyAlignment="1">
      <alignment horizontal="center" vertical="center" wrapText="1"/>
    </xf>
    <xf numFmtId="0" fontId="28" fillId="0" borderId="83" xfId="0" applyFont="1" applyBorder="1" applyAlignment="1">
      <alignment horizontal="center" vertical="center" wrapText="1"/>
    </xf>
    <xf numFmtId="0" fontId="28" fillId="0" borderId="84" xfId="0" applyFont="1" applyBorder="1" applyAlignment="1">
      <alignment horizontal="center" vertical="center" wrapText="1"/>
    </xf>
    <xf numFmtId="3" fontId="34" fillId="0" borderId="81" xfId="0" applyNumberFormat="1" applyFont="1" applyBorder="1" applyAlignment="1">
      <alignment horizontal="center" vertical="center"/>
    </xf>
    <xf numFmtId="0" fontId="30" fillId="0" borderId="1" xfId="0" applyFont="1" applyBorder="1" applyAlignment="1">
      <alignment horizontal="center" vertical="center"/>
    </xf>
    <xf numFmtId="168" fontId="29" fillId="8" borderId="85" xfId="0" applyNumberFormat="1" applyFont="1" applyFill="1" applyBorder="1" applyAlignment="1">
      <alignment horizontal="center" vertical="center" wrapText="1"/>
    </xf>
    <xf numFmtId="3" fontId="35" fillId="8" borderId="85" xfId="0" applyNumberFormat="1" applyFont="1" applyFill="1" applyBorder="1" applyAlignment="1">
      <alignment horizontal="center" vertical="center"/>
    </xf>
    <xf numFmtId="0" fontId="33" fillId="0" borderId="86" xfId="11" applyFont="1" applyBorder="1" applyAlignment="1">
      <alignment horizontal="center" vertical="center"/>
    </xf>
    <xf numFmtId="0" fontId="36" fillId="0" borderId="86" xfId="11" applyFont="1" applyBorder="1" applyAlignment="1">
      <alignment horizontal="center" vertical="center"/>
    </xf>
    <xf numFmtId="0" fontId="36" fillId="0" borderId="87" xfId="11" applyFont="1" applyBorder="1" applyAlignment="1">
      <alignment horizontal="center" vertical="center"/>
    </xf>
    <xf numFmtId="0" fontId="37" fillId="0" borderId="0" xfId="0" applyFont="1" applyAlignment="1">
      <alignment horizontal="center" vertical="center"/>
    </xf>
    <xf numFmtId="9" fontId="28" fillId="0" borderId="0" xfId="0" applyNumberFormat="1" applyFont="1" applyAlignment="1">
      <alignment horizontal="center" vertical="center"/>
    </xf>
    <xf numFmtId="3" fontId="28" fillId="0" borderId="0" xfId="0" applyNumberFormat="1" applyFont="1" applyAlignment="1">
      <alignment horizontal="center" vertical="center"/>
    </xf>
    <xf numFmtId="0" fontId="6" fillId="0" borderId="22" xfId="0" applyFont="1" applyBorder="1" applyAlignment="1">
      <alignment horizontal="left" vertical="center" wrapText="1"/>
    </xf>
    <xf numFmtId="0" fontId="6" fillId="0" borderId="12" xfId="0" applyFont="1" applyBorder="1" applyAlignment="1">
      <alignment horizontal="left" vertical="center" wrapText="1"/>
    </xf>
    <xf numFmtId="0" fontId="13" fillId="0" borderId="23" xfId="0" applyFont="1" applyBorder="1" applyAlignment="1">
      <alignment horizontal="center" vertical="center" wrapText="1"/>
    </xf>
    <xf numFmtId="0" fontId="13" fillId="0" borderId="13" xfId="0" applyFont="1" applyBorder="1" applyAlignment="1">
      <alignment horizontal="center" vertical="center" wrapText="1"/>
    </xf>
    <xf numFmtId="0" fontId="13" fillId="0" borderId="24" xfId="0" applyFont="1" applyBorder="1" applyAlignment="1">
      <alignment horizontal="center" vertical="center" wrapText="1"/>
    </xf>
    <xf numFmtId="0" fontId="13" fillId="0" borderId="14" xfId="0" applyFont="1" applyBorder="1" applyAlignment="1">
      <alignment horizontal="center" vertical="center" wrapText="1"/>
    </xf>
    <xf numFmtId="0" fontId="13" fillId="0" borderId="20" xfId="0" applyFont="1" applyBorder="1" applyAlignment="1">
      <alignment horizontal="center" vertical="center" wrapText="1"/>
    </xf>
    <xf numFmtId="0" fontId="13" fillId="0" borderId="32" xfId="0" applyFont="1" applyBorder="1" applyAlignment="1">
      <alignment horizontal="center" vertical="center" wrapText="1"/>
    </xf>
    <xf numFmtId="0" fontId="6" fillId="0" borderId="31" xfId="0" applyFont="1" applyBorder="1" applyAlignment="1">
      <alignment horizontal="left" vertical="center" wrapText="1"/>
    </xf>
    <xf numFmtId="0" fontId="6" fillId="0" borderId="29" xfId="0" applyFont="1" applyBorder="1" applyAlignment="1">
      <alignment horizontal="left" vertical="center" wrapText="1"/>
    </xf>
    <xf numFmtId="0" fontId="13" fillId="0" borderId="21" xfId="0" applyFont="1" applyBorder="1" applyAlignment="1">
      <alignment horizontal="center" vertical="center" wrapText="1"/>
    </xf>
    <xf numFmtId="0" fontId="13" fillId="0" borderId="34" xfId="0" applyFont="1" applyBorder="1" applyAlignment="1">
      <alignment horizontal="center" vertical="center" wrapText="1"/>
    </xf>
    <xf numFmtId="0" fontId="12" fillId="0" borderId="4" xfId="0" applyFont="1" applyBorder="1" applyAlignment="1">
      <alignment horizontal="center" vertical="center" wrapText="1"/>
    </xf>
    <xf numFmtId="0" fontId="12" fillId="0" borderId="7" xfId="0" applyFont="1" applyBorder="1" applyAlignment="1">
      <alignment horizontal="center" vertical="center" wrapText="1"/>
    </xf>
    <xf numFmtId="0" fontId="12" fillId="0" borderId="5" xfId="0" applyFont="1" applyBorder="1" applyAlignment="1">
      <alignment horizontal="center" vertical="center" wrapText="1"/>
    </xf>
    <xf numFmtId="0" fontId="12" fillId="0" borderId="8" xfId="0" applyFont="1" applyBorder="1" applyAlignment="1">
      <alignment horizontal="center" vertical="center" wrapText="1"/>
    </xf>
    <xf numFmtId="0" fontId="1" fillId="0" borderId="3" xfId="0" applyFont="1" applyBorder="1" applyAlignment="1">
      <alignment horizontal="left" vertical="center" wrapText="1"/>
    </xf>
    <xf numFmtId="0" fontId="10" fillId="0" borderId="6" xfId="0" applyFont="1" applyBorder="1" applyAlignment="1">
      <alignment horizontal="left" vertical="center" wrapText="1"/>
    </xf>
    <xf numFmtId="0" fontId="29" fillId="8" borderId="0" xfId="0" applyFont="1" applyFill="1" applyAlignment="1">
      <alignment horizontal="center" vertical="center" wrapText="1"/>
    </xf>
    <xf numFmtId="0" fontId="31" fillId="9" borderId="0" xfId="0" applyFont="1" applyFill="1" applyAlignment="1">
      <alignment horizontal="right" vertical="center"/>
    </xf>
    <xf numFmtId="0" fontId="32" fillId="9" borderId="0" xfId="0" applyFont="1" applyFill="1" applyAlignment="1">
      <alignment horizontal="right" vertical="center"/>
    </xf>
    <xf numFmtId="0" fontId="17" fillId="0" borderId="0" xfId="3" applyFont="1" applyAlignment="1">
      <alignment horizontal="center"/>
    </xf>
    <xf numFmtId="0" fontId="18" fillId="0" borderId="0" xfId="3" applyFont="1" applyAlignment="1">
      <alignment horizontal="center"/>
    </xf>
    <xf numFmtId="0" fontId="17" fillId="0" borderId="60" xfId="3" applyFont="1" applyBorder="1" applyAlignment="1">
      <alignment horizontal="center" vertical="center"/>
    </xf>
    <xf numFmtId="0" fontId="17" fillId="0" borderId="63" xfId="3" applyFont="1" applyBorder="1" applyAlignment="1">
      <alignment horizontal="center" vertical="center"/>
    </xf>
    <xf numFmtId="0" fontId="17" fillId="0" borderId="65" xfId="3" applyFont="1" applyBorder="1" applyAlignment="1">
      <alignment horizontal="center" vertical="center"/>
    </xf>
    <xf numFmtId="0" fontId="17" fillId="0" borderId="46" xfId="3" applyFont="1" applyBorder="1" applyAlignment="1">
      <alignment horizontal="center"/>
    </xf>
    <xf numFmtId="0" fontId="17" fillId="0" borderId="47" xfId="3" applyFont="1" applyBorder="1" applyAlignment="1">
      <alignment horizontal="center"/>
    </xf>
    <xf numFmtId="0" fontId="17" fillId="0" borderId="61" xfId="3" applyFont="1" applyBorder="1" applyAlignment="1">
      <alignment horizontal="center"/>
    </xf>
    <xf numFmtId="0" fontId="17" fillId="0" borderId="46" xfId="3" applyFont="1" applyBorder="1" applyAlignment="1">
      <alignment horizontal="center" vertical="center"/>
    </xf>
    <xf numFmtId="0" fontId="17" fillId="0" borderId="47" xfId="3" applyFont="1" applyBorder="1" applyAlignment="1">
      <alignment horizontal="center" vertical="center"/>
    </xf>
    <xf numFmtId="0" fontId="17" fillId="0" borderId="61" xfId="3" applyFont="1" applyBorder="1" applyAlignment="1">
      <alignment horizontal="center" vertical="center"/>
    </xf>
    <xf numFmtId="0" fontId="17" fillId="0" borderId="39" xfId="3" applyFont="1" applyBorder="1" applyAlignment="1">
      <alignment horizontal="center" vertical="center"/>
    </xf>
    <xf numFmtId="0" fontId="17" fillId="0" borderId="0" xfId="3" applyFont="1" applyAlignment="1">
      <alignment horizontal="center" vertical="center"/>
    </xf>
    <xf numFmtId="0" fontId="17" fillId="0" borderId="40" xfId="3" applyFont="1" applyBorder="1" applyAlignment="1">
      <alignment horizontal="center" vertical="center"/>
    </xf>
    <xf numFmtId="0" fontId="17" fillId="0" borderId="62" xfId="3" applyFont="1" applyBorder="1" applyAlignment="1">
      <alignment horizontal="center"/>
    </xf>
    <xf numFmtId="0" fontId="17" fillId="0" borderId="39" xfId="3" applyFont="1" applyBorder="1" applyAlignment="1">
      <alignment horizontal="center"/>
    </xf>
    <xf numFmtId="0" fontId="17" fillId="0" borderId="40" xfId="3" applyFont="1" applyBorder="1" applyAlignment="1">
      <alignment horizontal="center"/>
    </xf>
    <xf numFmtId="0" fontId="17" fillId="0" borderId="64" xfId="3" applyFont="1" applyBorder="1" applyAlignment="1">
      <alignment horizontal="center"/>
    </xf>
    <xf numFmtId="0" fontId="17" fillId="0" borderId="41" xfId="3" applyFont="1" applyBorder="1" applyAlignment="1">
      <alignment horizontal="center"/>
    </xf>
    <xf numFmtId="0" fontId="17" fillId="0" borderId="42" xfId="3" applyFont="1" applyBorder="1" applyAlignment="1">
      <alignment horizontal="center"/>
    </xf>
    <xf numFmtId="0" fontId="17" fillId="0" borderId="41" xfId="3" applyFont="1" applyBorder="1" applyAlignment="1">
      <alignment horizontal="center" vertical="center"/>
    </xf>
    <xf numFmtId="0" fontId="17" fillId="0" borderId="43" xfId="3" applyFont="1" applyBorder="1" applyAlignment="1">
      <alignment horizontal="center" vertical="center"/>
    </xf>
    <xf numFmtId="0" fontId="17" fillId="0" borderId="42" xfId="3" applyFont="1" applyBorder="1" applyAlignment="1">
      <alignment horizontal="center" vertical="center"/>
    </xf>
  </cellXfs>
  <cellStyles count="12">
    <cellStyle name="Comma" xfId="2" builtinId="3"/>
    <cellStyle name="Normal" xfId="0" builtinId="0"/>
    <cellStyle name="Normal 2 2" xfId="11" xr:uid="{7CACCB15-C808-4CE4-B02A-EB55B8026949}"/>
    <cellStyle name="Normal_Sheet1" xfId="3" xr:uid="{00000000-0005-0000-0000-000002000000}"/>
    <cellStyle name="Normal_Za Vlada" xfId="4" xr:uid="{00000000-0005-0000-0000-000003000000}"/>
    <cellStyle name="Percent" xfId="1" builtinId="5"/>
    <cellStyle name="Pivot Table Category" xfId="5" xr:uid="{00000000-0005-0000-0000-000005000000}"/>
    <cellStyle name="Pivot Table Corner" xfId="6" xr:uid="{00000000-0005-0000-0000-000006000000}"/>
    <cellStyle name="Pivot Table Field" xfId="7" xr:uid="{00000000-0005-0000-0000-000007000000}"/>
    <cellStyle name="Pivot Table Result" xfId="8" xr:uid="{00000000-0005-0000-0000-000008000000}"/>
    <cellStyle name="Pivot Table Title" xfId="9" xr:uid="{00000000-0005-0000-0000-000009000000}"/>
    <cellStyle name="Pivot Table Value" xfId="10" xr:uid="{00000000-0005-0000-0000-00000A000000}"/>
  </cellStyles>
  <dxfs count="359">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fill>
        <patternFill patternType="solid">
          <bgColor rgb="FFFFFF00"/>
        </patternFill>
      </fill>
    </dxf>
    <dxf>
      <fill>
        <patternFill patternType="solid">
          <bgColor rgb="FFFFFF00"/>
        </patternFill>
      </fill>
    </dxf>
    <dxf>
      <fill>
        <patternFill patternType="solid">
          <bgColor rgb="FFFFFF00"/>
        </patternFill>
      </fill>
    </dxf>
    <dxf>
      <numFmt numFmtId="166" formatCode="_(* #,##0_);_(* \(#,##0\);_(* &quot;-&quot;??_);_(@_)"/>
    </dxf>
    <dxf>
      <numFmt numFmtId="166" formatCode="_(* #,##0_);_(* \(#,##0\);_(* &quot;-&quot;??_);_(@_)"/>
    </dxf>
    <dxf>
      <alignment wrapText="1" indent="0"/>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solid">
          <bgColor theme="7" tint="0.79998168889431442"/>
        </patternFill>
      </fill>
    </dxf>
    <dxf>
      <fill>
        <patternFill patternType="solid">
          <bgColor theme="7" tint="0.79998168889431442"/>
        </patternFill>
      </fill>
    </dxf>
    <dxf>
      <fill>
        <patternFill patternType="solid">
          <bgColor theme="7" tint="0.79998168889431442"/>
        </patternFill>
      </fill>
    </dxf>
    <dxf>
      <fill>
        <patternFill patternType="solid">
          <bgColor theme="7" tint="0.79998168889431442"/>
        </patternFill>
      </fill>
    </dxf>
    <dxf>
      <fill>
        <patternFill patternType="solid">
          <bgColor theme="7" tint="0.79998168889431442"/>
        </patternFill>
      </fill>
    </dxf>
    <dxf>
      <fill>
        <patternFill patternType="solid">
          <bgColor theme="7" tint="0.79998168889431442"/>
        </patternFill>
      </fill>
    </dxf>
    <dxf>
      <fill>
        <patternFill patternType="solid">
          <bgColor theme="7" tint="0.79998168889431442"/>
        </patternFill>
      </fill>
    </dxf>
    <dxf>
      <fill>
        <patternFill patternType="solid">
          <bgColor theme="7" tint="0.79998168889431442"/>
        </patternFill>
      </fill>
    </dxf>
    <dxf>
      <fill>
        <patternFill patternType="solid">
          <bgColor theme="7" tint="0.79998168889431442"/>
        </patternFill>
      </fill>
    </dxf>
    <dxf>
      <fill>
        <patternFill patternType="solid">
          <bgColor theme="7" tint="0.79998168889431442"/>
        </patternFill>
      </fill>
    </dxf>
    <dxf>
      <fill>
        <patternFill patternType="solid">
          <bgColor theme="7" tint="0.79998168889431442"/>
        </patternFill>
      </fill>
    </dxf>
    <dxf>
      <fill>
        <patternFill patternType="solid">
          <bgColor theme="7" tint="0.79998168889431442"/>
        </patternFill>
      </fill>
    </dxf>
    <dxf>
      <fill>
        <patternFill patternType="solid">
          <bgColor theme="7" tint="0.79998168889431442"/>
        </patternFill>
      </fill>
    </dxf>
    <dxf>
      <fill>
        <patternFill patternType="solid">
          <bgColor theme="7" tint="0.79998168889431442"/>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alignment horizontal="center" readingOrder="0"/>
    </dxf>
    <dxf>
      <alignment horizontal="center" readingOrder="0"/>
    </dxf>
    <dxf>
      <alignment horizontal="center" readingOrder="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horizontal="center"/>
    </dxf>
    <dxf>
      <alignment vertical="center"/>
    </dxf>
    <dxf>
      <fill>
        <patternFill patternType="none">
          <fgColor indexed="64"/>
          <bgColor indexed="65"/>
        </patternFill>
      </fill>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horizontal="center"/>
    </dxf>
    <dxf>
      <alignment horizontal="center"/>
    </dxf>
    <dxf>
      <font>
        <color theme="0"/>
      </font>
    </dxf>
    <dxf>
      <alignment horizontal="center"/>
    </dxf>
    <dxf>
      <alignment horizontal="center"/>
    </dxf>
    <dxf>
      <alignment horizontal="center"/>
    </dxf>
    <dxf>
      <alignment horizontal="center"/>
    </dxf>
    <dxf>
      <alignment vertical="center"/>
    </dxf>
    <dxf>
      <alignment vertical="center"/>
    </dxf>
    <dxf>
      <alignment vertical="center"/>
    </dxf>
    <dxf>
      <alignment vertical="center"/>
    </dxf>
    <dxf>
      <alignment vertical="center"/>
    </dxf>
    <dxf>
      <alignment wrapText="1"/>
    </dxf>
    <dxf>
      <alignment wrapText="1"/>
    </dxf>
    <dxf>
      <numFmt numFmtId="3" formatCode="#,##0"/>
    </dxf>
    <dxf>
      <numFmt numFmtId="13" formatCode="0%"/>
    </dxf>
    <dxf>
      <numFmt numFmtId="3" formatCode="#,##0"/>
    </dxf>
    <dxf>
      <numFmt numFmtId="3" formatCode="#,##0"/>
    </dxf>
    <dxf>
      <numFmt numFmtId="3" formatCode="#,##0"/>
    </dxf>
    <dxf>
      <fill>
        <patternFill patternType="none">
          <fgColor indexed="64"/>
          <bgColor indexed="65"/>
        </patternFill>
      </fill>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166" formatCode="_(* #,##0_);_(* \(#,##0\);_(* &quot;-&quot;??_);_(@_)"/>
    </dxf>
    <dxf>
      <numFmt numFmtId="166" formatCode="_(* #,##0_);_(* \(#,##0\);_(* &quot;-&quot;??_);_(@_)"/>
    </dxf>
    <dxf>
      <alignment wrapText="1" indent="0"/>
    </dxf>
    <dxf>
      <font>
        <color theme="4" tint="0.79998168889431442"/>
      </font>
    </dxf>
    <dxf>
      <font>
        <color theme="4" tint="0.79998168889431442"/>
      </font>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rgb="FFFFFF00"/>
        </patternFill>
      </fill>
    </dxf>
    <dxf>
      <numFmt numFmtId="3" formatCode="#,##0"/>
    </dxf>
    <dxf>
      <fill>
        <patternFill>
          <bgColor rgb="FFFFFF00"/>
        </patternFill>
      </fill>
    </dxf>
    <dxf>
      <fill>
        <patternFill>
          <bgColor rgb="FFFFFF00"/>
        </patternFill>
      </fill>
    </dxf>
    <dxf>
      <fill>
        <patternFill patternType="solid">
          <bgColor rgb="FFFFFF00"/>
        </patternFill>
      </fill>
    </dxf>
    <dxf>
      <alignment horizontal="center"/>
    </dxf>
    <dxf>
      <alignment horizontal="center"/>
    </dxf>
    <dxf>
      <alignment horizontal="center"/>
    </dxf>
    <dxf>
      <alignment horizontal="center"/>
    </dxf>
    <dxf>
      <alignment vertical="center"/>
    </dxf>
    <dxf>
      <alignment vertical="center"/>
    </dxf>
    <dxf>
      <alignment vertical="center"/>
    </dxf>
    <dxf>
      <alignment vertical="center"/>
    </dxf>
    <dxf>
      <fill>
        <patternFill patternType="none">
          <bgColor auto="1"/>
        </patternFill>
      </fill>
    </dxf>
    <dxf>
      <fill>
        <patternFill patternType="none">
          <bgColor auto="1"/>
        </patternFill>
      </fill>
    </dxf>
    <dxf>
      <numFmt numFmtId="3" formatCode="#,##0"/>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alignment wrapText="1" indent="0"/>
    </dxf>
    <dxf>
      <numFmt numFmtId="3" formatCode="#,##0"/>
    </dxf>
    <dxf>
      <alignment wrapText="1" indent="0"/>
    </dxf>
    <dxf>
      <alignment wrapText="1" readingOrder="0"/>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FF00"/>
        </patternFill>
      </fill>
    </dxf>
    <dxf>
      <fill>
        <patternFill patternType="solid">
          <bgColor rgb="FFFFFF00"/>
        </patternFill>
      </fill>
    </dxf>
    <dxf>
      <font>
        <color theme="4" tint="0.79998168889431442"/>
      </font>
    </dxf>
    <dxf>
      <font>
        <color theme="4" tint="0.79998168889431442"/>
      </font>
    </dxf>
    <dxf>
      <font>
        <color theme="4" tint="0.79998168889431442"/>
      </font>
    </dxf>
    <dxf>
      <alignment horizontal="center"/>
    </dxf>
    <dxf>
      <alignment horizontal="center"/>
    </dxf>
    <dxf>
      <alignment vertical="center"/>
    </dxf>
    <dxf>
      <alignment vertical="center"/>
    </dxf>
    <dxf>
      <alignment wrapText="1"/>
    </dxf>
    <dxf>
      <alignment wrapText="1"/>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fill>
        <patternFill>
          <bgColor theme="0"/>
        </patternFill>
      </fill>
    </dxf>
    <dxf>
      <fill>
        <patternFill patternType="solid">
          <bgColor rgb="FFFFFF00"/>
        </patternFill>
      </fill>
    </dxf>
    <dxf>
      <alignment wrapText="1"/>
    </dxf>
    <dxf>
      <alignment wrapText="1"/>
    </dxf>
    <dxf>
      <alignment wrapText="1" indent="0"/>
    </dxf>
    <dxf>
      <alignment wrapText="1" indent="0"/>
    </dxf>
    <dxf>
      <alignment wrapText="1" indent="0"/>
    </dxf>
    <dxf>
      <alignment wrapText="1" indent="0"/>
    </dxf>
    <dxf>
      <alignment wrapText="1" indent="0"/>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fill>
        <patternFill>
          <bgColor theme="0"/>
        </patternFill>
      </fill>
    </dxf>
    <dxf>
      <fill>
        <patternFill patternType="solid">
          <bgColor rgb="FFFFFF00"/>
        </patternFill>
      </fill>
    </dxf>
    <dxf>
      <alignment wrapText="1"/>
    </dxf>
    <dxf>
      <alignment wrapText="1"/>
    </dxf>
    <dxf>
      <alignment wrapText="1" indent="0"/>
    </dxf>
    <dxf>
      <alignment wrapText="1" indent="0"/>
    </dxf>
    <dxf>
      <alignment wrapText="1" indent="0"/>
    </dxf>
    <dxf>
      <alignment wrapText="1" indent="0"/>
    </dxf>
    <dxf>
      <alignment wrapText="1" indent="0"/>
    </dxf>
    <dxf>
      <fill>
        <patternFill patternType="none">
          <bgColor auto="1"/>
        </patternFill>
      </fill>
    </dxf>
    <dxf>
      <fill>
        <patternFill patternType="none">
          <bgColor auto="1"/>
        </patternFill>
      </fill>
    </dxf>
    <dxf>
      <fill>
        <patternFill patternType="none">
          <bgColor auto="1"/>
        </patternFill>
      </fill>
    </dxf>
    <dxf>
      <fill>
        <patternFill patternType="solid">
          <bgColor rgb="FFFFFF00"/>
        </patternFill>
      </fill>
    </dxf>
    <dxf>
      <fill>
        <patternFill patternType="solid">
          <bgColor rgb="FFFFFF00"/>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92D050"/>
        </patternFill>
      </fill>
    </dxf>
    <dxf>
      <fill>
        <patternFill patternType="solid">
          <bgColor rgb="FFFFFF00"/>
        </patternFill>
      </fill>
    </dxf>
    <dxf>
      <fill>
        <patternFill patternType="solid">
          <bgColor rgb="FFFFFF00"/>
        </patternFill>
      </fill>
    </dxf>
    <dxf>
      <fill>
        <patternFill patternType="none">
          <bgColor auto="1"/>
        </patternFill>
      </fill>
    </dxf>
    <dxf>
      <fill>
        <patternFill patternType="solid">
          <bgColor rgb="FFFFFF0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patternType="solid">
          <bgColor rgb="FFFFFF00"/>
        </patternFill>
      </fill>
    </dxf>
    <dxf>
      <fill>
        <patternFill patternType="solid">
          <bgColor rgb="FFFFFF00"/>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numFmt numFmtId="3" formatCode="#,##0"/>
    </dxf>
    <dxf>
      <alignment wrapText="1" indent="0"/>
    </dxf>
    <dxf>
      <numFmt numFmtId="169" formatCode="dd/mm/yy"/>
    </dxf>
    <dxf>
      <numFmt numFmtId="0" formatCode="General"/>
    </dxf>
    <dxf>
      <numFmt numFmtId="0" formatCode="General"/>
    </dxf>
    <dxf>
      <numFmt numFmtId="0" formatCode="General"/>
    </dxf>
    <dxf>
      <numFmt numFmtId="0" formatCode="General"/>
    </dxf>
    <dxf>
      <numFmt numFmtId="0" formatCode="General"/>
    </dxf>
    <dxf>
      <fill>
        <patternFill>
          <bgColor rgb="FFE2EFDA"/>
        </patternFill>
      </fill>
    </dxf>
    <dxf>
      <font>
        <b/>
        <i val="0"/>
        <color rgb="FFFFFFFF"/>
      </font>
      <fill>
        <patternFill>
          <bgColor rgb="FF70AD47"/>
        </patternFill>
      </fill>
    </dxf>
    <dxf>
      <border>
        <left style="thin">
          <color rgb="FFA9D08E"/>
        </left>
        <right style="thin">
          <color rgb="FFA9D08E"/>
        </right>
        <top style="thin">
          <color rgb="FFA9D08E"/>
        </top>
        <bottom style="thin">
          <color rgb="FFA9D08E"/>
        </bottom>
        <horizontal style="thin">
          <color rgb="FFA9D08E"/>
        </horizontal>
      </border>
    </dxf>
    <dxf>
      <fill>
        <patternFill>
          <bgColor rgb="FFF0F0F0"/>
        </patternFill>
      </fill>
    </dxf>
    <dxf>
      <font>
        <b/>
        <i val="0"/>
        <color rgb="FFFFFFFF"/>
      </font>
      <fill>
        <patternFill>
          <bgColor rgb="FFABABAB"/>
        </patternFill>
      </fill>
    </dxf>
    <dxf>
      <border>
        <left style="thin">
          <color rgb="FFC6C6C6"/>
        </left>
        <right style="thin">
          <color rgb="FFC6C6C6"/>
        </right>
        <top style="thin">
          <color rgb="FFC6C6C6"/>
        </top>
        <bottom style="thin">
          <color rgb="FFC6C6C6"/>
        </bottom>
        <horizontal style="thin">
          <color rgb="FFC6C6C6"/>
        </horizontal>
      </border>
    </dxf>
  </dxfs>
  <tableStyles count="3" defaultTableStyle="TableStyleMedium2" defaultPivotStyle="PivotStyleLight16">
    <tableStyle name="Invisible" pivot="0" table="0" count="0" xr9:uid="{00000000-0011-0000-FFFF-FFFF00000000}"/>
    <tableStyle name="TableStyleQueryPreview" pivot="0" count="3" xr9:uid="{00000000-0011-0000-FFFF-FFFF01000000}">
      <tableStyleElement type="wholeTable" dxfId="358"/>
      <tableStyleElement type="headerRow" dxfId="357"/>
      <tableStyleElement type="firstRowStripe" dxfId="356"/>
    </tableStyle>
    <tableStyle name="TableStyleQueryResult" pivot="0" count="3" xr9:uid="{00000000-0011-0000-FFFF-FFFF02000000}">
      <tableStyleElement type="wholeTable" dxfId="355"/>
      <tableStyleElement type="headerRow" dxfId="354"/>
      <tableStyleElement type="firstRowStripe" dxfId="353"/>
    </tableStyle>
  </tableStyles>
  <colors>
    <mruColors>
      <color rgb="FFFF7575"/>
      <color rgb="FFFF898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volatileDependencies.xml><?xml version="1.0" encoding="utf-8"?>
<volTypes xmlns="http://schemas.openxmlformats.org/spreadsheetml/2006/main">
  <volType type="olapFunctions">
    <main first="ThisWorkbookDataModel">
      <tp t="e">
        <v>#N/A</v>
        <stp>1</stp>
        <tr r="A7" s="84"/>
        <tr r="A24" s="84"/>
        <tr r="A6" s="84"/>
        <tr r="A12" s="84"/>
        <tr r="B44" s="84"/>
        <tr r="A9" s="84"/>
        <tr r="A25" s="84"/>
        <tr r="C5" s="85"/>
        <tr r="A23" s="84"/>
        <tr r="A16" s="84"/>
        <tr r="A11" s="84"/>
        <tr r="A22" s="84"/>
        <tr r="B59" s="84"/>
        <tr r="A13" s="84"/>
        <tr r="A20" s="84"/>
        <tr r="A21" s="84"/>
        <tr r="A17" s="84"/>
        <tr r="Q57" s="84"/>
        <tr r="A14" s="84"/>
        <tr r="A26" s="84"/>
        <tr r="A27" s="84"/>
        <tr r="A10" s="84"/>
        <tr r="A18" s="84"/>
        <tr r="A8" s="84"/>
        <tr r="D5" s="71"/>
        <tr r="A15" s="84"/>
        <tr r="A19" s="84"/>
        <tr r="Q5" s="84"/>
        <tr r="F61" s="72"/>
        <tr r="B3" s="104"/>
        <tr r="B3" s="59"/>
        <tr r="F15" s="52"/>
        <tr r="E5" s="85"/>
        <tr r="C61" s="72"/>
        <tr r="C15" s="52"/>
        <tr r="O5" s="85"/>
        <tr r="G5" s="84"/>
        <tr r="D39" s="76"/>
        <tr r="D5" s="84"/>
        <tr r="F57" s="84"/>
        <tr r="N57" s="84"/>
        <tr r="D6" s="76"/>
        <tr r="D57" s="84"/>
        <tr r="I57" s="84"/>
        <tr r="D5" s="85"/>
        <tr r="N5" s="85"/>
        <tr r="K57" s="84"/>
        <tr r="C6" s="72"/>
        <tr r="F38" s="75"/>
        <tr r="D3" s="59"/>
        <tr r="F3" s="52"/>
        <tr r="H57" s="84"/>
        <tr r="R57" s="84"/>
        <tr r="K5" s="84"/>
        <tr r="E15" s="52"/>
        <tr r="J5" s="84"/>
        <tr r="M57" s="84"/>
        <tr r="E6" s="76"/>
        <tr r="C7" s="38"/>
        <tr r="D38" s="75"/>
        <tr r="E3" s="59"/>
        <tr r="C38" s="75"/>
        <tr r="G5" s="85"/>
        <tr r="G57" s="84"/>
        <tr r="R5" s="84"/>
        <tr r="D61" s="72"/>
        <tr r="H5" s="85"/>
        <tr r="C39" s="76"/>
        <tr r="O5" s="84"/>
        <tr r="P57" s="84"/>
        <tr r="E35" s="52"/>
        <tr r="C3" s="52"/>
        <tr r="C3" s="59"/>
        <tr r="O57" s="84"/>
        <tr r="E4" s="84"/>
        <tr r="M5" s="85"/>
        <tr r="F5" s="84"/>
        <tr r="B35" s="52"/>
        <tr r="C4" s="84"/>
        <tr r="F39" s="76"/>
        <tr r="E3" s="57"/>
        <tr r="H5" s="84"/>
        <tr r="I5" s="85"/>
        <tr r="E3" s="52"/>
        <tr r="D6" s="72"/>
        <tr r="L5" s="84"/>
        <tr r="L57" s="84"/>
        <tr r="B3" s="57"/>
        <tr r="D3" s="57"/>
        <tr r="C35" s="52"/>
        <tr r="P5" s="84"/>
        <tr r="B7" s="38"/>
        <tr r="M5" s="84"/>
        <tr r="J5" s="85"/>
        <tr r="J57" s="84"/>
        <tr r="F6" s="72"/>
        <tr r="I5" s="84"/>
        <tr r="D3" s="52"/>
        <tr r="D7" s="38"/>
        <tr r="E6" s="72"/>
        <tr r="F5" s="85"/>
        <tr r="F6" s="75"/>
        <tr r="C6" s="76"/>
        <tr r="B6" s="104"/>
        <tr r="C5" s="84"/>
        <tr r="N5" s="84"/>
        <tr r="C6" s="104"/>
        <tr r="C57" s="84"/>
        <tr r="C3" s="57"/>
        <tr r="F6" s="76"/>
        <tr r="E6" s="75"/>
        <tr r="C6" s="75"/>
        <tr r="D15" s="52"/>
        <tr r="L5" s="85"/>
        <tr r="D6" s="75"/>
        <tr r="K5" s="85"/>
        <tr r="S5" s="71"/>
        <tr r="B60" s="84"/>
        <tr r="B47" s="84"/>
        <tr r="B63" s="84"/>
        <tr r="B48" s="84"/>
        <tr r="B45" s="84"/>
        <tr r="B58" s="84"/>
        <tr r="F4" s="84"/>
        <tr r="B61" s="84"/>
        <tr r="B62" s="84"/>
        <tr r="B68" s="72"/>
        <tr r="B55" s="72"/>
        <tr r="A39" s="52"/>
        <tr r="B53" s="75"/>
        <tr r="B54" s="72"/>
        <tr r="B103" s="72"/>
        <tr r="B11" s="72"/>
        <tr r="B12" s="75"/>
        <tr r="B56" s="72"/>
        <tr r="B45" s="75"/>
        <tr r="B20" s="75"/>
        <tr r="B8" s="71"/>
        <tr r="B19" s="72"/>
        <tr r="C43" s="108"/>
        <tr r="C38" s="108"/>
        <tr r="C45" s="108"/>
        <tr r="B10" s="108"/>
        <tr r="B39" s="108"/>
        <tr r="C13" s="108"/>
        <tr r="B9" s="108"/>
        <tr r="C35" s="108"/>
        <tr r="C6" s="108"/>
        <tr r="C24" s="108"/>
        <tr r="B6" s="108"/>
        <tr r="B56" s="108"/>
        <tr r="C21" s="108"/>
        <tr r="C40" s="108"/>
        <tr r="C36" s="108"/>
        <tr r="A6" s="108"/>
        <tr r="C41" s="108"/>
        <tr r="C53" s="108"/>
        <tr r="C22" s="108"/>
        <tr r="C25" s="108"/>
        <tr r="C18" s="108"/>
        <tr r="B12" s="108"/>
        <tr r="B50" s="108"/>
        <tr r="C30" s="108"/>
        <tr r="C29" s="108"/>
        <tr r="A55" s="108"/>
        <tr r="C17" s="108"/>
        <tr r="C12" s="108"/>
        <tr r="C19" s="108"/>
        <tr r="C16" s="108"/>
        <tr r="B34" s="108"/>
        <tr r="C46" s="108"/>
        <tr r="C44" s="108"/>
        <tr r="C10" s="108"/>
        <tr r="B33" s="108"/>
        <tr r="C15" s="108"/>
        <tr r="C14" s="108"/>
        <tr r="C28" s="108"/>
        <tr r="B11" s="108"/>
        <tr r="C8" s="108"/>
        <tr r="C7" s="108"/>
        <tr r="C48" s="108"/>
        <tr r="B40" s="108"/>
        <tr r="A56" s="108"/>
        <tr r="C20" s="108"/>
        <tr r="C32" s="108"/>
        <tr r="C23" s="108"/>
        <tr r="C27" s="108"/>
        <tr r="C42" s="108"/>
        <tr r="C26" s="108"/>
        <tr r="C34" s="108"/>
        <tr r="B51" s="108"/>
        <tr r="C52" s="108"/>
        <tr r="C47" s="108"/>
        <tr r="C49" s="108"/>
        <tr r="B54" s="108"/>
        <tr r="C51" s="108"/>
        <tr r="C31" s="108"/>
        <tr r="C37" s="108"/>
        <tr r="B46" s="84"/>
        <tr r="A10" s="85"/>
        <tr r="B5" s="71"/>
        <tr r="A20" s="104"/>
        <tr r="O6" s="71"/>
        <tr r="B24" s="71"/>
        <tr r="A45" s="52"/>
        <tr r="Z6" s="71"/>
        <tr r="B41" s="76"/>
        <tr r="B17" s="76"/>
        <tr r="B5" s="75"/>
        <tr r="A44" s="104"/>
        <tr r="Q38" s="71"/>
        <tr r="Q33" s="71"/>
        <tr r="B86" s="72"/>
        <tr r="A49" s="104"/>
        <tr r="A38" s="47"/>
        <tr r="B52" s="71"/>
        <tr r="E20" s="75"/>
        <tr r="A16" s="104"/>
        <tr r="A17" s="52"/>
        <tr r="Q20" s="71"/>
        <tr r="B9" s="76"/>
        <tr r="B30" s="72"/>
        <tr r="A14" s="50"/>
        <tr r="B73" s="72"/>
        <tr r="Q35" s="71"/>
        <tr r="Q7" s="71"/>
        <tr r="A35" s="47"/>
        <tr r="B97" s="72"/>
        <tr r="Q15" s="71"/>
        <tr r="B34" s="72"/>
        <tr r="B72" s="72"/>
        <tr r="Q54" s="71"/>
        <tr r="B29" s="72"/>
        <tr r="A24" s="52"/>
        <tr r="B78" s="72"/>
        <tr r="B20" s="72"/>
        <tr r="A22" s="47"/>
        <tr r="Q49" s="71"/>
        <tr r="B10" s="75"/>
        <tr r="A10" s="52"/>
        <tr r="B106" s="72"/>
        <tr r="B46" s="76"/>
        <tr r="B56" s="76"/>
        <tr r="A39" s="104"/>
        <tr r="A13" s="47"/>
        <tr r="Q36" s="71"/>
        <tr r="A41" s="47"/>
        <tr r="B11" s="76"/>
        <tr r="A48" s="52"/>
        <tr r="B19" s="71"/>
        <tr r="Q13" s="71"/>
        <tr r="B23" s="71"/>
        <tr r="B9" s="72"/>
        <tr r="B18" s="72"/>
        <tr r="B28" s="76"/>
        <tr r="A4" s="50"/>
        <tr r="A7" s="52"/>
        <tr r="B49" s="75"/>
        <tr r="B88" s="72"/>
        <tr r="B84" s="72"/>
        <tr r="B66" s="76"/>
        <tr r="B56" s="75"/>
        <tr r="A10" s="104"/>
        <tr r="B29" s="75"/>
        <tr r="B17" s="71"/>
        <tr r="B33" s="71"/>
        <tr r="B7" s="72"/>
        <tr r="A11" s="50"/>
        <tr r="B9" s="75"/>
        <tr r="Q39" s="71"/>
        <tr r="B54" s="71"/>
        <tr r="E6" s="104"/>
        <tr r="B39" s="71"/>
        <tr r="B32" s="72"/>
        <tr r="B27" s="76"/>
        <tr r="B38" s="76"/>
        <tr r="Q11" s="71"/>
        <tr r="B46" s="75"/>
        <tr r="B25" s="75"/>
        <tr r="Q46" s="71"/>
        <tr r="A26" s="104"/>
        <tr r="B44" s="72"/>
        <tr r="B52" s="72"/>
        <tr r="C20" s="75"/>
        <tr r="B40" s="72"/>
        <tr r="A5" s="52"/>
        <tr r="A38" s="104"/>
        <tr r="B41" s="84"/>
        <tr r="A36" s="47"/>
        <tr r="O47" s="84"/>
        <tr r="O47" s="84"/>
        <tr r="O33" s="71"/>
        <tr r="G6" s="71"/>
        <tr r="P59" s="84"/>
        <tr r="P59" s="84"/>
        <tr r="A53" s="104"/>
        <tr r="B110" s="72"/>
        <tr r="AD6" s="71"/>
        <tr r="F39" s="75"/>
        <tr r="B65" s="76"/>
        <tr r="A6" s="52"/>
        <tr r="Q5" s="71"/>
        <tr r="A8" s="50"/>
        <tr r="B47" s="76"/>
        <tr r="B8" s="75"/>
        <tr r="A27" s="47"/>
        <tr r="Q55" s="71"/>
        <tr r="Q45" s="71"/>
        <tr r="A49" s="52"/>
        <tr r="B70" s="72"/>
        <tr r="Q58" s="71"/>
        <tr r="B43" s="75"/>
        <tr r="A16" s="47"/>
        <tr r="A19" s="47"/>
        <tr r="A37" s="47"/>
        <tr r="Q41" s="71"/>
        <tr r="B27" s="72"/>
        <tr r="Q32" s="71"/>
        <tr r="Q37" s="71"/>
        <tr r="B61" s="75"/>
        <tr r="B9" s="71"/>
        <tr r="B40" s="75"/>
        <tr r="B51" s="72"/>
        <tr r="K6" s="104"/>
        <tr r="B16" s="75"/>
        <tr r="Q16" s="71"/>
        <tr r="A7" s="104"/>
        <tr r="B35" s="72"/>
        <tr r="M6" s="71"/>
        <tr r="B11" s="71"/>
        <tr r="B42" s="72"/>
        <tr r="B41" s="71"/>
        <tr r="B109" s="72"/>
        <tr r="A30" s="47"/>
        <tr r="A51" s="104"/>
        <tr r="H6" s="104"/>
        <tr r="B36" s="52"/>
        <tr r="A45" s="104"/>
        <tr r="A15" s="47"/>
        <tr r="A14" s="47"/>
        <tr r="A17" s="50"/>
        <tr r="B38" s="72"/>
        <tr r="Q9" s="71"/>
        <tr r="A25" s="104"/>
        <tr r="B47" s="71"/>
        <tr r="Q42" s="71"/>
        <tr r="A17" s="104"/>
        <tr r="Q40" s="71"/>
        <tr r="B15" s="71"/>
        <tr r="M24" s="71"/>
        <tr r="B108" s="72"/>
        <tr r="B71" s="72"/>
        <tr r="B59" s="76"/>
        <tr r="J6" s="104"/>
        <tr r="A24" s="104"/>
        <tr r="B93" s="72"/>
        <tr r="B7" s="76"/>
        <tr r="B48" s="71"/>
        <tr r="X6" s="71"/>
        <tr r="B44" s="75"/>
        <tr r="B27" s="75"/>
        <tr r="L6" s="71"/>
        <tr r="L8" s="71"/>
        <tr r="B42" s="71"/>
        <tr r="B45" s="72"/>
        <tr r="A27" s="52"/>
        <tr r="Q47" s="71"/>
        <tr r="N6" s="71"/>
        <tr r="Q18" s="71"/>
        <tr r="B49" s="84"/>
        <tr r="B60" s="75"/>
        <tr r="AB6" s="71"/>
        <tr r="AB39" s="71"/>
        <tr r="Q44" s="71"/>
        <tr r="A47" s="104"/>
        <tr r="B41" s="72"/>
        <tr r="B41" s="75"/>
        <tr r="B43" s="72"/>
        <tr r="B17" s="72"/>
        <tr r="Q17" s="71"/>
        <tr r="B57" s="76"/>
        <tr r="B66" s="72"/>
        <tr r="A41" s="104"/>
        <tr r="B8" s="76"/>
        <tr r="B47" s="75"/>
        <tr r="B58" s="71"/>
        <tr r="B87" s="72"/>
        <tr r="B48" s="75"/>
        <tr r="A25" s="52"/>
        <tr r="A11" s="104"/>
        <tr r="A40" s="104"/>
        <tr r="B58" s="76"/>
        <tr r="C8" s="38"/>
        <tr r="A42" s="52"/>
        <tr r="A14" s="104"/>
        <tr r="B79" s="72"/>
        <tr r="I6" s="104"/>
        <tr r="A8" s="104"/>
        <tr r="A51" s="52"/>
        <tr r="A16" s="50"/>
        <tr r="B76" s="72"/>
        <tr r="N6" s="104"/>
        <tr r="Q14" s="71"/>
        <tr r="A10" s="50"/>
        <tr r="B51" s="76"/>
        <tr r="B2" s="104"/>
        <tr r="A30" s="104"/>
        <tr r="A3" s="50"/>
        <tr r="F40" s="76"/>
        <tr r="Q31" s="71"/>
        <tr r="A46" s="104"/>
        <tr r="B92" s="72"/>
        <tr r="A20" s="47"/>
        <tr r="Q43" s="71"/>
        <tr r="B5" s="72"/>
        <tr r="B37" s="75"/>
        <tr r="A26" s="52"/>
        <tr r="B95" s="72"/>
        <tr r="B22" s="75"/>
        <tr r="H6" s="71"/>
        <tr r="B21" s="76"/>
        <tr r="B20" s="76"/>
        <tr r="B85" s="72"/>
        <tr r="B37" s="71"/>
        <tr r="A18" s="104"/>
        <tr r="V6" s="71"/>
        <tr r="F6" s="104"/>
        <tr r="B54" s="76"/>
        <tr r="B36" s="72"/>
        <tr r="A20" s="52"/>
        <tr r="D6" s="71"/>
        <tr r="A5" s="104"/>
        <tr r="B19" s="76"/>
        <tr r="B50" s="72"/>
        <tr r="A12" s="104"/>
        <tr r="B63" s="75"/>
        <tr r="B30" s="76"/>
        <tr r="A8" s="85"/>
        <tr r="B2" s="50"/>
        <tr r="F6" s="71"/>
        <tr r="O41" s="71"/>
        <tr r="B13" s="75"/>
        <tr r="D13" s="75"/>
        <tr r="Y6" s="71"/>
        <tr r="Y42" s="71"/>
        <tr r="A34" s="104"/>
        <tr r="B44" s="76"/>
        <tr r="B32" s="71"/>
        <tr r="B46" s="72"/>
        <tr r="T6" s="71"/>
        <tr r="A55" s="52"/>
        <tr r="A9" s="52"/>
        <tr r="B31" s="72"/>
        <tr r="B65" s="72"/>
        <tr r="B29" s="76"/>
        <tr r="E6" s="71"/>
        <tr r="Q21" s="71"/>
        <tr r="A23" s="52"/>
        <tr r="B34" s="71"/>
        <tr r="N37" s="71"/>
        <tr r="Z52" s="71"/>
        <tr r="B15" s="76"/>
        <tr r="B63" s="76"/>
        <tr r="B12" s="76"/>
        <tr r="B64" s="76"/>
        <tr r="B8" s="72"/>
        <tr r="B69" s="72"/>
        <tr r="Q10" s="71"/>
        <tr r="D39" s="75"/>
        <tr r="B53" s="72"/>
        <tr r="B98" s="72"/>
        <tr r="Z39" s="71"/>
        <tr r="B80" s="72"/>
        <tr r="A40" s="52"/>
        <tr r="H17" s="71"/>
        <tr r="C16" s="104"/>
        <tr r="B23" s="75"/>
        <tr r="A6" s="50"/>
        <tr r="T54" s="71"/>
        <tr r="A57" s="52"/>
        <tr r="A28" s="47"/>
        <tr r="Q27" s="71"/>
        <tr r="V54" s="71"/>
        <tr r="C41" s="72"/>
        <tr r="A12" s="52"/>
        <tr r="J6" s="71"/>
        <tr r="Q57" s="71"/>
        <tr r="B20" s="71"/>
        <tr r="D40" s="76"/>
        <tr r="K6" s="71"/>
        <tr r="D16" s="75"/>
        <tr r="L34" s="71"/>
        <tr r="Q48" s="84"/>
        <tr r="N47" s="84"/>
        <tr r="N47" s="84"/>
        <tr r="Q22" s="71"/>
        <tr r="O9" s="71"/>
        <tr r="T24" s="71"/>
        <tr r="B52" s="75"/>
        <tr r="A9" s="104"/>
        <tr r="M47" s="84"/>
        <tr r="M47" s="84"/>
        <tr r="B14" s="104"/>
        <tr r="X11" s="71"/>
        <tr r="Q53" s="71"/>
        <tr r="B15" s="75"/>
        <tr r="B100" s="72"/>
        <tr r="B50" s="75"/>
        <tr r="S6" s="71"/>
        <tr r="A56" s="52"/>
        <tr r="B14" s="71"/>
        <tr r="A28" s="104"/>
        <tr r="Q52" s="71"/>
        <tr r="B14" s="76"/>
        <tr r="Q48" s="71"/>
        <tr r="L6" s="104"/>
        <tr r="B62" s="76"/>
        <tr r="B18" s="75"/>
        <tr r="A33" s="84"/>
        <tr r="B48" s="76"/>
        <tr r="B26" s="75"/>
        <tr r="B13" s="76"/>
        <tr r="A6" s="85"/>
        <tr r="A19" s="104"/>
        <tr r="B13" s="72"/>
        <tr r="AA6" s="71"/>
        <tr r="B39" s="72"/>
        <tr r="Q56" s="71"/>
        <tr r="B7" s="71"/>
        <tr r="A9" s="47"/>
        <tr r="D41" s="75"/>
        <tr r="Y48" s="71"/>
        <tr r="D51" s="72"/>
        <tr r="X33" s="71"/>
        <tr r="B43" s="76"/>
        <tr r="B33" s="72"/>
        <tr r="B60" s="72"/>
        <tr r="AA14" s="71"/>
        <tr r="M62" s="84"/>
        <tr r="M62" s="84"/>
        <tr r="N9" s="71"/>
        <tr r="K14" s="71"/>
        <tr r="B44" s="71"/>
        <tr r="J54" s="71"/>
        <tr r="Y20" s="71"/>
        <tr r="B30" s="71"/>
        <tr r="M14" s="71"/>
        <tr r="Q30" s="71"/>
        <tr r="B7" s="75"/>
        <tr r="X30" s="71"/>
        <tr r="B58" s="75"/>
        <tr r="F12" s="75"/>
        <tr r="J61" s="84"/>
        <tr r="Q63" s="84"/>
        <tr r="F46" s="84"/>
        <tr r="G60" s="84"/>
        <tr r="B24" s="76"/>
        <tr r="I61" s="84"/>
        <tr r="AB47" s="71"/>
        <tr r="B22" s="71"/>
        <tr r="B28" s="71"/>
        <tr r="B24" s="72"/>
        <tr r="B112" s="72"/>
        <tr r="B55" s="76"/>
        <tr r="B35" s="71"/>
        <tr r="B11" s="104"/>
        <tr r="A34" s="47"/>
        <tr r="C51" s="104"/>
        <tr r="T35" s="71"/>
        <tr r="C30" s="72"/>
        <tr r="C39" s="104"/>
        <tr r="M6" s="104"/>
        <tr r="I62" s="84"/>
        <tr r="I62" s="84"/>
        <tr r="K47" s="84"/>
        <tr r="K47" s="84"/>
        <tr r="J45" s="84"/>
        <tr r="J45" s="84"/>
        <tr r="AA42" s="71"/>
        <tr r="AA9" s="71"/>
        <tr r="F9" s="71"/>
        <tr r="G47" s="71"/>
        <tr r="P49" s="84"/>
        <tr r="P49" s="84"/>
        <tr r="E8" s="72"/>
        <tr r="Z32" s="71"/>
        <tr r="E36" s="72"/>
        <tr r="B16" s="104"/>
        <tr r="F41" s="72"/>
        <tr r="V9" s="71"/>
        <tr r="L19" s="71"/>
        <tr r="C27" s="72"/>
        <tr r="E11" s="71"/>
        <tr r="F61" s="84"/>
        <tr r="F37" s="71"/>
        <tr r="K33" s="71"/>
        <tr r="C28" s="104"/>
        <tr r="M9" s="71"/>
        <tr r="L54" s="71"/>
        <tr r="N45" s="84"/>
        <tr r="N45" s="84"/>
        <tr r="Q24" s="71"/>
        <tr r="B16" s="71"/>
        <tr r="N16" s="71"/>
        <tr r="A31" s="47"/>
        <tr r="B36" s="71"/>
        <tr r="B42" s="76"/>
        <tr r="B52" s="76"/>
        <tr r="B14" s="72"/>
        <tr r="B8" s="38"/>
        <tr r="A21" s="104"/>
        <tr r="E36" s="52"/>
        <tr r="C39" s="75"/>
        <tr r="A34" s="52"/>
        <tr r="B49" s="76"/>
        <tr r="A31" s="104"/>
        <tr r="B25" s="71"/>
        <tr r="B23" s="72"/>
        <tr r="B55" s="71"/>
        <tr r="Q19" s="71"/>
        <tr r="A42" s="104"/>
        <tr r="B40" s="71"/>
        <tr r="C6" s="71"/>
        <tr r="F41" s="71"/>
        <tr r="AA17" s="71"/>
        <tr r="D48" s="71"/>
        <tr r="A29" s="104"/>
        <tr r="B64" s="72"/>
        <tr r="B10" s="76"/>
        <tr r="N36" s="71"/>
        <tr r="A5" s="50"/>
        <tr r="A58" s="52"/>
        <tr r="A36" s="104"/>
        <tr r="B45" s="71"/>
        <tr r="AD45" s="71"/>
        <tr r="T48" s="71"/>
        <tr r="AB52" s="71"/>
        <tr r="F13" s="75"/>
        <tr r="Z15" s="71"/>
        <tr r="E41" s="71"/>
        <tr r="I46" s="84"/>
        <tr r="D12" s="75"/>
        <tr r="B75" s="72"/>
        <tr r="F41" s="75"/>
        <tr r="K39" s="71"/>
        <tr r="F62" s="72"/>
        <tr r="Y37" s="71"/>
        <tr r="Y32" s="71"/>
        <tr r="I63" s="84"/>
        <tr r="N48" s="84"/>
        <tr r="E16" s="71"/>
        <tr r="E43" s="72"/>
        <tr r="F38" s="72"/>
        <tr r="A43" s="104"/>
        <tr r="D6" s="104"/>
        <tr r="B56" s="84"/>
        <tr r="B83" s="72"/>
        <tr r="B16" s="72"/>
        <tr r="D8" s="38"/>
        <tr r="G6" s="104"/>
        <tr r="E10" s="75"/>
        <tr r="B67" s="72"/>
        <tr r="G58" s="84"/>
        <tr r="A32" s="104"/>
        <tr r="A62" s="52"/>
        <tr r="E19" s="71"/>
        <tr r="E34" s="71"/>
        <tr r="F27" s="75"/>
        <tr r="Z45" s="71"/>
        <tr r="R6" s="71"/>
        <tr r="R11" s="71"/>
        <tr r="B36" s="104"/>
        <tr r="O60" s="84"/>
        <tr r="O60" s="84"/>
        <tr r="D41" s="72"/>
        <tr r="M15" s="71"/>
        <tr r="B50" s="76"/>
        <tr r="F95" s="72"/>
        <tr r="F33" s="72"/>
        <tr r="G37" s="71"/>
        <tr r="X28" s="71"/>
        <tr r="B43" s="104"/>
        <tr r="K47" s="71"/>
        <tr r="B10" s="104"/>
        <tr r="R36" s="71"/>
        <tr r="B29" s="71"/>
        <tr r="F30" s="72"/>
        <tr r="O19" s="71"/>
        <tr r="K7" s="71"/>
        <tr r="AD52" s="71"/>
        <tr r="C52" s="72"/>
        <tr r="O24" s="71"/>
        <tr r="Y40" s="71"/>
        <tr r="B5" s="76"/>
        <tr r="B12" s="72"/>
        <tr r="F12" s="72"/>
        <tr r="Q12" s="71"/>
        <tr r="B102" s="72"/>
        <tr r="B57" s="71"/>
        <tr r="A7" s="85"/>
        <tr r="Q34" s="71"/>
        <tr r="B62" s="75"/>
        <tr r="A23" s="104"/>
        <tr r="C23" s="104"/>
        <tr r="C62" s="72"/>
        <tr r="B45" s="76"/>
        <tr r="Q8" s="71"/>
        <tr r="B53" s="71"/>
        <tr r="B53" s="76"/>
        <tr r="I6" s="71"/>
        <tr r="I33" s="71"/>
        <tr r="B12" s="71"/>
        <tr r="U6" s="71"/>
        <tr r="A35" s="104"/>
        <tr r="B1" s="104"/>
        <tr r="B19" s="75"/>
        <tr r="L12" s="71"/>
        <tr r="B51" s="75"/>
        <tr r="C34" s="71"/>
        <tr r="C7" s="71"/>
        <tr r="D8" s="75"/>
        <tr r="C12" s="75"/>
        <tr r="E31" s="104"/>
        <tr r="B111" s="72"/>
        <tr r="N32" s="71"/>
        <tr r="D15" s="71"/>
        <tr r="J26" s="104"/>
        <tr r="H51" s="104"/>
        <tr r="B30" s="104"/>
        <tr r="K16" s="71"/>
        <tr r="F30" s="104"/>
        <tr r="A50" s="104"/>
        <tr r="C50" s="104"/>
        <tr r="B99" s="72"/>
        <tr r="A52" s="52"/>
        <tr r="F23" s="71"/>
        <tr r="B43" s="71"/>
        <tr r="L45" s="84"/>
        <tr r="D53" s="76"/>
        <tr r="B21" s="71"/>
        <tr r="L33" s="71"/>
        <tr r="F7" s="104"/>
        <tr r="B10" s="71"/>
        <tr r="S10" s="71"/>
        <tr r="B46" s="71"/>
        <tr r="O10" s="71"/>
        <tr r="D47" s="84"/>
        <tr r="D47" s="84"/>
        <tr r="E28" s="104"/>
        <tr r="N46" s="84"/>
        <tr r="J41" s="71"/>
        <tr r="B31" s="71"/>
        <tr r="G11" s="71"/>
        <tr r="U21" s="71"/>
        <tr r="Z10" s="71"/>
        <tr r="C56" s="75"/>
        <tr r="I12" s="71"/>
        <tr r="A12" s="47"/>
        <tr r="A27" s="104"/>
        <tr r="B28" s="75"/>
        <tr r="F28" s="75"/>
        <tr r="E19" s="75"/>
        <tr r="B56" s="71"/>
        <tr r="T56" s="71"/>
        <tr r="T11" s="71"/>
        <tr r="C33" s="71"/>
        <tr r="E47" s="104"/>
        <tr r="E38" s="72"/>
        <tr r="F20" s="75"/>
        <tr r="J21" s="104"/>
        <tr r="E18" s="75"/>
        <tr r="AD12" s="71"/>
        <tr r="B26" s="104"/>
        <tr r="B42" s="75"/>
        <tr r="V10" s="71"/>
        <tr r="B24" s="104"/>
        <tr r="F7" s="72"/>
        <tr r="O48" s="71"/>
        <tr r="O17" s="71"/>
        <tr r="A22" s="104"/>
        <tr r="D41" s="104"/>
        <tr r="F52" s="75"/>
        <tr r="G31" s="71"/>
        <tr r="D43" s="71"/>
        <tr r="B22" s="76"/>
        <tr r="H35" s="71"/>
        <tr r="C14" s="71"/>
        <tr r="AB23" s="71"/>
        <tr r="D7" s="71"/>
        <tr r="H46" s="104"/>
        <tr r="N17" s="104"/>
        <tr r="I52" s="71"/>
        <tr r="I17" s="71"/>
        <tr r="AD57" s="71"/>
        <tr r="B21" s="104"/>
        <tr r="E23" s="104"/>
        <tr r="F60" s="84"/>
        <tr r="F60" s="84"/>
        <tr r="F32" s="71"/>
        <tr r="H49" s="84"/>
        <tr r="H49" s="84"/>
        <tr r="X7" s="71"/>
        <tr r="I23" s="104"/>
        <tr r="X9" s="71"/>
        <tr r="Z42" s="71"/>
        <tr r="J44" s="104"/>
        <tr r="H60" s="84"/>
        <tr r="H60" s="84"/>
        <tr r="AA58" s="71"/>
        <tr r="K61" s="84"/>
        <tr r="U45" s="71"/>
        <tr r="R10" s="71"/>
        <tr r="S46" s="71"/>
        <tr r="V32" s="71"/>
        <tr r="L49" s="104"/>
        <tr r="N33" s="71"/>
        <tr r="C49" s="104"/>
        <tr r="B13" s="71"/>
        <tr r="M8" s="71"/>
        <tr r="C43" s="71"/>
        <tr r="C49" s="75"/>
        <tr r="B64" s="84"/>
        <tr r="D19" s="71"/>
        <tr r="G27" s="104"/>
        <tr r="A9" s="85"/>
        <tr r="B101" s="72"/>
        <tr r="A30" s="52"/>
        <tr r="B107" s="72"/>
        <tr r="A59" s="52"/>
        <tr r="X25" s="71"/>
        <tr r="B57" s="75"/>
        <tr r="A52" s="104"/>
        <tr r="J35" s="104"/>
        <tr r="A18" s="47"/>
        <tr r="AB24" s="71"/>
        <tr r="L17" s="104"/>
        <tr r="D57" s="71"/>
        <tr r="H36" s="104"/>
        <tr r="Y10" s="71"/>
        <tr r="W6" s="71"/>
        <tr r="K12" s="104"/>
        <tr r="L30" s="104"/>
        <tr r="E12" s="104"/>
        <tr r="K35" s="104"/>
        <tr r="L48" s="71"/>
        <tr r="H39" s="71"/>
        <tr r="K41" s="104"/>
        <tr r="C43" s="72"/>
        <tr r="T41" s="71"/>
        <tr r="C73" s="72"/>
        <tr r="B7" s="104"/>
        <tr r="J51" s="104"/>
        <tr r="O7" s="71"/>
        <tr r="R35" s="71"/>
        <tr r="F107" s="72"/>
        <tr r="D31" s="104"/>
        <tr r="Y25" s="71"/>
        <tr r="U20" s="71"/>
        <tr r="Y34" s="71"/>
        <tr r="H19" s="71"/>
        <tr r="AA39" s="71"/>
        <tr r="K24" s="71"/>
        <tr r="M42" s="104"/>
        <tr r="Z19" s="71"/>
        <tr r="N52" s="104"/>
        <tr r="G52" s="71"/>
        <tr r="K49" s="104"/>
        <tr r="S47" s="71"/>
        <tr r="L39" s="104"/>
        <tr r="B81" s="72"/>
        <tr r="E9" s="72"/>
        <tr r="D26" s="104"/>
        <tr r="Z17" s="71"/>
        <tr r="K26" s="104"/>
        <tr r="D44" s="84"/>
        <tr r="D44" s="84"/>
        <tr r="C14" s="104"/>
        <tr r="J49" s="84"/>
        <tr r="J49" s="84"/>
        <tr r="M31" s="104"/>
        <tr r="M51" s="104"/>
        <tr r="C44" s="84"/>
        <tr r="B50" s="104"/>
        <tr r="G46" s="71"/>
        <tr r="H36" s="71"/>
        <tr r="G36" s="104"/>
        <tr r="A33" s="104"/>
        <tr r="U58" s="71"/>
        <tr r="D45" s="71"/>
        <tr r="D44" s="72"/>
        <tr r="R9" s="71"/>
        <tr r="M45" s="71"/>
        <tr r="AD54" s="71"/>
        <tr r="A3" s="84"/>
        <tr r="W53" s="71"/>
        <tr r="D63" s="75"/>
        <tr r="O45" s="71"/>
        <tr r="M60" s="84"/>
        <tr r="M60" s="84"/>
        <tr r="N49" s="104"/>
        <tr r="D53" s="71"/>
        <tr r="D13" s="72"/>
        <tr r="F63" s="76"/>
        <tr r="B42" s="104"/>
        <tr r="J28" s="104"/>
        <tr r="AA24" s="71"/>
        <tr r="J40" s="71"/>
        <tr r="Y52" s="71"/>
        <tr r="S37" s="71"/>
        <tr r="V33" s="71"/>
        <tr r="F44" s="104"/>
        <tr r="Z13" s="71"/>
        <tr r="L16" s="71"/>
        <tr r="D45" s="76"/>
        <tr r="M29" s="104"/>
        <tr r="D9" s="72"/>
        <tr r="B53" s="104"/>
        <tr r="G31" s="104"/>
        <tr r="AD33" s="71"/>
        <tr r="D45" s="104"/>
        <tr r="E15" s="71"/>
        <tr r="N8" s="104"/>
        <tr r="Y15" s="71"/>
        <tr r="O63" s="84"/>
        <tr r="D7" s="84"/>
        <tr r="D7" s="84"/>
        <tr r="R46" s="71"/>
        <tr r="H43" s="104"/>
        <tr r="C15" s="76"/>
        <tr r="D11" s="71"/>
        <tr r="L18" s="84"/>
        <tr r="F22" s="104"/>
        <tr r="D53" s="75"/>
        <tr r="L29" s="71"/>
        <tr r="H57" s="71"/>
        <tr r="B28" s="72"/>
        <tr r="I19" s="84"/>
        <tr r="I19" s="84"/>
        <tr r="C32" s="72"/>
        <tr r="K19" s="71"/>
        <tr r="F20" s="76"/>
        <tr r="E40" s="72"/>
        <tr r="I42" s="71"/>
        <tr r="R40" s="71"/>
        <tr r="F54" s="76"/>
        <tr r="F10" s="71"/>
        <tr r="A1" s="50"/>
        <tr r="A7" s="50"/>
        <tr r="B94" s="72"/>
        <tr r="B90" s="72"/>
        <tr r="B15" s="72"/>
        <tr r="F15" s="72"/>
        <tr r="I57" s="71"/>
        <tr r="A8" s="38"/>
        <tr r="D25" s="71"/>
        <tr r="U7" s="71"/>
        <tr r="F19" s="104"/>
        <tr r="C14" s="72"/>
        <tr r="B23" s="76"/>
        <tr r="F29" s="76"/>
        <tr r="E17" s="76"/>
        <tr r="E44" s="104"/>
        <tr r="B55" s="75"/>
        <tr r="M57" s="71"/>
        <tr r="X41" s="71"/>
        <tr r="F46" s="104"/>
        <tr r="M48" s="84"/>
        <tr r="S7" s="71"/>
        <tr r="J24" s="71"/>
        <tr r="F9" s="76"/>
        <tr r="H16" s="104"/>
        <tr r="X24" s="71"/>
        <tr r="N22" s="71"/>
        <tr r="F44" s="72"/>
        <tr r="H44" s="84"/>
        <tr r="H44" s="84"/>
        <tr r="E24" s="72"/>
        <tr r="Y13" s="71"/>
        <tr r="V37" s="71"/>
        <tr r="G16" s="71"/>
        <tr r="M25" s="104"/>
        <tr r="F26" s="75"/>
        <tr r="K23" s="104"/>
        <tr r="S14" s="71"/>
        <tr r="V57" s="71"/>
        <tr r="H47" s="84"/>
        <tr r="H47" s="84"/>
        <tr r="AA16" s="71"/>
        <tr r="N59" s="84"/>
        <tr r="N59" s="84"/>
        <tr r="C45" s="71"/>
        <tr r="B10" s="72"/>
        <tr r="C79" s="72"/>
        <tr r="J16" s="104"/>
        <tr r="I34" s="71"/>
        <tr r="P46" s="84"/>
        <tr r="B19" s="104"/>
        <tr r="AB7" s="71"/>
        <tr r="G44" s="84"/>
        <tr r="G44" s="84"/>
        <tr r="B30" s="75"/>
        <tr r="F39" s="71"/>
        <tr r="V25" s="71"/>
        <tr r="L41" s="104"/>
        <tr r="F43" s="76"/>
        <tr r="J62" s="84"/>
        <tr r="J62" s="84"/>
        <tr r="J45" s="71"/>
        <tr r="C14" s="76"/>
        <tr r="N12" s="104"/>
        <tr r="K25" s="104"/>
        <tr r="T37" s="71"/>
        <tr r="M49" s="104"/>
        <tr r="K40" s="71"/>
        <tr r="J7" s="71"/>
        <tr r="F22" s="71"/>
        <tr r="S54" s="71"/>
        <tr r="I21" s="104"/>
        <tr r="Y53" s="71"/>
        <tr r="K28" s="104"/>
        <tr r="K38" s="104"/>
        <tr r="O59" s="84"/>
        <tr r="O59" s="84"/>
        <tr r="V19" s="71"/>
        <tr r="A13" s="104"/>
        <tr r="N14" s="71"/>
        <tr r="D39" s="104"/>
        <tr r="F16" s="72"/>
        <tr r="AB30" s="71"/>
        <tr r="T58" s="71"/>
        <tr r="D49" s="104"/>
        <tr r="X13" s="71"/>
        <tr r="M48" s="71"/>
        <tr r="B89" s="72"/>
        <tr r="J30" s="104"/>
        <tr r="H34" s="71"/>
        <tr r="C11" s="71"/>
        <tr r="J8" s="104"/>
        <tr r="N34" s="104"/>
        <tr r="E17" s="104"/>
        <tr r="D46" s="72"/>
        <tr r="AB10" s="71"/>
        <tr r="E35" s="104"/>
        <tr r="E26" s="104"/>
        <tr r="H22" s="71"/>
        <tr r="AC6" s="71"/>
        <tr r="AC43" s="71"/>
        <tr r="G23" s="104"/>
        <tr r="V11" s="71"/>
        <tr r="AC24" s="71"/>
        <tr r="E9" s="75"/>
        <tr r="AD34" s="71"/>
        <tr r="G47" s="104"/>
        <tr r="J34" s="104"/>
        <tr r="B14" s="50"/>
        <tr r="E32" s="72"/>
        <tr r="B22" s="72"/>
        <tr r="Z30" s="71"/>
        <tr r="AC39" s="71"/>
        <tr r="N20" s="104"/>
        <tr r="V58" s="71"/>
        <tr r="Q44" s="84"/>
        <tr r="Q44" s="84"/>
        <tr r="D47" s="104"/>
        <tr r="J7" s="84"/>
        <tr r="J7" s="84"/>
        <tr r="D8" s="104"/>
        <tr r="M11" s="71"/>
        <tr r="I40" s="104"/>
        <tr r="I51" s="104"/>
        <tr r="C42" s="72"/>
        <tr r="B11" s="50"/>
        <tr r="O14" s="84"/>
        <tr r="O14" s="84"/>
        <tr r="Q23" s="71"/>
        <tr r="B24" s="75"/>
        <tr r="D24" s="75"/>
        <tr r="B91" s="72"/>
        <tr r="E9" s="76"/>
        <tr r="A9" s="50"/>
        <tr r="A37" s="104"/>
        <tr r="U48" s="71"/>
        <tr r="B16" s="76"/>
        <tr r="E16" s="76"/>
        <tr r="L10" s="71"/>
        <tr r="J32" s="71"/>
        <tr r="AD11" s="71"/>
        <tr r="AD31" s="71"/>
        <tr r="B29" s="104"/>
        <tr r="L46" s="104"/>
        <tr r="E11" s="76"/>
        <tr r="H58" s="84"/>
        <tr r="H58" s="84"/>
        <tr r="F76" s="72"/>
        <tr r="D56" s="72"/>
        <tr r="Y39" s="71"/>
        <tr r="AB11" s="71"/>
        <tr r="AD56" s="71"/>
        <tr r="B63" s="72"/>
        <tr r="E51" s="72"/>
        <tr r="E33" s="71"/>
        <tr r="D27" s="104"/>
        <tr r="M49" s="84"/>
        <tr r="M49" s="84"/>
        <tr r="J14" s="71"/>
        <tr r="I12" s="104"/>
        <tr r="AD14" s="71"/>
        <tr r="F19" s="71"/>
        <tr r="C8" s="75"/>
        <tr r="J9" s="71"/>
        <tr r="U14" s="71"/>
        <tr r="K25" s="71"/>
        <tr r="N35" s="104"/>
        <tr r="AA20" s="71"/>
        <tr r="K48" s="71"/>
        <tr r="W39" s="71"/>
        <tr r="V20" s="71"/>
        <tr r="N14" s="104"/>
        <tr r="V47" s="71"/>
        <tr r="I11" s="71"/>
        <tr r="T12" s="71"/>
        <tr r="A4" s="85"/>
        <tr r="L58" s="84"/>
        <tr r="C48" s="75"/>
        <tr r="G29" s="71"/>
        <tr r="C13" s="72"/>
        <tr r="W43" s="71"/>
        <tr r="C11" s="76"/>
        <tr r="B27" s="71"/>
        <tr r="U27" s="71"/>
        <tr r="C56" s="71"/>
        <tr r="B23" s="104"/>
        <tr r="D61" s="75"/>
        <tr r="C46" s="84"/>
        <tr r="N33" s="104"/>
        <tr r="D46" s="104"/>
        <tr r="E44" s="71"/>
        <tr r="D20" s="75"/>
        <tr r="N58" s="71"/>
        <tr r="V17" s="71"/>
        <tr r="E28" s="75"/>
        <tr r="AC27" s="71"/>
        <tr r="D46" s="76"/>
        <tr r="T22" s="71"/>
        <tr r="K34" s="104"/>
        <tr r="Z41" s="71"/>
        <tr r="O30" s="84"/>
        <tr r="K20" s="71"/>
        <tr r="O46" s="71"/>
        <tr r="D9" s="71"/>
        <tr r="C85" s="72"/>
        <tr r="E13" s="71"/>
        <tr r="H28" s="84"/>
        <tr r="C62" s="84"/>
        <tr r="I38" s="104"/>
        <tr r="V36" s="71"/>
        <tr r="B37" s="72"/>
        <tr r="D55" s="76"/>
        <tr r="AD16" s="71"/>
        <tr r="L35" s="104"/>
        <tr r="Y33" s="71"/>
        <tr r="N51" s="104"/>
        <tr r="V31" s="71"/>
        <tr r="I37" s="71"/>
        <tr r="L37" s="71"/>
        <tr r="R39" s="71"/>
        <tr r="R44" s="71"/>
        <tr r="V22" s="71"/>
        <tr r="C83" s="72"/>
        <tr r="G47" s="84"/>
        <tr r="G47" s="84"/>
        <tr r="C16" s="76"/>
        <tr r="C56" s="72"/>
        <tr r="K32" s="71"/>
        <tr r="D59" s="84"/>
        <tr r="C15" s="84"/>
        <tr r="J13" s="84"/>
        <tr r="J13" s="84"/>
        <tr r="O39" s="71"/>
        <tr r="I26" s="104"/>
        <tr r="AD46" s="71"/>
        <tr r="W40" s="71"/>
        <tr r="O43" s="71"/>
        <tr r="F23" s="84"/>
        <tr r="F23" s="84"/>
        <tr r="R14" s="71"/>
        <tr r="T20" s="71"/>
        <tr r="F42" s="75"/>
        <tr r="F49" s="104"/>
        <tr r="B8" s="50"/>
        <tr r="AC40" s="71"/>
        <tr r="J16" s="84"/>
        <tr r="J16" s="84"/>
        <tr r="G57" s="71"/>
        <tr r="D18" s="84"/>
        <tr r="D18" s="84"/>
        <tr r="U39" s="71"/>
        <tr r="K27" s="71"/>
        <tr r="N8" s="71"/>
        <tr r="F51" s="104"/>
        <tr r="C66" s="72"/>
        <tr r="O10" s="84"/>
        <tr r="O10" s="84"/>
        <tr r="AA12" s="71"/>
        <tr r="O11" s="84"/>
        <tr r="O11" s="84"/>
        <tr r="D20" s="76"/>
        <tr r="AB48" s="71"/>
        <tr r="AB13" s="71"/>
        <tr r="M16" s="71"/>
        <tr r="M44" s="71"/>
        <tr r="J24" s="104"/>
        <tr r="J27" s="104"/>
        <tr r="AA33" s="71"/>
        <tr r="L23" s="71"/>
        <tr r="E46" s="104"/>
        <tr r="Y11" s="71"/>
        <tr r="AB25" s="71"/>
        <tr r="D26" s="75"/>
        <tr r="M24" s="104"/>
        <tr r="K42" s="71"/>
        <tr r="K27" s="104"/>
        <tr r="U52" s="71"/>
        <tr r="E12" s="71"/>
        <tr r="L7" s="104"/>
        <tr r="F20" s="104"/>
        <tr r="I52" s="104"/>
        <tr r="F21" s="104"/>
        <tr r="O7" s="84"/>
        <tr r="O7" s="84"/>
        <tr r="N37" s="104"/>
        <tr r="B44" s="104"/>
        <tr r="F11" s="76"/>
        <tr r="J58" s="71"/>
        <tr r="J20" s="84"/>
        <tr r="J20" s="84"/>
        <tr r="E6" s="85"/>
        <tr r="E6" s="85"/>
        <tr r="D24" s="71"/>
        <tr r="C25" s="75"/>
        <tr r="F84" s="72"/>
        <tr r="W41" s="71"/>
        <tr r="D20" s="71"/>
        <tr r="R43" s="71"/>
        <tr r="G39" s="71"/>
        <tr r="J35" s="71"/>
        <tr r="N34" s="71"/>
        <tr r="U19" s="71"/>
        <tr r="D33" s="71"/>
        <tr r="L45" s="104"/>
        <tr r="M24" s="84"/>
        <tr r="M24" s="84"/>
        <tr r="M27" s="104"/>
        <tr r="E16" s="104"/>
        <tr r="M7" s="71"/>
        <tr r="B28" s="104"/>
        <tr r="C40" s="76"/>
        <tr r="H9" s="104"/>
        <tr r="D23" s="71"/>
        <tr r="M14" s="104"/>
        <tr r="J18" s="84"/>
        <tr r="J18" s="84"/>
        <tr r="X14" s="71"/>
        <tr r="J32" s="104"/>
        <tr r="AD13" s="71"/>
        <tr r="W46" s="71"/>
        <tr r="L32" s="71"/>
        <tr r="C15" s="72"/>
        <tr r="C90" s="72"/>
        <tr r="K45" s="104"/>
        <tr r="M59" s="84"/>
        <tr r="M59" s="84"/>
        <tr r="H39" s="104"/>
        <tr r="M36" s="71"/>
        <tr r="AD27" s="71"/>
        <tr r="K49" s="84"/>
        <tr r="K49" s="84"/>
        <tr r="F37" s="104"/>
        <tr r="G6" s="85"/>
        <tr r="G6" s="85"/>
        <tr r="C86" s="72"/>
        <tr r="F8" s="85"/>
        <tr r="F8" s="85"/>
        <tr r="E37" s="72"/>
        <tr r="H21" s="104"/>
        <tr r="D29" s="71"/>
        <tr r="F15" s="84"/>
        <tr r="F15" s="84"/>
        <tr r="C41" s="75"/>
        <tr r="C12" s="76"/>
        <tr r="E11" s="104"/>
        <tr r="E41" s="104"/>
        <tr r="E51" s="104"/>
        <tr r="AC53" s="71"/>
        <tr r="Z48" s="71"/>
        <tr r="D18" s="75"/>
        <tr r="H11" s="104"/>
        <tr r="G49" s="104"/>
        <tr r="C24" s="75"/>
        <tr r="K62" s="84"/>
        <tr r="K62" s="84"/>
        <tr r="Y28" s="71"/>
        <tr r="D13" s="71"/>
        <tr r="Z22" s="71"/>
        <tr r="I24" s="104"/>
        <tr r="J52" s="71"/>
        <tr r="C16" s="84"/>
        <tr r="M10" s="84"/>
        <tr r="M10" s="84"/>
        <tr r="L31" s="84"/>
        <tr r="C111" s="72"/>
        <tr r="C24" s="72"/>
        <tr r="K37" s="71"/>
        <tr r="F28" s="76"/>
        <tr r="H6" s="84"/>
        <tr r="H6" s="84"/>
        <tr r="AB17" s="71"/>
        <tr r="K11" s="104"/>
        <tr r="S36" s="71"/>
        <tr r="H44" s="71"/>
        <tr r="I41" s="71"/>
        <tr r="G12" s="104"/>
        <tr r="L25" s="71"/>
        <tr r="L23" s="104"/>
        <tr r="V30" s="71"/>
        <tr r="Y17" s="71"/>
        <tr r="AD25" s="71"/>
        <tr r="C45" s="75"/>
        <tr r="O15" s="84"/>
        <tr r="O15" s="84"/>
        <tr r="Y27" s="71"/>
        <tr r="D22" s="84"/>
        <tr r="D22" s="84"/>
        <tr r="D64" s="76"/>
        <tr r="I6" s="85"/>
        <tr r="I6" s="85"/>
        <tr r="M31" s="71"/>
        <tr r="X16" s="71"/>
        <tr r="L29" s="84"/>
        <tr r="G45" s="104"/>
        <tr r="C28" s="76"/>
        <tr r="A19" s="52"/>
        <tr r="D10" s="75"/>
        <tr r="B77" s="72"/>
        <tr r="D61" s="84"/>
        <tr r="D62" s="72"/>
        <tr r="O58" s="84"/>
        <tr r="O58" s="84"/>
        <tr r="H15" s="71"/>
        <tr r="A15" s="104"/>
        <tr r="L36" s="104"/>
        <tr r="M37" s="71"/>
        <tr r="F56" s="76"/>
        <tr r="B38" s="71"/>
        <tr r="F16" s="104"/>
        <tr r="E44" s="72"/>
        <tr r="H42" s="104"/>
        <tr r="H9" s="71"/>
        <tr r="U17" s="71"/>
        <tr r="D18" s="72"/>
        <tr r="K45" s="71"/>
        <tr r="X21" s="71"/>
        <tr r="Y19" s="71"/>
        <tr r="B14" s="75"/>
        <tr r="J37" s="71"/>
        <tr r="C44" s="71"/>
        <tr r="H56" s="71"/>
        <tr r="E9" s="71"/>
        <tr r="D24" s="76"/>
        <tr r="P62" s="84"/>
        <tr r="P62" s="84"/>
        <tr r="E16" s="72"/>
        <tr r="O47" s="71"/>
        <tr r="C72" s="72"/>
        <tr r="D65" s="72"/>
        <tr r="C47" s="71"/>
        <tr r="D95" s="72"/>
        <tr r="F58" s="75"/>
        <tr r="G52" s="104"/>
        <tr r="I44" s="104"/>
        <tr r="AB53" s="71"/>
        <tr r="F53" s="104"/>
        <tr r="I23" s="71"/>
        <tr r="Z57" s="71"/>
        <tr r="B21" s="72"/>
        <tr r="D12" s="104"/>
        <tr r="AB56" s="71"/>
        <tr r="J47" s="84"/>
        <tr r="J47" s="84"/>
        <tr r="AD30" s="71"/>
        <tr r="L15" s="104"/>
        <tr r="D14" s="71"/>
        <tr r="K58" s="71"/>
        <tr r="D12" s="76"/>
        <tr r="F89" s="72"/>
        <tr r="Y14" s="71"/>
        <tr r="D30" s="84"/>
        <tr r="D56" s="71"/>
        <tr r="C41" s="71"/>
        <tr r="I49" s="104"/>
        <tr r="L34" s="104"/>
        <tr r="D80" s="72"/>
        <tr r="D8" s="71"/>
        <tr r="F43" s="71"/>
        <tr r="C18" s="104"/>
        <tr r="F20" s="84"/>
        <tr r="F20" s="84"/>
        <tr r="N25" s="71"/>
        <tr r="C45" s="72"/>
        <tr r="C21" s="71"/>
        <tr r="C65" s="72"/>
        <tr r="K32" s="104"/>
        <tr r="N63" s="84"/>
        <tr r="N17" s="71"/>
        <tr r="S17" s="71"/>
        <tr r="I16" s="71"/>
        <tr r="E16" s="75"/>
        <tr r="B49" s="71"/>
        <tr r="W22" s="71"/>
        <tr r="F39" s="104"/>
        <tr r="R21" s="71"/>
        <tr r="L49" s="84"/>
        <tr r="M19" s="104"/>
        <tr r="H34" s="104"/>
        <tr r="E50" s="104"/>
        <tr r="G33" s="71"/>
        <tr r="D37" s="71"/>
        <tr r="C22" s="72"/>
        <tr r="I40" s="71"/>
        <tr r="Z47" s="71"/>
        <tr r="F64" s="76"/>
        <tr r="S58" s="71"/>
        <tr r="X45" s="71"/>
        <tr r="Q18" s="84"/>
        <tr r="Q18" s="84"/>
        <tr r="Q45" s="84"/>
        <tr r="Q45" s="84"/>
        <tr r="J31" s="84"/>
        <tr r="L35" s="71"/>
        <tr r="M23" s="104"/>
        <tr r="D83" s="72"/>
        <tr r="S22" s="71"/>
        <tr r="F8" s="84"/>
        <tr r="F8" s="84"/>
        <tr r="C67" s="72"/>
        <tr r="P17" s="84"/>
        <tr r="P17" s="84"/>
        <tr r="F66" s="72"/>
        <tr r="H13" s="84"/>
        <tr r="H13" s="84"/>
        <tr r="E31" s="71"/>
        <tr r="C40" s="72"/>
        <tr r="N21" s="84"/>
        <tr r="N21" s="84"/>
        <tr r="B8" s="104"/>
        <tr r="A16" s="52"/>
        <tr r="C15" s="75"/>
        <tr r="D51" s="76"/>
        <tr r="AC29" s="71"/>
        <tr r="G62" s="84"/>
        <tr r="C46" s="104"/>
        <tr r="E36" s="104"/>
        <tr r="H7" s="71"/>
        <tr r="N22" s="84"/>
        <tr r="N22" s="84"/>
        <tr r="C39" s="71"/>
        <tr r="K57" s="71"/>
        <tr r="D16" s="71"/>
        <tr r="D108" s="72"/>
        <tr r="H32" s="104"/>
        <tr r="Z31" s="71"/>
        <tr r="H31" s="84"/>
        <tr r="I38" s="71"/>
        <tr r="M46" s="84"/>
        <tr r="Q28" s="84"/>
        <tr r="D14" s="76"/>
        <tr r="Q49" s="84"/>
        <tr r="Q49" s="84"/>
        <tr r="F54" s="72"/>
        <tr r="C6" s="85"/>
        <tr r="N13" s="104"/>
        <tr r="X37" s="71"/>
        <tr r="O49" s="84"/>
        <tr r="O49" s="84"/>
        <tr r="I47" s="104"/>
        <tr r="O25" s="71"/>
        <tr r="C19" s="72"/>
        <tr r="D47" s="71"/>
        <tr r="AC22" s="71"/>
        <tr r="O6" s="85"/>
        <tr r="O6" s="85"/>
        <tr r="J11" s="71"/>
        <tr r="N18" s="104"/>
        <tr r="D31" s="72"/>
        <tr r="C10" s="76"/>
        <tr r="D102" s="72"/>
        <tr r="X12" s="71"/>
        <tr r="D44" s="76"/>
        <tr r="P24" s="84"/>
        <tr r="P24" s="84"/>
        <tr r="R20" s="71"/>
        <tr r="F46" s="72"/>
        <tr r="D98" s="72"/>
        <tr r="W23" s="71"/>
        <tr r="T32" s="71"/>
        <tr r="N30" s="71"/>
        <tr r="H46" s="71"/>
        <tr r="F27" s="76"/>
        <tr r="M46" s="104"/>
        <tr r="E50" s="72"/>
        <tr r="F93" s="72"/>
        <tr r="O44" s="84"/>
        <tr r="O44" s="84"/>
        <tr r="X54" s="71"/>
        <tr r="F68" s="72"/>
        <tr r="Z35" s="71"/>
        <tr r="A21" s="47"/>
        <tr r="A38" s="52"/>
        <tr r="B17" s="75"/>
        <tr r="M19" s="71"/>
        <tr r="F34" s="71"/>
        <tr r="L46" s="71"/>
        <tr r="X34" s="71"/>
        <tr r="D51" s="104"/>
        <tr r="C53" s="75"/>
        <tr r="S42" s="71"/>
        <tr r="F83" s="72"/>
        <tr r="G44" s="104"/>
        <tr r="AA45" s="71"/>
        <tr r="K34" s="71"/>
        <tr r="S48" s="71"/>
        <tr r="G14" s="104"/>
        <tr r="O28" s="71"/>
        <tr r="AA19" s="71"/>
        <tr r="F18" s="84"/>
        <tr r="F18" s="84"/>
        <tr r="C14" s="75"/>
        <tr r="K46" s="104"/>
        <tr r="E20" s="72"/>
        <tr r="M10" s="104"/>
        <tr r="E20" s="104"/>
        <tr r="N23" s="71"/>
        <tr r="R52" s="71"/>
        <tr r="C30" s="71"/>
        <tr r="R31" s="71"/>
        <tr r="C10" s="75"/>
        <tr r="H20" s="104"/>
        <tr r="S44" s="71"/>
        <tr r="R56" s="71"/>
        <tr r="U44" s="71"/>
        <tr r="I29" s="84"/>
        <tr r="F72" s="72"/>
        <tr r="H53" s="104"/>
        <tr r="D56" s="76"/>
        <tr r="I16" s="84"/>
        <tr r="I16" s="84"/>
        <tr r="F42" s="104"/>
        <tr r="M28" s="71"/>
        <tr r="G61" s="84"/>
        <tr r="W24" s="71"/>
        <tr r="D8" s="85"/>
        <tr r="D8" s="85"/>
        <tr r="D42" s="71"/>
        <tr r="AC14" s="71"/>
        <tr r="G22" s="104"/>
        <tr r="H22" s="104"/>
        <tr r="R22" s="71"/>
        <tr r="L47" s="71"/>
        <tr r="K28" s="84"/>
        <tr r="J23" s="71"/>
        <tr r="W19" s="71"/>
        <tr r="P13" s="84"/>
        <tr r="P13" s="84"/>
        <tr r="D87" s="72"/>
        <tr r="D13" s="104"/>
        <tr r="N60" s="84"/>
        <tr r="N60" s="84"/>
        <tr r="D35" s="72"/>
        <tr r="E18" s="72"/>
        <tr r="D56" s="75"/>
        <tr r="W57" s="71"/>
        <tr r="K43" s="71"/>
        <tr r="P31" s="84"/>
        <tr r="F51" s="75"/>
        <tr r="C20" s="84"/>
        <tr r="H20" s="71"/>
        <tr r="H21" s="71"/>
        <tr r="J15" s="104"/>
        <tr r="O56" s="71"/>
        <tr r="E32" s="104"/>
        <tr r="E38" s="104"/>
        <tr r="H44" s="104"/>
        <tr r="K36" s="71"/>
        <tr r="F52" s="71"/>
        <tr r="H20" s="84"/>
        <tr r="H20" s="84"/>
        <tr r="H27" s="104"/>
        <tr r="F14" s="71"/>
        <tr r="F17" s="72"/>
        <tr r="N39" s="104"/>
        <tr r="D24" s="104"/>
        <tr r="Z56" s="71"/>
        <tr r="F112" s="72"/>
        <tr r="F8" s="71"/>
        <tr r="N7" s="71"/>
        <tr r="Q58" s="84"/>
        <tr r="Q58" s="84"/>
        <tr r="Y47" s="71"/>
        <tr r="V29" s="71"/>
        <tr r="F27" s="84"/>
        <tr r="F27" s="84"/>
        <tr r="L15" s="84"/>
        <tr r="F9" s="84"/>
        <tr r="F9" s="84"/>
        <tr r="T49" s="71"/>
        <tr r="E19" s="76"/>
        <tr r="M17" s="71"/>
        <tr r="H45" s="84"/>
        <tr r="H45" s="84"/>
        <tr r="H49" s="71"/>
        <tr r="O23" s="84"/>
        <tr r="O23" s="84"/>
        <tr r="L22" s="104"/>
        <tr r="J30" s="84"/>
        <tr r="N20" s="71"/>
        <tr r="E23" s="71"/>
        <tr r="G38" s="104"/>
        <tr r="L16" s="104"/>
        <tr r="F39" s="72"/>
        <tr r="C25" s="104"/>
        <tr r="X19" s="71"/>
        <tr r="S13" s="71"/>
        <tr r="E58" s="71"/>
        <tr r="Y24" s="71"/>
        <tr r="J19" s="84"/>
        <tr r="J19" s="84"/>
        <tr r="R47" s="71"/>
        <tr r="C12" s="72"/>
        <tr r="J8" s="84"/>
        <tr r="J8" s="84"/>
        <tr r="S27" s="71"/>
        <tr r="X35" s="71"/>
        <tr r="N44" s="71"/>
        <tr r="J25" s="104"/>
        <tr r="AA25" s="71"/>
        <tr r="C63" s="72"/>
        <tr r="D28" s="104"/>
        <tr r="F29" s="104"/>
        <tr r="K46" s="84"/>
        <tr r="AC31" s="71"/>
        <tr r="I43" s="104"/>
        <tr r="D58" s="71"/>
        <tr r="F43" s="104"/>
        <tr r="O46" s="84"/>
        <tr r="N7" s="104"/>
        <tr r="L11" s="84"/>
        <tr r="AA37" s="71"/>
        <tr r="J31" s="71"/>
        <tr r="G30" s="104"/>
        <tr r="E8" s="85"/>
        <tr r="E8" s="85"/>
        <tr r="AB29" s="71"/>
        <tr r="K21" s="71"/>
        <tr r="I56" s="71"/>
        <tr r="W27" s="71"/>
        <tr r="G46" s="84"/>
        <tr r="F35" s="72"/>
        <tr r="M25" s="71"/>
        <tr r="G15" s="84"/>
        <tr r="G15" s="84"/>
        <tr r="C16" s="71"/>
        <tr r="N16" s="84"/>
        <tr r="N16" s="84"/>
        <tr r="AA52" s="71"/>
        <tr r="D29" s="76"/>
        <tr r="K13" s="104"/>
        <tr r="C34" s="72"/>
        <tr r="D43" s="72"/>
        <tr r="AD17" s="71"/>
        <tr r="O61" s="84"/>
        <tr r="E12" s="75"/>
        <tr r="K33" s="104"/>
        <tr r="G11" s="84"/>
        <tr r="G11" s="84"/>
        <tr r="F25" s="104"/>
        <tr r="M50" s="104"/>
        <tr r="B38" s="104"/>
        <tr r="D31" s="84"/>
        <tr r="O21" s="71"/>
        <tr r="I10" s="71"/>
        <tr r="F49" s="84"/>
        <tr r="F49" s="84"/>
        <tr r="I9" s="104"/>
        <tr r="D28" s="75"/>
        <tr r="I43" s="71"/>
        <tr r="AC48" s="71"/>
        <tr r="D13" s="76"/>
        <tr r="I13" s="71"/>
        <tr r="Q20" s="84"/>
        <tr r="Q20" s="84"/>
        <tr r="J8" s="85"/>
        <tr r="J8" s="85"/>
        <tr r="I14" s="71"/>
        <tr r="H31" s="71"/>
        <tr r="U41" s="71"/>
        <tr r="AA30" s="71"/>
        <tr r="C37" s="72"/>
        <tr r="E45" s="72"/>
        <tr r="E43" s="104"/>
        <tr r="H23" s="104"/>
        <tr r="F77" s="72"/>
        <tr r="D29" s="75"/>
        <tr r="I27" s="71"/>
        <tr r="N38" s="104"/>
        <tr r="AA27" s="71"/>
        <tr r="T23" s="71"/>
        <tr r="C44" s="76"/>
        <tr r="L53" s="104"/>
        <tr r="F8" s="72"/>
        <tr r="J33" s="104"/>
        <tr r="D76" s="72"/>
        <tr r="L11" s="104"/>
        <tr r="Z49" s="71"/>
        <tr r="R28" s="71"/>
        <tr r="L24" s="104"/>
        <tr r="C61" s="75"/>
        <tr r="R16" s="71"/>
        <tr r="K9" s="71"/>
        <tr r="V56" s="71"/>
        <tr r="F13" s="84"/>
        <tr r="F13" s="84"/>
        <tr r="E35" s="72"/>
        <tr r="M11" s="84"/>
        <tr r="M11" s="84"/>
        <tr r="G35" s="71"/>
        <tr r="D93" s="72"/>
        <tr r="E39" s="71"/>
        <tr r="C30" s="76"/>
        <tr r="K51" s="104"/>
        <tr r="C18" s="84"/>
        <tr r="I35" s="104"/>
        <tr r="S24" s="71"/>
        <tr r="Z58" s="71"/>
        <tr r="AB19" s="71"/>
        <tr r="L59" s="84"/>
        <tr r="Q29" s="84"/>
        <tr r="C93" s="72"/>
        <tr r="G8" s="104"/>
        <tr r="M26" s="104"/>
        <tr r="F17" s="71"/>
        <tr r="M13" s="84"/>
        <tr r="M13" s="84"/>
        <tr r="C29" s="75"/>
        <tr r="C51" s="76"/>
        <tr r="E14" s="71"/>
        <tr r="N12" s="71"/>
        <tr r="E13" s="72"/>
        <tr r="J7" s="85"/>
        <tr r="K19" s="104"/>
        <tr r="W28" s="71"/>
        <tr r="AA23" s="71"/>
        <tr r="Y31" s="71"/>
        <tr r="M21" s="104"/>
        <tr r="C18" s="72"/>
        <tr r="Y35" s="71"/>
        <tr r="Y8" s="71"/>
        <tr r="L8" s="104"/>
        <tr r="X56" s="71"/>
        <tr r="Z43" s="71"/>
        <tr r="D40" s="72"/>
        <tr r="L60" s="84"/>
        <tr r="N23" s="104"/>
        <tr r="I27" s="84"/>
        <tr r="I27" s="84"/>
        <tr r="W8" s="71"/>
        <tr r="T30" s="71"/>
        <tr r="Y9" s="71"/>
        <tr r="C101" s="72"/>
        <tr r="Q60" s="84"/>
        <tr r="Q60" s="84"/>
        <tr r="F7" s="71"/>
        <tr r="C69" s="72"/>
        <tr r="C61" s="84"/>
        <tr r="D27" s="71"/>
        <tr r="E24" s="75"/>
        <tr r="D54" s="76"/>
        <tr r="T36" s="71"/>
        <tr r="B39" s="104"/>
        <tr r="AB34" s="71"/>
        <tr r="F45" s="72"/>
        <tr r="C29" s="84"/>
        <tr r="T25" s="71"/>
        <tr r="O12" s="84"/>
        <tr r="O12" s="84"/>
        <tr r="AD48" s="71"/>
        <tr r="F7" s="84"/>
        <tr r="F7" s="84"/>
        <tr r="G53" s="71"/>
        <tr r="G63" s="84"/>
        <tr r="F29" s="71"/>
        <tr r="J19" s="71"/>
        <tr r="G12" s="71"/>
        <tr r="C23" s="71"/>
        <tr r="I22" s="84"/>
        <tr r="I22" s="84"/>
        <tr r="K19" s="84"/>
        <tr r="K19" s="84"/>
        <tr r="C54" s="72"/>
        <tr r="D75" s="72"/>
        <tr r="G26" s="104"/>
        <tr r="S49" s="71"/>
        <tr r="O40" s="71"/>
        <tr r="K6" s="84"/>
        <tr r="K6" s="84"/>
        <tr r="M25" s="84"/>
        <tr r="M25" s="84"/>
        <tr r="F24" s="104"/>
        <tr r="M38" s="104"/>
        <tr r="F94" s="72"/>
        <tr r="H63" s="84"/>
        <tr r="H35" s="104"/>
        <tr r="E24" s="76"/>
        <tr r="F15" s="104"/>
        <tr r="L18" s="104"/>
        <tr r="N11" s="104"/>
        <tr r="W30" s="71"/>
        <tr r="O30" s="71"/>
        <tr r="D31" s="71"/>
        <tr r="T13" s="71"/>
        <tr r="N26" s="84"/>
        <tr r="N26" s="84"/>
        <tr r="K17" s="71"/>
        <tr r="F46" s="75"/>
        <tr r="I28" s="71"/>
        <tr r="K39" s="104"/>
        <tr r="F13" s="72"/>
        <tr r="P19" s="84"/>
        <tr r="P19" s="84"/>
        <tr r="V16" s="71"/>
        <tr r="O18" s="84"/>
        <tr r="O18" s="84"/>
        <tr r="E7" s="72"/>
        <tr r="U40" s="71"/>
        <tr r="H13" s="71"/>
        <tr r="G7" s="84"/>
        <tr r="G7" s="84"/>
        <tr r="R53" s="71"/>
        <tr r="N15" s="84"/>
        <tr r="N15" s="84"/>
        <tr r="D37" s="72"/>
        <tr r="O17" s="84"/>
        <tr r="O17" s="84"/>
        <tr r="J29" s="84"/>
        <tr r="D20" s="72"/>
        <tr r="I46" s="104"/>
        <tr r="F73" s="72"/>
        <tr r="F12" s="104"/>
        <tr r="I17" s="104"/>
        <tr r="J10" s="84"/>
        <tr r="J10" s="84"/>
        <tr r="E57" s="71"/>
        <tr r="K40" s="104"/>
        <tr r="C30" s="104"/>
        <tr r="V14" s="71"/>
        <tr r="N9" s="104"/>
        <tr r="F30" s="71"/>
        <tr r="I25" s="104"/>
        <tr r="K58" s="84"/>
        <tr r="K58" s="84"/>
        <tr r="C112" s="72"/>
        <tr r="AA34" s="71"/>
        <tr r="J15" s="71"/>
        <tr r="J21" s="71"/>
        <tr r="R37" s="71"/>
        <tr r="X22" s="71"/>
        <tr r="AC38" s="71"/>
        <tr r="D7" s="85"/>
        <tr r="AC25" s="71"/>
        <tr r="C6" s="84"/>
        <tr r="M31" s="84"/>
        <tr r="F10" s="84"/>
        <tr r="F10" s="84"/>
        <tr r="J14" s="84"/>
        <tr r="J14" s="84"/>
        <tr r="I7" s="84"/>
        <tr r="I7" s="84"/>
        <tr r="L24" s="84"/>
        <tr r="B74" s="72"/>
        <tr r="F74" s="72"/>
        <tr r="F51" s="72"/>
        <tr r="A43" s="52"/>
        <tr r="Q25" s="71"/>
        <tr r="AD37" s="71"/>
        <tr r="T19" s="71"/>
        <tr r="G8" s="71"/>
        <tr r="F8" s="75"/>
        <tr r="U32" s="71"/>
        <tr r="C8" s="71"/>
        <tr r="F42" s="71"/>
        <tr r="B47" s="104"/>
        <tr r="B12" s="104"/>
        <tr r="G44" s="71"/>
        <tr r="D23" s="76"/>
        <tr r="I22" s="71"/>
        <tr r="D70" s="72"/>
        <tr r="M8" s="104"/>
        <tr r="G19" s="84"/>
        <tr r="G19" s="84"/>
        <tr r="E56" s="71"/>
        <tr r="H33" s="71"/>
        <tr r="F56" s="71"/>
        <tr r="E29" s="104"/>
        <tr r="N45" s="104"/>
        <tr r="K31" s="104"/>
        <tr r="J22" s="71"/>
        <tr r="A48" s="104"/>
        <tr r="U36" s="71"/>
        <tr r="J57" s="71"/>
        <tr r="G34" s="104"/>
        <tr r="O14" s="71"/>
        <tr r="AC16" s="71"/>
        <tr r="D21" s="104"/>
        <tr r="L21" s="71"/>
        <tr r="F50" s="104"/>
        <tr r="G43" s="104"/>
        <tr r="K35" s="71"/>
        <tr r="D48" s="76"/>
        <tr r="O13" s="71"/>
        <tr r="G50" s="104"/>
        <tr r="D13" s="84"/>
        <tr r="D13" s="84"/>
        <tr r="AD58" s="71"/>
        <tr r="K31" s="71"/>
        <tr r="AB16" s="71"/>
        <tr r="F43" s="75"/>
        <tr r="D6" s="84"/>
        <tr r="D6" s="84"/>
        <tr r="E46" s="72"/>
        <tr r="K11" s="84"/>
        <tr r="K11" s="84"/>
        <tr r="C32" s="71"/>
        <tr r="F13" s="76"/>
        <tr r="A15" s="50"/>
        <tr r="N21" s="71"/>
        <tr r="O9" s="84"/>
        <tr r="O9" s="84"/>
        <tr r="AB12" s="71"/>
        <tr r="G14" s="84"/>
        <tr r="G14" s="84"/>
        <tr r="M20" s="104"/>
        <tr r="D50" s="72"/>
        <tr r="H14" s="84"/>
        <tr r="H14" s="84"/>
        <tr r="AD44" s="71"/>
        <tr r="D10" s="76"/>
        <tr r="G40" s="71"/>
        <tr r="I53" s="104"/>
        <tr r="F71" s="72"/>
        <tr r="D41" s="71"/>
        <tr r="B32" s="104"/>
        <tr r="E45" s="104"/>
        <tr r="E17" s="71"/>
        <tr r="L42" s="71"/>
        <tr r="J10" s="104"/>
        <tr r="C64" s="72"/>
        <tr r="W17" s="71"/>
        <tr r="D46" s="84"/>
        <tr r="F29" s="75"/>
        <tr r="C44" s="75"/>
        <tr r="G25" s="104"/>
        <tr r="D29" s="84"/>
        <tr r="C53" s="71"/>
        <tr r="AB20" s="71"/>
        <tr r="D12" s="72"/>
        <tr r="G41" s="71"/>
        <tr r="K22" s="104"/>
        <tr r="L20" s="104"/>
        <tr r="D112" s="72"/>
        <tr r="C7" s="84"/>
        <tr r="B43" s="84"/>
        <tr r="H43" s="84"/>
        <tr r="H43" s="84"/>
        <tr r="V46" s="71"/>
        <tr r="N7" s="84"/>
        <tr r="N7" s="84"/>
        <tr r="M47" s="104"/>
        <tr r="G42" s="71"/>
        <tr r="AD36" s="71"/>
        <tr r="J15" s="84"/>
        <tr r="J15" s="84"/>
        <tr r="H11" s="84"/>
        <tr r="H11" s="84"/>
        <tr r="Z11" s="71"/>
        <tr r="F24" s="84"/>
        <tr r="F24" s="84"/>
        <tr r="F31" s="72"/>
        <tr r="U9" s="71"/>
        <tr r="G13" s="104"/>
        <tr r="F20" s="72"/>
        <tr r="Z9" s="71"/>
        <tr r="E14" s="104"/>
        <tr r="F9" s="104"/>
        <tr r="J45" s="104"/>
        <tr r="Z40" s="71"/>
        <tr r="C50" s="72"/>
        <tr r="F103" s="72"/>
        <tr r="R57" s="71"/>
        <tr r="M10" s="85"/>
        <tr r="M10" s="85"/>
        <tr r="L43" s="71"/>
        <tr r="L47" s="104"/>
        <tr r="F29" s="72"/>
        <tr r="K43" s="104"/>
        <tr r="D45" s="72"/>
        <tr r="U57" s="71"/>
        <tr r="F9" s="72"/>
        <tr r="AD23" s="71"/>
        <tr r="F46" s="71"/>
        <tr r="L26" s="104"/>
        <tr r="C23" s="75"/>
        <tr r="Y45" s="71"/>
        <tr r="G38" s="71"/>
        <tr r="F29" s="84"/>
        <tr r="R54" s="71"/>
        <tr r="M12" s="71"/>
        <tr r="AC52" s="71"/>
        <tr r="F78" s="72"/>
        <tr r="N13" s="84"/>
        <tr r="N13" s="84"/>
        <tr r="K54" s="71"/>
        <tr r="M14" s="84"/>
        <tr r="M14" s="84"/>
        <tr r="T27" s="71"/>
        <tr r="O58" s="71"/>
        <tr r="C21" s="104"/>
        <tr r="D6" s="85"/>
        <tr r="D6" s="85"/>
        <tr r="AB49" s="71"/>
        <tr r="C10" s="71"/>
        <tr r="F80" s="72"/>
        <tr r="C7" s="72"/>
        <tr r="N41" s="71"/>
        <tr r="D10" s="84"/>
        <tr r="D10" s="84"/>
        <tr r="C13" s="84"/>
        <tr r="J43" s="104"/>
        <tr r="D43" s="84"/>
        <tr r="D43" s="84"/>
        <tr r="R7" s="71"/>
        <tr r="F100" s="72"/>
        <tr r="O10" s="85"/>
        <tr r="O10" s="85"/>
        <tr r="C39" s="72"/>
        <tr r="M58" s="71"/>
        <tr r="D48" s="75"/>
        <tr r="L45" s="71"/>
        <tr r="E37" s="71"/>
        <tr r="V45" s="71"/>
        <tr r="H47" s="71"/>
        <tr r="D45" s="84"/>
        <tr r="D45" s="84"/>
        <tr r="C63" s="75"/>
        <tr r="F69" s="72"/>
        <tr r="Z7" s="71"/>
        <tr r="E12" s="72"/>
        <tr r="O36" s="71"/>
        <tr r="AA35" s="71"/>
        <tr r="D43" s="76"/>
        <tr r="Z53" s="71"/>
        <tr r="E9" s="104"/>
        <tr r="M6" s="84"/>
        <tr r="M6" s="84"/>
        <tr r="J6" s="84"/>
        <tr r="J6" s="84"/>
        <tr r="E30" s="75"/>
        <tr r="O6" s="84"/>
        <tr r="O6" s="84"/>
        <tr r="M27" s="71"/>
        <tr r="AC44" s="71"/>
        <tr r="D34" s="104"/>
        <tr r="B25" s="72"/>
        <tr r="C58" s="84"/>
        <tr r="D39" s="71"/>
        <tr r="F16" s="71"/>
        <tr r="O37" s="71"/>
        <tr r="Q8" s="84"/>
        <tr r="Q8" s="84"/>
        <tr r="F27" s="71"/>
        <tr r="T45" s="71"/>
        <tr r="G8" s="84"/>
        <tr r="G8" s="84"/>
        <tr r="E25" s="75"/>
        <tr r="R33" s="71"/>
        <tr r="F25" s="75"/>
        <tr r="AB54" s="71"/>
        <tr r="M15" s="104"/>
        <tr r="D25" s="84"/>
        <tr r="D25" s="84"/>
        <tr r="L48" s="104"/>
        <tr r="P21" s="84"/>
        <tr r="P21" s="84"/>
        <tr r="J49" s="71"/>
        <tr r="M22" s="104"/>
        <tr r="F30" s="84"/>
        <tr r="O57" s="71"/>
        <tr r="I20" s="84"/>
        <tr r="I20" s="84"/>
        <tr r="D47" s="75"/>
        <tr r="J50" s="104"/>
        <tr r="X47" s="71"/>
        <tr r="E8" s="71"/>
        <tr r="G33" s="104"/>
        <tr r="H25" s="104"/>
        <tr r="T8" s="71"/>
        <tr r="K11" s="71"/>
        <tr r="F17" s="76"/>
        <tr r="O38" s="71"/>
        <tr r="H52" s="104"/>
        <tr r="H12" s="84"/>
        <tr r="H12" s="84"/>
        <tr r="M11" s="104"/>
        <tr r="C22" s="104"/>
        <tr r="H28" s="104"/>
        <tr r="Q59" s="84"/>
        <tr r="Q59" s="84"/>
        <tr r="E47" s="71"/>
        <tr r="D16" s="72"/>
        <tr r="F47" s="71"/>
        <tr r="M40" s="71"/>
        <tr r="C13" s="104"/>
        <tr r="I46" s="71"/>
        <tr r="S31" s="71"/>
        <tr r="D58" s="76"/>
        <tr r="AC17" s="71"/>
        <tr r="E38" s="71"/>
        <tr r="O52" s="71"/>
        <tr r="B33" s="104"/>
        <tr r="G25" s="71"/>
        <tr r="D30" s="75"/>
        <tr r="C45" s="76"/>
        <tr r="H19" s="84"/>
        <tr r="H19" s="84"/>
        <tr r="H50" s="104"/>
        <tr r="M40" s="104"/>
        <tr r="S57" s="71"/>
        <tr r="D38" s="104"/>
        <tr r="K9" s="104"/>
        <tr r="F16" s="84"/>
        <tr r="F16" s="84"/>
        <tr r="D91" s="72"/>
        <tr r="D35" s="104"/>
        <tr r="U28" s="71"/>
        <tr r="H10" s="71"/>
        <tr r="F44" s="76"/>
        <tr r="X58" s="71"/>
        <tr r="T42" s="71"/>
        <tr r="B9" s="50"/>
        <tr r="F17" s="104"/>
        <tr r="C12" s="84"/>
        <tr r="L25" s="104"/>
        <tr r="F11" s="71"/>
        <tr r="Z16" s="71"/>
        <tr r="C57" s="75"/>
        <tr r="F15" s="71"/>
        <tr r="E52" s="71"/>
        <tr r="F81" s="72"/>
        <tr r="E17" s="75"/>
        <tr r="D39" s="72"/>
        <tr r="E29" s="72"/>
        <tr r="Q26" s="84"/>
        <tr r="Q26" s="84"/>
        <tr r="Y41" s="71"/>
        <tr r="N40" s="104"/>
        <tr r="O8" s="71"/>
        <tr r="A24" s="47"/>
        <tr r="Z46" s="71"/>
        <tr r="J8" s="71"/>
        <tr r="K22" s="71"/>
        <tr r="F38" s="104"/>
        <tr r="J10" s="71"/>
        <tr r="V52" s="71"/>
        <tr r="C94" s="72"/>
        <tr r="U35" s="71"/>
        <tr r="AA36" s="71"/>
        <tr r="V44" s="71"/>
        <tr r="O31" s="71"/>
        <tr r="W21" s="71"/>
        <tr r="M32" s="71"/>
        <tr r="F7" s="85"/>
        <tr r="L33" s="104"/>
        <tr r="AD15" s="71"/>
        <tr r="X42" s="71"/>
        <tr r="E15" s="72"/>
        <tr r="G21" s="71"/>
        <tr r="U54" s="71"/>
        <tr r="B11" s="75"/>
        <tr r="C9" s="71"/>
        <tr r="AD21" s="71"/>
        <tr r="L57" s="71"/>
        <tr r="D48" s="84"/>
        <tr r="D36" s="72"/>
        <tr r="G29" s="104"/>
        <tr r="M15" s="84"/>
        <tr r="M15" s="84"/>
        <tr r="C34" s="104"/>
        <tr r="D8" s="76"/>
        <tr r="J56" s="71"/>
        <tr r="F12" s="71"/>
        <tr r="H16" s="84"/>
        <tr r="H16" s="84"/>
        <tr r="G15" s="71"/>
        <tr r="Z8" s="71"/>
        <tr r="G36" s="71"/>
        <tr r="D34" s="71"/>
        <tr r="D17" s="84"/>
        <tr r="D17" s="84"/>
        <tr r="I29" s="71"/>
        <tr r="D52" s="76"/>
        <tr r="AB31" s="71"/>
        <tr r="E33" s="72"/>
        <tr r="W14" s="71"/>
        <tr r="H30" s="84"/>
        <tr r="D45" s="75"/>
        <tr r="D38" s="72"/>
        <tr r="F20" s="71"/>
        <tr r="D62" s="76"/>
        <tr r="M30" s="71"/>
        <tr r="AC36" s="71"/>
        <tr r="F49" s="71"/>
        <tr r="M39" s="104"/>
        <tr r="W47" s="71"/>
        <tr r="J9" s="85"/>
        <tr r="J9" s="85"/>
        <tr r="T21" s="71"/>
        <tr r="O42" s="71"/>
        <tr r="J41" s="104"/>
        <tr r="H14" s="104"/>
        <tr r="F75" s="72"/>
        <tr r="U8" s="71"/>
        <tr r="I54" s="71"/>
        <tr r="J23" s="84"/>
        <tr r="J23" s="84"/>
        <tr r="L7" s="71"/>
        <tr r="N31" s="84"/>
        <tr r="D24" s="72"/>
        <tr r="Z54" s="71"/>
        <tr r="L37" s="104"/>
        <tr r="K29" s="71"/>
        <tr r="M18" s="84"/>
        <tr r="M18" s="84"/>
        <tr r="B18" s="104"/>
        <tr r="K43" s="84"/>
        <tr r="K43" s="84"/>
        <tr r="K25" s="84"/>
        <tr r="K25" s="84"/>
        <tr r="D29" s="72"/>
        <tr r="K49" s="71"/>
        <tr r="C106" s="72"/>
        <tr r="L12" s="84"/>
        <tr r="F22" s="76"/>
        <tr r="D9" s="104"/>
        <tr r="F14" s="104"/>
        <tr r="F41" s="104"/>
        <tr r="AD20" s="71"/>
        <tr r="N61" s="84"/>
        <tr r="J28" s="71"/>
        <tr r="C33" s="72"/>
        <tr r="W48" s="71"/>
        <tr r="D11" s="72"/>
        <tr r="L11" s="71"/>
        <tr r="AA7" s="71"/>
        <tr r="K15" s="71"/>
        <tr r="M21" s="71"/>
        <tr r="C19" s="75"/>
        <tr r="I49" s="71"/>
        <tr r="H8" s="71"/>
        <tr r="N44" s="84"/>
        <tr r="N44" s="84"/>
        <tr r="N23" s="84"/>
        <tr r="N23" s="84"/>
        <tr r="O62" s="84"/>
        <tr r="O62" s="84"/>
        <tr r="M7" s="104"/>
        <tr r="G14" s="71"/>
        <tr r="L15" s="71"/>
        <tr r="E8" s="75"/>
        <tr r="D46" s="71"/>
        <tr r="C46" s="71"/>
        <tr r="E21" s="76"/>
        <tr r="H10" s="84"/>
        <tr r="H10" s="84"/>
        <tr r="G29" s="84"/>
        <tr r="H48" s="84"/>
        <tr r="AD40" s="71"/>
        <tr r="J39" s="104"/>
        <tr r="E24" s="71"/>
        <tr r="AB36" s="71"/>
        <tr r="S45" s="71"/>
        <tr r="K6" s="85"/>
        <tr r="K6" s="85"/>
        <tr r="W38" s="71"/>
        <tr r="AB35" s="71"/>
        <tr r="C26" s="104"/>
        <tr r="B7" s="50"/>
        <tr r="C22" s="76"/>
        <tr r="Z20" s="71"/>
        <tr r="S19" s="71"/>
        <tr r="AB42" s="71"/>
        <tr r="D89" s="72"/>
        <tr r="H40" s="71"/>
        <tr r="I30" s="104"/>
        <tr r="J10" s="85"/>
        <tr r="J10" s="85"/>
        <tr r="C58" s="75"/>
        <tr r="V21" s="71"/>
        <tr r="F62" s="76"/>
        <tr r="M32" s="104"/>
        <tr r="E31" s="72"/>
        <tr r="G6" s="84"/>
        <tr r="G6" s="84"/>
        <tr r="M9" s="84"/>
        <tr r="M9" s="84"/>
        <tr r="N31" s="104"/>
        <tr r="D66" s="72"/>
        <tr r="F33" s="71"/>
        <tr r="C29" s="104"/>
        <tr r="D65" s="76"/>
        <tr r="T44" s="71"/>
        <tr r="U22" s="71"/>
        <tr r="H26" s="104"/>
        <tr r="K52" s="71"/>
        <tr r="M13" s="104"/>
        <tr r="D85" s="72"/>
        <tr r="C10" s="72"/>
        <tr r="I42" s="104"/>
        <tr r="F10" s="85"/>
        <tr r="F10" s="85"/>
        <tr r="E39" s="72"/>
        <tr r="C31" s="72"/>
        <tr r="C24" s="104"/>
        <tr r="D59" s="76"/>
        <tr r="N11" s="84"/>
        <tr r="N11" s="84"/>
        <tr r="S32" s="71"/>
        <tr r="AB28" s="71"/>
        <tr r="R29" s="71"/>
        <tr r="B9" s="104"/>
        <tr r="F86" s="72"/>
        <tr r="S33" s="71"/>
        <tr r="V12" s="71"/>
        <tr r="C17" s="76"/>
        <tr r="F65" s="76"/>
        <tr r="F24" s="72"/>
        <tr r="C17" s="75"/>
        <tr r="N30" s="104"/>
        <tr r="L26" s="84"/>
        <tr r="I13" s="104"/>
        <tr r="X40" s="71"/>
        <tr r="M63" s="84"/>
        <tr r="F16" s="76"/>
        <tr r="Y23" s="71"/>
        <tr r="F108" s="72"/>
        <tr r="E26" s="75"/>
        <tr r="C28" s="75"/>
        <tr r="E15" s="104"/>
        <tr r="C35" s="71"/>
        <tr r="U25" s="71"/>
        <tr r="I21" s="71"/>
        <tr r="B22" s="104"/>
        <tr r="C53" s="104"/>
        <tr r="K38" s="71"/>
        <tr r="M8" s="85"/>
        <tr r="M8" s="85"/>
        <tr r="AA29" s="71"/>
        <tr r="N27" s="84"/>
        <tr r="N27" s="84"/>
        <tr r="M22" s="84"/>
        <tr r="M22" s="84"/>
        <tr r="K29" s="84"/>
        <tr r="D11" s="84"/>
        <tr r="D11" s="84"/>
        <tr r="F17" s="84"/>
        <tr r="F17" s="84"/>
        <tr r="M20" s="84"/>
        <tr r="M20" s="84"/>
        <tr r="H13" s="104"/>
        <tr r="D49" s="71"/>
        <tr r="C58" s="76"/>
        <tr r="AC35" s="71"/>
        <tr r="C14" s="84"/>
        <tr r="H18" s="84"/>
        <tr r="H18" s="84"/>
        <tr r="P27" s="84"/>
        <tr r="P27" s="84"/>
        <tr r="O27" s="71"/>
        <tr r="K27" s="84"/>
        <tr r="K27" s="84"/>
        <tr r="C43" s="76"/>
        <tr r="F53" s="76"/>
        <tr r="N50" s="104"/>
        <tr r="C37" s="71"/>
        <tr r="O28" s="84"/>
        <tr r="I9" s="84"/>
        <tr r="I9" s="84"/>
        <tr r="S15" s="71"/>
        <tr r="H58" s="71"/>
        <tr r="G19" s="71"/>
        <tr r="Y56" s="71"/>
        <tr r="C81" s="72"/>
        <tr r="Q24" s="84"/>
        <tr r="Q24" s="84"/>
        <tr r="F10" s="72"/>
        <tr r="H33" s="104"/>
        <tr r="Q29" s="71"/>
        <tr r="J48" s="84"/>
        <tr r="B18" s="71"/>
        <tr r="U56" s="71"/>
        <tr r="W52" s="71"/>
        <tr r="L52" s="71"/>
        <tr r="F25" s="71"/>
        <tr r="L56" s="71"/>
        <tr r="AD22" s="71"/>
        <tr r="E18" s="104"/>
        <tr r="L19" s="104"/>
        <tr r="V23" s="71"/>
        <tr r="N22" s="104"/>
        <tr r="C31" s="71"/>
        <tr r="H16" s="71"/>
        <tr r="F21" s="72"/>
        <tr r="K23" s="71"/>
        <tr r="C92" s="72"/>
        <tr r="O26" s="84"/>
        <tr r="O26" s="84"/>
        <tr r="E10" s="76"/>
        <tr r="D43" s="104"/>
        <tr r="E48" s="71"/>
        <tr r="V8" s="71"/>
        <tr r="C19" s="76"/>
        <tr r="D74" s="72"/>
        <tr r="K31" s="84"/>
        <tr r="E41" s="72"/>
        <tr r="N21" s="104"/>
        <tr r="G30" s="71"/>
        <tr r="I20" s="104"/>
        <tr r="D15" s="72"/>
        <tr r="G17" s="71"/>
        <tr r="G45" s="84"/>
        <tr r="G45" s="84"/>
        <tr r="L50" s="104"/>
        <tr r="G54" s="71"/>
        <tr r="S9" s="71"/>
        <tr r="D21" s="72"/>
        <tr r="K7" s="104"/>
        <tr r="D9" s="84"/>
        <tr r="D9" s="84"/>
        <tr r="H7" s="85"/>
        <tr r="D21" s="84"/>
        <tr r="D21" s="84"/>
        <tr r="M43" s="104"/>
        <tr r="D9" s="75"/>
        <tr r="T29" s="71"/>
        <tr r="F47" s="84"/>
        <tr r="F47" s="84"/>
        <tr r="I48" s="71"/>
        <tr r="F26" s="104"/>
        <tr r="K12" s="84"/>
        <tr r="K12" s="84"/>
        <tr r="F59" s="76"/>
        <tr r="D50" s="76"/>
        <tr r="AA40" s="71"/>
        <tr r="I32" s="71"/>
        <tr r="J21" s="84"/>
        <tr r="J21" s="84"/>
        <tr r="AC45" s="71"/>
        <tr r="L41" s="71"/>
        <tr r="K60" s="84"/>
        <tr r="K60" s="84"/>
        <tr r="AC34" s="71"/>
        <tr r="G10" s="85"/>
        <tr r="G10" s="85"/>
        <tr r="J36" s="104"/>
        <tr r="C59" s="76"/>
        <tr r="I9" s="71"/>
        <tr r="E33" s="104"/>
        <tr r="T33" s="71"/>
        <tr r="M9" s="104"/>
        <tr r="AA11" s="71"/>
        <tr r="L21" s="84"/>
        <tr r="F56" s="72"/>
        <tr r="O21" s="84"/>
        <tr r="O21" s="84"/>
        <tr r="B40" s="104"/>
        <tr r="M29" s="71"/>
        <tr r="E7" s="71"/>
        <tr r="C36" s="104"/>
        <tr r="V42" s="71"/>
        <tr r="H18" s="104"/>
        <tr r="C28" s="72"/>
        <tr r="E46" s="71"/>
        <tr r="I30" s="84"/>
        <tr r="D44" s="71"/>
        <tr r="I15" s="71"/>
        <tr r="N12" s="84"/>
        <tr r="N12" s="84"/>
        <tr r="F44" s="84"/>
        <tr r="F44" s="84"/>
        <tr r="D42" s="75"/>
        <tr r="C11" s="72"/>
        <tr r="C22" s="71"/>
        <tr r="B3" s="50"/>
        <tr r="K9" s="85"/>
        <tr r="K9" s="85"/>
        <tr r="I45" s="71"/>
        <tr r="P63" s="84"/>
        <tr r="C63" s="84"/>
        <tr r="D11" s="75"/>
        <tr r="D46" s="75"/>
        <tr r="I7" s="85"/>
        <tr r="H17" s="104"/>
        <tr r="L23" s="84"/>
        <tr r="F85" s="72"/>
        <tr r="N28" s="71"/>
        <tr r="D27" s="84"/>
        <tr r="D27" s="84"/>
        <tr r="F64" s="72"/>
        <tr r="C98" s="72"/>
        <tr r="D35" s="71"/>
        <tr r="T9" s="71"/>
        <tr r="C42" s="104"/>
        <tr r="N24" s="104"/>
        <tr r="P14" s="84"/>
        <tr r="P14" s="84"/>
        <tr r="H52" s="71"/>
        <tr r="F40" s="72"/>
        <tr r="M20" s="71"/>
        <tr r="D28" s="76"/>
        <tr r="Z21" s="71"/>
        <tr r="F102" s="72"/>
        <tr r="J17" s="104"/>
        <tr r="I45" s="84"/>
        <tr r="I45" s="84"/>
        <tr r="M41" s="104"/>
        <tr r="O12" s="71"/>
        <tr r="D21" s="71"/>
        <tr r="H24" s="104"/>
        <tr r="C32" s="104"/>
        <tr r="O15" s="71"/>
        <tr r="M35" s="71"/>
        <tr r="I13" s="84"/>
        <tr r="I13" s="84"/>
        <tr r="H18" s="71"/>
        <tr r="Y57" s="71"/>
        <tr r="D23" s="84"/>
        <tr r="D23" s="84"/>
        <tr r="F12" s="76"/>
        <tr r="E52" s="104"/>
        <tr r="L6" s="85"/>
        <tr r="L6" s="85"/>
        <tr r="G17" s="84"/>
        <tr r="G17" s="84"/>
        <tr r="O54" s="71"/>
        <tr r="F23" s="72"/>
        <tr r="O35" s="71"/>
        <tr r="I43" s="84"/>
        <tr r="I43" s="84"/>
        <tr r="R41" s="71"/>
        <tr r="G25" s="84"/>
        <tr r="G25" s="84"/>
        <tr r="F42" s="72"/>
        <tr r="F63" s="75"/>
        <tr r="M26" s="84"/>
        <tr r="M26" s="84"/>
        <tr r="N32" s="104"/>
        <tr r="U53" s="71"/>
        <tr r="H27" s="71"/>
        <tr r="F52" s="76"/>
        <tr r="J47" s="71"/>
        <tr r="U33" s="71"/>
        <tr r="H43" s="71"/>
        <tr r="D17" s="104"/>
        <tr r="C27" s="76"/>
        <tr r="L36" s="71"/>
        <tr r="F92" s="72"/>
        <tr r="I14" s="104"/>
        <tr r="R27" s="71"/>
        <tr r="Q43" s="84"/>
        <tr r="Q43" s="84"/>
        <tr r="I10" s="84"/>
        <tr r="I10" s="84"/>
        <tr r="AC54" s="71"/>
        <tr r="E21" s="104"/>
        <tr r="G37" s="104"/>
        <tr r="O24" s="84"/>
        <tr r="O24" s="84"/>
        <tr r="T46" s="71"/>
        <tr r="G27" s="71"/>
        <tr r="N10" s="84"/>
        <tr r="N10" s="84"/>
        <tr r="F24" s="76"/>
        <tr r="C47" s="104"/>
        <tr r="G49" s="84"/>
        <tr r="G49" s="84"/>
        <tr r="L63" s="84"/>
        <tr r="E28" s="71"/>
        <tr r="E25" s="71"/>
        <tr r="Q27" s="84"/>
        <tr r="Q27" s="84"/>
        <tr r="E10" s="71"/>
        <tr r="G9" s="71"/>
        <tr r="Q47" s="84"/>
        <tr r="Q47" s="84"/>
        <tr r="I37" s="104"/>
        <tr r="M44" s="104"/>
        <tr r="C35" s="104"/>
        <tr r="X44" s="71"/>
        <tr r="C47" s="75"/>
        <tr r="D19" s="76"/>
        <tr r="M52" s="104"/>
        <tr r="D49" s="75"/>
        <tr r="I59" s="84"/>
        <tr r="I59" s="84"/>
        <tr r="L27" s="104"/>
        <tr r="F57" s="71"/>
        <tr r="J52" s="104"/>
        <tr r="AB44" s="71"/>
        <tr r="L22" s="71"/>
        <tr r="F13" s="71"/>
        <tr r="AC10" s="71"/>
        <tr r="W29" s="71"/>
        <tr r="D14" s="84"/>
        <tr r="D14" s="84"/>
        <tr r="F26" s="84"/>
        <tr r="F26" s="84"/>
        <tr r="H27" s="84"/>
        <tr r="H27" s="84"/>
        <tr r="P20" s="84"/>
        <tr r="P20" s="84"/>
        <tr r="P9" s="84"/>
        <tr r="P9" s="84"/>
        <tr r="L7" s="84"/>
        <tr r="B48" s="104"/>
        <tr r="N49" s="71"/>
        <tr r="C52" s="76"/>
        <tr r="Z29" s="71"/>
        <tr r="D19" s="84"/>
        <tr r="D19" s="84"/>
        <tr r="O31" s="84"/>
        <tr r="K18" s="84"/>
        <tr r="K18" s="84"/>
        <tr r="X49" s="71"/>
        <tr r="J17" s="84"/>
        <tr r="J17" s="84"/>
        <tr r="Q21" s="84"/>
        <tr r="Q21" s="84"/>
        <tr r="L43" s="104"/>
        <tr r="C16" s="72"/>
        <tr r="D101" s="72"/>
        <tr r="J42" s="104"/>
        <tr r="E25" s="104"/>
        <tr r="N54" s="71"/>
        <tr r="D17" s="72"/>
        <tr r="D15" s="76"/>
        <tr r="F32" s="104"/>
        <tr r="J49" s="104"/>
        <tr r="D54" s="72"/>
        <tr r="P12" s="84"/>
        <tr r="P12" s="84"/>
        <tr r="T34" s="71"/>
        <tr r="Q28" s="71"/>
        <tr r="M21" s="84"/>
        <tr r="M21" s="84"/>
        <tr r="H10" s="104"/>
        <tr r="T28" s="71"/>
        <tr r="AD10" s="71"/>
        <tr r="C68" s="72"/>
        <tr r="I8" s="104"/>
        <tr r="Y58" s="71"/>
        <tr r="H28" s="71"/>
        <tr r="E11" s="75"/>
        <tr r="F101" s="72"/>
        <tr r="S30" s="71"/>
        <tr r="F56" s="75"/>
        <tr r="G20" s="104"/>
        <tr r="J59" s="84"/>
        <tr r="J59" s="84"/>
        <tr r="L21" s="104"/>
        <tr r="S25" s="71"/>
        <tr r="D71" s="72"/>
        <tr r="N10" s="71"/>
        <tr r="K44" s="71"/>
        <tr r="J53" s="104"/>
        <tr r="D38" s="71"/>
        <tr r="L8" s="85"/>
        <tr r="L8" s="85"/>
        <tr r="AC15" s="71"/>
        <tr r="G21" s="84"/>
        <tr r="G21" s="84"/>
        <tr r="C48" s="76"/>
        <tr r="O29" s="84"/>
        <tr r="Q7" s="84"/>
        <tr r="Q7" s="84"/>
        <tr r="F19" s="72"/>
        <tr r="C11" s="75"/>
        <tr r="C27" s="75"/>
        <tr r="C84" s="72"/>
        <tr r="C107" s="72"/>
        <tr r="F58" s="71"/>
        <tr r="Q9" s="84"/>
        <tr r="Q9" s="84"/>
        <tr r="X20" s="71"/>
        <tr r="P11" s="84"/>
        <tr r="P11" s="84"/>
        <tr r="P58" s="84"/>
        <tr r="P58" s="84"/>
        <tr r="V41" s="71"/>
        <tr r="S53" s="71"/>
        <tr r="D25" s="104"/>
        <tr r="H25" s="84"/>
        <tr r="H25" s="84"/>
        <tr r="G27" s="84"/>
        <tr r="G27" s="84"/>
        <tr r="T17" s="71"/>
        <tr r="I18" s="71"/>
        <tr r="D58" s="84"/>
        <tr r="G35" s="104"/>
        <tr r="F52" s="72"/>
        <tr r="D11" s="76"/>
        <tr r="C7" s="104"/>
        <tr r="H7" s="104"/>
        <tr r="J29" s="71"/>
        <tr r="D15" s="104"/>
        <tr r="X36" s="71"/>
        <tr r="L61" s="84"/>
        <tr r="B45" s="104"/>
        <tr r="AA54" s="71"/>
        <tr r="E21" s="71"/>
        <tr r="R19" s="71"/>
        <tr r="D18" s="71"/>
        <tr r="D22" s="71"/>
        <tr r="H38" s="71"/>
        <tr r="K10" s="85"/>
        <tr r="K10" s="85"/>
        <tr r="AC21" s="71"/>
        <tr r="G18" s="84"/>
        <tr r="G18" s="84"/>
        <tr r="K24" s="84"/>
        <tr r="K24" s="84"/>
        <tr r="D28" s="84"/>
        <tr r="J22" s="84"/>
        <tr r="J22" s="84"/>
        <tr r="K10" s="84"/>
        <tr r="K10" s="84"/>
        <tr r="F25" s="72"/>
        <tr r="I39" s="71"/>
        <tr r="Y12" s="71"/>
        <tr r="C100" s="72"/>
        <tr r="B4" s="50"/>
        <tr r="F65" s="72"/>
        <tr r="D12" s="71"/>
        <tr r="D11" s="104"/>
        <tr r="N47" s="104"/>
        <tr r="I28" s="104"/>
        <tr r="U24" s="71"/>
        <tr r="C42" s="76"/>
        <tr r="N31" s="71"/>
        <tr r="AA22" s="71"/>
        <tr r="T39" s="71"/>
        <tr r="F79" s="72"/>
        <tr r="I45" s="104"/>
        <tr r="I33" s="104"/>
        <tr r="AB22" s="71"/>
        <tr r="C43" s="75"/>
        <tr r="D19" s="72"/>
        <tr r="E17" s="72"/>
        <tr r="D62" s="75"/>
        <tr r="AC28" s="71"/>
        <tr r="C8" s="76"/>
        <tr r="N40" s="71"/>
        <tr r="L42" s="104"/>
        <tr r="K63" s="84"/>
        <tr r="F35" s="71"/>
        <tr r="D17" s="71"/>
        <tr r="I7" s="71"/>
        <tr r="F52" s="104"/>
        <tr r="R48" s="71"/>
        <tr r="G56" s="71"/>
        <tr r="M22" s="71"/>
        <tr r="R13" s="71"/>
        <tr r="L10" s="85"/>
        <tr r="L10" s="85"/>
        <tr r="AC23" s="71"/>
        <tr r="G22" s="84"/>
        <tr r="G22" s="84"/>
        <tr r="N17" s="84"/>
        <tr r="N17" s="84"/>
        <tr r="M27" s="84"/>
        <tr r="M27" s="84"/>
        <tr r="K8" s="104"/>
        <tr r="B96" s="72"/>
        <tr r="F35" s="104"/>
        <tr r="D79" s="72"/>
        <tr r="AD41" s="71"/>
        <tr r="C19" s="71"/>
        <tr r="F50" s="76"/>
        <tr r="V15" s="71"/>
        <tr r="E55" s="72"/>
        <tr r="B27" s="104"/>
        <tr r="E52" s="72"/>
        <tr r="E23" s="72"/>
        <tr r="C15" s="104"/>
        <tr r="P8" s="84"/>
        <tr r="P8" s="84"/>
        <tr r="Z33" s="71"/>
        <tr r="F45" s="71"/>
        <tr r="K14" s="104"/>
        <tr r="B47" s="72"/>
        <tr r="Y44" s="71"/>
        <tr r="E34" s="72"/>
        <tr r="C9" s="72"/>
        <tr r="L38" s="71"/>
        <tr r="X48" s="71"/>
        <tr r="C16" s="75"/>
        <tr r="B5" s="50"/>
        <tr r="T10" s="71"/>
        <tr r="G32" s="71"/>
        <tr r="D23" s="75"/>
        <tr r="Z34" s="71"/>
        <tr r="K29" s="104"/>
        <tr r="G48" s="84"/>
        <tr r="C30" s="84"/>
        <tr r="R25" s="71"/>
        <tr r="N42" s="104"/>
        <tr r="J44" s="71"/>
        <tr r="P45" s="84"/>
        <tr r="P45" s="84"/>
        <tr r="H8" s="85"/>
        <tr r="H8" s="85"/>
        <tr r="D57" s="76"/>
        <tr r="I44" s="71"/>
        <tr r="E28" s="76"/>
        <tr r="L9" s="71"/>
        <tr r="O11" s="71"/>
        <tr r="X8" s="71"/>
        <tr r="J22" s="104"/>
        <tr r="K20" s="84"/>
        <tr r="K20" s="84"/>
        <tr r="I30" s="71"/>
        <tr r="K9" s="84"/>
        <tr r="K9" s="84"/>
        <tr r="E53" s="104"/>
        <tr r="C25" s="71"/>
        <tr r="K48" s="104"/>
        <tr r="F10" s="75"/>
        <tr r="M28" s="104"/>
        <tr r="J27" s="84"/>
        <tr r="J27" s="84"/>
        <tr r="M61" s="84"/>
        <tr r="C70" s="72"/>
        <tr r="F40" s="71"/>
        <tr r="D100" s="72"/>
        <tr r="I31" s="84"/>
        <tr r="C9" s="84"/>
        <tr r="AB37" s="71"/>
        <tr r="M30" s="104"/>
        <tr r="AD49" s="71"/>
        <tr r="L20" s="71"/>
        <tr r="B46" s="104"/>
        <tr r="H47" s="104"/>
        <tr r="F50" s="75"/>
        <tr r="N52" s="71"/>
        <tr r="F34" s="104"/>
        <tr r="W16" s="71"/>
        <tr r="K53" s="104"/>
        <tr r="C8" s="72"/>
        <tr r="C17" s="84"/>
        <tr r="Q13" s="84"/>
        <tr r="Q13" s="84"/>
        <tr r="L28" s="104"/>
        <tr r="W56" s="71"/>
        <tr r="S35" s="71"/>
        <tr r="K41" s="71"/>
        <tr r="L58" s="71"/>
        <tr r="F57" s="75"/>
        <tr r="N49" s="84"/>
        <tr r="N49" s="84"/>
        <tr r="J24" s="84"/>
        <tr r="J24" s="84"/>
        <tr r="F63" s="72"/>
        <tr r="C40" s="71"/>
        <tr r="T57" s="71"/>
        <tr r="L40" s="71"/>
        <tr r="C40" s="104"/>
        <tr r="E54" s="71"/>
        <tr r="V28" s="71"/>
        <tr r="L53" s="71"/>
        <tr r="E19" s="72"/>
        <tr r="L62" s="84"/>
        <tr r="F67" s="72"/>
        <tr r="I44" s="84"/>
        <tr r="I44" s="84"/>
        <tr r="AC8" s="71"/>
        <tr r="F19" s="76"/>
        <tr r="K14" s="84"/>
        <tr r="K14" s="84"/>
        <tr r="F9" s="75"/>
        <tr r="N8" s="85"/>
        <tr r="N8" s="85"/>
        <tr r="Q16" s="84"/>
        <tr r="Q16" s="84"/>
        <tr r="S20" s="71"/>
        <tr r="H23" s="84"/>
        <tr r="H23" s="84"/>
        <tr r="G24" s="104"/>
        <tr r="C43" s="104"/>
        <tr r="E27" s="75"/>
        <tr r="K17" s="84"/>
        <tr r="K17" s="84"/>
        <tr r="D49" s="76"/>
        <tr r="D32" s="72"/>
        <tr r="X57" s="71"/>
        <tr r="B37" s="104"/>
        <tr r="D10" s="71"/>
        <tr r="D8" s="72"/>
        <tr r="C12" s="104"/>
        <tr r="Q6" s="84"/>
        <tr r="Q6" s="84"/>
        <tr r="C47" s="76"/>
        <tr r="G15" s="104"/>
        <tr r="L31" s="71"/>
        <tr r="F36" s="72"/>
        <tr r="C28" s="84"/>
        <tr r="N28" s="84"/>
        <tr r="C36" s="72"/>
        <tr r="F45" s="84"/>
        <tr r="F45" s="84"/>
        <tr r="AA13" s="71"/>
        <tr r="D55" s="72"/>
        <tr r="C46" s="72"/>
        <tr r="AC32" s="71"/>
        <tr r="F32" s="72"/>
        <tr r="J25" s="84"/>
        <tr r="J25" s="84"/>
        <tr r="S41" s="71"/>
        <tr r="K7" s="85"/>
        <tr r="F43" s="72"/>
        <tr r="M47" s="71"/>
        <tr r="I8" s="71"/>
        <tr r="N18" s="84"/>
        <tr r="N18" s="84"/>
        <tr r="AA15" s="71"/>
        <tr r="N57" s="71"/>
        <tr r="F90" s="72"/>
        <tr r="C38" s="104"/>
        <tr r="H62" s="84"/>
        <tr r="H62" s="84"/>
        <tr r="F99" s="72"/>
        <tr r="C10" s="104"/>
        <tr r="L51" s="104"/>
        <tr r="V24" s="71"/>
        <tr r="D44" s="75"/>
        <tr r="AD7" s="71"/>
        <tr r="M33" s="104"/>
        <tr r="D26" s="84"/>
        <tr r="D26" s="84"/>
        <tr r="N13" s="71"/>
        <tr r="C44" s="104"/>
        <tr r="V35" s="71"/>
        <tr r="K10" s="104"/>
        <tr r="J58" s="84"/>
        <tr r="J58" s="84"/>
        <tr r="I16" s="104"/>
        <tr r="D57" s="75"/>
        <tr r="V34" s="71"/>
        <tr r="C54" s="71"/>
        <tr r="D24" s="84"/>
        <tr r="D24" s="84"/>
        <tr r="F16" s="75"/>
        <tr r="B18" s="76"/>
        <tr r="C18" s="76"/>
        <tr r="K13" s="71"/>
        <tr r="C13" s="75"/>
        <tr r="G43" s="84"/>
        <tr r="G43" s="84"/>
        <tr r="Z24" s="71"/>
        <tr r="D36" s="71"/>
        <tr r="W25" s="71"/>
        <tr r="I11" s="104"/>
        <tr r="I15" s="84"/>
        <tr r="I15" s="84"/>
        <tr r="D10" s="72"/>
        <tr r="F27" s="72"/>
        <tr r="F54" s="71"/>
        <tr r="W10" s="71"/>
        <tr r="N43" s="71"/>
        <tr r="AB9" s="71"/>
        <tr r="I26" s="84"/>
        <tr r="I26" s="84"/>
        <tr r="C21" s="84"/>
        <tr r="F14" s="76"/>
        <tr r="C19" s="104"/>
        <tr r="I48" s="84"/>
        <tr r="E40" s="104"/>
        <tr r="V7" s="71"/>
        <tr r="K10" s="71"/>
        <tr r="AA18" s="71"/>
        <tr r="C28" s="71"/>
        <tr r="M13" s="71"/>
        <tr r="AC11" s="71"/>
        <tr r="G30" s="84"/>
        <tr r="P18" s="84"/>
        <tr r="P18" s="84"/>
        <tr r="H21" s="84"/>
        <tr r="H21" s="84"/>
        <tr r="L30" s="84"/>
        <tr r="F6" s="84"/>
        <tr r="F6" s="84"/>
        <tr r="H17" s="84"/>
        <tr r="H17" s="84"/>
        <tr r="M19" s="84"/>
        <tr r="M19" s="84"/>
        <tr r="E27" s="71"/>
        <tr r="C25" s="72"/>
        <tr r="C57" s="76"/>
        <tr r="M29" s="84"/>
        <tr r="G20" s="84"/>
        <tr r="G20" s="84"/>
        <tr r="N30" s="84"/>
        <tr r="M28" s="84"/>
        <tr r="F43" s="84"/>
        <tr r="F43" s="84"/>
        <tr r="D12" s="84"/>
        <tr r="D12" s="84"/>
        <tr r="C48" s="104"/>
        <tr r="C38" s="72"/>
        <tr r="O9" s="85"/>
        <tr r="O9" s="85"/>
        <tr r="F15" s="76"/>
        <tr r="C59" s="84"/>
        <tr r="AD39" s="71"/>
        <tr r="E30" s="104"/>
        <tr r="C23" s="84"/>
        <tr r="Q15" s="84"/>
        <tr r="Q15" s="84"/>
        <tr r="J40" s="104"/>
        <tr r="N27" s="104"/>
        <tr r="K52" s="104"/>
        <tr r="S39" s="71"/>
        <tr r="F28" s="72"/>
        <tr r="F18" s="76"/>
        <tr r="E29" s="71"/>
        <tr r="M17" s="84"/>
        <tr r="M17" s="84"/>
        <tr r="W34" s="71"/>
        <tr r="C50" s="76"/>
        <tr r="N42" s="71"/>
        <tr r="I36" s="104"/>
        <tr r="G18" s="71"/>
        <tr r="P7" s="84"/>
        <tr r="P7" s="84"/>
        <tr r="B35" s="104"/>
        <tr r="O43" s="84"/>
        <tr r="O43" s="84"/>
        <tr r="D15" s="75"/>
        <tr r="E24" s="104"/>
        <tr r="D52" s="104"/>
        <tr r="P61" s="84"/>
        <tr r="G17" s="104"/>
        <tr r="C57" s="71"/>
        <tr r="AB21" s="71"/>
        <tr r="R24" s="71"/>
        <tr r="K18" s="71"/>
        <tr r="G22" s="71"/>
        <tr r="M38" s="71"/>
        <tr r="H6" s="85"/>
        <tr r="H6" s="85"/>
        <tr r="U29" s="71"/>
        <tr r="C11" s="84"/>
        <tr r="P22" s="84"/>
        <tr r="P22" s="84"/>
        <tr r="E28" s="72"/>
        <tr r="S23" s="71"/>
        <tr r="M53" s="104"/>
        <tr r="T18" s="71"/>
        <tr r="E47" s="72"/>
        <tr r="F23" s="75"/>
        <tr r="C10" s="84"/>
        <tr r="D33" s="104"/>
        <tr r="D7" s="104"/>
        <tr r="J12" s="104"/>
        <tr r="O48" s="84"/>
        <tr r="AB33" s="71"/>
        <tr r="L27" s="71"/>
        <tr r="K22" s="84"/>
        <tr r="K22" s="84"/>
        <tr r="H15" s="84"/>
        <tr r="H15" s="84"/>
        <tr r="L14" s="71"/>
        <tr r="L24" s="71"/>
        <tr r="C51" s="72"/>
        <tr r="S34" s="71"/>
        <tr r="D21" s="76"/>
        <tr r="C99" s="72"/>
        <tr r="L44" s="104"/>
        <tr r="R8" s="71"/>
        <tr r="C102" s="72"/>
        <tr r="E23" s="76"/>
        <tr r="C80" s="72"/>
        <tr r="M33" s="71"/>
        <tr r="D28" s="71"/>
        <tr r="N27" s="71"/>
        <tr r="D51" s="75"/>
        <tr r="AB27" s="71"/>
        <tr r="C20" s="71"/>
        <tr r="H48" s="71"/>
        <tr r="F110" s="72"/>
        <tr r="C8" s="104"/>
        <tr r="L39" s="71"/>
        <tr r="F48" s="71"/>
        <tr r="G28" s="71"/>
        <tr r="F14" s="72"/>
        <tr r="H9" s="84"/>
        <tr r="H9" s="84"/>
        <tr r="D50" s="75"/>
        <tr r="H59" s="84"/>
        <tr r="H59" s="84"/>
        <tr r="X46" s="71"/>
        <tr r="I48" s="104"/>
        <tr r="E27" s="72"/>
        <tr r="F18" s="75"/>
        <tr r="H12" s="104"/>
        <tr r="D42" s="72"/>
        <tr r="Q11" s="84"/>
        <tr r="Q11" s="84"/>
        <tr r="H23" s="71"/>
        <tr r="O20" s="71"/>
        <tr r="Q12" s="84"/>
        <tr r="Q12" s="84"/>
        <tr r="D27" s="76"/>
        <tr r="X53" s="71"/>
        <tr r="U11" s="71"/>
        <tr r="E21" s="72"/>
        <tr r="R49" s="71"/>
        <tr r="O16" s="84"/>
        <tr r="O16" s="84"/>
        <tr r="G28" s="104"/>
        <tr r="I49" s="84"/>
        <tr r="I49" s="84"/>
        <tr r="C58" s="71"/>
        <tr r="I14" s="84"/>
        <tr r="I14" s="84"/>
        <tr r="F28" s="84"/>
        <tr r="N43" s="84"/>
        <tr r="N43" s="84"/>
        <tr r="K8" s="84"/>
        <tr r="K8" s="84"/>
        <tr r="O49" s="71"/>
        <tr r="J18" s="104"/>
        <tr r="K24" s="104"/>
        <tr r="C11" s="104"/>
        <tr r="Y21" s="71"/>
        <tr r="G49" s="71"/>
        <tr r="N6" s="84"/>
        <tr r="N6" s="84"/>
        <tr r="E42" s="72"/>
        <tr r="V43" s="71"/>
        <tr r="K30" s="71"/>
        <tr r="P60" s="84"/>
        <tr r="P60" s="84"/>
        <tr r="M34" s="71"/>
        <tr r="M35" s="104"/>
        <tr r="G10" s="71"/>
        <tr r="C38" s="71"/>
        <tr r="P25" s="84"/>
        <tr r="P25" s="84"/>
        <tr r="P23" s="84"/>
        <tr r="P23" s="84"/>
        <tr r="F14" s="75"/>
        <tr r="L46" s="84"/>
        <tr r="I8" s="84"/>
        <tr r="I8" s="84"/>
        <tr r="U31" s="71"/>
        <tr r="D27" s="72"/>
        <tr r="F61" s="75"/>
        <tr r="D17" s="76"/>
        <tr r="O8" s="84"/>
        <tr r="O8" s="84"/>
        <tr r="V39" s="71"/>
        <tr r="K44" s="84"/>
        <tr r="K44" s="84"/>
        <tr r="F106" s="72"/>
        <tr r="P47" s="84"/>
        <tr r="P47" s="84"/>
        <tr r="G34" s="71"/>
        <tr r="I7" s="104"/>
        <tr r="F38" s="71"/>
        <tr r="F15" s="75"/>
        <tr r="K48" s="84"/>
        <tr r="E13" s="104"/>
        <tr r="S11" s="71"/>
        <tr r="M45" s="104"/>
        <tr r="Z44" s="71"/>
        <tr r="D22" s="76"/>
        <tr r="C13" s="71"/>
        <tr r="AC7" s="71"/>
        <tr r="N29" s="71"/>
        <tr r="Q22" s="84"/>
        <tr r="Q22" s="84"/>
        <tr r="P29" s="84"/>
        <tr r="J11" s="84"/>
        <tr r="J11" s="84"/>
        <tr r="C54" s="76"/>
        <tr r="W18" s="71"/>
        <tr r="F98" s="72"/>
        <tr r="F28" s="104"/>
        <tr r="V49" s="71"/>
        <tr r="M18" s="71"/>
        <tr r="Y46" s="71"/>
        <tr r="N45" s="71"/>
        <tr r="D43" s="75"/>
        <tr r="AA28" s="71"/>
        <tr r="D14" s="72"/>
        <tr r="AC49" s="71"/>
        <tr r="G43" s="71"/>
        <tr r="O25" s="84"/>
        <tr r="O25" s="84"/>
        <tr r="F25" s="84"/>
        <tr r="F25" s="84"/>
        <tr r="K53" s="71"/>
        <tr r="H37" s="71"/>
        <tr r="F66" s="76"/>
        <tr r="AA46" s="71"/>
        <tr r="E29" s="75"/>
        <tr r="Y36" s="71"/>
        <tr r="K17" s="104"/>
        <tr r="S8" s="71"/>
        <tr r="S21" s="71"/>
        <tr r="L44" s="71"/>
        <tr r="E22" s="76"/>
        <tr r="Y38" s="71"/>
        <tr r="AC18" s="71"/>
        <tr r="Y29" s="71"/>
        <tr r="D16" s="84"/>
        <tr r="D16" s="84"/>
        <tr r="I21" s="84"/>
        <tr r="I21" s="84"/>
        <tr r="M23" s="84"/>
        <tr r="M23" s="84"/>
        <tr r="C25" s="84"/>
        <tr r="Q17" s="84"/>
        <tr r="Q17" s="84"/>
        <tr r="P26" s="84"/>
        <tr r="P26" s="84"/>
        <tr r="I25" s="84"/>
        <tr r="I25" s="84"/>
        <tr r="Z27" s="71"/>
        <tr r="E25" s="72"/>
        <tr r="C62" s="76"/>
        <tr r="K26" s="84"/>
        <tr r="K26" s="84"/>
        <tr r="G10" s="84"/>
        <tr r="G10" s="84"/>
        <tr r="C22" s="84"/>
        <tr r="I28" s="84"/>
        <tr r="L43" s="84"/>
        <tr r="N14" s="84"/>
        <tr r="N14" s="84"/>
        <tr r="P43" s="84"/>
        <tr r="P43" s="84"/>
        <tr r="M54" s="71"/>
        <tr r="T40" s="71"/>
        <tr r="Y18" s="71"/>
        <tr r="C17" s="104"/>
        <tr r="N53" s="71"/>
        <tr r="T16" s="71"/>
        <tr r="W12" s="71"/>
        <tr r="D54" s="71"/>
        <tr r="H19" s="104"/>
        <tr r="K18" s="104"/>
        <tr r="L14" s="104"/>
        <tr r="J17" s="71"/>
        <tr r="M45" s="84"/>
        <tr r="M45" s="84"/>
        <tr r="O45" s="84"/>
        <tr r="O45" s="84"/>
        <tr r="F59" s="84"/>
        <tr r="F59" s="84"/>
        <tr r="J46" s="84"/>
        <tr r="K59" s="84"/>
        <tr r="K59" s="84"/>
        <tr r="P48" s="84"/>
        <tr r="I20" s="71"/>
        <tr r="K12" s="71"/>
        <tr r="H30" s="71"/>
        <tr r="AD8" s="71"/>
        <tr r="D69" s="72"/>
        <tr r="F45" s="75"/>
        <tr r="S40" s="71"/>
        <tr r="H45" s="71"/>
        <tr r="Y43" s="71"/>
        <tr r="D40" s="104"/>
        <tr r="F27" s="104"/>
        <tr r="AD35" s="71"/>
        <tr r="N56" s="71"/>
        <tr r="G40" s="104"/>
        <tr r="M34" s="104"/>
        <tr r="F11" s="84"/>
        <tr r="F11" s="84"/>
        <tr r="P10" s="84"/>
        <tr r="P10" s="84"/>
        <tr r="O7" s="85"/>
        <tr r="B34" s="104"/>
        <tr r="N15" s="71"/>
        <tr r="F18" s="104"/>
        <tr r="E34" s="104"/>
        <tr r="J42" s="71"/>
        <tr r="F48" s="84"/>
        <tr r="N58" s="84"/>
        <tr r="N58" s="84"/>
        <tr r="M44" s="84"/>
        <tr r="M44" s="84"/>
        <tr r="W20" s="71"/>
        <tr r="L30" s="71"/>
        <tr r="U30" s="71"/>
        <tr r="AD53" s="71"/>
        <tr r="D97" s="72"/>
        <tr r="S16" s="71"/>
        <tr r="AB45" s="71"/>
        <tr r="D30" s="104"/>
        <tr r="D44" s="104"/>
        <tr r="AA56" s="71"/>
        <tr r="G42" s="104"/>
        <tr r="M18" s="104"/>
        <tr r="M16" s="84"/>
        <tr r="M16" s="84"/>
        <tr r="K8" s="85"/>
        <tr r="K8" s="85"/>
        <tr r="I60" s="84"/>
        <tr r="I60" s="84"/>
        <tr r="F96" s="72"/>
        <tr r="J36" s="71"/>
        <tr r="B41" s="104"/>
        <tr r="J47" s="104"/>
        <tr r="F11" s="72"/>
        <tr r="L28" s="71"/>
        <tr r="AC9" s="71"/>
        <tr r="C31" s="84"/>
        <tr r="Q31" s="84"/>
        <tr r="F13" s="104"/>
        <tr r="AC46" s="71"/>
        <tr r="K30" s="84"/>
        <tr r="C60" s="75"/>
        <tr r="U49" s="71"/>
        <tr r="C42" s="71"/>
        <tr r="H41" s="104"/>
        <tr r="N62" s="84"/>
        <tr r="N62" s="84"/>
        <tr r="H61" s="84"/>
        <tr r="D66" s="76"/>
        <tr r="K36" s="104"/>
        <tr r="D14" s="104"/>
        <tr r="R12" s="71"/>
        <tr r="B49" s="104"/>
        <tr r="I9" s="85"/>
        <tr r="I9" s="85"/>
        <tr r="B59" s="75"/>
        <tr r="C108" s="72"/>
        <tr r="J33" s="71"/>
        <tr r="X29" s="71"/>
        <tr r="H24" s="84"/>
        <tr r="H24" s="84"/>
        <tr r="D33" s="72"/>
        <tr r="AB8" s="71"/>
        <tr r="H53" s="71"/>
        <tr r="F40" s="104"/>
        <tr r="T52" s="71"/>
        <tr r="F8" s="76"/>
        <tr r="D96" s="72"/>
        <tr r="H48" s="104"/>
        <tr r="N44" s="104"/>
        <tr r="I8" s="85"/>
        <tr r="I8" s="85"/>
        <tr r="G13" s="71"/>
        <tr r="D30" s="72"/>
        <tr r="E42" s="71"/>
        <tr r="AD42" s="71"/>
        <tr r="AB15" s="71"/>
        <tr r="B52" s="104"/>
        <tr r="G24" s="84"/>
        <tr r="G24" s="84"/>
        <tr r="S29" s="71"/>
        <tr r="M17" s="104"/>
        <tr r="L9" s="85"/>
        <tr r="L9" s="85"/>
        <tr r="F51" s="76"/>
        <tr r="AB58" s="71"/>
        <tr r="E7" s="85"/>
        <tr r="D9" s="76"/>
        <tr r="F31" s="71"/>
        <tr r="C26" s="75"/>
        <tr r="AD29" s="71"/>
        <tr r="H11" s="71"/>
        <tr r="G9" s="84"/>
        <tr r="G9" s="84"/>
        <tr r="C17" s="71"/>
        <tr r="C77" s="72"/>
        <tr r="Z36" s="71"/>
        <tr r="C35" s="72"/>
        <tr r="N47" s="71"/>
        <tr r="F22" s="84"/>
        <tr r="F22" s="84"/>
        <tr r="M12" s="84"/>
        <tr r="M12" s="84"/>
        <tr r="D23" s="72"/>
        <tr r="Y16" s="71"/>
        <tr r="I15" s="104"/>
        <tr r="R17" s="71"/>
        <tr r="AA38" s="71"/>
        <tr r="N20" s="84"/>
        <tr r="N20" s="84"/>
        <tr r="L8" s="84"/>
        <tr r="D18" s="76"/>
        <tr r="L13" s="104"/>
        <tr r="M16" s="104"/>
        <tr r="C20" s="104"/>
        <tr r="F87" s="72"/>
        <tr r="E49" s="71"/>
        <tr r="I12" s="84"/>
        <tr r="I12" s="84"/>
        <tr r="U46" s="71"/>
        <tr r="K44" s="104"/>
        <tr r="J44" s="84"/>
        <tr r="J44" s="84"/>
        <tr r="E43" s="71"/>
        <tr r="B15" s="50"/>
        <tr r="C60" s="84"/>
        <tr r="N48" s="71"/>
        <tr r="C52" s="104"/>
        <tr r="G58" s="71"/>
        <tr r="L13" s="71"/>
        <tr r="L20" s="84"/>
        <tr r="P28" s="84"/>
        <tr r="G48" s="71"/>
        <tr r="E12" s="76"/>
        <tr r="D14" s="75"/>
        <tr r="F57" s="76"/>
        <tr r="F18" s="72"/>
        <tr r="V53" s="71"/>
        <tr r="R18" s="71"/>
        <tr r="C27" s="104"/>
        <tr r="J43" s="84"/>
        <tr r="J43" s="84"/>
        <tr r="W7" s="71"/>
        <tr r="M23" s="71"/>
        <tr r="AC13" s="71"/>
        <tr r="AC41" s="71"/>
        <tr r="C52" s="75"/>
        <tr r="C52" s="71"/>
        <tr r="G46" s="104"/>
        <tr r="K45" s="84"/>
        <tr r="K45" s="84"/>
        <tr r="J31" s="104"/>
        <tr r="G7" s="71"/>
        <tr r="U10" s="71"/>
        <tr r="O44" s="71"/>
        <tr r="O22" s="71"/>
        <tr r="J13" s="71"/>
        <tr r="AC12" s="71"/>
        <tr r="F12" s="84"/>
        <tr r="F12" s="84"/>
        <tr r="L25" s="84"/>
        <tr r="L16" s="84"/>
        <tr r="H22" s="84"/>
        <tr r="H22" s="84"/>
        <tr r="X43" s="71"/>
        <tr r="L17" s="71"/>
        <tr r="P15" s="84"/>
        <tr r="P15" s="84"/>
        <tr r="L9" s="104"/>
        <tr r="C29" s="72"/>
        <tr r="F55" s="72"/>
        <tr r="G45" s="71"/>
        <tr r="J60" s="84"/>
        <tr r="J60" s="84"/>
        <tr r="D20" s="104"/>
        <tr r="E56" s="72"/>
        <tr r="C7" s="85"/>
        <tr r="F97" s="72"/>
        <tr r="K46" s="71"/>
        <tr r="Z14" s="71"/>
        <tr r="V48" s="71"/>
        <tr r="C45" s="104"/>
        <tr r="AD28" s="71"/>
        <tr r="F24" s="75"/>
        <tr r="H38" s="104"/>
        <tr r="G53" s="104"/>
        <tr r="L47" s="84"/>
        <tr r="L52" s="104"/>
        <tr r="H54" s="71"/>
        <tr r="M10" s="71"/>
        <tr r="AA44" s="71"/>
        <tr r="E22" s="71"/>
        <tr r="U13" s="71"/>
        <tr r="AC47" s="71"/>
        <tr r="O27" s="84"/>
        <tr r="O27" s="84"/>
        <tr r="L9" s="84"/>
        <tr r="K13" s="84"/>
        <tr r="K13" s="84"/>
        <tr r="Q10" s="84"/>
        <tr r="Q10" s="84"/>
        <tr r="J28" s="84"/>
        <tr r="L28" s="84"/>
        <tr r="L22" s="84"/>
        <tr r="F14" s="84"/>
        <tr r="F14" s="84"/>
        <tr r="E22" s="72"/>
        <tr r="C43" s="84"/>
        <tr r="E18" s="76"/>
        <tr r="C8" s="84"/>
        <tr r="O13" s="84"/>
        <tr r="O13" s="84"/>
        <tr r="I18" s="84"/>
        <tr r="I18" s="84"/>
        <tr r="G31" s="84"/>
        <tr r="C56" s="76"/>
        <tr r="J12" s="84"/>
        <tr r="J12" s="84"/>
        <tr r="C66" s="76"/>
        <tr r="F44" s="71"/>
        <tr r="D48" s="104"/>
        <tr r="B17" s="104"/>
        <tr r="O32" s="71"/>
        <tr r="AA8" s="71"/>
        <tr r="M39" s="71"/>
        <tr r="H8" s="104"/>
        <tr r="F58" s="84"/>
        <tr r="F58" s="84"/>
        <tr r="D60" s="84"/>
        <tr r="J63" s="84"/>
        <tr r="F53" s="75"/>
        <tr r="W37" s="71"/>
        <tr r="G41" s="104"/>
        <tr r="D8" s="84"/>
        <tr r="D8" s="84"/>
        <tr r="I11" s="84"/>
        <tr r="I11" s="84"/>
        <tr r="C96" s="72"/>
        <tr r="E15" s="75"/>
        <tr r="U42" s="71"/>
        <tr r="F10" s="104"/>
        <tr r="I41" s="104"/>
        <tr r="U34" s="71"/>
        <tr r="X10" s="71"/>
        <tr r="G23" s="71"/>
        <tr r="K28" s="71"/>
        <tr r="N6" s="85"/>
        <tr r="N6" s="85"/>
        <tr r="I24" s="84"/>
        <tr r="I24" s="84"/>
        <tr r="I17" s="84"/>
        <tr r="I17" s="84"/>
        <tr r="C23" s="72"/>
        <tr r="G9" s="104"/>
        <tr r="I58" s="71"/>
        <tr r="F62" s="75"/>
        <tr r="O23" s="71"/>
        <tr r="D30" s="76"/>
        <tr r="AB32" s="71"/>
        <tr r="AA43" s="71"/>
        <tr r="M58" s="84"/>
        <tr r="M58" s="84"/>
        <tr r="F23" s="76"/>
        <tr r="J6" s="85"/>
        <tr r="J6" s="85"/>
        <tr r="G26" s="84"/>
        <tr r="G26" s="84"/>
        <tr r="L10" s="84"/>
        <tr r="L49" s="71"/>
        <tr r="N9" s="84"/>
        <tr r="N9" s="84"/>
        <tr r="N48" s="104"/>
        <tr r="C23" s="76"/>
        <tr r="AA47" s="71"/>
        <tr r="N11" s="71"/>
        <tr r="J23" s="104"/>
        <tr r="L10" s="104"/>
        <tr r="F62" s="84"/>
        <tr r="F62" s="84"/>
        <tr r="D63" s="84"/>
        <tr r="R30" s="71"/>
        <tr r="AD32" s="71"/>
        <tr r="D111" s="72"/>
        <tr r="S52" s="71"/>
        <tr r="D50" s="104"/>
        <tr r="W36" s="71"/>
        <tr r="G7" s="104"/>
        <tr r="P16" s="84"/>
        <tr r="P16" s="84"/>
        <tr r="N9" s="85"/>
        <tr r="N9" s="85"/>
        <tr r="E7" s="104"/>
        <tr r="C48" s="84"/>
        <tr r="F47" s="75"/>
        <tr r="G51" s="104"/>
        <tr r="M49" s="71"/>
        <tr r="W58" s="71"/>
        <tr r="G32" s="104"/>
        <tr r="K23" s="84"/>
        <tr r="K23" s="84"/>
        <tr r="I50" s="104"/>
        <tr r="C26" s="84"/>
        <tr r="X27" s="71"/>
        <tr r="L14" s="84"/>
        <tr r="N7" s="85"/>
        <tr r="O16" s="71"/>
        <tr r="Q46" s="84"/>
        <tr r="AA48" s="71"/>
        <tr r="F88" s="72"/>
        <tr r="H8" s="84"/>
        <tr r="H8" s="84"/>
        <tr r="C12" s="71"/>
        <tr r="C17" s="72"/>
        <tr r="J9" s="84"/>
        <tr r="J9" s="84"/>
        <tr r="E27" s="104"/>
        <tr r="C41" s="104"/>
        <tr r="AC20" s="71"/>
        <tr r="D22" s="72"/>
        <tr r="L13" s="84"/>
        <tr r="AB41" s="71"/>
        <tr r="E42" s="104"/>
        <tr r="G59" s="84"/>
        <tr r="L29" s="104"/>
        <tr r="I35" s="71"/>
        <tr r="I22" s="104"/>
        <tr r="AC19" s="71"/>
        <tr r="X18" s="71"/>
        <tr r="U43" s="71"/>
        <tr r="G21" s="104"/>
        <tr r="Q61" s="84"/>
        <tr r="D53" s="104"/>
        <tr r="D15" s="84"/>
        <tr r="D15" s="84"/>
        <tr r="G13" s="84"/>
        <tr r="G13" s="84"/>
        <tr r="I19" s="104"/>
        <tr r="N36" s="104"/>
        <tr r="N19" s="71"/>
        <tr r="R42" s="71"/>
        <tr r="T38" s="71"/>
        <tr r="O29" s="71"/>
        <tr r="F19" s="84"/>
        <tr r="F19" s="84"/>
        <tr r="B13" s="104"/>
        <tr r="C95" s="72"/>
        <tr r="N10" s="104"/>
        <tr r="C63" s="76"/>
        <tr r="C64" s="76"/>
        <tr r="F31" s="104"/>
        <tr r="N8" s="84"/>
        <tr r="N8" s="84"/>
        <tr r="J20" s="71"/>
        <tr r="K47" s="104"/>
        <tr r="P6" s="84"/>
        <tr r="P6" s="84"/>
        <tr r="N41" s="104"/>
        <tr r="E49" s="104"/>
        <tr r="U16" s="71"/>
        <tr r="R32" s="71"/>
        <tr r="Z38" s="71"/>
        <tr r="C29" s="71"/>
        <tr r="L19" s="84"/>
        <tr r="G28" s="84"/>
        <tr r="C24" s="84"/>
        <tr r="N19" s="84"/>
        <tr r="N19" s="84"/>
        <tr r="Y49" s="71"/>
        <tr r="AC37" s="71"/>
        <tr r="F31" s="84"/>
        <tr r="W49" s="71"/>
        <tr r="V27" s="71"/>
        <tr r="I31" s="71"/>
        <tr r="N24" s="71"/>
        <tr r="W32" s="71"/>
        <tr r="M42" s="71"/>
        <tr r="N39" s="71"/>
        <tr r="D10" s="104"/>
        <tr r="J48" s="71"/>
        <tr r="I47" s="84"/>
        <tr r="I47" s="84"/>
        <tr r="P44" s="84"/>
        <tr r="P44" s="84"/>
        <tr r="L48" s="84"/>
        <tr r="Y30" s="71"/>
        <tr r="AD9" s="71"/>
        <tr r="F49" s="75"/>
        <tr r="W45" s="71"/>
        <tr r="AD43" s="71"/>
        <tr r="I27" s="104"/>
        <tr r="M56" s="71"/>
        <tr r="G10" s="104"/>
        <tr r="Q14" s="84"/>
        <tr r="Q14" s="84"/>
        <tr r="Z28" s="71"/>
        <tr r="T47" s="71"/>
        <tr r="V13" s="71"/>
        <tr r="J19" s="104"/>
        <tr r="I19" s="71"/>
        <tr r="D30" s="71"/>
        <tr r="Z37" s="71"/>
        <tr r="D20" s="84"/>
        <tr r="D20" s="84"/>
        <tr r="F11" s="75"/>
        <tr r="E27" s="76"/>
        <tr r="E20" s="71"/>
        <tr r="O53" s="71"/>
        <tr r="AA10" s="71"/>
        <tr r="E10" s="72"/>
        <tr r="M8" s="84"/>
        <tr r="M8" s="84"/>
        <tr r="H7" s="84"/>
        <tr r="H7" s="84"/>
        <tr r="X52" s="71"/>
        <tr r="S12" s="71"/>
        <tr r="F50" s="72"/>
        <tr r="H29" s="104"/>
        <tr r="O34" s="71"/>
        <tr r="I47" s="71"/>
        <tr r="D27" s="75"/>
        <tr r="L32" s="104"/>
        <tr r="M9" s="85"/>
        <tr r="M9" s="85"/>
        <tr r="J25" s="71"/>
        <tr r="C49" s="71"/>
        <tr r="AA31" s="71"/>
        <tr r="D32" s="71"/>
        <tr r="M43" s="84"/>
        <tr r="M43" s="84"/>
        <tr r="E45" s="71"/>
        <tr r="B20" s="104"/>
        <tr r="C46" s="75"/>
        <tr r="E14" s="72"/>
        <tr r="D58" s="75"/>
        <tr r="J13" s="104"/>
        <tr r="Q25" s="84"/>
        <tr r="Q25" s="84"/>
        <tr r="M41" s="71"/>
        <tr r="G20" s="71"/>
        <tr r="I34" s="104"/>
        <tr r="D32" s="104"/>
        <tr r="T14" s="71"/>
        <tr r="I39" s="104"/>
        <tr r="B17" s="50"/>
        <tr r="E30" s="72"/>
        <tr r="G8" s="85"/>
        <tr r="G8" s="85"/>
        <tr r="G12" s="84"/>
        <tr r="G12" s="84"/>
        <tr r="Q19" s="84"/>
        <tr r="Q19" s="84"/>
        <tr r="O19" s="84"/>
        <tr r="O19" s="84"/>
        <tr r="C46" s="76"/>
        <tr r="N43" s="104"/>
        <tr r="C103" s="72"/>
        <tr r="J37" s="104"/>
        <tr r="F49" s="76"/>
        <tr r="C30" s="75"/>
        <tr r="W31" s="71"/>
        <tr r="Z25" s="71"/>
        <tr r="AB14" s="71"/>
        <tr r="U37" s="71"/>
        <tr r="E48" s="104"/>
        <tr r="C110" s="72"/>
        <tr r="T15" s="71"/>
        <tr r="R23" s="71"/>
        <tr r="Y22" s="71"/>
        <tr r="I10" s="85"/>
        <tr r="I10" s="85"/>
        <tr r="I23" s="84"/>
        <tr r="I23" s="84"/>
        <tr r="C65" s="76"/>
        <tr r="C62" s="75"/>
        <tr r="B25" s="104"/>
        <tr r="T31" s="71"/>
        <tr r="L27" s="84"/>
        <tr r="AA49" s="71"/>
        <tr r="H31" s="104"/>
        <tr r="F28" s="71"/>
        <tr r="L38" s="104"/>
        <tr r="J30" s="71"/>
        <tr r="Q62" s="84"/>
        <tr r="Q62" s="84"/>
        <tr r="D7" s="72"/>
        <tr r="AC30" s="71"/>
        <tr r="Q30" s="84"/>
        <tr r="C27" s="84"/>
        <tr r="M43" s="71"/>
        <tr r="K16" s="84"/>
        <tr r="K16" s="84"/>
        <tr r="R15" s="71"/>
        <tr r="C45" s="84"/>
        <tr r="T7" s="71"/>
        <tr r="F111" s="72"/>
        <tr r="C87" s="72"/>
        <tr r="J27" s="71"/>
        <tr r="E8" s="104"/>
        <tr r="V18" s="71"/>
        <tr r="P30" s="84"/>
        <tr r="H26" s="84"/>
        <tr r="H26" s="84"/>
        <tr r="Q23" s="84"/>
        <tr r="Q23" s="84"/>
        <tr r="C55" s="76"/>
        <tr r="N24" s="84"/>
        <tr r="N24" s="84"/>
        <tr r="O22" s="84"/>
        <tr r="O22" s="84"/>
        <tr r="M30" s="84"/>
        <tr r="C49" s="76"/>
        <tr r="E32" s="71"/>
        <tr r="J39" s="71"/>
        <tr r="J16" s="71"/>
        <tr r="I58" s="84"/>
        <tr r="I58" s="84"/>
        <tr r="D62" s="84"/>
        <tr r="E30" s="71"/>
        <tr r="AB43" s="71"/>
        <tr r="S56" s="71"/>
        <tr r="G11" s="104"/>
        <tr r="M7" s="85"/>
        <tr r="R58" s="71"/>
        <tr r="J34" s="71"/>
        <tr r="N28" s="104"/>
        <tr r="D16" s="104"/>
        <tr r="W42" s="71"/>
        <tr r="H29" s="71"/>
        <tr r="AB38" s="71"/>
        <tr r="Y7" s="71"/>
        <tr r="H42" s="71"/>
        <tr r="N53" s="104"/>
        <tr r="G16" s="84"/>
        <tr r="G16" s="84"/>
        <tr r="K21" s="84"/>
        <tr r="K21" s="84"/>
        <tr r="I24" s="71"/>
        <tr r="E14" s="76"/>
        <tr r="U47" s="71"/>
        <tr r="F22" s="72"/>
        <tr r="D77" s="72"/>
        <tr r="H46" s="84"/>
        <tr r="C20" s="72"/>
        <tr r="O8" s="85"/>
        <tr r="O8" s="85"/>
        <tr r="R45" s="71"/>
        <tr r="G23" s="84"/>
        <tr r="G23" s="84"/>
        <tr r="I6" s="84"/>
        <tr r="I6" s="84"/>
        <tr r="F30" s="76"/>
        <tr r="K8" s="71"/>
        <tr r="D52" s="72"/>
        <tr r="C27" s="71"/>
        <tr r="B31" s="104"/>
        <tr r="C76" s="72"/>
        <tr r="S28" s="71"/>
        <tr r="D28" s="72"/>
        <tr r="C9" s="75"/>
        <tr r="L17" s="84"/>
        <tr r="AB40" s="71"/>
        <tr r="H40" s="104"/>
        <tr r="L6" s="84"/>
        <tr r="M7" s="84"/>
        <tr r="M7" s="84"/>
        <tr r="H29" s="84"/>
        <tr r="X32" s="71"/>
        <tr r="C74" s="72"/>
        <tr r="D84" s="72"/>
        <tr r="AC58" s="71"/>
        <tr r="N10" s="85"/>
        <tr r="N10" s="85"/>
        <tr r="C19" s="84"/>
        <tr r="J26" s="84"/>
        <tr r="J26" s="84"/>
        <tr r="D34" s="72"/>
        <tr r="F48" s="75"/>
        <tr r="C33" s="104"/>
        <tr r="N35" s="71"/>
        <tr r="D22" s="104"/>
        <tr r="C51" s="75"/>
        <tr r="F60" s="75"/>
        <tr r="G18" s="104"/>
        <tr r="X23" s="71"/>
        <tr r="C75" s="72"/>
        <tr r="E11" s="72"/>
        <tr r="X31" s="71"/>
        <tr r="F6" s="85"/>
        <tr r="F6" s="85"/>
        <tr r="N25" s="84"/>
        <tr r="N25" s="84"/>
        <tr r="K15" s="84"/>
        <tr r="K15" s="84"/>
        <tr r="O20" s="84"/>
        <tr r="O20" s="84"/>
        <tr r="F48" s="104"/>
        <tr r="C53" s="76"/>
        <tr r="F21" s="84"/>
        <tr r="F21" s="84"/>
        <tr r="N29" s="84"/>
        <tr r="K7" s="84"/>
        <tr r="K7" s="84"/>
        <tr r="E13" s="75"/>
        <tr r="E23" s="75"/>
        <tr r="M53" s="71"/>
        <tr r="Y54" s="71"/>
        <tr r="J29" s="104"/>
        <tr r="D23" s="104"/>
        <tr r="C47" s="84"/>
        <tr r="F63" s="84"/>
        <tr r="L44" s="84"/>
        <tr r="D42" s="76"/>
        <tr r="AD19" s="71"/>
        <tr r="M36" s="104"/>
        <tr r="D18" s="104"/>
        <tr r="E35" s="71"/>
        <tr r="G39" s="104"/>
        <tr r="R34" s="71"/>
        <tr r="M6" s="85"/>
        <tr r="M6" s="85"/>
        <tr r="F37" s="72"/>
        <tr r="N46" s="71"/>
        <tr r="AD47" s="71"/>
        <tr r="K56" s="71"/>
        <tr r="C89" s="72"/>
        <tr r="H12" s="71"/>
        <tr r="F47" s="76"/>
        <tr r="E53" s="71"/>
        <tr r="F30" s="75"/>
        <tr r="D52" s="75"/>
        <tr r="L12" s="104"/>
        <tr r="C44" s="72"/>
        <tr r="D63" s="72"/>
        <tr r="T53" s="71"/>
        <tr r="C21" s="72"/>
        <tr r="K50" s="104"/>
        <tr r="AA41" s="71"/>
        <tr r="C21" s="76"/>
        <tr r="D52" s="71"/>
        <tr r="C42" s="75"/>
        <tr r="D60" s="75"/>
        <tr r="F33" s="104"/>
        <tr r="E15" s="76"/>
        <tr r="F70" s="72"/>
        <tr r="W9" s="71"/>
        <tr r="E14" s="75"/>
        <tr r="W11" s="71"/>
        <tr r="AD24" s="71"/>
        <tr r="W33" s="71"/>
        <tr r="C9" s="104"/>
        <tr r="X17" s="71"/>
        <tr r="X39" s="71"/>
        <tr r="C31" s="104"/>
        <tr r="B51" s="104"/>
        <tr r="E54" s="72"/>
        <tr r="C55" s="72"/>
        <tr r="H41" s="71"/>
        <tr r="H24" s="71"/>
        <tr r="F24" s="71"/>
        <tr r="AA32" s="71"/>
        <tr r="H32" s="71"/>
        <tr r="E36" s="71"/>
        <tr r="C36" s="71"/>
        <tr r="I36" s="71"/>
        <tr r="I25" s="71"/>
        <tr r="V40" s="71"/>
        <tr r="D40" s="71"/>
        <tr r="E40" s="71"/>
        <tr r="C15" s="71"/>
        <tr r="C48" s="71"/>
        <tr r="D16" s="76"/>
        <tr r="F55" s="76"/>
        <tr r="F21" s="76"/>
        <tr r="F10" s="76"/>
        <tr r="F42" s="76"/>
        <tr r="F45" s="76"/>
        <tr r="F46" s="76"/>
        <tr r="D63" s="76"/>
        <tr r="E13" s="76"/>
        <tr r="C24" s="76"/>
        <tr r="E30" s="76"/>
        <tr r="D47" s="76"/>
        <tr r="C9" s="76"/>
        <tr r="F48" s="76"/>
        <tr r="E8" s="76"/>
        <tr r="E20" s="76"/>
        <tr r="C20" s="76"/>
        <tr r="C29" s="76"/>
        <tr r="AB57" s="71"/>
        <tr r="AA57" s="71"/>
        <tr r="C88" s="72"/>
        <tr r="C97" s="72"/>
        <tr r="C78" s="72"/>
        <tr r="C71" s="72"/>
        <tr r="AA53" s="71"/>
        <tr r="J53" s="71"/>
        <tr r="F53" s="71"/>
        <tr r="I53" s="71"/>
        <tr r="J12" s="71"/>
        <tr r="Z12" s="71"/>
        <tr r="U12" s="71"/>
        <tr r="U15" s="71"/>
        <tr r="U23" s="71"/>
        <tr r="D19" s="104"/>
        <tr r="J9" s="104"/>
        <tr r="G19" s="104"/>
        <tr r="E39" s="104"/>
        <tr r="H37" s="104"/>
        <tr r="H49" s="104"/>
        <tr r="J38" s="104"/>
        <tr r="K21" s="104"/>
        <tr r="H30" s="104"/>
        <tr r="K20" s="104"/>
        <tr r="J20" s="104"/>
        <tr r="K16" s="104"/>
        <tr r="I31" s="104"/>
        <tr r="J11" s="104"/>
        <tr r="N16" s="104"/>
        <tr r="L40" s="104"/>
        <tr r="I18" s="104"/>
        <tr r="I10" s="104"/>
        <tr r="M37" s="104"/>
        <tr r="D42" s="104"/>
        <tr r="I32" s="104"/>
        <tr r="M12" s="104"/>
        <tr r="D36" s="104"/>
        <tr r="N19" s="104"/>
        <tr r="E22" s="104"/>
        <tr r="G16" s="104"/>
        <tr r="J14" s="104"/>
        <tr r="D29" s="104"/>
        <tr r="F36" s="104"/>
        <tr r="N29" s="104"/>
        <tr r="F47" s="104"/>
        <tr r="K42" s="104"/>
        <tr r="F23" s="104"/>
        <tr r="H45" s="104"/>
        <tr r="N26" s="104"/>
        <tr r="K30" s="104"/>
        <tr r="N25" s="104"/>
        <tr r="J7" s="104"/>
        <tr r="F8" s="104"/>
        <tr r="F45" s="104"/>
        <tr r="L31" s="104"/>
        <tr r="N46" s="104"/>
        <tr r="J46" s="104"/>
        <tr r="E10" s="104"/>
        <tr r="F11" s="104"/>
        <tr r="E19" s="104"/>
        <tr r="F19" s="75"/>
        <tr r="T43" s="71"/>
        <tr r="J43" s="71"/>
        <tr r="S43" s="71"/>
        <tr r="AA21" s="71"/>
        <tr r="J46" s="71"/>
        <tr r="AB46" s="71"/>
        <tr r="M46" s="71"/>
        <tr r="W35" s="71"/>
        <tr r="W44" s="71"/>
        <tr r="W54" s="71"/>
        <tr r="W15" s="71"/>
        <tr r="B6" s="50"/>
        <tr r="B16" s="50"/>
        <tr r="B10" s="50"/>
        <tr r="AC33" s="71"/>
        <tr r="AC42" s="71"/>
        <tr r="AC56" s="71"/>
        <tr r="F91" s="72"/>
        <tr r="C91" s="72"/>
        <tr r="K37" s="104"/>
        <tr r="D37" s="104"/>
        <tr r="C37" s="104"/>
        <tr r="L7" s="85"/>
        <tr r="H10" s="85"/>
        <tr r="H10" s="85"/>
        <tr r="G7" s="85"/>
        <tr r="D106" s="72"/>
        <tr r="D90" s="72"/>
        <tr r="D88" s="72"/>
        <tr r="D86" s="72"/>
        <tr r="D72" s="72"/>
        <tr r="D107" s="72"/>
        <tr r="D78" s="72"/>
        <tr r="D103" s="72"/>
        <tr r="D110" s="72"/>
        <tr r="D68" s="72"/>
        <tr r="D73" s="72"/>
        <tr r="D67" s="72"/>
        <tr r="D92" s="72"/>
        <tr r="D64" s="72"/>
        <tr r="D99" s="72"/>
        <tr r="D94" s="72"/>
        <tr r="H15" s="104"/>
        <tr r="N15" s="104"/>
        <tr r="B15" s="104"/>
        <tr r="N38" s="71"/>
        <tr r="X38" s="71"/>
        <tr r="J38" s="71"/>
        <tr r="S38" s="71"/>
        <tr r="U38" s="71"/>
        <tr r="V38" s="71"/>
        <tr r="R38" s="71"/>
        <tr r="AD38" s="71"/>
        <tr r="D17" s="75"/>
        <tr r="F17" s="75"/>
        <tr r="M48" s="104"/>
        <tr r="G48" s="104"/>
        <tr r="J48" s="104"/>
        <tr r="Z18" s="71"/>
        <tr r="S18" s="71"/>
        <tr r="U18" s="71"/>
        <tr r="O18" s="71"/>
        <tr r="F18" s="71"/>
        <tr r="C18" s="71"/>
        <tr r="E18" s="71"/>
        <tr r="AB18" s="71"/>
        <tr r="AD18" s="71"/>
        <tr r="N18" s="71"/>
        <tr r="J18" s="71"/>
        <tr r="L18" s="71"/>
        <tr r="F47" s="72"/>
        <tr r="C47" s="72"/>
        <tr r="D47" s="72"/>
        <tr r="D59" s="75"/>
        <tr r="C59" s="75"/>
        <tr r="F59" s="75"/>
        <tr r="D81" s="72"/>
        <tr r="D19" s="75"/>
        <tr r="H25" s="71"/>
        <tr r="G24" s="71"/>
        <tr r="W13" s="71"/>
        <tr r="C13" s="76"/>
        <tr r="F36" s="71"/>
        <tr r="F58" s="76"/>
        <tr r="X15" s="71"/>
        <tr r="Z23" s="71"/>
        <tr r="AC57" s="71"/>
        <tr r="F21" s="71"/>
        <tr r="I29" s="104"/>
        <tr r="C18" s="75"/>
        <tr r="M52" s="71"/>
        <tr r="D25" s="72"/>
        <tr r="K15" s="104"/>
        <tr r="E37" s="104"/>
        <tr r="C24" s="71"/>
        <tr r="C50" s="75"/>
        <tr r="E29" s="76"/>
        <tr r="H14" s="71"/>
        <tr r="D25" s="75"/>
        <tr r="F34" s="72"/>
      </tp>
    </main>
  </volType>
</volTypes>
</file>

<file path=xl/_rels/workbook.xml.rels><?xml version="1.0" encoding="UTF-8" standalone="yes"?>
<Relationships xmlns="http://schemas.openxmlformats.org/package/2006/relationships"><Relationship Id="rId117" Type="http://schemas.openxmlformats.org/officeDocument/2006/relationships/customXml" Target="../customXml/item18.xml"/><Relationship Id="rId21" Type="http://schemas.openxmlformats.org/officeDocument/2006/relationships/worksheet" Target="worksheets/sheet21.xml"/><Relationship Id="rId42" Type="http://schemas.openxmlformats.org/officeDocument/2006/relationships/pivotCacheDefinition" Target="pivotCache/pivotCacheDefinition1.xml"/><Relationship Id="rId63" Type="http://schemas.openxmlformats.org/officeDocument/2006/relationships/pivotCacheDefinition" Target="pivotCache/pivotCacheDefinition22.xml"/><Relationship Id="rId84" Type="http://schemas.microsoft.com/office/2007/relationships/slicerCache" Target="slicerCaches/slicerCache6.xml"/><Relationship Id="rId138" Type="http://schemas.openxmlformats.org/officeDocument/2006/relationships/customXml" Target="../customXml/item39.xml"/><Relationship Id="rId159" Type="http://schemas.openxmlformats.org/officeDocument/2006/relationships/customXml" Target="../customXml/item60.xml"/><Relationship Id="rId107" Type="http://schemas.openxmlformats.org/officeDocument/2006/relationships/customXml" Target="../customXml/item8.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pivotCacheDefinition" Target="pivotCache/pivotCacheDefinition12.xml"/><Relationship Id="rId74" Type="http://schemas.openxmlformats.org/officeDocument/2006/relationships/pivotCacheDefinition" Target="pivotCache/pivotCacheDefinition33.xml"/><Relationship Id="rId128" Type="http://schemas.openxmlformats.org/officeDocument/2006/relationships/customXml" Target="../customXml/item29.xml"/><Relationship Id="rId149" Type="http://schemas.openxmlformats.org/officeDocument/2006/relationships/customXml" Target="../customXml/item50.xml"/><Relationship Id="rId5" Type="http://schemas.openxmlformats.org/officeDocument/2006/relationships/worksheet" Target="worksheets/sheet5.xml"/><Relationship Id="rId95" Type="http://schemas.openxmlformats.org/officeDocument/2006/relationships/styles" Target="styles.xml"/><Relationship Id="rId160" Type="http://schemas.openxmlformats.org/officeDocument/2006/relationships/customXml" Target="../customXml/item61.xml"/><Relationship Id="rId22" Type="http://schemas.openxmlformats.org/officeDocument/2006/relationships/worksheet" Target="worksheets/sheet22.xml"/><Relationship Id="rId43" Type="http://schemas.openxmlformats.org/officeDocument/2006/relationships/pivotCacheDefinition" Target="pivotCache/pivotCacheDefinition2.xml"/><Relationship Id="rId64" Type="http://schemas.openxmlformats.org/officeDocument/2006/relationships/pivotCacheDefinition" Target="pivotCache/pivotCacheDefinition23.xml"/><Relationship Id="rId118" Type="http://schemas.openxmlformats.org/officeDocument/2006/relationships/customXml" Target="../customXml/item19.xml"/><Relationship Id="rId139" Type="http://schemas.openxmlformats.org/officeDocument/2006/relationships/customXml" Target="../customXml/item40.xml"/><Relationship Id="rId85" Type="http://schemas.microsoft.com/office/2007/relationships/slicerCache" Target="slicerCaches/slicerCache7.xml"/><Relationship Id="rId150" Type="http://schemas.openxmlformats.org/officeDocument/2006/relationships/customXml" Target="../customXml/item51.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pivotCacheDefinition" Target="pivotCache/pivotCacheDefinition18.xml"/><Relationship Id="rId103" Type="http://schemas.openxmlformats.org/officeDocument/2006/relationships/customXml" Target="../customXml/item4.xml"/><Relationship Id="rId108" Type="http://schemas.openxmlformats.org/officeDocument/2006/relationships/customXml" Target="../customXml/item9.xml"/><Relationship Id="rId124" Type="http://schemas.openxmlformats.org/officeDocument/2006/relationships/customXml" Target="../customXml/item25.xml"/><Relationship Id="rId129" Type="http://schemas.openxmlformats.org/officeDocument/2006/relationships/customXml" Target="../customXml/item30.xml"/><Relationship Id="rId54" Type="http://schemas.openxmlformats.org/officeDocument/2006/relationships/pivotCacheDefinition" Target="pivotCache/pivotCacheDefinition13.xml"/><Relationship Id="rId70" Type="http://schemas.openxmlformats.org/officeDocument/2006/relationships/pivotCacheDefinition" Target="pivotCache/pivotCacheDefinition29.xml"/><Relationship Id="rId75" Type="http://schemas.openxmlformats.org/officeDocument/2006/relationships/pivotCacheDefinition" Target="pivotCache/pivotCacheDefinition34.xml"/><Relationship Id="rId91" Type="http://schemas.microsoft.com/office/2007/relationships/slicerCache" Target="slicerCaches/slicerCache13.xml"/><Relationship Id="rId96" Type="http://schemas.openxmlformats.org/officeDocument/2006/relationships/sharedStrings" Target="sharedStrings.xml"/><Relationship Id="rId140" Type="http://schemas.openxmlformats.org/officeDocument/2006/relationships/customXml" Target="../customXml/item41.xml"/><Relationship Id="rId145" Type="http://schemas.openxmlformats.org/officeDocument/2006/relationships/customXml" Target="../customXml/item46.xml"/><Relationship Id="rId161" Type="http://schemas.openxmlformats.org/officeDocument/2006/relationships/customXml" Target="../customXml/item62.xml"/><Relationship Id="rId166" Type="http://schemas.openxmlformats.org/officeDocument/2006/relationships/customXml" Target="../customXml/item67.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pivotCacheDefinition" Target="pivotCache/pivotCacheDefinition8.xml"/><Relationship Id="rId114" Type="http://schemas.openxmlformats.org/officeDocument/2006/relationships/customXml" Target="../customXml/item15.xml"/><Relationship Id="rId119" Type="http://schemas.openxmlformats.org/officeDocument/2006/relationships/customXml" Target="../customXml/item20.xml"/><Relationship Id="rId44" Type="http://schemas.openxmlformats.org/officeDocument/2006/relationships/pivotCacheDefinition" Target="pivotCache/pivotCacheDefinition3.xml"/><Relationship Id="rId60" Type="http://schemas.openxmlformats.org/officeDocument/2006/relationships/pivotCacheDefinition" Target="pivotCache/pivotCacheDefinition19.xml"/><Relationship Id="rId65" Type="http://schemas.openxmlformats.org/officeDocument/2006/relationships/pivotCacheDefinition" Target="pivotCache/pivotCacheDefinition24.xml"/><Relationship Id="rId81" Type="http://schemas.microsoft.com/office/2007/relationships/slicerCache" Target="slicerCaches/slicerCache3.xml"/><Relationship Id="rId86" Type="http://schemas.microsoft.com/office/2007/relationships/slicerCache" Target="slicerCaches/slicerCache8.xml"/><Relationship Id="rId130" Type="http://schemas.openxmlformats.org/officeDocument/2006/relationships/customXml" Target="../customXml/item31.xml"/><Relationship Id="rId135" Type="http://schemas.openxmlformats.org/officeDocument/2006/relationships/customXml" Target="../customXml/item36.xml"/><Relationship Id="rId151" Type="http://schemas.openxmlformats.org/officeDocument/2006/relationships/customXml" Target="../customXml/item52.xml"/><Relationship Id="rId156" Type="http://schemas.openxmlformats.org/officeDocument/2006/relationships/customXml" Target="../customXml/item57.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customXml" Target="../customXml/item10.xml"/><Relationship Id="rId34" Type="http://schemas.openxmlformats.org/officeDocument/2006/relationships/worksheet" Target="worksheets/sheet34.xml"/><Relationship Id="rId50" Type="http://schemas.openxmlformats.org/officeDocument/2006/relationships/pivotCacheDefinition" Target="pivotCache/pivotCacheDefinition9.xml"/><Relationship Id="rId55" Type="http://schemas.openxmlformats.org/officeDocument/2006/relationships/pivotCacheDefinition" Target="pivotCache/pivotCacheDefinition14.xml"/><Relationship Id="rId76" Type="http://schemas.openxmlformats.org/officeDocument/2006/relationships/pivotCacheDefinition" Target="pivotCache/pivotCacheDefinition35.xml"/><Relationship Id="rId97" Type="http://schemas.openxmlformats.org/officeDocument/2006/relationships/sheetMetadata" Target="metadata.xml"/><Relationship Id="rId104" Type="http://schemas.openxmlformats.org/officeDocument/2006/relationships/customXml" Target="../customXml/item5.xml"/><Relationship Id="rId120" Type="http://schemas.openxmlformats.org/officeDocument/2006/relationships/customXml" Target="../customXml/item21.xml"/><Relationship Id="rId125" Type="http://schemas.openxmlformats.org/officeDocument/2006/relationships/customXml" Target="../customXml/item26.xml"/><Relationship Id="rId141" Type="http://schemas.openxmlformats.org/officeDocument/2006/relationships/customXml" Target="../customXml/item42.xml"/><Relationship Id="rId146" Type="http://schemas.openxmlformats.org/officeDocument/2006/relationships/customXml" Target="../customXml/item47.xml"/><Relationship Id="rId167" Type="http://schemas.openxmlformats.org/officeDocument/2006/relationships/customXml" Target="../customXml/item68.xml"/><Relationship Id="rId7" Type="http://schemas.openxmlformats.org/officeDocument/2006/relationships/worksheet" Target="worksheets/sheet7.xml"/><Relationship Id="rId71" Type="http://schemas.openxmlformats.org/officeDocument/2006/relationships/pivotCacheDefinition" Target="pivotCache/pivotCacheDefinition30.xml"/><Relationship Id="rId92" Type="http://schemas.microsoft.com/office/2007/relationships/slicerCache" Target="slicerCaches/slicerCache14.xml"/><Relationship Id="rId162" Type="http://schemas.openxmlformats.org/officeDocument/2006/relationships/customXml" Target="../customXml/item63.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pivotCacheDefinition" Target="pivotCache/pivotCacheDefinition4.xml"/><Relationship Id="rId66" Type="http://schemas.openxmlformats.org/officeDocument/2006/relationships/pivotCacheDefinition" Target="pivotCache/pivotCacheDefinition25.xml"/><Relationship Id="rId87" Type="http://schemas.microsoft.com/office/2007/relationships/slicerCache" Target="slicerCaches/slicerCache9.xml"/><Relationship Id="rId110" Type="http://schemas.openxmlformats.org/officeDocument/2006/relationships/customXml" Target="../customXml/item11.xml"/><Relationship Id="rId115" Type="http://schemas.openxmlformats.org/officeDocument/2006/relationships/customXml" Target="../customXml/item16.xml"/><Relationship Id="rId131" Type="http://schemas.openxmlformats.org/officeDocument/2006/relationships/customXml" Target="../customXml/item32.xml"/><Relationship Id="rId136" Type="http://schemas.openxmlformats.org/officeDocument/2006/relationships/customXml" Target="../customXml/item37.xml"/><Relationship Id="rId157" Type="http://schemas.openxmlformats.org/officeDocument/2006/relationships/customXml" Target="../customXml/item58.xml"/><Relationship Id="rId61" Type="http://schemas.openxmlformats.org/officeDocument/2006/relationships/pivotCacheDefinition" Target="pivotCache/pivotCacheDefinition20.xml"/><Relationship Id="rId82" Type="http://schemas.microsoft.com/office/2007/relationships/slicerCache" Target="slicerCaches/slicerCache4.xml"/><Relationship Id="rId152" Type="http://schemas.openxmlformats.org/officeDocument/2006/relationships/customXml" Target="../customXml/item53.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pivotCacheDefinition" Target="pivotCache/pivotCacheDefinition15.xml"/><Relationship Id="rId77" Type="http://schemas.openxmlformats.org/officeDocument/2006/relationships/pivotCacheDefinition" Target="pivotCache/pivotCacheDefinition36.xml"/><Relationship Id="rId100" Type="http://schemas.openxmlformats.org/officeDocument/2006/relationships/customXml" Target="../customXml/item1.xml"/><Relationship Id="rId105" Type="http://schemas.openxmlformats.org/officeDocument/2006/relationships/customXml" Target="../customXml/item6.xml"/><Relationship Id="rId126" Type="http://schemas.openxmlformats.org/officeDocument/2006/relationships/customXml" Target="../customXml/item27.xml"/><Relationship Id="rId147" Type="http://schemas.openxmlformats.org/officeDocument/2006/relationships/customXml" Target="../customXml/item48.xml"/><Relationship Id="rId168" Type="http://schemas.openxmlformats.org/officeDocument/2006/relationships/volatileDependencies" Target="volatileDependencies.xml"/><Relationship Id="rId8" Type="http://schemas.openxmlformats.org/officeDocument/2006/relationships/worksheet" Target="worksheets/sheet8.xml"/><Relationship Id="rId51" Type="http://schemas.openxmlformats.org/officeDocument/2006/relationships/pivotCacheDefinition" Target="pivotCache/pivotCacheDefinition10.xml"/><Relationship Id="rId72" Type="http://schemas.openxmlformats.org/officeDocument/2006/relationships/pivotCacheDefinition" Target="pivotCache/pivotCacheDefinition31.xml"/><Relationship Id="rId93" Type="http://schemas.openxmlformats.org/officeDocument/2006/relationships/theme" Target="theme/theme1.xml"/><Relationship Id="rId98" Type="http://schemas.openxmlformats.org/officeDocument/2006/relationships/powerPivotData" Target="model/item.data"/><Relationship Id="rId121" Type="http://schemas.openxmlformats.org/officeDocument/2006/relationships/customXml" Target="../customXml/item22.xml"/><Relationship Id="rId142" Type="http://schemas.openxmlformats.org/officeDocument/2006/relationships/customXml" Target="../customXml/item43.xml"/><Relationship Id="rId163" Type="http://schemas.openxmlformats.org/officeDocument/2006/relationships/customXml" Target="../customXml/item64.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pivotCacheDefinition" Target="pivotCache/pivotCacheDefinition5.xml"/><Relationship Id="rId67" Type="http://schemas.openxmlformats.org/officeDocument/2006/relationships/pivotCacheDefinition" Target="pivotCache/pivotCacheDefinition26.xml"/><Relationship Id="rId116" Type="http://schemas.openxmlformats.org/officeDocument/2006/relationships/customXml" Target="../customXml/item17.xml"/><Relationship Id="rId137" Type="http://schemas.openxmlformats.org/officeDocument/2006/relationships/customXml" Target="../customXml/item38.xml"/><Relationship Id="rId158" Type="http://schemas.openxmlformats.org/officeDocument/2006/relationships/customXml" Target="../customXml/item59.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pivotCacheDefinition" Target="pivotCache/pivotCacheDefinition21.xml"/><Relationship Id="rId83" Type="http://schemas.microsoft.com/office/2007/relationships/slicerCache" Target="slicerCaches/slicerCache5.xml"/><Relationship Id="rId88" Type="http://schemas.microsoft.com/office/2007/relationships/slicerCache" Target="slicerCaches/slicerCache10.xml"/><Relationship Id="rId111" Type="http://schemas.openxmlformats.org/officeDocument/2006/relationships/customXml" Target="../customXml/item12.xml"/><Relationship Id="rId132" Type="http://schemas.openxmlformats.org/officeDocument/2006/relationships/customXml" Target="../customXml/item33.xml"/><Relationship Id="rId153" Type="http://schemas.openxmlformats.org/officeDocument/2006/relationships/customXml" Target="../customXml/item54.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pivotCacheDefinition" Target="pivotCache/pivotCacheDefinition16.xml"/><Relationship Id="rId106" Type="http://schemas.openxmlformats.org/officeDocument/2006/relationships/customXml" Target="../customXml/item7.xml"/><Relationship Id="rId127" Type="http://schemas.openxmlformats.org/officeDocument/2006/relationships/customXml" Target="../customXml/item28.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pivotCacheDefinition" Target="pivotCache/pivotCacheDefinition11.xml"/><Relationship Id="rId73" Type="http://schemas.openxmlformats.org/officeDocument/2006/relationships/pivotCacheDefinition" Target="pivotCache/pivotCacheDefinition32.xml"/><Relationship Id="rId78" Type="http://schemas.openxmlformats.org/officeDocument/2006/relationships/pivotCacheDefinition" Target="pivotCache/pivotCacheDefinition37.xml"/><Relationship Id="rId94" Type="http://schemas.openxmlformats.org/officeDocument/2006/relationships/connections" Target="connections.xml"/><Relationship Id="rId99" Type="http://schemas.openxmlformats.org/officeDocument/2006/relationships/calcChain" Target="calcChain.xml"/><Relationship Id="rId101" Type="http://schemas.openxmlformats.org/officeDocument/2006/relationships/customXml" Target="../customXml/item2.xml"/><Relationship Id="rId122" Type="http://schemas.openxmlformats.org/officeDocument/2006/relationships/customXml" Target="../customXml/item23.xml"/><Relationship Id="rId143" Type="http://schemas.openxmlformats.org/officeDocument/2006/relationships/customXml" Target="../customXml/item44.xml"/><Relationship Id="rId148" Type="http://schemas.openxmlformats.org/officeDocument/2006/relationships/customXml" Target="../customXml/item49.xml"/><Relationship Id="rId164" Type="http://schemas.openxmlformats.org/officeDocument/2006/relationships/customXml" Target="../customXml/item65.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pivotCacheDefinition" Target="pivotCache/pivotCacheDefinition6.xml"/><Relationship Id="rId68" Type="http://schemas.openxmlformats.org/officeDocument/2006/relationships/pivotCacheDefinition" Target="pivotCache/pivotCacheDefinition27.xml"/><Relationship Id="rId89" Type="http://schemas.microsoft.com/office/2007/relationships/slicerCache" Target="slicerCaches/slicerCache11.xml"/><Relationship Id="rId112" Type="http://schemas.openxmlformats.org/officeDocument/2006/relationships/customXml" Target="../customXml/item13.xml"/><Relationship Id="rId133" Type="http://schemas.openxmlformats.org/officeDocument/2006/relationships/customXml" Target="../customXml/item34.xml"/><Relationship Id="rId154" Type="http://schemas.openxmlformats.org/officeDocument/2006/relationships/customXml" Target="../customXml/item55.xml"/><Relationship Id="rId16" Type="http://schemas.openxmlformats.org/officeDocument/2006/relationships/worksheet" Target="worksheets/sheet16.xml"/><Relationship Id="rId37" Type="http://schemas.openxmlformats.org/officeDocument/2006/relationships/worksheet" Target="worksheets/sheet37.xml"/><Relationship Id="rId58" Type="http://schemas.openxmlformats.org/officeDocument/2006/relationships/pivotCacheDefinition" Target="pivotCache/pivotCacheDefinition17.xml"/><Relationship Id="rId79" Type="http://schemas.microsoft.com/office/2007/relationships/slicerCache" Target="slicerCaches/slicerCache1.xml"/><Relationship Id="rId102" Type="http://schemas.openxmlformats.org/officeDocument/2006/relationships/customXml" Target="../customXml/item3.xml"/><Relationship Id="rId123" Type="http://schemas.openxmlformats.org/officeDocument/2006/relationships/customXml" Target="../customXml/item24.xml"/><Relationship Id="rId144" Type="http://schemas.openxmlformats.org/officeDocument/2006/relationships/customXml" Target="../customXml/item45.xml"/><Relationship Id="rId90" Type="http://schemas.microsoft.com/office/2007/relationships/slicerCache" Target="slicerCaches/slicerCache12.xml"/><Relationship Id="rId165" Type="http://schemas.openxmlformats.org/officeDocument/2006/relationships/customXml" Target="../customXml/item66.xml"/><Relationship Id="rId27" Type="http://schemas.openxmlformats.org/officeDocument/2006/relationships/worksheet" Target="worksheets/sheet27.xml"/><Relationship Id="rId48" Type="http://schemas.openxmlformats.org/officeDocument/2006/relationships/pivotCacheDefinition" Target="pivotCache/pivotCacheDefinition7.xml"/><Relationship Id="rId69" Type="http://schemas.openxmlformats.org/officeDocument/2006/relationships/pivotCacheDefinition" Target="pivotCache/pivotCacheDefinition28.xml"/><Relationship Id="rId113" Type="http://schemas.openxmlformats.org/officeDocument/2006/relationships/customXml" Target="../customXml/item14.xml"/><Relationship Id="rId134" Type="http://schemas.openxmlformats.org/officeDocument/2006/relationships/customXml" Target="../customXml/item35.xml"/><Relationship Id="rId80" Type="http://schemas.microsoft.com/office/2007/relationships/slicerCache" Target="slicerCaches/slicerCache2.xml"/><Relationship Id="rId155" Type="http://schemas.openxmlformats.org/officeDocument/2006/relationships/customXml" Target="../customXml/item56.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Ex1.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mk-MK"/>
              <a:t>Буџет планиран за 20</a:t>
            </a:r>
            <a:r>
              <a:rPr lang="en-US"/>
              <a:t>23</a:t>
            </a:r>
            <a:endParaRPr lang="mk-MK"/>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tx>
            <c:strRef>
              <c:f>Grafici!$B$1</c:f>
              <c:strCache>
                <c:ptCount val="1"/>
                <c:pt idx="0">
                  <c:v>Буџет планиран за 2023</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C52B-4BED-8BC4-5759602B6373}"/>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C52B-4BED-8BC4-5759602B6373}"/>
              </c:ext>
            </c:extLst>
          </c:dPt>
          <c:dLbls>
            <c:dLbl>
              <c:idx val="0"/>
              <c:layout>
                <c:manualLayout>
                  <c:x val="0.14584990718642271"/>
                  <c:y val="7.7413479052823295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C52B-4BED-8BC4-5759602B6373}"/>
                </c:ext>
              </c:extLst>
            </c:dLbl>
            <c:dLbl>
              <c:idx val="1"/>
              <c:layout>
                <c:manualLayout>
                  <c:x val="-0.2056205981412228"/>
                  <c:y val="-0.2545419015246046"/>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C52B-4BED-8BC4-5759602B6373}"/>
                </c:ext>
              </c:extLst>
            </c:dLbl>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n-US"/>
              </a:p>
            </c:txPr>
            <c:dLblPos val="outEnd"/>
            <c:showLegendKey val="0"/>
            <c:showVal val="0"/>
            <c:showCatName val="1"/>
            <c:showSerName val="0"/>
            <c:showPercent val="1"/>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ext>
            </c:extLst>
          </c:dLbls>
          <c:cat>
            <c:strRef>
              <c:f>Grafici!$A$2:$A$3</c:f>
              <c:strCache>
                <c:ptCount val="2"/>
                <c:pt idx="0">
                  <c:v>CAPEX (капитални инвестиции)</c:v>
                </c:pt>
                <c:pt idx="1">
                  <c:v>OPEX (оперативни трошоци (без амортизација)</c:v>
                </c:pt>
              </c:strCache>
            </c:strRef>
          </c:cat>
          <c:val>
            <c:numRef>
              <c:f>Grafici!$B$2:$B$3</c:f>
              <c:numCache>
                <c:formatCode>#,##0</c:formatCode>
                <c:ptCount val="2"/>
                <c:pt idx="0">
                  <c:v>123174850</c:v>
                </c:pt>
                <c:pt idx="1">
                  <c:v>337331635</c:v>
                </c:pt>
              </c:numCache>
            </c:numRef>
          </c:val>
          <c:extLst>
            <c:ext xmlns:c16="http://schemas.microsoft.com/office/drawing/2014/chart" uri="{C3380CC4-5D6E-409C-BE32-E72D297353CC}">
              <c16:uniqueId val="{00000000-ED43-41ED-8961-D3B602E297F8}"/>
            </c:ext>
          </c:extLst>
        </c:ser>
        <c:dLbls>
          <c:showLegendKey val="0"/>
          <c:showVal val="0"/>
          <c:showCatName val="0"/>
          <c:showSerName val="0"/>
          <c:showPercent val="0"/>
          <c:showBubbleSize val="0"/>
          <c:showLeaderLines val="0"/>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387994812052002"/>
          <c:y val="0.13700528046642391"/>
          <c:w val="0.58871045399663702"/>
          <c:h val="0.45012889940140882"/>
        </c:manualLayout>
      </c:layout>
      <c:barChart>
        <c:barDir val="col"/>
        <c:grouping val="clustered"/>
        <c:varyColors val="0"/>
        <c:ser>
          <c:idx val="0"/>
          <c:order val="0"/>
          <c:tx>
            <c:strRef>
              <c:f>Grafici!$A$9</c:f>
              <c:strCache>
                <c:ptCount val="1"/>
                <c:pt idx="0">
                  <c:v>Вкупно приходи</c:v>
                </c:pt>
              </c:strCache>
            </c:strRef>
          </c:tx>
          <c:spPr>
            <a:solidFill>
              <a:schemeClr val="accent1"/>
            </a:solidFill>
            <a:ln>
              <a:noFill/>
            </a:ln>
            <a:effectLst/>
          </c:spPr>
          <c:invertIfNegative val="0"/>
          <c:cat>
            <c:strRef>
              <c:f>Grafici!$B$7:$D$7</c:f>
              <c:strCache>
                <c:ptCount val="3"/>
                <c:pt idx="0">
                  <c:v>2021</c:v>
                </c:pt>
                <c:pt idx="1">
                  <c:v>2022</c:v>
                </c:pt>
                <c:pt idx="2">
                  <c:v>2023</c:v>
                </c:pt>
              </c:strCache>
            </c:strRef>
          </c:cat>
          <c:val>
            <c:numRef>
              <c:f>Grafici!$B$9:$D$9</c:f>
              <c:numCache>
                <c:formatCode>#,##0</c:formatCode>
                <c:ptCount val="3"/>
                <c:pt idx="0">
                  <c:v>361693480</c:v>
                </c:pt>
                <c:pt idx="1">
                  <c:v>377399865</c:v>
                </c:pt>
                <c:pt idx="2">
                  <c:v>405194919</c:v>
                </c:pt>
              </c:numCache>
            </c:numRef>
          </c:val>
          <c:extLst>
            <c:ext xmlns:c16="http://schemas.microsoft.com/office/drawing/2014/chart" uri="{C3380CC4-5D6E-409C-BE32-E72D297353CC}">
              <c16:uniqueId val="{00000009-C64B-452B-8E75-8B3D6997DB06}"/>
            </c:ext>
          </c:extLst>
        </c:ser>
        <c:ser>
          <c:idx val="1"/>
          <c:order val="1"/>
          <c:tx>
            <c:strRef>
              <c:f>Grafici!$A$11</c:f>
              <c:strCache>
                <c:ptCount val="1"/>
                <c:pt idx="0">
                  <c:v>Вкупно расходи без амортизација</c:v>
                </c:pt>
              </c:strCache>
            </c:strRef>
          </c:tx>
          <c:spPr>
            <a:solidFill>
              <a:schemeClr val="accent2"/>
            </a:solidFill>
            <a:ln>
              <a:noFill/>
            </a:ln>
            <a:effectLst/>
          </c:spPr>
          <c:invertIfNegative val="0"/>
          <c:cat>
            <c:strRef>
              <c:f>Grafici!$B$7:$D$7</c:f>
              <c:strCache>
                <c:ptCount val="3"/>
                <c:pt idx="0">
                  <c:v>2021</c:v>
                </c:pt>
                <c:pt idx="1">
                  <c:v>2022</c:v>
                </c:pt>
                <c:pt idx="2">
                  <c:v>2023</c:v>
                </c:pt>
              </c:strCache>
            </c:strRef>
          </c:cat>
          <c:val>
            <c:numRef>
              <c:f>Grafici!$B$11:$D$11</c:f>
              <c:numCache>
                <c:formatCode>#,##0</c:formatCode>
                <c:ptCount val="3"/>
                <c:pt idx="0">
                  <c:v>277035429</c:v>
                </c:pt>
                <c:pt idx="1">
                  <c:v>271811478</c:v>
                </c:pt>
                <c:pt idx="2">
                  <c:v>337331635</c:v>
                </c:pt>
              </c:numCache>
            </c:numRef>
          </c:val>
          <c:extLst>
            <c:ext xmlns:c16="http://schemas.microsoft.com/office/drawing/2014/chart" uri="{C3380CC4-5D6E-409C-BE32-E72D297353CC}">
              <c16:uniqueId val="{0000000A-C64B-452B-8E75-8B3D6997DB06}"/>
            </c:ext>
          </c:extLst>
        </c:ser>
        <c:ser>
          <c:idx val="2"/>
          <c:order val="2"/>
          <c:tx>
            <c:strRef>
              <c:f>Grafici!$A$12</c:f>
              <c:strCache>
                <c:ptCount val="1"/>
                <c:pt idx="0">
                  <c:v>Оперативна добивка (EBITDA)</c:v>
                </c:pt>
              </c:strCache>
            </c:strRef>
          </c:tx>
          <c:spPr>
            <a:solidFill>
              <a:schemeClr val="accent3"/>
            </a:solidFill>
            <a:ln>
              <a:noFill/>
            </a:ln>
            <a:effectLst/>
          </c:spPr>
          <c:invertIfNegative val="0"/>
          <c:cat>
            <c:strRef>
              <c:f>Grafici!$B$7:$D$7</c:f>
              <c:strCache>
                <c:ptCount val="3"/>
                <c:pt idx="0">
                  <c:v>2021</c:v>
                </c:pt>
                <c:pt idx="1">
                  <c:v>2022</c:v>
                </c:pt>
                <c:pt idx="2">
                  <c:v>2023</c:v>
                </c:pt>
              </c:strCache>
            </c:strRef>
          </c:cat>
          <c:val>
            <c:numRef>
              <c:f>Grafici!$B$12:$D$12</c:f>
              <c:numCache>
                <c:formatCode>#,##0</c:formatCode>
                <c:ptCount val="3"/>
                <c:pt idx="0">
                  <c:v>84658051</c:v>
                </c:pt>
                <c:pt idx="1">
                  <c:v>105588387</c:v>
                </c:pt>
                <c:pt idx="2">
                  <c:v>67863284</c:v>
                </c:pt>
              </c:numCache>
            </c:numRef>
          </c:val>
          <c:extLst>
            <c:ext xmlns:c16="http://schemas.microsoft.com/office/drawing/2014/chart" uri="{C3380CC4-5D6E-409C-BE32-E72D297353CC}">
              <c16:uniqueId val="{0000000C-C64B-452B-8E75-8B3D6997DB06}"/>
            </c:ext>
          </c:extLst>
        </c:ser>
        <c:ser>
          <c:idx val="3"/>
          <c:order val="3"/>
          <c:tx>
            <c:strRef>
              <c:f>Grafici!$A$13</c:f>
              <c:strCache>
                <c:ptCount val="1"/>
                <c:pt idx="0">
                  <c:v>Амортизација на материјални средства</c:v>
                </c:pt>
              </c:strCache>
            </c:strRef>
          </c:tx>
          <c:spPr>
            <a:solidFill>
              <a:schemeClr val="accent4"/>
            </a:solidFill>
            <a:ln>
              <a:noFill/>
            </a:ln>
            <a:effectLst/>
          </c:spPr>
          <c:invertIfNegative val="0"/>
          <c:cat>
            <c:strRef>
              <c:f>Grafici!$B$7:$D$7</c:f>
              <c:strCache>
                <c:ptCount val="3"/>
                <c:pt idx="0">
                  <c:v>2021</c:v>
                </c:pt>
                <c:pt idx="1">
                  <c:v>2022</c:v>
                </c:pt>
                <c:pt idx="2">
                  <c:v>2023</c:v>
                </c:pt>
              </c:strCache>
            </c:strRef>
          </c:cat>
          <c:val>
            <c:numRef>
              <c:f>Grafici!$B$13:$D$13</c:f>
              <c:numCache>
                <c:formatCode>#,##0</c:formatCode>
                <c:ptCount val="3"/>
                <c:pt idx="0">
                  <c:v>41686069</c:v>
                </c:pt>
                <c:pt idx="1">
                  <c:v>51784612</c:v>
                </c:pt>
                <c:pt idx="2">
                  <c:v>66484462</c:v>
                </c:pt>
              </c:numCache>
            </c:numRef>
          </c:val>
          <c:extLst>
            <c:ext xmlns:c16="http://schemas.microsoft.com/office/drawing/2014/chart" uri="{C3380CC4-5D6E-409C-BE32-E72D297353CC}">
              <c16:uniqueId val="{0000000D-C64B-452B-8E75-8B3D6997DB06}"/>
            </c:ext>
          </c:extLst>
        </c:ser>
        <c:ser>
          <c:idx val="4"/>
          <c:order val="4"/>
          <c:tx>
            <c:strRef>
              <c:f>Grafici!$A$14</c:f>
              <c:strCache>
                <c:ptCount val="1"/>
                <c:pt idx="0">
                  <c:v>Нето добивка</c:v>
                </c:pt>
              </c:strCache>
            </c:strRef>
          </c:tx>
          <c:spPr>
            <a:solidFill>
              <a:schemeClr val="accent5"/>
            </a:solidFill>
            <a:ln>
              <a:noFill/>
            </a:ln>
            <a:effectLst/>
          </c:spPr>
          <c:invertIfNegative val="0"/>
          <c:cat>
            <c:strRef>
              <c:f>Grafici!$B$7:$D$7</c:f>
              <c:strCache>
                <c:ptCount val="3"/>
                <c:pt idx="0">
                  <c:v>2021</c:v>
                </c:pt>
                <c:pt idx="1">
                  <c:v>2022</c:v>
                </c:pt>
                <c:pt idx="2">
                  <c:v>2023</c:v>
                </c:pt>
              </c:strCache>
            </c:strRef>
          </c:cat>
          <c:val>
            <c:numRef>
              <c:f>Grafici!$B$14:$D$14</c:f>
              <c:numCache>
                <c:formatCode>#,##0</c:formatCode>
                <c:ptCount val="3"/>
                <c:pt idx="0">
                  <c:v>42971982</c:v>
                </c:pt>
                <c:pt idx="1">
                  <c:v>53803775</c:v>
                </c:pt>
                <c:pt idx="2">
                  <c:v>1378822</c:v>
                </c:pt>
              </c:numCache>
            </c:numRef>
          </c:val>
          <c:extLst>
            <c:ext xmlns:c16="http://schemas.microsoft.com/office/drawing/2014/chart" uri="{C3380CC4-5D6E-409C-BE32-E72D297353CC}">
              <c16:uniqueId val="{0000000E-C64B-452B-8E75-8B3D6997DB06}"/>
            </c:ext>
          </c:extLst>
        </c:ser>
        <c:dLbls>
          <c:showLegendKey val="0"/>
          <c:showVal val="0"/>
          <c:showCatName val="0"/>
          <c:showSerName val="0"/>
          <c:showPercent val="0"/>
          <c:showBubbleSize val="0"/>
        </c:dLbls>
        <c:gapWidth val="219"/>
        <c:axId val="1427493648"/>
        <c:axId val="1427498544"/>
      </c:barChart>
      <c:lineChart>
        <c:grouping val="standard"/>
        <c:varyColors val="0"/>
        <c:ser>
          <c:idx val="5"/>
          <c:order val="5"/>
          <c:tx>
            <c:strRef>
              <c:f>Grafici!$A$15</c:f>
              <c:strCache>
                <c:ptCount val="1"/>
                <c:pt idx="0">
                  <c:v>Оперативна добивка - маржа, %</c:v>
                </c:pt>
              </c:strCache>
            </c:strRef>
          </c:tx>
          <c:spPr>
            <a:ln w="28575" cap="rnd">
              <a:solidFill>
                <a:schemeClr val="accent6"/>
              </a:solidFill>
              <a:round/>
            </a:ln>
            <a:effectLst/>
          </c:spPr>
          <c:marker>
            <c:symbol val="none"/>
          </c:marker>
          <c:cat>
            <c:strRef>
              <c:f>Grafici!$B$7:$D$7</c:f>
              <c:strCache>
                <c:ptCount val="3"/>
                <c:pt idx="0">
                  <c:v>2021</c:v>
                </c:pt>
                <c:pt idx="1">
                  <c:v>2022</c:v>
                </c:pt>
                <c:pt idx="2">
                  <c:v>2023</c:v>
                </c:pt>
              </c:strCache>
            </c:strRef>
          </c:cat>
          <c:val>
            <c:numRef>
              <c:f>Grafici!$B$15:$D$15</c:f>
              <c:numCache>
                <c:formatCode>0.0%</c:formatCode>
                <c:ptCount val="3"/>
                <c:pt idx="0">
                  <c:v>0.23406020755475052</c:v>
                </c:pt>
                <c:pt idx="1">
                  <c:v>0.27977855000027624</c:v>
                </c:pt>
                <c:pt idx="2">
                  <c:v>0.16748305770339633</c:v>
                </c:pt>
              </c:numCache>
            </c:numRef>
          </c:val>
          <c:smooth val="0"/>
          <c:extLst>
            <c:ext xmlns:c16="http://schemas.microsoft.com/office/drawing/2014/chart" uri="{C3380CC4-5D6E-409C-BE32-E72D297353CC}">
              <c16:uniqueId val="{0000000F-C64B-452B-8E75-8B3D6997DB06}"/>
            </c:ext>
          </c:extLst>
        </c:ser>
        <c:ser>
          <c:idx val="6"/>
          <c:order val="6"/>
          <c:tx>
            <c:strRef>
              <c:f>Grafici!$A$16</c:f>
              <c:strCache>
                <c:ptCount val="1"/>
                <c:pt idx="0">
                  <c:v>Нето добивка - маржа, %</c:v>
                </c:pt>
              </c:strCache>
            </c:strRef>
          </c:tx>
          <c:spPr>
            <a:ln w="28575" cap="rnd">
              <a:solidFill>
                <a:schemeClr val="accent1">
                  <a:lumMod val="60000"/>
                </a:schemeClr>
              </a:solidFill>
              <a:round/>
            </a:ln>
            <a:effectLst/>
          </c:spPr>
          <c:marker>
            <c:symbol val="none"/>
          </c:marker>
          <c:cat>
            <c:strRef>
              <c:f>Grafici!$B$7:$D$7</c:f>
              <c:strCache>
                <c:ptCount val="3"/>
                <c:pt idx="0">
                  <c:v>2021</c:v>
                </c:pt>
                <c:pt idx="1">
                  <c:v>2022</c:v>
                </c:pt>
                <c:pt idx="2">
                  <c:v>2023</c:v>
                </c:pt>
              </c:strCache>
            </c:strRef>
          </c:cat>
          <c:val>
            <c:numRef>
              <c:f>Grafici!$B$16:$D$16</c:f>
              <c:numCache>
                <c:formatCode>0.0%</c:formatCode>
                <c:ptCount val="3"/>
                <c:pt idx="0">
                  <c:v>0.11880773189497361</c:v>
                </c:pt>
                <c:pt idx="1">
                  <c:v>0.14256437267141048</c:v>
                </c:pt>
                <c:pt idx="2">
                  <c:v>3.4028610314336149E-3</c:v>
                </c:pt>
              </c:numCache>
            </c:numRef>
          </c:val>
          <c:smooth val="0"/>
          <c:extLst>
            <c:ext xmlns:c16="http://schemas.microsoft.com/office/drawing/2014/chart" uri="{C3380CC4-5D6E-409C-BE32-E72D297353CC}">
              <c16:uniqueId val="{00000010-C64B-452B-8E75-8B3D6997DB06}"/>
            </c:ext>
          </c:extLst>
        </c:ser>
        <c:dLbls>
          <c:showLegendKey val="0"/>
          <c:showVal val="0"/>
          <c:showCatName val="0"/>
          <c:showSerName val="0"/>
          <c:showPercent val="0"/>
          <c:showBubbleSize val="0"/>
        </c:dLbls>
        <c:marker val="1"/>
        <c:smooth val="0"/>
        <c:axId val="1427498000"/>
        <c:axId val="1427502352"/>
      </c:lineChart>
      <c:catAx>
        <c:axId val="14274936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27498544"/>
        <c:crosses val="autoZero"/>
        <c:auto val="1"/>
        <c:lblAlgn val="ctr"/>
        <c:lblOffset val="100"/>
        <c:noMultiLvlLbl val="0"/>
      </c:catAx>
      <c:valAx>
        <c:axId val="142749854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mk-MK"/>
                  <a:t>Приходи, расходи, добивка</a:t>
                </a:r>
              </a:p>
            </c:rich>
          </c:tx>
          <c:layout>
            <c:manualLayout>
              <c:xMode val="edge"/>
              <c:yMode val="edge"/>
              <c:x val="3.3940859697335575E-2"/>
              <c:y val="0.12521215233471308"/>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27493648"/>
        <c:crosses val="autoZero"/>
        <c:crossBetween val="between"/>
      </c:valAx>
      <c:valAx>
        <c:axId val="1427502352"/>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mk-MK"/>
                  <a:t>Маргини %</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27498000"/>
        <c:crosses val="max"/>
        <c:crossBetween val="between"/>
      </c:valAx>
      <c:catAx>
        <c:axId val="1427498000"/>
        <c:scaling>
          <c:orientation val="minMax"/>
        </c:scaling>
        <c:delete val="1"/>
        <c:axPos val="b"/>
        <c:numFmt formatCode="General" sourceLinked="1"/>
        <c:majorTickMark val="out"/>
        <c:minorTickMark val="none"/>
        <c:tickLblPos val="nextTo"/>
        <c:crossAx val="1427502352"/>
        <c:crosses val="autoZero"/>
        <c:auto val="1"/>
        <c:lblAlgn val="ctr"/>
        <c:lblOffset val="100"/>
        <c:noMultiLvlLbl val="0"/>
      </c:cat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US"/>
          </a:p>
        </c:txPr>
      </c:dTable>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Ex1.xml><?xml version="1.0" encoding="utf-8"?>
<cx:chartSpace xmlns:a="http://schemas.openxmlformats.org/drawingml/2006/main" xmlns:r="http://schemas.openxmlformats.org/officeDocument/2006/relationships" xmlns:cx="http://schemas.microsoft.com/office/drawing/2014/chartex">
  <cx:chartData>
    <cx:data id="0">
      <cx:strDim type="cat">
        <cx:f dir="row">_xlchart.v1.2</cx:f>
      </cx:strDim>
      <cx:numDim type="val">
        <cx:f dir="row">_xlchart.v1.1</cx:f>
      </cx:numDim>
    </cx:data>
  </cx:chartData>
  <cx:chart>
    <cx:title pos="t" align="ctr" overlay="0">
      <cx:tx>
        <cx:rich>
          <a:bodyPr spcFirstLastPara="1" vertOverflow="ellipsis" horzOverflow="overflow" wrap="square" lIns="0" tIns="0" rIns="0" bIns="0" anchor="ctr" anchorCtr="1"/>
          <a:lstStyle/>
          <a:p>
            <a:pPr algn="ctr" rtl="0">
              <a:defRPr/>
            </a:pPr>
            <a:r>
              <a:rPr lang="mk-MK" sz="1400" b="0" i="0" u="none" strike="noStrike" baseline="0">
                <a:solidFill>
                  <a:sysClr val="windowText" lastClr="000000">
                    <a:lumMod val="65000"/>
                    <a:lumOff val="35000"/>
                  </a:sysClr>
                </a:solidFill>
                <a:latin typeface="Calibri" panose="020F0502020204030204"/>
              </a:rPr>
              <a:t>Парични текови по месеци</a:t>
            </a:r>
            <a:endParaRPr lang="en-US" sz="1400" b="0" i="0" u="none" strike="noStrike" baseline="0">
              <a:solidFill>
                <a:sysClr val="windowText" lastClr="000000">
                  <a:lumMod val="65000"/>
                  <a:lumOff val="35000"/>
                </a:sysClr>
              </a:solidFill>
              <a:latin typeface="Calibri" panose="020F0502020204030204"/>
            </a:endParaRPr>
          </a:p>
        </cx:rich>
      </cx:tx>
    </cx:title>
    <cx:plotArea>
      <cx:plotAreaRegion>
        <cx:series layoutId="waterfall" uniqueId="{31BF7E46-5285-4A29-B2A0-156547838D01}">
          <cx:tx>
            <cx:txData>
              <cx:f>_xlchart.v1.0</cx:f>
              <cx:v>Нето зголемување / намалување на паричните текови</cx:v>
            </cx:txData>
          </cx:tx>
          <cx:dataLabels pos="outEnd">
            <cx:visibility seriesName="0" categoryName="0" value="1"/>
          </cx:dataLabels>
          <cx:dataId val="0"/>
          <cx:layoutPr>
            <cx:subtotals/>
          </cx:layoutPr>
        </cx:series>
      </cx:plotAreaRegion>
      <cx:axis id="0">
        <cx:catScaling gapWidth="0.5"/>
        <cx:tickLabels/>
      </cx:axis>
      <cx:axis id="1">
        <cx:valScaling/>
        <cx:majorGridlines/>
        <cx:tickLabels/>
      </cx:axis>
    </cx:plotArea>
    <cx:legend pos="t" align="ctr" overlay="0"/>
  </cx:chart>
</cx: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95">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drawings/_rels/drawing11.xml.rels><?xml version="1.0" encoding="UTF-8" standalone="yes"?>
<Relationships xmlns="http://schemas.openxmlformats.org/package/2006/relationships"><Relationship Id="rId1" Type="http://schemas.microsoft.com/office/2014/relationships/chartEx" Target="../charts/chartEx1.xml"/></Relationships>
</file>

<file path=xl/drawings/_rels/drawing7.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editAs="oneCell">
    <xdr:from>
      <xdr:col>31</xdr:col>
      <xdr:colOff>535305</xdr:colOff>
      <xdr:row>3</xdr:row>
      <xdr:rowOff>171450</xdr:rowOff>
    </xdr:from>
    <xdr:to>
      <xdr:col>34</xdr:col>
      <xdr:colOff>243840</xdr:colOff>
      <xdr:row>17</xdr:row>
      <xdr:rowOff>78105</xdr:rowOff>
    </xdr:to>
    <mc:AlternateContent xmlns:mc="http://schemas.openxmlformats.org/markup-compatibility/2006" xmlns:a14="http://schemas.microsoft.com/office/drawing/2010/main">
      <mc:Choice Requires="a14">
        <xdr:graphicFrame macro="">
          <xdr:nvGraphicFramePr>
            <xdr:cNvPr id="2" name="Year 13">
              <a:extLst>
                <a:ext uri="{FF2B5EF4-FFF2-40B4-BE49-F238E27FC236}">
                  <a16:creationId xmlns:a16="http://schemas.microsoft.com/office/drawing/2014/main" id="{00000000-0008-0000-0400-000002000000}"/>
                </a:ext>
              </a:extLst>
            </xdr:cNvPr>
            <xdr:cNvGraphicFramePr/>
          </xdr:nvGraphicFramePr>
          <xdr:xfrm>
            <a:off x="0" y="0"/>
            <a:ext cx="0" cy="0"/>
          </xdr:xfrm>
          <a:graphic>
            <a:graphicData uri="http://schemas.microsoft.com/office/drawing/2010/slicer">
              <sle:slicer xmlns:sle="http://schemas.microsoft.com/office/drawing/2010/slicer" name="Year 13"/>
            </a:graphicData>
          </a:graphic>
        </xdr:graphicFrame>
      </mc:Choice>
      <mc:Fallback xmlns="">
        <xdr:sp macro="" textlink="">
          <xdr:nvSpPr>
            <xdr:cNvPr id="0" name=""/>
            <xdr:cNvSpPr>
              <a:spLocks noTextEdit="1"/>
            </xdr:cNvSpPr>
          </xdr:nvSpPr>
          <xdr:spPr>
            <a:xfrm>
              <a:off x="28129230" y="742950"/>
              <a:ext cx="1775460" cy="257365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10.xml><?xml version="1.0" encoding="utf-8"?>
<xdr:wsDr xmlns:xdr="http://schemas.openxmlformats.org/drawingml/2006/spreadsheetDrawing" xmlns:a="http://schemas.openxmlformats.org/drawingml/2006/main">
  <xdr:twoCellAnchor editAs="oneCell">
    <xdr:from>
      <xdr:col>13</xdr:col>
      <xdr:colOff>211032</xdr:colOff>
      <xdr:row>124</xdr:row>
      <xdr:rowOff>25400</xdr:rowOff>
    </xdr:from>
    <xdr:to>
      <xdr:col>15</xdr:col>
      <xdr:colOff>154494</xdr:colOff>
      <xdr:row>143</xdr:row>
      <xdr:rowOff>104351</xdr:rowOff>
    </xdr:to>
    <mc:AlternateContent xmlns:mc="http://schemas.openxmlformats.org/markup-compatibility/2006" xmlns:a14="http://schemas.microsoft.com/office/drawing/2010/main">
      <mc:Choice Requires="a14">
        <xdr:graphicFrame macro="">
          <xdr:nvGraphicFramePr>
            <xdr:cNvPr id="2" name="Месец 20">
              <a:extLst>
                <a:ext uri="{FF2B5EF4-FFF2-40B4-BE49-F238E27FC236}">
                  <a16:creationId xmlns:a16="http://schemas.microsoft.com/office/drawing/2014/main" id="{CD058CEA-A0C8-49C4-BC2A-839372DA3C94}"/>
                </a:ext>
              </a:extLst>
            </xdr:cNvPr>
            <xdr:cNvGraphicFramePr/>
          </xdr:nvGraphicFramePr>
          <xdr:xfrm>
            <a:off x="0" y="0"/>
            <a:ext cx="0" cy="0"/>
          </xdr:xfrm>
          <a:graphic>
            <a:graphicData uri="http://schemas.microsoft.com/office/drawing/2010/slicer">
              <sle:slicer xmlns:sle="http://schemas.microsoft.com/office/drawing/2010/slicer" name="Месец 20"/>
            </a:graphicData>
          </a:graphic>
        </xdr:graphicFrame>
      </mc:Choice>
      <mc:Fallback xmlns="">
        <xdr:sp macro="" textlink="">
          <xdr:nvSpPr>
            <xdr:cNvPr id="0" name=""/>
            <xdr:cNvSpPr>
              <a:spLocks noTextEdit="1"/>
            </xdr:cNvSpPr>
          </xdr:nvSpPr>
          <xdr:spPr>
            <a:xfrm>
              <a:off x="15018744" y="23647400"/>
              <a:ext cx="1694596" cy="3698451"/>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14</xdr:col>
      <xdr:colOff>220980</xdr:colOff>
      <xdr:row>265</xdr:row>
      <xdr:rowOff>90170</xdr:rowOff>
    </xdr:from>
    <xdr:to>
      <xdr:col>16</xdr:col>
      <xdr:colOff>60473</xdr:colOff>
      <xdr:row>284</xdr:row>
      <xdr:rowOff>171451</xdr:rowOff>
    </xdr:to>
    <mc:AlternateContent xmlns:mc="http://schemas.openxmlformats.org/markup-compatibility/2006" xmlns:a14="http://schemas.microsoft.com/office/drawing/2010/main">
      <mc:Choice Requires="a14">
        <xdr:graphicFrame macro="">
          <xdr:nvGraphicFramePr>
            <xdr:cNvPr id="3" name="Месец 21">
              <a:extLst>
                <a:ext uri="{FF2B5EF4-FFF2-40B4-BE49-F238E27FC236}">
                  <a16:creationId xmlns:a16="http://schemas.microsoft.com/office/drawing/2014/main" id="{82A05070-09FE-4F41-9E8E-64DE7AEF7684}"/>
                </a:ext>
              </a:extLst>
            </xdr:cNvPr>
            <xdr:cNvGraphicFramePr/>
          </xdr:nvGraphicFramePr>
          <xdr:xfrm>
            <a:off x="0" y="0"/>
            <a:ext cx="0" cy="0"/>
          </xdr:xfrm>
          <a:graphic>
            <a:graphicData uri="http://schemas.microsoft.com/office/drawing/2010/slicer">
              <sle:slicer xmlns:sle="http://schemas.microsoft.com/office/drawing/2010/slicer" name="Месец 21"/>
            </a:graphicData>
          </a:graphic>
        </xdr:graphicFrame>
      </mc:Choice>
      <mc:Fallback xmlns="">
        <xdr:sp macro="" textlink="">
          <xdr:nvSpPr>
            <xdr:cNvPr id="0" name=""/>
            <xdr:cNvSpPr>
              <a:spLocks noTextEdit="1"/>
            </xdr:cNvSpPr>
          </xdr:nvSpPr>
          <xdr:spPr>
            <a:xfrm>
              <a:off x="15768711" y="50572670"/>
              <a:ext cx="1869050" cy="3700781"/>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25</xdr:row>
      <xdr:rowOff>266169</xdr:rowOff>
    </xdr:from>
    <xdr:to>
      <xdr:col>6</xdr:col>
      <xdr:colOff>313267</xdr:colOff>
      <xdr:row>43</xdr:row>
      <xdr:rowOff>71437</xdr:rowOff>
    </xdr:to>
    <mc:AlternateContent xmlns:mc="http://schemas.openxmlformats.org/markup-compatibility/2006">
      <mc:Choice xmlns:cx1="http://schemas.microsoft.com/office/drawing/2015/9/8/chartex" Requires="cx1">
        <xdr:graphicFrame macro="">
          <xdr:nvGraphicFramePr>
            <xdr:cNvPr id="2" name="Chart 1">
              <a:extLst>
                <a:ext uri="{FF2B5EF4-FFF2-40B4-BE49-F238E27FC236}">
                  <a16:creationId xmlns:a16="http://schemas.microsoft.com/office/drawing/2014/main" id="{00000000-0008-0000-1E00-000002000000}"/>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
            </a:graphicData>
          </a:graphic>
        </xdr:graphicFrame>
      </mc:Choice>
      <mc:Fallback>
        <xdr:sp macro="" textlink="">
          <xdr:nvSpPr>
            <xdr:cNvPr id="0" name=""/>
            <xdr:cNvSpPr>
              <a:spLocks noTextEdit="1"/>
            </xdr:cNvSpPr>
          </xdr:nvSpPr>
          <xdr:spPr>
            <a:xfrm>
              <a:off x="0" y="5028669"/>
              <a:ext cx="8171392" cy="3615268"/>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335280</xdr:colOff>
      <xdr:row>0</xdr:row>
      <xdr:rowOff>114300</xdr:rowOff>
    </xdr:from>
    <xdr:to>
      <xdr:col>11</xdr:col>
      <xdr:colOff>15240</xdr:colOff>
      <xdr:row>14</xdr:row>
      <xdr:rowOff>20955</xdr:rowOff>
    </xdr:to>
    <mc:AlternateContent xmlns:mc="http://schemas.openxmlformats.org/markup-compatibility/2006" xmlns:a14="http://schemas.microsoft.com/office/drawing/2010/main">
      <mc:Choice Requires="a14">
        <xdr:graphicFrame macro="">
          <xdr:nvGraphicFramePr>
            <xdr:cNvPr id="2" name="Year 17">
              <a:extLst>
                <a:ext uri="{FF2B5EF4-FFF2-40B4-BE49-F238E27FC236}">
                  <a16:creationId xmlns:a16="http://schemas.microsoft.com/office/drawing/2014/main" id="{00000000-0008-0000-0500-000002000000}"/>
                </a:ext>
              </a:extLst>
            </xdr:cNvPr>
            <xdr:cNvGraphicFramePr/>
          </xdr:nvGraphicFramePr>
          <xdr:xfrm>
            <a:off x="0" y="0"/>
            <a:ext cx="0" cy="0"/>
          </xdr:xfrm>
          <a:graphic>
            <a:graphicData uri="http://schemas.microsoft.com/office/drawing/2010/slicer">
              <sle:slicer xmlns:sle="http://schemas.microsoft.com/office/drawing/2010/slicer" name="Year 17"/>
            </a:graphicData>
          </a:graphic>
        </xdr:graphicFrame>
      </mc:Choice>
      <mc:Fallback xmlns="">
        <xdr:sp macro="" textlink="">
          <xdr:nvSpPr>
            <xdr:cNvPr id="0" name=""/>
            <xdr:cNvSpPr>
              <a:spLocks noTextEdit="1"/>
            </xdr:cNvSpPr>
          </xdr:nvSpPr>
          <xdr:spPr>
            <a:xfrm>
              <a:off x="11399520" y="114300"/>
              <a:ext cx="1828800" cy="246697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3.xml><?xml version="1.0" encoding="utf-8"?>
<xdr:wsDr xmlns:xdr="http://schemas.openxmlformats.org/drawingml/2006/spreadsheetDrawing" xmlns:a="http://schemas.openxmlformats.org/drawingml/2006/main">
  <xdr:twoCellAnchor editAs="oneCell">
    <xdr:from>
      <xdr:col>14</xdr:col>
      <xdr:colOff>581025</xdr:colOff>
      <xdr:row>0</xdr:row>
      <xdr:rowOff>0</xdr:rowOff>
    </xdr:from>
    <xdr:to>
      <xdr:col>17</xdr:col>
      <xdr:colOff>114300</xdr:colOff>
      <xdr:row>13</xdr:row>
      <xdr:rowOff>47625</xdr:rowOff>
    </xdr:to>
    <mc:AlternateContent xmlns:mc="http://schemas.openxmlformats.org/markup-compatibility/2006" xmlns:a14="http://schemas.microsoft.com/office/drawing/2010/main">
      <mc:Choice Requires="a14">
        <xdr:graphicFrame macro="">
          <xdr:nvGraphicFramePr>
            <xdr:cNvPr id="2" name="Month">
              <a:extLst>
                <a:ext uri="{FF2B5EF4-FFF2-40B4-BE49-F238E27FC236}">
                  <a16:creationId xmlns:a16="http://schemas.microsoft.com/office/drawing/2014/main" id="{83506890-33F9-4D7D-9AB3-1F5CCA5D55A6}"/>
                </a:ext>
              </a:extLst>
            </xdr:cNvPr>
            <xdr:cNvGraphicFramePr/>
          </xdr:nvGraphicFramePr>
          <xdr:xfrm>
            <a:off x="0" y="0"/>
            <a:ext cx="0" cy="0"/>
          </xdr:xfrm>
          <a:graphic>
            <a:graphicData uri="http://schemas.microsoft.com/office/drawing/2010/slicer">
              <sle:slicer xmlns:sle="http://schemas.microsoft.com/office/drawing/2010/slicer" name="Month"/>
            </a:graphicData>
          </a:graphic>
        </xdr:graphicFrame>
      </mc:Choice>
      <mc:Fallback xmlns="">
        <xdr:sp macro="" textlink="">
          <xdr:nvSpPr>
            <xdr:cNvPr id="0" name=""/>
            <xdr:cNvSpPr>
              <a:spLocks noTextEdit="1"/>
            </xdr:cNvSpPr>
          </xdr:nvSpPr>
          <xdr:spPr>
            <a:xfrm>
              <a:off x="15001875" y="0"/>
              <a:ext cx="1828800" cy="25241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15</xdr:col>
      <xdr:colOff>571500</xdr:colOff>
      <xdr:row>16</xdr:row>
      <xdr:rowOff>95250</xdr:rowOff>
    </xdr:from>
    <xdr:to>
      <xdr:col>18</xdr:col>
      <xdr:colOff>104775</xdr:colOff>
      <xdr:row>29</xdr:row>
      <xdr:rowOff>142875</xdr:rowOff>
    </xdr:to>
    <mc:AlternateContent xmlns:mc="http://schemas.openxmlformats.org/markup-compatibility/2006" xmlns:a14="http://schemas.microsoft.com/office/drawing/2010/main">
      <mc:Choice Requires="a14">
        <xdr:graphicFrame macro="">
          <xdr:nvGraphicFramePr>
            <xdr:cNvPr id="3" name="ReportType">
              <a:extLst>
                <a:ext uri="{FF2B5EF4-FFF2-40B4-BE49-F238E27FC236}">
                  <a16:creationId xmlns:a16="http://schemas.microsoft.com/office/drawing/2014/main" id="{DD95E073-2AEF-61B7-6820-D7C6481A46F8}"/>
                </a:ext>
              </a:extLst>
            </xdr:cNvPr>
            <xdr:cNvGraphicFramePr/>
          </xdr:nvGraphicFramePr>
          <xdr:xfrm>
            <a:off x="0" y="0"/>
            <a:ext cx="0" cy="0"/>
          </xdr:xfrm>
          <a:graphic>
            <a:graphicData uri="http://schemas.microsoft.com/office/drawing/2010/slicer">
              <sle:slicer xmlns:sle="http://schemas.microsoft.com/office/drawing/2010/slicer" name="ReportType"/>
            </a:graphicData>
          </a:graphic>
        </xdr:graphicFrame>
      </mc:Choice>
      <mc:Fallback xmlns="">
        <xdr:sp macro="" textlink="">
          <xdr:nvSpPr>
            <xdr:cNvPr id="0" name=""/>
            <xdr:cNvSpPr>
              <a:spLocks noTextEdit="1"/>
            </xdr:cNvSpPr>
          </xdr:nvSpPr>
          <xdr:spPr>
            <a:xfrm>
              <a:off x="15735300" y="3143250"/>
              <a:ext cx="1828800" cy="25241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17</xdr:col>
      <xdr:colOff>666750</xdr:colOff>
      <xdr:row>0</xdr:row>
      <xdr:rowOff>0</xdr:rowOff>
    </xdr:from>
    <xdr:to>
      <xdr:col>20</xdr:col>
      <xdr:colOff>333375</xdr:colOff>
      <xdr:row>13</xdr:row>
      <xdr:rowOff>47625</xdr:rowOff>
    </xdr:to>
    <mc:AlternateContent xmlns:mc="http://schemas.openxmlformats.org/markup-compatibility/2006" xmlns:a14="http://schemas.microsoft.com/office/drawing/2010/main">
      <mc:Choice Requires="a14">
        <xdr:graphicFrame macro="">
          <xdr:nvGraphicFramePr>
            <xdr:cNvPr id="4" name="Year">
              <a:extLst>
                <a:ext uri="{FF2B5EF4-FFF2-40B4-BE49-F238E27FC236}">
                  <a16:creationId xmlns:a16="http://schemas.microsoft.com/office/drawing/2014/main" id="{78BBEC6C-C45F-4745-5A78-3898F09F096D}"/>
                </a:ext>
              </a:extLst>
            </xdr:cNvPr>
            <xdr:cNvGraphicFramePr/>
          </xdr:nvGraphicFramePr>
          <xdr:xfrm>
            <a:off x="0" y="0"/>
            <a:ext cx="0" cy="0"/>
          </xdr:xfrm>
          <a:graphic>
            <a:graphicData uri="http://schemas.microsoft.com/office/drawing/2010/slicer">
              <sle:slicer xmlns:sle="http://schemas.microsoft.com/office/drawing/2010/slicer" name="Year"/>
            </a:graphicData>
          </a:graphic>
        </xdr:graphicFrame>
      </mc:Choice>
      <mc:Fallback xmlns="">
        <xdr:sp macro="" textlink="">
          <xdr:nvSpPr>
            <xdr:cNvPr id="0" name=""/>
            <xdr:cNvSpPr>
              <a:spLocks noTextEdit="1"/>
            </xdr:cNvSpPr>
          </xdr:nvSpPr>
          <xdr:spPr>
            <a:xfrm>
              <a:off x="17383125" y="0"/>
              <a:ext cx="1828800" cy="25241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4.xml><?xml version="1.0" encoding="utf-8"?>
<xdr:wsDr xmlns:xdr="http://schemas.openxmlformats.org/drawingml/2006/spreadsheetDrawing" xmlns:a="http://schemas.openxmlformats.org/drawingml/2006/main">
  <xdr:twoCellAnchor editAs="oneCell">
    <xdr:from>
      <xdr:col>7</xdr:col>
      <xdr:colOff>314325</xdr:colOff>
      <xdr:row>1</xdr:row>
      <xdr:rowOff>154305</xdr:rowOff>
    </xdr:from>
    <xdr:to>
      <xdr:col>9</xdr:col>
      <xdr:colOff>683895</xdr:colOff>
      <xdr:row>15</xdr:row>
      <xdr:rowOff>60960</xdr:rowOff>
    </xdr:to>
    <mc:AlternateContent xmlns:mc="http://schemas.openxmlformats.org/markup-compatibility/2006" xmlns:a14="http://schemas.microsoft.com/office/drawing/2010/main">
      <mc:Choice Requires="a14">
        <xdr:graphicFrame macro="">
          <xdr:nvGraphicFramePr>
            <xdr:cNvPr id="2" name="Year 14">
              <a:extLst>
                <a:ext uri="{FF2B5EF4-FFF2-40B4-BE49-F238E27FC236}">
                  <a16:creationId xmlns:a16="http://schemas.microsoft.com/office/drawing/2014/main" id="{00000000-0008-0000-0900-000002000000}"/>
                </a:ext>
              </a:extLst>
            </xdr:cNvPr>
            <xdr:cNvGraphicFramePr/>
          </xdr:nvGraphicFramePr>
          <xdr:xfrm>
            <a:off x="0" y="0"/>
            <a:ext cx="0" cy="0"/>
          </xdr:xfrm>
          <a:graphic>
            <a:graphicData uri="http://schemas.microsoft.com/office/drawing/2010/slicer">
              <sle:slicer xmlns:sle="http://schemas.microsoft.com/office/drawing/2010/slicer" name="Year 14"/>
            </a:graphicData>
          </a:graphic>
        </xdr:graphicFrame>
      </mc:Choice>
      <mc:Fallback xmlns="">
        <xdr:sp macro="" textlink="">
          <xdr:nvSpPr>
            <xdr:cNvPr id="0" name=""/>
            <xdr:cNvSpPr>
              <a:spLocks noTextEdit="1"/>
            </xdr:cNvSpPr>
          </xdr:nvSpPr>
          <xdr:spPr>
            <a:xfrm>
              <a:off x="9839325" y="344805"/>
              <a:ext cx="1788795" cy="257365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5.xml><?xml version="1.0" encoding="utf-8"?>
<xdr:wsDr xmlns:xdr="http://schemas.openxmlformats.org/drawingml/2006/spreadsheetDrawing" xmlns:a="http://schemas.openxmlformats.org/drawingml/2006/main">
  <xdr:twoCellAnchor editAs="oneCell">
    <xdr:from>
      <xdr:col>9</xdr:col>
      <xdr:colOff>579120</xdr:colOff>
      <xdr:row>0</xdr:row>
      <xdr:rowOff>1</xdr:rowOff>
    </xdr:from>
    <xdr:to>
      <xdr:col>12</xdr:col>
      <xdr:colOff>525780</xdr:colOff>
      <xdr:row>5</xdr:row>
      <xdr:rowOff>76201</xdr:rowOff>
    </xdr:to>
    <mc:AlternateContent xmlns:mc="http://schemas.openxmlformats.org/markup-compatibility/2006" xmlns:a14="http://schemas.microsoft.com/office/drawing/2010/main">
      <mc:Choice Requires="a14">
        <xdr:graphicFrame macro="">
          <xdr:nvGraphicFramePr>
            <xdr:cNvPr id="2" name="Year 16">
              <a:extLst>
                <a:ext uri="{FF2B5EF4-FFF2-40B4-BE49-F238E27FC236}">
                  <a16:creationId xmlns:a16="http://schemas.microsoft.com/office/drawing/2014/main" id="{00000000-0008-0000-0D00-000002000000}"/>
                </a:ext>
              </a:extLst>
            </xdr:cNvPr>
            <xdr:cNvGraphicFramePr/>
          </xdr:nvGraphicFramePr>
          <xdr:xfrm>
            <a:off x="0" y="0"/>
            <a:ext cx="0" cy="0"/>
          </xdr:xfrm>
          <a:graphic>
            <a:graphicData uri="http://schemas.microsoft.com/office/drawing/2010/slicer">
              <sle:slicer xmlns:sle="http://schemas.microsoft.com/office/drawing/2010/slicer" name="Year 16"/>
            </a:graphicData>
          </a:graphic>
        </xdr:graphicFrame>
      </mc:Choice>
      <mc:Fallback xmlns="">
        <xdr:sp macro="" textlink="">
          <xdr:nvSpPr>
            <xdr:cNvPr id="0" name=""/>
            <xdr:cNvSpPr>
              <a:spLocks noTextEdit="1"/>
            </xdr:cNvSpPr>
          </xdr:nvSpPr>
          <xdr:spPr>
            <a:xfrm>
              <a:off x="12047220" y="1"/>
              <a:ext cx="2026920" cy="9906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0</xdr:colOff>
      <xdr:row>0</xdr:row>
      <xdr:rowOff>1</xdr:rowOff>
    </xdr:from>
    <xdr:to>
      <xdr:col>3</xdr:col>
      <xdr:colOff>472440</xdr:colOff>
      <xdr:row>6</xdr:row>
      <xdr:rowOff>83820</xdr:rowOff>
    </xdr:to>
    <mc:AlternateContent xmlns:mc="http://schemas.openxmlformats.org/markup-compatibility/2006" xmlns:a14="http://schemas.microsoft.com/office/drawing/2010/main">
      <mc:Choice Requires="a14">
        <xdr:graphicFrame macro="">
          <xdr:nvGraphicFramePr>
            <xdr:cNvPr id="4" name="StavkaImeAOP">
              <a:extLst>
                <a:ext uri="{FF2B5EF4-FFF2-40B4-BE49-F238E27FC236}">
                  <a16:creationId xmlns:a16="http://schemas.microsoft.com/office/drawing/2014/main" id="{00000000-0008-0000-0D00-000004000000}"/>
                </a:ext>
              </a:extLst>
            </xdr:cNvPr>
            <xdr:cNvGraphicFramePr/>
          </xdr:nvGraphicFramePr>
          <xdr:xfrm>
            <a:off x="0" y="0"/>
            <a:ext cx="0" cy="0"/>
          </xdr:xfrm>
          <a:graphic>
            <a:graphicData uri="http://schemas.microsoft.com/office/drawing/2010/slicer">
              <sle:slicer xmlns:sle="http://schemas.microsoft.com/office/drawing/2010/slicer" name="StavkaImeAOP"/>
            </a:graphicData>
          </a:graphic>
        </xdr:graphicFrame>
      </mc:Choice>
      <mc:Fallback xmlns="">
        <xdr:sp macro="" textlink="">
          <xdr:nvSpPr>
            <xdr:cNvPr id="0" name=""/>
            <xdr:cNvSpPr>
              <a:spLocks noTextEdit="1"/>
            </xdr:cNvSpPr>
          </xdr:nvSpPr>
          <xdr:spPr>
            <a:xfrm>
              <a:off x="0" y="1"/>
              <a:ext cx="5875020" cy="1181099"/>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2</xdr:col>
      <xdr:colOff>662940</xdr:colOff>
      <xdr:row>0</xdr:row>
      <xdr:rowOff>0</xdr:rowOff>
    </xdr:from>
    <xdr:to>
      <xdr:col>12</xdr:col>
      <xdr:colOff>160020</xdr:colOff>
      <xdr:row>6</xdr:row>
      <xdr:rowOff>99060</xdr:rowOff>
    </xdr:to>
    <mc:AlternateContent xmlns:mc="http://schemas.openxmlformats.org/markup-compatibility/2006" xmlns:a14="http://schemas.microsoft.com/office/drawing/2010/main">
      <mc:Choice Requires="a14">
        <xdr:graphicFrame macro="">
          <xdr:nvGraphicFramePr>
            <xdr:cNvPr id="5" name="StavkaKategorija">
              <a:extLst>
                <a:ext uri="{FF2B5EF4-FFF2-40B4-BE49-F238E27FC236}">
                  <a16:creationId xmlns:a16="http://schemas.microsoft.com/office/drawing/2014/main" id="{00000000-0008-0000-0D00-000005000000}"/>
                </a:ext>
              </a:extLst>
            </xdr:cNvPr>
            <xdr:cNvGraphicFramePr/>
          </xdr:nvGraphicFramePr>
          <xdr:xfrm>
            <a:off x="0" y="0"/>
            <a:ext cx="0" cy="0"/>
          </xdr:xfrm>
          <a:graphic>
            <a:graphicData uri="http://schemas.microsoft.com/office/drawing/2010/slicer">
              <sle:slicer xmlns:sle="http://schemas.microsoft.com/office/drawing/2010/slicer" name="StavkaKategorija"/>
            </a:graphicData>
          </a:graphic>
        </xdr:graphicFrame>
      </mc:Choice>
      <mc:Fallback xmlns="">
        <xdr:sp macro="" textlink="">
          <xdr:nvSpPr>
            <xdr:cNvPr id="0" name=""/>
            <xdr:cNvSpPr>
              <a:spLocks noTextEdit="1"/>
            </xdr:cNvSpPr>
          </xdr:nvSpPr>
          <xdr:spPr>
            <a:xfrm>
              <a:off x="6065520" y="0"/>
              <a:ext cx="5684520" cy="119634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6.xml><?xml version="1.0" encoding="utf-8"?>
<xdr:wsDr xmlns:xdr="http://schemas.openxmlformats.org/drawingml/2006/spreadsheetDrawing" xmlns:a="http://schemas.openxmlformats.org/drawingml/2006/main">
  <xdr:twoCellAnchor editAs="oneCell">
    <xdr:from>
      <xdr:col>9</xdr:col>
      <xdr:colOff>579120</xdr:colOff>
      <xdr:row>0</xdr:row>
      <xdr:rowOff>1</xdr:rowOff>
    </xdr:from>
    <xdr:to>
      <xdr:col>12</xdr:col>
      <xdr:colOff>525780</xdr:colOff>
      <xdr:row>5</xdr:row>
      <xdr:rowOff>76201</xdr:rowOff>
    </xdr:to>
    <mc:AlternateContent xmlns:mc="http://schemas.openxmlformats.org/markup-compatibility/2006" xmlns:a14="http://schemas.microsoft.com/office/drawing/2010/main">
      <mc:Choice Requires="a14">
        <xdr:graphicFrame macro="">
          <xdr:nvGraphicFramePr>
            <xdr:cNvPr id="2" name="Year 19">
              <a:extLst>
                <a:ext uri="{FF2B5EF4-FFF2-40B4-BE49-F238E27FC236}">
                  <a16:creationId xmlns:a16="http://schemas.microsoft.com/office/drawing/2014/main" id="{00000000-0008-0000-0F00-000002000000}"/>
                </a:ext>
              </a:extLst>
            </xdr:cNvPr>
            <xdr:cNvGraphicFramePr/>
          </xdr:nvGraphicFramePr>
          <xdr:xfrm>
            <a:off x="0" y="0"/>
            <a:ext cx="0" cy="0"/>
          </xdr:xfrm>
          <a:graphic>
            <a:graphicData uri="http://schemas.microsoft.com/office/drawing/2010/slicer">
              <sle:slicer xmlns:sle="http://schemas.microsoft.com/office/drawing/2010/slicer" name="Year 19"/>
            </a:graphicData>
          </a:graphic>
        </xdr:graphicFrame>
      </mc:Choice>
      <mc:Fallback xmlns="">
        <xdr:sp macro="" textlink="">
          <xdr:nvSpPr>
            <xdr:cNvPr id="0" name=""/>
            <xdr:cNvSpPr>
              <a:spLocks noTextEdit="1"/>
            </xdr:cNvSpPr>
          </xdr:nvSpPr>
          <xdr:spPr>
            <a:xfrm>
              <a:off x="9189720" y="1"/>
              <a:ext cx="1975485" cy="1028700"/>
            </a:xfrm>
            <a:prstGeom prst="rect">
              <a:avLst/>
            </a:prstGeom>
            <a:solidFill>
              <a:prstClr val="white"/>
            </a:solidFill>
            <a:ln w="1">
              <a:solidFill>
                <a:prstClr val="green"/>
              </a:solidFill>
            </a:ln>
          </xdr:spPr>
          <xdr:txBody>
            <a:bodyPr vertOverflow="clip" horzOverflow="clip"/>
            <a:lstStyle/>
            <a:p>
              <a:r>
                <a:rPr lang="mk-MK"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0</xdr:colOff>
      <xdr:row>0</xdr:row>
      <xdr:rowOff>1</xdr:rowOff>
    </xdr:from>
    <xdr:to>
      <xdr:col>3</xdr:col>
      <xdr:colOff>472440</xdr:colOff>
      <xdr:row>6</xdr:row>
      <xdr:rowOff>83820</xdr:rowOff>
    </xdr:to>
    <mc:AlternateContent xmlns:mc="http://schemas.openxmlformats.org/markup-compatibility/2006" xmlns:a14="http://schemas.microsoft.com/office/drawing/2010/main">
      <mc:Choice Requires="a14">
        <xdr:graphicFrame macro="">
          <xdr:nvGraphicFramePr>
            <xdr:cNvPr id="3" name="StavkaImeAOP 1">
              <a:extLst>
                <a:ext uri="{FF2B5EF4-FFF2-40B4-BE49-F238E27FC236}">
                  <a16:creationId xmlns:a16="http://schemas.microsoft.com/office/drawing/2014/main" id="{00000000-0008-0000-0F00-000003000000}"/>
                </a:ext>
              </a:extLst>
            </xdr:cNvPr>
            <xdr:cNvGraphicFramePr/>
          </xdr:nvGraphicFramePr>
          <xdr:xfrm>
            <a:off x="0" y="0"/>
            <a:ext cx="0" cy="0"/>
          </xdr:xfrm>
          <a:graphic>
            <a:graphicData uri="http://schemas.microsoft.com/office/drawing/2010/slicer">
              <sle:slicer xmlns:sle="http://schemas.microsoft.com/office/drawing/2010/slicer" name="StavkaImeAOP 1"/>
            </a:graphicData>
          </a:graphic>
        </xdr:graphicFrame>
      </mc:Choice>
      <mc:Fallback xmlns="">
        <xdr:sp macro="" textlink="">
          <xdr:nvSpPr>
            <xdr:cNvPr id="0" name=""/>
            <xdr:cNvSpPr>
              <a:spLocks noTextEdit="1"/>
            </xdr:cNvSpPr>
          </xdr:nvSpPr>
          <xdr:spPr>
            <a:xfrm>
              <a:off x="0" y="1"/>
              <a:ext cx="5730240" cy="1226819"/>
            </a:xfrm>
            <a:prstGeom prst="rect">
              <a:avLst/>
            </a:prstGeom>
            <a:solidFill>
              <a:prstClr val="white"/>
            </a:solidFill>
            <a:ln w="1">
              <a:solidFill>
                <a:prstClr val="green"/>
              </a:solidFill>
            </a:ln>
          </xdr:spPr>
          <xdr:txBody>
            <a:bodyPr vertOverflow="clip" horzOverflow="clip"/>
            <a:lstStyle/>
            <a:p>
              <a:r>
                <a:rPr lang="mk-MK"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2</xdr:col>
      <xdr:colOff>662940</xdr:colOff>
      <xdr:row>0</xdr:row>
      <xdr:rowOff>0</xdr:rowOff>
    </xdr:from>
    <xdr:to>
      <xdr:col>12</xdr:col>
      <xdr:colOff>160020</xdr:colOff>
      <xdr:row>6</xdr:row>
      <xdr:rowOff>99060</xdr:rowOff>
    </xdr:to>
    <mc:AlternateContent xmlns:mc="http://schemas.openxmlformats.org/markup-compatibility/2006" xmlns:a14="http://schemas.microsoft.com/office/drawing/2010/main">
      <mc:Choice Requires="a14">
        <xdr:graphicFrame macro="">
          <xdr:nvGraphicFramePr>
            <xdr:cNvPr id="4" name="StavkaKategorija 2">
              <a:extLst>
                <a:ext uri="{FF2B5EF4-FFF2-40B4-BE49-F238E27FC236}">
                  <a16:creationId xmlns:a16="http://schemas.microsoft.com/office/drawing/2014/main" id="{00000000-0008-0000-0F00-000004000000}"/>
                </a:ext>
              </a:extLst>
            </xdr:cNvPr>
            <xdr:cNvGraphicFramePr/>
          </xdr:nvGraphicFramePr>
          <xdr:xfrm>
            <a:off x="0" y="0"/>
            <a:ext cx="0" cy="0"/>
          </xdr:xfrm>
          <a:graphic>
            <a:graphicData uri="http://schemas.microsoft.com/office/drawing/2010/slicer">
              <sle:slicer xmlns:sle="http://schemas.microsoft.com/office/drawing/2010/slicer" name="StavkaKategorija 2"/>
            </a:graphicData>
          </a:graphic>
        </xdr:graphicFrame>
      </mc:Choice>
      <mc:Fallback xmlns="">
        <xdr:sp macro="" textlink="">
          <xdr:nvSpPr>
            <xdr:cNvPr id="0" name=""/>
            <xdr:cNvSpPr>
              <a:spLocks noTextEdit="1"/>
            </xdr:cNvSpPr>
          </xdr:nvSpPr>
          <xdr:spPr>
            <a:xfrm>
              <a:off x="5257800" y="0"/>
              <a:ext cx="5541645" cy="1242060"/>
            </a:xfrm>
            <a:prstGeom prst="rect">
              <a:avLst/>
            </a:prstGeom>
            <a:solidFill>
              <a:prstClr val="white"/>
            </a:solidFill>
            <a:ln w="1">
              <a:solidFill>
                <a:prstClr val="green"/>
              </a:solidFill>
            </a:ln>
          </xdr:spPr>
          <xdr:txBody>
            <a:bodyPr vertOverflow="clip" horzOverflow="clip"/>
            <a:lstStyle/>
            <a:p>
              <a:r>
                <a:rPr lang="mk-MK"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7.xml><?xml version="1.0" encoding="utf-8"?>
<xdr:wsDr xmlns:xdr="http://schemas.openxmlformats.org/drawingml/2006/spreadsheetDrawing" xmlns:a="http://schemas.openxmlformats.org/drawingml/2006/main">
  <xdr:twoCellAnchor>
    <xdr:from>
      <xdr:col>6</xdr:col>
      <xdr:colOff>203835</xdr:colOff>
      <xdr:row>1</xdr:row>
      <xdr:rowOff>26670</xdr:rowOff>
    </xdr:from>
    <xdr:to>
      <xdr:col>13</xdr:col>
      <xdr:colOff>230505</xdr:colOff>
      <xdr:row>14</xdr:row>
      <xdr:rowOff>148590</xdr:rowOff>
    </xdr:to>
    <xdr:graphicFrame macro="">
      <xdr:nvGraphicFramePr>
        <xdr:cNvPr id="2" name="Chart 1">
          <a:extLst>
            <a:ext uri="{FF2B5EF4-FFF2-40B4-BE49-F238E27FC236}">
              <a16:creationId xmlns:a16="http://schemas.microsoft.com/office/drawing/2014/main" id="{00000000-0008-0000-11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1859280</xdr:colOff>
      <xdr:row>17</xdr:row>
      <xdr:rowOff>160020</xdr:rowOff>
    </xdr:from>
    <xdr:to>
      <xdr:col>10</xdr:col>
      <xdr:colOff>22860</xdr:colOff>
      <xdr:row>38</xdr:row>
      <xdr:rowOff>83820</xdr:rowOff>
    </xdr:to>
    <xdr:graphicFrame macro="">
      <xdr:nvGraphicFramePr>
        <xdr:cNvPr id="9" name="Chart 8">
          <a:extLst>
            <a:ext uri="{FF2B5EF4-FFF2-40B4-BE49-F238E27FC236}">
              <a16:creationId xmlns:a16="http://schemas.microsoft.com/office/drawing/2014/main" id="{00000000-0008-0000-11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editAs="oneCell">
    <xdr:from>
      <xdr:col>13</xdr:col>
      <xdr:colOff>211032</xdr:colOff>
      <xdr:row>133</xdr:row>
      <xdr:rowOff>25400</xdr:rowOff>
    </xdr:from>
    <xdr:to>
      <xdr:col>15</xdr:col>
      <xdr:colOff>491532</xdr:colOff>
      <xdr:row>152</xdr:row>
      <xdr:rowOff>104351</xdr:rowOff>
    </xdr:to>
    <mc:AlternateContent xmlns:mc="http://schemas.openxmlformats.org/markup-compatibility/2006" xmlns:a14="http://schemas.microsoft.com/office/drawing/2010/main">
      <mc:Choice Requires="a14">
        <xdr:graphicFrame macro="">
          <xdr:nvGraphicFramePr>
            <xdr:cNvPr id="2" name="Месец 11">
              <a:extLst>
                <a:ext uri="{FF2B5EF4-FFF2-40B4-BE49-F238E27FC236}">
                  <a16:creationId xmlns:a16="http://schemas.microsoft.com/office/drawing/2014/main" id="{00000000-0008-0000-1200-000002000000}"/>
                </a:ext>
              </a:extLst>
            </xdr:cNvPr>
            <xdr:cNvGraphicFramePr/>
          </xdr:nvGraphicFramePr>
          <xdr:xfrm>
            <a:off x="0" y="0"/>
            <a:ext cx="0" cy="0"/>
          </xdr:xfrm>
          <a:graphic>
            <a:graphicData uri="http://schemas.microsoft.com/office/drawing/2010/slicer">
              <sle:slicer xmlns:sle="http://schemas.microsoft.com/office/drawing/2010/slicer" name="Месец 11"/>
            </a:graphicData>
          </a:graphic>
        </xdr:graphicFrame>
      </mc:Choice>
      <mc:Fallback xmlns="">
        <xdr:sp macro="" textlink="">
          <xdr:nvSpPr>
            <xdr:cNvPr id="0" name=""/>
            <xdr:cNvSpPr>
              <a:spLocks noTextEdit="1"/>
            </xdr:cNvSpPr>
          </xdr:nvSpPr>
          <xdr:spPr>
            <a:xfrm>
              <a:off x="15041880" y="24523700"/>
              <a:ext cx="1737678" cy="3553671"/>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14</xdr:col>
      <xdr:colOff>220980</xdr:colOff>
      <xdr:row>274</xdr:row>
      <xdr:rowOff>90170</xdr:rowOff>
    </xdr:from>
    <xdr:to>
      <xdr:col>16</xdr:col>
      <xdr:colOff>741876</xdr:colOff>
      <xdr:row>293</xdr:row>
      <xdr:rowOff>171451</xdr:rowOff>
    </xdr:to>
    <mc:AlternateContent xmlns:mc="http://schemas.openxmlformats.org/markup-compatibility/2006" xmlns:a14="http://schemas.microsoft.com/office/drawing/2010/main">
      <mc:Choice Requires="a14">
        <xdr:graphicFrame macro="">
          <xdr:nvGraphicFramePr>
            <xdr:cNvPr id="3" name="Месец 12">
              <a:extLst>
                <a:ext uri="{FF2B5EF4-FFF2-40B4-BE49-F238E27FC236}">
                  <a16:creationId xmlns:a16="http://schemas.microsoft.com/office/drawing/2014/main" id="{00000000-0008-0000-1200-000003000000}"/>
                </a:ext>
              </a:extLst>
            </xdr:cNvPr>
            <xdr:cNvGraphicFramePr/>
          </xdr:nvGraphicFramePr>
          <xdr:xfrm>
            <a:off x="0" y="0"/>
            <a:ext cx="0" cy="0"/>
          </xdr:xfrm>
          <a:graphic>
            <a:graphicData uri="http://schemas.microsoft.com/office/drawing/2010/slicer">
              <sle:slicer xmlns:sle="http://schemas.microsoft.com/office/drawing/2010/slicer" name="Месец 12"/>
            </a:graphicData>
          </a:graphic>
        </xdr:graphicFrame>
      </mc:Choice>
      <mc:Fallback xmlns="">
        <xdr:sp macro="" textlink="">
          <xdr:nvSpPr>
            <xdr:cNvPr id="0" name=""/>
            <xdr:cNvSpPr>
              <a:spLocks noTextEdit="1"/>
            </xdr:cNvSpPr>
          </xdr:nvSpPr>
          <xdr:spPr>
            <a:xfrm>
              <a:off x="15262860" y="50374550"/>
              <a:ext cx="1917700" cy="3556001"/>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2</xdr:col>
      <xdr:colOff>90267</xdr:colOff>
      <xdr:row>0</xdr:row>
      <xdr:rowOff>0</xdr:rowOff>
    </xdr:from>
    <xdr:to>
      <xdr:col>4</xdr:col>
      <xdr:colOff>915866</xdr:colOff>
      <xdr:row>6</xdr:row>
      <xdr:rowOff>23446</xdr:rowOff>
    </xdr:to>
    <mc:AlternateContent xmlns:mc="http://schemas.openxmlformats.org/markup-compatibility/2006" xmlns:a14="http://schemas.microsoft.com/office/drawing/2010/main">
      <mc:Choice Requires="a14">
        <xdr:graphicFrame macro="">
          <xdr:nvGraphicFramePr>
            <xdr:cNvPr id="4" name="StavkaGrupa">
              <a:extLst>
                <a:ext uri="{FF2B5EF4-FFF2-40B4-BE49-F238E27FC236}">
                  <a16:creationId xmlns:a16="http://schemas.microsoft.com/office/drawing/2014/main" id="{00000000-0008-0000-1200-000004000000}"/>
                </a:ext>
              </a:extLst>
            </xdr:cNvPr>
            <xdr:cNvGraphicFramePr/>
          </xdr:nvGraphicFramePr>
          <xdr:xfrm>
            <a:off x="0" y="0"/>
            <a:ext cx="0" cy="0"/>
          </xdr:xfrm>
          <a:graphic>
            <a:graphicData uri="http://schemas.microsoft.com/office/drawing/2010/slicer">
              <sle:slicer xmlns:sle="http://schemas.microsoft.com/office/drawing/2010/slicer" name="StavkaGrupa"/>
            </a:graphicData>
          </a:graphic>
        </xdr:graphicFrame>
      </mc:Choice>
      <mc:Fallback xmlns="">
        <xdr:sp macro="" textlink="">
          <xdr:nvSpPr>
            <xdr:cNvPr id="0" name=""/>
            <xdr:cNvSpPr>
              <a:spLocks noTextEdit="1"/>
            </xdr:cNvSpPr>
          </xdr:nvSpPr>
          <xdr:spPr>
            <a:xfrm>
              <a:off x="5488744" y="0"/>
              <a:ext cx="2963594" cy="1107831"/>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0</xdr:colOff>
      <xdr:row>0</xdr:row>
      <xdr:rowOff>1759</xdr:rowOff>
    </xdr:from>
    <xdr:to>
      <xdr:col>2</xdr:col>
      <xdr:colOff>6594</xdr:colOff>
      <xdr:row>7</xdr:row>
      <xdr:rowOff>128954</xdr:rowOff>
    </xdr:to>
    <mc:AlternateContent xmlns:mc="http://schemas.openxmlformats.org/markup-compatibility/2006" xmlns:a14="http://schemas.microsoft.com/office/drawing/2010/main">
      <mc:Choice Requires="a14">
        <xdr:graphicFrame macro="">
          <xdr:nvGraphicFramePr>
            <xdr:cNvPr id="5" name="StavkaKategorija 1">
              <a:extLst>
                <a:ext uri="{FF2B5EF4-FFF2-40B4-BE49-F238E27FC236}">
                  <a16:creationId xmlns:a16="http://schemas.microsoft.com/office/drawing/2014/main" id="{00000000-0008-0000-1200-000005000000}"/>
                </a:ext>
              </a:extLst>
            </xdr:cNvPr>
            <xdr:cNvGraphicFramePr/>
          </xdr:nvGraphicFramePr>
          <xdr:xfrm>
            <a:off x="0" y="0"/>
            <a:ext cx="0" cy="0"/>
          </xdr:xfrm>
          <a:graphic>
            <a:graphicData uri="http://schemas.microsoft.com/office/drawing/2010/slicer">
              <sle:slicer xmlns:sle="http://schemas.microsoft.com/office/drawing/2010/slicer" name="StavkaKategorija 1"/>
            </a:graphicData>
          </a:graphic>
        </xdr:graphicFrame>
      </mc:Choice>
      <mc:Fallback xmlns="">
        <xdr:sp macro="" textlink="">
          <xdr:nvSpPr>
            <xdr:cNvPr id="0" name=""/>
            <xdr:cNvSpPr>
              <a:spLocks noTextEdit="1"/>
            </xdr:cNvSpPr>
          </xdr:nvSpPr>
          <xdr:spPr>
            <a:xfrm>
              <a:off x="0" y="1759"/>
              <a:ext cx="5363308" cy="1393287"/>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9.xml><?xml version="1.0" encoding="utf-8"?>
<xdr:wsDr xmlns:xdr="http://schemas.openxmlformats.org/drawingml/2006/spreadsheetDrawing" xmlns:a="http://schemas.openxmlformats.org/drawingml/2006/main">
  <xdr:twoCellAnchor editAs="oneCell">
    <xdr:from>
      <xdr:col>13</xdr:col>
      <xdr:colOff>211032</xdr:colOff>
      <xdr:row>124</xdr:row>
      <xdr:rowOff>25400</xdr:rowOff>
    </xdr:from>
    <xdr:to>
      <xdr:col>15</xdr:col>
      <xdr:colOff>154493</xdr:colOff>
      <xdr:row>143</xdr:row>
      <xdr:rowOff>104351</xdr:rowOff>
    </xdr:to>
    <mc:AlternateContent xmlns:mc="http://schemas.openxmlformats.org/markup-compatibility/2006" xmlns:a14="http://schemas.microsoft.com/office/drawing/2010/main">
      <mc:Choice Requires="a14">
        <xdr:graphicFrame macro="">
          <xdr:nvGraphicFramePr>
            <xdr:cNvPr id="2" name="Месец 18">
              <a:extLst>
                <a:ext uri="{FF2B5EF4-FFF2-40B4-BE49-F238E27FC236}">
                  <a16:creationId xmlns:a16="http://schemas.microsoft.com/office/drawing/2014/main" id="{00000000-0008-0000-0200-000002000000}"/>
                </a:ext>
              </a:extLst>
            </xdr:cNvPr>
            <xdr:cNvGraphicFramePr/>
          </xdr:nvGraphicFramePr>
          <xdr:xfrm>
            <a:off x="0" y="0"/>
            <a:ext cx="0" cy="0"/>
          </xdr:xfrm>
          <a:graphic>
            <a:graphicData uri="http://schemas.microsoft.com/office/drawing/2010/slicer">
              <sle:slicer xmlns:sle="http://schemas.microsoft.com/office/drawing/2010/slicer" name="Месец 18"/>
            </a:graphicData>
          </a:graphic>
        </xdr:graphicFrame>
      </mc:Choice>
      <mc:Fallback xmlns="">
        <xdr:sp macro="" textlink="">
          <xdr:nvSpPr>
            <xdr:cNvPr id="0" name=""/>
            <xdr:cNvSpPr>
              <a:spLocks noTextEdit="1"/>
            </xdr:cNvSpPr>
          </xdr:nvSpPr>
          <xdr:spPr>
            <a:xfrm>
              <a:off x="16073820" y="23647400"/>
              <a:ext cx="1694596" cy="3698451"/>
            </a:xfrm>
            <a:prstGeom prst="rect">
              <a:avLst/>
            </a:prstGeom>
            <a:solidFill>
              <a:prstClr val="white"/>
            </a:solidFill>
            <a:ln w="1">
              <a:solidFill>
                <a:prstClr val="green"/>
              </a:solidFill>
            </a:ln>
          </xdr:spPr>
          <xdr:txBody>
            <a:bodyPr vertOverflow="clip" horzOverflow="clip"/>
            <a:lstStyle/>
            <a:p>
              <a:r>
                <a:rPr lang="mk-MK"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14</xdr:col>
      <xdr:colOff>220980</xdr:colOff>
      <xdr:row>265</xdr:row>
      <xdr:rowOff>90170</xdr:rowOff>
    </xdr:from>
    <xdr:to>
      <xdr:col>16</xdr:col>
      <xdr:colOff>60473</xdr:colOff>
      <xdr:row>284</xdr:row>
      <xdr:rowOff>171451</xdr:rowOff>
    </xdr:to>
    <mc:AlternateContent xmlns:mc="http://schemas.openxmlformats.org/markup-compatibility/2006" xmlns:a14="http://schemas.microsoft.com/office/drawing/2010/main">
      <mc:Choice Requires="a14">
        <xdr:graphicFrame macro="">
          <xdr:nvGraphicFramePr>
            <xdr:cNvPr id="3" name="Месец 19">
              <a:extLst>
                <a:ext uri="{FF2B5EF4-FFF2-40B4-BE49-F238E27FC236}">
                  <a16:creationId xmlns:a16="http://schemas.microsoft.com/office/drawing/2014/main" id="{00000000-0008-0000-0200-000003000000}"/>
                </a:ext>
              </a:extLst>
            </xdr:cNvPr>
            <xdr:cNvGraphicFramePr/>
          </xdr:nvGraphicFramePr>
          <xdr:xfrm>
            <a:off x="0" y="0"/>
            <a:ext cx="0" cy="0"/>
          </xdr:xfrm>
          <a:graphic>
            <a:graphicData uri="http://schemas.microsoft.com/office/drawing/2010/slicer">
              <sle:slicer xmlns:sle="http://schemas.microsoft.com/office/drawing/2010/slicer" name="Месец 19"/>
            </a:graphicData>
          </a:graphic>
        </xdr:graphicFrame>
      </mc:Choice>
      <mc:Fallback xmlns="">
        <xdr:sp macro="" textlink="">
          <xdr:nvSpPr>
            <xdr:cNvPr id="0" name=""/>
            <xdr:cNvSpPr>
              <a:spLocks noTextEdit="1"/>
            </xdr:cNvSpPr>
          </xdr:nvSpPr>
          <xdr:spPr>
            <a:xfrm>
              <a:off x="16823788" y="50572670"/>
              <a:ext cx="1869050" cy="3700781"/>
            </a:xfrm>
            <a:prstGeom prst="rect">
              <a:avLst/>
            </a:prstGeom>
            <a:solidFill>
              <a:prstClr val="white"/>
            </a:solidFill>
            <a:ln w="1">
              <a:solidFill>
                <a:prstClr val="green"/>
              </a:solidFill>
            </a:ln>
          </xdr:spPr>
          <xdr:txBody>
            <a:bodyPr vertOverflow="clip" horzOverflow="clip"/>
            <a:lstStyle/>
            <a:p>
              <a:r>
                <a:rPr lang="mk-MK"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invalid="1" saveData="0" refreshedBy="Angela Sazdova - Doneva" refreshedDate="44899.978476388889" createdVersion="3" refreshedVersion="6" minRefreshableVersion="3" recordCount="0" tupleCache="1" supportSubquery="1" supportAdvancedDrill="1" xr:uid="{00000000-000A-0000-FFFF-FFFF00000000}">
  <cacheSource type="external" connectionId="22"/>
  <cacheFields count="19">
    <cacheField name="[fActualAndBudget].[ReportType].[ReportType]" caption="ReportType" numFmtId="0" hierarchy="35" level="1">
      <sharedItems count="3">
        <s v="[fActualAndBudget].[ReportType].&amp;[Предвидување]" c="Предвидување"/>
        <s v="[fActualAndBudget].[ReportType].&amp;[План]" c="План"/>
        <s v="[fActualAndBudget].[ReportType].&amp;[Остварено]" c="Остварено"/>
      </sharedItems>
    </cacheField>
    <cacheField name="[fActualAndBudget].[ObrazecIme].[ObrazecIme]" caption="ObrazecIme" numFmtId="0" hierarchy="44" level="1">
      <sharedItems count="2">
        <s v="[fActualAndBudget].[ObrazecIme].&amp;[Finansiski plan_Bilans na uspeh]" c="Finansiski plan_Bilans na uspeh"/>
        <s v="[fActualAndBudget].[ObrazecIme].&amp;[Finansiski plan_Bilans na sostojba]" c="Finansiski plan_Bilans na sostojba"/>
      </sharedItems>
    </cacheField>
    <cacheField name="[CAPEX].[Број на јавна набавка (план)].[Број на јавна набавка (план)]" caption="Број на јавна набавка (план)" numFmtId="0" hierarchy="16" level="1">
      <sharedItems count="22">
        <s v="[CAPEX].[Број на јавна набавка (план)].&amp;[2023-013]" c="2023-013"/>
        <s v="[CAPEX].[Број на јавна набавка (план)].&amp;[2023-002]" c="2023-002"/>
        <s v="[CAPEX].[Број на јавна набавка (план)].&amp;[2023-010]" c="2023-010"/>
        <s v="[CAPEX].[Број на јавна набавка (план)].&amp;[2021-011]" c="2021-011"/>
        <s v="[CAPEX].[Број на јавна набавка (план)].&amp;[2022-006]" c="2022-006"/>
        <s v="[CAPEX].[Број на јавна набавка (план)].&amp;[2022-002]" c="2022-002"/>
        <s v="[CAPEX].[Број на јавна набавка (план)].&amp;[2021-013]" c="2021-013"/>
        <s v="[CAPEX].[Број на јавна набавка (план)].&amp;[2021-017]" c="2021-017"/>
        <s v="[CAPEX].[Број на јавна набавка (план)].&amp;[2022-007]" c="2022-007"/>
        <s v="[CAPEX].[Број на јавна набавка (план)].&amp;[2023-005]" c="2023-005"/>
        <s v="[CAPEX].[Број на јавна набавка (план)].&amp;[2023-012]" c="2023-012"/>
        <s v="[CAPEX].[Број на јавна набавка (план)].&amp;[2022-005]" c="2022-005"/>
        <s v="[CAPEX].[Број на јавна набавка (план)].&amp;[2021-012]" c="2021-012"/>
        <s v="[CAPEX].[Број на јавна набавка (план)].&amp;[2023-011]" c="2023-011"/>
        <s v="[CAPEX].[Број на јавна набавка (план)].&amp;[2022-003]" c="2022-003"/>
        <s v="[CAPEX].[Број на јавна набавка (план)].&amp;[2023-003]" c="2023-003"/>
        <s v="[CAPEX].[Број на јавна набавка (план)].&amp;[2022-013]" c="2022-013"/>
        <s v="[CAPEX].[Број на јавна набавка (план)].&amp;[2022-016]" c="2022-016"/>
        <s v="[CAPEX].[Број на јавна набавка (план)].&amp;[2023-014]" c="2023-014"/>
        <s v="[CAPEX].[Број на јавна набавка (план)].&amp;[2023-001]" c="2023-001"/>
        <s v="[CAPEX].[Број на јавна набавка (план)].&amp;[2023-009]" c="2023-009"/>
        <s v="[CAPEX].[Број на јавна набавка (план)].&amp;[2021-014]" c="2021-014"/>
      </sharedItems>
    </cacheField>
    <cacheField name="[Calendar].[Date Hierarchy].[Year]" caption="Year" numFmtId="0" hierarchy="7" level="1">
      <sharedItems count="2">
        <s v="[Calendar].[Date Hierarchy].[Year].&amp;[2023]" c="2023"/>
        <s v="[Calendar].[Date Hierarchy].[Year].&amp;[2021]" c="2021"/>
      </sharedItems>
    </cacheField>
    <cacheField name="[CAPEX].[Конто Средства].[Конто Средства]" caption="Конто Средства" numFmtId="0" hierarchy="22" level="1">
      <sharedItems count="4">
        <s v="[CAPEX].[Конто Средства].&amp;[011001]" c="011001"/>
        <s v="[CAPEX].[Конто Средства].&amp;[01213]" c="01213"/>
        <s v="[CAPEX].[Конто Средства].&amp;[01363]" c="01363"/>
        <s v="[CAPEX].[Конто Средства].&amp;[0030]" c="0030"/>
      </sharedItems>
    </cacheField>
    <cacheField name="[CAPEX].[Очекуван датум за ставање во употреба (месец)].[Очекуван датум за ставање во употреба (месец)]" caption="Очекуван датум за ставање во употреба (месец)" numFmtId="0" hierarchy="19" level="1">
      <sharedItems count="10">
        <s v="[CAPEX].[Очекуван датум за ставање во употреба (месец)].&amp;[2023-12-01T00:00:00]" c="12/1/2023"/>
        <s v="[CAPEX].[Очекуван датум за ставање во употреба (месец)].&amp;[2023-04-01T00:00:00]" c="4/1/2023"/>
        <s v="[CAPEX].[Очекуван датум за ставање во употреба (месец)].&amp;[2023-09-01T00:00:00]" c="9/1/2023"/>
        <s v="[CAPEX].[Очекуван датум за ставање во употреба (месец)].&amp;[2023-08-01T00:00:00]" c="8/1/2023"/>
        <s v="[CAPEX].[Очекуван датум за ставање во употреба (месец)].&amp;[2023-11-01T00:00:00]" c="11/1/2023"/>
        <s v="[CAPEX].[Очекуван датум за ставање во употреба (месец)].&amp;[2023-05-01T00:00:00]" c="5/1/2023"/>
        <s v="[CAPEX].[Очекуван датум за ставање во употреба (месец)].&amp;[2023-10-01T00:00:00]" c="10/1/2023"/>
        <s v="[CAPEX].[Очекуван датум за ставање во употреба (месец)].&amp;[2023-01-01T00:00:00]" c="1/1/2023"/>
        <s v="[CAPEX].[Очекуван датум за ставање во употреба (месец)].&amp;[2023-06-01T00:00:00]" c="6/1/2023"/>
        <s v="[CAPEX].[Очекуван датум за ставање во употреба (месец)].&amp;[2023-03-01T00:00:00]" c="3/1/2023"/>
      </sharedItems>
    </cacheField>
    <cacheField name="[Calendar].[Квартал].[Квартал]" caption="Квартал" numFmtId="0" hierarchy="14" level="1">
      <sharedItems count="4">
        <s v="[Calendar].[Квартал].&amp;[2023-12-31T00:00:00]" c="12/31/2023"/>
        <s v="[Calendar].[Квартал].&amp;[2023-09-30T00:00:00]" c="9/30/2023"/>
        <s v="[Calendar].[Квартал].&amp;[2023-06-30T00:00:00]" c="6/30/2023"/>
        <s v="[Calendar].[Квартал].&amp;[2023-03-31T00:00:00]" c="3/31/2023"/>
      </sharedItems>
    </cacheField>
    <cacheField name="[Calendar].[Година].[Година]" caption="Година" numFmtId="0" hierarchy="8" level="1">
      <sharedItems count="7">
        <s v="[Calendar].[Година].&amp;[2022]" c="2022"/>
        <s v="[Calendar].[Година].&amp;[2021]" c="2021"/>
        <s v="[Calendar].[Година].&amp;[2023]" c="2023"/>
        <s v="[Calendar].[Година].&amp;[2020]" c="2020"/>
        <s v="[Calendar].[Година].&amp;[2019]" c="2019"/>
        <s v="[Calendar].[Година].&amp;[2017]" c="2017"/>
        <s v="[Calendar].[Година].&amp;[2018]" c="2018"/>
      </sharedItems>
    </cacheField>
    <cacheField name="[CAPEX].[Очекуван датум на плаќање].[Очекуван датум на плаќање]" caption="Очекуван датум на плаќање" numFmtId="0" hierarchy="18" level="1">
      <sharedItems count="12">
        <s v="[CAPEX].[Очекуван датум на плаќање].&amp;[2022-12-01T00:00:00]" c="12/1/2022"/>
        <s v="[CAPEX].[Очекуван датум на плаќање].&amp;[2023-03-01T00:00:00]" c="3/1/2023"/>
        <s v="[CAPEX].[Очекуван датум на плаќање].&amp;[2023-11-01T00:00:00]" c="11/1/2023"/>
        <s v="[CAPEX].[Очекуван датум на плаќање].&amp;[2023-12-01T00:00:00]" c="12/1/2023"/>
        <s v="[CAPEX].[Очекуван датум на плаќање].&amp;[2023-08-01T00:00:00]" c="8/1/2023"/>
        <s v="[CAPEX].[Очекуван датум на плаќање].&amp;[2023-09-01T00:00:00]" c="9/1/2023"/>
        <s v="[CAPEX].[Очекуван датум на плаќање].&amp;[2023-05-01T00:00:00]" c="5/1/2023"/>
        <s v="[CAPEX].[Очекуван датум на плаќање].&amp;[2023-01-01T00:00:00]" c="1/1/2023"/>
        <s v="[CAPEX].[Очекуван датум на плаќање].&amp;[2023-10-01T00:00:00]" c="10/1/2023"/>
        <s v="[CAPEX].[Очекуван датум на плаќање].&amp;[2023-06-01T00:00:00]" c="6/1/2023"/>
        <s v="[CAPEX].[Очекуван датум на плаќање].&amp;[2023-02-01T00:00:00]" c="2/1/2023"/>
        <s v="[CAPEX].[Очекуван датум на плаќање].&amp;[2023-04-01T00:00:00]" c="4/1/2023"/>
      </sharedItems>
    </cacheField>
    <cacheField name="[Amortizacija].[Период].[Период]" caption="Период" numFmtId="0" hierarchy="2" level="1">
      <sharedItems count="12">
        <s v="[Amortizacija].[Период].&amp;[2023-03-01T00:00:00]" c="3/1/2023"/>
        <s v="[Amortizacija].[Период].&amp;[2023-11-01T00:00:00]" c="11/1/2023"/>
        <s v="[Amortizacija].[Период].&amp;[2023-09-01T00:00:00]" c="9/1/2023"/>
        <s v="[Amortizacija].[Период].&amp;[2023-08-01T00:00:00]" c="8/1/2023"/>
        <s v="[Amortizacija].[Период].&amp;[2023-04-01T00:00:00]" c="4/1/2023"/>
        <s v="[Amortizacija].[Период].&amp;[2023-06-01T00:00:00]" c="6/1/2023"/>
        <s v="[Amortizacija].[Период].&amp;[2023-12-01T00:00:00]" c="12/1/2023"/>
        <s v="[Amortizacija].[Период].&amp;[2023-01-01T00:00:00]" c="1/1/2023"/>
        <s v="[Amortizacija].[Период].&amp;[2023-07-01T00:00:00]" c="7/1/2023"/>
        <s v="[Amortizacija].[Период].&amp;[2023-05-01T00:00:00]" c="5/1/2023"/>
        <s v="[Amortizacija].[Период].&amp;[2023-10-01T00:00:00]" c="10/1/2023"/>
        <s v="[Amortizacija].[Период].&amp;[2023-02-01T00:00:00]" c="2/1/2023"/>
      </sharedItems>
    </cacheField>
    <cacheField name="[fActualAndBudget].[StavkaGrupa].[StavkaGrupa]" caption="StavkaGrupa" numFmtId="0" hierarchy="39" level="1">
      <sharedItems count="4">
        <s v="[fActualAndBudget].[StavkaGrupa].&amp;[3.1. Приходи од дејноста]" c="3.1. Приходи од дејноста"/>
        <s v="[fActualAndBudget].[StavkaGrupa].&amp;[3.2. Останати приходи]" c="3.2. Останати приходи"/>
        <s v="[fActualAndBudget].[StavkaGrupa].&amp;[4.1. Расходи од дејноста]" c="4.1. Расходи од дејноста"/>
        <s v="[fActualAndBudget].[StavkaGrupa].&amp;[4.2. Останати расходи]" c="4.2. Останати расходи"/>
      </sharedItems>
    </cacheField>
    <cacheField name="[fActualAndBudget].[StavkaImeMK].[StavkaImeMK]" caption="StavkaImeMK" numFmtId="0" hierarchy="38" level="1">
      <sharedItems count="77">
        <s v="[fActualAndBudget].[StavkaImeMK].&amp;[Приходи од регистар на задолжница]" c="Приходи од регистар на задолжница"/>
        <s v="[fActualAndBudget].[StavkaImeMK].&amp;[Курсни разлики]" c="Курсни разлики"/>
        <s v="[fActualAndBudget].[StavkaImeMK].&amp;[Приходи од регистар на вистински сопственици]" c="Приходи од регистар на вистински сопственици"/>
        <s v="[fActualAndBudget].[StavkaImeMK].&amp;[Приходи од годишни сметки]" c="Приходи од годишни сметки"/>
        <s v="[fActualAndBudget].[StavkaImeMK].&amp;[Загуби и кусоци]" c="Загуби и кусоци"/>
        <s v="[fActualAndBudget].[StavkaImeMK].&amp;[Останати расходи]" c="Останати расходи"/>
        <s v="[fActualAndBudget].[StavkaImeMK].&amp;[Услуги за одржување и заштита]" c="Услуги за одржување и заштита"/>
        <s v="[fActualAndBudget].[StavkaImeMK].&amp;[Приходи од продажба на подвижен имот]" c="Приходи од продажба на подвижен имот"/>
        <s v="[fActualAndBudget].[StavkaImeMK].&amp;[Останати услуги]" c="Останати услуги"/>
        <s v="[fActualAndBudget].[StavkaImeMK].&amp;[Вонредни невообичаени приходи]" c="Вонредни невообичаени приходи"/>
        <s v="[fActualAndBudget].[StavkaImeMK].&amp;[Лиценци за разни софтвери (едногодишни, обновливи)]" c="Лиценци за разни софтвери (едногодишни, обновливи)"/>
        <s v="[fActualAndBudget].[StavkaImeMK].&amp;[Приходи од Регистар на резиденти и нерезиденти]" c="Приходи од Регистар на резиденти и нерезиденти"/>
        <s v="[fActualAndBudget].[StavkaImeMK].&amp;[Државен капитал]" c="Државен капитал"/>
        <s v="[fActualAndBudget].[StavkaImeMK].&amp;[Вонбилансна актива]" c="Вонбилансна актива"/>
        <s v="[fActualAndBudget].[StavkaImeMK].&amp;[Премии за осигурување]" c="Премии за осигурување"/>
        <s v="[fActualAndBudget].[StavkaImeMK].&amp;[Наемнини и лизинг]" c="Наемнини и лизинг"/>
        <s v="[fActualAndBudget].[StavkaImeMK].&amp;[Дневници за службени патувања и патни трошоци]" c="Дневници за службени патувања и патни трошоци"/>
        <s v="[fActualAndBudget].[StavkaImeMK].&amp;[Трошоци за промоција,пропаганда, реклама, репрезентација и спонзорство]" c="Трошоци за промоција,пропаганда, реклама, репрезентација и спонзорство"/>
        <s v="[fActualAndBudget].[StavkaImeMK].&amp;[Приходи од трговски регистар]" c="Приходи од трговски регистар"/>
        <s v="[fActualAndBudget].[StavkaImeMK].&amp;[Приходи од регистар на директни странски инвестиции]" c="Приходи од регистар на директни странски инвестиции"/>
        <s v="[fActualAndBudget].[StavkaImeMK].&amp;[Приходи од регистрите за кривични санкции, пресуди и др.]" c="Приходи од регистрите за кривични санкции, пресуди и др."/>
        <s v="[fActualAndBudget].[StavkaImeMK].&amp;[Нематеријални средства во подготовка]" c="Нематеријални средства во подготовка"/>
        <s v="[fActualAndBudget].[StavkaImeMK].&amp;[Приходи од донации]" c="Приходи од донации"/>
        <s v="[fActualAndBudget].[StavkaImeMK].&amp;[Потрошени суровини и материјали]" c="Потрошени суровини и материјали"/>
        <s v="[fActualAndBudget].[StavkaImeMK].&amp;[Капитална добивка од продажба на материјални и неметеријални средства]" c="Капитална добивка од продажба на материјални и неметеријални средства"/>
        <s v="[fActualAndBudget].[StavkaImeMK].&amp;[Приходи од регистар на недвижности]" c="Приходи од регистар на недвижности"/>
        <s v="[fActualAndBudget].[StavkaImeMK].&amp;[Приходи од прекршочна постапка]" c="Приходи од прекршочна постапка"/>
        <s v="[fActualAndBudget].[StavkaImeMK].&amp;[Останати нематеријални трошоци]" c="Останати нематеријални трошоци"/>
        <s v="[fActualAndBudget].[StavkaImeMK].&amp;[Компјутерска и останата опрема]" c="Компјутерска и останата опрема"/>
        <s v="[fActualAndBudget].[StavkaImeMK].&amp;[Акумулирана добивка]" c="Акумулирана добивка"/>
        <s v="[fActualAndBudget].[StavkaImeMK].&amp;[Приходи од курсни разлики]" c="Приходи од курсни разлики"/>
        <s v="[fActualAndBudget].[StavkaImeMK].&amp;[Банкарски услуги и трошоци за платен промет]" c="Банкарски услуги и трошоци за платен промет"/>
        <s v="[fActualAndBudget].[StavkaImeMK].&amp;[Приходи од странство]" c="Приходи од странство"/>
        <s v="[fActualAndBudget].[StavkaImeMK].&amp;[Транспортни услуги]" c="Транспортни услуги"/>
        <s v="[fActualAndBudget].[StavkaImeMK].&amp;[Приходи од камати]" c="Приходи од камати"/>
        <s v="[fActualAndBudget].[StavkaImeMK].&amp;[Приходи од интернет дистрибутивен систем]" c="Приходи од интернет дистрибутивен систем"/>
        <s v="[fActualAndBudget].[StavkaImeMK].&amp;[Приходи од заложен регистар]" c="Приходи од заложен регистар"/>
        <s v="[fActualAndBudget].[StavkaImeMK].&amp;[Потрoшена енергија и гориво за возила]" c="Потрoшена енергија и гориво за возила"/>
        <s v="[fActualAndBudget].[StavkaImeMK].&amp;[Потрошени резервни делови]" c="Потрошени резервни делови"/>
        <s v="[fActualAndBudget].[StavkaImeMK].&amp;[Даноци,чланарини и други давачки кои не зависат од резултатот]" c="Даноци,чланарини и други давачки кои не зависат од резултатот"/>
        <s v="[fActualAndBudget].[StavkaImeMK].&amp;[Амортизација по минимални стапки]" c="Амортизација по минимални стапки"/>
        <s v="[fActualAndBudget].[StavkaImeMK].&amp;[Приходи од Регистар на лизинг]" c="Приходи од Регистар на лизинг"/>
        <s v="[fActualAndBudget].[StavkaImeMK].&amp;[Готовина домашна валута]" c="Готовина домашна валута"/>
        <s v="[fActualAndBudget].[StavkaImeMK].&amp;[Надворешни услуги]" c="Надворешни услуги"/>
        <s v="[fActualAndBudget].[StavkaImeMK].&amp;[Казни, пенали и надомест на штети затезни камати]" c="Казни, пенали и надомест на штети затезни камати"/>
        <s v="[fActualAndBudget].[StavkaImeMK].&amp;[Обврски кон добавувачи во земјата]" c="Обврски кон добавувачи во земјата"/>
        <s v="[fActualAndBudget].[StavkaImeMK].&amp;[Патнички автомобили]" c="Патнички автомобили"/>
        <s v="[fActualAndBudget].[StavkaImeMK].&amp;[Софтвер]" c="Софтвер"/>
        <s v="[fActualAndBudget].[StavkaImeMK].&amp;[Приходи од закуп]" c="Приходи од закуп"/>
        <s v="[fActualAndBudget].[StavkaImeMK].&amp;[Надомест на трошоци на вработените, подароци и помошти]" c="Надомест на трошоци на вработените, подароци и помошти"/>
        <s v="[fActualAndBudget].[StavkaImeMK].&amp;[Потрошок на ситен инвентар и автогуми]" c="Потрошок на ситен инвентар и автогуми"/>
        <s v="[fActualAndBudget].[StavkaImeMK].&amp;[Обврски за даноци и придонеси]" c="Обврски за даноци и придонеси"/>
        <s v="[fActualAndBudget].[StavkaImeMK].&amp;[Залихи на резервни делови]" c="Залихи на резервни делови"/>
        <s v="[fActualAndBudget].[StavkaImeMK].&amp;[Реинвестирана добивка]" c="Реинвестирана добивка"/>
        <s v="[fActualAndBudget].[StavkaImeMK].&amp;[Други неспомнати приходи]" c="Други неспомнати приходи"/>
        <s v="[fActualAndBudget].[StavkaImeMK].&amp;[Недвижности]" c="Недвижности"/>
        <s v="[fActualAndBudget].[StavkaImeMK].&amp;[Жиро сметки]" c="Жиро сметки"/>
        <s v="[fActualAndBudget].[StavkaImeMK].&amp;[Обврски кон вработените]" c="Обврски кон вработените"/>
        <s v="[fActualAndBudget].[StavkaImeMK].&amp;[Одложено плаќање на трошоци и признавање на приходи (ПВР)]" c="Одложено плаќање на трошоци и признавање на приходи (ПВР)"/>
        <s v="[fActualAndBudget].[StavkaImeMK].&amp;[Вредносно усогласување на тековни и нетековни средства]" c="Вредносно усогласување на тековни и нетековни средства"/>
        <s v="[fActualAndBudget].[StavkaImeMK].&amp;[Залихи на канцелариски и останат материјал]" c="Залихи на канцелариски и останат материјал"/>
        <s v="[fActualAndBudget].[StavkaImeMK].&amp;[Останати тековни обврски]" c="Останати тековни обврски"/>
        <s v="[fActualAndBudget].[StavkaImeMK].&amp;[Канцелариски мебел]" c="Канцелариски мебел"/>
        <s v="[fActualAndBudget].[StavkaImeMK].&amp;[Побарувања за аванси за материјални исредства]" c="Побарувања за аванси за материјални исредства"/>
        <s v="[fActualAndBudget].[StavkaImeMK].&amp;[Добивка/ Загуба за деловната година]" c="Добивка/ Загуба за деловната година"/>
        <s v="[fActualAndBudget].[StavkaImeMK].&amp;[Долгорочни финансиски обврски]" c="Долгорочни финансиски обврски"/>
        <s v="[fActualAndBudget].[StavkaImeMK].&amp;[Инвестиции во тек - недвижности]" c="Инвестиции во тек - недвижности"/>
        <s v="[fActualAndBudget].[StavkaImeMK].&amp;[Побарувања од државата]" c="Побарувања од државата"/>
        <s v="[fActualAndBudget].[StavkaImeMK].&amp;[Вонбилансна пасива]" c="Вонбилансна пасива"/>
        <s v="[fActualAndBudget].[StavkaImeMK].&amp;[Обврски спрема државата]" c="Обврски спрема државата"/>
        <s v="[fActualAndBudget].[StavkaImeMK].&amp;[Залихи на ситен инвентар и авто гуми]" c="Залихи на ситен инвентар и авто гуми"/>
        <s v="[fActualAndBudget].[StavkaImeMK].&amp;[Останати материјални основни средства]" c="Останати материјални основни средства"/>
        <s v="[fActualAndBudget].[StavkaImeMK].&amp;[Краткорочни финансиски побарувања]" c="Краткорочни финансиски побарувања"/>
        <s v="[fActualAndBudget].[StavkaImeMK].&amp;[Побарувања од вработените]" c="Побарувања од вработените"/>
        <s v="[fActualAndBudget].[StavkaImeMK].&amp;[Готовина странска валута]" c="Готовина странска валута"/>
        <s v="[fActualAndBudget].[StavkaImeMK].&amp;[Останати резерви - резерви за развој]" c="Останати резерви - резерви за развој"/>
        <s v="[fActualAndBudget].[StavkaImeMK].&amp;[Законска резерва]" c="Законска резерва"/>
      </sharedItems>
    </cacheField>
    <cacheField name="[fActualAndBudget].[StavkaKategorija].[StavkaKategorija]" caption="StavkaKategorija" numFmtId="0" hierarchy="40" level="1">
      <sharedItems count="23">
        <s v="[fActualAndBudget].[StavkaKategorija].&amp;[1.2. Побарувања]" c="1.2. Побарувања"/>
        <s v="[fActualAndBudget].[StavkaKategorija].&amp;[2.41. Расходи од финансирање]" c="2.41. Расходи од финансирање"/>
        <s v="[fActualAndBudget].[StavkaKategorija].&amp;[2.29. Приходи од продажба]" c="2.29. Приходи од продажба"/>
        <s v="[fActualAndBudget].[StavkaKategorija].&amp;[2.37. Останати оперативни расходи]" c="2.37. Останати оперативни расходи"/>
        <s v="[fActualAndBudget].[StavkaKategorija].&amp;[2.30. Останати оперативни приходи]" c="2.30. Останати оперативни приходи"/>
        <s v="[fActualAndBudget].[StavkaKategorija].&amp;[1.13. Вонбилансна актива]" c="1.13. Вонбилансна актива"/>
        <s v="[fActualAndBudget].[StavkaKategorija].&amp;[1.21. Капитал]" c="1.21. Капитал"/>
        <s v="[fActualAndBudget].[StavkaKategorija].&amp;[1.14. Краткорочни обврски]" c="1.14. Краткорочни обврски"/>
        <s v="[fActualAndBudget].[StavkaKategorija].&amp;[1.22. Акумулирана добивка]" c="1.22. Акумулирана добивка"/>
        <s v="[fActualAndBudget].[StavkaKategorija].&amp;[2.33. Трошоци за вработените]" c="2.33. Трошоци за вработените"/>
        <s v="[fActualAndBudget].[StavkaKategorija].&amp;[1.9. Нематеријални средства]" c="1.9. Нематеријални средства"/>
        <s v="[fActualAndBudget].[StavkaKategorija].&amp;[2.32. Потрошени суровини и материјали]" c="2.32. Потрошени суровини и материјали"/>
        <s v="[fActualAndBudget].[StavkaKategorija].&amp;[1.17. Долгорочни обврски]" c="1.17. Долгорочни обврски"/>
        <s v="[fActualAndBudget].[StavkaKategorija].&amp;[1.7. Материјални средства и вложувања во недвижности]" c="1.7. Материјални средства и вложувања во недвижности"/>
        <s v="[fActualAndBudget].[StavkaKategorija].&amp;[1.23. Резерви]" c="1.23. Резерви"/>
        <s v="[fActualAndBudget].[StavkaKategorija].&amp;[2.40. Приходи од финансирање]" c="2.40. Приходи од финансирање"/>
        <s v="[fActualAndBudget].[StavkaKategorija].&amp;[1.1. Парични средства]" c="1.1. Парични средства"/>
        <s v="[fActualAndBudget].[StavkaKategorija].&amp;[1.28. Вонбилансна пасива]" c="1.28. Вонбилансна пасива"/>
        <s v="[fActualAndBudget].[StavkaKategorija].&amp;[2.34. Амортизација на материјални средства]" c="2.34. Амортизација на материјални средства"/>
        <s v="[fActualAndBudget].[StavkaKategorija].&amp;[1.15. Одложено плаќање на трошоци и приходи (ПВР)]" c="1.15. Одложено плаќање на трошоци и приходи (ПВР)"/>
        <s v="[fActualAndBudget].[StavkaKategorija].&amp;[1.3. Залихи]" c="1.3. Залихи"/>
        <s v="[fActualAndBudget].[StavkaKategorija].&amp;[2.35. Вредносно усогласување на тековни средства]" c="2.35. Вредносно усогласување на тековни средства"/>
        <s v="[fActualAndBudget].[StavkaKategorija].&amp;[1.25. Добивка / Загуба за деловната година]" c="1.25. Добивка / Загуба за деловната година"/>
      </sharedItems>
    </cacheField>
    <cacheField name="[rArtikli_HR_Analiza].[StavkaKategorija.1].[StavkaKategorija.1]" caption="StavkaKategorija.1" numFmtId="0" hierarchy="132" level="1">
      <sharedItems count="2">
        <s v="[rArtikli_HR_Analiza].[StavkaKategorija.1].&amp;[2.32. Потрошени суровини и материјали]" c="2.32. Потрошени суровини и материјали"/>
        <s v="[rArtikli_HR_Analiza].[StavkaKategorija.1].&amp;[2.37. Останати оперативни расходи]" c="2.37. Останати оперативни расходи"/>
      </sharedItems>
    </cacheField>
    <cacheField name="[rArtikli_HR_Analiza].[Ставка].[Ставка]" caption="Ставка" numFmtId="0" hierarchy="115" level="1">
      <sharedItems count="27">
        <s v="[rArtikli_HR_Analiza].[Ставка].&amp;[Зимски пневматици]" c="Зимски пневматици"/>
        <s v="[rArtikli_HR_Analiza].[Ставка].&amp;[Хартија]" c="Хартија"/>
        <s v="[rArtikli_HR_Analiza].[Ставка].&amp;[Сунѓери со абразивна подлога за миење на садови, димензии мин. 9х5 см]" c="Сунѓери со абразивна подлога за миење на садови, димензии мин. 9х5 см"/>
        <s v="[rArtikli_HR_Analiza].[Ставка].&amp;[Лопатки за ѓубре]" c="Лопатки за ѓубре"/>
        <s v="[rArtikli_HR_Analiza].[Ставка].&amp;[Средство за миење на садови: 5-15% анјонски активни материи, &lt; 5% нејонски активни материи, парфем, 750 -1000мл]" c="Средство за миење на садови: 5-15% анјонски активни материи, &lt; 5% нејонски активни материи, парфем, 750 -1000мл"/>
        <s v="[rArtikli_HR_Analiza].[Ставка].&amp;[Крпи за чистење на маси и други површини (микрофибер), со димензии330х330 мм +/- 20%]" c="Крпи за чистење на маси и други површини (микрофибер), со димензии330х330 мм +/- 20%"/>
        <s v="[rArtikli_HR_Analiza].[Ставка].&amp;[Трослојна абсорбентна хартија 100% целулоза, бела боја со најмалку 100 ливчиња во ролна со димензии најмалку 230 х 100 mm во поединечно пакување во кеса со должина на хартија во ролната од најмалку 25 метри]" c="Трослојна абсорбентна хартија 100% целулоза, бела боја со најмалку 100 ливчиња во ролна со димензии најмалку 230 х 100 mm во поединечно пакување во кеса со должина на хартија во ролната од најмалку 25 метри"/>
        <s v="[rArtikli_HR_Analiza].[Ставка].&amp;[Резервни делови - батерии]" c="Резервни делови - батерии"/>
        <s v="[rArtikli_HR_Analiza].[Ставка].&amp;[Четка за собирање на пајажина со димензии на рачка од 80 см до 120 см]" c="Четка за собирање на пајажина со димензии на рачка од 80 см до 120 см"/>
        <s v="[rArtikli_HR_Analiza].[Ставка].&amp;[Крпи за бришење со моќ на впивање на течност, со димензии 200x190x4 мм +/- 20%]" c="Крпи за бришење со моќ на впивање на течност, со димензии 200x190x4 мм +/- 20%"/>
        <s v="[rArtikli_HR_Analiza].[Ставка].&amp;[Џогер Пуцвал со рачка во висина минимум 140 см]" c="Џогер Пуцвал со рачка во висина минимум 140 см"/>
        <s v="[rArtikli_HR_Analiza].[Ставка].&amp;[Останат канцелариски материјал]" c="Останат канцелариски материјал"/>
        <s v="[rArtikli_HR_Analiza].[Ставка].&amp;[Средство за чистење на подови  кое се состои најмалку од &lt;5% Non-Ionic Surfactants, Perfume, Benzisothiazolinone, алкохол, боја]" c="Средство за чистење на подови  кое се состои најмалку од &lt;5% Non-Ionic Surfactants, Perfume, Benzisothiazolinone, алкохол, боја"/>
        <s v="[rArtikli_HR_Analiza].[Ставка].&amp;[Трошоци за нафта за затоплување со склучен договор]" c="Трошоци за нафта за затоплување со склучен договор"/>
        <s v="[rArtikli_HR_Analiza].[Ставка].&amp;[Четка за WC шоља со пластична рачка]" c="Четка за WC шоља со пластична рачка"/>
        <s v="[rArtikli_HR_Analiza].[Ставка].&amp;[Метли]" c="Метли"/>
        <s v="[rArtikli_HR_Analiza].[Ставка].&amp;[Средство за чистење на тоалет санитарии антибигор против наслаги од каменец, рѓа и сапун, &lt;5% ензиоактиви нејонски, тензиоактиви анфотери, фосфонати, парфем, 750 -1000мл.]" c="Средство за чистење на тоалет санитарии антибигор против наслаги од каменец, рѓа и сапун, &lt;5% ензиоактиви нејонски, тензиоактиви анфотери, фосфонати, парфем, 750 -1000мл."/>
        <s v="[rArtikli_HR_Analiza].[Ставка].&amp;[Вреќи за отпад, ПВЦ, големи од  90 до 120 литри, од мин. 10 во пакување]" c="Вреќи за отпад, ПВЦ, големи од  90 до 120 литри, од мин. 10 во пакување"/>
        <s v="[rArtikli_HR_Analiza].[Ставка].&amp;[Тонери]" c="Тонери"/>
        <s v="[rArtikli_HR_Analiza].[Ставка].&amp;[Течен сапун за миење на раце со ph неутрален фактор, антибактериски, во пакување од 300 мл до 1 литар со пумпица]" c="Течен сапун за миење на раце со ph неутрален фактор, антибактериски, во пакување од 300 мл до 1 литар со пумпица"/>
        <s v="[rArtikli_HR_Analiza].[Ставка].&amp;[ПВЦ Кофа за цедење на џогер мин. 10 литри]" c="ПВЦ Кофа за цедење на џогер мин. 10 литри"/>
        <s v="[rArtikli_HR_Analiza].[Ставка].&amp;[Ракавици гумени хигиеничарски големина М,L,XL]" c="Ракавици гумени хигиеничарски големина М,L,XL"/>
        <s v="[rArtikli_HR_Analiza].[Ставка].&amp;[Средство за чистење на плочки, пакување од  0,5л - 1 литар]" c="Средство за чистење на плочки, пакување од  0,5л - 1 литар"/>
        <s v="[rArtikli_HR_Analiza].[Ставка].&amp;[Резерва за џогер пуцвал]" c="Резерва за џогер пуцвал"/>
        <s v="[rArtikli_HR_Analiza].[Ставка].&amp;[Летни пневматици]" c="Летни пневматици"/>
        <s v="[rArtikli_HR_Analiza].[Ставка].&amp;[Средство за чистење стаклени површини со пумпа распрскувач кое се состои најмалку од &lt;5% Non-Ionic Surfactants, Perfume, Benzisothiazolinone]" c="Средство за чистење стаклени површини со пумпа распрскувач кое се состои најмалку од &lt;5% Non-Ionic Surfactants, Perfume, Benzisothiazolinone"/>
        <s v="[rArtikli_HR_Analiza].[Ставка].&amp;[Трослојна тоалетна хартија во ролна 100% целулоза, бела боја со најмалку 200 листови со димензии најмалку 100 х 205mm]" c="Трослојна тоалетна хартија во ролна 100% целулоза, бела боја со најмалку 200 листови со димензии најмалку 100 х 205mm"/>
      </sharedItems>
    </cacheField>
    <cacheField name="[Amortizacija].[Конто].[Конто]" caption="Конто" numFmtId="0" hierarchy="4" level="1">
      <sharedItems count="4">
        <s v="[Amortizacija].[Конто].&amp;[431001]" c="431001"/>
        <s v="[Amortizacija].[Конто].&amp;[43136]" c="43136"/>
        <s v="[Amortizacija].[Конто].&amp;[43134]" c="43134"/>
        <s v="[Amortizacija].[Конто].&amp;[43030]" c="43030"/>
      </sharedItems>
    </cacheField>
    <cacheField name="[Calendar].[Месец].[Месец]" caption="Месец" numFmtId="0" hierarchy="10" level="1">
      <sharedItems count="12">
        <s v="[Calendar].[Месец].&amp;[Jan]" c="Jan"/>
        <s v="[Calendar].[Месец].&amp;[Jul]" c="Jul"/>
        <s v="[Calendar].[Месец].&amp;[Jun]" c="Jun"/>
        <s v="[Calendar].[Месец].&amp;[Aug]" c="Aug"/>
        <s v="[Calendar].[Месец].&amp;[Dec]" c="Dec"/>
        <s v="[Calendar].[Месец].&amp;[Feb]" c="Feb"/>
        <s v="[Calendar].[Месец].&amp;[Oct]" c="Oct"/>
        <s v="[Calendar].[Месец].&amp;[Mar]" c="Mar"/>
        <s v="[Calendar].[Месец].&amp;[Sep]" c="Sep"/>
        <s v="[Calendar].[Месец].&amp;[Apr]" c="Apr"/>
        <s v="[Calendar].[Месец].&amp;[Nov]" c="Nov"/>
        <s v="[Calendar].[Месец].&amp;[May]" c="May"/>
      </sharedItems>
    </cacheField>
    <cacheField name="[Measures].[MeasuresLevel]" caption="MeasuresLevel" numFmtId="0" hierarchy="93">
      <sharedItems count="4">
        <s v="[Measures].[Sum of Износ]" c="Sum of Износ"/>
        <s v="[Measures].[Sum of Износ (илјади)]" c="Sum of Износ (илјади)"/>
        <s v="[Measures].[Sum of Износ 2]" c="Sum of Износ 2"/>
        <s v="[Measures].[Sum of Проценета вредност на набавка со ДДВ (денари)]" c="Sum of Проценета вредност на набавка со ДДВ (денари)"/>
      </sharedItems>
    </cacheField>
    <cacheField name="[Calendar].[MMM-YYYY].[MMM-YYYY]" caption="MMM-YYYY" numFmtId="0" hierarchy="11" level="1">
      <sharedItems count="1">
        <s v="[Calendar].[MMM-YYYY].&amp;[Nov-2018]" c="Nov-2018"/>
      </sharedItems>
    </cacheField>
  </cacheFields>
  <cacheHierarchies count="196">
    <cacheHierarchy uniqueName="[Amortizacija].[Број на јавна набавка (план)]" caption="Број на јавна набавка (план)" attribute="1" defaultMemberUniqueName="[Amortizacija].[Број на јавна набавка (план)].[All]" allUniqueName="[Amortizacija].[Број на јавна набавка (план)].[All]" dimensionUniqueName="[Amortizacija]" displayFolder="" count="2" memberValueDatatype="130" unbalanced="0"/>
    <cacheHierarchy uniqueName="[Amortizacija].[Ставка]" caption="Ставка" attribute="1" defaultMemberUniqueName="[Amortizacija].[Ставка].[All]" allUniqueName="[Amortizacija].[Ставка].[All]" dimensionUniqueName="[Amortizacija]" displayFolder="" count="2" memberValueDatatype="130" unbalanced="0"/>
    <cacheHierarchy uniqueName="[Amortizacija].[Период]" caption="Период" attribute="1" time="1" defaultMemberUniqueName="[Amortizacija].[Период].[All]" allUniqueName="[Amortizacija].[Период].[All]" dimensionUniqueName="[Amortizacija]" displayFolder="" count="2" memberValueDatatype="7" unbalanced="0">
      <fieldsUsage count="2">
        <fieldUsage x="-1"/>
        <fieldUsage x="9"/>
      </fieldsUsage>
    </cacheHierarchy>
    <cacheHierarchy uniqueName="[Amortizacija].[Износ]" caption="Износ" attribute="1" defaultMemberUniqueName="[Amortizacija].[Износ].[All]" allUniqueName="[Amortizacija].[Износ].[All]" dimensionUniqueName="[Amortizacija]" displayFolder="" count="2" memberValueDatatype="20" unbalanced="0"/>
    <cacheHierarchy uniqueName="[Amortizacija].[Конто]" caption="Конто" attribute="1" defaultMemberUniqueName="[Amortizacija].[Конто].[All]" allUniqueName="[Amortizacija].[Конто].[All]" dimensionUniqueName="[Amortizacija]" displayFolder="" count="2" memberValueDatatype="130" unbalanced="0">
      <fieldsUsage count="2">
        <fieldUsage x="-1"/>
        <fieldUsage x="15"/>
      </fieldsUsage>
    </cacheHierarchy>
    <cacheHierarchy uniqueName="[Amortizacija].[ReportType]" caption="ReportType" attribute="1" defaultMemberUniqueName="[Amortizacija].[ReportType].[All]" allUniqueName="[Amortizacija].[ReportType].[All]" dimensionUniqueName="[Amortizacija]" displayFolder="" count="2" memberValueDatatype="130" unbalanced="0"/>
    <cacheHierarchy uniqueName="[Calendar].[Date]" caption="Date" attribute="1" time="1" keyAttribute="1" defaultMemberUniqueName="[Calendar].[Date].[All]" allUniqueName="[Calendar].[Date].[All]" dimensionUniqueName="[Calendar]" displayFolder="" count="2" memberValueDatatype="7" unbalanced="0"/>
    <cacheHierarchy uniqueName="[Calendar].[Date Hierarchy]" caption="Date Hierarchy" time="1" defaultMemberUniqueName="[Calendar].[Date Hierarchy].[All]" allUniqueName="[Calendar].[Date Hierarchy].[All]" dimensionUniqueName="[Calendar]" displayFolder="" count="4" unbalanced="0">
      <fieldsUsage count="2">
        <fieldUsage x="-1"/>
        <fieldUsage x="3"/>
      </fieldsUsage>
    </cacheHierarchy>
    <cacheHierarchy uniqueName="[Calendar].[Година]" caption="Година" attribute="1" time="1" defaultMemberUniqueName="[Calendar].[Година].[All]" allUniqueName="[Calendar].[Година].[All]" dimensionUniqueName="[Calendar]" displayFolder="" count="2" memberValueDatatype="20" unbalanced="0">
      <fieldsUsage count="2">
        <fieldUsage x="-1"/>
        <fieldUsage x="7"/>
      </fieldsUsage>
    </cacheHierarchy>
    <cacheHierarchy uniqueName="[Calendar].[Month Number]" caption="Month Number" attribute="1" time="1" defaultMemberUniqueName="[Calendar].[Month Number].[All]" allUniqueName="[Calendar].[Month Number].[All]" dimensionUniqueName="[Calendar]" displayFolder="" count="2" memberValueDatatype="20" unbalanced="0"/>
    <cacheHierarchy uniqueName="[Calendar].[Месец]" caption="Месец" attribute="1" time="1" defaultMemberUniqueName="[Calendar].[Месец].[All]" allUniqueName="[Calendar].[Месец].[All]" allCaption="All" dimensionUniqueName="[Calendar]" displayFolder="" count="2" memberValueDatatype="130" unbalanced="0">
      <fieldsUsage count="2">
        <fieldUsage x="-1"/>
        <fieldUsage x="16"/>
      </fieldsUsage>
    </cacheHierarchy>
    <cacheHierarchy uniqueName="[Calendar].[MMM-YYYY]" caption="MMM-YYYY" attribute="1" time="1" defaultMemberUniqueName="[Calendar].[MMM-YYYY].[All]" allUniqueName="[Calendar].[MMM-YYYY].[All]" dimensionUniqueName="[Calendar]" displayFolder="" count="2" memberValueDatatype="130" unbalanced="0">
      <fieldsUsage count="2">
        <fieldUsage x="-1"/>
        <fieldUsage x="18"/>
      </fieldsUsage>
    </cacheHierarchy>
    <cacheHierarchy uniqueName="[Calendar].[Day Of Week Number]" caption="Day Of Week Number" attribute="1" time="1" defaultMemberUniqueName="[Calendar].[Day Of Week Number].[All]" allUniqueName="[Calendar].[Day Of Week Number].[All]" dimensionUniqueName="[Calendar]" displayFolder="" count="2" memberValueDatatype="20" unbalanced="0"/>
    <cacheHierarchy uniqueName="[Calendar].[Day Of Week]" caption="Day Of Week" attribute="1" time="1" defaultMemberUniqueName="[Calendar].[Day Of Week].[All]" allUniqueName="[Calendar].[Day Of Week].[All]" dimensionUniqueName="[Calendar]" displayFolder="" count="2" memberValueDatatype="130" unbalanced="0"/>
    <cacheHierarchy uniqueName="[Calendar].[Квартал]" caption="Квартал" attribute="1" time="1" defaultMemberUniqueName="[Calendar].[Квартал].[All]" allUniqueName="[Calendar].[Квартал].[All]" dimensionUniqueName="[Calendar]" displayFolder="" count="2" memberValueDatatype="7" unbalanced="0">
      <fieldsUsage count="2">
        <fieldUsage x="-1"/>
        <fieldUsage x="6"/>
      </fieldsUsage>
    </cacheHierarchy>
    <cacheHierarchy uniqueName="[CAPEX].[Година за реализација на проект]" caption="Година за реализација на проект" attribute="1" defaultMemberUniqueName="[CAPEX].[Година за реализација на проект].[All]" allUniqueName="[CAPEX].[Година за реализација на проект].[All]" dimensionUniqueName="[CAPEX]" displayFolder="" count="2" memberValueDatatype="20" unbalanced="0"/>
    <cacheHierarchy uniqueName="[CAPEX].[Број на јавна набавка (план)]" caption="Број на јавна набавка (план)" attribute="1" defaultMemberUniqueName="[CAPEX].[Број на јавна набавка (план)].[All]" allUniqueName="[CAPEX].[Број на јавна набавка (план)].[All]" allCaption="All" dimensionUniqueName="[CAPEX]" displayFolder="" count="2" memberValueDatatype="130" unbalanced="0">
      <fieldsUsage count="2">
        <fieldUsage x="-1"/>
        <fieldUsage x="2"/>
      </fieldsUsage>
    </cacheHierarchy>
    <cacheHierarchy uniqueName="[CAPEX].[Предмет на договорот за јавна набавка]" caption="Предмет на договорот за јавна набавка" attribute="1" defaultMemberUniqueName="[CAPEX].[Предмет на договорот за јавна набавка].[All]" allUniqueName="[CAPEX].[Предмет на договорот за јавна набавка].[All]" dimensionUniqueName="[CAPEX]" displayFolder="" count="2" memberValueDatatype="130" unbalanced="0"/>
    <cacheHierarchy uniqueName="[CAPEX].[Очекуван датум на плаќање]" caption="Очекуван датум на плаќање" attribute="1" time="1" defaultMemberUniqueName="[CAPEX].[Очекуван датум на плаќање].[All]" allUniqueName="[CAPEX].[Очекуван датум на плаќање].[All]" dimensionUniqueName="[CAPEX]" displayFolder="" count="2" memberValueDatatype="7" unbalanced="0">
      <fieldsUsage count="2">
        <fieldUsage x="-1"/>
        <fieldUsage x="8"/>
      </fieldsUsage>
    </cacheHierarchy>
    <cacheHierarchy uniqueName="[CAPEX].[Очекуван датум за ставање во употреба (месец)]" caption="Очекуван датум за ставање во употреба (месец)" attribute="1" time="1" defaultMemberUniqueName="[CAPEX].[Очекуван датум за ставање во употреба (месец)].[All]" allUniqueName="[CAPEX].[Очекуван датум за ставање во употреба (месец)].[All]" dimensionUniqueName="[CAPEX]" displayFolder="" count="2" memberValueDatatype="7" unbalanced="0">
      <fieldsUsage count="2">
        <fieldUsage x="-1"/>
        <fieldUsage x="5"/>
      </fieldsUsage>
    </cacheHierarchy>
    <cacheHierarchy uniqueName="[CAPEX].[Проценета вредност на набавка со ДДВ (денари)]" caption="Проценета вредност на набавка со ДДВ (денари)" attribute="1" defaultMemberUniqueName="[CAPEX].[Проценета вредност на набавка со ДДВ (денари)].[All]" allUniqueName="[CAPEX].[Проценета вредност на набавка со ДДВ (денари)].[All]" dimensionUniqueName="[CAPEX]" displayFolder="" count="2" memberValueDatatype="20" unbalanced="0"/>
    <cacheHierarchy uniqueName="[CAPEX].[Стапка на амортизација]" caption="Стапка на амортизација" attribute="1" defaultMemberUniqueName="[CAPEX].[Стапка на амортизација].[All]" allUniqueName="[CAPEX].[Стапка на амортизација].[All]" dimensionUniqueName="[CAPEX]" displayFolder="" count="2" memberValueDatatype="5" unbalanced="0"/>
    <cacheHierarchy uniqueName="[CAPEX].[Конто Средства]" caption="Конто Средства" attribute="1" defaultMemberUniqueName="[CAPEX].[Конто Средства].[All]" allUniqueName="[CAPEX].[Конто Средства].[All]" allCaption="All" dimensionUniqueName="[CAPEX]" displayFolder="" count="2" memberValueDatatype="130" unbalanced="0">
      <fieldsUsage count="2">
        <fieldUsage x="-1"/>
        <fieldUsage x="4"/>
      </fieldsUsage>
    </cacheHierarchy>
    <cacheHierarchy uniqueName="[CAPEX].[Конто Амортизација]" caption="Конто Амортизација" attribute="1" defaultMemberUniqueName="[CAPEX].[Конто Амортизација].[All]" allUniqueName="[CAPEX].[Конто Амортизација].[All]" dimensionUniqueName="[CAPEX]" displayFolder="" count="2" memberValueDatatype="130" unbalanced="0"/>
    <cacheHierarchy uniqueName="[CAPEX].[Износ донација]" caption="Износ донација" attribute="1" defaultMemberUniqueName="[CAPEX].[Износ донација].[All]" allUniqueName="[CAPEX].[Износ донација].[All]" dimensionUniqueName="[CAPEX]" displayFolder="" count="2" memberValueDatatype="20" unbalanced="0"/>
    <cacheHierarchy uniqueName="[CAPEX].[Очекуван датум на плаќање (Year)]" caption="Очекуван датум на плаќање (Year)" attribute="1" defaultMemberUniqueName="[CAPEX].[Очекуван датум на плаќање (Year)].[All]" allUniqueName="[CAPEX].[Очекуван датум на плаќање (Year)].[All]" dimensionUniqueName="[CAPEX]" displayFolder="" count="2" memberValueDatatype="130" unbalanced="0"/>
    <cacheHierarchy uniqueName="[CAPEX].[Очекуван датум на плаќање (Quarter)]" caption="Очекуван датум на плаќање (Quarter)" attribute="1" defaultMemberUniqueName="[CAPEX].[Очекуван датум на плаќање (Quarter)].[All]" allUniqueName="[CAPEX].[Очекуван датум на плаќање (Quarter)].[All]" dimensionUniqueName="[CAPEX]" displayFolder="" count="2" memberValueDatatype="130" unbalanced="0"/>
    <cacheHierarchy uniqueName="[CAPEX].[Очекуван датум на плаќање (Month)]" caption="Очекуван датум на плаќање (Month)" attribute="1" defaultMemberUniqueName="[CAPEX].[Очекуван датум на плаќање (Month)].[All]" allUniqueName="[CAPEX].[Очекуван датум на плаќање (Month)].[All]" dimensionUniqueName="[CAPEX]" displayFolder="" count="2" memberValueDatatype="130" unbalanced="0"/>
    <cacheHierarchy uniqueName="[CAPEX].[Очекуван датум за ставање во употреба (месец) (Year)]" caption="Очекуван датум за ставање во употреба (месец) (Year)" attribute="1" defaultMemberUniqueName="[CAPEX].[Очекуван датум за ставање во употреба (месец) (Year)].[All]" allUniqueName="[CAPEX].[Очекуван датум за ставање во употреба (месец) (Year)].[All]" dimensionUniqueName="[CAPEX]" displayFolder="" count="2" memberValueDatatype="130" unbalanced="0"/>
    <cacheHierarchy uniqueName="[CAPEX].[Очекуван датум за ставање во употреба (месец) (Quarter)]" caption="Очекуван датум за ставање во употреба (месец) (Quarter)" attribute="1" defaultMemberUniqueName="[CAPEX].[Очекуван датум за ставање во употреба (месец) (Quarter)].[All]" allUniqueName="[CAPEX].[Очекуван датум за ставање во употреба (месец) (Quarter)].[All]" dimensionUniqueName="[CAPEX]" displayFolder="" count="2" memberValueDatatype="130" unbalanced="0"/>
    <cacheHierarchy uniqueName="[CAPEX].[Очекуван датум за ставање во употреба (месец) (Month)]" caption="Очекуван датум за ставање во употреба (месец) (Month)" attribute="1" defaultMemberUniqueName="[CAPEX].[Очекуван датум за ставање во употреба (месец) (Month)].[All]" allUniqueName="[CAPEX].[Очекуван датум за ставање во употреба (месец) (Month)].[All]" dimensionUniqueName="[CAPEX]" displayFolder="" count="2" memberValueDatatype="130" unbalanced="0"/>
    <cacheHierarchy uniqueName="[fActualAndBudget].[Конто]" caption="Конто" attribute="1" defaultMemberUniqueName="[fActualAndBudget].[Конто].[All]" allUniqueName="[fActualAndBudget].[Конто].[All]" dimensionUniqueName="[fActualAndBudget]" displayFolder="" count="2" memberValueDatatype="130" unbalanced="0"/>
    <cacheHierarchy uniqueName="[fActualAndBudget].[Назив на конто]" caption="Назив на конто" attribute="1" defaultMemberUniqueName="[fActualAndBudget].[Назив на конто].[All]" allUniqueName="[fActualAndBudget].[Назив на конто].[All]" dimensionUniqueName="[fActualAndBudget]" displayFolder="" count="2" memberValueDatatype="130" unbalanced="0"/>
    <cacheHierarchy uniqueName="[fActualAndBudget].[Период]" caption="Период" attribute="1" time="1" defaultMemberUniqueName="[fActualAndBudget].[Период].[All]" allUniqueName="[fActualAndBudget].[Период].[All]" dimensionUniqueName="[fActualAndBudget]" displayFolder="" count="2" memberValueDatatype="7" unbalanced="0"/>
    <cacheHierarchy uniqueName="[fActualAndBudget].[Износ1]" caption="Износ1" attribute="1" defaultMemberUniqueName="[fActualAndBudget].[Износ1].[All]" allUniqueName="[fActualAndBudget].[Износ1].[All]" dimensionUniqueName="[fActualAndBudget]" displayFolder="" count="2" memberValueDatatype="20" unbalanced="0"/>
    <cacheHierarchy uniqueName="[fActualAndBudget].[ReportType]" caption="ReportType" attribute="1" defaultMemberUniqueName="[fActualAndBudget].[ReportType].[All]" allUniqueName="[fActualAndBudget].[ReportType].[All]" allCaption="All" dimensionUniqueName="[fActualAndBudget]" displayFolder="" count="2" memberValueDatatype="130" unbalanced="0">
      <fieldsUsage count="2">
        <fieldUsage x="-1"/>
        <fieldUsage x="0"/>
      </fieldsUsage>
    </cacheHierarchy>
    <cacheHierarchy uniqueName="[fActualAndBudget].[Ставка]" caption="Ставка" attribute="1" defaultMemberUniqueName="[fActualAndBudget].[Ставка].[All]" allUniqueName="[fActualAndBudget].[Ставка].[All]" dimensionUniqueName="[fActualAndBudget]" displayFolder="" count="2" memberValueDatatype="130" unbalanced="0"/>
    <cacheHierarchy uniqueName="[fActualAndBudget].[Број на јавна набавка (план)]" caption="Број на јавна набавка (план)" attribute="1" defaultMemberUniqueName="[fActualAndBudget].[Број на јавна набавка (план)].[All]" allUniqueName="[fActualAndBudget].[Број на јавна набавка (план)].[All]" dimensionUniqueName="[fActualAndBudget]" displayFolder="" count="2" memberValueDatatype="130" unbalanced="0"/>
    <cacheHierarchy uniqueName="[fActualAndBudget].[StavkaImeMK]" caption="StavkaImeMK" attribute="1" defaultMemberUniqueName="[fActualAndBudget].[StavkaImeMK].[All]" allUniqueName="[fActualAndBudget].[StavkaImeMK].[All]" dimensionUniqueName="[fActualAndBudget]" displayFolder="" count="2" memberValueDatatype="130" unbalanced="0">
      <fieldsUsage count="2">
        <fieldUsage x="-1"/>
        <fieldUsage x="11"/>
      </fieldsUsage>
    </cacheHierarchy>
    <cacheHierarchy uniqueName="[fActualAndBudget].[StavkaGrupa]" caption="StavkaGrupa" attribute="1" defaultMemberUniqueName="[fActualAndBudget].[StavkaGrupa].[All]" allUniqueName="[fActualAndBudget].[StavkaGrupa].[All]" dimensionUniqueName="[fActualAndBudget]" displayFolder="" count="2" memberValueDatatype="130" unbalanced="0">
      <fieldsUsage count="2">
        <fieldUsage x="-1"/>
        <fieldUsage x="10"/>
      </fieldsUsage>
    </cacheHierarchy>
    <cacheHierarchy uniqueName="[fActualAndBudget].[StavkaKategorija]" caption="StavkaKategorija" attribute="1" defaultMemberUniqueName="[fActualAndBudget].[StavkaKategorija].[All]" allUniqueName="[fActualAndBudget].[StavkaKategorija].[All]" dimensionUniqueName="[fActualAndBudget]" displayFolder="" count="2" memberValueDatatype="130" unbalanced="0">
      <fieldsUsage count="2">
        <fieldUsage x="-1"/>
        <fieldUsage x="12"/>
      </fieldsUsage>
    </cacheHierarchy>
    <cacheHierarchy uniqueName="[fActualAndBudget].[ZnakIzvestaj]" caption="ZnakIzvestaj" attribute="1" defaultMemberUniqueName="[fActualAndBudget].[ZnakIzvestaj].[All]" allUniqueName="[fActualAndBudget].[ZnakIzvestaj].[All]" dimensionUniqueName="[fActualAndBudget]" displayFolder="" count="2" memberValueDatatype="20" unbalanced="0"/>
    <cacheHierarchy uniqueName="[fActualAndBudget].[ObrazecID]" caption="ObrazecID" attribute="1" defaultMemberUniqueName="[fActualAndBudget].[ObrazecID].[All]" allUniqueName="[fActualAndBudget].[ObrazecID].[All]" dimensionUniqueName="[fActualAndBudget]" displayFolder="" count="2" memberValueDatatype="20" unbalanced="0"/>
    <cacheHierarchy uniqueName="[fActualAndBudget].[StavkaAOP]" caption="StavkaAOP" attribute="1" defaultMemberUniqueName="[fActualAndBudget].[StavkaAOP].[All]" allUniqueName="[fActualAndBudget].[StavkaAOP].[All]" dimensionUniqueName="[fActualAndBudget]" displayFolder="" count="2" memberValueDatatype="130" unbalanced="0"/>
    <cacheHierarchy uniqueName="[fActualAndBudget].[ObrazecIme]" caption="ObrazecIme" attribute="1" defaultMemberUniqueName="[fActualAndBudget].[ObrazecIme].[All]" allUniqueName="[fActualAndBudget].[ObrazecIme].[All]" dimensionUniqueName="[fActualAndBudget]" displayFolder="" count="2" memberValueDatatype="130" unbalanced="0">
      <fieldsUsage count="2">
        <fieldUsage x="-1"/>
        <fieldUsage x="1"/>
      </fieldsUsage>
    </cacheHierarchy>
    <cacheHierarchy uniqueName="[fActualAndBudget].[Износ]" caption="Износ" attribute="1" defaultMemberUniqueName="[fActualAndBudget].[Износ].[All]" allUniqueName="[fActualAndBudget].[Износ].[All]" dimensionUniqueName="[fActualAndBudget]" displayFolder="" count="2" memberValueDatatype="20" unbalanced="0"/>
    <cacheHierarchy uniqueName="[fActualAndBudget].[Износ (илјади)]" caption="Износ (илјади)" attribute="1" defaultMemberUniqueName="[fActualAndBudget].[Износ (илјади)].[All]" allUniqueName="[fActualAndBudget].[Износ (илјади)].[All]" dimensionUniqueName="[fActualAndBudget]" displayFolder="" count="2" memberValueDatatype="5" unbalanced="0"/>
    <cacheHierarchy uniqueName="[fActualAndBudget].[StavkaImeAOP]" caption="StavkaImeAOP" attribute="1" defaultMemberUniqueName="[fActualAndBudget].[StavkaImeAOP].[All]" allUniqueName="[fActualAndBudget].[StavkaImeAOP].[All]" dimensionUniqueName="[fActualAndBudget]" displayFolder="" count="2" memberValueDatatype="130" unbalanced="0"/>
    <cacheHierarchy uniqueName="[fActualAndBudget].[Конто Ставка]" caption="Конто Ставка" attribute="1" defaultMemberUniqueName="[fActualAndBudget].[Конто Ставка].[All]" allUniqueName="[fActualAndBudget].[Конто Ставка].[All]" dimensionUniqueName="[fActualAndBudget]" displayFolder="" count="2" memberValueDatatype="130" unbalanced="0"/>
    <cacheHierarchy uniqueName="[fArtikliCeni].[Ставка]" caption="Ставка" attribute="1" defaultMemberUniqueName="[fArtikliCeni].[Ставка].[All]" allUniqueName="[fArtikliCeni].[Ставка].[All]" dimensionUniqueName="[fArtikliCeni]" displayFolder="" count="2" memberValueDatatype="130" unbalanced="0"/>
    <cacheHierarchy uniqueName="[fArtikliCeni].[Категорија Артикл]" caption="Категорија Артикл" attribute="1" defaultMemberUniqueName="[fArtikliCeni].[Категорија Артикл].[All]" allUniqueName="[fArtikliCeni].[Категорија Артикл].[All]" dimensionUniqueName="[fArtikliCeni]" displayFolder="" count="2" memberValueDatatype="130" unbalanced="0"/>
    <cacheHierarchy uniqueName="[fArtikliCeni].[Тип на артикл]" caption="Тип на артикл" attribute="1" defaultMemberUniqueName="[fArtikliCeni].[Тип на артикл].[All]" allUniqueName="[fArtikliCeni].[Тип на артикл].[All]" dimensionUniqueName="[fArtikliCeni]" displayFolder="" count="2" memberValueDatatype="130" unbalanced="0"/>
    <cacheHierarchy uniqueName="[fArtikliCeni].[Единечна мерка]" caption="Единечна мерка" attribute="1" defaultMemberUniqueName="[fArtikliCeni].[Единечна мерка].[All]" allUniqueName="[fArtikliCeni].[Единечна мерка].[All]" dimensionUniqueName="[fArtikliCeni]" displayFolder="" count="2" memberValueDatatype="130" unbalanced="0"/>
    <cacheHierarchy uniqueName="[fArtikliCeni].[Количина]" caption="Количина" attribute="1" defaultMemberUniqueName="[fArtikliCeni].[Количина].[All]" allUniqueName="[fArtikliCeni].[Количина].[All]" dimensionUniqueName="[fArtikliCeni]" displayFolder="" count="2" memberValueDatatype="5" unbalanced="0"/>
    <cacheHierarchy uniqueName="[fArtikliCeni].[Единечна цена]" caption="Единечна цена" attribute="1" defaultMemberUniqueName="[fArtikliCeni].[Единечна цена].[All]" allUniqueName="[fArtikliCeni].[Единечна цена].[All]" dimensionUniqueName="[fArtikliCeni]" displayFolder="" count="2" memberValueDatatype="20" unbalanced="0"/>
    <cacheHierarchy uniqueName="[fArtikliCeni].[Вкупно трошок]" caption="Вкупно трошок" attribute="1" defaultMemberUniqueName="[fArtikliCeni].[Вкупно трошок].[All]" allUniqueName="[fArtikliCeni].[Вкупно трошок].[All]" dimensionUniqueName="[fArtikliCeni]" displayFolder="" count="2" memberValueDatatype="5" unbalanced="0"/>
    <cacheHierarchy uniqueName="[fArtikliCeni].[ДДВ]" caption="ДДВ" attribute="1" defaultMemberUniqueName="[fArtikliCeni].[ДДВ].[All]" allUniqueName="[fArtikliCeni].[ДДВ].[All]" dimensionUniqueName="[fArtikliCeni]" displayFolder="" count="2" memberValueDatatype="5" unbalanced="0"/>
    <cacheHierarchy uniqueName="[fArtikliCeni].[Износ]" caption="Износ" attribute="1" defaultMemberUniqueName="[fArtikliCeni].[Износ].[All]" allUniqueName="[fArtikliCeni].[Износ].[All]" dimensionUniqueName="[fArtikliCeni]" displayFolder="" count="2" memberValueDatatype="5" unbalanced="0"/>
    <cacheHierarchy uniqueName="[fArtikliCeni].[Конто]" caption="Конто" attribute="1" defaultMemberUniqueName="[fArtikliCeni].[Конто].[All]" allUniqueName="[fArtikliCeni].[Конто].[All]" dimensionUniqueName="[fArtikliCeni]" displayFolder="" count="2" memberValueDatatype="130" unbalanced="0"/>
    <cacheHierarchy uniqueName="[fArtikliCeni].[ReportType]" caption="ReportType" attribute="1" defaultMemberUniqueName="[fArtikliCeni].[ReportType].[All]" allUniqueName="[fArtikliCeni].[ReportType].[All]" dimensionUniqueName="[fArtikliCeni]" displayFolder="" count="2" memberValueDatatype="130" unbalanced="0"/>
    <cacheHierarchy uniqueName="[fArtikliCeni].[Период]" caption="Период" attribute="1" time="1" defaultMemberUniqueName="[fArtikliCeni].[Период].[All]" allUniqueName="[fArtikliCeni].[Период].[All]" dimensionUniqueName="[fArtikliCeni]" displayFolder="" count="2" memberValueDatatype="7" unbalanced="0"/>
    <cacheHierarchy uniqueName="[fArtikliCeni].[StavkaImeMK]" caption="StavkaImeMK" attribute="1" defaultMemberUniqueName="[fArtikliCeni].[StavkaImeMK].[All]" allUniqueName="[fArtikliCeni].[StavkaImeMK].[All]" dimensionUniqueName="[fArtikliCeni]" displayFolder="" count="2" memberValueDatatype="130" unbalanced="0"/>
    <cacheHierarchy uniqueName="[fArtikliCeni].[StavkaAOP]" caption="StavkaAOP" attribute="1" defaultMemberUniqueName="[fArtikliCeni].[StavkaAOP].[All]" allUniqueName="[fArtikliCeni].[StavkaAOP].[All]" dimensionUniqueName="[fArtikliCeni]" displayFolder="" count="2" memberValueDatatype="130" unbalanced="0"/>
    <cacheHierarchy uniqueName="[fArtikliCeni].[StavkaGrupa]" caption="StavkaGrupa" attribute="1" defaultMemberUniqueName="[fArtikliCeni].[StavkaGrupa].[All]" allUniqueName="[fArtikliCeni].[StavkaGrupa].[All]" dimensionUniqueName="[fArtikliCeni]" displayFolder="" count="2" memberValueDatatype="130" unbalanced="0"/>
    <cacheHierarchy uniqueName="[fArtikliCeni].[StavkaKategorija]" caption="StavkaKategorija" attribute="1" defaultMemberUniqueName="[fArtikliCeni].[StavkaKategorija].[All]" allUniqueName="[fArtikliCeni].[StavkaKategorija].[All]" dimensionUniqueName="[fArtikliCeni]" displayFolder="" count="2" memberValueDatatype="130" unbalanced="0"/>
    <cacheHierarchy uniqueName="[fArtikliCeni].[ObrazecIme]" caption="ObrazecIme" attribute="1" defaultMemberUniqueName="[fArtikliCeni].[ObrazecIme].[All]" allUniqueName="[fArtikliCeni].[ObrazecIme].[All]" dimensionUniqueName="[fArtikliCeni]" displayFolder="" count="2" memberValueDatatype="130" unbalanced="0"/>
    <cacheHierarchy uniqueName="[fCoveckiResursi].[Ставка]" caption="Ставка" attribute="1" defaultMemberUniqueName="[fCoveckiResursi].[Ставка].[All]" allUniqueName="[fCoveckiResursi].[Ставка].[All]" dimensionUniqueName="[fCoveckiResursi]" displayFolder="" count="2" memberValueDatatype="130" unbalanced="0"/>
    <cacheHierarchy uniqueName="[fCoveckiResursi].[Тип на вработување]" caption="Тип на вработување" attribute="1" defaultMemberUniqueName="[fCoveckiResursi].[Тип на вработување].[All]" allUniqueName="[fCoveckiResursi].[Тип на вработување].[All]" dimensionUniqueName="[fCoveckiResursi]" displayFolder="" count="2" memberValueDatatype="130" unbalanced="0"/>
    <cacheHierarchy uniqueName="[fCoveckiResursi].[Планиран прилив/(одлив)]" caption="Планиран прилив/(одлив)" attribute="1" defaultMemberUniqueName="[fCoveckiResursi].[Планиран прилив/(одлив)].[All]" allUniqueName="[fCoveckiResursi].[Планиран прилив/(одлив)].[All]" dimensionUniqueName="[fCoveckiResursi]" displayFolder="" count="2" memberValueDatatype="20" unbalanced="0"/>
    <cacheHierarchy uniqueName="[fCoveckiResursi].[Период]" caption="Период" attribute="1" time="1" defaultMemberUniqueName="[fCoveckiResursi].[Период].[All]" allUniqueName="[fCoveckiResursi].[Период].[All]" dimensionUniqueName="[fCoveckiResursi]" displayFolder="" count="2" memberValueDatatype="7" unbalanced="0"/>
    <cacheHierarchy uniqueName="[fCoveckiResursi].[Крајна состојба вработени]" caption="Крајна состојба вработени" attribute="1" defaultMemberUniqueName="[fCoveckiResursi].[Крајна состојба вработени].[All]" allUniqueName="[fCoveckiResursi].[Крајна состојба вработени].[All]" dimensionUniqueName="[fCoveckiResursi]" displayFolder="" count="2" memberValueDatatype="20" unbalanced="0"/>
    <cacheHierarchy uniqueName="[fCoveckiResursi].[Износ]" caption="Износ" attribute="1" defaultMemberUniqueName="[fCoveckiResursi].[Износ].[All]" allUniqueName="[fCoveckiResursi].[Износ].[All]" dimensionUniqueName="[fCoveckiResursi]" displayFolder="" count="2" memberValueDatatype="20" unbalanced="0"/>
    <cacheHierarchy uniqueName="[fCoveckiResursi].[Конто]" caption="Конто" attribute="1" defaultMemberUniqueName="[fCoveckiResursi].[Конто].[All]" allUniqueName="[fCoveckiResursi].[Конто].[All]" dimensionUniqueName="[fCoveckiResursi]" displayFolder="" count="2" memberValueDatatype="130" unbalanced="0"/>
    <cacheHierarchy uniqueName="[fCoveckiResursi].[ReportType]" caption="ReportType" attribute="1" defaultMemberUniqueName="[fCoveckiResursi].[ReportType].[All]" allUniqueName="[fCoveckiResursi].[ReportType].[All]" dimensionUniqueName="[fCoveckiResursi]" displayFolder="" count="2" memberValueDatatype="130" unbalanced="0"/>
    <cacheHierarchy uniqueName="[fCoveckiResursi].[Период (Year)]" caption="Период (Year)" attribute="1" defaultMemberUniqueName="[fCoveckiResursi].[Период (Year)].[All]" allUniqueName="[fCoveckiResursi].[Период (Year)].[All]" dimensionUniqueName="[fCoveckiResursi]" displayFolder="" count="2" memberValueDatatype="130" unbalanced="0"/>
    <cacheHierarchy uniqueName="[fCoveckiResursi].[Период (Quarter)]" caption="Период (Quarter)" attribute="1" defaultMemberUniqueName="[fCoveckiResursi].[Период (Quarter)].[All]" allUniqueName="[fCoveckiResursi].[Период (Quarter)].[All]" dimensionUniqueName="[fCoveckiResursi]" displayFolder="" count="2" memberValueDatatype="130" unbalanced="0"/>
    <cacheHierarchy uniqueName="[fCoveckiResursi].[Период (Month)]" caption="Период (Month)" attribute="1" defaultMemberUniqueName="[fCoveckiResursi].[Период (Month)].[All]" allUniqueName="[fCoveckiResursi].[Период (Month)].[All]" dimensionUniqueName="[fCoveckiResursi]" displayFolder="" count="2" memberValueDatatype="130" unbalanced="0"/>
    <cacheHierarchy uniqueName="[fCoveckiResursi].[Период (Year) 1]" caption="Период (Year) 1" attribute="1" defaultMemberUniqueName="[fCoveckiResursi].[Период (Year) 1].[All]" allUniqueName="[fCoveckiResursi].[Период (Year) 1].[All]" dimensionUniqueName="[fCoveckiResursi]" displayFolder="" count="2" memberValueDatatype="130" unbalanced="0"/>
    <cacheHierarchy uniqueName="[fCoveckiResursi].[Период (Quarter) 1]" caption="Период (Quarter) 1" attribute="1" defaultMemberUniqueName="[fCoveckiResursi].[Период (Quarter) 1].[All]" allUniqueName="[fCoveckiResursi].[Период (Quarter) 1].[All]" dimensionUniqueName="[fCoveckiResursi]" displayFolder="" count="2" memberValueDatatype="130" unbalanced="0"/>
    <cacheHierarchy uniqueName="[fCoveckiResursi].[Период (Month) 1]" caption="Период (Month) 1" attribute="1" defaultMemberUniqueName="[fCoveckiResursi].[Период (Month) 1].[All]" allUniqueName="[fCoveckiResursi].[Период (Month) 1].[All]" dimensionUniqueName="[fCoveckiResursi]" displayFolder="" count="2" memberValueDatatype="130" unbalanced="0"/>
    <cacheHierarchy uniqueName="[fCoveckiResursi  2].[Ставка]" caption="Ставка" attribute="1" defaultMemberUniqueName="[fCoveckiResursi  2].[Ставка].[All]" allUniqueName="[fCoveckiResursi  2].[Ставка].[All]" dimensionUniqueName="[fCoveckiResursi  2]" displayFolder="" count="2" memberValueDatatype="130" unbalanced="0"/>
    <cacheHierarchy uniqueName="[fCoveckiResursi  2].[Период]" caption="Период" attribute="1" time="1" defaultMemberUniqueName="[fCoveckiResursi  2].[Период].[All]" allUniqueName="[fCoveckiResursi  2].[Период].[All]" dimensionUniqueName="[fCoveckiResursi  2]" displayFolder="" count="2" memberValueDatatype="7" unbalanced="0"/>
    <cacheHierarchy uniqueName="[fCoveckiResursi  2].[Износ]" caption="Износ" attribute="1" defaultMemberUniqueName="[fCoveckiResursi  2].[Износ].[All]" allUniqueName="[fCoveckiResursi  2].[Износ].[All]" dimensionUniqueName="[fCoveckiResursi  2]" displayFolder="" count="2" memberValueDatatype="20" unbalanced="0"/>
    <cacheHierarchy uniqueName="[fCoveckiResursi  2].[Конто]" caption="Конто" attribute="1" defaultMemberUniqueName="[fCoveckiResursi  2].[Конто].[All]" allUniqueName="[fCoveckiResursi  2].[Конто].[All]" dimensionUniqueName="[fCoveckiResursi  2]" displayFolder="" count="2" memberValueDatatype="130" unbalanced="0"/>
    <cacheHierarchy uniqueName="[fCoveckiResursi  2].[ReportType]" caption="ReportType" attribute="1" defaultMemberUniqueName="[fCoveckiResursi  2].[ReportType].[All]" allUniqueName="[fCoveckiResursi  2].[ReportType].[All]" dimensionUniqueName="[fCoveckiResursi  2]" displayFolder="" count="2" memberValueDatatype="130" unbalanced="0"/>
    <cacheHierarchy uniqueName="[fCoveckiResursi  2].[StavkaImeMK]" caption="StavkaImeMK" attribute="1" defaultMemberUniqueName="[fCoveckiResursi  2].[StavkaImeMK].[All]" allUniqueName="[fCoveckiResursi  2].[StavkaImeMK].[All]" dimensionUniqueName="[fCoveckiResursi  2]" displayFolder="" count="2" memberValueDatatype="130" unbalanced="0"/>
    <cacheHierarchy uniqueName="[fCoveckiResursi  2].[StavkaKategorija]" caption="StavkaKategorija" attribute="1" defaultMemberUniqueName="[fCoveckiResursi  2].[StavkaKategorija].[All]" allUniqueName="[fCoveckiResursi  2].[StavkaKategorija].[All]" dimensionUniqueName="[fCoveckiResursi  2]" displayFolder="" count="2" memberValueDatatype="130" unbalanced="0"/>
    <cacheHierarchy uniqueName="[fCoveckiResursi  2].[ObrazecIme]" caption="ObrazecIme" attribute="1" defaultMemberUniqueName="[fCoveckiResursi  2].[ObrazecIme].[All]" allUniqueName="[fCoveckiResursi  2].[ObrazecIme].[All]" dimensionUniqueName="[fCoveckiResursi  2]" displayFolder="" count="2" memberValueDatatype="130" unbalanced="0"/>
    <cacheHierarchy uniqueName="[fOPEX].[Конто]" caption="Конто" attribute="1" defaultMemberUniqueName="[fOPEX].[Конто].[All]" allUniqueName="[fOPEX].[Конто].[All]" dimensionUniqueName="[fOPEX]" displayFolder="" count="2" memberValueDatatype="130" unbalanced="0"/>
    <cacheHierarchy uniqueName="[fOPEX].[Ставка]" caption="Ставка" attribute="1" defaultMemberUniqueName="[fOPEX].[Ставка].[All]" allUniqueName="[fOPEX].[Ставка].[All]" dimensionUniqueName="[fOPEX]" displayFolder="" count="2" memberValueDatatype="130" unbalanced="0"/>
    <cacheHierarchy uniqueName="[fOPEX].[Период]" caption="Период" attribute="1" time="1" defaultMemberUniqueName="[fOPEX].[Период].[All]" allUniqueName="[fOPEX].[Период].[All]" dimensionUniqueName="[fOPEX]" displayFolder="" count="2" memberValueDatatype="7" unbalanced="0"/>
    <cacheHierarchy uniqueName="[fOPEX].[Износ]" caption="Износ" attribute="1" defaultMemberUniqueName="[fOPEX].[Износ].[All]" allUniqueName="[fOPEX].[Износ].[All]" dimensionUniqueName="[fOPEX]" displayFolder="" count="2" memberValueDatatype="20" unbalanced="0"/>
    <cacheHierarchy uniqueName="[fOPEX].[ReportType]" caption="ReportType" attribute="1" defaultMemberUniqueName="[fOPEX].[ReportType].[All]" allUniqueName="[fOPEX].[ReportType].[All]" dimensionUniqueName="[fOPEX]" displayFolder="" count="2" memberValueDatatype="130" unbalanced="0"/>
    <cacheHierarchy uniqueName="[Measures]" caption="Measures" attribute="1" keyAttribute="1" defaultMemberUniqueName="[Measures].[__No measures defined]" dimensionUniqueName="[Measures]" displayFolder="" measures="1" count="1" memberValueDatatype="130" unbalanced="0">
      <fieldsUsage count="1">
        <fieldUsage x="17"/>
      </fieldsUsage>
    </cacheHierarchy>
    <cacheHierarchy uniqueName="[OPEXAnaliza].[Артикл ИД]" caption="Артикл ИД" attribute="1" defaultMemberUniqueName="[OPEXAnaliza].[Артикл ИД].[All]" allUniqueName="[OPEXAnaliza].[Артикл ИД].[All]" dimensionUniqueName="[OPEXAnaliza]" displayFolder="" count="2" memberValueDatatype="20" unbalanced="0"/>
    <cacheHierarchy uniqueName="[OPEXAnaliza].[Ставка]" caption="Ставка" attribute="1" defaultMemberUniqueName="[OPEXAnaliza].[Ставка].[All]" allUniqueName="[OPEXAnaliza].[Ставка].[All]" dimensionUniqueName="[OPEXAnaliza]" displayFolder="" count="2" memberValueDatatype="130" unbalanced="0"/>
    <cacheHierarchy uniqueName="[OPEXAnaliza].[Категорија Артикл ИД]" caption="Категорија Артикл ИД" attribute="1" defaultMemberUniqueName="[OPEXAnaliza].[Категорија Артикл ИД].[All]" allUniqueName="[OPEXAnaliza].[Категорија Артикл ИД].[All]" dimensionUniqueName="[OPEXAnaliza]" displayFolder="" count="2" memberValueDatatype="20" unbalanced="0"/>
    <cacheHierarchy uniqueName="[OPEXAnaliza].[Категорија Артикл]" caption="Категорија Артикл" attribute="1" defaultMemberUniqueName="[OPEXAnaliza].[Категорија Артикл].[All]" allUniqueName="[OPEXAnaliza].[Категорија Артикл].[All]" dimensionUniqueName="[OPEXAnaliza]" displayFolder="" count="2" memberValueDatatype="130" unbalanced="0"/>
    <cacheHierarchy uniqueName="[OPEXAnaliza].[Тип на артикл]" caption="Тип на артикл" attribute="1" defaultMemberUniqueName="[OPEXAnaliza].[Тип на артикл].[All]" allUniqueName="[OPEXAnaliza].[Тип на артикл].[All]" dimensionUniqueName="[OPEXAnaliza]" displayFolder="" count="2" memberValueDatatype="130" unbalanced="0"/>
    <cacheHierarchy uniqueName="[OPEXAnaliza].[Единечна мерка]" caption="Единечна мерка" attribute="1" defaultMemberUniqueName="[OPEXAnaliza].[Единечна мерка].[All]" allUniqueName="[OPEXAnaliza].[Единечна мерка].[All]" dimensionUniqueName="[OPEXAnaliza]" displayFolder="" count="2" memberValueDatatype="130" unbalanced="0"/>
    <cacheHierarchy uniqueName="[OPEXAnaliza].[Количина]" caption="Количина" attribute="1" defaultMemberUniqueName="[OPEXAnaliza].[Количина].[All]" allUniqueName="[OPEXAnaliza].[Количина].[All]" dimensionUniqueName="[OPEXAnaliza]" displayFolder="" count="2" memberValueDatatype="5" unbalanced="0"/>
    <cacheHierarchy uniqueName="[OPEXAnaliza].[Единечна цена]" caption="Единечна цена" attribute="1" defaultMemberUniqueName="[OPEXAnaliza].[Единечна цена].[All]" allUniqueName="[OPEXAnaliza].[Единечна цена].[All]" dimensionUniqueName="[OPEXAnaliza]" displayFolder="" count="2" memberValueDatatype="20" unbalanced="0"/>
    <cacheHierarchy uniqueName="[OPEXAnaliza].[Износ]" caption="Износ" attribute="1" defaultMemberUniqueName="[OPEXAnaliza].[Износ].[All]" allUniqueName="[OPEXAnaliza].[Износ].[All]" dimensionUniqueName="[OPEXAnaliza]" displayFolder="" count="2" memberValueDatatype="5" unbalanced="0"/>
    <cacheHierarchy uniqueName="[OPEXAnaliza].[ДДВ]" caption="ДДВ" attribute="1" defaultMemberUniqueName="[OPEXAnaliza].[ДДВ].[All]" allUniqueName="[OPEXAnaliza].[ДДВ].[All]" dimensionUniqueName="[OPEXAnaliza]" displayFolder="" count="2" memberValueDatatype="5" unbalanced="0"/>
    <cacheHierarchy uniqueName="[OPEXAnaliza].[Вкупно трошок со ДДВ]" caption="Вкупно трошок со ДДВ" attribute="1" defaultMemberUniqueName="[OPEXAnaliza].[Вкупно трошок со ДДВ].[All]" allUniqueName="[OPEXAnaliza].[Вкупно трошок со ДДВ].[All]" dimensionUniqueName="[OPEXAnaliza]" displayFolder="" count="2" memberValueDatatype="5" unbalanced="0"/>
    <cacheHierarchy uniqueName="[OPEXAnaliza].[Конто]" caption="Конто" attribute="1" defaultMemberUniqueName="[OPEXAnaliza].[Конто].[All]" allUniqueName="[OPEXAnaliza].[Конто].[All]" dimensionUniqueName="[OPEXAnaliza]" displayFolder="" count="2" memberValueDatatype="130" unbalanced="0"/>
    <cacheHierarchy uniqueName="[OPEXAnaliza].[Период]" caption="Период" attribute="1" time="1" defaultMemberUniqueName="[OPEXAnaliza].[Период].[All]" allUniqueName="[OPEXAnaliza].[Период].[All]" dimensionUniqueName="[OPEXAnaliza]" displayFolder="" count="2" memberValueDatatype="7" unbalanced="0"/>
    <cacheHierarchy uniqueName="[OPEXAnaliza].[ReportType]" caption="ReportType" attribute="1" defaultMemberUniqueName="[OPEXAnaliza].[ReportType].[All]" allUniqueName="[OPEXAnaliza].[ReportType].[All]" dimensionUniqueName="[OPEXAnaliza]" displayFolder="" count="2" memberValueDatatype="130" unbalanced="0"/>
    <cacheHierarchy uniqueName="[OPEXAnaliza].[StavkaImeMK]" caption="StavkaImeMK" attribute="1" defaultMemberUniqueName="[OPEXAnaliza].[StavkaImeMK].[All]" allUniqueName="[OPEXAnaliza].[StavkaImeMK].[All]" dimensionUniqueName="[OPEXAnaliza]" displayFolder="" count="2" memberValueDatatype="130" unbalanced="0"/>
    <cacheHierarchy uniqueName="[OPEXAnaliza].[StavkaKategorija]" caption="StavkaKategorija" attribute="1" defaultMemberUniqueName="[OPEXAnaliza].[StavkaKategorija].[All]" allUniqueName="[OPEXAnaliza].[StavkaKategorija].[All]" dimensionUniqueName="[OPEXAnaliza]" displayFolder="" count="2" memberValueDatatype="130" unbalanced="0"/>
    <cacheHierarchy uniqueName="[OPEXAnaliza].[ObrazecIme]" caption="ObrazecIme" attribute="1" defaultMemberUniqueName="[OPEXAnaliza].[ObrazecIme].[All]" allUniqueName="[OPEXAnaliza].[ObrazecIme].[All]" dimensionUniqueName="[OPEXAnaliza]" displayFolder="" count="2" memberValueDatatype="130" unbalanced="0"/>
    <cacheHierarchy uniqueName="[OPEXAnaliza].[StavkaImeAOP]" caption="StavkaImeAOP" attribute="1" defaultMemberUniqueName="[OPEXAnaliza].[StavkaImeAOP].[All]" allUniqueName="[OPEXAnaliza].[StavkaImeAOP].[All]" dimensionUniqueName="[OPEXAnaliza]" displayFolder="" count="2" memberValueDatatype="20" unbalanced="0"/>
    <cacheHierarchy uniqueName="[OPEXAnaliza].[Период (Year)]" caption="Период (Year)" attribute="1" defaultMemberUniqueName="[OPEXAnaliza].[Период (Year)].[All]" allUniqueName="[OPEXAnaliza].[Период (Year)].[All]" dimensionUniqueName="[OPEXAnaliza]" displayFolder="" count="2" memberValueDatatype="130" unbalanced="0"/>
    <cacheHierarchy uniqueName="[OPEXAnaliza].[Период (Quarter)]" caption="Период (Quarter)" attribute="1" defaultMemberUniqueName="[OPEXAnaliza].[Период (Quarter)].[All]" allUniqueName="[OPEXAnaliza].[Период (Quarter)].[All]" dimensionUniqueName="[OPEXAnaliza]" displayFolder="" count="2" memberValueDatatype="130" unbalanced="0"/>
    <cacheHierarchy uniqueName="[OPEXAnaliza].[Период (Month)]" caption="Период (Month)" attribute="1" defaultMemberUniqueName="[OPEXAnaliza].[Период (Month)].[All]" allUniqueName="[OPEXAnaliza].[Период (Month)].[All]" dimensionUniqueName="[OPEXAnaliza]" displayFolder="" count="2" memberValueDatatype="130" unbalanced="0"/>
    <cacheHierarchy uniqueName="[rArtikli_HR_Analiza].[Ставка]" caption="Ставка" attribute="1" defaultMemberUniqueName="[rArtikli_HR_Analiza].[Ставка].[All]" allUniqueName="[rArtikli_HR_Analiza].[Ставка].[All]" dimensionUniqueName="[rArtikli_HR_Analiza]" displayFolder="" count="2" memberValueDatatype="130" unbalanced="0">
      <fieldsUsage count="2">
        <fieldUsage x="-1"/>
        <fieldUsage x="14"/>
      </fieldsUsage>
    </cacheHierarchy>
    <cacheHierarchy uniqueName="[rArtikli_HR_Analiza].[Категорија Артикл]" caption="Категорија Артикл" attribute="1" defaultMemberUniqueName="[rArtikli_HR_Analiza].[Категорија Артикл].[All]" allUniqueName="[rArtikli_HR_Analiza].[Категорија Артикл].[All]" dimensionUniqueName="[rArtikli_HR_Analiza]" displayFolder="" count="2" memberValueDatatype="130" unbalanced="0"/>
    <cacheHierarchy uniqueName="[rArtikli_HR_Analiza].[Тип на артикл]" caption="Тип на артикл" attribute="1" defaultMemberUniqueName="[rArtikli_HR_Analiza].[Тип на артикл].[All]" allUniqueName="[rArtikli_HR_Analiza].[Тип на артикл].[All]" dimensionUniqueName="[rArtikli_HR_Analiza]" displayFolder="" count="2" memberValueDatatype="130" unbalanced="0"/>
    <cacheHierarchy uniqueName="[rArtikli_HR_Analiza].[Единечна мерка]" caption="Единечна мерка" attribute="1" defaultMemberUniqueName="[rArtikli_HR_Analiza].[Единечна мерка].[All]" allUniqueName="[rArtikli_HR_Analiza].[Единечна мерка].[All]" dimensionUniqueName="[rArtikli_HR_Analiza]" displayFolder="" count="2" memberValueDatatype="130" unbalanced="0"/>
    <cacheHierarchy uniqueName="[rArtikli_HR_Analiza].[Количина]" caption="Количина" attribute="1" defaultMemberUniqueName="[rArtikli_HR_Analiza].[Количина].[All]" allUniqueName="[rArtikli_HR_Analiza].[Количина].[All]" dimensionUniqueName="[rArtikli_HR_Analiza]" displayFolder="" count="2" memberValueDatatype="5" unbalanced="0"/>
    <cacheHierarchy uniqueName="[rArtikli_HR_Analiza].[Единечна цена]" caption="Единечна цена" attribute="1" defaultMemberUniqueName="[rArtikli_HR_Analiza].[Единечна цена].[All]" allUniqueName="[rArtikli_HR_Analiza].[Единечна цена].[All]" dimensionUniqueName="[rArtikli_HR_Analiza]" displayFolder="" count="2" memberValueDatatype="20" unbalanced="0"/>
    <cacheHierarchy uniqueName="[rArtikli_HR_Analiza].[Вкупно трошок]" caption="Вкупно трошок" attribute="1" defaultMemberUniqueName="[rArtikli_HR_Analiza].[Вкупно трошок].[All]" allUniqueName="[rArtikli_HR_Analiza].[Вкупно трошок].[All]" dimensionUniqueName="[rArtikli_HR_Analiza]" displayFolder="" count="2" memberValueDatatype="5" unbalanced="0"/>
    <cacheHierarchy uniqueName="[rArtikli_HR_Analiza].[ДДВ]" caption="ДДВ" attribute="1" defaultMemberUniqueName="[rArtikli_HR_Analiza].[ДДВ].[All]" allUniqueName="[rArtikli_HR_Analiza].[ДДВ].[All]" dimensionUniqueName="[rArtikli_HR_Analiza]" displayFolder="" count="2" memberValueDatatype="5" unbalanced="0"/>
    <cacheHierarchy uniqueName="[rArtikli_HR_Analiza].[Износ]" caption="Износ" attribute="1" defaultMemberUniqueName="[rArtikli_HR_Analiza].[Износ].[All]" allUniqueName="[rArtikli_HR_Analiza].[Износ].[All]" dimensionUniqueName="[rArtikli_HR_Analiza]" displayFolder="" count="2" memberValueDatatype="5" unbalanced="0"/>
    <cacheHierarchy uniqueName="[rArtikli_HR_Analiza].[Конто]" caption="Конто" attribute="1" defaultMemberUniqueName="[rArtikli_HR_Analiza].[Конто].[All]" allUniqueName="[rArtikli_HR_Analiza].[Конто].[All]" dimensionUniqueName="[rArtikli_HR_Analiza]" displayFolder="" count="2" memberValueDatatype="130" unbalanced="0"/>
    <cacheHierarchy uniqueName="[rArtikli_HR_Analiza].[ReportType]" caption="ReportType" attribute="1" defaultMemberUniqueName="[rArtikli_HR_Analiza].[ReportType].[All]" allUniqueName="[rArtikli_HR_Analiza].[ReportType].[All]" dimensionUniqueName="[rArtikli_HR_Analiza]" displayFolder="" count="2" memberValueDatatype="130" unbalanced="0"/>
    <cacheHierarchy uniqueName="[rArtikli_HR_Analiza].[Период]" caption="Период" attribute="1" time="1" defaultMemberUniqueName="[rArtikli_HR_Analiza].[Период].[All]" allUniqueName="[rArtikli_HR_Analiza].[Период].[All]" dimensionUniqueName="[rArtikli_HR_Analiza]" displayFolder="" count="2" memberValueDatatype="7" unbalanced="0"/>
    <cacheHierarchy uniqueName="[rArtikli_HR_Analiza].[StavkaImeMK]" caption="StavkaImeMK" attribute="1" defaultMemberUniqueName="[rArtikli_HR_Analiza].[StavkaImeMK].[All]" allUniqueName="[rArtikli_HR_Analiza].[StavkaImeMK].[All]" dimensionUniqueName="[rArtikli_HR_Analiza]" displayFolder="" count="2" memberValueDatatype="130" unbalanced="0"/>
    <cacheHierarchy uniqueName="[rArtikli_HR_Analiza].[StavkaAOP]" caption="StavkaAOP" attribute="1" defaultMemberUniqueName="[rArtikli_HR_Analiza].[StavkaAOP].[All]" allUniqueName="[rArtikli_HR_Analiza].[StavkaAOP].[All]" dimensionUniqueName="[rArtikli_HR_Analiza]" displayFolder="" count="2" memberValueDatatype="130" unbalanced="0"/>
    <cacheHierarchy uniqueName="[rArtikli_HR_Analiza].[StavkaGrupa]" caption="StavkaGrupa" attribute="1" defaultMemberUniqueName="[rArtikli_HR_Analiza].[StavkaGrupa].[All]" allUniqueName="[rArtikli_HR_Analiza].[StavkaGrupa].[All]" dimensionUniqueName="[rArtikli_HR_Analiza]" displayFolder="" count="2" memberValueDatatype="130" unbalanced="0"/>
    <cacheHierarchy uniqueName="[rArtikli_HR_Analiza].[StavkaKategorija]" caption="StavkaKategorija" attribute="1" defaultMemberUniqueName="[rArtikli_HR_Analiza].[StavkaKategorija].[All]" allUniqueName="[rArtikli_HR_Analiza].[StavkaKategorija].[All]" dimensionUniqueName="[rArtikli_HR_Analiza]" displayFolder="" count="2" memberValueDatatype="130" unbalanced="0"/>
    <cacheHierarchy uniqueName="[rArtikli_HR_Analiza].[ObrazecIme]" caption="ObrazecIme" attribute="1" defaultMemberUniqueName="[rArtikli_HR_Analiza].[ObrazecIme].[All]" allUniqueName="[rArtikli_HR_Analiza].[ObrazecIme].[All]" dimensionUniqueName="[rArtikli_HR_Analiza]" displayFolder="" count="2" memberValueDatatype="130" unbalanced="0"/>
    <cacheHierarchy uniqueName="[rArtikli_HR_Analiza].[StavkaKategorija.1]" caption="StavkaKategorija.1" attribute="1" defaultMemberUniqueName="[rArtikli_HR_Analiza].[StavkaKategorija.1].[All]" allUniqueName="[rArtikli_HR_Analiza].[StavkaKategorija.1].[All]" dimensionUniqueName="[rArtikli_HR_Analiza]" displayFolder="" count="2" memberValueDatatype="130" unbalanced="0">
      <fieldsUsage count="2">
        <fieldUsage x="-1"/>
        <fieldUsage x="13"/>
      </fieldsUsage>
    </cacheHierarchy>
    <cacheHierarchy uniqueName="[rArtikliAnaliza].[Артикл ИД]" caption="Артикл ИД" attribute="1" defaultMemberUniqueName="[rArtikliAnaliza].[Артикл ИД].[All]" allUniqueName="[rArtikliAnaliza].[Артикл ИД].[All]" dimensionUniqueName="[rArtikliAnaliza]" displayFolder="" count="2" memberValueDatatype="20" unbalanced="0"/>
    <cacheHierarchy uniqueName="[rArtikliAnaliza].[Ставка]" caption="Ставка" attribute="1" defaultMemberUniqueName="[rArtikliAnaliza].[Ставка].[All]" allUniqueName="[rArtikliAnaliza].[Ставка].[All]" dimensionUniqueName="[rArtikliAnaliza]" displayFolder="" count="2" memberValueDatatype="130" unbalanced="0"/>
    <cacheHierarchy uniqueName="[rArtikliAnaliza].[Категорија Артикл ИД]" caption="Категорија Артикл ИД" attribute="1" defaultMemberUniqueName="[rArtikliAnaliza].[Категорија Артикл ИД].[All]" allUniqueName="[rArtikliAnaliza].[Категорија Артикл ИД].[All]" dimensionUniqueName="[rArtikliAnaliza]" displayFolder="" count="2" memberValueDatatype="20" unbalanced="0"/>
    <cacheHierarchy uniqueName="[rArtikliAnaliza].[Категорија Артикл]" caption="Категорија Артикл" attribute="1" defaultMemberUniqueName="[rArtikliAnaliza].[Категорија Артикл].[All]" allUniqueName="[rArtikliAnaliza].[Категорија Артикл].[All]" dimensionUniqueName="[rArtikliAnaliza]" displayFolder="" count="2" memberValueDatatype="130" unbalanced="0"/>
    <cacheHierarchy uniqueName="[rArtikliAnaliza].[Тип на артикл]" caption="Тип на артикл" attribute="1" defaultMemberUniqueName="[rArtikliAnaliza].[Тип на артикл].[All]" allUniqueName="[rArtikliAnaliza].[Тип на артикл].[All]" dimensionUniqueName="[rArtikliAnaliza]" displayFolder="" count="2" memberValueDatatype="130" unbalanced="0"/>
    <cacheHierarchy uniqueName="[rArtikliAnaliza].[Единечна мерка]" caption="Единечна мерка" attribute="1" defaultMemberUniqueName="[rArtikliAnaliza].[Единечна мерка].[All]" allUniqueName="[rArtikliAnaliza].[Единечна мерка].[All]" dimensionUniqueName="[rArtikliAnaliza]" displayFolder="" count="2" memberValueDatatype="130" unbalanced="0"/>
    <cacheHierarchy uniqueName="[rArtikliAnaliza].[Количина]" caption="Количина" attribute="1" defaultMemberUniqueName="[rArtikliAnaliza].[Количина].[All]" allUniqueName="[rArtikliAnaliza].[Количина].[All]" dimensionUniqueName="[rArtikliAnaliza]" displayFolder="" count="2" memberValueDatatype="5" unbalanced="0"/>
    <cacheHierarchy uniqueName="[rArtikliAnaliza].[Единечна цена]" caption="Единечна цена" attribute="1" defaultMemberUniqueName="[rArtikliAnaliza].[Единечна цена].[All]" allUniqueName="[rArtikliAnaliza].[Единечна цена].[All]" dimensionUniqueName="[rArtikliAnaliza]" displayFolder="" count="2" memberValueDatatype="20" unbalanced="0"/>
    <cacheHierarchy uniqueName="[rArtikliAnaliza].[Износ]" caption="Износ" attribute="1" defaultMemberUniqueName="[rArtikliAnaliza].[Износ].[All]" allUniqueName="[rArtikliAnaliza].[Износ].[All]" dimensionUniqueName="[rArtikliAnaliza]" displayFolder="" count="2" memberValueDatatype="5" unbalanced="0"/>
    <cacheHierarchy uniqueName="[rArtikliAnaliza].[ДДВ]" caption="ДДВ" attribute="1" defaultMemberUniqueName="[rArtikliAnaliza].[ДДВ].[All]" allUniqueName="[rArtikliAnaliza].[ДДВ].[All]" dimensionUniqueName="[rArtikliAnaliza]" displayFolder="" count="2" memberValueDatatype="5" unbalanced="0"/>
    <cacheHierarchy uniqueName="[rArtikliAnaliza].[Вкупно трошок со ДДВ]" caption="Вкупно трошок со ДДВ" attribute="1" defaultMemberUniqueName="[rArtikliAnaliza].[Вкупно трошок со ДДВ].[All]" allUniqueName="[rArtikliAnaliza].[Вкупно трошок со ДДВ].[All]" dimensionUniqueName="[rArtikliAnaliza]" displayFolder="" count="2" memberValueDatatype="5" unbalanced="0"/>
    <cacheHierarchy uniqueName="[rArtikliAnaliza].[Конто]" caption="Конто" attribute="1" defaultMemberUniqueName="[rArtikliAnaliza].[Конто].[All]" allUniqueName="[rArtikliAnaliza].[Конто].[All]" dimensionUniqueName="[rArtikliAnaliza]" displayFolder="" count="2" memberValueDatatype="130" unbalanced="0"/>
    <cacheHierarchy uniqueName="[rArtikliAnaliza].[Период]" caption="Период" attribute="1" time="1" defaultMemberUniqueName="[rArtikliAnaliza].[Период].[All]" allUniqueName="[rArtikliAnaliza].[Период].[All]" dimensionUniqueName="[rArtikliAnaliza]" displayFolder="" count="2" memberValueDatatype="7" unbalanced="0"/>
    <cacheHierarchy uniqueName="[rArtikliAnaliza].[ReportType]" caption="ReportType" attribute="1" defaultMemberUniqueName="[rArtikliAnaliza].[ReportType].[All]" allUniqueName="[rArtikliAnaliza].[ReportType].[All]" dimensionUniqueName="[rArtikliAnaliza]" displayFolder="" count="2" memberValueDatatype="130" unbalanced="0"/>
    <cacheHierarchy uniqueName="[rArtikliAnaliza].[StavkaImeMK]" caption="StavkaImeMK" attribute="1" defaultMemberUniqueName="[rArtikliAnaliza].[StavkaImeMK].[All]" allUniqueName="[rArtikliAnaliza].[StavkaImeMK].[All]" dimensionUniqueName="[rArtikliAnaliza]" displayFolder="" count="2" memberValueDatatype="130" unbalanced="0"/>
    <cacheHierarchy uniqueName="[rArtikliAnaliza].[StavkaKategorija]" caption="StavkaKategorija" attribute="1" defaultMemberUniqueName="[rArtikliAnaliza].[StavkaKategorija].[All]" allUniqueName="[rArtikliAnaliza].[StavkaKategorija].[All]" dimensionUniqueName="[rArtikliAnaliza]" displayFolder="" count="2" memberValueDatatype="130" unbalanced="0"/>
    <cacheHierarchy uniqueName="[rArtikliAnaliza].[Период (Year)]" caption="Период (Year)" attribute="1" defaultMemberUniqueName="[rArtikliAnaliza].[Период (Year)].[All]" allUniqueName="[rArtikliAnaliza].[Период (Year)].[All]" dimensionUniqueName="[rArtikliAnaliza]" displayFolder="" count="2" memberValueDatatype="130" unbalanced="0"/>
    <cacheHierarchy uniqueName="[rArtikliAnaliza].[Период (Quarter)]" caption="Период (Quarter)" attribute="1" defaultMemberUniqueName="[rArtikliAnaliza].[Период (Quarter)].[All]" allUniqueName="[rArtikliAnaliza].[Период (Quarter)].[All]" dimensionUniqueName="[rArtikliAnaliza]" displayFolder="" count="2" memberValueDatatype="130" unbalanced="0"/>
    <cacheHierarchy uniqueName="[rArtikliAnaliza].[Период (Month)]" caption="Период (Month)" attribute="1" defaultMemberUniqueName="[rArtikliAnaliza].[Период (Month)].[All]" allUniqueName="[rArtikliAnaliza].[Период (Month)].[All]" dimensionUniqueName="[rArtikliAnaliza]" displayFolder="" count="2" memberValueDatatype="130" unbalanced="0"/>
    <cacheHierarchy uniqueName="[CAPEX].[Очекуван датум за ставање во употреба (месец) (Month Index)]" caption="Очекуван датум за ставање во употреба (месец) (Month Index)" attribute="1" defaultMemberUniqueName="[CAPEX].[Очекуван датум за ставање во употреба (месец) (Month Index)].[All]" allUniqueName="[CAPEX].[Очекуван датум за ставање во употреба (месец) (Month Index)].[All]" dimensionUniqueName="[CAPEX]" displayFolder="" count="2" memberValueDatatype="20" unbalanced="0" hidden="1"/>
    <cacheHierarchy uniqueName="[CAPEX].[Очекуван датум на плаќање (Month Index)]" caption="Очекуван датум на плаќање (Month Index)" attribute="1" defaultMemberUniqueName="[CAPEX].[Очекуван датум на плаќање (Month Index)].[All]" allUniqueName="[CAPEX].[Очекуван датум на плаќање (Month Index)].[All]" dimensionUniqueName="[CAPEX]" displayFolder="" count="2" memberValueDatatype="20" unbalanced="0" hidden="1"/>
    <cacheHierarchy uniqueName="[fActualAndBudget].[StavkaID]" caption="StavkaID" attribute="1" defaultMemberUniqueName="[fActualAndBudget].[StavkaID].[All]" allUniqueName="[fActualAndBudget].[StavkaID].[All]" dimensionUniqueName="[fActualAndBudget]" displayFolder="" count="2" memberValueDatatype="20" unbalanced="0" hidden="1"/>
    <cacheHierarchy uniqueName="[fCoveckiResursi].[Период (Month Index)]" caption="Период (Month Index)" attribute="1" defaultMemberUniqueName="[fCoveckiResursi].[Период (Month Index)].[All]" allUniqueName="[fCoveckiResursi].[Период (Month Index)].[All]" dimensionUniqueName="[fCoveckiResursi]" displayFolder="" count="2" memberValueDatatype="20" unbalanced="0" hidden="1"/>
    <cacheHierarchy uniqueName="[fCoveckiResursi].[Период (Month Index) 1]" caption="Период (Month Index) 1" attribute="1" defaultMemberUniqueName="[fCoveckiResursi].[Период (Month Index) 1].[All]" allUniqueName="[fCoveckiResursi].[Период (Month Index) 1].[All]" dimensionUniqueName="[fCoveckiResursi]" displayFolder="" count="2" memberValueDatatype="20" unbalanced="0" hidden="1"/>
    <cacheHierarchy uniqueName="[OPEXAnaliza].[Период (Month Index)]" caption="Период (Month Index)" attribute="1" defaultMemberUniqueName="[OPEXAnaliza].[Период (Month Index)].[All]" allUniqueName="[OPEXAnaliza].[Период (Month Index)].[All]" dimensionUniqueName="[OPEXAnaliza]" displayFolder="" count="2" memberValueDatatype="20" unbalanced="0" hidden="1"/>
    <cacheHierarchy uniqueName="[rArtikli_HR_Analiza].[Крајна состојба вработени]" caption="Крајна состојба вработени" attribute="1" defaultMemberUniqueName="[rArtikli_HR_Analiza].[Крајна состојба вработени].[All]" allUniqueName="[rArtikli_HR_Analiza].[Крајна состојба вработени].[All]" dimensionUniqueName="[rArtikli_HR_Analiza]" displayFolder="" count="2" memberValueDatatype="20" unbalanced="0" hidden="1"/>
    <cacheHierarchy uniqueName="[rArtikli_HR_Analiza].[Планиран прилив/(одлив)]" caption="Планиран прилив/(одлив)" attribute="1" defaultMemberUniqueName="[rArtikli_HR_Analiza].[Планиран прилив/(одлив)].[All]" allUniqueName="[rArtikli_HR_Analiza].[Планиран прилив/(одлив)].[All]" dimensionUniqueName="[rArtikli_HR_Analiza]" displayFolder="" count="2" memberValueDatatype="20" unbalanced="0" hidden="1"/>
    <cacheHierarchy uniqueName="[rArtikli_HR_Analiza].[Тип на вработување]" caption="Тип на вработување" attribute="1" defaultMemberUniqueName="[rArtikli_HR_Analiza].[Тип на вработување].[All]" allUniqueName="[rArtikli_HR_Analiza].[Тип на вработување].[All]" dimensionUniqueName="[rArtikli_HR_Analiza]" displayFolder="" count="2" memberValueDatatype="130" unbalanced="0" hidden="1"/>
    <cacheHierarchy uniqueName="[rArtikliAnaliza].[Период (Month Index)]" caption="Период (Month Index)" attribute="1" defaultMemberUniqueName="[rArtikliAnaliza].[Период (Month Index)].[All]" allUniqueName="[rArtikliAnaliza].[Период (Month Index)].[All]" dimensionUniqueName="[rArtikliAnaliza]" displayFolder="" count="2" memberValueDatatype="20" unbalanced="0" hidden="1"/>
    <cacheHierarchy uniqueName="[Measures].[__XL_Count Calendar]" caption="__XL_Count Calendar" measure="1" displayFolder="" measureGroup="Calendar" count="0" hidden="1"/>
    <cacheHierarchy uniqueName="[Measures].[__XL_Count CAPEX]" caption="__XL_Count CAPEX" measure="1" displayFolder="" measureGroup="CAPEX" count="0" hidden="1"/>
    <cacheHierarchy uniqueName="[Measures].[__XL_Count Amortizacija]" caption="__XL_Count Amortizacija" measure="1" displayFolder="" measureGroup="Amortizacija" count="0" hidden="1"/>
    <cacheHierarchy uniqueName="[Measures].[__XL_Count fCoveckiResursi]" caption="__XL_Count fCoveckiResursi" measure="1" displayFolder="" measureGroup="fCoveckiResursi" count="0" hidden="1"/>
    <cacheHierarchy uniqueName="[Measures].[__XL_Count fActualAndBudget]" caption="__XL_Count fActualAndBudget" measure="1" displayFolder="" measureGroup="fActualAndBudget" count="0" hidden="1"/>
    <cacheHierarchy uniqueName="[Measures].[__XL_Count fOPEX]" caption="__XL_Count fOPEX" measure="1" displayFolder="" measureGroup="fOPEX" count="0" hidden="1"/>
    <cacheHierarchy uniqueName="[Measures].[__XL_Count OPEXAnaliza]" caption="__XL_Count OPEXAnaliza" measure="1" displayFolder="" measureGroup="OPEXAnaliza" count="0" hidden="1"/>
    <cacheHierarchy uniqueName="[Measures].[__XL_Count rArtikliAnaliza]" caption="__XL_Count rArtikliAnaliza" measure="1" displayFolder="" measureGroup="rArtikliAnaliza" count="0" hidden="1"/>
    <cacheHierarchy uniqueName="[Measures].[__XL_Count fArtikliCeni]" caption="__XL_Count fArtikliCeni" measure="1" displayFolder="" measureGroup="fArtikliCeni" count="0" hidden="1"/>
    <cacheHierarchy uniqueName="[Measures].[__XL_Count rArtikli_HR_Analiza]" caption="__XL_Count rArtikli_HR_Analiza" measure="1" displayFolder="" measureGroup="rArtikli_HR_Analiza" count="0" hidden="1"/>
    <cacheHierarchy uniqueName="[Measures].[__XL_Count fCoveckiResursi  2]" caption="__XL_Count fCoveckiResursi  2" measure="1" displayFolder="" measureGroup="fCoveckiResursi  2" count="0" hidden="1"/>
    <cacheHierarchy uniqueName="[Measures].[__No measures defined]" caption="__No measures defined" measure="1" displayFolder="" count="0" hidden="1"/>
    <cacheHierarchy uniqueName="[Measures].[Sum of Износ 3]" caption="Sum of Износ 3" measure="1" displayFolder="" measureGroup="fCoveckiResursi" count="0" hidden="1">
      <extLst>
        <ext xmlns:x15="http://schemas.microsoft.com/office/spreadsheetml/2010/11/main" uri="{B97F6D7D-B522-45F9-BDA1-12C45D357490}">
          <x15:cacheHierarchy aggregatedColumn="71"/>
        </ext>
      </extLst>
    </cacheHierarchy>
    <cacheHierarchy uniqueName="[Measures].[Sum of Крајна состојба вработени]" caption="Sum of Крајна состојба вработени" measure="1" displayFolder="" measureGroup="fCoveckiResursi" count="0" hidden="1">
      <extLst>
        <ext xmlns:x15="http://schemas.microsoft.com/office/spreadsheetml/2010/11/main" uri="{B97F6D7D-B522-45F9-BDA1-12C45D357490}">
          <x15:cacheHierarchy aggregatedColumn="70"/>
        </ext>
      </extLst>
    </cacheHierarchy>
    <cacheHierarchy uniqueName="[Measures].[Sum of Планиран прилив/(одлив)]" caption="Sum of Планиран прилив/(одлив)" measure="1" displayFolder="" measureGroup="fCoveckiResursi" count="0" hidden="1">
      <extLst>
        <ext xmlns:x15="http://schemas.microsoft.com/office/spreadsheetml/2010/11/main" uri="{B97F6D7D-B522-45F9-BDA1-12C45D357490}">
          <x15:cacheHierarchy aggregatedColumn="68"/>
        </ext>
      </extLst>
    </cacheHierarchy>
    <cacheHierarchy uniqueName="[Measures].[Sum of Износ]" caption="Sum of Износ" measure="1" displayFolder="" measureGroup="fActualAndBudget" count="0" hidden="1">
      <extLst>
        <ext xmlns:x15="http://schemas.microsoft.com/office/spreadsheetml/2010/11/main" uri="{B97F6D7D-B522-45F9-BDA1-12C45D357490}">
          <x15:cacheHierarchy aggregatedColumn="45"/>
        </ext>
      </extLst>
    </cacheHierarchy>
    <cacheHierarchy uniqueName="[Measures].[Sum of Износ (илјади)]" caption="Sum of Износ (илјади)" measure="1" displayFolder="" measureGroup="fActualAndBudget" count="0" hidden="1">
      <extLst>
        <ext xmlns:x15="http://schemas.microsoft.com/office/spreadsheetml/2010/11/main" uri="{B97F6D7D-B522-45F9-BDA1-12C45D357490}">
          <x15:cacheHierarchy aggregatedColumn="46"/>
        </ext>
      </extLst>
    </cacheHierarchy>
    <cacheHierarchy uniqueName="[Measures].[Sum of Износ1]" caption="Sum of Износ1" measure="1" displayFolder="" measureGroup="fActualAndBudget" count="0" hidden="1">
      <extLst>
        <ext xmlns:x15="http://schemas.microsoft.com/office/spreadsheetml/2010/11/main" uri="{B97F6D7D-B522-45F9-BDA1-12C45D357490}">
          <x15:cacheHierarchy aggregatedColumn="34"/>
        </ext>
      </extLst>
    </cacheHierarchy>
    <cacheHierarchy uniqueName="[Measures].[Sum of Износ 2]" caption="Sum of Износ 2" measure="1" displayFolder="" measureGroup="Amortizacija" count="0" hidden="1">
      <extLst>
        <ext xmlns:x15="http://schemas.microsoft.com/office/spreadsheetml/2010/11/main" uri="{B97F6D7D-B522-45F9-BDA1-12C45D357490}">
          <x15:cacheHierarchy aggregatedColumn="3"/>
        </ext>
      </extLst>
    </cacheHierarchy>
    <cacheHierarchy uniqueName="[Measures].[Sum of Износ 4]" caption="Sum of Износ 4" measure="1" displayFolder="" measureGroup="OPEXAnaliza" count="0" hidden="1">
      <extLst>
        <ext xmlns:x15="http://schemas.microsoft.com/office/spreadsheetml/2010/11/main" uri="{B97F6D7D-B522-45F9-BDA1-12C45D357490}">
          <x15:cacheHierarchy aggregatedColumn="102"/>
        </ext>
      </extLst>
    </cacheHierarchy>
    <cacheHierarchy uniqueName="[Measures].[Sum of Износ донација]" caption="Sum of Износ донација" measure="1" displayFolder="" measureGroup="CAPEX" count="0" hidden="1">
      <extLst>
        <ext xmlns:x15="http://schemas.microsoft.com/office/spreadsheetml/2010/11/main" uri="{B97F6D7D-B522-45F9-BDA1-12C45D357490}">
          <x15:cacheHierarchy aggregatedColumn="24"/>
        </ext>
      </extLst>
    </cacheHierarchy>
    <cacheHierarchy uniqueName="[Measures].[Sum of Вкупно трошок]" caption="Sum of Вкупно трошок" measure="1" displayFolder="" measureGroup="fArtikliCeni" count="0" hidden="1">
      <extLst>
        <ext xmlns:x15="http://schemas.microsoft.com/office/spreadsheetml/2010/11/main" uri="{B97F6D7D-B522-45F9-BDA1-12C45D357490}">
          <x15:cacheHierarchy aggregatedColumn="55"/>
        </ext>
      </extLst>
    </cacheHierarchy>
    <cacheHierarchy uniqueName="[Measures].[Sum of Количина]" caption="Sum of Количина" measure="1" displayFolder="" measureGroup="fArtikliCeni" count="0" hidden="1">
      <extLst>
        <ext xmlns:x15="http://schemas.microsoft.com/office/spreadsheetml/2010/11/main" uri="{B97F6D7D-B522-45F9-BDA1-12C45D357490}">
          <x15:cacheHierarchy aggregatedColumn="53"/>
        </ext>
      </extLst>
    </cacheHierarchy>
    <cacheHierarchy uniqueName="[Measures].[Sum of Единечна цена]" caption="Sum of Единечна цена" measure="1" displayFolder="" measureGroup="fArtikliCeni" count="0" hidden="1">
      <extLst>
        <ext xmlns:x15="http://schemas.microsoft.com/office/spreadsheetml/2010/11/main" uri="{B97F6D7D-B522-45F9-BDA1-12C45D357490}">
          <x15:cacheHierarchy aggregatedColumn="54"/>
        </ext>
      </extLst>
    </cacheHierarchy>
    <cacheHierarchy uniqueName="[Measures].[Sum of ДДВ]" caption="Sum of ДДВ" measure="1" displayFolder="" measureGroup="fArtikliCeni" count="0" hidden="1">
      <extLst>
        <ext xmlns:x15="http://schemas.microsoft.com/office/spreadsheetml/2010/11/main" uri="{B97F6D7D-B522-45F9-BDA1-12C45D357490}">
          <x15:cacheHierarchy aggregatedColumn="56"/>
        </ext>
      </extLst>
    </cacheHierarchy>
    <cacheHierarchy uniqueName="[Measures].[Sum of Износ 6]" caption="Sum of Износ 6" measure="1" displayFolder="" measureGroup="fArtikliCeni" count="0" hidden="1">
      <extLst>
        <ext xmlns:x15="http://schemas.microsoft.com/office/spreadsheetml/2010/11/main" uri="{B97F6D7D-B522-45F9-BDA1-12C45D357490}">
          <x15:cacheHierarchy aggregatedColumn="57"/>
        </ext>
      </extLst>
    </cacheHierarchy>
    <cacheHierarchy uniqueName="[Measures].[Count of Единечна мерка]" caption="Count of Единечна мерка" measure="1" displayFolder="" measureGroup="fArtikliCeni" count="0" hidden="1">
      <extLst>
        <ext xmlns:x15="http://schemas.microsoft.com/office/spreadsheetml/2010/11/main" uri="{B97F6D7D-B522-45F9-BDA1-12C45D357490}">
          <x15:cacheHierarchy aggregatedColumn="52"/>
        </ext>
      </extLst>
    </cacheHierarchy>
    <cacheHierarchy uniqueName="[Measures].[Sum of Количина 2]" caption="Sum of Количина 2" measure="1" displayFolder="" measureGroup="rArtikli_HR_Analiza" count="0" hidden="1">
      <extLst>
        <ext xmlns:x15="http://schemas.microsoft.com/office/spreadsheetml/2010/11/main" uri="{B97F6D7D-B522-45F9-BDA1-12C45D357490}">
          <x15:cacheHierarchy aggregatedColumn="119"/>
        </ext>
      </extLst>
    </cacheHierarchy>
    <cacheHierarchy uniqueName="[Measures].[Sum of Единечна цена 2]" caption="Sum of Единечна цена 2" measure="1" displayFolder="" measureGroup="rArtikli_HR_Analiza" count="0" hidden="1">
      <extLst>
        <ext xmlns:x15="http://schemas.microsoft.com/office/spreadsheetml/2010/11/main" uri="{B97F6D7D-B522-45F9-BDA1-12C45D357490}">
          <x15:cacheHierarchy aggregatedColumn="120"/>
        </ext>
      </extLst>
    </cacheHierarchy>
    <cacheHierarchy uniqueName="[Measures].[Sum of Вкупно трошок 2]" caption="Sum of Вкупно трошок 2" measure="1" displayFolder="" measureGroup="rArtikli_HR_Analiza" count="0" hidden="1">
      <extLst>
        <ext xmlns:x15="http://schemas.microsoft.com/office/spreadsheetml/2010/11/main" uri="{B97F6D7D-B522-45F9-BDA1-12C45D357490}">
          <x15:cacheHierarchy aggregatedColumn="121"/>
        </ext>
      </extLst>
    </cacheHierarchy>
    <cacheHierarchy uniqueName="[Measures].[Sum of ДДВ 2]" caption="Sum of ДДВ 2" measure="1" displayFolder="" measureGroup="rArtikli_HR_Analiza" count="0" hidden="1">
      <extLst>
        <ext xmlns:x15="http://schemas.microsoft.com/office/spreadsheetml/2010/11/main" uri="{B97F6D7D-B522-45F9-BDA1-12C45D357490}">
          <x15:cacheHierarchy aggregatedColumn="122"/>
        </ext>
      </extLst>
    </cacheHierarchy>
    <cacheHierarchy uniqueName="[Measures].[Sum of Износ 7]" caption="Sum of Износ 7" measure="1" displayFolder="" measureGroup="rArtikli_HR_Analiza" count="0" hidden="1">
      <extLst>
        <ext xmlns:x15="http://schemas.microsoft.com/office/spreadsheetml/2010/11/main" uri="{B97F6D7D-B522-45F9-BDA1-12C45D357490}">
          <x15:cacheHierarchy aggregatedColumn="123"/>
        </ext>
      </extLst>
    </cacheHierarchy>
    <cacheHierarchy uniqueName="[Measures].[Sum of Износ 5]" caption="Sum of Износ 5" measure="1" displayFolder="" measureGroup="fCoveckiResursi  2" count="0" hidden="1">
      <extLst>
        <ext xmlns:x15="http://schemas.microsoft.com/office/spreadsheetml/2010/11/main" uri="{B97F6D7D-B522-45F9-BDA1-12C45D357490}">
          <x15:cacheHierarchy aggregatedColumn="82"/>
        </ext>
      </extLst>
    </cacheHierarchy>
    <cacheHierarchy uniqueName="[Measures].[Sum of Проценета вредност на набавка со ДДВ (денари)]" caption="Sum of Проценета вредност на набавка со ДДВ (денари)" measure="1" displayFolder="" measureGroup="CAPEX" count="0" hidden="1">
      <extLst>
        <ext xmlns:x15="http://schemas.microsoft.com/office/spreadsheetml/2010/11/main" uri="{B97F6D7D-B522-45F9-BDA1-12C45D357490}">
          <x15:cacheHierarchy aggregatedColumn="20"/>
        </ext>
      </extLst>
    </cacheHierarchy>
  </cacheHierarchies>
  <kpis count="0"/>
  <tupleCache>
    <entries count="2884">
      <n v="150000">
        <tpls c="3">
          <tpl fld="8" item="9"/>
          <tpl fld="4" item="2"/>
          <tpl fld="17" item="3"/>
        </tpls>
      </n>
      <m>
        <tpls c="7">
          <tpl fld="3" item="1"/>
          <tpl fld="16" item="7"/>
          <tpl hier="35" item="0"/>
          <tpl fld="11" item="7"/>
          <tpl fld="12" item="4"/>
          <tpl hier="44" item="2"/>
          <tpl fld="17" item="0"/>
        </tpls>
      </m>
      <m>
        <tpls c="7">
          <tpl fld="3" item="1"/>
          <tpl fld="16" item="7"/>
          <tpl hier="35" item="0"/>
          <tpl fld="11" item="11"/>
          <tpl fld="12" item="2"/>
          <tpl hier="44" item="2"/>
          <tpl fld="17" item="0"/>
        </tpls>
      </m>
      <n v="0">
        <tpls c="7">
          <tpl fld="3" item="0"/>
          <tpl fld="16" item="2"/>
          <tpl hier="35" item="1"/>
          <tpl fld="11" item="48"/>
          <tpl fld="12" item="4"/>
          <tpl hier="44" item="2"/>
          <tpl fld="17" item="0"/>
        </tpls>
      </n>
      <m>
        <tpls c="7">
          <tpl fld="3" item="0"/>
          <tpl fld="16" item="4"/>
          <tpl hier="35" item="1"/>
          <tpl fld="11" item="7"/>
          <tpl fld="12" item="4"/>
          <tpl hier="44" item="2"/>
          <tpl fld="17" item="0"/>
        </tpls>
      </m>
      <n v="30000">
        <tpls c="7">
          <tpl fld="3" item="0"/>
          <tpl fld="16" item="4"/>
          <tpl hier="35" item="1"/>
          <tpl fld="11" item="31"/>
          <tpl fld="12" item="3"/>
          <tpl hier="44" item="2"/>
          <tpl fld="17" item="0"/>
        </tpls>
      </n>
      <m>
        <tpls c="7">
          <tpl fld="3" item="1"/>
          <tpl fld="16" item="7"/>
          <tpl hier="35" item="0"/>
          <tpl fld="11" item="44"/>
          <tpl fld="12" item="3"/>
          <tpl hier="44" item="2"/>
          <tpl fld="17" item="0"/>
        </tpls>
      </m>
      <n v="29900441">
        <tpls c="6">
          <tpl fld="6" item="1"/>
          <tpl hier="35" item="1"/>
          <tpl fld="11" item="18"/>
          <tpl fld="10" item="0"/>
          <tpl hier="44" item="2"/>
          <tpl fld="17" item="0"/>
        </tpls>
      </n>
      <m>
        <tpls c="7">
          <tpl fld="3" item="1"/>
          <tpl fld="16" item="4"/>
          <tpl hier="35" item="0"/>
          <tpl fld="11" item="31"/>
          <tpl fld="12" item="3"/>
          <tpl hier="44" item="2"/>
          <tpl fld="17" item="0"/>
        </tpls>
      </m>
      <n v="461000">
        <tpls c="7">
          <tpl fld="3" item="0"/>
          <tpl fld="16" item="4"/>
          <tpl hier="35" item="1"/>
          <tpl fld="11" item="16"/>
          <tpl fld="12" item="3"/>
          <tpl hier="44" item="2"/>
          <tpl fld="17" item="0"/>
        </tpls>
      </n>
      <m>
        <tpls c="6">
          <tpl fld="6" item="3"/>
          <tpl hier="35" item="1"/>
          <tpl fld="11" item="24"/>
          <tpl fld="10" item="1"/>
          <tpl hier="44" item="2"/>
          <tpl fld="17" item="0"/>
        </tpls>
      </m>
      <m>
        <tpls c="7">
          <tpl fld="3" item="1"/>
          <tpl fld="16" item="5"/>
          <tpl hier="35" item="0"/>
          <tpl fld="11" item="48"/>
          <tpl fld="12" item="4"/>
          <tpl hier="44" item="2"/>
          <tpl fld="17" item="0"/>
        </tpls>
      </m>
      <m>
        <tpls c="3">
          <tpl fld="8" item="2"/>
          <tpl fld="4" item="0"/>
          <tpl fld="17" item="3"/>
        </tpls>
      </m>
      <m>
        <tpls c="3">
          <tpl fld="5" item="1"/>
          <tpl fld="4" item="0"/>
          <tpl fld="17" item="3"/>
        </tpls>
      </m>
      <n v="10842">
        <tpls c="6">
          <tpl fld="6" item="3"/>
          <tpl hier="35" item="1"/>
          <tpl fld="11" item="32"/>
          <tpl fld="10" item="0"/>
          <tpl hier="44" item="2"/>
          <tpl fld="17" item="0"/>
        </tpls>
      </n>
      <m>
        <tpls c="7">
          <tpl fld="3" item="1"/>
          <tpl fld="16" item="6"/>
          <tpl hier="35" item="0"/>
          <tpl fld="11" item="10"/>
          <tpl fld="12" item="3"/>
          <tpl hier="44" item="2"/>
          <tpl fld="17" item="0"/>
        </tpls>
      </m>
      <n v="258330">
        <tpls c="6">
          <tpl fld="7" item="0"/>
          <tpl fld="0" item="0"/>
          <tpl fld="11" item="11"/>
          <tpl fld="10" item="0"/>
          <tpl hier="44" item="2"/>
          <tpl fld="17" item="0"/>
        </tpls>
      </n>
      <n v="18347728">
        <tpls c="6">
          <tpl fld="3" item="0"/>
          <tpl fld="16" item="1"/>
          <tpl hier="35" item="1"/>
          <tpl fld="12" item="2"/>
          <tpl hier="44" item="2"/>
          <tpl fld="17" item="0"/>
        </tpls>
      </n>
      <m>
        <tpls c="7">
          <tpl fld="3" item="1"/>
          <tpl fld="16" item="5"/>
          <tpl hier="35" item="0"/>
          <tpl fld="11" item="9"/>
          <tpl fld="12" item="4"/>
          <tpl hier="44" item="2"/>
          <tpl fld="17" item="0"/>
        </tpls>
      </m>
      <m>
        <tpls c="7">
          <tpl fld="3" item="1"/>
          <tpl fld="16" item="4"/>
          <tpl hier="35" item="0"/>
          <tpl fld="11" item="23"/>
          <tpl fld="12" item="11"/>
          <tpl hier="44" item="2"/>
          <tpl fld="17" item="0"/>
        </tpls>
      </m>
      <m>
        <tpls c="7">
          <tpl fld="3" item="0"/>
          <tpl fld="16" item="4"/>
          <tpl hier="35" item="1"/>
          <tpl fld="11" item="26"/>
          <tpl fld="12" item="2"/>
          <tpl hier="44" item="2"/>
          <tpl fld="17" item="0"/>
        </tpls>
      </m>
      <n v="325000">
        <tpls c="7">
          <tpl fld="3" item="0"/>
          <tpl fld="16" item="2"/>
          <tpl hier="35" item="1"/>
          <tpl fld="11" item="23"/>
          <tpl fld="12" item="11"/>
          <tpl hier="44" item="2"/>
          <tpl fld="17" item="0"/>
        </tpls>
      </n>
      <n v="13">
        <tpls c="7">
          <tpl fld="3" item="0"/>
          <tpl fld="16" item="2"/>
          <tpl hier="35" item="1"/>
          <tpl fld="11" item="30"/>
          <tpl fld="12" item="15"/>
          <tpl hier="44" item="2"/>
          <tpl fld="17" item="0"/>
        </tpls>
      </n>
      <m>
        <tpls c="7">
          <tpl fld="3" item="1"/>
          <tpl fld="16" item="9"/>
          <tpl hier="35" item="0"/>
          <tpl fld="11" item="48"/>
          <tpl fld="12" item="4"/>
          <tpl hier="44" item="2"/>
          <tpl fld="17" item="0"/>
        </tpls>
      </m>
      <n v="155">
        <tpls c="6">
          <tpl fld="3" item="0"/>
          <tpl fld="16" item="5"/>
          <tpl hier="35" item="1"/>
          <tpl fld="12" item="15"/>
          <tpl hier="44" item="2"/>
          <tpl fld="17" item="0"/>
        </tpls>
      </n>
      <m>
        <tpls c="7">
          <tpl fld="3" item="1"/>
          <tpl fld="16" item="1"/>
          <tpl hier="35" item="0"/>
          <tpl fld="11" item="7"/>
          <tpl fld="12" item="4"/>
          <tpl hier="44" item="2"/>
          <tpl fld="17" item="0"/>
        </tpls>
      </m>
      <n v="2713360">
        <tpls c="6">
          <tpl fld="7" item="1"/>
          <tpl fld="0" item="2"/>
          <tpl fld="11" item="5"/>
          <tpl fld="12" item="1"/>
          <tpl hier="44" item="2"/>
          <tpl fld="17" item="0"/>
        </tpls>
      </n>
      <m>
        <tpls c="7">
          <tpl fld="3" item="0"/>
          <tpl fld="16" item="2"/>
          <tpl hier="35" item="1"/>
          <tpl fld="11" item="7"/>
          <tpl fld="12" item="4"/>
          <tpl hier="44" item="2"/>
          <tpl fld="17" item="0"/>
        </tpls>
      </m>
      <m>
        <tpls c="7">
          <tpl fld="3" item="1"/>
          <tpl hier="10" item="4294967295"/>
          <tpl hier="35" item="0"/>
          <tpl fld="11" item="18"/>
          <tpl fld="12" item="2"/>
          <tpl hier="44" item="2"/>
          <tpl fld="17" item="0"/>
        </tpls>
      </m>
      <m>
        <tpls c="3">
          <tpl fld="8" item="0"/>
          <tpl fld="4" item="0"/>
          <tpl fld="17" item="3"/>
        </tpls>
      </m>
      <n v="486000">
        <tpls c="7">
          <tpl fld="3" item="0"/>
          <tpl fld="16" item="3"/>
          <tpl hier="35" item="1"/>
          <tpl fld="11" item="16"/>
          <tpl fld="12" item="3"/>
          <tpl hier="44" item="2"/>
          <tpl fld="17" item="0"/>
        </tpls>
      </n>
      <n v="-453">
        <tpls c="6">
          <tpl fld="6" item="1"/>
          <tpl hier="35" item="1"/>
          <tpl fld="11" item="9"/>
          <tpl fld="10" item="1"/>
          <tpl hier="44" item="2"/>
          <tpl fld="17" item="0"/>
        </tpls>
      </n>
      <m>
        <tpls c="7">
          <tpl fld="3" item="1"/>
          <tpl fld="16" item="7"/>
          <tpl hier="35" item="0"/>
          <tpl fld="11" item="26"/>
          <tpl fld="12" item="2"/>
          <tpl hier="44" item="2"/>
          <tpl fld="17" item="0"/>
        </tpls>
      </m>
      <n v="33366">
        <tpls c="7">
          <tpl fld="3" item="0"/>
          <tpl fld="16" item="4"/>
          <tpl hier="35" item="1"/>
          <tpl fld="11" item="17"/>
          <tpl fld="12" item="3"/>
          <tpl hier="44" item="2"/>
          <tpl fld="17" item="0"/>
        </tpls>
      </n>
      <m>
        <tpls c="7">
          <tpl fld="3" item="1"/>
          <tpl hier="10" item="4294967295"/>
          <tpl hier="35" item="0"/>
          <tpl fld="11" item="33"/>
          <tpl fld="12" item="3"/>
          <tpl hier="44" item="2"/>
          <tpl fld="17" item="0"/>
        </tpls>
      </m>
      <n v="600">
        <tpls c="6">
          <tpl fld="3" item="0"/>
          <tpl fld="16" item="0"/>
          <tpl hier="35" item="1"/>
          <tpl fld="12" item="21"/>
          <tpl hier="44" item="2"/>
          <tpl fld="17" item="0"/>
        </tpls>
      </n>
      <n v="22726">
        <tpls c="6">
          <tpl fld="6" item="1"/>
          <tpl hier="35" item="1"/>
          <tpl fld="11" item="32"/>
          <tpl fld="10" item="0"/>
          <tpl hier="44" item="2"/>
          <tpl fld="17" item="0"/>
        </tpls>
      </n>
      <n v="603100">
        <tpls c="7">
          <tpl fld="3" item="0"/>
          <tpl fld="16" item="2"/>
          <tpl hier="35" item="1"/>
          <tpl fld="11" item="10"/>
          <tpl fld="12" item="3"/>
          <tpl hier="44" item="2"/>
          <tpl fld="17" item="0"/>
        </tpls>
      </n>
      <m>
        <tpls c="6">
          <tpl fld="3" item="1"/>
          <tpl fld="16" item="9"/>
          <tpl hier="35" item="0"/>
          <tpl fld="12" item="18"/>
          <tpl hier="44" item="2"/>
          <tpl fld="17" item="0"/>
        </tpls>
      </m>
      <m>
        <tpls c="3">
          <tpl fld="5" item="5"/>
          <tpl fld="4" item="0"/>
          <tpl fld="17" item="3"/>
        </tpls>
      </m>
      <n v="1073351">
        <tpls c="7">
          <tpl fld="3" item="0"/>
          <tpl fld="16" item="3"/>
          <tpl hier="35" item="1"/>
          <tpl fld="11" item="20"/>
          <tpl fld="12" item="2"/>
          <tpl hier="44" item="2"/>
          <tpl fld="17" item="0"/>
        </tpls>
      </n>
      <n v="1917">
        <tpls c="6">
          <tpl fld="6" item="0"/>
          <tpl hier="35" item="1"/>
          <tpl fld="11" item="25"/>
          <tpl fld="10" item="0"/>
          <tpl hier="44" item="2"/>
          <tpl fld="17" item="0"/>
        </tpls>
      </n>
      <m>
        <tpls c="6">
          <tpl fld="3" item="1"/>
          <tpl fld="16" item="2"/>
          <tpl hier="35" item="0"/>
          <tpl fld="12" item="9"/>
          <tpl hier="44" item="2"/>
          <tpl fld="17" item="0"/>
        </tpls>
      </m>
      <n v="160">
        <tpls c="7">
          <tpl fld="3" item="0"/>
          <tpl fld="16" item="4"/>
          <tpl hier="35" item="1"/>
          <tpl fld="11" item="34"/>
          <tpl fld="12" item="15"/>
          <tpl hier="44" item="2"/>
          <tpl fld="17" item="0"/>
        </tpls>
      </n>
      <m>
        <tpls c="3">
          <tpl fld="8" item="4"/>
          <tpl fld="4" item="0"/>
          <tpl fld="17" item="3"/>
        </tpls>
      </m>
      <m>
        <tpls c="7">
          <tpl fld="3" item="1"/>
          <tpl fld="16" item="5"/>
          <tpl hier="35" item="0"/>
          <tpl fld="11" item="3"/>
          <tpl fld="12" item="2"/>
          <tpl hier="44" item="2"/>
          <tpl fld="17" item="0"/>
        </tpls>
      </m>
      <m>
        <tpls c="7">
          <tpl fld="3" item="1"/>
          <tpl fld="16" item="8"/>
          <tpl hier="35" item="0"/>
          <tpl fld="11" item="16"/>
          <tpl fld="12" item="3"/>
          <tpl hier="44" item="2"/>
          <tpl fld="17" item="0"/>
        </tpls>
      </m>
      <n v="-132019">
        <tpls c="7">
          <tpl fld="7" item="0"/>
          <tpl fld="16" item="7"/>
          <tpl fld="0" item="0"/>
          <tpl fld="11" item="28"/>
          <tpl fld="12" item="13"/>
          <tpl fld="1" item="1"/>
          <tpl fld="17" item="0"/>
        </tpls>
      </n>
      <n v="644750">
        <tpls c="7">
          <tpl fld="3" item="0"/>
          <tpl fld="16" item="9"/>
          <tpl hier="35" item="1"/>
          <tpl fld="11" item="27"/>
          <tpl fld="12" item="3"/>
          <tpl hier="44" item="2"/>
          <tpl fld="17" item="0"/>
        </tpls>
      </n>
      <m>
        <tpls c="7">
          <tpl fld="3" item="1"/>
          <tpl fld="16" item="0"/>
          <tpl hier="35" item="0"/>
          <tpl fld="11" item="19"/>
          <tpl fld="12" item="2"/>
          <tpl hier="44" item="2"/>
          <tpl fld="17" item="0"/>
        </tpls>
      </m>
      <n v="126859046">
        <tpls c="5">
          <tpl fld="7" item="3"/>
          <tpl fld="0" item="2"/>
          <tpl fld="12" item="6"/>
          <tpl fld="1" item="1"/>
          <tpl fld="17" item="0"/>
        </tpls>
      </n>
      <n v="160">
        <tpls c="7">
          <tpl fld="3" item="0"/>
          <tpl fld="16" item="4"/>
          <tpl hier="35" item="1"/>
          <tpl fld="11" item="25"/>
          <tpl fld="12" item="2"/>
          <tpl hier="44" item="2"/>
          <tpl fld="17" item="0"/>
        </tpls>
      </n>
      <m>
        <tpls c="7">
          <tpl fld="3" item="1"/>
          <tpl fld="16" item="2"/>
          <tpl hier="35" item="0"/>
          <tpl fld="11" item="26"/>
          <tpl fld="12" item="2"/>
          <tpl hier="44" item="2"/>
          <tpl fld="17" item="0"/>
        </tpls>
      </m>
      <n v="20985000">
        <tpls c="3">
          <tpl fld="8" item="3"/>
          <tpl hier="22" item="4294967295"/>
          <tpl fld="17" item="3"/>
        </tpls>
      </n>
      <n v="-140248">
        <tpls c="7">
          <tpl fld="3" item="0"/>
          <tpl fld="16" item="3"/>
          <tpl hier="35" item="1"/>
          <tpl fld="11" item="9"/>
          <tpl fld="12" item="4"/>
          <tpl hier="44" item="2"/>
          <tpl fld="17" item="0"/>
        </tpls>
      </n>
      <m>
        <tpls c="5">
          <tpl fld="7" item="1"/>
          <tpl fld="0" item="2"/>
          <tpl fld="12" item="17"/>
          <tpl fld="1" item="1"/>
          <tpl fld="17" item="0"/>
        </tpls>
      </m>
      <n v="900">
        <tpls c="6">
          <tpl fld="6" item="3"/>
          <tpl hier="35" item="3"/>
          <tpl fld="11" item="1"/>
          <tpl fld="12" item="1"/>
          <tpl hier="44" item="2"/>
          <tpl fld="17" item="0"/>
        </tpls>
      </n>
      <m>
        <tpls c="7">
          <tpl fld="3" item="0"/>
          <tpl fld="16" item="8"/>
          <tpl hier="35" item="1"/>
          <tpl fld="11" item="4"/>
          <tpl fld="12" item="1"/>
          <tpl hier="44" item="2"/>
          <tpl fld="17" item="0"/>
        </tpls>
      </m>
      <n v="65638081">
        <tpls c="7">
          <tpl fld="7" item="0"/>
          <tpl fld="16" item="5"/>
          <tpl fld="0" item="0"/>
          <tpl fld="11" item="56"/>
          <tpl fld="12" item="16"/>
          <tpl fld="1" item="1"/>
          <tpl fld="17" item="0"/>
        </tpls>
      </n>
      <n v="139241480">
        <tpls c="6">
          <tpl fld="7" item="1"/>
          <tpl fld="0" item="2"/>
          <tpl fld="11" item="18"/>
          <tpl fld="12" item="2"/>
          <tpl hier="44" item="2"/>
          <tpl fld="17" item="0"/>
        </tpls>
      </n>
      <n v="28712465">
        <tpls c="7">
          <tpl fld="3" item="0"/>
          <tpl fld="16" item="1"/>
          <tpl hier="35" item="1"/>
          <tpl fld="11" item="49"/>
          <tpl fld="12" item="9"/>
          <tpl hier="44" item="2"/>
          <tpl fld="17" item="0"/>
        </tpls>
      </n>
      <n v="-583729">
        <tpls c="7">
          <tpl fld="7" item="0"/>
          <tpl fld="16" item="3"/>
          <tpl fld="0" item="0"/>
          <tpl fld="11" item="45"/>
          <tpl fld="12" item="7"/>
          <tpl fld="1" item="1"/>
          <tpl fld="17" item="0"/>
        </tpls>
      </n>
      <m>
        <tpls c="6">
          <tpl fld="3" item="1"/>
          <tpl fld="16" item="2"/>
          <tpl hier="35" item="0"/>
          <tpl fld="12" item="3"/>
          <tpl hier="44" item="2"/>
          <tpl fld="17" item="0"/>
        </tpls>
      </m>
      <n v="10290000">
        <tpls c="3">
          <tpl fld="5" item="2"/>
          <tpl fld="4" item="3"/>
          <tpl fld="17" item="3"/>
        </tpls>
      </n>
      <n v="1255575">
        <tpls c="6">
          <tpl fld="6" item="2"/>
          <tpl hier="35" item="1"/>
          <tpl fld="11" item="22"/>
          <tpl fld="10" item="1"/>
          <tpl hier="44" item="2"/>
          <tpl fld="17" item="0"/>
        </tpls>
      </n>
      <n v="461000">
        <tpls c="7">
          <tpl fld="3" item="0"/>
          <tpl fld="16" item="2"/>
          <tpl hier="35" item="1"/>
          <tpl fld="11" item="16"/>
          <tpl fld="12" item="3"/>
          <tpl hier="44" item="2"/>
          <tpl fld="17" item="0"/>
        </tpls>
      </n>
      <n v="174">
        <tpls c="7">
          <tpl fld="3" item="0"/>
          <tpl fld="16" item="7"/>
          <tpl hier="35" item="1"/>
          <tpl fld="11" item="34"/>
          <tpl fld="12" item="15"/>
          <tpl hier="44" item="2"/>
          <tpl fld="17" item="0"/>
        </tpls>
      </n>
      <m>
        <tpls c="7">
          <tpl fld="3" item="1"/>
          <tpl fld="16" item="6"/>
          <tpl hier="35" item="0"/>
          <tpl fld="11" item="30"/>
          <tpl fld="12" item="15"/>
          <tpl hier="44" item="2"/>
          <tpl fld="17" item="0"/>
        </tpls>
      </m>
      <n v="1599500">
        <tpls c="6">
          <tpl fld="6" item="0"/>
          <tpl hier="35" item="1"/>
          <tpl fld="11" item="16"/>
          <tpl fld="10" item="2"/>
          <tpl hier="44" item="2"/>
          <tpl fld="17" item="0"/>
        </tpls>
      </n>
      <m>
        <tpls c="7">
          <tpl fld="3" item="1"/>
          <tpl fld="16" item="8"/>
          <tpl hier="35" item="0"/>
          <tpl fld="11" item="33"/>
          <tpl fld="12" item="3"/>
          <tpl hier="44" item="2"/>
          <tpl fld="17" item="0"/>
        </tpls>
      </m>
      <n v="2207500">
        <tpls c="7">
          <tpl fld="7" item="0"/>
          <tpl fld="16" item="0"/>
          <tpl fld="0" item="0"/>
          <tpl fld="11" item="21"/>
          <tpl fld="12" item="10"/>
          <tpl fld="1" item="1"/>
          <tpl fld="17" item="0"/>
        </tpls>
      </n>
      <n v="1158596">
        <tpls c="6">
          <tpl fld="7" item="0"/>
          <tpl fld="0" item="0"/>
          <tpl fld="11" item="19"/>
          <tpl fld="12" item="2"/>
          <tpl hier="44" item="2"/>
          <tpl fld="17" item="0"/>
        </tpls>
      </n>
      <n v="82725">
        <tpls c="7">
          <tpl fld="3" item="0"/>
          <tpl fld="16" item="3"/>
          <tpl hier="35" item="1"/>
          <tpl fld="11" item="19"/>
          <tpl fld="12" item="2"/>
          <tpl hier="44" item="2"/>
          <tpl fld="17" item="0"/>
        </tpls>
      </n>
      <m>
        <tpls c="7">
          <tpl fld="3" item="1"/>
          <tpl fld="16" item="9"/>
          <tpl hier="35" item="0"/>
          <tpl fld="11" item="38"/>
          <tpl fld="12" item="11"/>
          <tpl hier="44" item="2"/>
          <tpl fld="17" item="0"/>
        </tpls>
      </m>
      <n v="189">
        <tpls c="7">
          <tpl fld="3" item="0"/>
          <tpl fld="16" item="3"/>
          <tpl hier="35" item="1"/>
          <tpl fld="11" item="34"/>
          <tpl fld="12" item="15"/>
          <tpl hier="44" item="2"/>
          <tpl fld="17" item="0"/>
        </tpls>
      </n>
      <n v="23697">
        <tpls c="7">
          <tpl fld="3" item="0"/>
          <tpl fld="16" item="3"/>
          <tpl hier="35" item="1"/>
          <tpl fld="11" item="11"/>
          <tpl fld="12" item="2"/>
          <tpl hier="44" item="2"/>
          <tpl fld="17" item="0"/>
        </tpls>
      </n>
      <n v="0">
        <tpls c="7">
          <tpl fld="7" item="0"/>
          <tpl fld="16" item="8"/>
          <tpl fld="0" item="0"/>
          <tpl fld="11" item="13"/>
          <tpl fld="12" item="5"/>
          <tpl fld="1" item="1"/>
          <tpl fld="17" item="0"/>
        </tpls>
      </n>
      <n v="660125">
        <tpls c="3">
          <tpl fld="9" item="10"/>
          <tpl fld="15" item="2"/>
          <tpl fld="17" item="2"/>
        </tpls>
      </n>
      <m>
        <tpls c="7">
          <tpl fld="3" item="1"/>
          <tpl fld="16" item="7"/>
          <tpl hier="35" item="0"/>
          <tpl fld="11" item="39"/>
          <tpl fld="12" item="3"/>
          <tpl hier="44" item="2"/>
          <tpl fld="17" item="0"/>
        </tpls>
      </m>
      <n v="-560">
        <tpls c="7">
          <tpl fld="7" item="0"/>
          <tpl fld="16" item="5"/>
          <tpl fld="0" item="0"/>
          <tpl fld="11" item="42"/>
          <tpl fld="12" item="16"/>
          <tpl fld="1" item="1"/>
          <tpl fld="17" item="0"/>
        </tpls>
      </n>
      <n v="11661296">
        <tpls c="7">
          <tpl fld="3" item="0"/>
          <tpl fld="16" item="4"/>
          <tpl hier="35" item="1"/>
          <tpl fld="11" item="18"/>
          <tpl fld="12" item="2"/>
          <tpl hier="44" item="2"/>
          <tpl fld="17" item="0"/>
        </tpls>
      </n>
      <m>
        <tpls c="7">
          <tpl fld="3" item="1"/>
          <tpl fld="16" item="3"/>
          <tpl hier="35" item="0"/>
          <tpl fld="11" item="32"/>
          <tpl fld="12" item="2"/>
          <tpl hier="44" item="2"/>
          <tpl fld="17" item="0"/>
        </tpls>
      </m>
      <m>
        <tpls c="7">
          <tpl fld="3" item="1"/>
          <tpl fld="16" item="5"/>
          <tpl hier="35" item="0"/>
          <tpl fld="11" item="11"/>
          <tpl fld="12" item="2"/>
          <tpl hier="44" item="2"/>
          <tpl fld="17" item="0"/>
        </tpls>
      </m>
      <n v="1757">
        <tpls c="7">
          <tpl fld="3" item="0"/>
          <tpl fld="16" item="3"/>
          <tpl hier="35" item="1"/>
          <tpl fld="11" item="25"/>
          <tpl fld="12" item="2"/>
          <tpl hier="44" item="2"/>
          <tpl fld="17" item="0"/>
        </tpls>
      </n>
      <m>
        <tpls c="6">
          <tpl fld="6" item="0"/>
          <tpl hier="35" item="1"/>
          <tpl fld="11" item="7"/>
          <tpl fld="10" item="1"/>
          <tpl hier="44" item="2"/>
          <tpl fld="17" item="0"/>
        </tpls>
      </m>
      <m>
        <tpls c="7">
          <tpl fld="3" item="1"/>
          <tpl fld="16" item="5"/>
          <tpl hier="35" item="0"/>
          <tpl fld="11" item="26"/>
          <tpl fld="12" item="2"/>
          <tpl hier="44" item="2"/>
          <tpl fld="17" item="0"/>
        </tpls>
      </m>
      <m>
        <tpls c="6">
          <tpl fld="3" item="1"/>
          <tpl fld="16" item="1"/>
          <tpl hier="35" item="0"/>
          <tpl fld="12" item="9"/>
          <tpl hier="44" item="2"/>
          <tpl fld="17" item="0"/>
        </tpls>
      </m>
      <n v="600">
        <tpls c="6">
          <tpl fld="3" item="0"/>
          <tpl fld="16" item="9"/>
          <tpl hier="35" item="1"/>
          <tpl fld="12" item="21"/>
          <tpl hier="44" item="2"/>
          <tpl fld="17" item="0"/>
        </tpls>
      </n>
      <m>
        <tpls c="7">
          <tpl fld="3" item="0"/>
          <tpl fld="16" item="8"/>
          <tpl hier="35" item="1"/>
          <tpl fld="11" item="7"/>
          <tpl fld="12" item="4"/>
          <tpl hier="44" item="2"/>
          <tpl fld="17" item="0"/>
        </tpls>
      </m>
      <n v="8211286">
        <tpls c="6">
          <tpl fld="6" item="0"/>
          <tpl hier="35" item="1"/>
          <tpl fld="11" item="3"/>
          <tpl fld="10" item="0"/>
          <tpl hier="44" item="2"/>
          <tpl fld="17" item="0"/>
        </tpls>
      </n>
      <m>
        <tpls c="6">
          <tpl fld="6" item="1"/>
          <tpl hier="35" item="1"/>
          <tpl fld="11" item="4"/>
          <tpl fld="10" item="3"/>
          <tpl hier="44" item="2"/>
          <tpl fld="17" item="0"/>
        </tpls>
      </m>
      <n v="1443903">
        <tpls c="7">
          <tpl fld="3" item="0"/>
          <tpl fld="16" item="2"/>
          <tpl hier="35" item="1"/>
          <tpl fld="11" item="20"/>
          <tpl fld="12" item="2"/>
          <tpl hier="44" item="2"/>
          <tpl fld="17" item="0"/>
        </tpls>
      </n>
      <n v="2810920">
        <tpls c="6">
          <tpl fld="7" item="0"/>
          <tpl fld="16" item="0"/>
          <tpl fld="0" item="0"/>
          <tpl fld="12" item="0"/>
          <tpl fld="1" item="1"/>
          <tpl fld="17" item="0"/>
        </tpls>
      </n>
      <m>
        <tpls c="7">
          <tpl fld="3" item="1"/>
          <tpl fld="16" item="2"/>
          <tpl hier="35" item="0"/>
          <tpl fld="11" item="19"/>
          <tpl fld="12" item="2"/>
          <tpl hier="44" item="2"/>
          <tpl fld="17" item="0"/>
        </tpls>
      </m>
      <n v="244864813">
        <tpls c="6">
          <tpl fld="7" item="2"/>
          <tpl fld="0" item="1"/>
          <tpl fld="11" item="49"/>
          <tpl fld="10" item="2"/>
          <tpl hier="44" item="2"/>
          <tpl fld="17" item="0"/>
        </tpls>
      </n>
      <n v="8719568">
        <tpls c="6">
          <tpl fld="7" item="0"/>
          <tpl fld="0" item="0"/>
          <tpl fld="11" item="37"/>
          <tpl fld="12" item="11"/>
          <tpl hier="44" item="2"/>
          <tpl fld="17" item="0"/>
        </tpls>
      </n>
      <n v="8825069">
        <tpls c="6">
          <tpl fld="7" item="3"/>
          <tpl fld="0" item="2"/>
          <tpl fld="11" item="62"/>
          <tpl fld="12" item="13"/>
          <tpl fld="1" item="1"/>
          <tpl fld="17" item="0"/>
        </tpls>
      </n>
      <n v="5348658">
        <tpls c="6">
          <tpl fld="3" item="0"/>
          <tpl fld="16" item="9"/>
          <tpl hier="35" item="1"/>
          <tpl fld="12" item="18"/>
          <tpl hier="44" item="2"/>
          <tpl fld="17" item="0"/>
        </tpls>
      </n>
      <n v="215739">
        <tpls c="7">
          <tpl fld="3" item="0"/>
          <tpl fld="16" item="4"/>
          <tpl hier="35" item="1"/>
          <tpl fld="11" item="36"/>
          <tpl fld="12" item="2"/>
          <tpl hier="44" item="2"/>
          <tpl fld="17" item="0"/>
        </tpls>
      </n>
      <n v="0">
        <tpls c="7">
          <tpl fld="7" item="0"/>
          <tpl fld="16" item="11"/>
          <tpl fld="0" item="0"/>
          <tpl fld="11" item="52"/>
          <tpl fld="12" item="20"/>
          <tpl fld="1" item="1"/>
          <tpl fld="17" item="0"/>
        </tpls>
      </n>
      <n v="8698751">
        <tpls c="6">
          <tpl fld="6" item="2"/>
          <tpl hier="35" item="1"/>
          <tpl fld="11" item="35"/>
          <tpl fld="10" item="0"/>
          <tpl hier="44" item="2"/>
          <tpl fld="17" item="0"/>
        </tpls>
      </n>
      <n v="129404">
        <tpls c="7">
          <tpl fld="3" item="0"/>
          <tpl fld="16" item="2"/>
          <tpl hier="35" item="1"/>
          <tpl fld="11" item="19"/>
          <tpl fld="12" item="2"/>
          <tpl hier="44" item="2"/>
          <tpl fld="17" item="0"/>
        </tpls>
      </n>
      <m>
        <tpls c="7">
          <tpl fld="3" item="1"/>
          <tpl fld="16" item="6"/>
          <tpl hier="35" item="0"/>
          <tpl fld="11" item="20"/>
          <tpl fld="12" item="2"/>
          <tpl hier="44" item="2"/>
          <tpl fld="17" item="0"/>
        </tpls>
      </m>
      <n v="0">
        <tpls c="6">
          <tpl fld="7" item="0"/>
          <tpl fld="0" item="0"/>
          <tpl fld="11" item="48"/>
          <tpl fld="10" item="1"/>
          <tpl hier="44" item="2"/>
          <tpl fld="17" item="0"/>
        </tpls>
      </n>
      <n v="476400">
        <tpls c="6">
          <tpl fld="7" item="2"/>
          <tpl fld="0" item="1"/>
          <tpl fld="11" item="15"/>
          <tpl fld="10" item="2"/>
          <tpl hier="44" item="2"/>
          <tpl fld="17" item="0"/>
        </tpls>
      </n>
      <m>
        <tpls c="6">
          <tpl fld="3" item="1"/>
          <tpl fld="16" item="0"/>
          <tpl hier="35" item="0"/>
          <tpl fld="12" item="15"/>
          <tpl hier="44" item="2"/>
          <tpl fld="17" item="0"/>
        </tpls>
      </m>
      <n v="19123">
        <tpls c="6">
          <tpl fld="7" item="0"/>
          <tpl fld="16" item="1"/>
          <tpl fld="0" item="0"/>
          <tpl fld="12" item="0"/>
          <tpl fld="1" item="1"/>
          <tpl fld="17" item="0"/>
        </tpls>
      </n>
      <n v="0">
        <tpls c="6">
          <tpl fld="7" item="3"/>
          <tpl fld="0" item="2"/>
          <tpl fld="11" item="69"/>
          <tpl fld="12" item="7"/>
          <tpl fld="1" item="1"/>
          <tpl fld="17" item="0"/>
        </tpls>
      </n>
      <n v="137">
        <tpls c="7">
          <tpl fld="3" item="0"/>
          <tpl fld="16" item="10"/>
          <tpl hier="35" item="1"/>
          <tpl fld="11" item="30"/>
          <tpl fld="12" item="15"/>
          <tpl hier="44" item="2"/>
          <tpl fld="17" item="0"/>
        </tpls>
      </n>
      <n v="679476">
        <tpls c="7">
          <tpl fld="7" item="0"/>
          <tpl fld="16" item="0"/>
          <tpl fld="0" item="0"/>
          <tpl fld="11" item="71"/>
          <tpl fld="12" item="13"/>
          <tpl fld="1" item="1"/>
          <tpl fld="17" item="0"/>
        </tpls>
      </n>
      <n v="561">
        <tpls c="6">
          <tpl fld="6" item="1"/>
          <tpl hier="35" item="1"/>
          <tpl fld="11" item="34"/>
          <tpl fld="10" item="1"/>
          <tpl hier="44" item="2"/>
          <tpl fld="17" item="0"/>
        </tpls>
      </n>
      <m>
        <tpls c="7">
          <tpl fld="3" item="1"/>
          <tpl fld="16" item="0"/>
          <tpl hier="35" item="0"/>
          <tpl fld="11" item="17"/>
          <tpl fld="12" item="3"/>
          <tpl hier="44" item="2"/>
          <tpl fld="17" item="0"/>
        </tpls>
      </m>
      <n v="100101">
        <tpls c="6">
          <tpl fld="6" item="3"/>
          <tpl hier="35" item="1"/>
          <tpl fld="11" item="17"/>
          <tpl fld="10" item="2"/>
          <tpl hier="44" item="2"/>
          <tpl fld="17" item="0"/>
        </tpls>
      </n>
      <m>
        <tpls c="6">
          <tpl fld="7" item="1"/>
          <tpl fld="0" item="2"/>
          <tpl fld="11" item="48"/>
          <tpl fld="10" item="1"/>
          <tpl hier="44" item="2"/>
          <tpl fld="17" item="0"/>
        </tpls>
      </m>
      <n v="104167">
        <tpls c="7">
          <tpl fld="3" item="0"/>
          <tpl fld="16" item="10"/>
          <tpl hier="35" item="1"/>
          <tpl fld="11" item="43"/>
          <tpl fld="12" item="3"/>
          <tpl hier="44" item="2"/>
          <tpl fld="17" item="0"/>
        </tpls>
      </n>
      <n v="-4428618">
        <tpls c="7">
          <tpl fld="7" item="0"/>
          <tpl fld="16" item="8"/>
          <tpl fld="0" item="0"/>
          <tpl fld="11" item="56"/>
          <tpl fld="12" item="16"/>
          <tpl fld="1" item="1"/>
          <tpl fld="17" item="0"/>
        </tpls>
      </n>
      <m>
        <tpls c="7">
          <tpl fld="3" item="1"/>
          <tpl fld="16" item="5"/>
          <tpl hier="35" item="0"/>
          <tpl fld="11" item="39"/>
          <tpl fld="12" item="3"/>
          <tpl hier="44" item="2"/>
          <tpl fld="17" item="0"/>
        </tpls>
      </m>
      <m>
        <tpls c="6">
          <tpl fld="3" item="1"/>
          <tpl fld="16" item="4"/>
          <tpl hier="35" item="0"/>
          <tpl fld="12" item="4"/>
          <tpl hier="44" item="2"/>
          <tpl fld="17" item="0"/>
        </tpls>
      </m>
      <m>
        <tpls c="6">
          <tpl fld="3" item="1"/>
          <tpl fld="16" item="1"/>
          <tpl hier="35" item="0"/>
          <tpl fld="12" item="3"/>
          <tpl hier="44" item="2"/>
          <tpl fld="17" item="0"/>
        </tpls>
      </m>
      <n v="600">
        <tpls c="6">
          <tpl fld="3" item="0"/>
          <tpl fld="16" item="1"/>
          <tpl hier="35" item="1"/>
          <tpl fld="12" item="21"/>
          <tpl hier="44" item="2"/>
          <tpl fld="17" item="0"/>
        </tpls>
      </n>
      <n v="0">
        <tpls c="7">
          <tpl fld="7" item="0"/>
          <tpl fld="16" item="7"/>
          <tpl fld="0" item="0"/>
          <tpl fld="11" item="64"/>
          <tpl fld="12" item="22"/>
          <tpl fld="1" item="1"/>
          <tpl fld="17" item="0"/>
        </tpls>
      </n>
      <n v="603100">
        <tpls c="7">
          <tpl fld="3" item="0"/>
          <tpl fld="16" item="3"/>
          <tpl hier="35" item="1"/>
          <tpl fld="11" item="10"/>
          <tpl fld="12" item="3"/>
          <tpl hier="44" item="2"/>
          <tpl fld="17" item="0"/>
        </tpls>
      </n>
      <m>
        <tpls c="6">
          <tpl fld="3" item="1"/>
          <tpl fld="16" item="6"/>
          <tpl hier="35" item="0"/>
          <tpl fld="12" item="18"/>
          <tpl hier="44" item="2"/>
          <tpl fld="17" item="0"/>
        </tpls>
      </m>
      <n v="0">
        <tpls c="7">
          <tpl fld="3" item="0"/>
          <tpl fld="16" item="4"/>
          <tpl hier="35" item="1"/>
          <tpl fld="11" item="44"/>
          <tpl fld="12" item="3"/>
          <tpl hier="44" item="2"/>
          <tpl fld="17" item="0"/>
        </tpls>
      </n>
      <m>
        <tpls c="7">
          <tpl fld="3" item="1"/>
          <tpl fld="16" item="6"/>
          <tpl hier="35" item="0"/>
          <tpl fld="11" item="27"/>
          <tpl fld="12" item="3"/>
          <tpl hier="44" item="2"/>
          <tpl fld="17" item="0"/>
        </tpls>
      </m>
      <m>
        <tpls c="7">
          <tpl fld="3" item="1"/>
          <tpl fld="16" item="6"/>
          <tpl hier="35" item="0"/>
          <tpl fld="11" item="36"/>
          <tpl fld="12" item="2"/>
          <tpl hier="44" item="2"/>
          <tpl fld="17" item="0"/>
        </tpls>
      </m>
      <m>
        <tpls c="7">
          <tpl fld="3" item="1"/>
          <tpl fld="16" item="1"/>
          <tpl hier="35" item="0"/>
          <tpl fld="11" item="31"/>
          <tpl fld="12" item="3"/>
          <tpl hier="44" item="2"/>
          <tpl fld="17" item="0"/>
        </tpls>
      </m>
      <n v="9180077">
        <tpls c="6">
          <tpl fld="6" item="0"/>
          <tpl hier="35" item="3"/>
          <tpl fld="11" item="2"/>
          <tpl fld="12" item="2"/>
          <tpl hier="44" item="2"/>
          <tpl fld="17" item="0"/>
        </tpls>
      </n>
      <n v="0">
        <tpls c="6">
          <tpl fld="7" item="0"/>
          <tpl fld="16" item="9"/>
          <tpl fld="0" item="0"/>
          <tpl fld="12" item="8"/>
          <tpl fld="1" item="1"/>
          <tpl fld="17" item="0"/>
        </tpls>
      </n>
      <n v="-392981">
        <tpls c="6">
          <tpl fld="7" item="0"/>
          <tpl fld="16" item="11"/>
          <tpl fld="0" item="0"/>
          <tpl fld="12" item="19"/>
          <tpl fld="1" item="1"/>
          <tpl fld="17" item="0"/>
        </tpls>
      </n>
      <n v="58697243">
        <tpls c="6">
          <tpl fld="6" item="0"/>
          <tpl hier="35" item="3"/>
          <tpl fld="11" item="49"/>
          <tpl fld="12" item="9"/>
          <tpl hier="44" item="2"/>
          <tpl fld="17" item="0"/>
        </tpls>
      </n>
      <n v="-71954">
        <tpls c="7">
          <tpl fld="7" item="0"/>
          <tpl fld="16" item="5"/>
          <tpl fld="0" item="0"/>
          <tpl fld="11" item="57"/>
          <tpl fld="12" item="7"/>
          <tpl fld="1" item="1"/>
          <tpl fld="17" item="0"/>
        </tpls>
      </n>
      <m>
        <tpls c="7">
          <tpl fld="3" item="1"/>
          <tpl fld="16" item="1"/>
          <tpl hier="35" item="0"/>
          <tpl fld="11" item="23"/>
          <tpl fld="12" item="11"/>
          <tpl hier="44" item="2"/>
          <tpl fld="17" item="0"/>
        </tpls>
      </m>
      <n v="-23048879">
        <tpls c="6">
          <tpl fld="7" item="0"/>
          <tpl fld="16" item="1"/>
          <tpl fld="0" item="0"/>
          <tpl fld="12" item="16"/>
          <tpl fld="1" item="1"/>
          <tpl fld="17" item="0"/>
        </tpls>
      </n>
      <n v="914250">
        <tpls c="6">
          <tpl fld="6" item="1"/>
          <tpl hier="35" item="1"/>
          <tpl fld="11" item="27"/>
          <tpl fld="10" item="2"/>
          <tpl hier="44" item="2"/>
          <tpl fld="17" item="0"/>
        </tpls>
      </n>
      <n v="292646501">
        <tpls c="6">
          <tpl fld="7" item="0"/>
          <tpl fld="16" item="0"/>
          <tpl fld="0" item="0"/>
          <tpl fld="12" item="8"/>
          <tpl fld="1" item="1"/>
          <tpl fld="17" item="0"/>
        </tpls>
      </n>
      <n v="0">
        <tpls c="7">
          <tpl fld="7" item="0"/>
          <tpl fld="16" item="3"/>
          <tpl fld="0" item="0"/>
          <tpl fld="11" item="13"/>
          <tpl fld="12" item="5"/>
          <tpl fld="1" item="1"/>
          <tpl fld="17" item="0"/>
        </tpls>
      </n>
      <m>
        <tpls c="7">
          <tpl fld="3" item="1"/>
          <tpl fld="16" item="7"/>
          <tpl hier="35" item="0"/>
          <tpl fld="11" item="25"/>
          <tpl fld="12" item="2"/>
          <tpl hier="44" item="2"/>
          <tpl fld="17" item="0"/>
        </tpls>
      </m>
      <n v="0">
        <tpls c="7">
          <tpl fld="7" item="0"/>
          <tpl fld="16" item="9"/>
          <tpl fld="0" item="0"/>
          <tpl fld="11" item="64"/>
          <tpl fld="12" item="22"/>
          <tpl fld="1" item="1"/>
          <tpl fld="17" item="0"/>
        </tpls>
      </n>
      <n v="0">
        <tpls c="7">
          <tpl fld="7" item="0"/>
          <tpl fld="16" item="9"/>
          <tpl fld="0" item="0"/>
          <tpl fld="11" item="69"/>
          <tpl fld="12" item="7"/>
          <tpl fld="1" item="1"/>
          <tpl fld="17" item="0"/>
        </tpls>
      </n>
      <n v="3195">
        <tpls c="7">
          <tpl fld="3" item="0"/>
          <tpl fld="16" item="9"/>
          <tpl hier="35" item="1"/>
          <tpl fld="11" item="54"/>
          <tpl fld="12" item="4"/>
          <tpl hier="44" item="2"/>
          <tpl fld="17" item="0"/>
        </tpls>
      </n>
      <m>
        <tpls c="3">
          <tpl fld="2" item="9"/>
          <tpl fld="8" item="11"/>
          <tpl fld="17" item="3"/>
        </tpls>
      </m>
      <m>
        <tpls c="7">
          <tpl fld="3" item="1"/>
          <tpl fld="16" item="4"/>
          <tpl hier="35" item="0"/>
          <tpl fld="11" item="22"/>
          <tpl fld="12" item="4"/>
          <tpl hier="44" item="2"/>
          <tpl fld="17" item="0"/>
        </tpls>
      </m>
      <n v="218751">
        <tpls c="6">
          <tpl fld="6" item="3"/>
          <tpl hier="35" item="3"/>
          <tpl fld="11" item="14"/>
          <tpl fld="12" item="3"/>
          <tpl hier="44" item="2"/>
          <tpl fld="17" item="0"/>
        </tpls>
      </n>
      <n v="2065">
        <tpls c="6">
          <tpl fld="7" item="2"/>
          <tpl fld="0" item="1"/>
          <tpl fld="11" item="34"/>
          <tpl fld="10" item="1"/>
          <tpl hier="44" item="2"/>
          <tpl fld="17" item="0"/>
        </tpls>
      </n>
      <m>
        <tpls c="7">
          <tpl fld="3" item="1"/>
          <tpl fld="16" item="6"/>
          <tpl hier="35" item="0"/>
          <tpl fld="11" item="33"/>
          <tpl fld="12" item="3"/>
          <tpl hier="44" item="2"/>
          <tpl fld="17" item="0"/>
        </tpls>
      </m>
      <m>
        <tpls c="7">
          <tpl fld="3" item="1"/>
          <tpl fld="16" item="1"/>
          <tpl hier="35" item="0"/>
          <tpl fld="11" item="20"/>
          <tpl fld="12" item="2"/>
          <tpl hier="44" item="2"/>
          <tpl fld="17" item="0"/>
        </tpls>
      </m>
      <m>
        <tpls c="3">
          <tpl fld="2" item="1"/>
          <tpl fld="8" item="5"/>
          <tpl fld="17" item="3"/>
        </tpls>
      </m>
      <n v="11261250">
        <tpls c="3">
          <tpl fld="2" item="12"/>
          <tpl fld="8" item="11"/>
          <tpl fld="17" item="3"/>
        </tpls>
      </n>
      <m>
        <tpls c="3">
          <tpl fld="2" item="19"/>
          <tpl fld="8" item="9"/>
          <tpl fld="17" item="3"/>
        </tpls>
      </m>
      <n v="97750">
        <tpls c="7">
          <tpl fld="3" item="0"/>
          <tpl fld="16" item="0"/>
          <tpl hier="35" item="1"/>
          <tpl fld="11" item="39"/>
          <tpl fld="12" item="3"/>
          <tpl hier="44" item="2"/>
          <tpl fld="17" item="0"/>
        </tpls>
      </n>
      <m>
        <tpls c="7">
          <tpl fld="3" item="1"/>
          <tpl fld="16" item="6"/>
          <tpl hier="35" item="0"/>
          <tpl fld="11" item="9"/>
          <tpl fld="12" item="4"/>
          <tpl hier="44" item="2"/>
          <tpl fld="17" item="0"/>
        </tpls>
      </m>
      <m>
        <tpls c="3">
          <tpl fld="2" item="17"/>
          <tpl fld="8" item="1"/>
          <tpl fld="17" item="3"/>
        </tpls>
      </m>
      <n v="-173856">
        <tpls c="7">
          <tpl fld="7" item="0"/>
          <tpl fld="16" item="8"/>
          <tpl fld="0" item="0"/>
          <tpl fld="11" item="46"/>
          <tpl fld="12" item="13"/>
          <tpl fld="1" item="1"/>
          <tpl fld="17" item="0"/>
        </tpls>
      </n>
      <n v="5915537">
        <tpls c="6">
          <tpl fld="3" item="0"/>
          <tpl fld="16" item="0"/>
          <tpl hier="35" item="1"/>
          <tpl fld="12" item="3"/>
          <tpl hier="44" item="2"/>
          <tpl fld="17" item="0"/>
        </tpls>
      </n>
      <n v="0">
        <tpls c="7">
          <tpl fld="7" item="0"/>
          <tpl fld="16" item="5"/>
          <tpl fld="0" item="0"/>
          <tpl fld="11" item="60"/>
          <tpl fld="12" item="20"/>
          <tpl fld="1" item="1"/>
          <tpl fld="17" item="0"/>
        </tpls>
      </n>
      <n v="-477952">
        <tpls c="7">
          <tpl fld="7" item="0"/>
          <tpl fld="16" item="5"/>
          <tpl fld="0" item="0"/>
          <tpl fld="11" item="55"/>
          <tpl fld="12" item="13"/>
          <tpl fld="1" item="1"/>
          <tpl fld="17" item="0"/>
        </tpls>
      </n>
      <m>
        <tpls c="6">
          <tpl fld="6" item="0"/>
          <tpl hier="35" item="1"/>
          <tpl fld="11" item="24"/>
          <tpl fld="10" item="1"/>
          <tpl hier="44" item="2"/>
          <tpl fld="17" item="0"/>
        </tpls>
      </m>
      <n v="0">
        <tpls c="7">
          <tpl fld="3" item="0"/>
          <tpl fld="16" item="10"/>
          <tpl hier="35" item="1"/>
          <tpl fld="11" item="54"/>
          <tpl fld="12" item="4"/>
          <tpl hier="44" item="2"/>
          <tpl fld="17" item="0"/>
        </tpls>
      </n>
      <m>
        <tpls c="3">
          <tpl fld="2" item="0"/>
          <tpl fld="8" item="2"/>
          <tpl fld="17" item="3"/>
        </tpls>
      </m>
      <m>
        <tpls c="6">
          <tpl fld="6" item="3"/>
          <tpl hier="35" item="1"/>
          <tpl fld="11" item="4"/>
          <tpl fld="10" item="3"/>
          <tpl hier="44" item="2"/>
          <tpl fld="17" item="0"/>
        </tpls>
      </m>
      <n v="22450">
        <tpls c="7">
          <tpl fld="3" item="0"/>
          <tpl fld="16" item="8"/>
          <tpl hier="35" item="1"/>
          <tpl fld="11" item="11"/>
          <tpl fld="12" item="2"/>
          <tpl hier="44" item="2"/>
          <tpl fld="17" item="0"/>
        </tpls>
      </n>
      <n v="1171">
        <tpls c="6">
          <tpl fld="6" item="3"/>
          <tpl hier="35" item="1"/>
          <tpl fld="11" item="25"/>
          <tpl fld="10" item="0"/>
          <tpl hier="44" item="2"/>
          <tpl fld="17" item="0"/>
        </tpls>
      </n>
      <m>
        <tpls c="7">
          <tpl fld="3" item="1"/>
          <tpl hier="10" item="4294967295"/>
          <tpl hier="35" item="0"/>
          <tpl fld="11" item="7"/>
          <tpl fld="12" item="4"/>
          <tpl hier="44" item="2"/>
          <tpl fld="17" item="0"/>
        </tpls>
      </m>
      <n v="265">
        <tpls c="6">
          <tpl fld="6" item="1"/>
          <tpl hier="35" item="1"/>
          <tpl fld="11" item="30"/>
          <tpl fld="10" item="1"/>
          <tpl hier="44" item="2"/>
          <tpl fld="17" item="0"/>
        </tpls>
      </n>
      <n v="19713185">
        <tpls c="6">
          <tpl fld="3" item="0"/>
          <tpl fld="16" item="7"/>
          <tpl hier="35" item="1"/>
          <tpl fld="12" item="9"/>
          <tpl hier="44" item="2"/>
          <tpl fld="17" item="0"/>
        </tpls>
      </n>
      <n v="126859046">
        <tpls c="6">
          <tpl fld="7" item="0"/>
          <tpl fld="16" item="0"/>
          <tpl fld="0" item="0"/>
          <tpl fld="12" item="6"/>
          <tpl fld="1" item="1"/>
          <tpl fld="17" item="0"/>
        </tpls>
      </n>
      <n v="32384963">
        <tpls c="6">
          <tpl fld="6" item="2"/>
          <tpl hier="35" item="1"/>
          <tpl fld="11" item="18"/>
          <tpl fld="10" item="0"/>
          <tpl hier="44" item="2"/>
          <tpl fld="17" item="0"/>
        </tpls>
      </n>
      <m>
        <tpls c="7">
          <tpl fld="3" item="1"/>
          <tpl fld="16" item="3"/>
          <tpl hier="35" item="0"/>
          <tpl fld="11" item="23"/>
          <tpl fld="12" item="11"/>
          <tpl hier="44" item="2"/>
          <tpl fld="17" item="0"/>
        </tpls>
      </m>
      <n v="2227432">
        <tpls c="7">
          <tpl fld="7" item="0"/>
          <tpl fld="16" item="8"/>
          <tpl fld="0" item="0"/>
          <tpl fld="11" item="21"/>
          <tpl fld="12" item="10"/>
          <tpl fld="1" item="1"/>
          <tpl fld="17" item="0"/>
        </tpls>
      </n>
      <m>
        <tpls c="7">
          <tpl fld="3" item="1"/>
          <tpl fld="16" item="2"/>
          <tpl hier="35" item="0"/>
          <tpl fld="11" item="36"/>
          <tpl fld="12" item="2"/>
          <tpl hier="44" item="2"/>
          <tpl fld="17" item="0"/>
        </tpls>
      </m>
      <n v="0">
        <tpls c="7">
          <tpl fld="7" item="0"/>
          <tpl fld="16" item="11"/>
          <tpl fld="0" item="0"/>
          <tpl fld="11" item="29"/>
          <tpl fld="12" item="8"/>
          <tpl fld="1" item="1"/>
          <tpl fld="17" item="0"/>
        </tpls>
      </n>
      <n v="0">
        <tpls c="6">
          <tpl fld="7" item="0"/>
          <tpl fld="16" item="1"/>
          <tpl fld="0" item="0"/>
          <tpl fld="12" item="5"/>
          <tpl fld="1" item="1"/>
          <tpl fld="17" item="0"/>
        </tpls>
      </n>
      <n v="63143392">
        <tpls c="5">
          <tpl fld="6" item="2"/>
          <tpl hier="35" item="3"/>
          <tpl fld="12" item="2"/>
          <tpl hier="44" item="2"/>
          <tpl fld="17" item="0"/>
        </tpls>
      </n>
      <n v="844">
        <tpls c="6">
          <tpl fld="6" item="2"/>
          <tpl hier="35" item="1"/>
          <tpl fld="11" item="30"/>
          <tpl fld="10" item="1"/>
          <tpl hier="44" item="2"/>
          <tpl fld="17" item="0"/>
        </tpls>
      </n>
      <n v="0">
        <tpls c="7">
          <tpl fld="3" item="0"/>
          <tpl fld="16" item="10"/>
          <tpl hier="35" item="1"/>
          <tpl fld="11" item="0"/>
          <tpl fld="12" item="2"/>
          <tpl hier="44" item="2"/>
          <tpl fld="17" item="0"/>
        </tpls>
      </n>
      <n v="-34530">
        <tpls c="7">
          <tpl fld="7" item="0"/>
          <tpl fld="16" item="5"/>
          <tpl fld="0" item="0"/>
          <tpl fld="11" item="51"/>
          <tpl fld="12" item="7"/>
          <tpl fld="1" item="1"/>
          <tpl fld="17" item="0"/>
        </tpls>
      </n>
      <m>
        <tpls c="7">
          <tpl fld="3" item="1"/>
          <tpl fld="16" item="6"/>
          <tpl hier="35" item="0"/>
          <tpl fld="11" item="49"/>
          <tpl fld="12" item="9"/>
          <tpl hier="44" item="2"/>
          <tpl fld="17" item="0"/>
        </tpls>
      </m>
      <m>
        <tpls c="3">
          <tpl fld="2" item="14"/>
          <tpl fld="8" item="6"/>
          <tpl fld="17" item="3"/>
        </tpls>
      </m>
      <n v="271543">
        <tpls c="6">
          <tpl fld="6" item="1"/>
          <tpl hier="35" item="1"/>
          <tpl fld="11" item="19"/>
          <tpl fld="10" item="0"/>
          <tpl hier="44" item="2"/>
          <tpl fld="17" item="0"/>
        </tpls>
      </n>
      <m>
        <tpls c="3">
          <tpl fld="8" item="5"/>
          <tpl fld="4" item="1"/>
          <tpl fld="17" item="3"/>
        </tpls>
      </m>
      <m>
        <tpls c="3">
          <tpl fld="2" item="18"/>
          <tpl fld="8" item="9"/>
          <tpl fld="17" item="3"/>
        </tpls>
      </m>
      <m>
        <tpls c="7">
          <tpl fld="3" item="1"/>
          <tpl hier="10" item="4294967295"/>
          <tpl hier="35" item="0"/>
          <tpl fld="11" item="34"/>
          <tpl fld="12" item="15"/>
          <tpl hier="44" item="2"/>
          <tpl fld="17" item="0"/>
        </tpls>
      </m>
      <n v="679470">
        <tpls c="6">
          <tpl fld="7" item="1"/>
          <tpl fld="0" item="2"/>
          <tpl fld="11" item="71"/>
          <tpl fld="12" item="13"/>
          <tpl fld="1" item="1"/>
          <tpl fld="17" item="0"/>
        </tpls>
      </n>
      <m>
        <tpls c="3">
          <tpl fld="2" item="17"/>
          <tpl fld="8" item="11"/>
          <tpl fld="17" item="3"/>
        </tpls>
      </m>
      <n v="61064">
        <tpls c="7">
          <tpl fld="7" item="0"/>
          <tpl fld="16" item="8"/>
          <tpl fld="0" item="0"/>
          <tpl fld="11" item="57"/>
          <tpl fld="12" item="7"/>
          <tpl fld="1" item="1"/>
          <tpl fld="17" item="0"/>
        </tpls>
      </n>
      <m>
        <tpls c="6">
          <tpl fld="3" item="1"/>
          <tpl fld="16" item="8"/>
          <tpl hier="35" item="0"/>
          <tpl fld="12" item="15"/>
          <tpl hier="44" item="2"/>
          <tpl fld="17" item="0"/>
        </tpls>
      </m>
      <n v="418525">
        <tpls c="7">
          <tpl fld="3" item="0"/>
          <tpl fld="16" item="4"/>
          <tpl hier="35" item="1"/>
          <tpl fld="11" item="22"/>
          <tpl fld="12" item="4"/>
          <tpl hier="44" item="2"/>
          <tpl fld="17" item="0"/>
        </tpls>
      </n>
      <n v="16840140">
        <tpls c="6">
          <tpl fld="6" item="1"/>
          <tpl hier="35" item="1"/>
          <tpl fld="11" item="40"/>
          <tpl fld="10" item="2"/>
          <tpl hier="44" item="2"/>
          <tpl fld="17" item="0"/>
        </tpls>
      </n>
      <m>
        <tpls c="7">
          <tpl fld="3" item="1"/>
          <tpl fld="16" item="0"/>
          <tpl hier="35" item="0"/>
          <tpl fld="11" item="20"/>
          <tpl fld="12" item="2"/>
          <tpl hier="44" item="2"/>
          <tpl fld="17" item="0"/>
        </tpls>
      </m>
      <n v="2750">
        <tpls c="7">
          <tpl fld="3" item="0"/>
          <tpl fld="16" item="0"/>
          <tpl hier="35" item="1"/>
          <tpl fld="11" item="38"/>
          <tpl fld="12" item="11"/>
          <tpl hier="44" item="2"/>
          <tpl fld="17" item="0"/>
        </tpls>
      </n>
      <n v="11756850">
        <tpls c="3">
          <tpl fld="5" item="1"/>
          <tpl fld="4" item="3"/>
          <tpl fld="17" item="3"/>
        </tpls>
      </n>
      <m>
        <tpls c="3">
          <tpl fld="5" item="4"/>
          <tpl fld="4" item="2"/>
          <tpl fld="17" item="3"/>
        </tpls>
      </m>
      <n v="19540285">
        <tpls c="7">
          <tpl fld="3" item="0"/>
          <tpl fld="16" item="6"/>
          <tpl hier="35" item="1"/>
          <tpl fld="11" item="49"/>
          <tpl fld="12" item="9"/>
          <tpl hier="44" item="2"/>
          <tpl fld="17" item="0"/>
        </tpls>
      </n>
      <n v="66484462">
        <tpls c="6">
          <tpl fld="7" item="2"/>
          <tpl fld="0" item="1"/>
          <tpl fld="11" item="40"/>
          <tpl fld="10" item="2"/>
          <tpl hier="44" item="2"/>
          <tpl fld="17" item="0"/>
        </tpls>
      </n>
      <n v="1278">
        <tpls c="7">
          <tpl fld="3" item="0"/>
          <tpl fld="16" item="2"/>
          <tpl hier="35" item="1"/>
          <tpl fld="11" item="25"/>
          <tpl fld="12" item="2"/>
          <tpl hier="44" item="2"/>
          <tpl fld="17" item="0"/>
        </tpls>
      </n>
      <m>
        <tpls c="6">
          <tpl fld="3" item="1"/>
          <tpl fld="16" item="3"/>
          <tpl hier="35" item="0"/>
          <tpl fld="12" item="3"/>
          <tpl hier="44" item="2"/>
          <tpl fld="17" item="0"/>
        </tpls>
      </m>
      <m>
        <tpls c="7">
          <tpl fld="3" item="1"/>
          <tpl fld="16" item="4"/>
          <tpl hier="35" item="0"/>
          <tpl fld="11" item="25"/>
          <tpl fld="12" item="2"/>
          <tpl hier="44" item="2"/>
          <tpl fld="17" item="0"/>
        </tpls>
      </m>
      <m>
        <tpls c="7">
          <tpl fld="3" item="1"/>
          <tpl fld="16" item="4"/>
          <tpl hier="35" item="0"/>
          <tpl fld="11" item="33"/>
          <tpl fld="12" item="3"/>
          <tpl hier="44" item="2"/>
          <tpl fld="17" item="0"/>
        </tpls>
      </m>
      <n v="974">
        <tpls c="6">
          <tpl fld="3" item="0"/>
          <tpl fld="16" item="11"/>
          <tpl hier="35" item="1"/>
          <tpl fld="12" item="15"/>
          <tpl hier="44" item="2"/>
          <tpl fld="17" item="0"/>
        </tpls>
      </n>
      <n v="254750">
        <tpls c="7">
          <tpl fld="3" item="0"/>
          <tpl fld="16" item="0"/>
          <tpl hier="35" item="1"/>
          <tpl fld="11" item="27"/>
          <tpl fld="12" item="3"/>
          <tpl hier="44" item="2"/>
          <tpl fld="17" item="0"/>
        </tpls>
      </n>
      <n v="350">
        <tpls c="6">
          <tpl fld="3" item="0"/>
          <tpl fld="16" item="1"/>
          <tpl hier="35" item="1"/>
          <tpl fld="12" item="15"/>
          <tpl hier="44" item="2"/>
          <tpl fld="17" item="0"/>
        </tpls>
      </n>
      <n v="100098">
        <tpls c="6">
          <tpl fld="6" item="0"/>
          <tpl hier="35" item="1"/>
          <tpl fld="11" item="17"/>
          <tpl fld="10" item="2"/>
          <tpl hier="44" item="2"/>
          <tpl fld="17" item="0"/>
        </tpls>
      </n>
      <n v="-173856">
        <tpls c="7">
          <tpl fld="7" item="0"/>
          <tpl fld="16" item="5"/>
          <tpl fld="0" item="0"/>
          <tpl fld="11" item="46"/>
          <tpl fld="12" item="13"/>
          <tpl fld="1" item="1"/>
          <tpl fld="17" item="0"/>
        </tpls>
      </n>
      <n v="0">
        <tpls c="6">
          <tpl fld="7" item="0"/>
          <tpl fld="16" item="7"/>
          <tpl fld="0" item="0"/>
          <tpl fld="12" item="5"/>
          <tpl fld="1" item="1"/>
          <tpl fld="17" item="0"/>
        </tpls>
      </n>
      <m>
        <tpls c="7">
          <tpl fld="3" item="1"/>
          <tpl fld="16" item="4"/>
          <tpl hier="35" item="0"/>
          <tpl fld="11" item="9"/>
          <tpl fld="12" item="4"/>
          <tpl hier="44" item="2"/>
          <tpl fld="17" item="0"/>
        </tpls>
      </m>
      <m>
        <tpls c="7">
          <tpl fld="3" item="1"/>
          <tpl fld="16" item="6"/>
          <tpl hier="35" item="0"/>
          <tpl fld="11" item="32"/>
          <tpl fld="12" item="2"/>
          <tpl hier="44" item="2"/>
          <tpl fld="17" item="0"/>
        </tpls>
      </m>
      <m>
        <tpls c="3">
          <tpl fld="2" item="0"/>
          <tpl fld="8" item="1"/>
          <tpl fld="17" item="3"/>
        </tpls>
      </m>
      <m>
        <tpls c="3">
          <tpl fld="5" item="6"/>
          <tpl fld="4" item="2"/>
          <tpl fld="17" item="3"/>
        </tpls>
      </m>
      <m>
        <tpls c="3">
          <tpl fld="2" item="1"/>
          <tpl fld="8" item="3"/>
          <tpl fld="17" item="3"/>
        </tpls>
      </m>
      <n v="0">
        <tpls c="6">
          <tpl fld="6" item="1"/>
          <tpl hier="35" item="1"/>
          <tpl fld="11" item="0"/>
          <tpl fld="10" item="0"/>
          <tpl hier="44" item="2"/>
          <tpl fld="17" item="0"/>
        </tpls>
      </n>
      <n v="-234528">
        <tpls c="7">
          <tpl fld="7" item="0"/>
          <tpl fld="16" item="5"/>
          <tpl fld="0" item="0"/>
          <tpl fld="11" item="62"/>
          <tpl fld="12" item="13"/>
          <tpl fld="1" item="1"/>
          <tpl fld="17" item="0"/>
        </tpls>
      </n>
      <n v="3430277">
        <tpls c="7">
          <tpl fld="3" item="0"/>
          <tpl fld="16" item="4"/>
          <tpl hier="35" item="1"/>
          <tpl fld="11" item="35"/>
          <tpl fld="12" item="2"/>
          <tpl hier="44" item="2"/>
          <tpl fld="17" item="0"/>
        </tpls>
      </n>
      <m>
        <tpls c="3">
          <tpl fld="2" item="21"/>
          <tpl fld="8" item="4"/>
          <tpl fld="17" item="3"/>
        </tpls>
      </m>
      <n v="375">
        <tpls c="6">
          <tpl fld="6" item="3"/>
          <tpl hier="35" item="3"/>
          <tpl fld="11" item="30"/>
          <tpl fld="12" item="15"/>
          <tpl hier="44" item="2"/>
          <tpl fld="17" item="0"/>
        </tpls>
      </n>
      <n v="7217">
        <tpls c="6">
          <tpl fld="7" item="0"/>
          <tpl fld="0" item="0"/>
          <tpl fld="11" item="25"/>
          <tpl fld="12" item="2"/>
          <tpl hier="44" item="2"/>
          <tpl fld="17" item="0"/>
        </tpls>
      </n>
      <n v="59252202">
        <tpls c="6">
          <tpl fld="6" item="3"/>
          <tpl hier="35" item="1"/>
          <tpl fld="11" item="49"/>
          <tpl fld="10" item="2"/>
          <tpl hier="44" item="2"/>
          <tpl fld="17" item="0"/>
        </tpls>
      </n>
      <m>
        <tpls c="3">
          <tpl fld="2" item="4"/>
          <tpl fld="8" item="7"/>
          <tpl fld="17" item="3"/>
        </tpls>
      </m>
      <n v="13233260">
        <tpls c="7">
          <tpl fld="3" item="0"/>
          <tpl fld="16" item="7"/>
          <tpl hier="35" item="1"/>
          <tpl fld="11" item="18"/>
          <tpl fld="12" item="2"/>
          <tpl hier="44" item="2"/>
          <tpl fld="17" item="0"/>
        </tpls>
      </n>
      <n v="4746966">
        <tpls c="5">
          <tpl fld="7" item="1"/>
          <tpl fld="0" item="2"/>
          <tpl fld="12" item="4"/>
          <tpl hier="44" item="2"/>
          <tpl fld="17" item="0"/>
        </tpls>
      </n>
      <m>
        <tpls c="7">
          <tpl fld="3" item="1"/>
          <tpl fld="16" item="6"/>
          <tpl hier="35" item="0"/>
          <tpl fld="11" item="4"/>
          <tpl fld="12" item="1"/>
          <tpl hier="44" item="2"/>
          <tpl fld="17" item="0"/>
        </tpls>
      </m>
      <n v="19095099">
        <tpls c="5">
          <tpl fld="6" item="0"/>
          <tpl hier="35" item="3"/>
          <tpl fld="12" item="18"/>
          <tpl hier="44" item="2"/>
          <tpl fld="17" item="0"/>
        </tpls>
      </n>
      <n v="1260000">
        <tpls c="3">
          <tpl fld="2" item="17"/>
          <tpl fld="8" item="6"/>
          <tpl fld="17" item="3"/>
        </tpls>
      </n>
      <m>
        <tpls c="7">
          <tpl fld="3" item="1"/>
          <tpl fld="16" item="11"/>
          <tpl hier="35" item="0"/>
          <tpl fld="11" item="30"/>
          <tpl fld="12" item="15"/>
          <tpl hier="44" item="2"/>
          <tpl fld="17" item="0"/>
        </tpls>
      </m>
      <n v="975000">
        <tpls c="6">
          <tpl fld="6" item="1"/>
          <tpl hier="35" item="3"/>
          <tpl fld="11" item="23"/>
          <tpl fld="12" item="11"/>
          <tpl hier="44" item="2"/>
          <tpl fld="17" item="0"/>
        </tpls>
      </n>
      <n v="6284929">
        <tpls c="6">
          <tpl fld="3" item="0"/>
          <tpl fld="16" item="10"/>
          <tpl hier="35" item="1"/>
          <tpl fld="12" item="18"/>
          <tpl hier="44" item="2"/>
          <tpl fld="17" item="0"/>
        </tpls>
      </n>
      <m>
        <tpls c="7">
          <tpl fld="3" item="1"/>
          <tpl fld="16" item="6"/>
          <tpl hier="35" item="0"/>
          <tpl fld="11" item="19"/>
          <tpl fld="12" item="2"/>
          <tpl hier="44" item="2"/>
          <tpl fld="17" item="0"/>
        </tpls>
      </m>
      <m>
        <tpls c="3">
          <tpl fld="8" item="3"/>
          <tpl fld="4" item="0"/>
          <tpl fld="17" item="3"/>
        </tpls>
      </m>
      <n v="67621">
        <tpls c="7">
          <tpl fld="7" item="0"/>
          <tpl fld="16" item="11"/>
          <tpl fld="0" item="0"/>
          <tpl fld="11" item="42"/>
          <tpl fld="12" item="16"/>
          <tpl fld="1" item="1"/>
          <tpl fld="17" item="0"/>
        </tpls>
      </n>
      <n v="4331802">
        <tpls c="6">
          <tpl fld="6" item="2"/>
          <tpl hier="35" item="1"/>
          <tpl fld="11" item="6"/>
          <tpl fld="10" item="2"/>
          <tpl hier="44" item="2"/>
          <tpl fld="17" item="0"/>
        </tpls>
      </n>
      <n v="244864813">
        <tpls c="6">
          <tpl fld="3" item="0"/>
          <tpl hier="10" item="4294967295"/>
          <tpl hier="35" item="1"/>
          <tpl fld="12" item="9"/>
          <tpl hier="44" item="2"/>
          <tpl fld="17" item="0"/>
        </tpls>
      </n>
      <m>
        <tpls c="7">
          <tpl fld="3" item="1"/>
          <tpl fld="16" item="9"/>
          <tpl hier="35" item="0"/>
          <tpl fld="11" item="23"/>
          <tpl fld="12" item="11"/>
          <tpl hier="44" item="2"/>
          <tpl fld="17" item="0"/>
        </tpls>
      </m>
      <m>
        <tpls c="7">
          <tpl fld="3" item="0"/>
          <tpl fld="16" item="10"/>
          <tpl hier="35" item="1"/>
          <tpl fld="11" item="4"/>
          <tpl fld="12" item="1"/>
          <tpl hier="44" item="2"/>
          <tpl fld="17" item="0"/>
        </tpls>
      </m>
      <n v="325000">
        <tpls c="7">
          <tpl fld="3" item="0"/>
          <tpl fld="16" item="3"/>
          <tpl hier="35" item="1"/>
          <tpl fld="11" item="23"/>
          <tpl fld="12" item="11"/>
          <tpl hier="44" item="2"/>
          <tpl fld="17" item="0"/>
        </tpls>
      </n>
      <n v="72501">
        <tpls c="6">
          <tpl fld="6" item="1"/>
          <tpl hier="35" item="1"/>
          <tpl fld="11" item="50"/>
          <tpl fld="10" item="2"/>
          <tpl hier="44" item="2"/>
          <tpl fld="17" item="0"/>
        </tpls>
      </n>
      <m>
        <tpls c="7">
          <tpl fld="3" item="1"/>
          <tpl fld="16" item="9"/>
          <tpl hier="35" item="0"/>
          <tpl fld="11" item="0"/>
          <tpl fld="12" item="2"/>
          <tpl hier="44" item="2"/>
          <tpl fld="17" item="0"/>
        </tpls>
      </m>
      <n v="0">
        <tpls c="7">
          <tpl fld="7" item="0"/>
          <tpl fld="16" item="1"/>
          <tpl fld="0" item="0"/>
          <tpl fld="11" item="68"/>
          <tpl fld="12" item="17"/>
          <tpl fld="1" item="1"/>
          <tpl fld="17" item="0"/>
        </tpls>
      </n>
      <n v="300">
        <tpls c="7">
          <tpl fld="3" item="0"/>
          <tpl fld="16" item="9"/>
          <tpl hier="35" item="1"/>
          <tpl fld="11" item="1"/>
          <tpl fld="12" item="1"/>
          <tpl hier="44" item="2"/>
          <tpl fld="17" item="0"/>
        </tpls>
      </n>
      <m>
        <tpls c="7">
          <tpl fld="3" item="1"/>
          <tpl fld="16" item="2"/>
          <tpl hier="35" item="0"/>
          <tpl fld="11" item="8"/>
          <tpl fld="12" item="3"/>
          <tpl hier="44" item="2"/>
          <tpl fld="17" item="0"/>
        </tpls>
      </m>
      <n v="-392981">
        <tpls c="6">
          <tpl fld="7" item="0"/>
          <tpl fld="16" item="7"/>
          <tpl fld="0" item="0"/>
          <tpl fld="12" item="19"/>
          <tpl fld="1" item="1"/>
          <tpl fld="17" item="0"/>
        </tpls>
      </n>
      <m>
        <tpls c="7">
          <tpl fld="3" item="1"/>
          <tpl fld="16" item="11"/>
          <tpl hier="35" item="0"/>
          <tpl fld="11" item="36"/>
          <tpl fld="12" item="2"/>
          <tpl hier="44" item="2"/>
          <tpl fld="17" item="0"/>
        </tpls>
      </m>
      <m>
        <tpls c="7">
          <tpl fld="3" item="1"/>
          <tpl fld="16" item="7"/>
          <tpl hier="35" item="0"/>
          <tpl fld="11" item="34"/>
          <tpl fld="12" item="15"/>
          <tpl hier="44" item="2"/>
          <tpl fld="17" item="0"/>
        </tpls>
      </m>
      <n v="7163850">
        <tpls c="7">
          <tpl fld="7" item="0"/>
          <tpl fld="16" item="1"/>
          <tpl fld="0" item="0"/>
          <tpl fld="11" item="66"/>
          <tpl fld="12" item="13"/>
          <tpl fld="1" item="1"/>
          <tpl fld="17" item="0"/>
        </tpls>
      </n>
      <n v="7766386">
        <tpls c="6">
          <tpl fld="6" item="2"/>
          <tpl hier="35" item="1"/>
          <tpl fld="11" item="3"/>
          <tpl fld="10" item="0"/>
          <tpl hier="44" item="2"/>
          <tpl fld="17" item="0"/>
        </tpls>
      </n>
      <m>
        <tpls c="7">
          <tpl fld="3" item="1"/>
          <tpl fld="16" item="11"/>
          <tpl hier="35" item="0"/>
          <tpl fld="11" item="27"/>
          <tpl fld="12" item="3"/>
          <tpl hier="44" item="2"/>
          <tpl fld="17" item="0"/>
        </tpls>
      </m>
      <m>
        <tpls c="6">
          <tpl fld="3" item="1"/>
          <tpl fld="16" item="10"/>
          <tpl hier="35" item="0"/>
          <tpl fld="12" item="15"/>
          <tpl hier="44" item="2"/>
          <tpl fld="17" item="0"/>
        </tpls>
      </m>
      <n v="4137000">
        <tpls c="7">
          <tpl fld="3" item="0"/>
          <tpl hier="10" item="4294967295"/>
          <tpl hier="35" item="1"/>
          <tpl fld="11" item="27"/>
          <tpl fld="12" item="3"/>
          <tpl hier="44" item="2"/>
          <tpl fld="17" item="0"/>
        </tpls>
      </n>
      <m>
        <tpls c="7">
          <tpl fld="3" item="1"/>
          <tpl fld="16" item="2"/>
          <tpl hier="35" item="0"/>
          <tpl fld="11" item="49"/>
          <tpl fld="12" item="9"/>
          <tpl hier="44" item="2"/>
          <tpl fld="17" item="0"/>
        </tpls>
      </m>
      <m>
        <tpls c="7">
          <tpl fld="3" item="1"/>
          <tpl fld="16" item="11"/>
          <tpl hier="35" item="0"/>
          <tpl fld="11" item="35"/>
          <tpl fld="12" item="2"/>
          <tpl hier="44" item="2"/>
          <tpl fld="17" item="0"/>
        </tpls>
      </m>
      <n v="0">
        <tpls c="7">
          <tpl fld="7" item="0"/>
          <tpl fld="16" item="0"/>
          <tpl fld="0" item="0"/>
          <tpl fld="11" item="63"/>
          <tpl fld="12" item="13"/>
          <tpl fld="1" item="1"/>
          <tpl fld="17" item="0"/>
        </tpls>
      </n>
      <m>
        <tpls c="7">
          <tpl fld="3" item="1"/>
          <tpl fld="16" item="6"/>
          <tpl hier="35" item="0"/>
          <tpl fld="11" item="3"/>
          <tpl fld="12" item="2"/>
          <tpl hier="44" item="2"/>
          <tpl fld="17" item="0"/>
        </tpls>
      </m>
      <n v="0">
        <tpls c="5">
          <tpl fld="7" item="1"/>
          <tpl fld="0" item="2"/>
          <tpl fld="12" item="21"/>
          <tpl hier="44" item="2"/>
          <tpl fld="17" item="0"/>
        </tpls>
      </n>
      <n v="0">
        <tpls c="7">
          <tpl fld="7" item="0"/>
          <tpl fld="16" item="3"/>
          <tpl fld="0" item="0"/>
          <tpl fld="11" item="12"/>
          <tpl fld="12" item="6"/>
          <tpl fld="1" item="1"/>
          <tpl fld="17" item="0"/>
        </tpls>
      </n>
      <n v="0">
        <tpls c="5">
          <tpl fld="7" item="3"/>
          <tpl fld="0" item="2"/>
          <tpl fld="12" item="5"/>
          <tpl fld="1" item="1"/>
          <tpl fld="17" item="0"/>
        </tpls>
      </n>
      <n v="0">
        <tpls c="6">
          <tpl fld="7" item="0"/>
          <tpl hier="10" item="4294967295"/>
          <tpl fld="0" item="0"/>
          <tpl fld="12" item="22"/>
          <tpl fld="1" item="1"/>
          <tpl fld="17" item="0"/>
        </tpls>
      </n>
      <n v="0">
        <tpls c="7">
          <tpl fld="7" item="0"/>
          <tpl hier="10" item="4294967295"/>
          <tpl fld="0" item="0"/>
          <tpl fld="11" item="64"/>
          <tpl fld="12" item="22"/>
          <tpl fld="1" item="1"/>
          <tpl fld="17" item="0"/>
        </tpls>
      </n>
      <n v="59182121">
        <tpls c="5">
          <tpl fld="7" item="1"/>
          <tpl fld="0" item="2"/>
          <tpl fld="12" item="10"/>
          <tpl fld="1" item="1"/>
          <tpl fld="17" item="0"/>
        </tpls>
      </n>
      <n v="11800000">
        <tpls c="3">
          <tpl fld="5" item="3"/>
          <tpl fld="4" item="1"/>
          <tpl fld="17" item="3"/>
        </tpls>
      </n>
      <n v="0">
        <tpls c="7">
          <tpl fld="3" item="0"/>
          <tpl fld="16" item="9"/>
          <tpl hier="35" item="1"/>
          <tpl fld="11" item="9"/>
          <tpl fld="12" item="4"/>
          <tpl hier="44" item="2"/>
          <tpl fld="17" item="0"/>
        </tpls>
      </n>
      <n v="600">
        <tpls c="6">
          <tpl fld="3" item="0"/>
          <tpl fld="16" item="2"/>
          <tpl hier="35" item="1"/>
          <tpl fld="12" item="21"/>
          <tpl hier="44" item="2"/>
          <tpl fld="17" item="0"/>
        </tpls>
      </n>
      <n v="19639772">
        <tpls c="7">
          <tpl fld="3" item="0"/>
          <tpl fld="16" item="3"/>
          <tpl hier="35" item="1"/>
          <tpl fld="11" item="49"/>
          <tpl fld="12" item="9"/>
          <tpl hier="44" item="2"/>
          <tpl fld="17" item="0"/>
        </tpls>
      </n>
      <m>
        <tpls c="3">
          <tpl fld="2" item="15"/>
          <tpl fld="8" item="4"/>
          <tpl fld="17" item="3"/>
        </tpls>
      </m>
      <n v="-10066015">
        <tpls c="6">
          <tpl fld="7" item="0"/>
          <tpl fld="16" item="3"/>
          <tpl fld="0" item="0"/>
          <tpl fld="12" item="16"/>
          <tpl fld="1" item="1"/>
          <tpl fld="17" item="0"/>
        </tpls>
      </n>
      <n v="4509555">
        <tpls c="6">
          <tpl fld="6" item="3"/>
          <tpl hier="35" item="3"/>
          <tpl fld="11" item="8"/>
          <tpl fld="12" item="3"/>
          <tpl hier="44" item="2"/>
          <tpl fld="17" item="0"/>
        </tpls>
      </n>
      <m>
        <tpls c="7">
          <tpl fld="3" item="0"/>
          <tpl fld="16" item="0"/>
          <tpl hier="35" item="1"/>
          <tpl fld="11" item="7"/>
          <tpl fld="12" item="4"/>
          <tpl hier="44" item="2"/>
          <tpl fld="17" item="0"/>
        </tpls>
      </m>
      <n v="11991000">
        <tpls c="3">
          <tpl fld="5" item="6"/>
          <tpl fld="4" item="3"/>
          <tpl fld="17" item="3"/>
        </tpls>
      </n>
      <n v="0">
        <tpls c="7">
          <tpl fld="3" item="0"/>
          <tpl fld="16" item="1"/>
          <tpl hier="35" item="1"/>
          <tpl fld="11" item="48"/>
          <tpl fld="12" item="4"/>
          <tpl hier="44" item="2"/>
          <tpl fld="17" item="0"/>
        </tpls>
      </n>
      <n v="186">
        <tpls c="7">
          <tpl fld="3" item="0"/>
          <tpl fld="16" item="1"/>
          <tpl hier="35" item="1"/>
          <tpl fld="11" item="34"/>
          <tpl fld="12" item="15"/>
          <tpl hier="44" item="2"/>
          <tpl fld="17" item="0"/>
        </tpls>
      </n>
      <n v="21807">
        <tpls c="7">
          <tpl fld="3" item="0"/>
          <tpl fld="16" item="11"/>
          <tpl hier="35" item="1"/>
          <tpl fld="11" item="54"/>
          <tpl fld="12" item="4"/>
          <tpl hier="44" item="2"/>
          <tpl fld="17" item="0"/>
        </tpls>
      </n>
      <n v="325000">
        <tpls c="7">
          <tpl fld="3" item="0"/>
          <tpl fld="16" item="8"/>
          <tpl hier="35" item="1"/>
          <tpl fld="11" item="23"/>
          <tpl fld="12" item="11"/>
          <tpl hier="44" item="2"/>
          <tpl fld="17" item="0"/>
        </tpls>
      </n>
      <m>
        <tpls c="3">
          <tpl fld="5" item="2"/>
          <tpl fld="4" item="1"/>
          <tpl fld="17" item="3"/>
        </tpls>
      </m>
      <m>
        <tpls c="7">
          <tpl fld="7" item="0"/>
          <tpl fld="16" item="7"/>
          <tpl fld="0" item="0"/>
          <tpl fld="11" item="61"/>
          <tpl fld="12" item="7"/>
          <tpl fld="1" item="1"/>
          <tpl fld="17" item="0"/>
        </tpls>
      </m>
      <m>
        <tpls c="6">
          <tpl fld="3" item="1"/>
          <tpl fld="16" item="5"/>
          <tpl hier="35" item="0"/>
          <tpl fld="12" item="15"/>
          <tpl hier="44" item="2"/>
          <tpl fld="17" item="0"/>
        </tpls>
      </m>
      <n v="1377066">
        <tpls c="7">
          <tpl fld="3" item="0"/>
          <tpl fld="16" item="10"/>
          <tpl hier="35" item="1"/>
          <tpl fld="11" item="3"/>
          <tpl fld="12" item="2"/>
          <tpl hier="44" item="2"/>
          <tpl fld="17" item="0"/>
        </tpls>
      </n>
      <n v="2500000">
        <tpls c="3">
          <tpl fld="2" item="2"/>
          <tpl fld="8" item="3"/>
          <tpl fld="17" item="3"/>
        </tpls>
      </n>
      <n v="0">
        <tpls c="6">
          <tpl fld="7" item="1"/>
          <tpl fld="0" item="2"/>
          <tpl fld="11" item="69"/>
          <tpl fld="12" item="7"/>
          <tpl fld="1" item="1"/>
          <tpl fld="17" item="0"/>
        </tpls>
      </n>
      <m>
        <tpls c="7">
          <tpl fld="3" item="1"/>
          <tpl hier="10" item="4294967295"/>
          <tpl hier="35" item="0"/>
          <tpl fld="11" item="19"/>
          <tpl fld="12" item="2"/>
          <tpl hier="44" item="2"/>
          <tpl fld="17" item="0"/>
        </tpls>
      </m>
      <n v="174994716">
        <tpls c="6">
          <tpl fld="7" item="0"/>
          <tpl fld="0" item="0"/>
          <tpl fld="11" item="3"/>
          <tpl fld="10" item="0"/>
          <tpl hier="44" item="2"/>
          <tpl fld="17" item="0"/>
        </tpls>
      </n>
      <n v="185992935">
        <tpls c="6">
          <tpl fld="7" item="2"/>
          <tpl fld="0" item="1"/>
          <tpl fld="11" item="3"/>
          <tpl fld="10" item="0"/>
          <tpl hier="44" item="2"/>
          <tpl fld="17" item="0"/>
        </tpls>
      </n>
      <n v="0">
        <tpls c="7">
          <tpl fld="7" item="0"/>
          <tpl fld="16" item="3"/>
          <tpl fld="0" item="0"/>
          <tpl fld="11" item="29"/>
          <tpl fld="12" item="8"/>
          <tpl fld="1" item="1"/>
          <tpl fld="17" item="0"/>
        </tpls>
      </n>
      <n v="600">
        <tpls c="6">
          <tpl fld="3" item="0"/>
          <tpl fld="16" item="7"/>
          <tpl hier="35" item="1"/>
          <tpl fld="12" item="21"/>
          <tpl hier="44" item="2"/>
          <tpl fld="17" item="0"/>
        </tpls>
      </n>
      <n v="12669250">
        <tpls c="3">
          <tpl fld="8" item="11"/>
          <tpl hier="22" item="4294967295"/>
          <tpl fld="17" item="3"/>
        </tpls>
      </n>
      <m>
        <tpls c="7">
          <tpl fld="3" item="1"/>
          <tpl fld="16" item="9"/>
          <tpl hier="35" item="0"/>
          <tpl fld="11" item="11"/>
          <tpl fld="12" item="2"/>
          <tpl hier="44" item="2"/>
          <tpl fld="17" item="0"/>
        </tpls>
      </m>
      <m>
        <tpls c="3">
          <tpl fld="5" item="9"/>
          <tpl fld="4" item="3"/>
          <tpl fld="17" item="3"/>
        </tpls>
      </m>
      <m>
        <tpls c="7">
          <tpl fld="3" item="1"/>
          <tpl fld="16" item="6"/>
          <tpl hier="35" item="0"/>
          <tpl fld="11" item="11"/>
          <tpl fld="12" item="2"/>
          <tpl hier="44" item="2"/>
          <tpl fld="17" item="0"/>
        </tpls>
      </m>
      <n v="0">
        <tpls c="7">
          <tpl fld="7" item="0"/>
          <tpl fld="16" item="3"/>
          <tpl fld="0" item="0"/>
          <tpl fld="11" item="63"/>
          <tpl fld="12" item="13"/>
          <tpl fld="1" item="1"/>
          <tpl fld="17" item="0"/>
        </tpls>
      </n>
      <m>
        <tpls c="3">
          <tpl fld="2" item="7"/>
          <tpl fld="8" item="10"/>
          <tpl fld="17" item="3"/>
        </tpls>
      </m>
      <n v="0">
        <tpls c="7">
          <tpl fld="7" item="0"/>
          <tpl fld="16" item="5"/>
          <tpl fld="0" item="0"/>
          <tpl fld="11" item="53"/>
          <tpl fld="12" item="14"/>
          <tpl fld="1" item="1"/>
          <tpl fld="17" item="0"/>
        </tpls>
      </n>
      <n v="2446228">
        <tpls c="6">
          <tpl fld="7" item="1"/>
          <tpl fld="0" item="2"/>
          <tpl fld="11" item="27"/>
          <tpl fld="10" item="2"/>
          <tpl hier="44" item="2"/>
          <tpl fld="17" item="0"/>
        </tpls>
      </n>
      <m>
        <tpls c="7">
          <tpl fld="3" item="1"/>
          <tpl fld="16" item="1"/>
          <tpl hier="35" item="0"/>
          <tpl fld="11" item="22"/>
          <tpl fld="12" item="4"/>
          <tpl hier="44" item="2"/>
          <tpl fld="17" item="0"/>
        </tpls>
      </m>
      <n v="236000">
        <tpls c="3">
          <tpl fld="5" item="7"/>
          <tpl fld="4" item="1"/>
          <tpl fld="17" item="3"/>
        </tpls>
      </n>
      <n v="0">
        <tpls c="6">
          <tpl fld="7" item="0"/>
          <tpl fld="16" item="1"/>
          <tpl fld="0" item="0"/>
          <tpl fld="12" item="14"/>
          <tpl fld="1" item="1"/>
          <tpl fld="17" item="0"/>
        </tpls>
      </n>
      <n v="2572820">
        <tpls c="7">
          <tpl fld="3" item="0"/>
          <tpl fld="16" item="6"/>
          <tpl hier="35" item="1"/>
          <tpl fld="11" item="35"/>
          <tpl fld="12" item="2"/>
          <tpl hier="44" item="2"/>
          <tpl fld="17" item="0"/>
        </tpls>
      </n>
      <n v="23095106">
        <tpls c="5">
          <tpl fld="7" item="3"/>
          <tpl fld="0" item="2"/>
          <tpl fld="12" item="7"/>
          <tpl fld="1" item="1"/>
          <tpl fld="17" item="0"/>
        </tpls>
      </n>
      <n v="129650">
        <tpls c="7">
          <tpl fld="3" item="0"/>
          <tpl fld="16" item="2"/>
          <tpl hier="35" item="1"/>
          <tpl fld="11" item="41"/>
          <tpl fld="12" item="2"/>
          <tpl hier="44" item="2"/>
          <tpl fld="17" item="0"/>
        </tpls>
      </n>
      <m>
        <tpls c="7">
          <tpl fld="3" item="1"/>
          <tpl fld="16" item="3"/>
          <tpl hier="35" item="0"/>
          <tpl fld="11" item="35"/>
          <tpl fld="12" item="2"/>
          <tpl hier="44" item="2"/>
          <tpl fld="17" item="0"/>
        </tpls>
      </m>
      <n v="12">
        <tpls c="7">
          <tpl fld="3" item="0"/>
          <tpl fld="16" item="5"/>
          <tpl hier="35" item="1"/>
          <tpl fld="11" item="30"/>
          <tpl fld="12" item="15"/>
          <tpl hier="44" item="2"/>
          <tpl fld="17" item="0"/>
        </tpls>
      </n>
      <m>
        <tpls c="3">
          <tpl fld="5" item="3"/>
          <tpl fld="4" item="3"/>
          <tpl fld="17" item="3"/>
        </tpls>
      </m>
      <n v="127534">
        <tpls c="7">
          <tpl fld="3" item="0"/>
          <tpl fld="16" item="3"/>
          <tpl hier="35" item="1"/>
          <tpl fld="11" item="54"/>
          <tpl fld="12" item="4"/>
          <tpl hier="44" item="2"/>
          <tpl fld="17" item="0"/>
        </tpls>
      </n>
      <n v="914250">
        <tpls c="6">
          <tpl fld="6" item="3"/>
          <tpl hier="35" item="1"/>
          <tpl fld="11" item="27"/>
          <tpl fld="10" item="2"/>
          <tpl hier="44" item="2"/>
          <tpl fld="17" item="0"/>
        </tpls>
      </n>
      <n v="0">
        <tpls c="6">
          <tpl fld="7" item="0"/>
          <tpl fld="16" item="8"/>
          <tpl fld="0" item="0"/>
          <tpl fld="12" item="12"/>
          <tpl fld="1" item="1"/>
          <tpl fld="17" item="0"/>
        </tpls>
      </n>
      <n v="2763">
        <tpls c="6">
          <tpl fld="7" item="1"/>
          <tpl fld="0" item="2"/>
          <tpl fld="11" item="51"/>
          <tpl fld="12" item="7"/>
          <tpl fld="1" item="1"/>
          <tpl fld="17" item="0"/>
        </tpls>
      </n>
      <n v="16885">
        <tpls c="6">
          <tpl fld="7" item="1"/>
          <tpl fld="0" item="2"/>
          <tpl fld="11" item="54"/>
          <tpl fld="12" item="4"/>
          <tpl hier="44" item="2"/>
          <tpl fld="17" item="0"/>
        </tpls>
      </n>
      <m>
        <tpls c="7">
          <tpl fld="3" item="1"/>
          <tpl fld="16" item="3"/>
          <tpl hier="35" item="0"/>
          <tpl fld="11" item="39"/>
          <tpl fld="12" item="3"/>
          <tpl hier="44" item="2"/>
          <tpl fld="17" item="0"/>
        </tpls>
      </m>
      <n v="244864813">
        <tpls c="7">
          <tpl fld="3" item="0"/>
          <tpl hier="10" item="4294967295"/>
          <tpl hier="35" item="1"/>
          <tpl fld="11" item="49"/>
          <tpl fld="12" item="9"/>
          <tpl hier="44" item="2"/>
          <tpl fld="17" item="0"/>
        </tpls>
      </n>
      <n v="55744">
        <tpls c="6">
          <tpl fld="7" item="1"/>
          <tpl fld="0" item="2"/>
          <tpl fld="11" item="32"/>
          <tpl fld="12" item="2"/>
          <tpl hier="44" item="2"/>
          <tpl fld="17" item="0"/>
        </tpls>
      </n>
      <n v="104167">
        <tpls c="7">
          <tpl fld="3" item="0"/>
          <tpl fld="16" item="3"/>
          <tpl hier="35" item="1"/>
          <tpl fld="11" item="43"/>
          <tpl fld="12" item="3"/>
          <tpl hier="44" item="2"/>
          <tpl fld="17" item="0"/>
        </tpls>
      </n>
      <n v="0">
        <tpls c="7">
          <tpl fld="7" item="0"/>
          <tpl fld="16" item="0"/>
          <tpl fld="0" item="0"/>
          <tpl fld="11" item="52"/>
          <tpl fld="12" item="20"/>
          <tpl fld="1" item="1"/>
          <tpl fld="17" item="0"/>
        </tpls>
      </n>
      <n v="86324">
        <tpls c="7">
          <tpl fld="3" item="0"/>
          <tpl fld="16" item="10"/>
          <tpl hier="35" item="1"/>
          <tpl fld="11" item="41"/>
          <tpl fld="12" item="2"/>
          <tpl hier="44" item="2"/>
          <tpl fld="17" item="0"/>
        </tpls>
      </n>
      <m>
        <tpls c="7">
          <tpl fld="3" item="0"/>
          <tpl fld="16" item="3"/>
          <tpl hier="35" item="1"/>
          <tpl fld="11" item="7"/>
          <tpl fld="12" item="4"/>
          <tpl hier="44" item="2"/>
          <tpl fld="17" item="0"/>
        </tpls>
      </m>
      <m>
        <tpls c="3">
          <tpl fld="2" item="6"/>
          <tpl fld="8" item="2"/>
          <tpl fld="17" item="3"/>
        </tpls>
      </m>
      <m>
        <tpls c="7">
          <tpl fld="3" item="1"/>
          <tpl fld="16" item="0"/>
          <tpl hier="35" item="0"/>
          <tpl fld="11" item="43"/>
          <tpl fld="12" item="3"/>
          <tpl hier="44" item="2"/>
          <tpl fld="17" item="0"/>
        </tpls>
      </m>
      <n v="-392981">
        <tpls c="7">
          <tpl fld="7" item="0"/>
          <tpl fld="16" item="9"/>
          <tpl fld="0" item="0"/>
          <tpl fld="11" item="58"/>
          <tpl fld="12" item="19"/>
          <tpl fld="1" item="1"/>
          <tpl fld="17" item="0"/>
        </tpls>
      </n>
      <m>
        <tpls c="7">
          <tpl fld="3" item="1"/>
          <tpl fld="16" item="7"/>
          <tpl hier="35" item="0"/>
          <tpl fld="11" item="27"/>
          <tpl fld="12" item="3"/>
          <tpl hier="44" item="2"/>
          <tpl fld="17" item="0"/>
        </tpls>
      </m>
      <n v="7537110">
        <tpls c="6">
          <tpl fld="6" item="1"/>
          <tpl hier="35" item="1"/>
          <tpl fld="11" item="35"/>
          <tpl fld="10" item="0"/>
          <tpl hier="44" item="2"/>
          <tpl fld="17" item="0"/>
        </tpls>
      </n>
      <n v="-392981">
        <tpls c="6">
          <tpl fld="7" item="0"/>
          <tpl fld="16" item="8"/>
          <tpl fld="0" item="0"/>
          <tpl fld="12" item="19"/>
          <tpl fld="1" item="1"/>
          <tpl fld="17" item="0"/>
        </tpls>
      </n>
      <n v="0">
        <tpls c="7">
          <tpl fld="7" item="0"/>
          <tpl fld="16" item="9"/>
          <tpl fld="0" item="0"/>
          <tpl fld="11" item="52"/>
          <tpl fld="12" item="20"/>
          <tpl fld="1" item="1"/>
          <tpl fld="17" item="0"/>
        </tpls>
      </n>
      <n v="0">
        <tpls c="6">
          <tpl fld="7" item="0"/>
          <tpl fld="16" item="8"/>
          <tpl fld="0" item="0"/>
          <tpl fld="12" item="6"/>
          <tpl fld="1" item="1"/>
          <tpl fld="17" item="0"/>
        </tpls>
      </n>
      <n v="9180077">
        <tpls c="6">
          <tpl fld="6" item="0"/>
          <tpl hier="35" item="1"/>
          <tpl fld="11" item="2"/>
          <tpl fld="10" item="0"/>
          <tpl hier="44" item="2"/>
          <tpl fld="17" item="0"/>
        </tpls>
      </n>
      <m>
        <tpls c="3">
          <tpl fld="2" item="7"/>
          <tpl fld="8" item="9"/>
          <tpl fld="17" item="3"/>
        </tpls>
      </m>
      <m>
        <tpls c="3">
          <tpl fld="2" item="2"/>
          <tpl fld="8" item="11"/>
          <tpl fld="17" item="3"/>
        </tpls>
      </m>
      <n v="0">
        <tpls c="7">
          <tpl fld="3" item="0"/>
          <tpl fld="16" item="9"/>
          <tpl hier="35" item="1"/>
          <tpl fld="11" item="32"/>
          <tpl fld="12" item="2"/>
          <tpl hier="44" item="2"/>
          <tpl fld="17" item="0"/>
        </tpls>
      </n>
      <n v="104167">
        <tpls c="7">
          <tpl fld="3" item="0"/>
          <tpl fld="16" item="0"/>
          <tpl hier="35" item="1"/>
          <tpl fld="11" item="43"/>
          <tpl fld="12" item="3"/>
          <tpl hier="44" item="2"/>
          <tpl fld="17" item="0"/>
        </tpls>
      </n>
      <n v="33367">
        <tpls c="7">
          <tpl fld="3" item="0"/>
          <tpl fld="16" item="5"/>
          <tpl hier="35" item="1"/>
          <tpl fld="11" item="17"/>
          <tpl fld="12" item="3"/>
          <tpl hier="44" item="2"/>
          <tpl fld="17" item="0"/>
        </tpls>
      </n>
      <m>
        <tpls c="3">
          <tpl fld="2" item="21"/>
          <tpl fld="8" item="0"/>
          <tpl fld="17" item="3"/>
        </tpls>
      </m>
      <m>
        <tpls c="3">
          <tpl fld="5" item="8"/>
          <tpl fld="4" item="3"/>
          <tpl fld="17" item="3"/>
        </tpls>
      </m>
      <n v="86277800">
        <tpls c="6">
          <tpl fld="7" item="0"/>
          <tpl hier="10" item="4294967295"/>
          <tpl fld="0" item="0"/>
          <tpl fld="12" item="12"/>
          <tpl fld="1" item="1"/>
          <tpl fld="17" item="0"/>
        </tpls>
      </n>
      <n v="0">
        <tpls c="6">
          <tpl fld="7" item="1"/>
          <tpl fld="0" item="2"/>
          <tpl fld="11" item="52"/>
          <tpl fld="12" item="20"/>
          <tpl fld="1" item="1"/>
          <tpl fld="17" item="0"/>
        </tpls>
      </n>
      <n v="7768934">
        <tpls c="6">
          <tpl fld="6" item="1"/>
          <tpl hier="35" item="3"/>
          <tpl fld="11" item="3"/>
          <tpl fld="12" item="2"/>
          <tpl hier="44" item="2"/>
          <tpl fld="17" item="0"/>
        </tpls>
      </n>
      <n v="22077767">
        <tpls c="6">
          <tpl fld="3" item="0"/>
          <tpl fld="16" item="11"/>
          <tpl hier="35" item="1"/>
          <tpl fld="12" item="2"/>
          <tpl hier="44" item="2"/>
          <tpl fld="17" item="0"/>
        </tpls>
      </n>
      <n v="0">
        <tpls c="7">
          <tpl fld="3" item="0"/>
          <tpl fld="16" item="7"/>
          <tpl hier="35" item="1"/>
          <tpl fld="11" item="9"/>
          <tpl fld="12" item="4"/>
          <tpl hier="44" item="2"/>
          <tpl fld="17" item="0"/>
        </tpls>
      </n>
      <m>
        <tpls c="7">
          <tpl fld="3" item="0"/>
          <tpl fld="16" item="10"/>
          <tpl hier="35" item="1"/>
          <tpl fld="11" item="7"/>
          <tpl fld="12" item="4"/>
          <tpl hier="44" item="2"/>
          <tpl fld="17" item="0"/>
        </tpls>
      </m>
      <n v="0">
        <tpls c="7">
          <tpl fld="3" item="0"/>
          <tpl fld="16" item="3"/>
          <tpl hier="35" item="1"/>
          <tpl fld="11" item="0"/>
          <tpl fld="12" item="2"/>
          <tpl hier="44" item="2"/>
          <tpl fld="17" item="0"/>
        </tpls>
      </n>
      <n v="0">
        <tpls c="7">
          <tpl fld="7" item="0"/>
          <tpl fld="16" item="3"/>
          <tpl fld="0" item="0"/>
          <tpl fld="11" item="69"/>
          <tpl fld="12" item="7"/>
          <tpl fld="1" item="1"/>
          <tpl fld="17" item="0"/>
        </tpls>
      </n>
      <n v="-477952">
        <tpls c="7">
          <tpl fld="7" item="0"/>
          <tpl fld="16" item="1"/>
          <tpl fld="0" item="0"/>
          <tpl fld="11" item="55"/>
          <tpl fld="12" item="13"/>
          <tpl fld="1" item="1"/>
          <tpl fld="17" item="0"/>
        </tpls>
      </n>
      <n v="-1545322">
        <tpls c="6">
          <tpl fld="7" item="0"/>
          <tpl fld="16" item="11"/>
          <tpl fld="0" item="0"/>
          <tpl fld="12" item="10"/>
          <tpl fld="1" item="1"/>
          <tpl fld="17" item="0"/>
        </tpls>
      </n>
      <n v="230861452">
        <tpls c="6">
          <tpl fld="7" item="1"/>
          <tpl fld="0" item="2"/>
          <tpl fld="11" item="49"/>
          <tpl fld="12" item="9"/>
          <tpl hier="44" item="2"/>
          <tpl fld="17" item="0"/>
        </tpls>
      </n>
      <m>
        <tpls c="7">
          <tpl fld="3" item="1"/>
          <tpl fld="16" item="7"/>
          <tpl hier="35" item="0"/>
          <tpl fld="11" item="31"/>
          <tpl fld="12" item="3"/>
          <tpl hier="44" item="2"/>
          <tpl fld="17" item="0"/>
        </tpls>
      </m>
      <n v="162246329">
        <tpls c="6">
          <tpl fld="6" item="3"/>
          <tpl hier="35" item="1"/>
          <tpl fld="11" item="3"/>
          <tpl fld="10" item="0"/>
          <tpl hier="44" item="2"/>
          <tpl fld="17" item="0"/>
        </tpls>
      </n>
      <n v="10048417">
        <tpls c="6">
          <tpl fld="7" item="1"/>
          <tpl fld="0" item="2"/>
          <tpl fld="11" item="45"/>
          <tpl fld="12" item="7"/>
          <tpl fld="1" item="1"/>
          <tpl fld="17" item="0"/>
        </tpls>
      </n>
      <m>
        <tpls c="3">
          <tpl fld="2" item="20"/>
          <tpl fld="8" item="4"/>
          <tpl fld="17" item="3"/>
        </tpls>
      </m>
      <n v="287">
        <tpls c="6">
          <tpl fld="3" item="0"/>
          <tpl fld="16" item="10"/>
          <tpl hier="35" item="1"/>
          <tpl fld="12" item="15"/>
          <tpl hier="44" item="2"/>
          <tpl fld="17" item="0"/>
        </tpls>
      </n>
      <n v="1402964">
        <tpls c="7">
          <tpl fld="3" item="0"/>
          <tpl fld="16" item="5"/>
          <tpl hier="35" item="1"/>
          <tpl fld="11" item="20"/>
          <tpl fld="12" item="2"/>
          <tpl hier="44" item="2"/>
          <tpl fld="17" item="0"/>
        </tpls>
      </n>
      <n v="-2058753">
        <tpls c="6">
          <tpl fld="7" item="0"/>
          <tpl fld="16" item="5"/>
          <tpl fld="0" item="0"/>
          <tpl fld="12" item="7"/>
          <tpl fld="1" item="1"/>
          <tpl fld="17" item="0"/>
        </tpls>
      </n>
      <m>
        <tpls c="7">
          <tpl fld="3" item="1"/>
          <tpl hier="10" item="4294967295"/>
          <tpl hier="35" item="0"/>
          <tpl fld="11" item="31"/>
          <tpl fld="12" item="3"/>
          <tpl hier="44" item="2"/>
          <tpl fld="17" item="0"/>
        </tpls>
      </m>
      <n v="532">
        <tpls c="7">
          <tpl fld="3" item="0"/>
          <tpl fld="16" item="5"/>
          <tpl hier="35" item="1"/>
          <tpl fld="11" item="25"/>
          <tpl fld="12" item="2"/>
          <tpl hier="44" item="2"/>
          <tpl fld="17" item="0"/>
        </tpls>
      </n>
      <n v="115955">
        <tpls c="6">
          <tpl fld="7" item="0"/>
          <tpl fld="16" item="8"/>
          <tpl fld="0" item="0"/>
          <tpl fld="12" item="7"/>
          <tpl fld="1" item="1"/>
          <tpl fld="17" item="0"/>
        </tpls>
      </n>
      <n v="173">
        <tpls c="7">
          <tpl fld="3" item="0"/>
          <tpl fld="16" item="9"/>
          <tpl hier="35" item="1"/>
          <tpl fld="11" item="34"/>
          <tpl fld="12" item="15"/>
          <tpl hier="44" item="2"/>
          <tpl fld="17" item="0"/>
        </tpls>
      </n>
      <m>
        <tpls c="7">
          <tpl fld="3" item="1"/>
          <tpl fld="16" item="9"/>
          <tpl hier="35" item="0"/>
          <tpl fld="11" item="8"/>
          <tpl fld="12" item="3"/>
          <tpl hier="44" item="2"/>
          <tpl fld="17" item="0"/>
        </tpls>
      </m>
      <n v="11800000">
        <tpls c="3">
          <tpl fld="2" item="1"/>
          <tpl fld="8" item="4"/>
          <tpl fld="17" item="3"/>
        </tpls>
      </n>
      <m>
        <tpls c="3">
          <tpl fld="2" item="6"/>
          <tpl fld="8" item="0"/>
          <tpl fld="17" item="3"/>
        </tpls>
      </m>
      <m>
        <tpls c="6">
          <tpl fld="3" item="1"/>
          <tpl fld="16" item="0"/>
          <tpl hier="35" item="0"/>
          <tpl fld="12" item="21"/>
          <tpl hier="44" item="2"/>
          <tpl fld="17" item="0"/>
        </tpls>
      </m>
      <n v="150">
        <tpls c="7">
          <tpl fld="3" item="0"/>
          <tpl fld="16" item="10"/>
          <tpl hier="35" item="1"/>
          <tpl fld="11" item="34"/>
          <tpl fld="12" item="15"/>
          <tpl hier="44" item="2"/>
          <tpl fld="17" item="0"/>
        </tpls>
      </n>
      <n v="603100">
        <tpls c="7">
          <tpl fld="3" item="0"/>
          <tpl fld="16" item="9"/>
          <tpl hier="35" item="1"/>
          <tpl fld="11" item="10"/>
          <tpl fld="12" item="3"/>
          <tpl hier="44" item="2"/>
          <tpl fld="17" item="0"/>
        </tpls>
      </n>
      <m>
        <tpls c="7">
          <tpl fld="3" item="1"/>
          <tpl fld="16" item="1"/>
          <tpl hier="35" item="0"/>
          <tpl fld="11" item="54"/>
          <tpl fld="12" item="4"/>
          <tpl hier="44" item="2"/>
          <tpl fld="17" item="0"/>
        </tpls>
      </m>
      <n v="33366">
        <tpls c="7">
          <tpl fld="3" item="0"/>
          <tpl fld="16" item="6"/>
          <tpl hier="35" item="1"/>
          <tpl fld="11" item="17"/>
          <tpl fld="12" item="3"/>
          <tpl hier="44" item="2"/>
          <tpl fld="17" item="0"/>
        </tpls>
      </n>
      <m>
        <tpls c="7">
          <tpl fld="3" item="1"/>
          <tpl fld="16" item="0"/>
          <tpl hier="35" item="0"/>
          <tpl fld="11" item="22"/>
          <tpl fld="12" item="4"/>
          <tpl hier="44" item="2"/>
          <tpl fld="17" item="0"/>
        </tpls>
      </m>
      <n v="450000">
        <tpls c="7">
          <tpl fld="3" item="0"/>
          <tpl fld="16" item="9"/>
          <tpl hier="35" item="1"/>
          <tpl fld="11" item="23"/>
          <tpl fld="12" item="11"/>
          <tpl hier="44" item="2"/>
          <tpl fld="17" item="0"/>
        </tpls>
      </n>
      <n v="36413">
        <tpls c="6">
          <tpl fld="7" item="1"/>
          <tpl fld="0" item="2"/>
          <tpl fld="11" item="25"/>
          <tpl fld="12" item="2"/>
          <tpl hier="44" item="2"/>
          <tpl fld="17" item="0"/>
        </tpls>
      </n>
      <n v="281344">
        <tpls c="6">
          <tpl fld="7" item="1"/>
          <tpl fld="0" item="2"/>
          <tpl fld="11" item="31"/>
          <tpl fld="10" item="2"/>
          <tpl hier="44" item="2"/>
          <tpl fld="17" item="0"/>
        </tpls>
      </n>
      <n v="159668">
        <tpls c="6">
          <tpl fld="6" item="1"/>
          <tpl hier="35" item="1"/>
          <tpl fld="11" item="54"/>
          <tpl fld="10" item="1"/>
          <tpl hier="44" item="2"/>
          <tpl fld="17" item="0"/>
        </tpls>
      </n>
      <n v="-1528">
        <tpls c="7">
          <tpl fld="7" item="0"/>
          <tpl fld="16" item="7"/>
          <tpl fld="0" item="0"/>
          <tpl fld="11" item="71"/>
          <tpl fld="12" item="13"/>
          <tpl fld="1" item="1"/>
          <tpl fld="17" item="0"/>
        </tpls>
      </n>
      <n v="1427667">
        <tpls c="7">
          <tpl fld="3" item="0"/>
          <tpl fld="16" item="5"/>
          <tpl hier="35" item="1"/>
          <tpl fld="11" item="33"/>
          <tpl fld="12" item="3"/>
          <tpl hier="44" item="2"/>
          <tpl fld="17" item="0"/>
        </tpls>
      </n>
      <n v="461000">
        <tpls c="7">
          <tpl fld="3" item="0"/>
          <tpl fld="16" item="9"/>
          <tpl hier="35" item="1"/>
          <tpl fld="11" item="16"/>
          <tpl fld="12" item="3"/>
          <tpl hier="44" item="2"/>
          <tpl fld="17" item="0"/>
        </tpls>
      </n>
      <n v="292646501">
        <tpls c="6">
          <tpl fld="7" item="0"/>
          <tpl hier="10" item="4294967295"/>
          <tpl fld="0" item="0"/>
          <tpl fld="12" item="8"/>
          <tpl fld="1" item="1"/>
          <tpl fld="17" item="0"/>
        </tpls>
      </n>
      <n v="218751">
        <tpls c="6">
          <tpl fld="6" item="3"/>
          <tpl hier="35" item="1"/>
          <tpl fld="11" item="14"/>
          <tpl fld="10" item="2"/>
          <tpl hier="44" item="2"/>
          <tpl fld="17" item="0"/>
        </tpls>
      </n>
      <n v="572586">
        <tpls c="6">
          <tpl fld="7" item="1"/>
          <tpl fld="0" item="2"/>
          <tpl fld="11" item="17"/>
          <tpl fld="10" item="2"/>
          <tpl hier="44" item="2"/>
          <tpl fld="17" item="0"/>
        </tpls>
      </n>
      <n v="97750">
        <tpls c="7">
          <tpl fld="3" item="0"/>
          <tpl fld="16" item="2"/>
          <tpl hier="35" item="1"/>
          <tpl fld="11" item="39"/>
          <tpl fld="12" item="3"/>
          <tpl hier="44" item="2"/>
          <tpl fld="17" item="0"/>
        </tpls>
      </n>
      <m>
        <tpls c="3">
          <tpl fld="2" item="9"/>
          <tpl fld="8" item="10"/>
          <tpl fld="17" item="3"/>
        </tpls>
      </m>
      <m>
        <tpls c="3">
          <tpl fld="5" item="4"/>
          <tpl fld="4" item="0"/>
          <tpl fld="17" item="3"/>
        </tpls>
      </m>
      <n v="-730282">
        <tpls c="7">
          <tpl fld="7" item="0"/>
          <tpl fld="16" item="9"/>
          <tpl fld="0" item="0"/>
          <tpl fld="11" item="45"/>
          <tpl fld="12" item="7"/>
          <tpl fld="1" item="1"/>
          <tpl fld="17" item="0"/>
        </tpls>
      </n>
      <n v="21775129">
        <tpls c="6">
          <tpl fld="7" item="3"/>
          <tpl fld="0" item="2"/>
          <tpl fld="11" item="47"/>
          <tpl fld="12" item="10"/>
          <tpl fld="1" item="1"/>
          <tpl fld="17" item="0"/>
        </tpls>
      </n>
      <m>
        <tpls c="6">
          <tpl fld="7" item="1"/>
          <tpl fld="0" item="2"/>
          <tpl fld="11" item="4"/>
          <tpl fld="12" item="1"/>
          <tpl hier="44" item="2"/>
          <tpl fld="17" item="0"/>
        </tpls>
      </m>
      <m>
        <tpls c="6">
          <tpl fld="3" item="1"/>
          <tpl fld="16" item="3"/>
          <tpl hier="35" item="0"/>
          <tpl fld="12" item="15"/>
          <tpl hier="44" item="2"/>
          <tpl fld="17" item="0"/>
        </tpls>
      </m>
      <n v="54892">
        <tpls c="7">
          <tpl fld="7" item="0"/>
          <tpl fld="16" item="8"/>
          <tpl fld="0" item="0"/>
          <tpl fld="11" item="51"/>
          <tpl fld="12" item="7"/>
          <tpl fld="1" item="1"/>
          <tpl fld="17" item="0"/>
        </tpls>
      </n>
      <m>
        <tpls c="3">
          <tpl fld="2" item="21"/>
          <tpl fld="8" item="2"/>
          <tpl fld="17" item="3"/>
        </tpls>
      </m>
      <n v="97750">
        <tpls c="7">
          <tpl fld="3" item="0"/>
          <tpl fld="16" item="8"/>
          <tpl hier="35" item="1"/>
          <tpl fld="11" item="39"/>
          <tpl fld="12" item="3"/>
          <tpl hier="44" item="2"/>
          <tpl fld="17" item="0"/>
        </tpls>
      </n>
      <n v="877000">
        <tpls c="3">
          <tpl fld="5" item="1"/>
          <tpl fld="4" item="1"/>
          <tpl fld="17" item="3"/>
        </tpls>
      </n>
      <n v="24167">
        <tpls c="7">
          <tpl fld="3" item="0"/>
          <tpl fld="16" item="1"/>
          <tpl hier="35" item="1"/>
          <tpl fld="11" item="50"/>
          <tpl fld="12" item="11"/>
          <tpl hier="44" item="2"/>
          <tpl fld="17" item="0"/>
        </tpls>
      </n>
      <m>
        <tpls c="3">
          <tpl fld="2" item="11"/>
          <tpl fld="8" item="8"/>
          <tpl fld="17" item="3"/>
        </tpls>
      </m>
      <n v="0">
        <tpls c="7">
          <tpl fld="7" item="0"/>
          <tpl fld="16" item="2"/>
          <tpl fld="0" item="0"/>
          <tpl fld="11" item="52"/>
          <tpl fld="12" item="20"/>
          <tpl fld="1" item="1"/>
          <tpl fld="17" item="0"/>
        </tpls>
      </n>
      <n v="4715772">
        <tpls c="6">
          <tpl fld="7" item="1"/>
          <tpl fld="0" item="2"/>
          <tpl fld="11" item="22"/>
          <tpl fld="12" item="4"/>
          <tpl hier="44" item="2"/>
          <tpl fld="17" item="0"/>
        </tpls>
      </n>
      <n v="30000">
        <tpls c="7">
          <tpl fld="3" item="0"/>
          <tpl fld="16" item="11"/>
          <tpl hier="35" item="1"/>
          <tpl fld="11" item="31"/>
          <tpl fld="12" item="3"/>
          <tpl hier="44" item="2"/>
          <tpl fld="17" item="0"/>
        </tpls>
      </n>
      <n v="8250">
        <tpls c="6">
          <tpl fld="6" item="3"/>
          <tpl hier="35" item="1"/>
          <tpl fld="11" item="38"/>
          <tpl fld="10" item="2"/>
          <tpl hier="44" item="2"/>
          <tpl fld="17" item="0"/>
        </tpls>
      </n>
      <m>
        <tpls c="7">
          <tpl fld="3" item="1"/>
          <tpl fld="16" item="8"/>
          <tpl hier="35" item="0"/>
          <tpl fld="11" item="22"/>
          <tpl fld="12" item="4"/>
          <tpl hier="44" item="2"/>
          <tpl fld="17" item="0"/>
        </tpls>
      </m>
      <n v="6424134">
        <tpls c="6">
          <tpl fld="6" item="2"/>
          <tpl hier="35" item="1"/>
          <tpl fld="11" item="2"/>
          <tpl fld="10" item="0"/>
          <tpl hier="44" item="2"/>
          <tpl fld="17" item="0"/>
        </tpls>
      </n>
      <m>
        <tpls c="3">
          <tpl fld="8" item="6"/>
          <tpl fld="4" item="2"/>
          <tpl fld="17" item="3"/>
        </tpls>
      </m>
      <n v="0">
        <tpls c="6">
          <tpl fld="6" item="3"/>
          <tpl hier="35" item="1"/>
          <tpl fld="11" item="0"/>
          <tpl fld="10" item="0"/>
          <tpl hier="44" item="2"/>
          <tpl fld="17" item="0"/>
        </tpls>
      </n>
      <n v="300">
        <tpls c="7">
          <tpl fld="3" item="0"/>
          <tpl fld="16" item="2"/>
          <tpl hier="35" item="1"/>
          <tpl fld="11" item="1"/>
          <tpl fld="12" item="1"/>
          <tpl hier="44" item="2"/>
          <tpl fld="17" item="0"/>
        </tpls>
      </n>
      <n v="202130">
        <tpls c="7">
          <tpl fld="7" item="0"/>
          <tpl fld="16" item="0"/>
          <tpl fld="0" item="0"/>
          <tpl fld="11" item="72"/>
          <tpl fld="12" item="0"/>
          <tpl fld="1" item="1"/>
          <tpl fld="17" item="0"/>
        </tpls>
      </n>
      <n v="59081004">
        <tpls c="6">
          <tpl fld="7" item="3"/>
          <tpl fld="0" item="2"/>
          <tpl fld="11" item="53"/>
          <tpl fld="12" item="14"/>
          <tpl fld="1" item="1"/>
          <tpl fld="17" item="0"/>
        </tpls>
      </n>
      <m>
        <tpls c="7">
          <tpl fld="7" item="0"/>
          <tpl fld="16" item="2"/>
          <tpl fld="0" item="0"/>
          <tpl fld="11" item="61"/>
          <tpl fld="12" item="7"/>
          <tpl fld="1" item="1"/>
          <tpl fld="17" item="0"/>
        </tpls>
      </m>
      <n v="1717915">
        <tpls c="7">
          <tpl fld="7" item="0"/>
          <tpl hier="10" item="4294967295"/>
          <tpl fld="0" item="0"/>
          <tpl fld="11" item="67"/>
          <tpl fld="12" item="0"/>
          <tpl fld="1" item="1"/>
          <tpl fld="17" item="0"/>
        </tpls>
      </n>
      <n v="121393152">
        <tpls c="5">
          <tpl fld="7" item="3"/>
          <tpl fld="0" item="2"/>
          <tpl fld="12" item="14"/>
          <tpl fld="1" item="1"/>
          <tpl fld="17" item="0"/>
        </tpls>
      </n>
      <n v="323501">
        <tpls c="6">
          <tpl fld="6" item="2"/>
          <tpl hier="35" item="1"/>
          <tpl fld="11" item="19"/>
          <tpl fld="10" item="0"/>
          <tpl hier="44" item="2"/>
          <tpl fld="17" item="0"/>
        </tpls>
      </n>
      <n v="4690673">
        <tpls c="6">
          <tpl fld="3" item="0"/>
          <tpl fld="16" item="0"/>
          <tpl hier="35" item="1"/>
          <tpl fld="12" item="18"/>
          <tpl hier="44" item="2"/>
          <tpl fld="17" item="0"/>
        </tpls>
      </n>
      <m>
        <tpls c="6">
          <tpl fld="3" item="1"/>
          <tpl fld="16" item="9"/>
          <tpl hier="35" item="0"/>
          <tpl fld="12" item="2"/>
          <tpl hier="44" item="2"/>
          <tpl fld="17" item="0"/>
        </tpls>
      </m>
      <n v="4690673">
        <tpls c="6">
          <tpl fld="3" item="0"/>
          <tpl fld="16" item="5"/>
          <tpl hier="35" item="1"/>
          <tpl fld="12" item="18"/>
          <tpl hier="44" item="2"/>
          <tpl fld="17" item="0"/>
        </tpls>
      </n>
      <m>
        <tpls c="7">
          <tpl fld="3" item="1"/>
          <tpl fld="16" item="1"/>
          <tpl hier="35" item="0"/>
          <tpl fld="11" item="25"/>
          <tpl fld="12" item="2"/>
          <tpl hier="44" item="2"/>
          <tpl fld="17" item="0"/>
        </tpls>
      </m>
      <n v="-392981">
        <tpls c="7">
          <tpl fld="7" item="0"/>
          <tpl fld="16" item="11"/>
          <tpl fld="0" item="0"/>
          <tpl fld="11" item="58"/>
          <tpl fld="12" item="19"/>
          <tpl fld="1" item="1"/>
          <tpl fld="17" item="0"/>
        </tpls>
      </n>
      <n v="5838241">
        <tpls c="6">
          <tpl fld="3" item="0"/>
          <tpl fld="16" item="8"/>
          <tpl hier="35" item="1"/>
          <tpl fld="12" item="18"/>
          <tpl hier="44" item="2"/>
          <tpl fld="17" item="0"/>
        </tpls>
      </n>
      <m>
        <tpls c="3">
          <tpl fld="8" item="8"/>
          <tpl fld="4" item="1"/>
          <tpl fld="17" item="3"/>
        </tpls>
      </m>
      <n v="58191734">
        <tpls c="5">
          <tpl fld="7" item="3"/>
          <tpl fld="0" item="2"/>
          <tpl fld="12" item="10"/>
          <tpl fld="1" item="1"/>
          <tpl fld="17" item="0"/>
        </tpls>
      </n>
      <m>
        <tpls c="7">
          <tpl fld="3" item="1"/>
          <tpl fld="16" item="8"/>
          <tpl hier="35" item="0"/>
          <tpl fld="11" item="14"/>
          <tpl fld="12" item="3"/>
          <tpl hier="44" item="2"/>
          <tpl fld="17" item="0"/>
        </tpls>
      </m>
      <m>
        <tpls c="3">
          <tpl fld="2" item="19"/>
          <tpl fld="8" item="1"/>
          <tpl fld="17" item="3"/>
        </tpls>
      </m>
      <n v="0">
        <tpls c="7">
          <tpl fld="3" item="0"/>
          <tpl fld="16" item="9"/>
          <tpl hier="35" item="1"/>
          <tpl fld="11" item="0"/>
          <tpl fld="12" item="2"/>
          <tpl hier="44" item="2"/>
          <tpl fld="17" item="0"/>
        </tpls>
      </n>
      <m>
        <tpls c="7">
          <tpl fld="3" item="1"/>
          <tpl fld="16" item="7"/>
          <tpl hier="35" item="0"/>
          <tpl fld="11" item="17"/>
          <tpl fld="12" item="3"/>
          <tpl hier="44" item="2"/>
          <tpl fld="17" item="0"/>
        </tpls>
      </m>
      <n v="98643026">
        <tpls c="5">
          <tpl fld="7" item="1"/>
          <tpl fld="0" item="2"/>
          <tpl fld="12" item="19"/>
          <tpl fld="1" item="1"/>
          <tpl fld="17" item="0"/>
        </tpls>
      </n>
      <n v="81068264">
        <tpls c="6">
          <tpl fld="7" item="3"/>
          <tpl fld="0" item="2"/>
          <tpl fld="11" item="56"/>
          <tpl fld="12" item="16"/>
          <tpl fld="1" item="1"/>
          <tpl fld="17" item="0"/>
        </tpls>
      </n>
      <m>
        <tpls c="3">
          <tpl fld="2" item="4"/>
          <tpl fld="8" item="11"/>
          <tpl fld="17" item="3"/>
        </tpls>
      </m>
      <n v="0">
        <tpls c="7">
          <tpl fld="7" item="0"/>
          <tpl fld="16" item="1"/>
          <tpl fld="0" item="0"/>
          <tpl fld="11" item="29"/>
          <tpl fld="12" item="8"/>
          <tpl fld="1" item="1"/>
          <tpl fld="17" item="0"/>
        </tpls>
      </n>
      <n v="33367">
        <tpls c="7">
          <tpl fld="3" item="0"/>
          <tpl fld="16" item="3"/>
          <tpl hier="35" item="1"/>
          <tpl fld="11" item="17"/>
          <tpl fld="12" item="3"/>
          <tpl hier="44" item="2"/>
          <tpl fld="17" item="0"/>
        </tpls>
      </n>
      <m>
        <tpls c="3">
          <tpl fld="2" item="14"/>
          <tpl fld="8" item="0"/>
          <tpl fld="17" item="3"/>
        </tpls>
      </m>
      <m>
        <tpls c="7">
          <tpl fld="3" item="1"/>
          <tpl fld="16" item="0"/>
          <tpl hier="35" item="0"/>
          <tpl fld="11" item="18"/>
          <tpl fld="12" item="2"/>
          <tpl hier="44" item="2"/>
          <tpl fld="17" item="0"/>
        </tpls>
      </m>
      <n v="91101">
        <tpls c="7">
          <tpl fld="3" item="0"/>
          <tpl fld="16" item="6"/>
          <tpl hier="35" item="1"/>
          <tpl fld="11" item="41"/>
          <tpl fld="12" item="2"/>
          <tpl hier="44" item="2"/>
          <tpl fld="17" item="0"/>
        </tpls>
      </n>
      <m>
        <tpls c="3">
          <tpl fld="2" item="10"/>
          <tpl fld="8" item="11"/>
          <tpl fld="17" item="3"/>
        </tpls>
      </m>
      <n v="19788174">
        <tpls c="7">
          <tpl fld="3" item="0"/>
          <tpl fld="16" item="0"/>
          <tpl hier="35" item="1"/>
          <tpl fld="11" item="49"/>
          <tpl fld="12" item="9"/>
          <tpl hier="44" item="2"/>
          <tpl fld="17" item="0"/>
        </tpls>
      </n>
      <n v="293250">
        <tpls c="6">
          <tpl fld="6" item="0"/>
          <tpl hier="35" item="3"/>
          <tpl fld="11" item="39"/>
          <tpl fld="12" item="3"/>
          <tpl hier="44" item="2"/>
          <tpl fld="17" item="0"/>
        </tpls>
      </n>
      <m>
        <tpls c="7">
          <tpl fld="3" item="1"/>
          <tpl fld="16" item="9"/>
          <tpl hier="35" item="0"/>
          <tpl fld="11" item="41"/>
          <tpl fld="12" item="2"/>
          <tpl hier="44" item="2"/>
          <tpl fld="17" item="0"/>
        </tpls>
      </m>
      <m>
        <tpls c="3">
          <tpl fld="2" item="18"/>
          <tpl fld="8" item="4"/>
          <tpl fld="17" item="3"/>
        </tpls>
      </m>
      <n v="86079840">
        <tpls c="6">
          <tpl fld="7" item="3"/>
          <tpl fld="0" item="2"/>
          <tpl fld="11" item="65"/>
          <tpl fld="12" item="12"/>
          <tpl fld="1" item="1"/>
          <tpl fld="17" item="0"/>
        </tpls>
      </n>
      <n v="5900">
        <tpls c="7">
          <tpl fld="7" item="0"/>
          <tpl fld="16" item="8"/>
          <tpl fld="0" item="0"/>
          <tpl fld="11" item="70"/>
          <tpl fld="12" item="20"/>
          <tpl fld="1" item="1"/>
          <tpl fld="17" item="0"/>
        </tpls>
      </n>
      <m>
        <tpls c="7">
          <tpl fld="3" item="1"/>
          <tpl fld="16" item="0"/>
          <tpl hier="35" item="0"/>
          <tpl fld="11" item="7"/>
          <tpl fld="12" item="4"/>
          <tpl hier="44" item="2"/>
          <tpl fld="17" item="0"/>
        </tpls>
      </m>
      <n v="6405537">
        <tpls c="6">
          <tpl fld="3" item="0"/>
          <tpl fld="16" item="9"/>
          <tpl hier="35" item="1"/>
          <tpl fld="12" item="3"/>
          <tpl hier="44" item="2"/>
          <tpl fld="17" item="0"/>
        </tpls>
      </n>
      <n v="0">
        <tpls c="7">
          <tpl fld="7" item="0"/>
          <tpl fld="16" item="11"/>
          <tpl fld="0" item="0"/>
          <tpl fld="11" item="64"/>
          <tpl fld="12" item="22"/>
          <tpl fld="1" item="1"/>
          <tpl fld="17" item="0"/>
        </tpls>
      </n>
      <n v="119100">
        <tpls c="6">
          <tpl fld="6" item="2"/>
          <tpl hier="35" item="3"/>
          <tpl fld="11" item="15"/>
          <tpl fld="12" item="3"/>
          <tpl hier="44" item="2"/>
          <tpl fld="17" item="0"/>
        </tpls>
      </n>
      <n v="30000">
        <tpls c="7">
          <tpl fld="3" item="0"/>
          <tpl fld="16" item="5"/>
          <tpl hier="35" item="1"/>
          <tpl fld="11" item="31"/>
          <tpl fld="12" item="3"/>
          <tpl hier="44" item="2"/>
          <tpl fld="17" item="0"/>
        </tpls>
      </n>
      <n v="1557562">
        <tpls c="7">
          <tpl fld="3" item="0"/>
          <tpl fld="16" item="4"/>
          <tpl hier="35" item="1"/>
          <tpl fld="11" item="20"/>
          <tpl fld="12" item="2"/>
          <tpl hier="44" item="2"/>
          <tpl fld="17" item="0"/>
        </tpls>
      </n>
      <m>
        <tpls c="3">
          <tpl fld="2" item="1"/>
          <tpl fld="8" item="7"/>
          <tpl fld="17" item="3"/>
        </tpls>
      </m>
      <n v="545000">
        <tpls c="7">
          <tpl fld="3" item="0"/>
          <tpl fld="16" item="10"/>
          <tpl hier="35" item="1"/>
          <tpl fld="11" item="16"/>
          <tpl fld="12" item="3"/>
          <tpl hier="44" item="2"/>
          <tpl fld="17" item="0"/>
        </tpls>
      </n>
      <n v="0">
        <tpls c="7">
          <tpl fld="7" item="0"/>
          <tpl fld="16" item="6"/>
          <tpl fld="0" item="0"/>
          <tpl fld="11" item="64"/>
          <tpl fld="12" item="22"/>
          <tpl fld="1" item="1"/>
          <tpl fld="17" item="0"/>
        </tpls>
      </n>
      <m>
        <tpls c="7">
          <tpl fld="7" item="0"/>
          <tpl fld="16" item="3"/>
          <tpl fld="0" item="0"/>
          <tpl fld="11" item="61"/>
          <tpl fld="12" item="7"/>
          <tpl fld="1" item="1"/>
          <tpl fld="17" item="0"/>
        </tpls>
      </m>
      <n v="5066278">
        <tpls c="6">
          <tpl fld="3" item="0"/>
          <tpl fld="16" item="7"/>
          <tpl hier="35" item="1"/>
          <tpl fld="12" item="18"/>
          <tpl hier="44" item="2"/>
          <tpl fld="17" item="0"/>
        </tpls>
      </n>
      <n v="0">
        <tpls c="6">
          <tpl fld="7" item="3"/>
          <tpl fld="0" item="2"/>
          <tpl fld="11" item="64"/>
          <tpl fld="12" item="22"/>
          <tpl fld="1" item="1"/>
          <tpl fld="17" item="0"/>
        </tpls>
      </n>
      <n v="928875">
        <tpls c="7">
          <tpl fld="7" item="0"/>
          <tpl hier="10" item="4294967295"/>
          <tpl fld="0" item="0"/>
          <tpl fld="11" item="73"/>
          <tpl fld="12" item="0"/>
          <tpl fld="1" item="1"/>
          <tpl fld="17" item="0"/>
        </tpls>
      </n>
      <m>
        <tpls c="7">
          <tpl fld="3" item="1"/>
          <tpl fld="16" item="7"/>
          <tpl hier="35" item="0"/>
          <tpl fld="11" item="35"/>
          <tpl fld="12" item="2"/>
          <tpl hier="44" item="2"/>
          <tpl fld="17" item="0"/>
        </tpls>
      </m>
      <n v="5075813">
        <tpls c="6">
          <tpl fld="6" item="1"/>
          <tpl hier="35" item="3"/>
          <tpl fld="11" item="2"/>
          <tpl fld="12" item="2"/>
          <tpl hier="44" item="2"/>
          <tpl fld="17" item="0"/>
        </tpls>
      </n>
      <n v="33367">
        <tpls c="7">
          <tpl fld="3" item="0"/>
          <tpl fld="16" item="7"/>
          <tpl hier="35" item="1"/>
          <tpl fld="11" item="17"/>
          <tpl fld="12" item="3"/>
          <tpl hier="44" item="2"/>
          <tpl fld="17" item="0"/>
        </tpls>
      </n>
      <n v="1116471">
        <tpls c="7">
          <tpl fld="3" item="0"/>
          <tpl fld="16" item="1"/>
          <tpl hier="35" item="1"/>
          <tpl fld="11" item="20"/>
          <tpl fld="12" item="2"/>
          <tpl hier="44" item="2"/>
          <tpl fld="17" item="0"/>
        </tpls>
      </n>
      <m>
        <tpls c="3">
          <tpl fld="5" item="8"/>
          <tpl fld="4" item="0"/>
          <tpl fld="17" item="3"/>
        </tpls>
      </m>
      <n v="395288">
        <tpls c="7">
          <tpl fld="7" item="0"/>
          <tpl fld="16" item="3"/>
          <tpl fld="0" item="0"/>
          <tpl fld="11" item="57"/>
          <tpl fld="12" item="7"/>
          <tpl fld="1" item="1"/>
          <tpl fld="17" item="0"/>
        </tpls>
      </n>
      <m>
        <tpls c="7">
          <tpl fld="3" item="1"/>
          <tpl fld="16" item="4"/>
          <tpl hier="35" item="0"/>
          <tpl fld="11" item="18"/>
          <tpl fld="12" item="2"/>
          <tpl hier="44" item="2"/>
          <tpl fld="17" item="0"/>
        </tpls>
      </m>
      <m>
        <tpls c="3">
          <tpl fld="8" item="8"/>
          <tpl fld="4" item="2"/>
          <tpl fld="17" item="3"/>
        </tpls>
      </m>
      <n v="19612430">
        <tpls c="6">
          <tpl fld="3" item="0"/>
          <tpl fld="16" item="2"/>
          <tpl hier="35" item="1"/>
          <tpl fld="12" item="9"/>
          <tpl hier="44" item="2"/>
          <tpl fld="17" item="0"/>
        </tpls>
      </n>
      <m>
        <tpls c="3">
          <tpl fld="2" item="9"/>
          <tpl fld="8" item="3"/>
          <tpl fld="17" item="3"/>
        </tpls>
      </m>
      <n v="32480">
        <tpls c="6">
          <tpl fld="7" item="3"/>
          <tpl fld="0" item="2"/>
          <tpl fld="11" item="51"/>
          <tpl fld="12" item="7"/>
          <tpl fld="1" item="1"/>
          <tpl fld="17" item="0"/>
        </tpls>
      </n>
      <n v="32384963">
        <tpls c="6">
          <tpl fld="6" item="2"/>
          <tpl hier="35" item="3"/>
          <tpl fld="11" item="18"/>
          <tpl fld="12" item="2"/>
          <tpl hier="44" item="2"/>
          <tpl fld="17" item="0"/>
        </tpls>
      </n>
      <n v="0">
        <tpls c="6">
          <tpl fld="7" item="0"/>
          <tpl fld="16" item="3"/>
          <tpl fld="0" item="0"/>
          <tpl fld="12" item="14"/>
          <tpl fld="1" item="1"/>
          <tpl fld="17" item="0"/>
        </tpls>
      </n>
      <n v="38221254">
        <tpls c="5">
          <tpl fld="7" item="0"/>
          <tpl fld="0" item="0"/>
          <tpl fld="12" item="3"/>
          <tpl hier="44" item="2"/>
          <tpl fld="17" item="0"/>
        </tpls>
      </n>
      <n v="2207500">
        <tpls c="6">
          <tpl fld="7" item="1"/>
          <tpl fld="0" item="2"/>
          <tpl fld="11" item="21"/>
          <tpl fld="12" item="10"/>
          <tpl fld="1" item="1"/>
          <tpl fld="17" item="0"/>
        </tpls>
      </n>
      <n v="-250758">
        <tpls c="7">
          <tpl fld="7" item="0"/>
          <tpl fld="16" item="6"/>
          <tpl fld="0" item="0"/>
          <tpl fld="11" item="62"/>
          <tpl fld="12" item="13"/>
          <tpl fld="1" item="1"/>
          <tpl fld="17" item="0"/>
        </tpls>
      </n>
      <n v="-1922705">
        <tpls c="7">
          <tpl fld="7" item="0"/>
          <tpl fld="16" item="9"/>
          <tpl fld="0" item="0"/>
          <tpl fld="11" item="28"/>
          <tpl fld="12" item="13"/>
          <tpl fld="1" item="1"/>
          <tpl fld="17" item="0"/>
        </tpls>
      </n>
      <n v="0">
        <tpls c="7">
          <tpl fld="3" item="0"/>
          <tpl fld="16" item="5"/>
          <tpl hier="35" item="1"/>
          <tpl fld="11" item="48"/>
          <tpl fld="12" item="4"/>
          <tpl hier="44" item="2"/>
          <tpl fld="17" item="0"/>
        </tpls>
      </n>
      <n v="1881">
        <tpls c="6">
          <tpl fld="7" item="1"/>
          <tpl fld="0" item="2"/>
          <tpl fld="11" item="34"/>
          <tpl fld="10" item="1"/>
          <tpl hier="44" item="2"/>
          <tpl fld="17" item="0"/>
        </tpls>
      </n>
      <n v="-477952">
        <tpls c="7">
          <tpl fld="7" item="0"/>
          <tpl fld="16" item="9"/>
          <tpl fld="0" item="0"/>
          <tpl fld="11" item="55"/>
          <tpl fld="12" item="13"/>
          <tpl fld="1" item="1"/>
          <tpl fld="17" item="0"/>
        </tpls>
      </n>
      <m>
        <tpls c="7">
          <tpl fld="3" item="1"/>
          <tpl fld="16" item="0"/>
          <tpl hier="35" item="0"/>
          <tpl fld="11" item="31"/>
          <tpl fld="12" item="3"/>
          <tpl hier="44" item="2"/>
          <tpl fld="17" item="0"/>
        </tpls>
      </m>
      <n v="254750">
        <tpls c="7">
          <tpl fld="3" item="0"/>
          <tpl fld="16" item="11"/>
          <tpl hier="35" item="1"/>
          <tpl fld="11" item="27"/>
          <tpl fld="12" item="3"/>
          <tpl hier="44" item="2"/>
          <tpl fld="17" item="0"/>
        </tpls>
      </n>
      <n v="300">
        <tpls c="7">
          <tpl fld="3" item="0"/>
          <tpl fld="16" item="0"/>
          <tpl hier="35" item="1"/>
          <tpl fld="11" item="1"/>
          <tpl fld="12" item="1"/>
          <tpl hier="44" item="2"/>
          <tpl fld="17" item="0"/>
        </tpls>
      </n>
      <n v="115907399">
        <tpls c="6">
          <tpl fld="7" item="0"/>
          <tpl fld="0" item="0"/>
          <tpl fld="11" item="18"/>
          <tpl fld="10" item="0"/>
          <tpl hier="44" item="2"/>
          <tpl fld="17" item="0"/>
        </tpls>
      </n>
      <n v="0">
        <tpls c="6">
          <tpl fld="7" item="0"/>
          <tpl fld="16" item="7"/>
          <tpl fld="0" item="0"/>
          <tpl fld="12" item="6"/>
          <tpl fld="1" item="1"/>
          <tpl fld="17" item="0"/>
        </tpls>
      </n>
      <m>
        <tpls c="7">
          <tpl fld="3" item="1"/>
          <tpl hier="10" item="4294967295"/>
          <tpl hier="35" item="0"/>
          <tpl fld="11" item="8"/>
          <tpl fld="12" item="3"/>
          <tpl hier="44" item="2"/>
          <tpl fld="17" item="0"/>
        </tpls>
      </m>
      <m>
        <tpls c="3">
          <tpl fld="2" item="18"/>
          <tpl fld="8" item="1"/>
          <tpl fld="17" item="3"/>
        </tpls>
      </m>
      <n v="665724">
        <tpls c="7">
          <tpl fld="7" item="0"/>
          <tpl hier="10" item="4294967295"/>
          <tpl fld="0" item="0"/>
          <tpl fld="11" item="71"/>
          <tpl fld="12" item="13"/>
          <tpl fld="1" item="1"/>
          <tpl fld="17" item="0"/>
        </tpls>
      </n>
      <n v="0">
        <tpls c="7">
          <tpl fld="7" item="0"/>
          <tpl fld="16" item="1"/>
          <tpl fld="0" item="0"/>
          <tpl fld="11" item="12"/>
          <tpl fld="12" item="6"/>
          <tpl fld="1" item="1"/>
          <tpl fld="17" item="0"/>
        </tpls>
      </n>
      <m>
        <tpls c="7">
          <tpl fld="3" item="1"/>
          <tpl fld="16" item="4"/>
          <tpl hier="35" item="0"/>
          <tpl fld="11" item="48"/>
          <tpl fld="12" item="4"/>
          <tpl hier="44" item="2"/>
          <tpl fld="17" item="0"/>
        </tpls>
      </m>
      <m>
        <tpls c="6">
          <tpl fld="3" item="1"/>
          <tpl fld="16" item="11"/>
          <tpl hier="35" item="0"/>
          <tpl fld="12" item="2"/>
          <tpl hier="44" item="2"/>
          <tpl fld="17" item="0"/>
        </tpls>
      </m>
      <m>
        <tpls c="7">
          <tpl fld="3" item="1"/>
          <tpl fld="16" item="6"/>
          <tpl hier="35" item="0"/>
          <tpl fld="11" item="31"/>
          <tpl fld="12" item="3"/>
          <tpl hier="44" item="2"/>
          <tpl fld="17" item="0"/>
        </tpls>
      </m>
      <n v="6010487">
        <tpls c="7">
          <tpl fld="7" item="0"/>
          <tpl hier="10" item="4294967295"/>
          <tpl fld="0" item="0"/>
          <tpl fld="11" item="51"/>
          <tpl fld="12" item="7"/>
          <tpl fld="1" item="1"/>
          <tpl fld="17" item="0"/>
        </tpls>
      </n>
      <n v="293250">
        <tpls c="6">
          <tpl fld="6" item="0"/>
          <tpl hier="35" item="1"/>
          <tpl fld="11" item="39"/>
          <tpl fld="10" item="2"/>
          <tpl hier="44" item="2"/>
          <tpl fld="17" item="0"/>
        </tpls>
      </n>
      <m>
        <tpls c="3">
          <tpl fld="2" item="2"/>
          <tpl fld="8" item="10"/>
          <tpl fld="17" item="3"/>
        </tpls>
      </m>
      <m>
        <tpls c="3">
          <tpl fld="2" item="7"/>
          <tpl fld="8" item="3"/>
          <tpl fld="17" item="3"/>
        </tpls>
      </m>
      <n v="38400">
        <tpls c="7">
          <tpl fld="3" item="0"/>
          <tpl fld="16" item="0"/>
          <tpl hier="35" item="1"/>
          <tpl fld="11" item="41"/>
          <tpl fld="12" item="2"/>
          <tpl hier="44" item="2"/>
          <tpl fld="17" item="0"/>
        </tpls>
      </n>
      <n v="-1528">
        <tpls c="7">
          <tpl fld="7" item="0"/>
          <tpl fld="16" item="5"/>
          <tpl fld="0" item="0"/>
          <tpl fld="11" item="71"/>
          <tpl fld="12" item="13"/>
          <tpl fld="1" item="1"/>
          <tpl fld="17" item="0"/>
        </tpls>
      </n>
      <n v="7217817">
        <tpls c="6">
          <tpl fld="6" item="3"/>
          <tpl hier="35" item="1"/>
          <tpl fld="11" item="2"/>
          <tpl fld="10" item="0"/>
          <tpl hier="44" item="2"/>
          <tpl fld="17" item="0"/>
        </tpls>
      </n>
      <m>
        <tpls c="7">
          <tpl fld="3" item="1"/>
          <tpl fld="16" item="9"/>
          <tpl hier="35" item="0"/>
          <tpl fld="11" item="6"/>
          <tpl fld="12" item="3"/>
          <tpl hier="44" item="2"/>
          <tpl fld="17" item="0"/>
        </tpls>
      </m>
      <n v="2069762">
        <tpls c="6">
          <tpl fld="7" item="2"/>
          <tpl fld="0" item="1"/>
          <tpl fld="11" item="36"/>
          <tpl fld="10" item="0"/>
          <tpl hier="44" item="2"/>
          <tpl fld="17" item="0"/>
        </tpls>
      </n>
      <m>
        <tpls c="3">
          <tpl fld="2" item="1"/>
          <tpl fld="8" item="0"/>
          <tpl fld="17" item="3"/>
        </tpls>
      </m>
      <n v="-392981">
        <tpls c="7">
          <tpl fld="7" item="0"/>
          <tpl fld="16" item="1"/>
          <tpl fld="0" item="0"/>
          <tpl fld="11" item="58"/>
          <tpl fld="12" item="19"/>
          <tpl fld="1" item="1"/>
          <tpl fld="17" item="0"/>
        </tpls>
      </n>
      <n v="-200">
        <tpls c="7">
          <tpl fld="7" item="0"/>
          <tpl fld="16" item="7"/>
          <tpl fld="0" item="0"/>
          <tpl fld="11" item="42"/>
          <tpl fld="12" item="16"/>
          <tpl fld="1" item="1"/>
          <tpl fld="17" item="0"/>
        </tpls>
      </n>
      <n v="201210">
        <tpls c="6">
          <tpl fld="7" item="3"/>
          <tpl fld="0" item="2"/>
          <tpl fld="11" item="72"/>
          <tpl fld="12" item="0"/>
          <tpl fld="1" item="1"/>
          <tpl fld="17" item="0"/>
        </tpls>
      </n>
      <m>
        <tpls c="7">
          <tpl fld="3" item="1"/>
          <tpl fld="16" item="4"/>
          <tpl hier="35" item="0"/>
          <tpl fld="11" item="39"/>
          <tpl fld="12" item="3"/>
          <tpl hier="44" item="2"/>
          <tpl fld="17" item="0"/>
        </tpls>
      </m>
      <m>
        <tpls c="7">
          <tpl fld="3" item="1"/>
          <tpl fld="16" item="5"/>
          <tpl hier="35" item="0"/>
          <tpl fld="11" item="15"/>
          <tpl fld="12" item="3"/>
          <tpl hier="44" item="2"/>
          <tpl fld="17" item="0"/>
        </tpls>
      </m>
      <n v="13573277">
        <tpls c="6">
          <tpl fld="7" item="1"/>
          <tpl fld="0" item="2"/>
          <tpl fld="11" item="20"/>
          <tpl fld="10" item="0"/>
          <tpl hier="44" item="2"/>
          <tpl fld="17" item="0"/>
        </tpls>
      </n>
      <m>
        <tpls c="3">
          <tpl fld="2" item="4"/>
          <tpl fld="8" item="6"/>
          <tpl fld="17" item="3"/>
        </tpls>
      </m>
      <n v="292646501">
        <tpls c="5">
          <tpl fld="7" item="3"/>
          <tpl fld="0" item="2"/>
          <tpl fld="12" item="8"/>
          <tpl fld="1" item="1"/>
          <tpl fld="17" item="0"/>
        </tpls>
      </n>
      <n v="6090000">
        <tpls c="3">
          <tpl fld="2" item="7"/>
          <tpl fld="8" item="7"/>
          <tpl fld="17" item="3"/>
        </tpls>
      </n>
      <n v="128999579">
        <tpls c="7">
          <tpl fld="7" item="0"/>
          <tpl fld="16" item="0"/>
          <tpl fld="0" item="0"/>
          <tpl fld="11" item="56"/>
          <tpl fld="12" item="16"/>
          <tpl fld="1" item="1"/>
          <tpl fld="17" item="0"/>
        </tpls>
      </n>
      <n v="-21000">
        <tpls c="7">
          <tpl fld="7" item="0"/>
          <tpl fld="16" item="2"/>
          <tpl fld="0" item="0"/>
          <tpl fld="11" item="73"/>
          <tpl fld="12" item="0"/>
          <tpl fld="1" item="1"/>
          <tpl fld="17" item="0"/>
        </tpls>
      </n>
      <n v="644750">
        <tpls c="7">
          <tpl fld="3" item="0"/>
          <tpl fld="16" item="6"/>
          <tpl hier="35" item="1"/>
          <tpl fld="11" item="27"/>
          <tpl fld="12" item="3"/>
          <tpl hier="44" item="2"/>
          <tpl fld="17" item="0"/>
        </tpls>
      </n>
      <n v="99624">
        <tpls c="7">
          <tpl fld="3" item="0"/>
          <tpl fld="16" item="8"/>
          <tpl hier="35" item="1"/>
          <tpl fld="11" item="19"/>
          <tpl fld="12" item="2"/>
          <tpl hier="44" item="2"/>
          <tpl fld="17" item="0"/>
        </tpls>
      </n>
      <m>
        <tpls c="7">
          <tpl fld="3" item="0"/>
          <tpl fld="16" item="11"/>
          <tpl hier="35" item="1"/>
          <tpl fld="11" item="4"/>
          <tpl fld="12" item="1"/>
          <tpl hier="44" item="2"/>
          <tpl fld="17" item="0"/>
        </tpls>
      </m>
      <n v="128208191">
        <tpls c="6">
          <tpl fld="7" item="2"/>
          <tpl fld="0" item="1"/>
          <tpl fld="11" item="18"/>
          <tpl fld="10" item="0"/>
          <tpl hier="44" item="2"/>
          <tpl fld="17" item="0"/>
        </tpls>
      </n>
      <n v="0">
        <tpls c="6">
          <tpl fld="7" item="0"/>
          <tpl fld="16" item="9"/>
          <tpl fld="0" item="0"/>
          <tpl fld="12" item="5"/>
          <tpl fld="1" item="1"/>
          <tpl fld="17" item="0"/>
        </tpls>
      </n>
      <n v="59875">
        <tpls c="7">
          <tpl fld="3" item="0"/>
          <tpl fld="16" item="8"/>
          <tpl hier="35" item="1"/>
          <tpl fld="11" item="54"/>
          <tpl fld="12" item="4"/>
          <tpl hier="44" item="2"/>
          <tpl fld="17" item="0"/>
        </tpls>
      </n>
      <n v="-2027767">
        <tpls c="7">
          <tpl fld="7" item="0"/>
          <tpl fld="16" item="8"/>
          <tpl fld="0" item="0"/>
          <tpl fld="11" item="28"/>
          <tpl fld="12" item="13"/>
          <tpl fld="1" item="1"/>
          <tpl fld="17" item="0"/>
        </tpls>
      </n>
      <n v="-1545322">
        <tpls c="7">
          <tpl fld="7" item="0"/>
          <tpl fld="16" item="9"/>
          <tpl fld="0" item="0"/>
          <tpl fld="11" item="47"/>
          <tpl fld="12" item="10"/>
          <tpl fld="1" item="1"/>
          <tpl fld="17" item="0"/>
        </tpls>
      </n>
      <n v="90000">
        <tpls c="6">
          <tpl fld="6" item="0"/>
          <tpl hier="35" item="1"/>
          <tpl fld="11" item="31"/>
          <tpl fld="10" item="2"/>
          <tpl hier="44" item="2"/>
          <tpl fld="17" item="0"/>
        </tpls>
      </n>
      <m>
        <tpls c="6">
          <tpl fld="3" item="1"/>
          <tpl fld="16" item="2"/>
          <tpl hier="35" item="0"/>
          <tpl fld="12" item="4"/>
          <tpl hier="44" item="2"/>
          <tpl fld="17" item="0"/>
        </tpls>
      </m>
      <m>
        <tpls c="3">
          <tpl fld="2" item="5"/>
          <tpl fld="8" item="0"/>
          <tpl fld="17" item="3"/>
        </tpls>
      </m>
      <n v="7237200">
        <tpls c="7">
          <tpl fld="3" item="0"/>
          <tpl hier="10" item="4294967295"/>
          <tpl hier="35" item="1"/>
          <tpl fld="11" item="10"/>
          <tpl fld="12" item="3"/>
          <tpl hier="44" item="2"/>
          <tpl fld="17" item="0"/>
        </tpls>
      </n>
      <m>
        <tpls c="7">
          <tpl fld="3" item="1"/>
          <tpl fld="16" item="5"/>
          <tpl hier="35" item="0"/>
          <tpl fld="11" item="4"/>
          <tpl fld="12" item="1"/>
          <tpl hier="44" item="2"/>
          <tpl fld="17" item="0"/>
        </tpls>
      </m>
      <m>
        <tpls c="7">
          <tpl fld="3" item="1"/>
          <tpl fld="16" item="9"/>
          <tpl hier="35" item="0"/>
          <tpl fld="11" item="22"/>
          <tpl fld="12" item="4"/>
          <tpl hier="44" item="2"/>
          <tpl fld="17" item="0"/>
        </tpls>
      </m>
      <n v="-477952">
        <tpls c="7">
          <tpl fld="7" item="0"/>
          <tpl fld="16" item="7"/>
          <tpl fld="0" item="0"/>
          <tpl fld="11" item="55"/>
          <tpl fld="12" item="13"/>
          <tpl fld="1" item="1"/>
          <tpl fld="17" item="0"/>
        </tpls>
      </n>
      <m>
        <tpls c="7">
          <tpl fld="3" item="1"/>
          <tpl fld="16" item="1"/>
          <tpl hier="35" item="0"/>
          <tpl fld="11" item="35"/>
          <tpl fld="12" item="2"/>
          <tpl hier="44" item="2"/>
          <tpl fld="17" item="0"/>
        </tpls>
      </m>
      <m>
        <tpls c="7">
          <tpl fld="3" item="1"/>
          <tpl fld="16" item="1"/>
          <tpl hier="35" item="0"/>
          <tpl fld="11" item="38"/>
          <tpl fld="12" item="11"/>
          <tpl hier="44" item="2"/>
          <tpl fld="17" item="0"/>
        </tpls>
      </m>
      <n v="-1542864">
        <tpls c="7">
          <tpl fld="7" item="0"/>
          <tpl fld="16" item="5"/>
          <tpl fld="0" item="0"/>
          <tpl fld="11" item="47"/>
          <tpl fld="12" item="10"/>
          <tpl fld="1" item="1"/>
          <tpl fld="17" item="0"/>
        </tpls>
      </n>
      <n v="39700">
        <tpls c="7">
          <tpl fld="3" item="0"/>
          <tpl fld="16" item="0"/>
          <tpl hier="35" item="1"/>
          <tpl fld="11" item="15"/>
          <tpl fld="12" item="3"/>
          <tpl hier="44" item="2"/>
          <tpl fld="17" item="0"/>
        </tpls>
      </n>
      <n v="240155">
        <tpls c="7">
          <tpl fld="7" item="0"/>
          <tpl hier="10" item="4294967295"/>
          <tpl fld="0" item="0"/>
          <tpl fld="11" item="45"/>
          <tpl fld="12" item="7"/>
          <tpl fld="1" item="1"/>
          <tpl fld="17" item="0"/>
        </tpls>
      </n>
      <n v="-10116554">
        <tpls c="6">
          <tpl fld="7" item="0"/>
          <tpl fld="16" item="9"/>
          <tpl fld="0" item="0"/>
          <tpl fld="12" item="16"/>
          <tpl fld="1" item="1"/>
          <tpl fld="17" item="0"/>
        </tpls>
      </n>
      <n v="0">
        <tpls c="6">
          <tpl fld="7" item="1"/>
          <tpl fld="0" item="2"/>
          <tpl fld="11" item="15"/>
          <tpl fld="12" item="3"/>
          <tpl hier="44" item="2"/>
          <tpl fld="17" item="0"/>
        </tpls>
      </n>
      <n v="461000">
        <tpls c="7">
          <tpl fld="3" item="0"/>
          <tpl fld="16" item="8"/>
          <tpl hier="35" item="1"/>
          <tpl fld="11" item="16"/>
          <tpl fld="12" item="3"/>
          <tpl hier="44" item="2"/>
          <tpl fld="17" item="0"/>
        </tpls>
      </n>
      <n v="11911415">
        <tpls c="7">
          <tpl fld="7" item="0"/>
          <tpl fld="16" item="0"/>
          <tpl fld="0" item="0"/>
          <tpl fld="11" item="57"/>
          <tpl fld="12" item="7"/>
          <tpl fld="1" item="1"/>
          <tpl fld="17" item="0"/>
        </tpls>
      </n>
      <n v="42">
        <tpls c="7">
          <tpl fld="3" item="0"/>
          <tpl fld="16" item="3"/>
          <tpl hier="35" item="1"/>
          <tpl fld="11" item="30"/>
          <tpl fld="12" item="15"/>
          <tpl hier="44" item="2"/>
          <tpl fld="17" item="0"/>
        </tpls>
      </n>
      <n v="0">
        <tpls c="7">
          <tpl fld="7" item="0"/>
          <tpl fld="16" item="5"/>
          <tpl fld="0" item="0"/>
          <tpl fld="11" item="66"/>
          <tpl fld="12" item="13"/>
          <tpl fld="1" item="1"/>
          <tpl fld="17" item="0"/>
        </tpls>
      </n>
      <m>
        <tpls c="7">
          <tpl fld="3" item="1"/>
          <tpl fld="16" item="3"/>
          <tpl hier="35" item="0"/>
          <tpl fld="11" item="20"/>
          <tpl fld="12" item="2"/>
          <tpl hier="44" item="2"/>
          <tpl fld="17" item="0"/>
        </tpls>
      </m>
      <n v="0">
        <tpls c="7">
          <tpl fld="3" item="0"/>
          <tpl fld="16" item="2"/>
          <tpl hier="35" item="1"/>
          <tpl fld="11" item="9"/>
          <tpl fld="12" item="4"/>
          <tpl hier="44" item="2"/>
          <tpl fld="17" item="0"/>
        </tpls>
      </n>
      <n v="16569210">
        <tpls c="6">
          <tpl fld="7" item="0"/>
          <tpl fld="0" item="0"/>
          <tpl fld="11" item="20"/>
          <tpl fld="12" item="2"/>
          <tpl hier="44" item="2"/>
          <tpl fld="17" item="0"/>
        </tpls>
      </n>
      <n v="300">
        <tpls c="7">
          <tpl fld="3" item="0"/>
          <tpl fld="16" item="10"/>
          <tpl hier="35" item="1"/>
          <tpl fld="11" item="1"/>
          <tpl fld="12" item="1"/>
          <tpl hier="44" item="2"/>
          <tpl fld="17" item="0"/>
        </tpls>
      </n>
      <n v="90000">
        <tpls c="6">
          <tpl fld="6" item="3"/>
          <tpl hier="35" item="1"/>
          <tpl fld="11" item="31"/>
          <tpl fld="10" item="2"/>
          <tpl hier="44" item="2"/>
          <tpl fld="17" item="0"/>
        </tpls>
      </n>
      <n v="6300000">
        <tpls c="3">
          <tpl fld="5" item="0"/>
          <tpl fld="4" item="1"/>
          <tpl fld="17" item="3"/>
        </tpls>
      </n>
      <n v="4313000">
        <tpls c="6">
          <tpl fld="6" item="1"/>
          <tpl hier="35" item="1"/>
          <tpl fld="11" item="33"/>
          <tpl fld="10" item="2"/>
          <tpl hier="44" item="2"/>
          <tpl fld="17" item="0"/>
        </tpls>
      </n>
      <m>
        <tpls c="7">
          <tpl fld="3" item="1"/>
          <tpl fld="16" item="4"/>
          <tpl hier="35" item="0"/>
          <tpl fld="11" item="26"/>
          <tpl fld="12" item="2"/>
          <tpl hier="44" item="2"/>
          <tpl fld="17" item="0"/>
        </tpls>
      </m>
      <n v="72916">
        <tpls c="7">
          <tpl fld="3" item="0"/>
          <tpl fld="16" item="6"/>
          <tpl hier="35" item="1"/>
          <tpl fld="11" item="14"/>
          <tpl fld="12" item="3"/>
          <tpl hier="44" item="2"/>
          <tpl fld="17" item="0"/>
        </tpls>
      </n>
      <n v="9667694">
        <tpls c="7">
          <tpl fld="3" item="0"/>
          <tpl fld="16" item="9"/>
          <tpl hier="35" item="1"/>
          <tpl fld="11" item="18"/>
          <tpl fld="12" item="2"/>
          <tpl hier="44" item="2"/>
          <tpl fld="17" item="0"/>
        </tpls>
      </n>
      <m>
        <tpls c="7">
          <tpl fld="3" item="1"/>
          <tpl hier="10" item="4294967295"/>
          <tpl hier="35" item="0"/>
          <tpl fld="11" item="10"/>
          <tpl fld="12" item="3"/>
          <tpl hier="44" item="2"/>
          <tpl fld="17" item="0"/>
        </tpls>
      </m>
      <n v="325000">
        <tpls c="7">
          <tpl fld="3" item="0"/>
          <tpl fld="16" item="7"/>
          <tpl hier="35" item="1"/>
          <tpl fld="11" item="23"/>
          <tpl fld="12" item="11"/>
          <tpl hier="44" item="2"/>
          <tpl fld="17" item="0"/>
        </tpls>
      </n>
      <n v="0">
        <tpls c="7">
          <tpl fld="7" item="0"/>
          <tpl fld="16" item="5"/>
          <tpl fld="0" item="0"/>
          <tpl fld="11" item="72"/>
          <tpl fld="12" item="0"/>
          <tpl fld="1" item="1"/>
          <tpl fld="17" item="0"/>
        </tpls>
      </n>
      <n v="0">
        <tpls c="7">
          <tpl fld="7" item="0"/>
          <tpl fld="16" item="0"/>
          <tpl fld="0" item="0"/>
          <tpl fld="11" item="13"/>
          <tpl fld="12" item="5"/>
          <tpl fld="1" item="1"/>
          <tpl fld="17" item="0"/>
        </tpls>
      </n>
      <n v="293250">
        <tpls c="6">
          <tpl fld="6" item="1"/>
          <tpl hier="35" item="3"/>
          <tpl fld="11" item="39"/>
          <tpl fld="12" item="3"/>
          <tpl hier="44" item="2"/>
          <tpl fld="17" item="0"/>
        </tpls>
      </n>
      <n v="80305302">
        <tpls c="6">
          <tpl fld="7" item="0"/>
          <tpl fld="16" item="7"/>
          <tpl fld="0" item="0"/>
          <tpl fld="12" item="16"/>
          <tpl fld="1" item="1"/>
          <tpl fld="17" item="0"/>
        </tpls>
      </n>
      <n v="30000">
        <tpls c="7">
          <tpl fld="3" item="0"/>
          <tpl fld="16" item="10"/>
          <tpl hier="35" item="1"/>
          <tpl fld="11" item="31"/>
          <tpl fld="12" item="3"/>
          <tpl hier="44" item="2"/>
          <tpl fld="17" item="0"/>
        </tpls>
      </n>
      <m>
        <tpls c="6">
          <tpl fld="3" item="1"/>
          <tpl fld="16" item="5"/>
          <tpl hier="35" item="0"/>
          <tpl fld="12" item="2"/>
          <tpl hier="44" item="2"/>
          <tpl fld="17" item="0"/>
        </tpls>
      </m>
      <n v="-10103862">
        <tpls c="7">
          <tpl fld="7" item="0"/>
          <tpl fld="16" item="9"/>
          <tpl fld="0" item="0"/>
          <tpl fld="11" item="56"/>
          <tpl fld="12" item="16"/>
          <tpl fld="1" item="1"/>
          <tpl fld="17" item="0"/>
        </tpls>
      </n>
      <n v="2232168">
        <tpls c="7">
          <tpl fld="3" item="0"/>
          <tpl fld="16" item="3"/>
          <tpl hier="35" item="1"/>
          <tpl fld="11" item="35"/>
          <tpl fld="12" item="2"/>
          <tpl hier="44" item="2"/>
          <tpl fld="17" item="0"/>
        </tpls>
      </n>
      <n v="51784612">
        <tpls c="6">
          <tpl fld="7" item="0"/>
          <tpl fld="0" item="0"/>
          <tpl fld="11" item="40"/>
          <tpl fld="10" item="2"/>
          <tpl hier="44" item="2"/>
          <tpl fld="17" item="0"/>
        </tpls>
      </n>
      <n v="0">
        <tpls c="7">
          <tpl fld="7" item="0"/>
          <tpl fld="16" item="0"/>
          <tpl fld="0" item="0"/>
          <tpl fld="11" item="64"/>
          <tpl fld="12" item="22"/>
          <tpl fld="1" item="1"/>
          <tpl fld="17" item="0"/>
        </tpls>
      </n>
      <n v="123621">
        <tpls c="6">
          <tpl fld="6" item="2"/>
          <tpl hier="35" item="3"/>
          <tpl fld="11" item="54"/>
          <tpl fld="12" item="4"/>
          <tpl hier="44" item="2"/>
          <tpl fld="17" item="0"/>
        </tpls>
      </n>
      <n v="3153335">
        <tpls c="6">
          <tpl fld="7" item="3"/>
          <tpl fld="0" item="2"/>
          <tpl fld="11" item="67"/>
          <tpl fld="12" item="0"/>
          <tpl fld="1" item="1"/>
          <tpl fld="17" item="0"/>
        </tpls>
      </n>
      <n v="56352">
        <tpls c="6">
          <tpl fld="7" item="0"/>
          <tpl fld="0" item="0"/>
          <tpl fld="11" item="5"/>
          <tpl fld="10" item="3"/>
          <tpl hier="44" item="2"/>
          <tpl fld="17" item="0"/>
        </tpls>
      </n>
      <n v="202884">
        <tpls c="6">
          <tpl fld="7" item="1"/>
          <tpl fld="0" item="2"/>
          <tpl fld="11" item="1"/>
          <tpl fld="10" item="3"/>
          <tpl hier="44" item="2"/>
          <tpl fld="17" item="0"/>
        </tpls>
      </n>
      <n v="2419980">
        <tpls c="7">
          <tpl fld="3" item="0"/>
          <tpl fld="16" item="6"/>
          <tpl hier="35" item="1"/>
          <tpl fld="11" item="3"/>
          <tpl fld="12" item="2"/>
          <tpl hier="44" item="2"/>
          <tpl fld="17" item="0"/>
        </tpls>
      </n>
      <n v="254750">
        <tpls c="7">
          <tpl fld="3" item="0"/>
          <tpl fld="16" item="8"/>
          <tpl hier="35" item="1"/>
          <tpl fld="11" item="27"/>
          <tpl fld="12" item="3"/>
          <tpl hier="44" item="2"/>
          <tpl fld="17" item="0"/>
        </tpls>
      </n>
      <m>
        <tpls c="3">
          <tpl fld="2" item="11"/>
          <tpl fld="8" item="2"/>
          <tpl fld="17" item="3"/>
        </tpls>
      </m>
      <m>
        <tpls c="7">
          <tpl fld="3" item="1"/>
          <tpl fld="16" item="0"/>
          <tpl hier="35" item="0"/>
          <tpl fld="11" item="1"/>
          <tpl fld="12" item="1"/>
          <tpl hier="44" item="2"/>
          <tpl fld="17" item="0"/>
        </tpls>
      </m>
      <m>
        <tpls c="7">
          <tpl fld="3" item="1"/>
          <tpl fld="16" item="3"/>
          <tpl hier="35" item="0"/>
          <tpl fld="11" item="0"/>
          <tpl fld="12" item="2"/>
          <tpl hier="44" item="2"/>
          <tpl fld="17" item="0"/>
        </tpls>
      </m>
      <n v="0">
        <tpls c="6">
          <tpl fld="7" item="0"/>
          <tpl fld="16" item="6"/>
          <tpl fld="0" item="0"/>
          <tpl fld="12" item="22"/>
          <tpl fld="1" item="1"/>
          <tpl fld="17" item="0"/>
        </tpls>
      </n>
      <m>
        <tpls c="7">
          <tpl fld="3" item="1"/>
          <tpl fld="16" item="9"/>
          <tpl hier="35" item="0"/>
          <tpl fld="11" item="19"/>
          <tpl fld="12" item="2"/>
          <tpl hier="44" item="2"/>
          <tpl fld="17" item="0"/>
        </tpls>
      </m>
      <n v="2069762">
        <tpls c="7">
          <tpl fld="3" item="0"/>
          <tpl hier="10" item="4294967295"/>
          <tpl hier="35" item="1"/>
          <tpl fld="11" item="36"/>
          <tpl fld="12" item="2"/>
          <tpl hier="44" item="2"/>
          <tpl fld="17" item="0"/>
        </tpls>
      </n>
      <m>
        <tpls c="7">
          <tpl fld="3" item="0"/>
          <tpl fld="16" item="11"/>
          <tpl hier="35" item="1"/>
          <tpl fld="11" item="7"/>
          <tpl fld="12" item="4"/>
          <tpl hier="44" item="2"/>
          <tpl fld="17" item="0"/>
        </tpls>
      </m>
      <m>
        <tpls c="6">
          <tpl fld="3" item="1"/>
          <tpl hier="10" item="4294967295"/>
          <tpl hier="35" item="0"/>
          <tpl fld="12" item="9"/>
          <tpl hier="44" item="2"/>
          <tpl fld="17" item="0"/>
        </tpls>
      </m>
      <m>
        <tpls c="7">
          <tpl fld="3" item="1"/>
          <tpl fld="16" item="6"/>
          <tpl hier="35" item="0"/>
          <tpl fld="11" item="34"/>
          <tpl fld="12" item="15"/>
          <tpl hier="44" item="2"/>
          <tpl fld="17" item="0"/>
        </tpls>
      </m>
      <m>
        <tpls c="7">
          <tpl fld="3" item="1"/>
          <tpl fld="16" item="7"/>
          <tpl hier="35" item="0"/>
          <tpl fld="11" item="54"/>
          <tpl fld="12" item="4"/>
          <tpl hier="44" item="2"/>
          <tpl fld="17" item="0"/>
        </tpls>
      </m>
      <n v="0">
        <tpls c="7">
          <tpl fld="7" item="0"/>
          <tpl fld="16" item="9"/>
          <tpl fld="0" item="0"/>
          <tpl fld="11" item="53"/>
          <tpl fld="12" item="14"/>
          <tpl fld="1" item="1"/>
          <tpl fld="17" item="0"/>
        </tpls>
      </n>
      <m>
        <tpls c="7">
          <tpl fld="3" item="1"/>
          <tpl fld="16" item="11"/>
          <tpl hier="35" item="0"/>
          <tpl fld="11" item="48"/>
          <tpl fld="12" item="4"/>
          <tpl hier="44" item="2"/>
          <tpl fld="17" item="0"/>
        </tpls>
      </m>
      <m>
        <tpls c="7">
          <tpl fld="3" item="1"/>
          <tpl fld="16" item="1"/>
          <tpl hier="35" item="0"/>
          <tpl fld="11" item="48"/>
          <tpl fld="12" item="4"/>
          <tpl hier="44" item="2"/>
          <tpl fld="17" item="0"/>
        </tpls>
      </m>
      <n v="360538">
        <tpls c="7">
          <tpl fld="7" item="0"/>
          <tpl fld="16" item="9"/>
          <tpl fld="0" item="0"/>
          <tpl fld="11" item="60"/>
          <tpl fld="12" item="20"/>
          <tpl fld="1" item="1"/>
          <tpl fld="17" item="0"/>
        </tpls>
      </n>
      <n v="35397169">
        <tpls c="7">
          <tpl fld="3" item="0"/>
          <tpl hier="10" item="4294967295"/>
          <tpl hier="35" item="1"/>
          <tpl fld="11" item="35"/>
          <tpl fld="12" item="2"/>
          <tpl hier="44" item="2"/>
          <tpl fld="17" item="0"/>
        </tpls>
      </n>
      <n v="97750">
        <tpls c="7">
          <tpl fld="3" item="0"/>
          <tpl fld="16" item="10"/>
          <tpl hier="35" item="1"/>
          <tpl fld="11" item="39"/>
          <tpl fld="12" item="3"/>
          <tpl hier="44" item="2"/>
          <tpl fld="17" item="0"/>
        </tpls>
      </n>
      <n v="-203328">
        <tpls c="7">
          <tpl fld="7" item="0"/>
          <tpl fld="16" item="7"/>
          <tpl fld="0" item="0"/>
          <tpl fld="11" item="62"/>
          <tpl fld="12" item="13"/>
          <tpl fld="1" item="1"/>
          <tpl fld="17" item="0"/>
        </tpls>
      </n>
      <n v="0">
        <tpls c="7">
          <tpl fld="7" item="0"/>
          <tpl fld="16" item="5"/>
          <tpl fld="0" item="0"/>
          <tpl fld="11" item="65"/>
          <tpl fld="12" item="12"/>
          <tpl fld="1" item="1"/>
          <tpl fld="17" item="0"/>
        </tpls>
      </n>
      <m>
        <tpls c="7">
          <tpl fld="3" item="1"/>
          <tpl fld="16" item="10"/>
          <tpl hier="35" item="0"/>
          <tpl fld="11" item="35"/>
          <tpl fld="12" item="2"/>
          <tpl hier="44" item="2"/>
          <tpl fld="17" item="0"/>
        </tpls>
      </m>
      <n v="876105">
        <tpls c="6">
          <tpl fld="7" item="0"/>
          <tpl fld="0" item="0"/>
          <tpl fld="11" item="16"/>
          <tpl fld="12" item="3"/>
          <tpl hier="44" item="2"/>
          <tpl fld="17" item="0"/>
        </tpls>
      </n>
      <m>
        <tpls c="7">
          <tpl fld="3" item="1"/>
          <tpl fld="16" item="5"/>
          <tpl hier="35" item="0"/>
          <tpl fld="11" item="31"/>
          <tpl fld="12" item="3"/>
          <tpl hier="44" item="2"/>
          <tpl fld="17" item="0"/>
        </tpls>
      </m>
      <m>
        <tpls c="7">
          <tpl fld="3" item="1"/>
          <tpl fld="16" item="10"/>
          <tpl hier="35" item="0"/>
          <tpl fld="11" item="9"/>
          <tpl fld="12" item="4"/>
          <tpl hier="44" item="2"/>
          <tpl fld="17" item="0"/>
        </tpls>
      </m>
      <m>
        <tpls c="7">
          <tpl fld="3" item="1"/>
          <tpl fld="16" item="1"/>
          <tpl hier="35" item="0"/>
          <tpl fld="11" item="50"/>
          <tpl fld="12" item="11"/>
          <tpl hier="44" item="2"/>
          <tpl fld="17" item="0"/>
        </tpls>
      </m>
      <m>
        <tpls c="7">
          <tpl fld="3" item="1"/>
          <tpl fld="16" item="6"/>
          <tpl hier="35" item="0"/>
          <tpl fld="11" item="1"/>
          <tpl fld="12" item="1"/>
          <tpl hier="44" item="2"/>
          <tpl fld="17" item="0"/>
        </tpls>
      </m>
      <m>
        <tpls c="7">
          <tpl fld="3" item="1"/>
          <tpl fld="16" item="7"/>
          <tpl hier="35" item="0"/>
          <tpl fld="11" item="4"/>
          <tpl fld="12" item="1"/>
          <tpl hier="44" item="2"/>
          <tpl fld="17" item="0"/>
        </tpls>
      </m>
      <m>
        <tpls c="7">
          <tpl fld="3" item="0"/>
          <tpl fld="16" item="11"/>
          <tpl hier="35" item="1"/>
          <tpl fld="11" item="26"/>
          <tpl fld="12" item="2"/>
          <tpl hier="44" item="2"/>
          <tpl fld="17" item="0"/>
        </tpls>
      </m>
      <n v="119100">
        <tpls c="6">
          <tpl fld="6" item="3"/>
          <tpl hier="35" item="3"/>
          <tpl fld="11" item="15"/>
          <tpl fld="12" item="3"/>
          <tpl hier="44" item="2"/>
          <tpl fld="17" item="0"/>
        </tpls>
      </n>
      <n v="0">
        <tpls c="7">
          <tpl fld="7" item="0"/>
          <tpl fld="16" item="9"/>
          <tpl fld="0" item="0"/>
          <tpl fld="11" item="21"/>
          <tpl fld="12" item="10"/>
          <tpl fld="1" item="1"/>
          <tpl fld="17" item="0"/>
        </tpls>
      </n>
      <m>
        <tpls c="7">
          <tpl fld="3" item="1"/>
          <tpl fld="16" item="10"/>
          <tpl hier="35" item="0"/>
          <tpl fld="11" item="34"/>
          <tpl fld="12" item="15"/>
          <tpl hier="44" item="2"/>
          <tpl fld="17" item="0"/>
        </tpls>
      </m>
      <n v="218748">
        <tpls c="6">
          <tpl fld="6" item="0"/>
          <tpl hier="35" item="1"/>
          <tpl fld="11" item="14"/>
          <tpl fld="10" item="2"/>
          <tpl hier="44" item="2"/>
          <tpl fld="17" item="0"/>
        </tpls>
      </n>
      <n v="294526">
        <tpls c="6">
          <tpl fld="7" item="1"/>
          <tpl fld="0" item="2"/>
          <tpl fld="11" item="50"/>
          <tpl fld="10" item="2"/>
          <tpl hier="44" item="2"/>
          <tpl fld="17" item="0"/>
        </tpls>
      </n>
      <m>
        <tpls c="3">
          <tpl fld="2" item="15"/>
          <tpl fld="8" item="8"/>
          <tpl fld="17" item="3"/>
        </tpls>
      </m>
      <n v="0">
        <tpls c="7">
          <tpl fld="7" item="0"/>
          <tpl fld="16" item="8"/>
          <tpl fld="0" item="0"/>
          <tpl fld="11" item="69"/>
          <tpl fld="12" item="7"/>
          <tpl fld="1" item="1"/>
          <tpl fld="17" item="0"/>
        </tpls>
      </n>
      <n v="300">
        <tpls c="7">
          <tpl fld="3" item="0"/>
          <tpl fld="16" item="1"/>
          <tpl hier="35" item="1"/>
          <tpl fld="11" item="1"/>
          <tpl fld="12" item="1"/>
          <tpl hier="44" item="2"/>
          <tpl fld="17" item="0"/>
        </tpls>
      </n>
      <m>
        <tpls c="7">
          <tpl fld="3" item="1"/>
          <tpl fld="16" item="6"/>
          <tpl hier="35" item="0"/>
          <tpl fld="11" item="43"/>
          <tpl fld="12" item="3"/>
          <tpl hier="44" item="2"/>
          <tpl fld="17" item="0"/>
        </tpls>
      </m>
      <n v="3930000">
        <tpls c="6">
          <tpl fld="6" item="1"/>
          <tpl hier="35" item="3"/>
          <tpl fld="11" item="37"/>
          <tpl fld="12" item="11"/>
          <tpl hier="44" item="2"/>
          <tpl fld="17" item="0"/>
        </tpls>
      </n>
      <n v="254750">
        <tpls c="7">
          <tpl fld="3" item="0"/>
          <tpl fld="16" item="10"/>
          <tpl hier="35" item="1"/>
          <tpl fld="11" item="27"/>
          <tpl fld="12" item="3"/>
          <tpl hier="44" item="2"/>
          <tpl fld="17" item="0"/>
        </tpls>
      </n>
      <n v="24167">
        <tpls c="7">
          <tpl fld="3" item="0"/>
          <tpl fld="16" item="7"/>
          <tpl hier="35" item="1"/>
          <tpl fld="11" item="50"/>
          <tpl fld="12" item="11"/>
          <tpl hier="44" item="2"/>
          <tpl fld="17" item="0"/>
        </tpls>
      </n>
      <n v="6646037">
        <tpls c="6">
          <tpl fld="3" item="0"/>
          <tpl fld="16" item="7"/>
          <tpl hier="35" item="1"/>
          <tpl fld="12" item="3"/>
          <tpl hier="44" item="2"/>
          <tpl fld="17" item="0"/>
        </tpls>
      </n>
      <m>
        <tpls c="7">
          <tpl fld="3" item="1"/>
          <tpl fld="16" item="10"/>
          <tpl hier="35" item="0"/>
          <tpl fld="11" item="8"/>
          <tpl fld="12" item="3"/>
          <tpl hier="44" item="2"/>
          <tpl fld="17" item="0"/>
        </tpls>
      </m>
      <n v="1310000">
        <tpls c="7">
          <tpl fld="3" item="0"/>
          <tpl fld="16" item="6"/>
          <tpl hier="35" item="1"/>
          <tpl fld="11" item="37"/>
          <tpl fld="12" item="11"/>
          <tpl hier="44" item="2"/>
          <tpl fld="17" item="0"/>
        </tpls>
      </n>
      <m>
        <tpls c="7">
          <tpl fld="3" item="1"/>
          <tpl fld="16" item="3"/>
          <tpl hier="35" item="0"/>
          <tpl fld="11" item="54"/>
          <tpl fld="12" item="4"/>
          <tpl hier="44" item="2"/>
          <tpl fld="17" item="0"/>
        </tpls>
      </m>
      <n v="2519003">
        <tpls c="7">
          <tpl fld="3" item="0"/>
          <tpl fld="16" item="11"/>
          <tpl hier="35" item="1"/>
          <tpl fld="11" item="35"/>
          <tpl fld="12" item="2"/>
          <tpl hier="44" item="2"/>
          <tpl fld="17" item="0"/>
        </tpls>
      </n>
      <m>
        <tpls c="3">
          <tpl fld="2" item="0"/>
          <tpl fld="8" item="6"/>
          <tpl fld="17" item="3"/>
        </tpls>
      </m>
      <m>
        <tpls c="7">
          <tpl fld="3" item="1"/>
          <tpl fld="16" item="0"/>
          <tpl hier="35" item="0"/>
          <tpl fld="11" item="0"/>
          <tpl fld="12" item="2"/>
          <tpl hier="44" item="2"/>
          <tpl fld="17" item="0"/>
        </tpls>
      </m>
      <n v="-1545322">
        <tpls c="6">
          <tpl fld="7" item="0"/>
          <tpl fld="16" item="9"/>
          <tpl fld="0" item="0"/>
          <tpl fld="12" item="10"/>
          <tpl fld="1" item="1"/>
          <tpl fld="17" item="0"/>
        </tpls>
      </n>
      <m>
        <tpls c="7">
          <tpl fld="3" item="1"/>
          <tpl fld="16" item="3"/>
          <tpl hier="35" item="0"/>
          <tpl fld="11" item="49"/>
          <tpl fld="12" item="9"/>
          <tpl hier="44" item="2"/>
          <tpl fld="17" item="0"/>
        </tpls>
      </m>
      <m>
        <tpls c="3">
          <tpl fld="2" item="4"/>
          <tpl fld="8" item="5"/>
          <tpl fld="17" item="3"/>
        </tpls>
      </m>
      <n v="11800000">
        <tpls c="3">
          <tpl fld="8" item="4"/>
          <tpl hier="22" item="4294967295"/>
          <tpl fld="17" item="3"/>
        </tpls>
      </n>
      <n v="772520">
        <tpls c="6">
          <tpl fld="7" item="1"/>
          <tpl fld="0" item="2"/>
          <tpl fld="11" item="43"/>
          <tpl fld="10" item="2"/>
          <tpl hier="44" item="2"/>
          <tpl fld="17" item="0"/>
        </tpls>
      </n>
      <n v="0">
        <tpls c="7">
          <tpl fld="3" item="0"/>
          <tpl fld="16" item="8"/>
          <tpl hier="35" item="1"/>
          <tpl fld="11" item="32"/>
          <tpl fld="12" item="2"/>
          <tpl hier="44" item="2"/>
          <tpl fld="17" item="0"/>
        </tpls>
      </n>
      <n v="325000">
        <tpls c="7">
          <tpl fld="3" item="0"/>
          <tpl fld="16" item="6"/>
          <tpl hier="35" item="1"/>
          <tpl fld="11" item="23"/>
          <tpl fld="12" item="11"/>
          <tpl hier="44" item="2"/>
          <tpl fld="17" item="0"/>
        </tpls>
      </n>
      <n v="-2184">
        <tpls c="6">
          <tpl fld="7" item="0"/>
          <tpl fld="16" item="7"/>
          <tpl fld="0" item="0"/>
          <tpl fld="12" item="0"/>
          <tpl fld="1" item="1"/>
          <tpl fld="17" item="0"/>
        </tpls>
      </n>
      <n v="0">
        <tpls c="6">
          <tpl fld="7" item="0"/>
          <tpl fld="16" item="2"/>
          <tpl fld="0" item="0"/>
          <tpl fld="12" item="14"/>
          <tpl fld="1" item="1"/>
          <tpl fld="17" item="0"/>
        </tpls>
      </n>
      <n v="123049">
        <tpls c="6">
          <tpl fld="7" item="0"/>
          <tpl fld="16" item="2"/>
          <tpl fld="0" item="0"/>
          <tpl fld="12" item="0"/>
          <tpl fld="1" item="1"/>
          <tpl fld="17" item="0"/>
        </tpls>
      </n>
      <n v="1982682">
        <tpls c="6">
          <tpl fld="7" item="1"/>
          <tpl fld="0" item="2"/>
          <tpl fld="11" item="36"/>
          <tpl fld="10" item="0"/>
          <tpl hier="44" item="2"/>
          <tpl fld="17" item="0"/>
        </tpls>
      </n>
      <n v="13234">
        <tpls c="6">
          <tpl fld="7" item="0"/>
          <tpl fld="16" item="7"/>
          <tpl fld="0" item="0"/>
          <tpl fld="12" item="7"/>
          <tpl fld="1" item="1"/>
          <tpl fld="17" item="0"/>
        </tpls>
      </n>
      <n v="5378033">
        <tpls c="6">
          <tpl fld="3" item="0"/>
          <tpl fld="16" item="2"/>
          <tpl hier="35" item="1"/>
          <tpl fld="12" item="18"/>
          <tpl hier="44" item="2"/>
          <tpl fld="17" item="0"/>
        </tpls>
      </n>
      <n v="22093">
        <tpls c="6">
          <tpl fld="6" item="0"/>
          <tpl hier="35" item="1"/>
          <tpl fld="11" item="54"/>
          <tpl fld="10" item="1"/>
          <tpl hier="44" item="2"/>
          <tpl fld="17" item="0"/>
        </tpls>
      </n>
      <n v="0">
        <tpls c="7">
          <tpl fld="7" item="0"/>
          <tpl fld="16" item="5"/>
          <tpl fld="0" item="0"/>
          <tpl fld="11" item="13"/>
          <tpl fld="12" item="5"/>
          <tpl fld="1" item="1"/>
          <tpl fld="17" item="0"/>
        </tpls>
      </n>
      <m>
        <tpls c="7">
          <tpl fld="3" item="1"/>
          <tpl fld="16" item="10"/>
          <tpl hier="35" item="0"/>
          <tpl fld="11" item="1"/>
          <tpl fld="12" item="1"/>
          <tpl hier="44" item="2"/>
          <tpl fld="17" item="0"/>
        </tpls>
      </m>
      <n v="0">
        <tpls c="6">
          <tpl fld="7" item="0"/>
          <tpl fld="16" item="1"/>
          <tpl fld="0" item="0"/>
          <tpl fld="12" item="8"/>
          <tpl fld="1" item="1"/>
          <tpl fld="17" item="0"/>
        </tpls>
      </n>
      <n v="11800108">
        <tpls c="7">
          <tpl fld="7" item="0"/>
          <tpl hier="10" item="4294967295"/>
          <tpl fld="0" item="0"/>
          <tpl fld="11" item="57"/>
          <tpl fld="12" item="7"/>
          <tpl fld="1" item="1"/>
          <tpl fld="17" item="0"/>
        </tpls>
      </n>
      <m>
        <tpls c="7">
          <tpl fld="3" item="1"/>
          <tpl hier="10" item="4294967295"/>
          <tpl hier="35" item="0"/>
          <tpl fld="11" item="1"/>
          <tpl fld="12" item="1"/>
          <tpl hier="44" item="2"/>
          <tpl fld="17" item="0"/>
        </tpls>
      </m>
      <n v="52362">
        <tpls c="6">
          <tpl fld="6" item="2"/>
          <tpl hier="35" item="1"/>
          <tpl fld="11" item="11"/>
          <tpl fld="10" item="0"/>
          <tpl hier="44" item="2"/>
          <tpl fld="17" item="0"/>
        </tpls>
      </n>
      <n v="1310000">
        <tpls c="7">
          <tpl fld="3" item="0"/>
          <tpl fld="16" item="8"/>
          <tpl hier="35" item="1"/>
          <tpl fld="11" item="37"/>
          <tpl fld="12" item="11"/>
          <tpl hier="44" item="2"/>
          <tpl fld="17" item="0"/>
        </tpls>
      </n>
      <n v="0">
        <tpls c="6">
          <tpl fld="7" item="0"/>
          <tpl fld="16" item="3"/>
          <tpl fld="0" item="0"/>
          <tpl fld="12" item="12"/>
          <tpl fld="1" item="1"/>
          <tpl fld="17" item="0"/>
        </tpls>
      </n>
      <m>
        <tpls c="7">
          <tpl fld="3" item="1"/>
          <tpl fld="16" item="1"/>
          <tpl hier="35" item="0"/>
          <tpl fld="11" item="6"/>
          <tpl fld="12" item="3"/>
          <tpl hier="44" item="2"/>
          <tpl fld="17" item="0"/>
        </tpls>
      </m>
      <n v="418525">
        <tpls c="7">
          <tpl fld="3" item="0"/>
          <tpl fld="16" item="9"/>
          <tpl hier="35" item="1"/>
          <tpl fld="11" item="22"/>
          <tpl fld="12" item="4"/>
          <tpl hier="44" item="2"/>
          <tpl fld="17" item="0"/>
        </tpls>
      </n>
      <m>
        <tpls c="3">
          <tpl fld="2" item="0"/>
          <tpl fld="8" item="10"/>
          <tpl fld="17" item="3"/>
        </tpls>
      </m>
      <n v="1679292">
        <tpls c="7">
          <tpl fld="7" item="0"/>
          <tpl fld="16" item="0"/>
          <tpl fld="0" item="0"/>
          <tpl fld="11" item="46"/>
          <tpl fld="12" item="13"/>
          <tpl fld="1" item="1"/>
          <tpl fld="17" item="0"/>
        </tpls>
      </n>
      <m>
        <tpls c="7">
          <tpl fld="3" item="1"/>
          <tpl fld="16" item="9"/>
          <tpl hier="35" item="0"/>
          <tpl fld="11" item="1"/>
          <tpl fld="12" item="1"/>
          <tpl hier="44" item="2"/>
          <tpl fld="17" item="0"/>
        </tpls>
      </m>
      <m>
        <tpls c="7">
          <tpl fld="3" item="0"/>
          <tpl hier="10" item="4294967295"/>
          <tpl hier="35" item="1"/>
          <tpl fld="11" item="7"/>
          <tpl fld="12" item="4"/>
          <tpl hier="44" item="2"/>
          <tpl fld="17" item="0"/>
        </tpls>
      </m>
      <n v="318248">
        <tpls c="6">
          <tpl fld="6" item="0"/>
          <tpl hier="35" item="1"/>
          <tpl fld="11" item="19"/>
          <tpl fld="10" item="0"/>
          <tpl hier="44" item="2"/>
          <tpl fld="17" item="0"/>
        </tpls>
      </n>
      <n v="525158">
        <tpls c="6">
          <tpl fld="3" item="0"/>
          <tpl fld="16" item="1"/>
          <tpl hier="35" item="1"/>
          <tpl fld="12" item="4"/>
          <tpl hier="44" item="2"/>
          <tpl fld="17" item="0"/>
        </tpls>
      </n>
      <n v="2696710">
        <tpls c="7">
          <tpl fld="3" item="0"/>
          <tpl fld="16" item="8"/>
          <tpl hier="35" item="1"/>
          <tpl fld="11" item="35"/>
          <tpl fld="12" item="2"/>
          <tpl hier="44" item="2"/>
          <tpl fld="17" item="0"/>
        </tpls>
      </n>
      <n v="3930000">
        <tpls c="6">
          <tpl fld="6" item="1"/>
          <tpl hier="35" item="1"/>
          <tpl fld="11" item="37"/>
          <tpl fld="10" item="2"/>
          <tpl hier="44" item="2"/>
          <tpl fld="17" item="0"/>
        </tpls>
      </n>
      <n v="-173856">
        <tpls c="7">
          <tpl fld="7" item="0"/>
          <tpl fld="16" item="11"/>
          <tpl fld="0" item="0"/>
          <tpl fld="11" item="46"/>
          <tpl fld="12" item="13"/>
          <tpl fld="1" item="1"/>
          <tpl fld="17" item="0"/>
        </tpls>
      </n>
      <n v="54248538">
        <tpls c="6">
          <tpl fld="7" item="1"/>
          <tpl fld="0" item="2"/>
          <tpl fld="11" item="28"/>
          <tpl fld="12" item="13"/>
          <tpl fld="1" item="1"/>
          <tpl fld="17" item="0"/>
        </tpls>
      </n>
      <n v="9450000">
        <tpls c="3">
          <tpl fld="5" item="4"/>
          <tpl fld="4" item="1"/>
          <tpl fld="17" item="3"/>
        </tpls>
      </n>
      <n v="0">
        <tpls c="7">
          <tpl fld="7" item="0"/>
          <tpl fld="16" item="8"/>
          <tpl fld="0" item="0"/>
          <tpl fld="11" item="64"/>
          <tpl fld="12" item="22"/>
          <tpl fld="1" item="1"/>
          <tpl fld="17" item="0"/>
        </tpls>
      </n>
      <n v="201106">
        <tpls c="6">
          <tpl fld="7" item="0"/>
          <tpl fld="0" item="0"/>
          <tpl fld="11" item="1"/>
          <tpl fld="12" item="1"/>
          <tpl hier="44" item="2"/>
          <tpl fld="17" item="0"/>
        </tpls>
      </n>
      <m>
        <tpls c="6">
          <tpl fld="3" item="1"/>
          <tpl fld="16" item="7"/>
          <tpl hier="35" item="0"/>
          <tpl fld="12" item="21"/>
          <tpl hier="44" item="2"/>
          <tpl fld="17" item="0"/>
        </tpls>
      </m>
      <n v="6000">
        <tpls c="7">
          <tpl fld="3" item="0"/>
          <tpl fld="16" item="0"/>
          <tpl hier="35" item="1"/>
          <tpl fld="11" item="5"/>
          <tpl fld="12" item="1"/>
          <tpl hier="44" item="2"/>
          <tpl fld="17" item="0"/>
        </tpls>
      </n>
      <n v="2713360">
        <tpls c="6">
          <tpl fld="7" item="1"/>
          <tpl fld="0" item="2"/>
          <tpl fld="11" item="5"/>
          <tpl fld="10" item="3"/>
          <tpl hier="44" item="2"/>
          <tpl fld="17" item="0"/>
        </tpls>
      </n>
      <n v="16955209">
        <tpls c="6">
          <tpl fld="3" item="0"/>
          <tpl fld="16" item="0"/>
          <tpl hier="35" item="1"/>
          <tpl fld="12" item="2"/>
          <tpl hier="44" item="2"/>
          <tpl fld="17" item="0"/>
        </tpls>
      </n>
      <m>
        <tpls c="6">
          <tpl fld="7" item="0"/>
          <tpl fld="0" item="0"/>
          <tpl fld="11" item="26"/>
          <tpl fld="12" item="2"/>
          <tpl hier="44" item="2"/>
          <tpl fld="17" item="0"/>
        </tpls>
      </m>
      <n v="0">
        <tpls c="7">
          <tpl fld="3" item="0"/>
          <tpl fld="16" item="7"/>
          <tpl hier="35" item="1"/>
          <tpl fld="11" item="25"/>
          <tpl fld="12" item="2"/>
          <tpl hier="44" item="2"/>
          <tpl fld="17" item="0"/>
        </tpls>
      </n>
      <n v="1414790">
        <tpls c="5">
          <tpl fld="6" item="1"/>
          <tpl hier="35" item="3"/>
          <tpl fld="12" item="4"/>
          <tpl hier="44" item="2"/>
          <tpl fld="17" item="0"/>
        </tpls>
      </n>
      <n v="0">
        <tpls c="7">
          <tpl fld="7" item="0"/>
          <tpl fld="16" item="2"/>
          <tpl fld="0" item="0"/>
          <tpl fld="11" item="65"/>
          <tpl fld="12" item="12"/>
          <tpl fld="1" item="1"/>
          <tpl fld="17" item="0"/>
        </tpls>
      </n>
      <n v="318248">
        <tpls c="6">
          <tpl fld="6" item="0"/>
          <tpl hier="35" item="3"/>
          <tpl fld="11" item="19"/>
          <tpl fld="12" item="2"/>
          <tpl hier="44" item="2"/>
          <tpl fld="17" item="0"/>
        </tpls>
      </n>
      <n v="19531872">
        <tpls c="6">
          <tpl fld="3" item="0"/>
          <tpl fld="16" item="4"/>
          <tpl hier="35" item="1"/>
          <tpl fld="12" item="9"/>
          <tpl hier="44" item="2"/>
          <tpl fld="17" item="0"/>
        </tpls>
      </n>
      <n v="84131">
        <tpls c="7">
          <tpl fld="3" item="0"/>
          <tpl fld="16" item="8"/>
          <tpl hier="35" item="1"/>
          <tpl fld="11" item="41"/>
          <tpl fld="12" item="2"/>
          <tpl hier="44" item="2"/>
          <tpl fld="17" item="0"/>
        </tpls>
      </n>
      <m>
        <tpls c="7">
          <tpl fld="3" item="1"/>
          <tpl fld="16" item="2"/>
          <tpl hier="35" item="0"/>
          <tpl fld="11" item="30"/>
          <tpl fld="12" item="15"/>
          <tpl hier="44" item="2"/>
          <tpl fld="17" item="0"/>
        </tpls>
      </m>
      <m>
        <tpls c="7">
          <tpl fld="3" item="1"/>
          <tpl fld="16" item="1"/>
          <tpl hier="35" item="0"/>
          <tpl fld="11" item="26"/>
          <tpl fld="12" item="2"/>
          <tpl hier="44" item="2"/>
          <tpl fld="17" item="0"/>
        </tpls>
      </m>
      <n v="19605285">
        <tpls c="7">
          <tpl fld="3" item="0"/>
          <tpl fld="16" item="8"/>
          <tpl hier="35" item="1"/>
          <tpl fld="11" item="49"/>
          <tpl fld="12" item="9"/>
          <tpl hier="44" item="2"/>
          <tpl fld="17" item="0"/>
        </tpls>
      </n>
      <n v="259540">
        <tpls c="7">
          <tpl fld="7" item="0"/>
          <tpl fld="16" item="0"/>
          <tpl fld="0" item="0"/>
          <tpl fld="11" item="70"/>
          <tpl fld="12" item="20"/>
          <tpl fld="1" item="1"/>
          <tpl fld="17" item="0"/>
        </tpls>
      </n>
      <n v="0">
        <tpls c="6">
          <tpl fld="7" item="0"/>
          <tpl fld="16" item="7"/>
          <tpl fld="0" item="0"/>
          <tpl fld="12" item="22"/>
          <tpl fld="1" item="1"/>
          <tpl fld="17" item="0"/>
        </tpls>
      </n>
      <m>
        <tpls c="7">
          <tpl fld="3" item="1"/>
          <tpl fld="16" item="3"/>
          <tpl hier="35" item="0"/>
          <tpl fld="11" item="30"/>
          <tpl fld="12" item="15"/>
          <tpl hier="44" item="2"/>
          <tpl fld="17" item="0"/>
        </tpls>
      </m>
      <n v="0">
        <tpls c="6">
          <tpl fld="7" item="0"/>
          <tpl fld="16" item="2"/>
          <tpl fld="0" item="0"/>
          <tpl fld="12" item="6"/>
          <tpl fld="1" item="1"/>
          <tpl fld="17" item="0"/>
        </tpls>
      </n>
      <n v="6061072">
        <tpls c="7">
          <tpl fld="7" item="0"/>
          <tpl fld="16" item="0"/>
          <tpl fld="0" item="0"/>
          <tpl fld="11" item="51"/>
          <tpl fld="12" item="7"/>
          <tpl fld="1" item="1"/>
          <tpl fld="17" item="0"/>
        </tpls>
      </n>
      <m>
        <tpls c="7">
          <tpl fld="3" item="1"/>
          <tpl fld="16" item="2"/>
          <tpl hier="35" item="0"/>
          <tpl fld="11" item="31"/>
          <tpl fld="12" item="3"/>
          <tpl hier="44" item="2"/>
          <tpl fld="17" item="0"/>
        </tpls>
      </m>
      <n v="2750">
        <tpls c="7">
          <tpl fld="3" item="0"/>
          <tpl fld="16" item="6"/>
          <tpl hier="35" item="1"/>
          <tpl fld="11" item="38"/>
          <tpl fld="12" item="11"/>
          <tpl hier="44" item="2"/>
          <tpl fld="17" item="0"/>
        </tpls>
      </n>
      <n v="0">
        <tpls c="6">
          <tpl fld="6" item="3"/>
          <tpl hier="35" item="1"/>
          <tpl fld="11" item="9"/>
          <tpl fld="10" item="1"/>
          <tpl hier="44" item="2"/>
          <tpl fld="17" item="0"/>
        </tpls>
      </n>
      <n v="2896224">
        <tpls c="7">
          <tpl fld="3" item="0"/>
          <tpl fld="16" item="10"/>
          <tpl hier="35" item="1"/>
          <tpl fld="11" item="35"/>
          <tpl fld="12" item="2"/>
          <tpl hier="44" item="2"/>
          <tpl fld="17" item="0"/>
        </tpls>
      </n>
      <m>
        <tpls c="6">
          <tpl fld="3" item="1"/>
          <tpl fld="16" item="2"/>
          <tpl hier="35" item="0"/>
          <tpl fld="12" item="21"/>
          <tpl hier="44" item="2"/>
          <tpl fld="17" item="0"/>
        </tpls>
      </m>
      <n v="0">
        <tpls c="7">
          <tpl fld="3" item="0"/>
          <tpl fld="16" item="7"/>
          <tpl hier="35" item="1"/>
          <tpl fld="11" item="44"/>
          <tpl fld="12" item="3"/>
          <tpl hier="44" item="2"/>
          <tpl fld="17" item="0"/>
        </tpls>
      </n>
      <n v="1200">
        <tpls c="6">
          <tpl fld="7" item="0"/>
          <tpl fld="0" item="0"/>
          <tpl fld="11" item="59"/>
          <tpl fld="10" item="3"/>
          <tpl hier="44" item="2"/>
          <tpl fld="17" item="0"/>
        </tpls>
      </n>
      <n v="11800000">
        <tpls c="3">
          <tpl fld="8" item="4"/>
          <tpl fld="4" item="1"/>
          <tpl fld="17" item="3"/>
        </tpls>
      </n>
      <m>
        <tpls c="7">
          <tpl fld="3" item="1"/>
          <tpl fld="16" item="10"/>
          <tpl hier="35" item="0"/>
          <tpl fld="11" item="22"/>
          <tpl fld="12" item="4"/>
          <tpl hier="44" item="2"/>
          <tpl fld="17" item="0"/>
        </tpls>
      </m>
      <n v="0">
        <tpls c="7">
          <tpl fld="7" item="0"/>
          <tpl fld="16" item="0"/>
          <tpl fld="0" item="0"/>
          <tpl fld="11" item="68"/>
          <tpl fld="12" item="17"/>
          <tpl fld="1" item="1"/>
          <tpl fld="17" item="0"/>
        </tpls>
      </n>
      <n v="15000000">
        <tpls c="3">
          <tpl fld="2" item="18"/>
          <tpl fld="8" item="2"/>
          <tpl fld="17" item="3"/>
        </tpls>
      </n>
      <n v="104167">
        <tpls c="7">
          <tpl fld="3" item="0"/>
          <tpl fld="16" item="6"/>
          <tpl hier="35" item="1"/>
          <tpl fld="11" item="43"/>
          <tpl fld="12" item="3"/>
          <tpl hier="44" item="2"/>
          <tpl fld="17" item="0"/>
        </tpls>
      </n>
      <n v="1260000">
        <tpls c="3">
          <tpl fld="8" item="6"/>
          <tpl hier="22" item="4294967295"/>
          <tpl fld="17" item="3"/>
        </tpls>
      </n>
      <m>
        <tpls c="3">
          <tpl fld="2" item="20"/>
          <tpl fld="8" item="1"/>
          <tpl fld="17" item="3"/>
        </tpls>
      </m>
      <n v="64523525">
        <tpls c="5">
          <tpl fld="6" item="0"/>
          <tpl hier="35" item="3"/>
          <tpl fld="12" item="2"/>
          <tpl hier="44" item="2"/>
          <tpl fld="17" item="0"/>
        </tpls>
      </n>
      <n v="21300">
        <tpls c="7">
          <tpl fld="3" item="0"/>
          <tpl fld="16" item="6"/>
          <tpl hier="35" item="1"/>
          <tpl fld="11" item="54"/>
          <tpl fld="12" item="4"/>
          <tpl hier="44" item="2"/>
          <tpl fld="17" item="0"/>
        </tpls>
      </n>
      <m>
        <tpls c="7">
          <tpl fld="3" item="1"/>
          <tpl fld="16" item="10"/>
          <tpl hier="35" item="0"/>
          <tpl fld="11" item="16"/>
          <tpl fld="12" item="3"/>
          <tpl hier="44" item="2"/>
          <tpl fld="17" item="0"/>
        </tpls>
      </m>
      <n v="88216">
        <tpls c="7">
          <tpl fld="3" item="0"/>
          <tpl fld="16" item="6"/>
          <tpl hier="35" item="1"/>
          <tpl fld="11" item="19"/>
          <tpl fld="12" item="2"/>
          <tpl hier="44" item="2"/>
          <tpl fld="17" item="0"/>
        </tpls>
      </n>
      <n v="1968404">
        <tpls c="6">
          <tpl fld="7" item="0"/>
          <tpl fld="0" item="0"/>
          <tpl fld="11" item="36"/>
          <tpl fld="12" item="2"/>
          <tpl hier="44" item="2"/>
          <tpl fld="17" item="0"/>
        </tpls>
      </n>
      <m>
        <tpls c="7">
          <tpl fld="3" item="0"/>
          <tpl fld="16" item="9"/>
          <tpl hier="35" item="1"/>
          <tpl fld="11" item="4"/>
          <tpl fld="12" item="1"/>
          <tpl hier="44" item="2"/>
          <tpl fld="17" item="0"/>
        </tpls>
      </m>
      <n v="0">
        <tpls c="6">
          <tpl fld="7" item="0"/>
          <tpl fld="16" item="5"/>
          <tpl fld="0" item="0"/>
          <tpl fld="12" item="14"/>
          <tpl fld="1" item="1"/>
          <tpl fld="17" item="0"/>
        </tpls>
      </n>
      <n v="-1959629">
        <tpls c="7">
          <tpl fld="7" item="0"/>
          <tpl fld="16" item="1"/>
          <tpl fld="0" item="0"/>
          <tpl fld="11" item="28"/>
          <tpl fld="12" item="13"/>
          <tpl fld="1" item="1"/>
          <tpl fld="17" item="0"/>
        </tpls>
      </n>
      <n v="-392981">
        <tpls c="6">
          <tpl fld="7" item="0"/>
          <tpl fld="16" item="5"/>
          <tpl fld="0" item="0"/>
          <tpl fld="12" item="19"/>
          <tpl fld="1" item="1"/>
          <tpl fld="17" item="0"/>
        </tpls>
      </n>
      <n v="4331802">
        <tpls c="6">
          <tpl fld="6" item="3"/>
          <tpl hier="35" item="1"/>
          <tpl fld="11" item="6"/>
          <tpl fld="10" item="2"/>
          <tpl hier="44" item="2"/>
          <tpl fld="17" item="0"/>
        </tpls>
      </n>
      <m>
        <tpls c="3">
          <tpl fld="2" item="17"/>
          <tpl fld="8" item="7"/>
          <tpl fld="17" item="3"/>
        </tpls>
      </m>
      <n v="0">
        <tpls c="7">
          <tpl fld="7" item="0"/>
          <tpl fld="16" item="7"/>
          <tpl fld="0" item="0"/>
          <tpl fld="11" item="29"/>
          <tpl fld="12" item="8"/>
          <tpl fld="1" item="1"/>
          <tpl fld="17" item="0"/>
        </tpls>
      </n>
      <n v="1930">
        <tpls c="6">
          <tpl fld="3" item="0"/>
          <tpl fld="16" item="6"/>
          <tpl hier="35" item="1"/>
          <tpl fld="12" item="15"/>
          <tpl hier="44" item="2"/>
          <tpl fld="17" item="0"/>
        </tpls>
      </n>
      <n v="7711592">
        <tpls c="7">
          <tpl fld="3" item="0"/>
          <tpl fld="16" item="0"/>
          <tpl hier="35" item="1"/>
          <tpl fld="11" item="18"/>
          <tpl fld="12" item="2"/>
          <tpl hier="44" item="2"/>
          <tpl fld="17" item="0"/>
        </tpls>
      </n>
      <m>
        <tpls c="7">
          <tpl fld="3" item="1"/>
          <tpl fld="16" item="11"/>
          <tpl hier="35" item="0"/>
          <tpl fld="11" item="44"/>
          <tpl fld="12" item="3"/>
          <tpl hier="44" item="2"/>
          <tpl fld="17" item="0"/>
        </tpls>
      </m>
      <n v="1432221">
        <tpls c="7">
          <tpl fld="7" item="0"/>
          <tpl fld="16" item="1"/>
          <tpl fld="0" item="0"/>
          <tpl fld="11" item="47"/>
          <tpl fld="12" item="10"/>
          <tpl fld="1" item="1"/>
          <tpl fld="17" item="0"/>
        </tpls>
      </n>
      <n v="44069071">
        <tpls c="7">
          <tpl fld="7" item="0"/>
          <tpl hier="10" item="4294967295"/>
          <tpl fld="0" item="0"/>
          <tpl fld="11" item="28"/>
          <tpl fld="12" item="13"/>
          <tpl fld="1" item="1"/>
          <tpl fld="17" item="0"/>
        </tpls>
      </n>
      <n v="24167">
        <tpls c="7">
          <tpl fld="3" item="0"/>
          <tpl fld="16" item="11"/>
          <tpl hier="35" item="1"/>
          <tpl fld="11" item="50"/>
          <tpl fld="12" item="11"/>
          <tpl hier="44" item="2"/>
          <tpl fld="17" item="0"/>
        </tpls>
      </n>
      <n v="89194">
        <tpls c="7">
          <tpl fld="3" item="0"/>
          <tpl fld="16" item="1"/>
          <tpl hier="35" item="1"/>
          <tpl fld="11" item="19"/>
          <tpl fld="12" item="2"/>
          <tpl hier="44" item="2"/>
          <tpl fld="17" item="0"/>
        </tpls>
      </n>
      <n v="94694647">
        <tpls c="7">
          <tpl fld="7" item="0"/>
          <tpl hier="10" item="4294967295"/>
          <tpl fld="0" item="0"/>
          <tpl fld="11" item="58"/>
          <tpl fld="12" item="19"/>
          <tpl fld="1" item="1"/>
          <tpl fld="17" item="0"/>
        </tpls>
      </n>
      <m>
        <tpls c="6">
          <tpl fld="3" item="1"/>
          <tpl fld="16" item="11"/>
          <tpl hier="35" item="0"/>
          <tpl fld="12" item="3"/>
          <tpl hier="44" item="2"/>
          <tpl fld="17" item="0"/>
        </tpls>
      </m>
      <n v="975000">
        <tpls c="6">
          <tpl fld="6" item="3"/>
          <tpl hier="35" item="3"/>
          <tpl fld="11" item="23"/>
          <tpl fld="12" item="11"/>
          <tpl hier="44" item="2"/>
          <tpl fld="17" item="0"/>
        </tpls>
      </n>
      <m>
        <tpls c="7">
          <tpl fld="3" item="1"/>
          <tpl fld="16" item="8"/>
          <tpl hier="35" item="0"/>
          <tpl fld="11" item="39"/>
          <tpl fld="12" item="3"/>
          <tpl hier="44" item="2"/>
          <tpl fld="17" item="0"/>
        </tpls>
      </m>
      <m>
        <tpls c="7">
          <tpl fld="3" item="1"/>
          <tpl fld="16" item="7"/>
          <tpl hier="35" item="0"/>
          <tpl fld="11" item="18"/>
          <tpl fld="12" item="2"/>
          <tpl hier="44" item="2"/>
          <tpl fld="17" item="0"/>
        </tpls>
      </m>
      <m>
        <tpls c="3">
          <tpl fld="2" item="11"/>
          <tpl fld="8" item="6"/>
          <tpl fld="17" item="3"/>
        </tpls>
      </m>
      <m>
        <tpls c="3">
          <tpl fld="2" item="1"/>
          <tpl fld="8" item="11"/>
          <tpl fld="17" item="3"/>
        </tpls>
      </m>
      <n v="1408000">
        <tpls c="6">
          <tpl fld="6" item="1"/>
          <tpl hier="35" item="1"/>
          <tpl fld="11" item="16"/>
          <tpl fld="10" item="2"/>
          <tpl hier="44" item="2"/>
          <tpl fld="17" item="0"/>
        </tpls>
      </n>
      <m>
        <tpls c="7">
          <tpl fld="3" item="1"/>
          <tpl fld="16" item="4"/>
          <tpl hier="35" item="0"/>
          <tpl fld="11" item="36"/>
          <tpl fld="12" item="2"/>
          <tpl hier="44" item="2"/>
          <tpl fld="17" item="0"/>
        </tpls>
      </m>
      <n v="0">
        <tpls c="6">
          <tpl fld="7" item="0"/>
          <tpl fld="16" item="3"/>
          <tpl fld="0" item="0"/>
          <tpl fld="12" item="22"/>
          <tpl fld="1" item="1"/>
          <tpl fld="17" item="0"/>
        </tpls>
      </n>
      <n v="0">
        <tpls c="7">
          <tpl fld="7" item="0"/>
          <tpl fld="16" item="3"/>
          <tpl fld="0" item="0"/>
          <tpl fld="11" item="64"/>
          <tpl fld="12" item="22"/>
          <tpl fld="1" item="1"/>
          <tpl fld="17" item="0"/>
        </tpls>
      </n>
      <m>
        <tpls c="7">
          <tpl fld="3" item="1"/>
          <tpl hier="10" item="4294967295"/>
          <tpl hier="35" item="0"/>
          <tpl fld="11" item="36"/>
          <tpl fld="12" item="2"/>
          <tpl hier="44" item="2"/>
          <tpl fld="17" item="0"/>
        </tpls>
      </m>
      <n v="-392981">
        <tpls c="7">
          <tpl fld="7" item="0"/>
          <tpl fld="16" item="5"/>
          <tpl fld="0" item="0"/>
          <tpl fld="11" item="58"/>
          <tpl fld="12" item="19"/>
          <tpl fld="1" item="1"/>
          <tpl fld="17" item="0"/>
        </tpls>
      </n>
      <m>
        <tpls c="7">
          <tpl fld="3" item="0"/>
          <tpl fld="16" item="6"/>
          <tpl hier="35" item="1"/>
          <tpl fld="11" item="7"/>
          <tpl fld="12" item="4"/>
          <tpl hier="44" item="2"/>
          <tpl fld="17" item="0"/>
        </tpls>
      </m>
      <n v="-7749">
        <tpls c="7">
          <tpl fld="7" item="0"/>
          <tpl fld="16" item="8"/>
          <tpl fld="0" item="0"/>
          <tpl fld="11" item="52"/>
          <tpl fld="12" item="20"/>
          <tpl fld="1" item="1"/>
          <tpl fld="17" item="0"/>
        </tpls>
      </n>
      <m>
        <tpls c="7">
          <tpl fld="3" item="1"/>
          <tpl fld="16" item="9"/>
          <tpl hier="35" item="0"/>
          <tpl fld="11" item="35"/>
          <tpl fld="12" item="2"/>
          <tpl hier="44" item="2"/>
          <tpl fld="17" item="0"/>
        </tpls>
      </m>
      <n v="-392981">
        <tpls c="7">
          <tpl fld="7" item="0"/>
          <tpl fld="16" item="3"/>
          <tpl fld="0" item="0"/>
          <tpl fld="11" item="58"/>
          <tpl fld="12" item="19"/>
          <tpl fld="1" item="1"/>
          <tpl fld="17" item="0"/>
        </tpls>
      </n>
      <m>
        <tpls c="6">
          <tpl fld="3" item="1"/>
          <tpl hier="10" item="4294967295"/>
          <tpl hier="35" item="0"/>
          <tpl fld="12" item="21"/>
          <tpl hier="44" item="2"/>
          <tpl fld="17" item="0"/>
        </tpls>
      </m>
      <n v="33239">
        <tpls c="7">
          <tpl fld="3" item="0"/>
          <tpl fld="16" item="7"/>
          <tpl hier="35" item="1"/>
          <tpl fld="11" item="11"/>
          <tpl fld="12" item="2"/>
          <tpl hier="44" item="2"/>
          <tpl fld="17" item="0"/>
        </tpls>
      </n>
      <n v="72501">
        <tpls c="6">
          <tpl fld="6" item="3"/>
          <tpl hier="35" item="1"/>
          <tpl fld="11" item="50"/>
          <tpl fld="10" item="2"/>
          <tpl hier="44" item="2"/>
          <tpl fld="17" item="0"/>
        </tpls>
      </n>
      <m>
        <tpls c="7">
          <tpl fld="3" item="1"/>
          <tpl fld="16" item="2"/>
          <tpl hier="35" item="0"/>
          <tpl fld="11" item="34"/>
          <tpl fld="12" item="15"/>
          <tpl hier="44" item="2"/>
          <tpl fld="17" item="0"/>
        </tpls>
      </m>
      <n v="114588">
        <tpls c="7">
          <tpl fld="7" item="0"/>
          <tpl hier="10" item="4294967295"/>
          <tpl fld="0" item="0"/>
          <tpl fld="11" item="46"/>
          <tpl fld="12" item="13"/>
          <tpl fld="1" item="1"/>
          <tpl fld="17" item="0"/>
        </tpls>
      </n>
      <m>
        <tpls c="7">
          <tpl fld="3" item="1"/>
          <tpl fld="16" item="11"/>
          <tpl hier="35" item="0"/>
          <tpl fld="11" item="49"/>
          <tpl fld="12" item="9"/>
          <tpl hier="44" item="2"/>
          <tpl fld="17" item="0"/>
        </tpls>
      </m>
      <m>
        <tpls c="7">
          <tpl fld="3" item="1"/>
          <tpl fld="16" item="11"/>
          <tpl hier="35" item="0"/>
          <tpl fld="11" item="32"/>
          <tpl fld="12" item="2"/>
          <tpl hier="44" item="2"/>
          <tpl fld="17" item="0"/>
        </tpls>
      </m>
      <n v="0">
        <tpls c="6">
          <tpl fld="7" item="0"/>
          <tpl fld="0" item="0"/>
          <tpl fld="11" item="15"/>
          <tpl fld="12" item="3"/>
          <tpl hier="44" item="2"/>
          <tpl fld="17" item="0"/>
        </tpls>
      </n>
      <m>
        <tpls c="7">
          <tpl fld="3" item="1"/>
          <tpl fld="16" item="5"/>
          <tpl hier="35" item="0"/>
          <tpl fld="11" item="37"/>
          <tpl fld="12" item="11"/>
          <tpl hier="44" item="2"/>
          <tpl fld="17" item="0"/>
        </tpls>
      </m>
      <n v="19639772">
        <tpls c="6">
          <tpl fld="3" item="0"/>
          <tpl fld="16" item="3"/>
          <tpl hier="35" item="1"/>
          <tpl fld="12" item="9"/>
          <tpl hier="44" item="2"/>
          <tpl fld="17" item="0"/>
        </tpls>
      </n>
      <m>
        <tpls c="7">
          <tpl fld="3" item="1"/>
          <tpl fld="16" item="9"/>
          <tpl hier="35" item="0"/>
          <tpl fld="11" item="17"/>
          <tpl fld="12" item="3"/>
          <tpl hier="44" item="2"/>
          <tpl fld="17" item="0"/>
        </tpls>
      </m>
      <m>
        <tpls c="7">
          <tpl fld="3" item="0"/>
          <tpl fld="16" item="3"/>
          <tpl hier="35" item="1"/>
          <tpl fld="11" item="4"/>
          <tpl fld="12" item="1"/>
          <tpl hier="44" item="2"/>
          <tpl fld="17" item="0"/>
        </tpls>
      </m>
      <m>
        <tpls c="7">
          <tpl fld="3" item="1"/>
          <tpl fld="16" item="10"/>
          <tpl hier="35" item="0"/>
          <tpl fld="11" item="14"/>
          <tpl fld="12" item="3"/>
          <tpl hier="44" item="2"/>
          <tpl fld="17" item="0"/>
        </tpls>
      </m>
      <n v="900">
        <tpls c="6">
          <tpl fld="6" item="0"/>
          <tpl hier="35" item="1"/>
          <tpl fld="11" item="1"/>
          <tpl fld="10" item="3"/>
          <tpl hier="44" item="2"/>
          <tpl fld="17" item="0"/>
        </tpls>
      </n>
      <n v="1310000">
        <tpls c="7">
          <tpl fld="3" item="0"/>
          <tpl fld="16" item="0"/>
          <tpl hier="35" item="1"/>
          <tpl fld="11" item="37"/>
          <tpl fld="12" item="11"/>
          <tpl hier="44" item="2"/>
          <tpl fld="17" item="0"/>
        </tpls>
      </n>
      <m>
        <tpls c="6">
          <tpl fld="3" item="1"/>
          <tpl fld="16" item="0"/>
          <tpl hier="35" item="0"/>
          <tpl fld="12" item="18"/>
          <tpl hier="44" item="2"/>
          <tpl fld="17" item="0"/>
        </tpls>
      </m>
      <n v="0">
        <tpls c="6">
          <tpl fld="6" item="3"/>
          <tpl hier="35" item="3"/>
          <tpl fld="11" item="9"/>
          <tpl fld="12" item="4"/>
          <tpl hier="44" item="2"/>
          <tpl fld="17" item="0"/>
        </tpls>
      </n>
      <n v="0">
        <tpls c="6">
          <tpl fld="7" item="2"/>
          <tpl fld="0" item="1"/>
          <tpl fld="11" item="44"/>
          <tpl fld="10" item="3"/>
          <tpl hier="44" item="2"/>
          <tpl fld="17" item="0"/>
        </tpls>
      </n>
      <m>
        <tpls c="6">
          <tpl fld="3" item="1"/>
          <tpl fld="16" item="1"/>
          <tpl hier="35" item="0"/>
          <tpl fld="12" item="18"/>
          <tpl hier="44" item="2"/>
          <tpl fld="17" item="0"/>
        </tpls>
      </m>
      <n v="1734">
        <tpls c="7">
          <tpl fld="3" item="0"/>
          <tpl fld="16" item="6"/>
          <tpl hier="35" item="1"/>
          <tpl fld="11" item="30"/>
          <tpl fld="12" item="15"/>
          <tpl hier="44" item="2"/>
          <tpl fld="17" item="0"/>
        </tpls>
      </n>
      <m>
        <tpls c="3">
          <tpl fld="2" item="6"/>
          <tpl fld="8" item="9"/>
          <tpl fld="17" item="3"/>
        </tpls>
      </m>
      <m>
        <tpls c="7">
          <tpl fld="3" item="1"/>
          <tpl fld="16" item="0"/>
          <tpl hier="35" item="0"/>
          <tpl fld="11" item="36"/>
          <tpl fld="12" item="2"/>
          <tpl hier="44" item="2"/>
          <tpl fld="17" item="0"/>
        </tpls>
      </m>
      <n v="0">
        <tpls c="7">
          <tpl fld="7" item="0"/>
          <tpl fld="16" item="6"/>
          <tpl fld="0" item="0"/>
          <tpl fld="11" item="53"/>
          <tpl fld="12" item="14"/>
          <tpl fld="1" item="1"/>
          <tpl fld="17" item="0"/>
        </tpls>
      </n>
      <n v="292646501">
        <tpls c="6">
          <tpl fld="7" item="3"/>
          <tpl fld="0" item="2"/>
          <tpl fld="11" item="29"/>
          <tpl fld="12" item="8"/>
          <tpl fld="1" item="1"/>
          <tpl fld="17" item="0"/>
        </tpls>
      </n>
      <m>
        <tpls c="7">
          <tpl fld="3" item="1"/>
          <tpl fld="16" item="2"/>
          <tpl hier="35" item="0"/>
          <tpl fld="11" item="15"/>
          <tpl fld="12" item="3"/>
          <tpl hier="44" item="2"/>
          <tpl fld="17" item="0"/>
        </tpls>
      </m>
      <m>
        <tpls c="7">
          <tpl fld="3" item="0"/>
          <tpl fld="16" item="5"/>
          <tpl hier="35" item="1"/>
          <tpl fld="11" item="4"/>
          <tpl fld="12" item="1"/>
          <tpl hier="44" item="2"/>
          <tpl fld="17" item="0"/>
        </tpls>
      </m>
      <n v="15625810">
        <tpls c="6">
          <tpl fld="7" item="2"/>
          <tpl fld="0" item="1"/>
          <tpl fld="11" item="8"/>
          <tpl fld="10" item="2"/>
          <tpl hier="44" item="2"/>
          <tpl fld="17" item="0"/>
        </tpls>
      </n>
      <n v="162977979">
        <tpls c="5">
          <tpl fld="7" item="1"/>
          <tpl fld="0" item="2"/>
          <tpl fld="12" item="14"/>
          <tpl fld="1" item="1"/>
          <tpl fld="17" item="0"/>
        </tpls>
      </n>
      <m>
        <tpls c="7">
          <tpl fld="3" item="1"/>
          <tpl fld="16" item="2"/>
          <tpl hier="35" item="0"/>
          <tpl fld="11" item="16"/>
          <tpl fld="12" item="3"/>
          <tpl hier="44" item="2"/>
          <tpl fld="17" item="0"/>
        </tpls>
      </m>
      <n v="32853">
        <tpls c="7">
          <tpl fld="3" item="0"/>
          <tpl fld="16" item="7"/>
          <tpl hier="35" item="1"/>
          <tpl fld="11" item="54"/>
          <tpl fld="12" item="4"/>
          <tpl hier="44" item="2"/>
          <tpl fld="17" item="0"/>
        </tpls>
      </n>
      <n v="1443933">
        <tpls c="7">
          <tpl fld="3" item="0"/>
          <tpl fld="16" item="4"/>
          <tpl hier="35" item="1"/>
          <tpl fld="11" item="6"/>
          <tpl fld="12" item="3"/>
          <tpl hier="44" item="2"/>
          <tpl fld="17" item="0"/>
        </tpls>
      </n>
      <n v="194014">
        <tpls c="7">
          <tpl fld="3" item="0"/>
          <tpl fld="16" item="9"/>
          <tpl hier="35" item="1"/>
          <tpl fld="11" item="36"/>
          <tpl fld="12" item="2"/>
          <tpl hier="44" item="2"/>
          <tpl fld="17" item="0"/>
        </tpls>
      </n>
      <n v="97292">
        <tpls c="7">
          <tpl fld="3" item="0"/>
          <tpl fld="16" item="9"/>
          <tpl hier="35" item="1"/>
          <tpl fld="11" item="19"/>
          <tpl fld="12" item="2"/>
          <tpl hier="44" item="2"/>
          <tpl fld="17" item="0"/>
        </tpls>
      </n>
      <m>
        <tpls c="7">
          <tpl fld="3" item="0"/>
          <tpl fld="16" item="0"/>
          <tpl hier="35" item="1"/>
          <tpl fld="11" item="26"/>
          <tpl fld="12" item="2"/>
          <tpl hier="44" item="2"/>
          <tpl fld="17" item="0"/>
        </tpls>
      </m>
      <m>
        <tpls c="7">
          <tpl fld="3" item="1"/>
          <tpl fld="16" item="10"/>
          <tpl hier="35" item="0"/>
          <tpl fld="11" item="7"/>
          <tpl fld="12" item="4"/>
          <tpl hier="44" item="2"/>
          <tpl fld="17" item="0"/>
        </tpls>
      </m>
      <n v="21754452">
        <tpls c="6">
          <tpl fld="7" item="0"/>
          <tpl fld="16" item="0"/>
          <tpl fld="0" item="0"/>
          <tpl fld="12" item="7"/>
          <tpl fld="1" item="1"/>
          <tpl fld="17" item="0"/>
        </tpls>
      </n>
      <m>
        <tpls c="3">
          <tpl fld="2" item="20"/>
          <tpl fld="8" item="2"/>
          <tpl fld="17" item="3"/>
        </tpls>
      </m>
      <m>
        <tpls c="7">
          <tpl fld="3" item="1"/>
          <tpl fld="16" item="9"/>
          <tpl hier="35" item="0"/>
          <tpl fld="11" item="9"/>
          <tpl fld="12" item="4"/>
          <tpl hier="44" item="2"/>
          <tpl fld="17" item="0"/>
        </tpls>
      </m>
      <m>
        <tpls c="7">
          <tpl fld="7" item="0"/>
          <tpl fld="16" item="6"/>
          <tpl fld="0" item="0"/>
          <tpl fld="11" item="61"/>
          <tpl fld="12" item="7"/>
          <tpl fld="1" item="1"/>
          <tpl fld="17" item="0"/>
        </tpls>
      </m>
      <n v="1935">
        <tpls c="6">
          <tpl fld="7" item="0"/>
          <tpl fld="16" item="3"/>
          <tpl fld="0" item="0"/>
          <tpl fld="12" item="0"/>
          <tpl fld="1" item="1"/>
          <tpl fld="17" item="0"/>
        </tpls>
      </n>
      <m>
        <tpls c="7">
          <tpl fld="3" item="1"/>
          <tpl fld="16" item="4"/>
          <tpl hier="35" item="0"/>
          <tpl fld="11" item="15"/>
          <tpl fld="12" item="3"/>
          <tpl hier="44" item="2"/>
          <tpl fld="17" item="0"/>
        </tpls>
      </m>
      <n v="86079840">
        <tpls c="5">
          <tpl fld="7" item="3"/>
          <tpl fld="0" item="2"/>
          <tpl fld="12" item="12"/>
          <tpl fld="1" item="1"/>
          <tpl fld="17" item="0"/>
        </tpls>
      </n>
      <n v="418525">
        <tpls c="7">
          <tpl fld="3" item="0"/>
          <tpl fld="16" item="11"/>
          <tpl hier="35" item="1"/>
          <tpl fld="11" item="22"/>
          <tpl fld="12" item="4"/>
          <tpl hier="44" item="2"/>
          <tpl fld="17" item="0"/>
        </tpls>
      </n>
      <n v="975000">
        <tpls c="6">
          <tpl fld="6" item="0"/>
          <tpl hier="35" item="3"/>
          <tpl fld="11" item="23"/>
          <tpl fld="12" item="11"/>
          <tpl hier="44" item="2"/>
          <tpl fld="17" item="0"/>
        </tpls>
      </n>
      <m>
        <tpls c="3">
          <tpl fld="8" item="0"/>
          <tpl fld="4" item="1"/>
          <tpl fld="17" item="3"/>
        </tpls>
      </m>
      <n v="-261894">
        <tpls c="7">
          <tpl fld="7" item="0"/>
          <tpl fld="16" item="1"/>
          <tpl fld="0" item="0"/>
          <tpl fld="11" item="51"/>
          <tpl fld="12" item="7"/>
          <tpl fld="1" item="1"/>
          <tpl fld="17" item="0"/>
        </tpls>
      </n>
      <m>
        <tpls c="7">
          <tpl fld="3" item="1"/>
          <tpl hier="10" item="4294967295"/>
          <tpl hier="35" item="0"/>
          <tpl fld="11" item="26"/>
          <tpl fld="12" item="2"/>
          <tpl hier="44" item="2"/>
          <tpl fld="17" item="0"/>
        </tpls>
      </m>
      <n v="20820074">
        <tpls c="6">
          <tpl fld="3" item="0"/>
          <tpl fld="16" item="8"/>
          <tpl hier="35" item="1"/>
          <tpl fld="12" item="2"/>
          <tpl hier="44" item="2"/>
          <tpl fld="17" item="0"/>
        </tpls>
      </n>
      <m>
        <tpls c="7">
          <tpl fld="3" item="1"/>
          <tpl fld="16" item="8"/>
          <tpl hier="35" item="0"/>
          <tpl fld="11" item="23"/>
          <tpl fld="12" item="11"/>
          <tpl hier="44" item="2"/>
          <tpl fld="17" item="0"/>
        </tpls>
      </m>
      <n v="98231476">
        <tpls c="6">
          <tpl fld="7" item="0"/>
          <tpl fld="16" item="0"/>
          <tpl fld="0" item="0"/>
          <tpl fld="12" item="19"/>
          <tpl fld="1" item="1"/>
          <tpl fld="17" item="0"/>
        </tpls>
      </n>
      <n v="0">
        <tpls c="7">
          <tpl fld="7" item="0"/>
          <tpl fld="16" item="2"/>
          <tpl fld="0" item="0"/>
          <tpl fld="11" item="63"/>
          <tpl fld="12" item="13"/>
          <tpl fld="1" item="1"/>
          <tpl fld="17" item="0"/>
        </tpls>
      </n>
      <n v="20565">
        <tpls c="7">
          <tpl fld="3" item="0"/>
          <tpl fld="16" item="4"/>
          <tpl hier="35" item="1"/>
          <tpl fld="11" item="11"/>
          <tpl fld="12" item="2"/>
          <tpl hier="44" item="2"/>
          <tpl fld="17" item="0"/>
        </tpls>
      </n>
      <n v="271608">
        <tpls c="6">
          <tpl fld="7" item="2"/>
          <tpl fld="0" item="1"/>
          <tpl fld="11" item="11"/>
          <tpl fld="10" item="0"/>
          <tpl hier="44" item="2"/>
          <tpl fld="17" item="0"/>
        </tpls>
      </n>
      <n v="0">
        <tpls c="6">
          <tpl fld="7" item="0"/>
          <tpl fld="16" item="0"/>
          <tpl fld="0" item="0"/>
          <tpl fld="12" item="17"/>
          <tpl fld="1" item="1"/>
          <tpl fld="17" item="0"/>
        </tpls>
      </n>
      <m>
        <tpls c="7">
          <tpl fld="3" item="1"/>
          <tpl fld="16" item="0"/>
          <tpl hier="35" item="0"/>
          <tpl fld="11" item="37"/>
          <tpl fld="12" item="11"/>
          <tpl hier="44" item="2"/>
          <tpl fld="17" item="0"/>
        </tpls>
      </m>
      <n v="418525">
        <tpls c="7">
          <tpl fld="3" item="0"/>
          <tpl fld="16" item="6"/>
          <tpl hier="35" item="1"/>
          <tpl fld="11" item="22"/>
          <tpl fld="12" item="4"/>
          <tpl hier="44" item="2"/>
          <tpl fld="17" item="0"/>
        </tpls>
      </n>
      <m>
        <tpls c="7">
          <tpl fld="3" item="1"/>
          <tpl fld="16" item="7"/>
          <tpl hier="35" item="0"/>
          <tpl fld="11" item="33"/>
          <tpl fld="12" item="3"/>
          <tpl hier="44" item="2"/>
          <tpl fld="17" item="0"/>
        </tpls>
      </m>
      <n v="-235048">
        <tpls c="7">
          <tpl fld="7" item="0"/>
          <tpl fld="16" item="11"/>
          <tpl fld="0" item="0"/>
          <tpl fld="11" item="62"/>
          <tpl fld="12" item="13"/>
          <tpl fld="1" item="1"/>
          <tpl fld="17" item="0"/>
        </tpls>
      </n>
      <m>
        <tpls c="6">
          <tpl fld="6" item="1"/>
          <tpl hier="35" item="3"/>
          <tpl fld="11" item="4"/>
          <tpl fld="12" item="1"/>
          <tpl hier="44" item="2"/>
          <tpl fld="17" item="0"/>
        </tpls>
      </m>
      <n v="77456">
        <tpls c="6">
          <tpl fld="6" item="0"/>
          <tpl hier="35" item="3"/>
          <tpl fld="11" item="11"/>
          <tpl fld="12" item="2"/>
          <tpl hier="44" item="2"/>
          <tpl fld="17" item="0"/>
        </tpls>
      </n>
      <n v="-392981">
        <tpls c="6">
          <tpl fld="7" item="0"/>
          <tpl fld="16" item="9"/>
          <tpl fld="0" item="0"/>
          <tpl fld="12" item="19"/>
          <tpl fld="1" item="1"/>
          <tpl fld="17" item="0"/>
        </tpls>
      </n>
      <m>
        <tpls c="3">
          <tpl fld="2" item="4"/>
          <tpl fld="8" item="3"/>
          <tpl fld="17" item="3"/>
        </tpls>
      </m>
      <n v="90000">
        <tpls c="6">
          <tpl fld="6" item="1"/>
          <tpl hier="35" item="1"/>
          <tpl fld="11" item="31"/>
          <tpl fld="10" item="2"/>
          <tpl hier="44" item="2"/>
          <tpl fld="17" item="0"/>
        </tpls>
      </n>
      <n v="4605">
        <tpls c="6">
          <tpl fld="7" item="1"/>
          <tpl fld="0" item="2"/>
          <tpl fld="11" item="30"/>
          <tpl fld="12" item="15"/>
          <tpl hier="44" item="2"/>
          <tpl fld="17" item="0"/>
        </tpls>
      </n>
      <m>
        <tpls c="6">
          <tpl fld="3" item="1"/>
          <tpl fld="16" item="6"/>
          <tpl hier="35" item="0"/>
          <tpl fld="12" item="9"/>
          <tpl hier="44" item="2"/>
          <tpl fld="17" item="0"/>
        </tpls>
      </m>
      <n v="10141575">
        <tpls c="7">
          <tpl fld="3" item="0"/>
          <tpl fld="16" item="10"/>
          <tpl hier="35" item="1"/>
          <tpl fld="11" item="18"/>
          <tpl fld="12" item="2"/>
          <tpl hier="44" item="2"/>
          <tpl fld="17" item="0"/>
        </tpls>
      </n>
      <n v="126875">
        <tpls c="3">
          <tpl fld="9" item="0"/>
          <tpl fld="15" item="3"/>
          <tpl fld="17" item="2"/>
        </tpls>
      </n>
      <m>
        <tpls c="7">
          <tpl fld="3" item="1"/>
          <tpl fld="16" item="10"/>
          <tpl hier="35" item="0"/>
          <tpl fld="11" item="19"/>
          <tpl fld="12" item="2"/>
          <tpl hier="44" item="2"/>
          <tpl fld="17" item="0"/>
        </tpls>
      </m>
      <n v="417234">
        <tpls c="3">
          <tpl fld="9" item="5"/>
          <tpl fld="15" item="3"/>
          <tpl fld="17" item="2"/>
        </tpls>
      </n>
      <m>
        <tpls c="7">
          <tpl fld="3" item="1"/>
          <tpl fld="16" item="11"/>
          <tpl hier="35" item="0"/>
          <tpl fld="11" item="33"/>
          <tpl fld="12" item="3"/>
          <tpl hier="44" item="2"/>
          <tpl fld="17" item="0"/>
        </tpls>
      </m>
      <n v="4167">
        <tpls c="3">
          <tpl fld="9" item="2"/>
          <tpl fld="15" item="0"/>
          <tpl fld="17" item="2"/>
        </tpls>
      </n>
      <n v="6486">
        <tpls c="5">
          <tpl fld="7" item="1"/>
          <tpl fld="0" item="2"/>
          <tpl fld="12" item="15"/>
          <tpl hier="44" item="2"/>
          <tpl fld="17" item="0"/>
        </tpls>
      </n>
      <m>
        <tpls c="7">
          <tpl fld="3" item="1"/>
          <tpl hier="10" item="4294967295"/>
          <tpl hier="35" item="0"/>
          <tpl fld="11" item="15"/>
          <tpl fld="12" item="3"/>
          <tpl hier="44" item="2"/>
          <tpl fld="17" item="0"/>
        </tpls>
      </m>
      <n v="56974621">
        <tpls c="6">
          <tpl fld="7" item="1"/>
          <tpl fld="0" item="2"/>
          <tpl fld="11" item="47"/>
          <tpl fld="12" item="10"/>
          <tpl fld="1" item="1"/>
          <tpl fld="17" item="0"/>
        </tpls>
      </n>
      <m>
        <tpls c="3">
          <tpl fld="2" item="20"/>
          <tpl fld="8" item="6"/>
          <tpl fld="17" item="3"/>
        </tpls>
      </m>
      <n v="123247898">
        <tpls c="7">
          <tpl fld="7" item="0"/>
          <tpl fld="16" item="0"/>
          <tpl fld="0" item="0"/>
          <tpl fld="11" item="55"/>
          <tpl fld="12" item="13"/>
          <tpl fld="1" item="1"/>
          <tpl fld="17" item="0"/>
        </tpls>
      </n>
      <n v="8874021">
        <tpls c="7">
          <tpl fld="7" item="0"/>
          <tpl hier="10" item="4294967295"/>
          <tpl fld="0" item="0"/>
          <tpl fld="11" item="62"/>
          <tpl fld="12" item="13"/>
          <tpl fld="1" item="1"/>
          <tpl fld="17" item="0"/>
        </tpls>
      </n>
      <m>
        <tpls c="3">
          <tpl fld="2" item="9"/>
          <tpl fld="8" item="7"/>
          <tpl fld="17" item="3"/>
        </tpls>
      </m>
      <n v="944">
        <tpls c="7">
          <tpl fld="7" item="0"/>
          <tpl fld="16" item="9"/>
          <tpl fld="0" item="0"/>
          <tpl fld="11" item="70"/>
          <tpl fld="12" item="20"/>
          <tpl fld="1" item="1"/>
          <tpl fld="17" item="0"/>
        </tpls>
      </n>
      <n v="-1215">
        <tpls c="7">
          <tpl fld="7" item="0"/>
          <tpl fld="16" item="6"/>
          <tpl fld="0" item="0"/>
          <tpl fld="11" item="70"/>
          <tpl fld="12" item="20"/>
          <tpl fld="1" item="1"/>
          <tpl fld="17" item="0"/>
        </tpls>
      </n>
      <n v="300">
        <tpls c="7">
          <tpl fld="3" item="0"/>
          <tpl fld="16" item="5"/>
          <tpl hier="35" item="1"/>
          <tpl fld="11" item="1"/>
          <tpl fld="12" item="1"/>
          <tpl hier="44" item="2"/>
          <tpl fld="17" item="0"/>
        </tpls>
      </n>
      <n v="39700">
        <tpls c="7">
          <tpl fld="3" item="0"/>
          <tpl fld="16" item="3"/>
          <tpl hier="35" item="1"/>
          <tpl fld="11" item="15"/>
          <tpl fld="12" item="3"/>
          <tpl hier="44" item="2"/>
          <tpl fld="17" item="0"/>
        </tpls>
      </n>
      <n v="404131113">
        <tpls c="7">
          <tpl fld="7" item="0"/>
          <tpl fld="16" item="0"/>
          <tpl fld="0" item="0"/>
          <tpl fld="11" item="66"/>
          <tpl fld="12" item="13"/>
          <tpl fld="1" item="1"/>
          <tpl fld="17" item="0"/>
        </tpls>
      </n>
      <n v="0">
        <tpls c="7">
          <tpl fld="7" item="0"/>
          <tpl fld="16" item="3"/>
          <tpl fld="0" item="0"/>
          <tpl fld="11" item="68"/>
          <tpl fld="12" item="17"/>
          <tpl fld="1" item="1"/>
          <tpl fld="17" item="0"/>
        </tpls>
      </n>
      <n v="92816">
        <tpls c="7">
          <tpl fld="3" item="0"/>
          <tpl fld="16" item="4"/>
          <tpl hier="35" item="1"/>
          <tpl fld="11" item="41"/>
          <tpl fld="12" item="2"/>
          <tpl hier="44" item="2"/>
          <tpl fld="17" item="0"/>
        </tpls>
      </n>
      <m>
        <tpls c="7">
          <tpl fld="3" item="1"/>
          <tpl fld="16" item="8"/>
          <tpl hier="35" item="0"/>
          <tpl fld="11" item="37"/>
          <tpl fld="12" item="11"/>
          <tpl hier="44" item="2"/>
          <tpl fld="17" item="0"/>
        </tpls>
      </m>
      <n v="338235">
        <tpls c="7">
          <tpl fld="3" item="0"/>
          <tpl hier="10" item="4294967295"/>
          <tpl hier="35" item="1"/>
          <tpl fld="11" item="54"/>
          <tpl fld="12" item="4"/>
          <tpl hier="44" item="2"/>
          <tpl fld="17" item="0"/>
        </tpls>
      </n>
      <n v="-477952">
        <tpls c="7">
          <tpl fld="7" item="0"/>
          <tpl fld="16" item="2"/>
          <tpl fld="0" item="0"/>
          <tpl fld="11" item="55"/>
          <tpl fld="12" item="13"/>
          <tpl fld="1" item="1"/>
          <tpl fld="17" item="0"/>
        </tpls>
      </n>
      <n v="0">
        <tpls c="6">
          <tpl fld="6" item="0"/>
          <tpl hier="35" item="1"/>
          <tpl fld="11" item="48"/>
          <tpl fld="10" item="1"/>
          <tpl hier="44" item="2"/>
          <tpl fld="17" item="0"/>
        </tpls>
      </n>
      <m>
        <tpls c="7">
          <tpl fld="3" item="1"/>
          <tpl fld="16" item="1"/>
          <tpl hier="35" item="0"/>
          <tpl fld="11" item="16"/>
          <tpl fld="12" item="3"/>
          <tpl hier="44" item="2"/>
          <tpl fld="17" item="0"/>
        </tpls>
      </m>
      <n v="0">
        <tpls c="7">
          <tpl fld="7" item="0"/>
          <tpl fld="16" item="3"/>
          <tpl fld="0" item="0"/>
          <tpl fld="11" item="67"/>
          <tpl fld="12" item="0"/>
          <tpl fld="1" item="1"/>
          <tpl fld="17" item="0"/>
        </tpls>
      </n>
      <n v="0">
        <tpls c="6">
          <tpl fld="7" item="0"/>
          <tpl hier="10" item="4294967295"/>
          <tpl fld="0" item="0"/>
          <tpl fld="12" item="17"/>
          <tpl fld="1" item="1"/>
          <tpl fld="17" item="0"/>
        </tpls>
      </n>
      <m>
        <tpls c="3">
          <tpl fld="2" item="13"/>
          <tpl fld="8" item="1"/>
          <tpl fld="17" item="3"/>
        </tpls>
      </m>
      <n v="204631">
        <tpls c="6">
          <tpl fld="7" item="1"/>
          <tpl fld="0" item="2"/>
          <tpl fld="11" item="11"/>
          <tpl fld="10" item="0"/>
          <tpl hier="44" item="2"/>
          <tpl fld="17" item="0"/>
        </tpls>
      </n>
      <n v="0">
        <tpls c="6">
          <tpl fld="6" item="0"/>
          <tpl hier="35" item="1"/>
          <tpl fld="11" item="0"/>
          <tpl fld="10" item="0"/>
          <tpl hier="44" item="2"/>
          <tpl fld="17" item="0"/>
        </tpls>
      </n>
      <n v="24583">
        <tpls c="3">
          <tpl fld="9" item="7"/>
          <tpl fld="15" item="2"/>
          <tpl fld="17" item="2"/>
        </tpls>
      </n>
      <n v="0">
        <tpls c="6">
          <tpl fld="7" item="0"/>
          <tpl fld="16" item="2"/>
          <tpl fld="0" item="0"/>
          <tpl fld="12" item="8"/>
          <tpl fld="1" item="1"/>
          <tpl fld="17" item="0"/>
        </tpls>
      </n>
      <m>
        <tpls c="7">
          <tpl fld="3" item="1"/>
          <tpl fld="16" item="5"/>
          <tpl hier="35" item="0"/>
          <tpl fld="11" item="44"/>
          <tpl fld="12" item="3"/>
          <tpl hier="44" item="2"/>
          <tpl fld="17" item="0"/>
        </tpls>
      </m>
      <n v="0">
        <tpls c="6">
          <tpl fld="6" item="1"/>
          <tpl hier="35" item="3"/>
          <tpl fld="11" item="48"/>
          <tpl fld="12" item="4"/>
          <tpl hier="44" item="2"/>
          <tpl fld="17" item="0"/>
        </tpls>
      </n>
      <n v="11393691">
        <tpls c="7">
          <tpl fld="3" item="0"/>
          <tpl fld="16" item="6"/>
          <tpl hier="35" item="1"/>
          <tpl fld="11" item="18"/>
          <tpl fld="12" item="2"/>
          <tpl hier="44" item="2"/>
          <tpl fld="17" item="0"/>
        </tpls>
      </n>
      <m>
        <tpls c="7">
          <tpl fld="3" item="1"/>
          <tpl fld="16" item="5"/>
          <tpl hier="35" item="0"/>
          <tpl fld="11" item="30"/>
          <tpl fld="12" item="15"/>
          <tpl hier="44" item="2"/>
          <tpl fld="17" item="0"/>
        </tpls>
      </m>
      <n v="0">
        <tpls c="6">
          <tpl fld="7" item="0"/>
          <tpl fld="16" item="6"/>
          <tpl fld="0" item="0"/>
          <tpl fld="12" item="14"/>
          <tpl fld="1" item="1"/>
          <tpl fld="17" item="0"/>
        </tpls>
      </n>
      <m>
        <tpls c="3">
          <tpl fld="2" item="3"/>
          <tpl fld="8" item="7"/>
          <tpl fld="17" item="3"/>
        </tpls>
      </m>
      <m>
        <tpls c="7">
          <tpl fld="3" item="1"/>
          <tpl fld="16" item="3"/>
          <tpl hier="35" item="0"/>
          <tpl fld="11" item="41"/>
          <tpl fld="12" item="2"/>
          <tpl hier="44" item="2"/>
          <tpl fld="17" item="0"/>
        </tpls>
      </m>
      <n v="5656131">
        <tpls c="6">
          <tpl fld="3" item="0"/>
          <tpl fld="16" item="4"/>
          <tpl hier="35" item="1"/>
          <tpl fld="12" item="3"/>
          <tpl hier="44" item="2"/>
          <tpl fld="17" item="0"/>
        </tpls>
      </n>
      <m>
        <tpls c="7">
          <tpl fld="3" item="1"/>
          <tpl fld="16" item="10"/>
          <tpl hier="35" item="0"/>
          <tpl fld="11" item="33"/>
          <tpl fld="12" item="3"/>
          <tpl hier="44" item="2"/>
          <tpl fld="17" item="0"/>
        </tpls>
      </m>
      <n v="19612430">
        <tpls c="7">
          <tpl fld="3" item="0"/>
          <tpl fld="16" item="2"/>
          <tpl hier="35" item="1"/>
          <tpl fld="11" item="49"/>
          <tpl fld="12" item="9"/>
          <tpl hier="44" item="2"/>
          <tpl fld="17" item="0"/>
        </tpls>
      </n>
      <n v="1443934">
        <tpls c="7">
          <tpl fld="3" item="0"/>
          <tpl fld="16" item="5"/>
          <tpl hier="35" item="1"/>
          <tpl fld="11" item="6"/>
          <tpl fld="12" item="3"/>
          <tpl hier="44" item="2"/>
          <tpl fld="17" item="0"/>
        </tpls>
      </n>
      <m>
        <tpls c="7">
          <tpl fld="3" item="1"/>
          <tpl fld="16" item="8"/>
          <tpl hier="35" item="0"/>
          <tpl fld="11" item="1"/>
          <tpl fld="12" item="1"/>
          <tpl hier="44" item="2"/>
          <tpl fld="17" item="0"/>
        </tpls>
      </m>
      <m>
        <tpls c="7">
          <tpl fld="3" item="1"/>
          <tpl fld="16" item="10"/>
          <tpl hier="35" item="0"/>
          <tpl fld="11" item="4"/>
          <tpl fld="12" item="1"/>
          <tpl hier="44" item="2"/>
          <tpl fld="17" item="0"/>
        </tpls>
      </m>
      <n v="0">
        <tpls c="6">
          <tpl fld="7" item="2"/>
          <tpl fld="0" item="1"/>
          <tpl fld="11" item="0"/>
          <tpl fld="10" item="0"/>
          <tpl hier="44" item="2"/>
          <tpl fld="17" item="0"/>
        </tpls>
      </n>
      <n v="404138135">
        <tpls c="6">
          <tpl fld="7" item="1"/>
          <tpl fld="0" item="2"/>
          <tpl fld="11" item="66"/>
          <tpl fld="12" item="13"/>
          <tpl fld="1" item="1"/>
          <tpl fld="17" item="0"/>
        </tpls>
      </n>
      <n v="18000">
        <tpls c="6">
          <tpl fld="6" item="1"/>
          <tpl hier="35" item="1"/>
          <tpl fld="11" item="5"/>
          <tpl fld="10" item="3"/>
          <tpl hier="44" item="2"/>
          <tpl fld="17" item="0"/>
        </tpls>
      </n>
      <n v="39700">
        <tpls c="7">
          <tpl fld="3" item="0"/>
          <tpl fld="16" item="5"/>
          <tpl hier="35" item="1"/>
          <tpl fld="11" item="15"/>
          <tpl fld="12" item="3"/>
          <tpl hier="44" item="2"/>
          <tpl fld="17" item="0"/>
        </tpls>
      </n>
      <n v="8331686">
        <tpls c="6">
          <tpl fld="7" item="1"/>
          <tpl fld="0" item="2"/>
          <tpl fld="11" item="33"/>
          <tpl fld="10" item="2"/>
          <tpl hier="44" item="2"/>
          <tpl fld="17" item="0"/>
        </tpls>
      </n>
      <m>
        <tpls c="3">
          <tpl fld="2" item="15"/>
          <tpl fld="8" item="6"/>
          <tpl fld="17" item="3"/>
        </tpls>
      </m>
      <n v="-392981">
        <tpls c="7">
          <tpl fld="7" item="0"/>
          <tpl fld="16" item="6"/>
          <tpl fld="0" item="0"/>
          <tpl fld="11" item="58"/>
          <tpl fld="12" item="19"/>
          <tpl fld="1" item="1"/>
          <tpl fld="17" item="0"/>
        </tpls>
      </n>
      <m>
        <tpls c="3">
          <tpl fld="2" item="15"/>
          <tpl fld="8" item="5"/>
          <tpl fld="17" item="3"/>
        </tpls>
      </m>
      <n v="6088054">
        <tpls c="6">
          <tpl fld="3" item="0"/>
          <tpl fld="16" item="6"/>
          <tpl hier="35" item="1"/>
          <tpl fld="12" item="18"/>
          <tpl hier="44" item="2"/>
          <tpl fld="17" item="0"/>
        </tpls>
      </n>
      <n v="0">
        <tpls c="7">
          <tpl fld="7" item="0"/>
          <tpl fld="16" item="7"/>
          <tpl fld="0" item="0"/>
          <tpl fld="11" item="68"/>
          <tpl fld="12" item="17"/>
          <tpl fld="1" item="1"/>
          <tpl fld="17" item="0"/>
        </tpls>
      </n>
      <n v="400400">
        <tpls c="7">
          <tpl fld="3" item="0"/>
          <tpl hier="10" item="4294967295"/>
          <tpl hier="35" item="1"/>
          <tpl fld="11" item="17"/>
          <tpl fld="12" item="3"/>
          <tpl hier="44" item="2"/>
          <tpl fld="17" item="0"/>
        </tpls>
      </n>
      <m>
        <tpls c="3">
          <tpl fld="2" item="13"/>
          <tpl fld="8" item="5"/>
          <tpl fld="17" item="3"/>
        </tpls>
      </m>
      <n v="93947569">
        <tpls c="6">
          <tpl fld="3" item="0"/>
          <tpl fld="16" item="5"/>
          <tpl hier="35" item="1"/>
          <tpl fld="12" item="2"/>
          <tpl hier="44" item="2"/>
          <tpl fld="17" item="0"/>
        </tpls>
      </n>
      <n v="2750">
        <tpls c="7">
          <tpl fld="3" item="0"/>
          <tpl fld="16" item="11"/>
          <tpl hier="35" item="1"/>
          <tpl fld="11" item="38"/>
          <tpl fld="12" item="11"/>
          <tpl hier="44" item="2"/>
          <tpl fld="17" item="0"/>
        </tpls>
      </n>
      <m>
        <tpls c="7">
          <tpl fld="3" item="1"/>
          <tpl fld="16" item="0"/>
          <tpl hier="35" item="0"/>
          <tpl fld="11" item="35"/>
          <tpl fld="12" item="2"/>
          <tpl hier="44" item="2"/>
          <tpl fld="17" item="0"/>
        </tpls>
      </m>
      <m>
        <tpls c="6">
          <tpl fld="3" item="1"/>
          <tpl fld="16" item="8"/>
          <tpl hier="35" item="0"/>
          <tpl fld="12" item="9"/>
          <tpl hier="44" item="2"/>
          <tpl fld="17" item="0"/>
        </tpls>
      </m>
      <n v="222559207">
        <tpls c="6">
          <tpl fld="7" item="0"/>
          <tpl fld="0" item="0"/>
          <tpl fld="11" item="49"/>
          <tpl fld="10" item="2"/>
          <tpl hier="44" item="2"/>
          <tpl fld="17" item="0"/>
        </tpls>
      </n>
      <m>
        <tpls c="6">
          <tpl fld="3" item="1"/>
          <tpl fld="16" item="9"/>
          <tpl hier="35" item="0"/>
          <tpl fld="12" item="11"/>
          <tpl hier="44" item="2"/>
          <tpl fld="17" item="0"/>
        </tpls>
      </m>
      <m>
        <tpls c="7">
          <tpl fld="3" item="1"/>
          <tpl hier="10" item="4294967295"/>
          <tpl hier="35" item="0"/>
          <tpl fld="11" item="3"/>
          <tpl fld="12" item="2"/>
          <tpl hier="44" item="2"/>
          <tpl fld="17" item="0"/>
        </tpls>
      </m>
      <m>
        <tpls c="7">
          <tpl fld="3" item="1"/>
          <tpl fld="16" item="3"/>
          <tpl hier="35" item="0"/>
          <tpl fld="11" item="43"/>
          <tpl fld="12" item="3"/>
          <tpl hier="44" item="2"/>
          <tpl fld="17" item="0"/>
        </tpls>
      </m>
      <m>
        <tpls c="7">
          <tpl fld="3" item="1"/>
          <tpl fld="16" item="9"/>
          <tpl hier="35" item="0"/>
          <tpl fld="11" item="25"/>
          <tpl fld="12" item="2"/>
          <tpl hier="44" item="2"/>
          <tpl fld="17" item="0"/>
        </tpls>
      </m>
      <n v="4240420">
        <tpls c="5">
          <tpl fld="7" item="3"/>
          <tpl fld="0" item="2"/>
          <tpl fld="12" item="0"/>
          <tpl fld="1" item="1"/>
          <tpl fld="17" item="0"/>
        </tpls>
      </n>
      <m>
        <tpls c="7">
          <tpl fld="3" item="1"/>
          <tpl fld="16" item="5"/>
          <tpl hier="35" item="0"/>
          <tpl fld="11" item="49"/>
          <tpl fld="12" item="9"/>
          <tpl hier="44" item="2"/>
          <tpl fld="17" item="0"/>
        </tpls>
      </m>
      <n v="139048">
        <tpls c="7">
          <tpl fld="3" item="0"/>
          <tpl fld="16" item="2"/>
          <tpl hier="35" item="1"/>
          <tpl fld="11" item="36"/>
          <tpl fld="12" item="2"/>
          <tpl hier="44" item="2"/>
          <tpl fld="17" item="0"/>
        </tpls>
      </n>
      <m>
        <tpls c="3">
          <tpl fld="2" item="17"/>
          <tpl fld="8" item="3"/>
          <tpl fld="17" item="3"/>
        </tpls>
      </m>
      <m>
        <tpls c="7">
          <tpl fld="3" item="1"/>
          <tpl fld="16" item="1"/>
          <tpl hier="35" item="0"/>
          <tpl fld="11" item="4"/>
          <tpl fld="12" item="1"/>
          <tpl hier="44" item="2"/>
          <tpl fld="17" item="0"/>
        </tpls>
      </m>
      <n v="9901">
        <tpls c="6">
          <tpl fld="7" item="0"/>
          <tpl fld="16" item="11"/>
          <tpl fld="0" item="0"/>
          <tpl fld="12" item="7"/>
          <tpl fld="1" item="1"/>
          <tpl fld="17" item="0"/>
        </tpls>
      </n>
      <m>
        <tpls c="7">
          <tpl fld="3" item="1"/>
          <tpl fld="16" item="4"/>
          <tpl hier="35" item="0"/>
          <tpl fld="11" item="54"/>
          <tpl fld="12" item="4"/>
          <tpl hier="44" item="2"/>
          <tpl fld="17" item="0"/>
        </tpls>
      </m>
      <n v="-173856">
        <tpls c="7">
          <tpl fld="7" item="0"/>
          <tpl fld="16" item="6"/>
          <tpl fld="0" item="0"/>
          <tpl fld="11" item="46"/>
          <tpl fld="12" item="13"/>
          <tpl fld="1" item="1"/>
          <tpl fld="17" item="0"/>
        </tpls>
      </n>
      <n v="360000">
        <tpls c="6">
          <tpl fld="7" item="2"/>
          <tpl fld="0" item="1"/>
          <tpl fld="11" item="31"/>
          <tpl fld="10" item="2"/>
          <tpl hier="44" item="2"/>
          <tpl fld="17" item="0"/>
        </tpls>
      </n>
      <m>
        <tpls c="7">
          <tpl fld="3" item="1"/>
          <tpl fld="16" item="10"/>
          <tpl hier="35" item="0"/>
          <tpl fld="11" item="27"/>
          <tpl fld="12" item="3"/>
          <tpl hier="44" item="2"/>
          <tpl fld="17" item="0"/>
        </tpls>
      </m>
      <m>
        <tpls c="3">
          <tpl fld="5" item="9"/>
          <tpl fld="4" item="2"/>
          <tpl fld="17" item="3"/>
        </tpls>
      </m>
      <n v="0">
        <tpls c="6">
          <tpl fld="6" item="3"/>
          <tpl hier="35" item="3"/>
          <tpl fld="11" item="48"/>
          <tpl fld="12" item="4"/>
          <tpl hier="44" item="2"/>
          <tpl fld="17" item="0"/>
        </tpls>
      </n>
      <n v="0">
        <tpls c="6">
          <tpl fld="7" item="0"/>
          <tpl fld="16" item="1"/>
          <tpl fld="0" item="0"/>
          <tpl fld="12" item="22"/>
          <tpl fld="1" item="1"/>
          <tpl fld="17" item="0"/>
        </tpls>
      </n>
      <n v="697806">
        <tpls c="6">
          <tpl fld="7" item="3"/>
          <tpl fld="0" item="2"/>
          <tpl fld="11" item="71"/>
          <tpl fld="12" item="13"/>
          <tpl fld="1" item="1"/>
          <tpl fld="17" item="0"/>
        </tpls>
      </n>
      <n v="-173856">
        <tpls c="7">
          <tpl fld="7" item="0"/>
          <tpl fld="16" item="3"/>
          <tpl fld="0" item="0"/>
          <tpl fld="11" item="46"/>
          <tpl fld="12" item="13"/>
          <tpl fld="1" item="1"/>
          <tpl fld="17" item="0"/>
        </tpls>
      </n>
      <m>
        <tpls c="7">
          <tpl fld="3" item="1"/>
          <tpl fld="16" item="2"/>
          <tpl hier="35" item="0"/>
          <tpl fld="11" item="27"/>
          <tpl fld="12" item="3"/>
          <tpl hier="44" item="2"/>
          <tpl fld="17" item="0"/>
        </tpls>
      </m>
      <n v="372291911">
        <tpls c="5">
          <tpl fld="7" item="0"/>
          <tpl fld="0" item="0"/>
          <tpl fld="12" item="2"/>
          <tpl hier="44" item="2"/>
          <tpl fld="17" item="0"/>
        </tpls>
      </n>
      <n v="0">
        <tpls c="7">
          <tpl fld="7" item="0"/>
          <tpl fld="16" item="8"/>
          <tpl fld="0" item="0"/>
          <tpl fld="11" item="29"/>
          <tpl fld="12" item="8"/>
          <tpl fld="1" item="1"/>
          <tpl fld="17" item="0"/>
        </tpls>
      </n>
      <m>
        <tpls c="6">
          <tpl fld="7" item="0"/>
          <tpl fld="0" item="0"/>
          <tpl fld="11" item="24"/>
          <tpl fld="10" item="1"/>
          <tpl hier="44" item="2"/>
          <tpl fld="17" item="0"/>
        </tpls>
      </m>
      <n v="0">
        <tpls c="7">
          <tpl fld="3" item="0"/>
          <tpl fld="16" item="5"/>
          <tpl hier="35" item="1"/>
          <tpl fld="11" item="54"/>
          <tpl fld="12" item="4"/>
          <tpl hier="44" item="2"/>
          <tpl fld="17" item="0"/>
        </tpls>
      </n>
      <n v="3941351">
        <tpls c="6">
          <tpl fld="6" item="1"/>
          <tpl hier="35" item="3"/>
          <tpl fld="11" item="8"/>
          <tpl fld="12" item="3"/>
          <tpl hier="44" item="2"/>
          <tpl fld="17" item="0"/>
        </tpls>
      </n>
      <m>
        <tpls c="7">
          <tpl fld="3" item="1"/>
          <tpl fld="16" item="8"/>
          <tpl hier="35" item="0"/>
          <tpl fld="11" item="38"/>
          <tpl fld="12" item="11"/>
          <tpl hier="44" item="2"/>
          <tpl fld="17" item="0"/>
        </tpls>
      </m>
      <m>
        <tpls c="6">
          <tpl fld="3" item="1"/>
          <tpl fld="16" item="8"/>
          <tpl hier="35" item="0"/>
          <tpl fld="12" item="4"/>
          <tpl hier="44" item="2"/>
          <tpl fld="17" item="0"/>
        </tpls>
      </m>
      <n v="0">
        <tpls c="7">
          <tpl fld="3" item="0"/>
          <tpl fld="16" item="10"/>
          <tpl hier="35" item="1"/>
          <tpl fld="11" item="9"/>
          <tpl fld="12" item="4"/>
          <tpl hier="44" item="2"/>
          <tpl fld="17" item="0"/>
        </tpls>
      </n>
      <n v="-1837831">
        <tpls c="7">
          <tpl fld="7" item="0"/>
          <tpl fld="16" item="7"/>
          <tpl fld="0" item="0"/>
          <tpl fld="11" item="66"/>
          <tpl fld="12" item="13"/>
          <tpl fld="1" item="1"/>
          <tpl fld="17" item="0"/>
        </tpls>
      </n>
      <m>
        <tpls c="7">
          <tpl fld="3" item="0"/>
          <tpl fld="16" item="4"/>
          <tpl hier="35" item="1"/>
          <tpl fld="11" item="4"/>
          <tpl fld="12" item="1"/>
          <tpl hier="44" item="2"/>
          <tpl fld="17" item="0"/>
        </tpls>
      </m>
      <n v="91683046">
        <tpls c="7">
          <tpl fld="7" item="0"/>
          <tpl hier="10" item="4294967295"/>
          <tpl fld="0" item="0"/>
          <tpl fld="11" item="75"/>
          <tpl fld="12" item="14"/>
          <tpl fld="1" item="1"/>
          <tpl fld="17" item="0"/>
        </tpls>
      </n>
      <m>
        <tpls c="7">
          <tpl fld="3" item="1"/>
          <tpl fld="16" item="8"/>
          <tpl hier="35" item="0"/>
          <tpl fld="11" item="19"/>
          <tpl fld="12" item="2"/>
          <tpl hier="44" item="2"/>
          <tpl fld="17" item="0"/>
        </tpls>
      </m>
      <m>
        <tpls c="3">
          <tpl fld="2" item="2"/>
          <tpl fld="8" item="4"/>
          <tpl fld="17" item="3"/>
        </tpls>
      </m>
      <n v="94694647">
        <tpls c="6">
          <tpl fld="7" item="0"/>
          <tpl hier="10" item="4294967295"/>
          <tpl fld="0" item="0"/>
          <tpl fld="12" item="19"/>
          <tpl fld="1" item="1"/>
          <tpl fld="17" item="0"/>
        </tpls>
      </n>
      <m>
        <tpls c="7">
          <tpl fld="3" item="1"/>
          <tpl fld="16" item="4"/>
          <tpl hier="35" item="0"/>
          <tpl fld="11" item="1"/>
          <tpl fld="12" item="1"/>
          <tpl hier="44" item="2"/>
          <tpl fld="17" item="0"/>
        </tpls>
      </m>
      <n v="0">
        <tpls c="6">
          <tpl fld="7" item="0"/>
          <tpl fld="16" item="11"/>
          <tpl fld="0" item="0"/>
          <tpl fld="12" item="17"/>
          <tpl fld="1" item="1"/>
          <tpl fld="17" item="0"/>
        </tpls>
      </n>
      <m>
        <tpls c="7">
          <tpl fld="3" item="1"/>
          <tpl fld="16" item="2"/>
          <tpl hier="35" item="0"/>
          <tpl fld="11" item="38"/>
          <tpl fld="12" item="11"/>
          <tpl hier="44" item="2"/>
          <tpl fld="17" item="0"/>
        </tpls>
      </m>
      <n v="900">
        <tpls c="6">
          <tpl fld="6" item="1"/>
          <tpl hier="35" item="3"/>
          <tpl fld="11" item="1"/>
          <tpl fld="12" item="1"/>
          <tpl hier="44" item="2"/>
          <tpl fld="17" item="0"/>
        </tpls>
      </n>
      <m>
        <tpls c="7">
          <tpl fld="3" item="1"/>
          <tpl fld="16" item="3"/>
          <tpl hier="35" item="0"/>
          <tpl fld="11" item="31"/>
          <tpl fld="12" item="3"/>
          <tpl hier="44" item="2"/>
          <tpl fld="17" item="0"/>
        </tpls>
      </m>
      <n v="4167">
        <tpls c="3">
          <tpl fld="9" item="1"/>
          <tpl fld="15" item="0"/>
          <tpl fld="17" item="2"/>
        </tpls>
      </n>
      <n v="504642">
        <tpls c="6">
          <tpl fld="6" item="1"/>
          <tpl hier="35" item="3"/>
          <tpl fld="11" item="36"/>
          <tpl fld="12" item="2"/>
          <tpl hier="44" item="2"/>
          <tpl fld="17" item="0"/>
        </tpls>
      </n>
      <m>
        <tpls c="7">
          <tpl fld="3" item="1"/>
          <tpl hier="10" item="4294967295"/>
          <tpl hier="35" item="0"/>
          <tpl fld="11" item="5"/>
          <tpl fld="12" item="1"/>
          <tpl hier="44" item="2"/>
          <tpl fld="17" item="0"/>
        </tpls>
      </m>
      <n v="-95040">
        <tpls c="7">
          <tpl fld="7" item="0"/>
          <tpl fld="16" item="8"/>
          <tpl fld="0" item="0"/>
          <tpl fld="11" item="60"/>
          <tpl fld="12" item="20"/>
          <tpl fld="1" item="1"/>
          <tpl fld="17" item="0"/>
        </tpls>
      </n>
      <m>
        <tpls c="7">
          <tpl fld="3" item="1"/>
          <tpl fld="16" item="3"/>
          <tpl hier="35" item="0"/>
          <tpl fld="11" item="15"/>
          <tpl fld="12" item="3"/>
          <tpl hier="44" item="2"/>
          <tpl fld="17" item="0"/>
        </tpls>
      </m>
      <m>
        <tpls c="7">
          <tpl fld="3" item="1"/>
          <tpl fld="16" item="1"/>
          <tpl hier="35" item="0"/>
          <tpl fld="11" item="43"/>
          <tpl fld="12" item="3"/>
          <tpl hier="44" item="2"/>
          <tpl fld="17" item="0"/>
        </tpls>
      </m>
      <m>
        <tpls c="7">
          <tpl fld="3" item="1"/>
          <tpl fld="16" item="8"/>
          <tpl hier="35" item="0"/>
          <tpl fld="11" item="27"/>
          <tpl fld="12" item="3"/>
          <tpl hier="44" item="2"/>
          <tpl fld="17" item="0"/>
        </tpls>
      </m>
      <n v="4283001">
        <tpls c="6">
          <tpl fld="6" item="2"/>
          <tpl hier="35" item="1"/>
          <tpl fld="11" item="33"/>
          <tpl fld="10" item="2"/>
          <tpl hier="44" item="2"/>
          <tpl fld="17" item="0"/>
        </tpls>
      </n>
      <m>
        <tpls c="7">
          <tpl fld="3" item="1"/>
          <tpl fld="16" item="6"/>
          <tpl hier="35" item="0"/>
          <tpl fld="11" item="38"/>
          <tpl fld="12" item="11"/>
          <tpl hier="44" item="2"/>
          <tpl fld="17" item="0"/>
        </tpls>
      </m>
      <m>
        <tpls c="7">
          <tpl fld="3" item="1"/>
          <tpl fld="16" item="10"/>
          <tpl hier="35" item="0"/>
          <tpl fld="11" item="3"/>
          <tpl fld="12" item="2"/>
          <tpl hier="44" item="2"/>
          <tpl fld="17" item="0"/>
        </tpls>
      </m>
      <m>
        <tpls c="7">
          <tpl fld="3" item="1"/>
          <tpl fld="16" item="10"/>
          <tpl hier="35" item="0"/>
          <tpl fld="11" item="11"/>
          <tpl fld="12" item="2"/>
          <tpl hier="44" item="2"/>
          <tpl fld="17" item="0"/>
        </tpls>
      </m>
      <n v="102419">
        <tpls c="7">
          <tpl fld="3" item="0"/>
          <tpl fld="16" item="3"/>
          <tpl hier="35" item="1"/>
          <tpl fld="11" item="41"/>
          <tpl fld="12" item="2"/>
          <tpl hier="44" item="2"/>
          <tpl fld="17" item="0"/>
        </tpls>
      </n>
      <m>
        <tpls c="3">
          <tpl fld="2" item="2"/>
          <tpl fld="8" item="2"/>
          <tpl fld="17" item="3"/>
        </tpls>
      </m>
      <m>
        <tpls c="3">
          <tpl fld="2" item="16"/>
          <tpl fld="8" item="0"/>
          <tpl fld="17" item="3"/>
        </tpls>
      </m>
      <n v="17192000">
        <tpls c="6">
          <tpl fld="7" item="2"/>
          <tpl fld="0" item="1"/>
          <tpl fld="11" item="33"/>
          <tpl fld="10" item="2"/>
          <tpl hier="44" item="2"/>
          <tpl fld="17" item="0"/>
        </tpls>
      </n>
      <n v="57936411">
        <tpls c="6">
          <tpl fld="7" item="0"/>
          <tpl fld="16" item="0"/>
          <tpl fld="0" item="0"/>
          <tpl fld="12" item="10"/>
          <tpl fld="1" item="1"/>
          <tpl fld="17" item="0"/>
        </tpls>
      </n>
      <m>
        <tpls c="6">
          <tpl fld="3" item="1"/>
          <tpl fld="16" item="9"/>
          <tpl hier="35" item="0"/>
          <tpl fld="12" item="21"/>
          <tpl hier="44" item="2"/>
          <tpl fld="17" item="0"/>
        </tpls>
      </m>
      <m>
        <tpls c="3">
          <tpl fld="2" item="12"/>
          <tpl fld="8" item="0"/>
          <tpl fld="17" item="3"/>
        </tpls>
      </m>
      <n v="13658338">
        <tpls c="6">
          <tpl fld="7" item="0"/>
          <tpl fld="0" item="0"/>
          <tpl fld="11" item="6"/>
          <tpl fld="12" item="3"/>
          <tpl hier="44" item="2"/>
          <tpl fld="17" item="0"/>
        </tpls>
      </n>
      <m>
        <tpls c="7">
          <tpl fld="3" item="1"/>
          <tpl fld="16" item="8"/>
          <tpl hier="35" item="0"/>
          <tpl fld="11" item="25"/>
          <tpl fld="12" item="2"/>
          <tpl hier="44" item="2"/>
          <tpl fld="17" item="0"/>
        </tpls>
      </m>
      <m>
        <tpls c="6">
          <tpl fld="3" item="1"/>
          <tpl fld="16" item="6"/>
          <tpl hier="35" item="0"/>
          <tpl fld="12" item="3"/>
          <tpl hier="44" item="2"/>
          <tpl fld="17" item="0"/>
        </tpls>
      </m>
      <m>
        <tpls c="7">
          <tpl fld="3" item="1"/>
          <tpl fld="16" item="0"/>
          <tpl hier="35" item="0"/>
          <tpl fld="11" item="8"/>
          <tpl fld="12" item="3"/>
          <tpl hier="44" item="2"/>
          <tpl fld="17" item="0"/>
        </tpls>
      </m>
      <m>
        <tpls c="3">
          <tpl fld="2" item="20"/>
          <tpl fld="8" item="8"/>
          <tpl fld="17" item="3"/>
        </tpls>
      </m>
      <n v="496708">
        <tpls c="7">
          <tpl fld="7" item="0"/>
          <tpl fld="16" item="3"/>
          <tpl fld="0" item="0"/>
          <tpl fld="11" item="52"/>
          <tpl fld="12" item="20"/>
          <tpl fld="1" item="1"/>
          <tpl fld="17" item="0"/>
        </tpls>
      </n>
      <m>
        <tpls c="7">
          <tpl fld="3" item="1"/>
          <tpl fld="16" item="6"/>
          <tpl hier="35" item="0"/>
          <tpl fld="11" item="7"/>
          <tpl fld="12" item="4"/>
          <tpl hier="44" item="2"/>
          <tpl fld="17" item="0"/>
        </tpls>
      </m>
      <n v="3550">
        <tpls c="7">
          <tpl fld="3" item="0"/>
          <tpl hier="10" item="4294967295"/>
          <tpl hier="35" item="1"/>
          <tpl fld="11" item="30"/>
          <tpl fld="12" item="15"/>
          <tpl hier="44" item="2"/>
          <tpl fld="17" item="0"/>
        </tpls>
      </n>
      <n v="0">
        <tpls c="6">
          <tpl fld="7" item="0"/>
          <tpl fld="16" item="5"/>
          <tpl fld="0" item="0"/>
          <tpl fld="12" item="0"/>
          <tpl fld="1" item="1"/>
          <tpl fld="17" item="0"/>
        </tpls>
      </n>
      <n v="134374">
        <tpls c="7">
          <tpl fld="3" item="0"/>
          <tpl fld="16" item="1"/>
          <tpl hier="35" item="1"/>
          <tpl fld="11" item="9"/>
          <tpl fld="12" item="4"/>
          <tpl hier="44" item="2"/>
          <tpl fld="17" item="0"/>
        </tpls>
      </n>
      <n v="73716">
        <tpls c="6">
          <tpl fld="6" item="1"/>
          <tpl hier="35" item="3"/>
          <tpl fld="11" item="11"/>
          <tpl fld="12" item="2"/>
          <tpl hier="44" item="2"/>
          <tpl fld="17" item="0"/>
        </tpls>
      </n>
      <m>
        <tpls c="7">
          <tpl fld="3" item="1"/>
          <tpl fld="16" item="7"/>
          <tpl hier="35" item="0"/>
          <tpl fld="11" item="30"/>
          <tpl fld="12" item="15"/>
          <tpl hier="44" item="2"/>
          <tpl fld="17" item="0"/>
        </tpls>
      </m>
      <n v="4167">
        <tpls c="3">
          <tpl fld="9" item="5"/>
          <tpl fld="15" item="0"/>
          <tpl fld="17" item="2"/>
        </tpls>
      </n>
      <m>
        <tpls c="7">
          <tpl fld="3" item="1"/>
          <tpl fld="16" item="0"/>
          <tpl hier="35" item="0"/>
          <tpl fld="11" item="23"/>
          <tpl fld="12" item="11"/>
          <tpl hier="44" item="2"/>
          <tpl fld="17" item="0"/>
        </tpls>
      </m>
      <n v="-173856">
        <tpls c="7">
          <tpl fld="7" item="0"/>
          <tpl fld="16" item="7"/>
          <tpl fld="0" item="0"/>
          <tpl fld="11" item="46"/>
          <tpl fld="12" item="13"/>
          <tpl fld="1" item="1"/>
          <tpl fld="17" item="0"/>
        </tpls>
      </n>
      <m>
        <tpls c="3">
          <tpl fld="2" item="13"/>
          <tpl fld="8" item="9"/>
          <tpl fld="17" item="3"/>
        </tpls>
      </m>
      <m>
        <tpls c="7">
          <tpl fld="3" item="1"/>
          <tpl fld="16" item="3"/>
          <tpl hier="35" item="0"/>
          <tpl fld="11" item="44"/>
          <tpl fld="12" item="3"/>
          <tpl hier="44" item="2"/>
          <tpl fld="17" item="0"/>
        </tpls>
      </m>
      <n v="67957522">
        <tpls c="6">
          <tpl fld="6" item="1"/>
          <tpl hier="35" item="1"/>
          <tpl fld="11" item="49"/>
          <tpl fld="10" item="2"/>
          <tpl hier="44" item="2"/>
          <tpl fld="17" item="0"/>
        </tpls>
      </n>
      <n v="312501">
        <tpls c="6">
          <tpl fld="6" item="2"/>
          <tpl hier="35" item="1"/>
          <tpl fld="11" item="43"/>
          <tpl fld="10" item="2"/>
          <tpl hier="44" item="2"/>
          <tpl fld="17" item="0"/>
        </tpls>
      </n>
      <n v="0">
        <tpls c="7">
          <tpl fld="7" item="0"/>
          <tpl fld="16" item="1"/>
          <tpl fld="0" item="0"/>
          <tpl fld="11" item="67"/>
          <tpl fld="12" item="0"/>
          <tpl fld="1" item="1"/>
          <tpl fld="17" item="0"/>
        </tpls>
      </n>
      <m>
        <tpls c="3">
          <tpl fld="8" item="10"/>
          <tpl fld="4" item="0"/>
          <tpl fld="17" item="3"/>
        </tpls>
      </m>
      <m>
        <tpls c="7">
          <tpl fld="3" item="1"/>
          <tpl fld="16" item="9"/>
          <tpl hier="35" item="0"/>
          <tpl fld="11" item="4"/>
          <tpl fld="12" item="1"/>
          <tpl hier="44" item="2"/>
          <tpl fld="17" item="0"/>
        </tpls>
      </m>
      <n v="0">
        <tpls c="7">
          <tpl fld="7" item="0"/>
          <tpl fld="16" item="1"/>
          <tpl fld="0" item="0"/>
          <tpl fld="11" item="53"/>
          <tpl fld="12" item="14"/>
          <tpl fld="1" item="1"/>
          <tpl fld="17" item="0"/>
        </tpls>
      </n>
      <n v="3366875">
        <tpls c="6">
          <tpl fld="6" item="1"/>
          <tpl hier="35" item="3"/>
          <tpl fld="11" item="20"/>
          <tpl fld="12" item="2"/>
          <tpl hier="44" item="2"/>
          <tpl fld="17" item="0"/>
        </tpls>
      </n>
      <m>
        <tpls c="3">
          <tpl fld="2" item="19"/>
          <tpl fld="8" item="11"/>
          <tpl fld="17" item="3"/>
        </tpls>
      </m>
      <n v="-173856">
        <tpls c="7">
          <tpl fld="7" item="0"/>
          <tpl fld="16" item="2"/>
          <tpl fld="0" item="0"/>
          <tpl fld="11" item="46"/>
          <tpl fld="12" item="13"/>
          <tpl fld="1" item="1"/>
          <tpl fld="17" item="0"/>
        </tpls>
      </n>
      <n v="0">
        <tpls c="7">
          <tpl fld="7" item="0"/>
          <tpl fld="16" item="5"/>
          <tpl fld="0" item="0"/>
          <tpl fld="11" item="12"/>
          <tpl fld="12" item="6"/>
          <tpl fld="1" item="1"/>
          <tpl fld="17" item="0"/>
        </tpls>
      </n>
      <m>
        <tpls c="3">
          <tpl fld="2" item="3"/>
          <tpl fld="8" item="11"/>
          <tpl fld="17" item="3"/>
        </tpls>
      </m>
      <n v="0">
        <tpls c="7">
          <tpl fld="3" item="0"/>
          <tpl fld="16" item="3"/>
          <tpl hier="35" item="1"/>
          <tpl fld="11" item="44"/>
          <tpl fld="12" item="3"/>
          <tpl hier="44" item="2"/>
          <tpl fld="17" item="0"/>
        </tpls>
      </n>
      <m>
        <tpls c="3">
          <tpl fld="2" item="5"/>
          <tpl fld="8" item="4"/>
          <tpl fld="17" item="3"/>
        </tpls>
      </m>
      <m>
        <tpls c="3">
          <tpl fld="5" item="0"/>
          <tpl fld="4" item="0"/>
          <tpl fld="17" item="3"/>
        </tpls>
      </m>
      <n v="265">
        <tpls c="6">
          <tpl fld="6" item="1"/>
          <tpl hier="35" item="3"/>
          <tpl fld="11" item="30"/>
          <tpl fld="12" item="15"/>
          <tpl hier="44" item="2"/>
          <tpl fld="17" item="0"/>
        </tpls>
      </n>
      <n v="27897841">
        <tpls c="6">
          <tpl fld="7" item="2"/>
          <tpl fld="0" item="1"/>
          <tpl fld="11" item="2"/>
          <tpl fld="10" item="0"/>
          <tpl hier="44" item="2"/>
          <tpl fld="17" item="0"/>
        </tpls>
      </n>
      <n v="265606">
        <tpls c="7">
          <tpl fld="7" item="0"/>
          <tpl hier="10" item="4294967295"/>
          <tpl fld="0" item="0"/>
          <tpl fld="11" item="70"/>
          <tpl fld="12" item="20"/>
          <tpl fld="1" item="1"/>
          <tpl fld="17" item="0"/>
        </tpls>
      </n>
      <m>
        <tpls c="3">
          <tpl fld="8" item="9"/>
          <tpl fld="4" item="1"/>
          <tpl fld="17" item="3"/>
        </tpls>
      </m>
      <n v="2750">
        <tpls c="7">
          <tpl fld="3" item="0"/>
          <tpl fld="16" item="4"/>
          <tpl hier="35" item="1"/>
          <tpl fld="11" item="38"/>
          <tpl fld="12" item="11"/>
          <tpl hier="44" item="2"/>
          <tpl fld="17" item="0"/>
        </tpls>
      </n>
      <n v="1427667">
        <tpls c="7">
          <tpl fld="3" item="0"/>
          <tpl fld="16" item="11"/>
          <tpl hier="35" item="1"/>
          <tpl fld="11" item="33"/>
          <tpl fld="12" item="3"/>
          <tpl hier="44" item="2"/>
          <tpl fld="17" item="0"/>
        </tpls>
      </n>
      <n v="230861452">
        <tpls c="5">
          <tpl fld="7" item="1"/>
          <tpl fld="0" item="2"/>
          <tpl fld="12" item="9"/>
          <tpl hier="44" item="2"/>
          <tpl fld="17" item="0"/>
        </tpls>
      </n>
      <n v="343750">
        <tpls c="6">
          <tpl fld="6" item="1"/>
          <tpl hier="35" item="3"/>
          <tpl fld="11" item="14"/>
          <tpl fld="12" item="3"/>
          <tpl hier="44" item="2"/>
          <tpl fld="17" item="0"/>
        </tpls>
      </n>
      <m>
        <tpls c="7">
          <tpl fld="3" item="1"/>
          <tpl fld="16" item="7"/>
          <tpl hier="35" item="0"/>
          <tpl fld="11" item="10"/>
          <tpl fld="12" item="3"/>
          <tpl hier="44" item="2"/>
          <tpl fld="17" item="0"/>
        </tpls>
      </m>
      <m>
        <tpls c="7">
          <tpl fld="3" item="1"/>
          <tpl fld="16" item="6"/>
          <tpl hier="35" item="0"/>
          <tpl fld="11" item="41"/>
          <tpl fld="12" item="2"/>
          <tpl hier="44" item="2"/>
          <tpl fld="17" item="0"/>
        </tpls>
      </m>
      <m>
        <tpls c="6">
          <tpl fld="7" item="0"/>
          <tpl fld="0" item="0"/>
          <tpl fld="11" item="4"/>
          <tpl fld="12" item="1"/>
          <tpl hier="44" item="2"/>
          <tpl fld="17" item="0"/>
        </tpls>
      </m>
      <n v="0">
        <tpls c="6">
          <tpl fld="7" item="0"/>
          <tpl fld="16" item="5"/>
          <tpl fld="0" item="0"/>
          <tpl fld="12" item="17"/>
          <tpl fld="1" item="1"/>
          <tpl fld="17" item="0"/>
        </tpls>
      </n>
      <n v="1652">
        <tpls c="7">
          <tpl fld="7" item="0"/>
          <tpl fld="16" item="3"/>
          <tpl fld="0" item="0"/>
          <tpl fld="11" item="70"/>
          <tpl fld="12" item="20"/>
          <tpl fld="1" item="1"/>
          <tpl fld="17" item="0"/>
        </tpls>
      </n>
      <n v="6090000">
        <tpls c="3">
          <tpl fld="5" item="7"/>
          <tpl fld="4" item="3"/>
          <tpl fld="17" item="3"/>
        </tpls>
      </n>
      <n v="0">
        <tpls c="7">
          <tpl fld="7" item="0"/>
          <tpl fld="16" item="11"/>
          <tpl fld="0" item="0"/>
          <tpl fld="11" item="70"/>
          <tpl fld="12" item="20"/>
          <tpl fld="1" item="1"/>
          <tpl fld="17" item="0"/>
        </tpls>
      </n>
      <m>
        <tpls c="3">
          <tpl fld="2" item="2"/>
          <tpl fld="8" item="7"/>
          <tpl fld="17" item="3"/>
        </tpls>
      </m>
      <n v="1879780">
        <tpls c="6">
          <tpl fld="7" item="0"/>
          <tpl fld="0" item="0"/>
          <tpl fld="11" item="23"/>
          <tpl fld="10" item="2"/>
          <tpl hier="44" item="2"/>
          <tpl fld="17" item="0"/>
        </tpls>
      </n>
      <n v="128208191">
        <tpls c="6">
          <tpl fld="7" item="2"/>
          <tpl fld="0" item="1"/>
          <tpl fld="11" item="18"/>
          <tpl fld="12" item="2"/>
          <tpl hier="44" item="2"/>
          <tpl fld="17" item="0"/>
        </tpls>
      </n>
      <m>
        <tpls c="7">
          <tpl fld="3" item="1"/>
          <tpl fld="16" item="10"/>
          <tpl hier="35" item="0"/>
          <tpl fld="11" item="15"/>
          <tpl fld="12" item="3"/>
          <tpl hier="44" item="2"/>
          <tpl fld="17" item="0"/>
        </tpls>
      </m>
      <n v="292646501">
        <tpls c="7">
          <tpl fld="7" item="0"/>
          <tpl fld="16" item="0"/>
          <tpl fld="0" item="0"/>
          <tpl fld="11" item="29"/>
          <tpl fld="12" item="8"/>
          <tpl fld="1" item="1"/>
          <tpl fld="17" item="0"/>
        </tpls>
      </n>
      <m>
        <tpls c="3">
          <tpl fld="2" item="9"/>
          <tpl fld="8" item="1"/>
          <tpl fld="17" item="3"/>
        </tpls>
      </m>
      <n v="5235751">
        <tpls c="5">
          <tpl fld="6" item="2"/>
          <tpl hier="35" item="3"/>
          <tpl fld="12" item="11"/>
          <tpl hier="44" item="2"/>
          <tpl fld="17" item="0"/>
        </tpls>
      </n>
      <n v="73634200">
        <tpls c="7">
          <tpl fld="3" item="0"/>
          <tpl fld="16" item="5"/>
          <tpl hier="35" item="1"/>
          <tpl fld="11" item="3"/>
          <tpl fld="12" item="2"/>
          <tpl hier="44" item="2"/>
          <tpl fld="17" item="0"/>
        </tpls>
      </n>
      <n v="-1607354">
        <tpls c="6">
          <tpl fld="7" item="0"/>
          <tpl fld="16" item="6"/>
          <tpl fld="0" item="0"/>
          <tpl fld="12" item="10"/>
          <tpl fld="1" item="1"/>
          <tpl fld="17" item="0"/>
        </tpls>
      </n>
      <n v="0">
        <tpls c="7">
          <tpl fld="7" item="0"/>
          <tpl fld="16" item="1"/>
          <tpl fld="0" item="0"/>
          <tpl fld="11" item="21"/>
          <tpl fld="12" item="10"/>
          <tpl fld="1" item="1"/>
          <tpl fld="17" item="0"/>
        </tpls>
      </n>
      <m>
        <tpls c="6">
          <tpl fld="3" item="1"/>
          <tpl fld="16" item="2"/>
          <tpl hier="35" item="0"/>
          <tpl fld="12" item="15"/>
          <tpl hier="44" item="2"/>
          <tpl fld="17" item="0"/>
        </tpls>
      </m>
      <m>
        <tpls c="6">
          <tpl fld="6" item="0"/>
          <tpl hier="35" item="1"/>
          <tpl fld="11" item="4"/>
          <tpl fld="10" item="3"/>
          <tpl hier="44" item="2"/>
          <tpl fld="17" item="0"/>
        </tpls>
      </m>
      <n v="72916">
        <tpls c="7">
          <tpl fld="3" item="0"/>
          <tpl fld="16" item="10"/>
          <tpl hier="35" item="1"/>
          <tpl fld="11" item="14"/>
          <tpl fld="12" item="3"/>
          <tpl hier="44" item="2"/>
          <tpl fld="17" item="0"/>
        </tpls>
      </n>
      <n v="6012000">
        <tpls c="6">
          <tpl fld="7" item="2"/>
          <tpl fld="0" item="1"/>
          <tpl fld="11" item="16"/>
          <tpl fld="12" item="3"/>
          <tpl hier="44" item="2"/>
          <tpl fld="17" item="0"/>
        </tpls>
      </n>
      <m>
        <tpls c="3">
          <tpl fld="5" item="2"/>
          <tpl fld="4" item="0"/>
          <tpl fld="17" item="3"/>
        </tpls>
      </m>
      <n v="466">
        <tpls c="6">
          <tpl fld="6" item="3"/>
          <tpl hier="35" item="3"/>
          <tpl fld="11" item="34"/>
          <tpl fld="12" item="15"/>
          <tpl hier="44" item="2"/>
          <tpl fld="17" item="0"/>
        </tpls>
      </n>
      <m>
        <tpls c="7">
          <tpl fld="3" item="1"/>
          <tpl fld="16" item="4"/>
          <tpl hier="35" item="0"/>
          <tpl fld="11" item="35"/>
          <tpl fld="12" item="2"/>
          <tpl hier="44" item="2"/>
          <tpl fld="17" item="0"/>
        </tpls>
      </m>
      <n v="103358798">
        <tpls c="5">
          <tpl fld="7" item="3"/>
          <tpl fld="0" item="2"/>
          <tpl fld="12" item="19"/>
          <tpl fld="1" item="1"/>
          <tpl fld="17" item="0"/>
        </tpls>
      </n>
      <m>
        <tpls c="7">
          <tpl fld="3" item="1"/>
          <tpl fld="16" item="8"/>
          <tpl hier="35" item="0"/>
          <tpl fld="11" item="8"/>
          <tpl fld="12" item="3"/>
          <tpl hier="44" item="2"/>
          <tpl fld="17" item="0"/>
        </tpls>
      </m>
      <m>
        <tpls c="7">
          <tpl fld="3" item="1"/>
          <tpl fld="16" item="1"/>
          <tpl hier="35" item="0"/>
          <tpl fld="11" item="49"/>
          <tpl fld="12" item="9"/>
          <tpl hier="44" item="2"/>
          <tpl fld="17" item="0"/>
        </tpls>
      </m>
      <n v="-2706723">
        <tpls c="7">
          <tpl fld="7" item="0"/>
          <tpl fld="16" item="2"/>
          <tpl fld="0" item="0"/>
          <tpl fld="11" item="56"/>
          <tpl fld="12" item="16"/>
          <tpl fld="1" item="1"/>
          <tpl fld="17" item="0"/>
        </tpls>
      </n>
      <m>
        <tpls c="7">
          <tpl fld="3" item="1"/>
          <tpl fld="16" item="0"/>
          <tpl hier="35" item="0"/>
          <tpl fld="11" item="48"/>
          <tpl fld="12" item="4"/>
          <tpl hier="44" item="2"/>
          <tpl fld="17" item="0"/>
        </tpls>
      </m>
      <m>
        <tpls c="7">
          <tpl fld="3" item="1"/>
          <tpl fld="16" item="11"/>
          <tpl hier="35" item="0"/>
          <tpl fld="11" item="0"/>
          <tpl fld="12" item="2"/>
          <tpl hier="44" item="2"/>
          <tpl fld="17" item="0"/>
        </tpls>
      </m>
      <m>
        <tpls c="7">
          <tpl fld="3" item="1"/>
          <tpl fld="16" item="10"/>
          <tpl hier="35" item="0"/>
          <tpl fld="11" item="17"/>
          <tpl fld="12" item="3"/>
          <tpl hier="44" item="2"/>
          <tpl fld="17" item="0"/>
        </tpls>
      </m>
      <n v="532">
        <tpls c="6">
          <tpl fld="6" item="2"/>
          <tpl hier="35" item="3"/>
          <tpl fld="11" item="34"/>
          <tpl fld="12" item="15"/>
          <tpl hier="44" item="2"/>
          <tpl fld="17" item="0"/>
        </tpls>
      </n>
      <m>
        <tpls c="6">
          <tpl fld="3" item="1"/>
          <tpl fld="16" item="3"/>
          <tpl hier="35" item="0"/>
          <tpl fld="12" item="4"/>
          <tpl hier="44" item="2"/>
          <tpl fld="17" item="0"/>
        </tpls>
      </m>
      <n v="1757">
        <tpls c="7">
          <tpl fld="3" item="0"/>
          <tpl fld="16" item="10"/>
          <tpl hier="35" item="1"/>
          <tpl fld="11" item="25"/>
          <tpl fld="12" item="2"/>
          <tpl hier="44" item="2"/>
          <tpl fld="17" item="0"/>
        </tpls>
      </n>
      <n v="51867620">
        <tpls c="6">
          <tpl fld="7" item="0"/>
          <tpl hier="10" item="4294967295"/>
          <tpl fld="0" item="0"/>
          <tpl fld="12" item="10"/>
          <tpl fld="1" item="1"/>
          <tpl fld="17" item="0"/>
        </tpls>
      </n>
      <m>
        <tpls c="7">
          <tpl fld="3" item="1"/>
          <tpl fld="16" item="11"/>
          <tpl hier="35" item="0"/>
          <tpl fld="11" item="25"/>
          <tpl fld="12" item="2"/>
          <tpl hier="44" item="2"/>
          <tpl fld="17" item="0"/>
        </tpls>
      </m>
      <n v="17976403">
        <tpls c="5">
          <tpl fld="6" item="1"/>
          <tpl hier="35" item="3"/>
          <tpl fld="12" item="3"/>
          <tpl hier="44" item="2"/>
          <tpl fld="17" item="0"/>
        </tpls>
      </n>
      <n v="683911">
        <tpls c="7">
          <tpl fld="7" item="0"/>
          <tpl fld="16" item="0"/>
          <tpl fld="0" item="0"/>
          <tpl fld="11" item="60"/>
          <tpl fld="12" item="20"/>
          <tpl fld="1" item="1"/>
          <tpl fld="17" item="0"/>
        </tpls>
      </n>
      <m>
        <tpls c="7">
          <tpl fld="3" item="1"/>
          <tpl hier="10" item="4294967295"/>
          <tpl hier="35" item="0"/>
          <tpl fld="11" item="54"/>
          <tpl fld="12" item="4"/>
          <tpl hier="44" item="2"/>
          <tpl fld="17" item="0"/>
        </tpls>
      </m>
      <m>
        <tpls c="7">
          <tpl fld="7" item="0"/>
          <tpl fld="16" item="0"/>
          <tpl fld="0" item="0"/>
          <tpl fld="11" item="61"/>
          <tpl fld="12" item="7"/>
          <tpl fld="1" item="1"/>
          <tpl fld="17" item="0"/>
        </tpls>
      </m>
      <m>
        <tpls c="7">
          <tpl fld="3" item="1"/>
          <tpl fld="16" item="8"/>
          <tpl hier="35" item="0"/>
          <tpl fld="11" item="35"/>
          <tpl fld="12" item="2"/>
          <tpl hier="44" item="2"/>
          <tpl fld="17" item="0"/>
        </tpls>
      </m>
      <n v="7237200">
        <tpls c="6">
          <tpl fld="7" item="2"/>
          <tpl fld="0" item="1"/>
          <tpl fld="11" item="10"/>
          <tpl fld="10" item="2"/>
          <tpl hier="44" item="2"/>
          <tpl fld="17" item="0"/>
        </tpls>
      </n>
      <m>
        <tpls c="7">
          <tpl fld="3" item="1"/>
          <tpl fld="16" item="4"/>
          <tpl hier="35" item="0"/>
          <tpl fld="11" item="7"/>
          <tpl fld="12" item="4"/>
          <tpl hier="44" item="2"/>
          <tpl fld="17" item="0"/>
        </tpls>
      </m>
      <m>
        <tpls c="7">
          <tpl fld="7" item="0"/>
          <tpl fld="16" item="5"/>
          <tpl fld="0" item="0"/>
          <tpl fld="11" item="61"/>
          <tpl fld="12" item="7"/>
          <tpl fld="1" item="1"/>
          <tpl fld="17" item="0"/>
        </tpls>
      </m>
      <n v="2065">
        <tpls c="6">
          <tpl fld="7" item="2"/>
          <tpl fld="0" item="1"/>
          <tpl fld="11" item="34"/>
          <tpl fld="12" item="15"/>
          <tpl hier="44" item="2"/>
          <tpl fld="17" item="0"/>
        </tpls>
      </n>
      <n v="1171">
        <tpls c="6">
          <tpl fld="6" item="3"/>
          <tpl hier="35" item="3"/>
          <tpl fld="11" item="25"/>
          <tpl fld="12" item="2"/>
          <tpl hier="44" item="2"/>
          <tpl fld="17" item="0"/>
        </tpls>
      </n>
      <m>
        <tpls c="7">
          <tpl fld="3" item="1"/>
          <tpl fld="16" item="1"/>
          <tpl hier="35" item="0"/>
          <tpl fld="11" item="0"/>
          <tpl fld="12" item="2"/>
          <tpl hier="44" item="2"/>
          <tpl fld="17" item="0"/>
        </tpls>
      </m>
      <m>
        <tpls c="7">
          <tpl fld="3" item="1"/>
          <tpl fld="16" item="7"/>
          <tpl hier="35" item="0"/>
          <tpl fld="11" item="15"/>
          <tpl fld="12" item="3"/>
          <tpl hier="44" item="2"/>
          <tpl fld="17" item="0"/>
        </tpls>
      </m>
      <m>
        <tpls c="6">
          <tpl fld="3" item="1"/>
          <tpl fld="16" item="11"/>
          <tpl hier="35" item="0"/>
          <tpl fld="12" item="15"/>
          <tpl hier="44" item="2"/>
          <tpl fld="17" item="0"/>
        </tpls>
      </m>
      <n v="18162611">
        <tpls c="5">
          <tpl fld="6" item="2"/>
          <tpl hier="35" item="3"/>
          <tpl fld="12" item="3"/>
          <tpl hier="44" item="2"/>
          <tpl fld="17" item="0"/>
        </tpls>
      </n>
      <m>
        <tpls c="3">
          <tpl fld="5" item="5"/>
          <tpl fld="4" item="1"/>
          <tpl fld="17" item="3"/>
        </tpls>
      </m>
      <n v="72916">
        <tpls c="7">
          <tpl fld="3" item="0"/>
          <tpl fld="16" item="4"/>
          <tpl hier="35" item="1"/>
          <tpl fld="11" item="14"/>
          <tpl fld="12" item="3"/>
          <tpl hier="44" item="2"/>
          <tpl fld="17" item="0"/>
        </tpls>
      </n>
      <n v="0">
        <tpls c="7">
          <tpl fld="7" item="0"/>
          <tpl fld="16" item="5"/>
          <tpl fld="0" item="0"/>
          <tpl fld="11" item="64"/>
          <tpl fld="12" item="22"/>
          <tpl fld="1" item="1"/>
          <tpl fld="17" item="0"/>
        </tpls>
      </n>
      <m>
        <tpls c="3">
          <tpl fld="2" item="8"/>
          <tpl fld="8" item="9"/>
          <tpl fld="17" item="3"/>
        </tpls>
      </m>
      <n v="495600">
        <tpls c="3">
          <tpl fld="2" item="14"/>
          <tpl fld="8" item="10"/>
          <tpl fld="17" item="3"/>
        </tpls>
      </n>
      <n v="33366">
        <tpls c="7">
          <tpl fld="3" item="0"/>
          <tpl fld="16" item="10"/>
          <tpl hier="35" item="1"/>
          <tpl fld="11" item="17"/>
          <tpl fld="12" item="3"/>
          <tpl hier="44" item="2"/>
          <tpl fld="17" item="0"/>
        </tpls>
      </n>
      <n v="0">
        <tpls c="6">
          <tpl fld="7" item="0"/>
          <tpl fld="16" item="5"/>
          <tpl fld="0" item="0"/>
          <tpl fld="12" item="22"/>
          <tpl fld="1" item="1"/>
          <tpl fld="17" item="0"/>
        </tpls>
      </n>
      <m>
        <tpls c="7">
          <tpl fld="3" item="1"/>
          <tpl fld="16" item="8"/>
          <tpl hier="35" item="0"/>
          <tpl fld="11" item="0"/>
          <tpl fld="12" item="2"/>
          <tpl hier="44" item="2"/>
          <tpl fld="17" item="0"/>
        </tpls>
      </m>
      <n v="0">
        <tpls c="6">
          <tpl fld="7" item="0"/>
          <tpl fld="16" item="1"/>
          <tpl fld="0" item="0"/>
          <tpl fld="12" item="12"/>
          <tpl fld="1" item="1"/>
          <tpl fld="17" item="0"/>
        </tpls>
      </n>
      <n v="126859046">
        <tpls c="6">
          <tpl fld="7" item="1"/>
          <tpl fld="0" item="2"/>
          <tpl fld="11" item="12"/>
          <tpl fld="12" item="6"/>
          <tpl fld="1" item="1"/>
          <tpl fld="17" item="0"/>
        </tpls>
      </n>
      <n v="17474750">
        <tpls c="7">
          <tpl fld="3" item="0"/>
          <tpl hier="10" item="4294967295"/>
          <tpl hier="35" item="1"/>
          <tpl fld="11" item="20"/>
          <tpl fld="12" item="2"/>
          <tpl hier="44" item="2"/>
          <tpl fld="17" item="0"/>
        </tpls>
      </n>
      <n v="19625086">
        <tpls c="6">
          <tpl fld="3" item="0"/>
          <tpl fld="16" item="10"/>
          <tpl hier="35" item="1"/>
          <tpl fld="12" item="9"/>
          <tpl hier="44" item="2"/>
          <tpl fld="17" item="0"/>
        </tpls>
      </n>
      <n v="-1958860">
        <tpls c="7">
          <tpl fld="7" item="0"/>
          <tpl fld="16" item="11"/>
          <tpl fld="0" item="0"/>
          <tpl fld="11" item="28"/>
          <tpl fld="12" item="13"/>
          <tpl fld="1" item="1"/>
          <tpl fld="17" item="0"/>
        </tpls>
      </n>
      <m>
        <tpls c="7">
          <tpl fld="3" item="1"/>
          <tpl fld="16" item="4"/>
          <tpl hier="35" item="0"/>
          <tpl fld="11" item="43"/>
          <tpl fld="12" item="3"/>
          <tpl hier="44" item="2"/>
          <tpl fld="17" item="0"/>
        </tpls>
      </m>
      <n v="19625086">
        <tpls c="7">
          <tpl fld="3" item="0"/>
          <tpl fld="16" item="10"/>
          <tpl hier="35" item="1"/>
          <tpl fld="11" item="49"/>
          <tpl fld="12" item="9"/>
          <tpl hier="44" item="2"/>
          <tpl fld="17" item="0"/>
        </tpls>
      </n>
      <m>
        <tpls c="7">
          <tpl fld="3" item="1"/>
          <tpl fld="16" item="1"/>
          <tpl hier="35" item="0"/>
          <tpl fld="11" item="37"/>
          <tpl fld="12" item="11"/>
          <tpl hier="44" item="2"/>
          <tpl fld="17" item="0"/>
        </tpls>
      </m>
      <m>
        <tpls c="7">
          <tpl fld="3" item="1"/>
          <tpl fld="16" item="3"/>
          <tpl hier="35" item="0"/>
          <tpl fld="11" item="17"/>
          <tpl fld="12" item="3"/>
          <tpl hier="44" item="2"/>
          <tpl fld="17" item="0"/>
        </tpls>
      </m>
      <n v="3366875">
        <tpls c="6">
          <tpl fld="6" item="1"/>
          <tpl hier="35" item="1"/>
          <tpl fld="11" item="20"/>
          <tpl fld="10" item="0"/>
          <tpl hier="44" item="2"/>
          <tpl fld="17" item="0"/>
        </tpls>
      </n>
      <n v="5806136">
        <tpls c="6">
          <tpl fld="3" item="0"/>
          <tpl fld="16" item="1"/>
          <tpl hier="35" item="1"/>
          <tpl fld="12" item="3"/>
          <tpl hier="44" item="2"/>
          <tpl fld="17" item="0"/>
        </tpls>
      </n>
      <n v="0">
        <tpls c="7">
          <tpl fld="7" item="0"/>
          <tpl fld="16" item="7"/>
          <tpl fld="0" item="0"/>
          <tpl fld="11" item="60"/>
          <tpl fld="12" item="20"/>
          <tpl fld="1" item="1"/>
          <tpl fld="17" item="0"/>
        </tpls>
      </n>
      <n v="7831">
        <tpls c="6">
          <tpl fld="7" item="1"/>
          <tpl fld="0" item="2"/>
          <tpl fld="11" item="38"/>
          <tpl fld="10" item="2"/>
          <tpl hier="44" item="2"/>
          <tpl fld="17" item="0"/>
        </tpls>
      </n>
      <m>
        <tpls c="7">
          <tpl fld="3" item="1"/>
          <tpl fld="16" item="1"/>
          <tpl hier="35" item="0"/>
          <tpl fld="11" item="36"/>
          <tpl fld="12" item="2"/>
          <tpl hier="44" item="2"/>
          <tpl fld="17" item="0"/>
        </tpls>
      </m>
      <n v="25199">
        <tpls c="7">
          <tpl fld="7" item="0"/>
          <tpl hier="10" item="4294967295"/>
          <tpl fld="0" item="0"/>
          <tpl fld="11" item="42"/>
          <tpl fld="12" item="16"/>
          <tpl fld="1" item="1"/>
          <tpl fld="17" item="0"/>
        </tpls>
      </n>
      <m>
        <tpls c="7">
          <tpl fld="3" item="1"/>
          <tpl fld="16" item="0"/>
          <tpl hier="35" item="0"/>
          <tpl fld="11" item="26"/>
          <tpl fld="12" item="2"/>
          <tpl hier="44" item="2"/>
          <tpl fld="17" item="0"/>
        </tpls>
      </m>
      <m>
        <tpls c="3">
          <tpl fld="2" item="15"/>
          <tpl fld="8" item="2"/>
          <tpl fld="17" item="3"/>
        </tpls>
      </m>
      <m>
        <tpls c="7">
          <tpl fld="3" item="1"/>
          <tpl hier="10" item="4294967295"/>
          <tpl hier="35" item="0"/>
          <tpl fld="11" item="4"/>
          <tpl fld="12" item="1"/>
          <tpl hier="44" item="2"/>
          <tpl fld="17" item="0"/>
        </tpls>
      </m>
      <n v="0">
        <tpls c="6">
          <tpl fld="7" item="0"/>
          <tpl fld="16" item="8"/>
          <tpl fld="0" item="0"/>
          <tpl fld="12" item="14"/>
          <tpl fld="1" item="1"/>
          <tpl fld="17" item="0"/>
        </tpls>
      </n>
      <n v="0">
        <tpls c="6">
          <tpl fld="7" item="0"/>
          <tpl fld="16" item="6"/>
          <tpl fld="0" item="0"/>
          <tpl fld="12" item="17"/>
          <tpl fld="1" item="1"/>
          <tpl fld="17" item="0"/>
        </tpls>
      </n>
      <n v="33367">
        <tpls c="7">
          <tpl fld="3" item="0"/>
          <tpl fld="16" item="0"/>
          <tpl hier="35" item="1"/>
          <tpl fld="11" item="17"/>
          <tpl fld="12" item="3"/>
          <tpl hier="44" item="2"/>
          <tpl fld="17" item="0"/>
        </tpls>
      </n>
      <n v="0">
        <tpls c="7">
          <tpl fld="7" item="0"/>
          <tpl fld="16" item="8"/>
          <tpl fld="0" item="0"/>
          <tpl fld="11" item="53"/>
          <tpl fld="12" item="14"/>
          <tpl fld="1" item="1"/>
          <tpl fld="17" item="0"/>
        </tpls>
      </n>
      <n v="325000">
        <tpls c="7">
          <tpl fld="3" item="0"/>
          <tpl fld="16" item="10"/>
          <tpl hier="35" item="1"/>
          <tpl fld="11" item="23"/>
          <tpl fld="12" item="11"/>
          <tpl hier="44" item="2"/>
          <tpl fld="17" item="0"/>
        </tpls>
      </n>
      <m>
        <tpls c="7">
          <tpl fld="3" item="1"/>
          <tpl fld="16" item="5"/>
          <tpl hier="35" item="0"/>
          <tpl fld="11" item="17"/>
          <tpl fld="12" item="3"/>
          <tpl hier="44" item="2"/>
          <tpl fld="17" item="0"/>
        </tpls>
      </m>
      <n v="0">
        <tpls c="7">
          <tpl fld="3" item="0"/>
          <tpl fld="16" item="5"/>
          <tpl hier="35" item="1"/>
          <tpl fld="11" item="32"/>
          <tpl fld="12" item="2"/>
          <tpl hier="44" item="2"/>
          <tpl fld="17" item="0"/>
        </tpls>
      </n>
      <n v="1154250">
        <tpls c="6">
          <tpl fld="6" item="0"/>
          <tpl hier="35" item="3"/>
          <tpl fld="11" item="27"/>
          <tpl fld="12" item="3"/>
          <tpl hier="44" item="2"/>
          <tpl fld="17" item="0"/>
        </tpls>
      </n>
      <m>
        <tpls c="6">
          <tpl fld="3" item="1"/>
          <tpl fld="16" item="3"/>
          <tpl hier="35" item="0"/>
          <tpl fld="12" item="9"/>
          <tpl hier="44" item="2"/>
          <tpl fld="17" item="0"/>
        </tpls>
      </m>
      <n v="59252202">
        <tpls c="5">
          <tpl fld="6" item="3"/>
          <tpl hier="35" item="3"/>
          <tpl fld="12" item="9"/>
          <tpl hier="44" item="2"/>
          <tpl fld="17" item="0"/>
        </tpls>
      </n>
      <n v="0">
        <tpls c="7">
          <tpl fld="7" item="0"/>
          <tpl hier="10" item="4294967295"/>
          <tpl fld="0" item="0"/>
          <tpl fld="11" item="69"/>
          <tpl fld="12" item="7"/>
          <tpl fld="1" item="1"/>
          <tpl fld="17" item="0"/>
        </tpls>
      </n>
      <m>
        <tpls c="6">
          <tpl fld="3" item="1"/>
          <tpl fld="16" item="3"/>
          <tpl hier="35" item="0"/>
          <tpl fld="12" item="18"/>
          <tpl hier="44" item="2"/>
          <tpl fld="17" item="0"/>
        </tpls>
      </m>
      <m>
        <tpls c="3">
          <tpl fld="2" item="13"/>
          <tpl fld="8" item="11"/>
          <tpl fld="17" item="3"/>
        </tpls>
      </m>
      <n v="317640">
        <tpls c="6">
          <tpl fld="7" item="0"/>
          <tpl fld="0" item="0"/>
          <tpl fld="11" item="54"/>
          <tpl fld="12" item="4"/>
          <tpl hier="44" item="2"/>
          <tpl fld="17" item="0"/>
        </tpls>
      </n>
      <m>
        <tpls c="7">
          <tpl fld="3" item="0"/>
          <tpl fld="16" item="9"/>
          <tpl hier="35" item="1"/>
          <tpl fld="11" item="7"/>
          <tpl fld="12" item="4"/>
          <tpl hier="44" item="2"/>
          <tpl fld="17" item="0"/>
        </tpls>
      </m>
      <n v="317640">
        <tpls c="6">
          <tpl fld="7" item="0"/>
          <tpl fld="0" item="0"/>
          <tpl fld="11" item="54"/>
          <tpl fld="10" item="1"/>
          <tpl hier="44" item="2"/>
          <tpl fld="17" item="0"/>
        </tpls>
      </n>
      <n v="2301101">
        <tpls c="7">
          <tpl fld="3" item="0"/>
          <tpl fld="16" item="3"/>
          <tpl hier="35" item="1"/>
          <tpl fld="11" item="3"/>
          <tpl fld="12" item="2"/>
          <tpl hier="44" item="2"/>
          <tpl fld="17" item="0"/>
        </tpls>
      </n>
      <n v="561">
        <tpls c="6">
          <tpl fld="6" item="1"/>
          <tpl hier="35" item="3"/>
          <tpl fld="11" item="34"/>
          <tpl fld="12" item="15"/>
          <tpl hier="44" item="2"/>
          <tpl fld="17" item="0"/>
        </tpls>
      </n>
      <m>
        <tpls c="3">
          <tpl fld="2" item="11"/>
          <tpl fld="8" item="9"/>
          <tpl fld="17" item="3"/>
        </tpls>
      </m>
      <n v="309289">
        <tpls c="6">
          <tpl fld="7" item="0"/>
          <tpl fld="0" item="0"/>
          <tpl fld="11" item="14"/>
          <tpl fld="10" item="2"/>
          <tpl hier="44" item="2"/>
          <tpl fld="17" item="0"/>
        </tpls>
      </n>
      <n v="4012467">
        <tpls c="7">
          <tpl fld="3" item="0"/>
          <tpl fld="16" item="11"/>
          <tpl hier="35" item="1"/>
          <tpl fld="11" item="20"/>
          <tpl fld="12" item="2"/>
          <tpl hier="44" item="2"/>
          <tpl fld="17" item="0"/>
        </tpls>
      </n>
      <m>
        <tpls c="3">
          <tpl fld="5" item="7"/>
          <tpl fld="4" item="2"/>
          <tpl fld="17" item="3"/>
        </tpls>
      </m>
      <n v="639">
        <tpls c="7">
          <tpl fld="3" item="0"/>
          <tpl fld="16" item="0"/>
          <tpl hier="35" item="1"/>
          <tpl fld="11" item="25"/>
          <tpl fld="12" item="2"/>
          <tpl hier="44" item="2"/>
          <tpl fld="17" item="0"/>
        </tpls>
      </n>
      <n v="0">
        <tpls c="6">
          <tpl fld="7" item="0"/>
          <tpl fld="16" item="11"/>
          <tpl fld="0" item="0"/>
          <tpl fld="12" item="6"/>
          <tpl fld="1" item="1"/>
          <tpl fld="17" item="0"/>
        </tpls>
      </n>
      <m>
        <tpls c="7">
          <tpl fld="3" item="1"/>
          <tpl fld="16" item="3"/>
          <tpl hier="35" item="0"/>
          <tpl fld="11" item="38"/>
          <tpl fld="12" item="11"/>
          <tpl hier="44" item="2"/>
          <tpl fld="17" item="0"/>
        </tpls>
      </m>
      <m>
        <tpls c="7">
          <tpl fld="3" item="1"/>
          <tpl fld="16" item="5"/>
          <tpl hier="35" item="0"/>
          <tpl fld="11" item="5"/>
          <tpl fld="12" item="1"/>
          <tpl hier="44" item="2"/>
          <tpl fld="17" item="0"/>
        </tpls>
      </m>
      <n v="174994716">
        <tpls c="6">
          <tpl fld="7" item="0"/>
          <tpl fld="0" item="0"/>
          <tpl fld="11" item="3"/>
          <tpl fld="12" item="2"/>
          <tpl hier="44" item="2"/>
          <tpl fld="17" item="0"/>
        </tpls>
      </n>
      <n v="65637521">
        <tpls c="6">
          <tpl fld="7" item="0"/>
          <tpl fld="16" item="5"/>
          <tpl fld="0" item="0"/>
          <tpl fld="12" item="16"/>
          <tpl fld="1" item="1"/>
          <tpl fld="17" item="0"/>
        </tpls>
      </n>
      <m>
        <tpls c="7">
          <tpl fld="3" item="1"/>
          <tpl fld="16" item="2"/>
          <tpl hier="35" item="0"/>
          <tpl fld="11" item="0"/>
          <tpl fld="12" item="2"/>
          <tpl hier="44" item="2"/>
          <tpl fld="17" item="0"/>
        </tpls>
      </m>
      <n v="33196562">
        <tpls c="6">
          <tpl fld="6" item="0"/>
          <tpl hier="35" item="1"/>
          <tpl fld="11" item="18"/>
          <tpl fld="10" item="0"/>
          <tpl hier="44" item="2"/>
          <tpl fld="17" item="0"/>
        </tpls>
      </n>
      <n v="120731">
        <tpls c="6">
          <tpl fld="7" item="1"/>
          <tpl fld="0" item="2"/>
          <tpl fld="11" item="57"/>
          <tpl fld="12" item="7"/>
          <tpl fld="1" item="1"/>
          <tpl fld="17" item="0"/>
        </tpls>
      </n>
      <n v="0">
        <tpls c="7">
          <tpl fld="3" item="0"/>
          <tpl fld="16" item="5"/>
          <tpl hier="35" item="1"/>
          <tpl fld="11" item="44"/>
          <tpl fld="12" item="3"/>
          <tpl hier="44" item="2"/>
          <tpl fld="17" item="0"/>
        </tpls>
      </n>
      <n v="143">
        <tpls c="7">
          <tpl fld="3" item="0"/>
          <tpl fld="16" item="5"/>
          <tpl hier="35" item="1"/>
          <tpl fld="11" item="34"/>
          <tpl fld="12" item="15"/>
          <tpl hier="44" item="2"/>
          <tpl fld="17" item="0"/>
        </tpls>
      </n>
      <n v="3736801">
        <tpls c="6">
          <tpl fld="6" item="0"/>
          <tpl hier="35" item="1"/>
          <tpl fld="11" item="20"/>
          <tpl fld="10" item="0"/>
          <tpl hier="44" item="2"/>
          <tpl fld="17" item="0"/>
        </tpls>
      </n>
      <n v="4628971">
        <tpls c="7">
          <tpl fld="7" item="0"/>
          <tpl fld="16" item="3"/>
          <tpl fld="0" item="0"/>
          <tpl fld="11" item="28"/>
          <tpl fld="12" item="13"/>
          <tpl fld="1" item="1"/>
          <tpl fld="17" item="0"/>
        </tpls>
      </n>
      <n v="0">
        <tpls c="7">
          <tpl fld="3" item="0"/>
          <tpl hier="10" item="4294967295"/>
          <tpl hier="35" item="1"/>
          <tpl fld="11" item="44"/>
          <tpl fld="12" item="3"/>
          <tpl hier="44" item="2"/>
          <tpl fld="17" item="0"/>
        </tpls>
      </n>
      <n v="100101">
        <tpls c="6">
          <tpl fld="6" item="2"/>
          <tpl hier="35" item="1"/>
          <tpl fld="11" item="17"/>
          <tpl fld="10" item="2"/>
          <tpl hier="44" item="2"/>
          <tpl fld="17" item="0"/>
        </tpls>
      </n>
      <m>
        <tpls c="7">
          <tpl fld="3" item="1"/>
          <tpl fld="16" item="4"/>
          <tpl hier="35" item="0"/>
          <tpl fld="11" item="5"/>
          <tpl fld="12" item="1"/>
          <tpl hier="44" item="2"/>
          <tpl fld="17" item="0"/>
        </tpls>
      </m>
      <m>
        <tpls c="3">
          <tpl fld="8" item="10"/>
          <tpl fld="4" item="2"/>
          <tpl fld="17" item="3"/>
        </tpls>
      </m>
      <n v="361482">
        <tpls c="6">
          <tpl fld="7" item="0"/>
          <tpl fld="16" item="9"/>
          <tpl fld="0" item="0"/>
          <tpl fld="12" item="20"/>
          <tpl fld="1" item="1"/>
          <tpl fld="17" item="0"/>
        </tpls>
      </n>
      <n v="532">
        <tpls c="6">
          <tpl fld="6" item="2"/>
          <tpl hier="35" item="1"/>
          <tpl fld="11" item="34"/>
          <tpl fld="10" item="1"/>
          <tpl hier="44" item="2"/>
          <tpl fld="17" item="0"/>
        </tpls>
      </n>
      <m>
        <tpls c="7">
          <tpl fld="3" item="1"/>
          <tpl fld="16" item="3"/>
          <tpl hier="35" item="0"/>
          <tpl fld="11" item="16"/>
          <tpl fld="12" item="3"/>
          <tpl hier="44" item="2"/>
          <tpl fld="17" item="0"/>
        </tpls>
      </m>
      <m>
        <tpls c="7">
          <tpl fld="3" item="1"/>
          <tpl fld="16" item="1"/>
          <tpl hier="35" item="0"/>
          <tpl fld="11" item="10"/>
          <tpl fld="12" item="3"/>
          <tpl hier="44" item="2"/>
          <tpl fld="17" item="0"/>
        </tpls>
      </m>
      <m>
        <tpls c="7">
          <tpl fld="3" item="1"/>
          <tpl fld="16" item="0"/>
          <tpl hier="35" item="0"/>
          <tpl fld="11" item="39"/>
          <tpl fld="12" item="3"/>
          <tpl hier="44" item="2"/>
          <tpl fld="17" item="0"/>
        </tpls>
      </m>
      <n v="24167">
        <tpls c="7">
          <tpl fld="3" item="0"/>
          <tpl fld="16" item="0"/>
          <tpl hier="35" item="1"/>
          <tpl fld="11" item="50"/>
          <tpl fld="12" item="11"/>
          <tpl hier="44" item="2"/>
          <tpl fld="17" item="0"/>
        </tpls>
      </n>
      <m>
        <tpls c="3">
          <tpl fld="2" item="15"/>
          <tpl fld="8" item="10"/>
          <tpl fld="17" item="3"/>
        </tpls>
      </m>
      <m>
        <tpls c="7">
          <tpl fld="3" item="1"/>
          <tpl fld="16" item="4"/>
          <tpl hier="35" item="0"/>
          <tpl fld="11" item="16"/>
          <tpl fld="12" item="3"/>
          <tpl hier="44" item="2"/>
          <tpl fld="17" item="0"/>
        </tpls>
      </m>
      <n v="0">
        <tpls c="7">
          <tpl fld="7" item="0"/>
          <tpl fld="16" item="7"/>
          <tpl fld="0" item="0"/>
          <tpl fld="11" item="52"/>
          <tpl fld="12" item="20"/>
          <tpl fld="1" item="1"/>
          <tpl fld="17" item="0"/>
        </tpls>
      </n>
      <m>
        <tpls c="7">
          <tpl fld="3" item="0"/>
          <tpl fld="16" item="1"/>
          <tpl hier="35" item="1"/>
          <tpl fld="11" item="26"/>
          <tpl fld="12" item="2"/>
          <tpl hier="44" item="2"/>
          <tpl fld="17" item="0"/>
        </tpls>
      </m>
      <m>
        <tpls c="3">
          <tpl fld="5" item="7"/>
          <tpl fld="4" item="0"/>
          <tpl fld="17" item="3"/>
        </tpls>
      </m>
      <m>
        <tpls c="3">
          <tpl fld="2" item="5"/>
          <tpl fld="8" item="6"/>
          <tpl fld="17" item="3"/>
        </tpls>
      </m>
      <n v="-1938650">
        <tpls c="7">
          <tpl fld="7" item="0"/>
          <tpl fld="16" item="5"/>
          <tpl fld="0" item="0"/>
          <tpl fld="11" item="28"/>
          <tpl fld="12" item="13"/>
          <tpl fld="1" item="1"/>
          <tpl fld="17" item="0"/>
        </tpls>
      </n>
      <m>
        <tpls c="3">
          <tpl fld="2" item="0"/>
          <tpl fld="8" item="7"/>
          <tpl fld="17" item="3"/>
        </tpls>
      </m>
      <n v="2199866">
        <tpls c="7">
          <tpl fld="3" item="0"/>
          <tpl fld="16" item="11"/>
          <tpl hier="35" item="1"/>
          <tpl fld="11" item="3"/>
          <tpl fld="12" item="2"/>
          <tpl hier="44" item="2"/>
          <tpl fld="17" item="0"/>
        </tpls>
      </n>
      <n v="1077783">
        <tpls c="7">
          <tpl fld="3" item="0"/>
          <tpl fld="16" item="10"/>
          <tpl hier="35" item="1"/>
          <tpl fld="11" item="8"/>
          <tpl fld="12" item="3"/>
          <tpl hier="44" item="2"/>
          <tpl fld="17" item="0"/>
        </tpls>
      </n>
      <n v="0">
        <tpls c="7">
          <tpl fld="7" item="0"/>
          <tpl fld="16" item="11"/>
          <tpl fld="0" item="0"/>
          <tpl fld="11" item="45"/>
          <tpl fld="12" item="7"/>
          <tpl fld="1" item="1"/>
          <tpl fld="17" item="0"/>
        </tpls>
      </n>
      <n v="2805920">
        <tpls c="5">
          <tpl fld="7" item="1"/>
          <tpl fld="0" item="2"/>
          <tpl fld="12" item="0"/>
          <tpl fld="1" item="1"/>
          <tpl fld="17" item="0"/>
        </tpls>
      </n>
      <n v="30000">
        <tpls c="7">
          <tpl fld="3" item="0"/>
          <tpl fld="16" item="3"/>
          <tpl hier="35" item="1"/>
          <tpl fld="11" item="31"/>
          <tpl fld="12" item="3"/>
          <tpl hier="44" item="2"/>
          <tpl fld="17" item="0"/>
        </tpls>
      </n>
      <n v="0">
        <tpls c="7">
          <tpl fld="3" item="0"/>
          <tpl fld="16" item="6"/>
          <tpl hier="35" item="1"/>
          <tpl fld="11" item="0"/>
          <tpl fld="12" item="2"/>
          <tpl hier="44" item="2"/>
          <tpl fld="17" item="0"/>
        </tpls>
      </n>
      <n v="97750">
        <tpls c="7">
          <tpl fld="3" item="0"/>
          <tpl fld="16" item="5"/>
          <tpl hier="35" item="1"/>
          <tpl fld="11" item="39"/>
          <tpl fld="12" item="3"/>
          <tpl hier="44" item="2"/>
          <tpl fld="17" item="0"/>
        </tpls>
      </n>
      <n v="8719568">
        <tpls c="6">
          <tpl fld="7" item="0"/>
          <tpl fld="0" item="0"/>
          <tpl fld="11" item="37"/>
          <tpl fld="10" item="2"/>
          <tpl hier="44" item="2"/>
          <tpl fld="17" item="0"/>
        </tpls>
      </n>
      <n v="-392981">
        <tpls c="7">
          <tpl fld="7" item="0"/>
          <tpl fld="16" item="8"/>
          <tpl fld="0" item="0"/>
          <tpl fld="11" item="58"/>
          <tpl fld="12" item="19"/>
          <tpl fld="1" item="1"/>
          <tpl fld="17" item="0"/>
        </tpls>
      </n>
      <n v="11781373">
        <tpls c="7">
          <tpl fld="3" item="0"/>
          <tpl fld="16" item="5"/>
          <tpl hier="35" item="1"/>
          <tpl fld="11" item="18"/>
          <tpl fld="12" item="2"/>
          <tpl hier="44" item="2"/>
          <tpl fld="17" item="0"/>
        </tpls>
      </n>
      <n v="6000">
        <tpls c="7">
          <tpl fld="3" item="0"/>
          <tpl fld="16" item="11"/>
          <tpl hier="35" item="1"/>
          <tpl fld="11" item="5"/>
          <tpl fld="12" item="1"/>
          <tpl hier="44" item="2"/>
          <tpl fld="17" item="0"/>
        </tpls>
      </n>
      <n v="0">
        <tpls c="6">
          <tpl fld="6" item="0"/>
          <tpl hier="35" item="1"/>
          <tpl fld="11" item="44"/>
          <tpl fld="10" item="3"/>
          <tpl hier="44" item="2"/>
          <tpl fld="17" item="0"/>
        </tpls>
      </n>
      <n v="896055">
        <tpls c="6">
          <tpl fld="7" item="0"/>
          <tpl fld="0" item="0"/>
          <tpl fld="11" item="39"/>
          <tpl fld="12" item="3"/>
          <tpl hier="44" item="2"/>
          <tpl fld="17" item="0"/>
        </tpls>
      </n>
      <m>
        <tpls c="3">
          <tpl fld="2" item="12"/>
          <tpl fld="8" item="6"/>
          <tpl fld="17" item="3"/>
        </tpls>
      </m>
      <m>
        <tpls c="7">
          <tpl fld="3" item="1"/>
          <tpl fld="16" item="6"/>
          <tpl hier="35" item="0"/>
          <tpl fld="11" item="39"/>
          <tpl fld="12" item="3"/>
          <tpl hier="44" item="2"/>
          <tpl fld="17" item="0"/>
        </tpls>
      </m>
      <m>
        <tpls c="7">
          <tpl fld="3" item="1"/>
          <tpl fld="16" item="5"/>
          <tpl hier="35" item="0"/>
          <tpl fld="11" item="41"/>
          <tpl fld="12" item="2"/>
          <tpl hier="44" item="2"/>
          <tpl fld="17" item="0"/>
        </tpls>
      </m>
      <n v="3941351">
        <tpls c="6">
          <tpl fld="6" item="1"/>
          <tpl hier="35" item="1"/>
          <tpl fld="11" item="8"/>
          <tpl fld="10" item="2"/>
          <tpl hier="44" item="2"/>
          <tpl fld="17" item="0"/>
        </tpls>
      </n>
      <n v="4167">
        <tpls c="3">
          <tpl fld="9" item="3"/>
          <tpl fld="15" item="0"/>
          <tpl fld="17" item="2"/>
        </tpls>
      </n>
      <m>
        <tpls c="6">
          <tpl fld="3" item="1"/>
          <tpl fld="16" item="0"/>
          <tpl hier="35" item="0"/>
          <tpl fld="12" item="9"/>
          <tpl hier="44" item="2"/>
          <tpl fld="17" item="0"/>
        </tpls>
      </m>
      <m>
        <tpls c="3">
          <tpl fld="5" item="6"/>
          <tpl fld="4" item="0"/>
          <tpl fld="17" item="3"/>
        </tpls>
      </m>
      <n v="1147185">
        <tpls c="7">
          <tpl fld="3" item="0"/>
          <tpl fld="16" item="2"/>
          <tpl hier="35" item="1"/>
          <tpl fld="11" item="8"/>
          <tpl fld="12" item="3"/>
          <tpl hier="44" item="2"/>
          <tpl fld="17" item="0"/>
        </tpls>
      </n>
      <m>
        <tpls c="7">
          <tpl fld="3" item="0"/>
          <tpl fld="16" item="2"/>
          <tpl hier="35" item="1"/>
          <tpl fld="11" item="4"/>
          <tpl fld="12" item="1"/>
          <tpl hier="44" item="2"/>
          <tpl fld="17" item="0"/>
        </tpls>
      </m>
      <m>
        <tpls c="7">
          <tpl fld="3" item="1"/>
          <tpl fld="16" item="4"/>
          <tpl hier="35" item="0"/>
          <tpl fld="11" item="19"/>
          <tpl fld="12" item="2"/>
          <tpl hier="44" item="2"/>
          <tpl fld="17" item="0"/>
        </tpls>
      </m>
      <n v="572586">
        <tpls c="6">
          <tpl fld="7" item="1"/>
          <tpl fld="0" item="2"/>
          <tpl fld="11" item="17"/>
          <tpl fld="12" item="3"/>
          <tpl hier="44" item="2"/>
          <tpl fld="17" item="0"/>
        </tpls>
      </n>
      <n v="325000">
        <tpls c="7">
          <tpl fld="3" item="0"/>
          <tpl fld="16" item="4"/>
          <tpl hier="35" item="1"/>
          <tpl fld="11" item="23"/>
          <tpl fld="12" item="11"/>
          <tpl hier="44" item="2"/>
          <tpl fld="17" item="0"/>
        </tpls>
      </n>
      <n v="1034193">
        <tpls c="6">
          <tpl fld="7" item="2"/>
          <tpl fld="0" item="1"/>
          <tpl fld="11" item="41"/>
          <tpl fld="12" item="2"/>
          <tpl hier="44" item="2"/>
          <tpl fld="17" item="0"/>
        </tpls>
      </n>
      <n v="90000">
        <tpls c="6">
          <tpl fld="6" item="0"/>
          <tpl hier="35" item="3"/>
          <tpl fld="11" item="31"/>
          <tpl fld="12" item="3"/>
          <tpl hier="44" item="2"/>
          <tpl fld="17" item="0"/>
        </tpls>
      </n>
      <n v="97750">
        <tpls c="7">
          <tpl fld="3" item="0"/>
          <tpl fld="16" item="6"/>
          <tpl hier="35" item="1"/>
          <tpl fld="11" item="39"/>
          <tpl fld="12" item="3"/>
          <tpl hier="44" item="2"/>
          <tpl fld="17" item="0"/>
        </tpls>
      </n>
      <n v="0">
        <tpls c="7">
          <tpl fld="3" item="0"/>
          <tpl fld="16" item="0"/>
          <tpl hier="35" item="1"/>
          <tpl fld="11" item="0"/>
          <tpl fld="12" item="2"/>
          <tpl hier="44" item="2"/>
          <tpl fld="17" item="0"/>
        </tpls>
      </n>
      <m>
        <tpls c="7">
          <tpl fld="3" item="1"/>
          <tpl fld="16" item="9"/>
          <tpl hier="35" item="0"/>
          <tpl fld="11" item="5"/>
          <tpl fld="12" item="1"/>
          <tpl hier="44" item="2"/>
          <tpl fld="17" item="0"/>
        </tpls>
      </m>
      <m>
        <tpls c="7">
          <tpl fld="3" item="1"/>
          <tpl fld="16" item="2"/>
          <tpl hier="35" item="0"/>
          <tpl fld="11" item="25"/>
          <tpl fld="12" item="2"/>
          <tpl hier="44" item="2"/>
          <tpl fld="17" item="0"/>
        </tpls>
      </m>
      <m>
        <tpls c="3">
          <tpl fld="8" item="6"/>
          <tpl fld="4" item="1"/>
          <tpl fld="17" item="3"/>
        </tpls>
      </m>
      <n v="603100">
        <tpls c="7">
          <tpl fld="3" item="0"/>
          <tpl fld="16" item="7"/>
          <tpl hier="35" item="1"/>
          <tpl fld="11" item="10"/>
          <tpl fld="12" item="3"/>
          <tpl hier="44" item="2"/>
          <tpl fld="17" item="0"/>
        </tpls>
      </n>
      <m>
        <tpls c="6">
          <tpl fld="3" item="1"/>
          <tpl fld="16" item="5"/>
          <tpl hier="35" item="0"/>
          <tpl fld="12" item="18"/>
          <tpl hier="44" item="2"/>
          <tpl fld="17" item="0"/>
        </tpls>
      </m>
      <n v="0">
        <tpls c="7">
          <tpl fld="7" item="0"/>
          <tpl fld="16" item="3"/>
          <tpl fld="0" item="0"/>
          <tpl fld="11" item="42"/>
          <tpl fld="12" item="16"/>
          <tpl fld="1" item="1"/>
          <tpl fld="17" item="0"/>
        </tpls>
      </n>
      <n v="943451">
        <tpls c="6">
          <tpl fld="7" item="0"/>
          <tpl fld="16" item="0"/>
          <tpl fld="0" item="0"/>
          <tpl fld="12" item="20"/>
          <tpl fld="1" item="1"/>
          <tpl fld="17" item="0"/>
        </tpls>
      </n>
      <n v="506">
        <tpls c="6">
          <tpl fld="6" item="0"/>
          <tpl hier="35" item="3"/>
          <tpl fld="11" item="34"/>
          <tpl fld="12" item="15"/>
          <tpl hier="44" item="2"/>
          <tpl fld="17" item="0"/>
        </tpls>
      </n>
      <m>
        <tpls c="7">
          <tpl fld="3" item="1"/>
          <tpl fld="16" item="4"/>
          <tpl hier="35" item="0"/>
          <tpl fld="11" item="49"/>
          <tpl fld="12" item="9"/>
          <tpl hier="44" item="2"/>
          <tpl fld="17" item="0"/>
        </tpls>
      </m>
      <m>
        <tpls c="7">
          <tpl fld="3" item="1"/>
          <tpl hier="10" item="4294967295"/>
          <tpl hier="35" item="0"/>
          <tpl fld="11" item="0"/>
          <tpl fld="12" item="2"/>
          <tpl hier="44" item="2"/>
          <tpl fld="17" item="0"/>
        </tpls>
      </m>
      <n v="22894194">
        <tpls c="6">
          <tpl fld="7" item="3"/>
          <tpl fld="0" item="2"/>
          <tpl fld="11" item="45"/>
          <tpl fld="12" item="7"/>
          <tpl fld="1" item="1"/>
          <tpl fld="17" item="0"/>
        </tpls>
      </n>
      <n v="943451">
        <tpls c="5">
          <tpl fld="7" item="1"/>
          <tpl fld="0" item="2"/>
          <tpl fld="12" item="20"/>
          <tpl fld="1" item="1"/>
          <tpl fld="17" item="0"/>
        </tpls>
      </n>
      <n v="826">
        <tpls c="5">
          <tpl fld="6" item="1"/>
          <tpl hier="35" item="3"/>
          <tpl fld="12" item="15"/>
          <tpl hier="44" item="2"/>
          <tpl fld="17" item="0"/>
        </tpls>
      </n>
      <n v="6543543">
        <tpls c="6">
          <tpl fld="6" item="2"/>
          <tpl hier="35" item="1"/>
          <tpl fld="11" item="20"/>
          <tpl fld="10" item="0"/>
          <tpl hier="44" item="2"/>
          <tpl fld="17" item="0"/>
        </tpls>
      </n>
      <n v="126859046">
        <tpls c="7">
          <tpl fld="7" item="0"/>
          <tpl hier="10" item="4294967295"/>
          <tpl fld="0" item="0"/>
          <tpl fld="11" item="12"/>
          <tpl fld="12" item="6"/>
          <tpl fld="1" item="1"/>
          <tpl fld="17" item="0"/>
        </tpls>
      </n>
      <n v="0">
        <tpls c="7">
          <tpl fld="3" item="0"/>
          <tpl fld="16" item="9"/>
          <tpl hier="35" item="1"/>
          <tpl fld="11" item="48"/>
          <tpl fld="12" item="4"/>
          <tpl hier="44" item="2"/>
          <tpl fld="17" item="0"/>
        </tpls>
      </n>
      <n v="75300">
        <tpls c="7">
          <tpl fld="3" item="0"/>
          <tpl fld="16" item="5"/>
          <tpl hier="35" item="1"/>
          <tpl fld="11" item="41"/>
          <tpl fld="12" item="2"/>
          <tpl hier="44" item="2"/>
          <tpl fld="17" item="0"/>
        </tpls>
      </n>
      <m>
        <tpls c="7">
          <tpl fld="3" item="1"/>
          <tpl fld="16" item="3"/>
          <tpl hier="35" item="0"/>
          <tpl fld="11" item="18"/>
          <tpl fld="12" item="2"/>
          <tpl hier="44" item="2"/>
          <tpl fld="17" item="0"/>
        </tpls>
      </m>
      <m>
        <tpls c="7">
          <tpl fld="3" item="1"/>
          <tpl fld="16" item="11"/>
          <tpl hier="35" item="0"/>
          <tpl fld="11" item="31"/>
          <tpl fld="12" item="3"/>
          <tpl hier="44" item="2"/>
          <tpl fld="17" item="0"/>
        </tpls>
      </m>
      <m>
        <tpls c="3">
          <tpl fld="2" item="12"/>
          <tpl fld="8" item="9"/>
          <tpl fld="17" item="3"/>
        </tpls>
      </m>
      <m>
        <tpls c="7">
          <tpl fld="3" item="1"/>
          <tpl fld="16" item="5"/>
          <tpl hier="35" item="0"/>
          <tpl fld="11" item="14"/>
          <tpl fld="12" item="3"/>
          <tpl hier="44" item="2"/>
          <tpl fld="17" item="0"/>
        </tpls>
      </m>
      <m>
        <tpls c="7">
          <tpl fld="3" item="0"/>
          <tpl fld="16" item="5"/>
          <tpl hier="35" item="1"/>
          <tpl fld="11" item="26"/>
          <tpl fld="12" item="2"/>
          <tpl hier="44" item="2"/>
          <tpl fld="17" item="0"/>
        </tpls>
      </m>
      <m>
        <tpls c="6">
          <tpl fld="3" item="1"/>
          <tpl fld="16" item="11"/>
          <tpl hier="35" item="0"/>
          <tpl fld="12" item="4"/>
          <tpl hier="44" item="2"/>
          <tpl fld="17" item="0"/>
        </tpls>
      </m>
      <n v="32853">
        <tpls c="6">
          <tpl fld="6" item="3"/>
          <tpl hier="35" item="3"/>
          <tpl fld="11" item="54"/>
          <tpl fld="12" item="4"/>
          <tpl hier="44" item="2"/>
          <tpl fld="17" item="0"/>
        </tpls>
      </n>
      <n v="106439646">
        <tpls c="6">
          <tpl fld="3" item="0"/>
          <tpl fld="16" item="7"/>
          <tpl hier="35" item="1"/>
          <tpl fld="12" item="2"/>
          <tpl hier="44" item="2"/>
          <tpl fld="17" item="0"/>
        </tpls>
      </n>
      <n v="417234">
        <tpls c="3">
          <tpl fld="9" item="9"/>
          <tpl fld="15" item="3"/>
          <tpl fld="17" item="2"/>
        </tpls>
      </n>
      <n v="316566">
        <tpls c="6">
          <tpl fld="7" item="1"/>
          <tpl fld="0" item="2"/>
          <tpl fld="11" item="74"/>
          <tpl fld="12" item="16"/>
          <tpl fld="1" item="1"/>
          <tpl fld="17" item="0"/>
        </tpls>
      </n>
      <n v="-140551">
        <tpls c="6">
          <tpl fld="7" item="0"/>
          <tpl fld="16" item="6"/>
          <tpl fld="0" item="0"/>
          <tpl fld="12" item="20"/>
          <tpl fld="1" item="1"/>
          <tpl fld="17" item="0"/>
        </tpls>
      </n>
      <n v="1183505">
        <tpls c="3">
          <tpl fld="9" item="6"/>
          <tpl fld="15" item="3"/>
          <tpl fld="17" item="2"/>
        </tpls>
      </n>
      <n v="3125">
        <tpls c="3">
          <tpl fld="9" item="1"/>
          <tpl fld="15" item="1"/>
          <tpl fld="17" item="2"/>
        </tpls>
      </n>
      <m>
        <tpls c="7">
          <tpl fld="3" item="1"/>
          <tpl fld="16" item="4"/>
          <tpl hier="35" item="0"/>
          <tpl fld="11" item="14"/>
          <tpl fld="12" item="3"/>
          <tpl hier="44" item="2"/>
          <tpl fld="17" item="0"/>
        </tpls>
      </m>
      <n v="17327204">
        <tpls c="7">
          <tpl fld="3" item="0"/>
          <tpl hier="10" item="4294967295"/>
          <tpl hier="35" item="1"/>
          <tpl fld="11" item="6"/>
          <tpl fld="12" item="3"/>
          <tpl hier="44" item="2"/>
          <tpl fld="17" item="0"/>
        </tpls>
      </n>
      <m>
        <tpls c="7">
          <tpl fld="3" item="1"/>
          <tpl fld="16" item="5"/>
          <tpl hier="35" item="0"/>
          <tpl fld="11" item="33"/>
          <tpl fld="12" item="3"/>
          <tpl hier="44" item="2"/>
          <tpl fld="17" item="0"/>
        </tpls>
      </m>
      <n v="1785784">
        <tpls c="7">
          <tpl fld="3" item="0"/>
          <tpl fld="16" item="3"/>
          <tpl hier="35" item="1"/>
          <tpl fld="11" item="8"/>
          <tpl fld="12" item="3"/>
          <tpl hier="44" item="2"/>
          <tpl fld="17" item="0"/>
        </tpls>
      </n>
      <n v="-118000">
        <tpls c="7">
          <tpl fld="7" item="0"/>
          <tpl fld="16" item="7"/>
          <tpl fld="0" item="0"/>
          <tpl fld="11" item="21"/>
          <tpl fld="12" item="10"/>
          <tpl fld="1" item="1"/>
          <tpl fld="17" item="0"/>
        </tpls>
      </n>
      <n v="0">
        <tpls c="6">
          <tpl fld="7" item="0"/>
          <tpl fld="0" item="0"/>
          <tpl fld="11" item="48"/>
          <tpl fld="12" item="4"/>
          <tpl hier="44" item="2"/>
          <tpl fld="17" item="0"/>
        </tpls>
      </n>
      <n v="19667986">
        <tpls c="6">
          <tpl fld="3" item="0"/>
          <tpl fld="16" item="11"/>
          <tpl hier="35" item="1"/>
          <tpl fld="12" item="9"/>
          <tpl hier="44" item="2"/>
          <tpl fld="17" item="0"/>
        </tpls>
      </n>
      <n v="309289">
        <tpls c="6">
          <tpl fld="7" item="0"/>
          <tpl fld="0" item="0"/>
          <tpl fld="11" item="14"/>
          <tpl fld="12" item="3"/>
          <tpl hier="44" item="2"/>
          <tpl fld="17" item="0"/>
        </tpls>
      </n>
      <n v="24450000">
        <tpls c="3">
          <tpl fld="8" item="2"/>
          <tpl hier="22" item="4294967295"/>
          <tpl fld="17" item="3"/>
        </tpls>
      </n>
      <n v="97750">
        <tpls c="7">
          <tpl fld="3" item="0"/>
          <tpl fld="16" item="7"/>
          <tpl hier="35" item="1"/>
          <tpl fld="11" item="39"/>
          <tpl fld="12" item="3"/>
          <tpl hier="44" item="2"/>
          <tpl fld="17" item="0"/>
        </tpls>
      </n>
      <m>
        <tpls c="7">
          <tpl fld="3" item="1"/>
          <tpl fld="16" item="8"/>
          <tpl hier="35" item="0"/>
          <tpl fld="11" item="49"/>
          <tpl fld="12" item="9"/>
          <tpl hier="44" item="2"/>
          <tpl fld="17" item="0"/>
        </tpls>
      </m>
      <n v="23451">
        <tpls c="7">
          <tpl fld="3" item="0"/>
          <tpl fld="16" item="6"/>
          <tpl hier="35" item="1"/>
          <tpl fld="11" item="11"/>
          <tpl fld="12" item="2"/>
          <tpl hier="44" item="2"/>
          <tpl fld="17" item="0"/>
        </tpls>
      </n>
      <n v="877000">
        <tpls c="3">
          <tpl fld="8" item="11"/>
          <tpl fld="4" item="1"/>
          <tpl fld="17" item="3"/>
        </tpls>
      </n>
      <n v="5379858">
        <tpls c="5">
          <tpl fld="7" item="2"/>
          <tpl fld="0" item="1"/>
          <tpl fld="12" item="4"/>
          <tpl hier="44" item="2"/>
          <tpl fld="17" item="0"/>
        </tpls>
      </n>
      <n v="881422">
        <tpls c="3">
          <tpl fld="9" item="10"/>
          <tpl fld="15" item="3"/>
          <tpl fld="17" item="2"/>
        </tpls>
      </n>
      <n v="0">
        <tpls c="7">
          <tpl fld="3" item="0"/>
          <tpl fld="16" item="8"/>
          <tpl hier="35" item="1"/>
          <tpl fld="11" item="48"/>
          <tpl fld="12" item="4"/>
          <tpl hier="44" item="2"/>
          <tpl fld="17" item="0"/>
        </tpls>
      </n>
      <m>
        <tpls c="3">
          <tpl fld="8" item="4"/>
          <tpl fld="4" item="2"/>
          <tpl fld="17" item="3"/>
        </tpls>
      </m>
      <n v="1717915">
        <tpls c="7">
          <tpl fld="7" item="0"/>
          <tpl fld="16" item="0"/>
          <tpl fld="0" item="0"/>
          <tpl fld="11" item="67"/>
          <tpl fld="12" item="0"/>
          <tpl fld="1" item="1"/>
          <tpl fld="17" item="0"/>
        </tpls>
      </n>
      <n v="19123">
        <tpls c="7">
          <tpl fld="7" item="0"/>
          <tpl fld="16" item="1"/>
          <tpl fld="0" item="0"/>
          <tpl fld="11" item="72"/>
          <tpl fld="12" item="0"/>
          <tpl fld="1" item="1"/>
          <tpl fld="17" item="0"/>
        </tpls>
      </n>
      <n v="944973">
        <tpls c="6">
          <tpl fld="7" item="1"/>
          <tpl fld="0" item="2"/>
          <tpl fld="11" item="10"/>
          <tpl fld="10" item="2"/>
          <tpl hier="44" item="2"/>
          <tpl fld="17" item="0"/>
        </tpls>
      </n>
      <m>
        <tpls c="7">
          <tpl fld="3" item="1"/>
          <tpl hier="10" item="4294967295"/>
          <tpl hier="35" item="0"/>
          <tpl fld="11" item="14"/>
          <tpl fld="12" item="3"/>
          <tpl hier="44" item="2"/>
          <tpl fld="17" item="0"/>
        </tpls>
      </m>
      <n v="58957846">
        <tpls c="6">
          <tpl fld="6" item="2"/>
          <tpl hier="35" item="3"/>
          <tpl fld="11" item="49"/>
          <tpl fld="12" item="9"/>
          <tpl hier="44" item="2"/>
          <tpl fld="17" item="0"/>
        </tpls>
      </n>
      <n v="0">
        <tpls c="7">
          <tpl fld="3" item="0"/>
          <tpl fld="16" item="8"/>
          <tpl hier="35" item="1"/>
          <tpl fld="11" item="44"/>
          <tpl fld="12" item="3"/>
          <tpl hier="44" item="2"/>
          <tpl fld="17" item="0"/>
        </tpls>
      </n>
      <m>
        <tpls c="7">
          <tpl fld="3" item="1"/>
          <tpl fld="16" item="2"/>
          <tpl hier="35" item="0"/>
          <tpl fld="11" item="9"/>
          <tpl fld="12" item="4"/>
          <tpl hier="44" item="2"/>
          <tpl fld="17" item="0"/>
        </tpls>
      </m>
      <m>
        <tpls c="7">
          <tpl fld="3" item="1"/>
          <tpl fld="16" item="0"/>
          <tpl hier="35" item="0"/>
          <tpl fld="11" item="14"/>
          <tpl fld="12" item="3"/>
          <tpl hier="44" item="2"/>
          <tpl fld="17" item="0"/>
        </tpls>
      </m>
      <n v="236483">
        <tpls c="6">
          <tpl fld="7" item="2"/>
          <tpl fld="0" item="1"/>
          <tpl fld="11" item="32"/>
          <tpl fld="12" item="2"/>
          <tpl hier="44" item="2"/>
          <tpl fld="17" item="0"/>
        </tpls>
      </n>
      <m>
        <tpls c="6">
          <tpl fld="3" item="1"/>
          <tpl fld="16" item="6"/>
          <tpl hier="35" item="0"/>
          <tpl fld="12" item="4"/>
          <tpl hier="44" item="2"/>
          <tpl fld="17" item="0"/>
        </tpls>
      </m>
      <m>
        <tpls c="7">
          <tpl fld="3" item="1"/>
          <tpl fld="16" item="11"/>
          <tpl hier="35" item="0"/>
          <tpl fld="11" item="5"/>
          <tpl fld="12" item="1"/>
          <tpl hier="44" item="2"/>
          <tpl fld="17" item="0"/>
        </tpls>
      </m>
      <m>
        <tpls c="3">
          <tpl fld="2" item="0"/>
          <tpl fld="8" item="8"/>
          <tpl fld="17" item="3"/>
        </tpls>
      </m>
      <m>
        <tpls c="7">
          <tpl fld="3" item="1"/>
          <tpl fld="16" item="1"/>
          <tpl hier="35" item="0"/>
          <tpl fld="11" item="39"/>
          <tpl fld="12" item="3"/>
          <tpl hier="44" item="2"/>
          <tpl fld="17" item="0"/>
        </tpls>
      </m>
      <m>
        <tpls c="6">
          <tpl fld="3" item="1"/>
          <tpl fld="16" item="4"/>
          <tpl hier="35" item="0"/>
          <tpl fld="12" item="2"/>
          <tpl hier="44" item="2"/>
          <tpl fld="17" item="0"/>
        </tpls>
      </m>
      <n v="159668">
        <tpls c="6">
          <tpl fld="6" item="1"/>
          <tpl hier="35" item="3"/>
          <tpl fld="11" item="54"/>
          <tpl fld="12" item="4"/>
          <tpl hier="44" item="2"/>
          <tpl fld="17" item="0"/>
        </tpls>
      </n>
      <n v="399809446">
        <tpls c="6">
          <tpl fld="3" item="0"/>
          <tpl hier="10" item="4294967295"/>
          <tpl hier="35" item="1"/>
          <tpl fld="12" item="2"/>
          <tpl hier="44" item="2"/>
          <tpl fld="17" item="0"/>
        </tpls>
      </n>
      <n v="472152">
        <tpls c="6">
          <tpl fld="6" item="3"/>
          <tpl hier="35" item="3"/>
          <tpl fld="11" item="36"/>
          <tpl fld="12" item="2"/>
          <tpl hier="44" item="2"/>
          <tpl fld="17" item="0"/>
        </tpls>
      </n>
      <n v="19667986">
        <tpls c="7">
          <tpl fld="3" item="0"/>
          <tpl fld="16" item="11"/>
          <tpl hier="35" item="1"/>
          <tpl fld="11" item="49"/>
          <tpl fld="12" item="9"/>
          <tpl hier="44" item="2"/>
          <tpl fld="17" item="0"/>
        </tpls>
      </n>
      <n v="-123733">
        <tpls c="6">
          <tpl fld="7" item="0"/>
          <tpl fld="16" item="11"/>
          <tpl fld="0" item="0"/>
          <tpl fld="12" item="0"/>
          <tpl fld="1" item="1"/>
          <tpl fld="17" item="0"/>
        </tpls>
      </n>
      <n v="-492364">
        <tpls c="7">
          <tpl fld="7" item="0"/>
          <tpl fld="16" item="1"/>
          <tpl fld="0" item="0"/>
          <tpl fld="11" item="57"/>
          <tpl fld="12" item="7"/>
          <tpl fld="1" item="1"/>
          <tpl fld="17" item="0"/>
        </tpls>
      </n>
      <n v="0">
        <tpls c="6">
          <tpl fld="7" item="0"/>
          <tpl fld="16" item="9"/>
          <tpl fld="0" item="0"/>
          <tpl fld="12" item="14"/>
          <tpl fld="1" item="1"/>
          <tpl fld="17" item="0"/>
        </tpls>
      </n>
      <m>
        <tpls c="3">
          <tpl fld="8" item="5"/>
          <tpl fld="4" item="2"/>
          <tpl fld="17" item="3"/>
        </tpls>
      </m>
      <n v="1">
        <tpls c="7">
          <tpl fld="7" item="0"/>
          <tpl fld="16" item="1"/>
          <tpl fld="0" item="0"/>
          <tpl fld="11" item="45"/>
          <tpl fld="12" item="7"/>
          <tpl fld="1" item="1"/>
          <tpl fld="17" item="0"/>
        </tpls>
      </n>
      <n v="19531872">
        <tpls c="7">
          <tpl fld="3" item="0"/>
          <tpl fld="16" item="4"/>
          <tpl hier="35" item="1"/>
          <tpl fld="11" item="49"/>
          <tpl fld="12" item="9"/>
          <tpl hier="44" item="2"/>
          <tpl fld="17" item="0"/>
        </tpls>
      </n>
      <m>
        <tpls c="7">
          <tpl fld="3" item="1"/>
          <tpl fld="16" item="8"/>
          <tpl hier="35" item="0"/>
          <tpl fld="11" item="31"/>
          <tpl fld="12" item="3"/>
          <tpl hier="44" item="2"/>
          <tpl fld="17" item="0"/>
        </tpls>
      </m>
      <m>
        <tpls c="7">
          <tpl fld="3" item="0"/>
          <tpl fld="16" item="1"/>
          <tpl hier="35" item="1"/>
          <tpl fld="11" item="4"/>
          <tpl fld="12" item="1"/>
          <tpl hier="44" item="2"/>
          <tpl fld="17" item="0"/>
        </tpls>
      </m>
      <m>
        <tpls c="3">
          <tpl fld="2" item="15"/>
          <tpl fld="8" item="11"/>
          <tpl fld="17" item="3"/>
        </tpls>
      </m>
      <n v="-392981">
        <tpls c="6">
          <tpl fld="7" item="0"/>
          <tpl fld="16" item="1"/>
          <tpl fld="0" item="0"/>
          <tpl fld="12" item="19"/>
          <tpl fld="1" item="1"/>
          <tpl fld="17" item="0"/>
        </tpls>
      </n>
      <n v="0">
        <tpls c="7">
          <tpl fld="7" item="0"/>
          <tpl fld="16" item="2"/>
          <tpl fld="0" item="0"/>
          <tpl fld="11" item="13"/>
          <tpl fld="12" item="5"/>
          <tpl fld="1" item="1"/>
          <tpl fld="17" item="0"/>
        </tpls>
      </n>
      <n v="4985751">
        <tpls c="5">
          <tpl fld="6" item="3"/>
          <tpl hier="35" item="3"/>
          <tpl fld="12" item="11"/>
          <tpl hier="44" item="2"/>
          <tpl fld="17" item="0"/>
        </tpls>
      </n>
      <n v="197917">
        <tpls c="7">
          <tpl fld="3" item="0"/>
          <tpl fld="16" item="3"/>
          <tpl hier="35" item="1"/>
          <tpl fld="11" item="14"/>
          <tpl fld="12" item="3"/>
          <tpl hier="44" item="2"/>
          <tpl fld="17" item="0"/>
        </tpls>
      </n>
      <n v="-36924">
        <tpls c="7">
          <tpl fld="7" item="0"/>
          <tpl fld="16" item="2"/>
          <tpl fld="0" item="0"/>
          <tpl fld="11" item="66"/>
          <tpl fld="12" item="13"/>
          <tpl fld="1" item="1"/>
          <tpl fld="17" item="0"/>
        </tpls>
      </n>
      <m>
        <tpls c="6">
          <tpl fld="7" item="2"/>
          <tpl fld="0" item="1"/>
          <tpl fld="11" item="7"/>
          <tpl fld="10" item="1"/>
          <tpl hier="44" item="2"/>
          <tpl fld="17" item="0"/>
        </tpls>
      </m>
      <n v="0">
        <tpls c="7">
          <tpl fld="3" item="0"/>
          <tpl hier="10" item="4294967295"/>
          <tpl hier="35" item="1"/>
          <tpl fld="11" item="48"/>
          <tpl fld="12" item="4"/>
          <tpl hier="44" item="2"/>
          <tpl fld="17" item="0"/>
        </tpls>
      </n>
      <n v="37677763">
        <tpls c="5">
          <tpl fld="7" item="1"/>
          <tpl fld="0" item="2"/>
          <tpl fld="12" item="3"/>
          <tpl hier="44" item="2"/>
          <tpl fld="17" item="0"/>
        </tpls>
      </n>
      <n v="18050750">
        <tpls c="6">
          <tpl fld="7" item="0"/>
          <tpl hier="10" item="4294967295"/>
          <tpl fld="0" item="0"/>
          <tpl fld="12" item="7"/>
          <tpl fld="1" item="1"/>
          <tpl fld="17" item="0"/>
        </tpls>
      </n>
      <n v="414292">
        <tpls c="3">
          <tpl fld="9" item="4"/>
          <tpl fld="15" item="2"/>
          <tpl fld="17" item="2"/>
        </tpls>
      </n>
      <m>
        <tpls c="7">
          <tpl fld="3" item="1"/>
          <tpl fld="16" item="11"/>
          <tpl hier="35" item="0"/>
          <tpl fld="11" item="50"/>
          <tpl fld="12" item="11"/>
          <tpl hier="44" item="2"/>
          <tpl fld="17" item="0"/>
        </tpls>
      </m>
      <n v="1077783">
        <tpls c="7">
          <tpl fld="3" item="0"/>
          <tpl fld="16" item="8"/>
          <tpl hier="35" item="1"/>
          <tpl fld="11" item="8"/>
          <tpl fld="12" item="3"/>
          <tpl hier="44" item="2"/>
          <tpl fld="17" item="0"/>
        </tpls>
      </n>
      <m>
        <tpls c="7">
          <tpl fld="3" item="1"/>
          <tpl fld="16" item="8"/>
          <tpl hier="35" item="0"/>
          <tpl fld="11" item="18"/>
          <tpl fld="12" item="2"/>
          <tpl hier="44" item="2"/>
          <tpl fld="17" item="0"/>
        </tpls>
      </m>
      <n v="504642">
        <tpls c="6">
          <tpl fld="6" item="1"/>
          <tpl hier="35" item="1"/>
          <tpl fld="11" item="36"/>
          <tpl fld="10" item="0"/>
          <tpl hier="44" item="2"/>
          <tpl fld="17" item="0"/>
        </tpls>
      </n>
      <n v="-1424864">
        <tpls c="7">
          <tpl fld="7" item="0"/>
          <tpl fld="16" item="7"/>
          <tpl fld="0" item="0"/>
          <tpl fld="11" item="47"/>
          <tpl fld="12" item="10"/>
          <tpl fld="1" item="1"/>
          <tpl fld="17" item="0"/>
        </tpls>
      </n>
      <m>
        <tpls c="7">
          <tpl fld="7" item="0"/>
          <tpl fld="16" item="11"/>
          <tpl fld="0" item="0"/>
          <tpl fld="11" item="61"/>
          <tpl fld="12" item="7"/>
          <tpl fld="1" item="1"/>
          <tpl fld="17" item="0"/>
        </tpls>
      </m>
      <n v="417234">
        <tpls c="3">
          <tpl fld="9" item="8"/>
          <tpl fld="15" item="3"/>
          <tpl fld="17" item="2"/>
        </tpls>
      </n>
      <n v="119100">
        <tpls c="6">
          <tpl fld="6" item="1"/>
          <tpl hier="35" item="3"/>
          <tpl fld="11" item="15"/>
          <tpl fld="12" item="3"/>
          <tpl hier="44" item="2"/>
          <tpl fld="17" item="0"/>
        </tpls>
      </n>
      <n v="21254343">
        <tpls c="6">
          <tpl fld="3" item="0"/>
          <tpl fld="16" item="2"/>
          <tpl hier="35" item="1"/>
          <tpl fld="12" item="2"/>
          <tpl hier="44" item="2"/>
          <tpl fld="17" item="0"/>
        </tpls>
      </n>
      <n v="1957">
        <tpls c="6">
          <tpl fld="7" item="0"/>
          <tpl fld="0" item="0"/>
          <tpl fld="11" item="34"/>
          <tpl fld="12" item="15"/>
          <tpl hier="44" item="2"/>
          <tpl fld="17" item="0"/>
        </tpls>
      </n>
      <n v="0">
        <tpls c="6">
          <tpl fld="7" item="0"/>
          <tpl fld="16" item="2"/>
          <tpl fld="0" item="0"/>
          <tpl fld="12" item="12"/>
          <tpl fld="1" item="1"/>
          <tpl fld="17" item="0"/>
        </tpls>
      </n>
      <m>
        <tpls c="7">
          <tpl fld="3" item="1"/>
          <tpl fld="16" item="5"/>
          <tpl hier="35" item="0"/>
          <tpl fld="11" item="35"/>
          <tpl fld="12" item="2"/>
          <tpl hier="44" item="2"/>
          <tpl fld="17" item="0"/>
        </tpls>
      </m>
      <m>
        <tpls c="7">
          <tpl fld="3" item="0"/>
          <tpl fld="16" item="0"/>
          <tpl hier="35" item="1"/>
          <tpl fld="11" item="4"/>
          <tpl fld="12" item="1"/>
          <tpl hier="44" item="2"/>
          <tpl fld="17" item="0"/>
        </tpls>
      </m>
      <n v="10166523">
        <tpls c="6">
          <tpl fld="7" item="1"/>
          <tpl fld="0" item="2"/>
          <tpl fld="11" item="8"/>
          <tpl fld="12" item="3"/>
          <tpl hier="44" item="2"/>
          <tpl fld="17" item="0"/>
        </tpls>
      </n>
      <n v="-2317">
        <tpls c="7">
          <tpl fld="7" item="0"/>
          <tpl fld="16" item="1"/>
          <tpl fld="0" item="0"/>
          <tpl fld="11" item="42"/>
          <tpl fld="12" item="16"/>
          <tpl fld="1" item="1"/>
          <tpl fld="17" item="0"/>
        </tpls>
      </n>
      <n v="254750">
        <tpls c="7">
          <tpl fld="3" item="0"/>
          <tpl fld="16" item="5"/>
          <tpl hier="35" item="1"/>
          <tpl fld="11" item="27"/>
          <tpl fld="12" item="3"/>
          <tpl hier="44" item="2"/>
          <tpl fld="17" item="0"/>
        </tpls>
      </n>
      <m>
        <tpls c="7">
          <tpl fld="7" item="0"/>
          <tpl fld="16" item="8"/>
          <tpl fld="0" item="0"/>
          <tpl fld="11" item="61"/>
          <tpl fld="12" item="7"/>
          <tpl fld="1" item="1"/>
          <tpl fld="17" item="0"/>
        </tpls>
      </m>
      <n v="-23045082">
        <tpls c="7">
          <tpl fld="7" item="0"/>
          <tpl fld="16" item="1"/>
          <tpl fld="0" item="0"/>
          <tpl fld="11" item="56"/>
          <tpl fld="12" item="16"/>
          <tpl fld="1" item="1"/>
          <tpl fld="17" item="0"/>
        </tpls>
      </n>
      <n v="0">
        <tpls c="7">
          <tpl fld="7" item="0"/>
          <tpl fld="16" item="5"/>
          <tpl fld="0" item="0"/>
          <tpl fld="11" item="67"/>
          <tpl fld="12" item="0"/>
          <tpl fld="1" item="1"/>
          <tpl fld="17" item="0"/>
        </tpls>
      </n>
      <n v="86277800">
        <tpls c="7">
          <tpl fld="7" item="0"/>
          <tpl hier="10" item="4294967295"/>
          <tpl fld="0" item="0"/>
          <tpl fld="11" item="65"/>
          <tpl fld="12" item="12"/>
          <tpl fld="1" item="1"/>
          <tpl fld="17" item="0"/>
        </tpls>
      </n>
      <n v="-36924">
        <tpls c="7">
          <tpl fld="7" item="0"/>
          <tpl fld="16" item="9"/>
          <tpl fld="0" item="0"/>
          <tpl fld="11" item="66"/>
          <tpl fld="12" item="13"/>
          <tpl fld="1" item="1"/>
          <tpl fld="17" item="0"/>
        </tpls>
      </n>
      <n v="0">
        <tpls c="6">
          <tpl fld="7" item="0"/>
          <tpl fld="16" item="3"/>
          <tpl fld="0" item="0"/>
          <tpl fld="12" item="17"/>
          <tpl fld="1" item="1"/>
          <tpl fld="17" item="0"/>
        </tpls>
      </n>
      <m>
        <tpls c="7">
          <tpl fld="3" item="1"/>
          <tpl fld="16" item="4"/>
          <tpl hier="35" item="0"/>
          <tpl fld="11" item="32"/>
          <tpl fld="12" item="2"/>
          <tpl hier="44" item="2"/>
          <tpl fld="17" item="0"/>
        </tpls>
      </m>
      <m>
        <tpls c="7">
          <tpl fld="3" item="1"/>
          <tpl fld="16" item="0"/>
          <tpl hier="35" item="0"/>
          <tpl fld="11" item="41"/>
          <tpl fld="12" item="2"/>
          <tpl hier="44" item="2"/>
          <tpl fld="17" item="0"/>
        </tpls>
      </m>
      <n v="72916">
        <tpls c="7">
          <tpl fld="3" item="0"/>
          <tpl fld="16" item="8"/>
          <tpl hier="35" item="1"/>
          <tpl fld="11" item="14"/>
          <tpl fld="12" item="3"/>
          <tpl hier="44" item="2"/>
          <tpl fld="17" item="0"/>
        </tpls>
      </n>
      <n v="164">
        <tpls c="7">
          <tpl fld="3" item="0"/>
          <tpl fld="16" item="1"/>
          <tpl hier="35" item="1"/>
          <tpl fld="11" item="30"/>
          <tpl fld="12" item="15"/>
          <tpl hier="44" item="2"/>
          <tpl fld="17" item="0"/>
        </tpls>
      </n>
      <n v="11703049">
        <tpls c="7">
          <tpl fld="3" item="0"/>
          <tpl fld="16" item="8"/>
          <tpl hier="35" item="1"/>
          <tpl fld="11" item="18"/>
          <tpl fld="12" item="2"/>
          <tpl hier="44" item="2"/>
          <tpl fld="17" item="0"/>
        </tpls>
      </n>
      <m>
        <tpls c="3">
          <tpl fld="2" item="1"/>
          <tpl fld="8" item="8"/>
          <tpl fld="17" item="3"/>
        </tpls>
      </m>
      <m>
        <tpls c="7">
          <tpl fld="3" item="1"/>
          <tpl fld="16" item="6"/>
          <tpl hier="35" item="0"/>
          <tpl fld="11" item="5"/>
          <tpl fld="12" item="1"/>
          <tpl hier="44" item="2"/>
          <tpl fld="17" item="0"/>
        </tpls>
      </m>
      <n v="15625810">
        <tpls c="7">
          <tpl fld="3" item="0"/>
          <tpl hier="10" item="4294967295"/>
          <tpl hier="35" item="1"/>
          <tpl fld="11" item="8"/>
          <tpl fld="12" item="3"/>
          <tpl hier="44" item="2"/>
          <tpl fld="17" item="0"/>
        </tpls>
      </n>
      <m>
        <tpls c="7">
          <tpl fld="3" item="1"/>
          <tpl fld="16" item="6"/>
          <tpl hier="35" item="0"/>
          <tpl fld="11" item="8"/>
          <tpl fld="12" item="3"/>
          <tpl hier="44" item="2"/>
          <tpl fld="17" item="0"/>
        </tpls>
      </m>
      <n v="517144">
        <tpls c="6">
          <tpl fld="3" item="0"/>
          <tpl fld="16" item="2"/>
          <tpl hier="35" item="1"/>
          <tpl fld="12" item="4"/>
          <tpl hier="44" item="2"/>
          <tpl fld="17" item="0"/>
        </tpls>
      </n>
      <n v="149">
        <tpls c="7">
          <tpl fld="3" item="0"/>
          <tpl fld="16" item="0"/>
          <tpl hier="35" item="1"/>
          <tpl fld="11" item="34"/>
          <tpl fld="12" item="15"/>
          <tpl hier="44" item="2"/>
          <tpl fld="17" item="0"/>
        </tpls>
      </n>
      <m>
        <tpls c="7">
          <tpl fld="3" item="1"/>
          <tpl fld="16" item="1"/>
          <tpl hier="35" item="0"/>
          <tpl fld="11" item="8"/>
          <tpl fld="12" item="3"/>
          <tpl hier="44" item="2"/>
          <tpl fld="17" item="0"/>
        </tpls>
      </m>
      <n v="2306349">
        <tpls c="6">
          <tpl fld="7" item="1"/>
          <tpl fld="0" item="2"/>
          <tpl fld="11" item="23"/>
          <tpl fld="10" item="2"/>
          <tpl hier="44" item="2"/>
          <tpl fld="17" item="0"/>
        </tpls>
      </n>
      <n v="1347185">
        <tpls c="7">
          <tpl fld="3" item="0"/>
          <tpl fld="16" item="0"/>
          <tpl hier="35" item="1"/>
          <tpl fld="11" item="8"/>
          <tpl fld="12" item="3"/>
          <tpl hier="44" item="2"/>
          <tpl fld="17" item="0"/>
        </tpls>
      </n>
      <m>
        <tpls c="7">
          <tpl fld="3" item="1"/>
          <tpl fld="16" item="9"/>
          <tpl hier="35" item="0"/>
          <tpl fld="11" item="39"/>
          <tpl fld="12" item="3"/>
          <tpl hier="44" item="2"/>
          <tpl fld="17" item="0"/>
        </tpls>
      </m>
      <n v="8250">
        <tpls c="6">
          <tpl fld="6" item="2"/>
          <tpl hier="35" item="1"/>
          <tpl fld="11" item="38"/>
          <tpl fld="10" item="2"/>
          <tpl hier="44" item="2"/>
          <tpl fld="17" item="0"/>
        </tpls>
      </n>
      <n v="282769">
        <tpls c="6">
          <tpl fld="6" item="2"/>
          <tpl hier="35" item="3"/>
          <tpl fld="11" item="41"/>
          <tpl fld="12" item="2"/>
          <tpl hier="44" item="2"/>
          <tpl fld="17" item="0"/>
        </tpls>
      </n>
      <n v="18372">
        <tpls c="7">
          <tpl fld="3" item="0"/>
          <tpl fld="16" item="2"/>
          <tpl hier="35" item="1"/>
          <tpl fld="11" item="11"/>
          <tpl fld="12" item="2"/>
          <tpl hier="44" item="2"/>
          <tpl fld="17" item="0"/>
        </tpls>
      </n>
      <n v="16756">
        <tpls c="7">
          <tpl fld="3" item="0"/>
          <tpl fld="16" item="2"/>
          <tpl hier="35" item="1"/>
          <tpl fld="11" item="32"/>
          <tpl fld="12" item="2"/>
          <tpl hier="44" item="2"/>
          <tpl fld="17" item="0"/>
        </tpls>
      </n>
      <n v="33440">
        <tpls c="7">
          <tpl fld="3" item="0"/>
          <tpl fld="16" item="10"/>
          <tpl hier="35" item="1"/>
          <tpl fld="11" item="11"/>
          <tpl fld="12" item="2"/>
          <tpl hier="44" item="2"/>
          <tpl fld="17" item="0"/>
        </tpls>
      </n>
      <m>
        <tpls c="3">
          <tpl fld="5" item="2"/>
          <tpl fld="4" item="2"/>
          <tpl fld="17" item="3"/>
        </tpls>
      </m>
      <n v="0">
        <tpls c="6">
          <tpl fld="7" item="1"/>
          <tpl fld="0" item="2"/>
          <tpl fld="11" item="63"/>
          <tpl fld="12" item="13"/>
          <tpl fld="1" item="1"/>
          <tpl fld="17" item="0"/>
        </tpls>
      </n>
      <m>
        <tpls c="7">
          <tpl fld="3" item="1"/>
          <tpl fld="16" item="11"/>
          <tpl hier="35" item="0"/>
          <tpl fld="11" item="39"/>
          <tpl fld="12" item="3"/>
          <tpl hier="44" item="2"/>
          <tpl fld="17" item="0"/>
        </tpls>
      </m>
      <n v="157182">
        <tpls c="7">
          <tpl fld="3" item="0"/>
          <tpl fld="16" item="3"/>
          <tpl hier="35" item="1"/>
          <tpl fld="11" item="36"/>
          <tpl fld="12" item="2"/>
          <tpl hier="44" item="2"/>
          <tpl fld="17" item="0"/>
        </tpls>
      </n>
      <n v="1495500">
        <tpls c="6">
          <tpl fld="6" item="3"/>
          <tpl hier="35" item="1"/>
          <tpl fld="11" item="16"/>
          <tpl fld="10" item="2"/>
          <tpl hier="44" item="2"/>
          <tpl fld="17" item="0"/>
        </tpls>
      </n>
      <n v="603100">
        <tpls c="7">
          <tpl fld="3" item="0"/>
          <tpl fld="16" item="0"/>
          <tpl hier="35" item="1"/>
          <tpl fld="11" item="10"/>
          <tpl fld="12" item="3"/>
          <tpl hier="44" item="2"/>
          <tpl fld="17" item="0"/>
        </tpls>
      </n>
      <m>
        <tpls c="7">
          <tpl fld="3" item="1"/>
          <tpl hier="10" item="4294967295"/>
          <tpl hier="35" item="0"/>
          <tpl fld="11" item="11"/>
          <tpl fld="12" item="2"/>
          <tpl hier="44" item="2"/>
          <tpl fld="17" item="0"/>
        </tpls>
      </m>
      <n v="0">
        <tpls c="7">
          <tpl fld="7" item="0"/>
          <tpl fld="16" item="11"/>
          <tpl fld="0" item="0"/>
          <tpl fld="11" item="69"/>
          <tpl fld="12" item="7"/>
          <tpl fld="1" item="1"/>
          <tpl fld="17" item="0"/>
        </tpls>
      </n>
      <m>
        <tpls c="7">
          <tpl fld="3" item="1"/>
          <tpl fld="16" item="7"/>
          <tpl hier="35" item="0"/>
          <tpl fld="11" item="48"/>
          <tpl fld="12" item="4"/>
          <tpl hier="44" item="2"/>
          <tpl fld="17" item="0"/>
        </tpls>
      </m>
      <m>
        <tpls c="7">
          <tpl fld="3" item="1"/>
          <tpl fld="16" item="3"/>
          <tpl hier="35" item="0"/>
          <tpl fld="11" item="26"/>
          <tpl fld="12" item="2"/>
          <tpl hier="44" item="2"/>
          <tpl fld="17" item="0"/>
        </tpls>
      </m>
      <n v="17192000">
        <tpls c="7">
          <tpl fld="3" item="0"/>
          <tpl hier="10" item="4294967295"/>
          <tpl hier="35" item="1"/>
          <tpl fld="11" item="33"/>
          <tpl fld="12" item="3"/>
          <tpl hier="44" item="2"/>
          <tpl fld="17" item="0"/>
        </tpls>
      </n>
      <n v="11932311">
        <tpls c="7">
          <tpl fld="3" item="0"/>
          <tpl fld="16" item="2"/>
          <tpl hier="35" item="1"/>
          <tpl fld="11" item="18"/>
          <tpl fld="12" item="2"/>
          <tpl hier="44" item="2"/>
          <tpl fld="17" item="0"/>
        </tpls>
      </n>
      <m>
        <tpls c="7">
          <tpl fld="3" item="1"/>
          <tpl fld="16" item="4"/>
          <tpl hier="35" item="0"/>
          <tpl fld="11" item="4"/>
          <tpl fld="12" item="1"/>
          <tpl hier="44" item="2"/>
          <tpl fld="17" item="0"/>
        </tpls>
      </m>
      <n v="128208191">
        <tpls c="7">
          <tpl fld="3" item="0"/>
          <tpl hier="10" item="4294967295"/>
          <tpl hier="35" item="1"/>
          <tpl fld="11" item="18"/>
          <tpl fld="12" item="2"/>
          <tpl hier="44" item="2"/>
          <tpl fld="17" item="0"/>
        </tpls>
      </n>
      <n v="193307">
        <tpls c="7">
          <tpl fld="3" item="0"/>
          <tpl fld="16" item="10"/>
          <tpl hier="35" item="1"/>
          <tpl fld="11" item="36"/>
          <tpl fld="12" item="2"/>
          <tpl hier="44" item="2"/>
          <tpl fld="17" item="0"/>
        </tpls>
      </n>
      <m>
        <tpls c="7">
          <tpl fld="3" item="1"/>
          <tpl fld="16" item="4"/>
          <tpl hier="35" item="0"/>
          <tpl fld="11" item="38"/>
          <tpl fld="12" item="11"/>
          <tpl hier="44" item="2"/>
          <tpl fld="17" item="0"/>
        </tpls>
      </m>
      <m>
        <tpls c="7">
          <tpl fld="3" item="0"/>
          <tpl fld="16" item="8"/>
          <tpl hier="35" item="1"/>
          <tpl fld="11" item="26"/>
          <tpl fld="12" item="2"/>
          <tpl hier="44" item="2"/>
          <tpl fld="17" item="0"/>
        </tpls>
      </m>
      <n v="72917">
        <tpls c="7">
          <tpl fld="3" item="0"/>
          <tpl fld="16" item="0"/>
          <tpl hier="35" item="1"/>
          <tpl fld="11" item="14"/>
          <tpl fld="12" item="3"/>
          <tpl hier="44" item="2"/>
          <tpl fld="17" item="0"/>
        </tpls>
      </n>
      <n v="-2985371">
        <tpls c="7">
          <tpl fld="7" item="0"/>
          <tpl fld="16" item="6"/>
          <tpl fld="0" item="0"/>
          <tpl fld="11" item="56"/>
          <tpl fld="12" item="16"/>
          <tpl fld="1" item="1"/>
          <tpl fld="17" item="0"/>
        </tpls>
      </n>
      <n v="51913">
        <tpls c="7">
          <tpl fld="7" item="0"/>
          <tpl fld="16" item="0"/>
          <tpl fld="0" item="0"/>
          <tpl fld="11" item="42"/>
          <tpl fld="12" item="16"/>
          <tpl fld="1" item="1"/>
          <tpl fld="17" item="0"/>
        </tpls>
      </n>
      <n v="660125">
        <tpls c="3">
          <tpl fld="9" item="3"/>
          <tpl fld="15" item="2"/>
          <tpl fld="17" item="2"/>
        </tpls>
      </n>
      <n v="1432221">
        <tpls c="6">
          <tpl fld="7" item="0"/>
          <tpl fld="16" item="1"/>
          <tpl fld="0" item="0"/>
          <tpl fld="12" item="10"/>
          <tpl fld="1" item="1"/>
          <tpl fld="17" item="0"/>
        </tpls>
      </n>
      <n v="129468263">
        <tpls c="6">
          <tpl fld="7" item="3"/>
          <tpl fld="0" item="2"/>
          <tpl fld="11" item="55"/>
          <tpl fld="12" item="13"/>
          <tpl fld="1" item="1"/>
          <tpl fld="17" item="0"/>
        </tpls>
      </n>
      <m>
        <tpls c="3">
          <tpl fld="2" item="16"/>
          <tpl fld="8" item="4"/>
          <tpl fld="17" item="3"/>
        </tpls>
      </m>
      <n v="1373199">
        <tpls c="7">
          <tpl fld="3" item="0"/>
          <tpl fld="16" item="7"/>
          <tpl hier="35" item="1"/>
          <tpl fld="11" item="20"/>
          <tpl fld="12" item="2"/>
          <tpl hier="44" item="2"/>
          <tpl fld="17" item="0"/>
        </tpls>
      </n>
      <m>
        <tpls c="3">
          <tpl fld="2" item="5"/>
          <tpl fld="8" item="8"/>
          <tpl fld="17" item="3"/>
        </tpls>
      </m>
      <m>
        <tpls c="7">
          <tpl fld="3" item="1"/>
          <tpl hier="10" item="4294967295"/>
          <tpl hier="35" item="0"/>
          <tpl fld="11" item="50"/>
          <tpl fld="12" item="11"/>
          <tpl hier="44" item="2"/>
          <tpl fld="17" item="0"/>
        </tpls>
      </m>
      <n v="73716">
        <tpls c="6">
          <tpl fld="6" item="1"/>
          <tpl hier="35" item="1"/>
          <tpl fld="11" item="11"/>
          <tpl fld="10" item="0"/>
          <tpl hier="44" item="2"/>
          <tpl fld="17" item="0"/>
        </tpls>
      </n>
      <n v="104167">
        <tpls c="7">
          <tpl fld="3" item="0"/>
          <tpl fld="16" item="5"/>
          <tpl hier="35" item="1"/>
          <tpl fld="11" item="43"/>
          <tpl fld="12" item="3"/>
          <tpl hier="44" item="2"/>
          <tpl fld="17" item="0"/>
        </tpls>
      </n>
      <n v="1255575">
        <tpls c="6">
          <tpl fld="6" item="1"/>
          <tpl hier="35" item="3"/>
          <tpl fld="11" item="22"/>
          <tpl fld="12" item="4"/>
          <tpl hier="44" item="2"/>
          <tpl fld="17" item="0"/>
        </tpls>
      </n>
      <n v="20193004">
        <tpls c="5">
          <tpl fld="7" item="2"/>
          <tpl fld="0" item="1"/>
          <tpl fld="12" item="11"/>
          <tpl hier="44" item="2"/>
          <tpl fld="17" item="0"/>
        </tpls>
      </n>
      <m>
        <tpls c="7">
          <tpl fld="3" item="1"/>
          <tpl fld="16" item="11"/>
          <tpl hier="35" item="0"/>
          <tpl fld="11" item="18"/>
          <tpl fld="12" item="2"/>
          <tpl hier="44" item="2"/>
          <tpl fld="17" item="0"/>
        </tpls>
      </m>
      <n v="3736801">
        <tpls c="6">
          <tpl fld="6" item="0"/>
          <tpl hier="35" item="3"/>
          <tpl fld="11" item="20"/>
          <tpl fld="12" item="2"/>
          <tpl hier="44" item="2"/>
          <tpl fld="17" item="0"/>
        </tpls>
      </n>
      <n v="4167">
        <tpls c="3">
          <tpl fld="9" item="9"/>
          <tpl fld="15" item="0"/>
          <tpl fld="17" item="2"/>
        </tpls>
      </n>
      <n v="0">
        <tpls c="6">
          <tpl fld="7" item="0"/>
          <tpl fld="16" item="9"/>
          <tpl fld="0" item="0"/>
          <tpl fld="12" item="6"/>
          <tpl fld="1" item="1"/>
          <tpl fld="17" item="0"/>
        </tpls>
      </n>
      <n v="151664">
        <tpls c="7">
          <tpl fld="3" item="0"/>
          <tpl fld="16" item="1"/>
          <tpl hier="35" item="1"/>
          <tpl fld="11" item="36"/>
          <tpl fld="12" item="2"/>
          <tpl hier="44" item="2"/>
          <tpl fld="17" item="0"/>
        </tpls>
      </n>
      <n v="66244">
        <tpls c="7">
          <tpl fld="3" item="0"/>
          <tpl fld="16" item="9"/>
          <tpl hier="35" item="1"/>
          <tpl fld="11" item="41"/>
          <tpl fld="12" item="2"/>
          <tpl hier="44" item="2"/>
          <tpl fld="17" item="0"/>
        </tpls>
      </n>
      <n v="1376">
        <tpls c="5">
          <tpl fld="6" item="2"/>
          <tpl hier="35" item="3"/>
          <tpl fld="12" item="15"/>
          <tpl hier="44" item="2"/>
          <tpl fld="17" item="0"/>
        </tpls>
      </n>
      <n v="276548">
        <tpls c="6">
          <tpl fld="6" item="1"/>
          <tpl hier="35" item="1"/>
          <tpl fld="11" item="41"/>
          <tpl fld="10" item="0"/>
          <tpl hier="44" item="2"/>
          <tpl fld="17" item="0"/>
        </tpls>
      </n>
      <n v="5042076">
        <tpls c="6">
          <tpl fld="7" item="2"/>
          <tpl fld="0" item="1"/>
          <tpl fld="11" item="22"/>
          <tpl fld="10" item="1"/>
          <tpl hier="44" item="2"/>
          <tpl fld="17" item="0"/>
        </tpls>
      </n>
      <n v="2665095">
        <tpls c="6">
          <tpl fld="7" item="3"/>
          <tpl fld="0" item="2"/>
          <tpl fld="11" item="63"/>
          <tpl fld="12" item="13"/>
          <tpl fld="1" item="1"/>
          <tpl fld="17" item="0"/>
        </tpls>
      </n>
      <n v="0">
        <tpls c="7">
          <tpl fld="3" item="0"/>
          <tpl fld="16" item="1"/>
          <tpl hier="35" item="1"/>
          <tpl fld="11" item="44"/>
          <tpl fld="12" item="3"/>
          <tpl hier="44" item="2"/>
          <tpl fld="17" item="0"/>
        </tpls>
      </n>
      <n v="0">
        <tpls c="6">
          <tpl fld="7" item="3"/>
          <tpl fld="0" item="2"/>
          <tpl fld="11" item="52"/>
          <tpl fld="12" item="20"/>
          <tpl fld="1" item="1"/>
          <tpl fld="17" item="0"/>
        </tpls>
      </n>
      <n v="0">
        <tpls c="7">
          <tpl fld="3" item="0"/>
          <tpl fld="16" item="6"/>
          <tpl hier="35" item="1"/>
          <tpl fld="11" item="44"/>
          <tpl fld="12" item="3"/>
          <tpl hier="44" item="2"/>
          <tpl fld="17" item="0"/>
        </tpls>
      </n>
      <m>
        <tpls c="7">
          <tpl fld="3" item="0"/>
          <tpl fld="16" item="3"/>
          <tpl hier="35" item="1"/>
          <tpl fld="11" item="26"/>
          <tpl fld="12" item="2"/>
          <tpl hier="44" item="2"/>
          <tpl fld="17" item="0"/>
        </tpls>
      </m>
      <m>
        <tpls c="3">
          <tpl fld="2" item="18"/>
          <tpl fld="8" item="5"/>
          <tpl fld="17" item="3"/>
        </tpls>
      </m>
      <m>
        <tpls c="3">
          <tpl fld="2" item="20"/>
          <tpl fld="8" item="10"/>
          <tpl fld="17" item="3"/>
        </tpls>
      </m>
      <m>
        <tpls c="6">
          <tpl fld="3" item="1"/>
          <tpl fld="16" item="11"/>
          <tpl hier="35" item="0"/>
          <tpl fld="12" item="9"/>
          <tpl hier="44" item="2"/>
          <tpl fld="17" item="0"/>
        </tpls>
      </m>
      <n v="0">
        <tpls c="6">
          <tpl fld="7" item="0"/>
          <tpl fld="16" item="5"/>
          <tpl fld="0" item="0"/>
          <tpl fld="12" item="8"/>
          <tpl fld="1" item="1"/>
          <tpl fld="17" item="0"/>
        </tpls>
      </n>
      <m>
        <tpls c="6">
          <tpl fld="3" item="1"/>
          <tpl hier="10" item="4294967295"/>
          <tpl hier="35" item="0"/>
          <tpl fld="12" item="15"/>
          <tpl hier="44" item="2"/>
          <tpl fld="17" item="0"/>
        </tpls>
      </m>
      <n v="148492">
        <tpls c="6">
          <tpl fld="7" item="0"/>
          <tpl fld="0" item="0"/>
          <tpl fld="11" item="50"/>
          <tpl fld="12" item="11"/>
          <tpl hier="44" item="2"/>
          <tpl fld="17" item="0"/>
        </tpls>
      </n>
      <n v="0">
        <tpls c="7">
          <tpl fld="3" item="0"/>
          <tpl fld="16" item="2"/>
          <tpl hier="35" item="1"/>
          <tpl fld="11" item="44"/>
          <tpl fld="12" item="3"/>
          <tpl hier="44" item="2"/>
          <tpl fld="17" item="0"/>
        </tpls>
      </n>
      <n v="258330">
        <tpls c="6">
          <tpl fld="7" item="0"/>
          <tpl fld="0" item="0"/>
          <tpl fld="11" item="11"/>
          <tpl fld="12" item="2"/>
          <tpl hier="44" item="2"/>
          <tpl fld="17" item="0"/>
        </tpls>
      </n>
      <n v="168432">
        <tpls c="6">
          <tpl fld="7" item="3"/>
          <tpl fld="0" item="2"/>
          <tpl fld="11" item="57"/>
          <tpl fld="12" item="7"/>
          <tpl fld="1" item="1"/>
          <tpl fld="17" item="0"/>
        </tpls>
      </n>
      <n v="-18440">
        <tpls c="6">
          <tpl fld="7" item="0"/>
          <tpl fld="16" item="9"/>
          <tpl fld="0" item="0"/>
          <tpl fld="12" item="0"/>
          <tpl fld="1" item="1"/>
          <tpl fld="17" item="0"/>
        </tpls>
      </n>
      <m>
        <tpls c="3">
          <tpl fld="2" item="19"/>
          <tpl fld="8" item="2"/>
          <tpl fld="17" item="3"/>
        </tpls>
      </m>
      <m>
        <tpls c="3">
          <tpl fld="2" item="16"/>
          <tpl fld="8" item="2"/>
          <tpl fld="17" item="3"/>
        </tpls>
      </m>
      <n v="236000">
        <tpls c="3">
          <tpl fld="2" item="5"/>
          <tpl fld="8" item="7"/>
          <tpl fld="17" item="3"/>
        </tpls>
      </n>
      <n v="0">
        <tpls c="6">
          <tpl fld="7" item="0"/>
          <tpl fld="16" item="1"/>
          <tpl fld="0" item="0"/>
          <tpl fld="12" item="6"/>
          <tpl fld="1" item="1"/>
          <tpl fld="17" item="0"/>
        </tpls>
      </n>
      <m>
        <tpls c="3">
          <tpl fld="2" item="15"/>
          <tpl fld="8" item="1"/>
          <tpl fld="17" item="3"/>
        </tpls>
      </m>
      <n v="18210">
        <tpls c="6">
          <tpl fld="7" item="3"/>
          <tpl fld="0" item="2"/>
          <tpl fld="11" item="42"/>
          <tpl fld="12" item="16"/>
          <tpl fld="1" item="1"/>
          <tpl fld="17" item="0"/>
        </tpls>
      </n>
      <n v="35397169">
        <tpls c="6">
          <tpl fld="7" item="2"/>
          <tpl fld="0" item="1"/>
          <tpl fld="11" item="35"/>
          <tpl fld="10" item="0"/>
          <tpl hier="44" item="2"/>
          <tpl fld="17" item="0"/>
        </tpls>
      </n>
      <m>
        <tpls c="7">
          <tpl fld="3" item="1"/>
          <tpl fld="16" item="11"/>
          <tpl hier="35" item="0"/>
          <tpl fld="11" item="1"/>
          <tpl fld="12" item="1"/>
          <tpl hier="44" item="2"/>
          <tpl fld="17" item="0"/>
        </tpls>
      </m>
      <n v="119100">
        <tpls c="6">
          <tpl fld="6" item="0"/>
          <tpl hier="35" item="3"/>
          <tpl fld="11" item="15"/>
          <tpl fld="12" item="3"/>
          <tpl hier="44" item="2"/>
          <tpl fld="17" item="0"/>
        </tpls>
      </n>
      <n v="0">
        <tpls c="7">
          <tpl fld="7" item="0"/>
          <tpl fld="16" item="6"/>
          <tpl fld="0" item="0"/>
          <tpl fld="11" item="13"/>
          <tpl fld="12" item="5"/>
          <tpl fld="1" item="1"/>
          <tpl fld="17" item="0"/>
        </tpls>
      </n>
      <m>
        <tpls c="6">
          <tpl fld="3" item="1"/>
          <tpl fld="16" item="8"/>
          <tpl hier="35" item="0"/>
          <tpl fld="12" item="11"/>
          <tpl hier="44" item="2"/>
          <tpl fld="17" item="0"/>
        </tpls>
      </m>
      <n v="204635">
        <tpls c="6">
          <tpl fld="6" item="3"/>
          <tpl hier="35" item="1"/>
          <tpl fld="11" item="41"/>
          <tpl fld="10" item="0"/>
          <tpl hier="44" item="2"/>
          <tpl fld="17" item="0"/>
        </tpls>
      </n>
      <n v="7200">
        <tpls c="5">
          <tpl fld="7" item="2"/>
          <tpl fld="0" item="1"/>
          <tpl fld="12" item="21"/>
          <tpl hier="44" item="2"/>
          <tpl fld="17" item="0"/>
        </tpls>
      </n>
      <m>
        <tpls c="7">
          <tpl fld="3" item="1"/>
          <tpl fld="16" item="6"/>
          <tpl hier="35" item="0"/>
          <tpl fld="11" item="44"/>
          <tpl fld="12" item="3"/>
          <tpl hier="44" item="2"/>
          <tpl fld="17" item="0"/>
        </tpls>
      </m>
      <n v="1000000">
        <tpls c="7">
          <tpl fld="3" item="0"/>
          <tpl hier="10" item="4294967295"/>
          <tpl hier="35" item="1"/>
          <tpl fld="11" item="14"/>
          <tpl fld="12" item="3"/>
          <tpl hier="44" item="2"/>
          <tpl fld="17" item="0"/>
        </tpls>
      </n>
      <n v="4785429">
        <tpls c="6">
          <tpl fld="7" item="0"/>
          <tpl fld="0" item="0"/>
          <tpl fld="11" item="22"/>
          <tpl fld="12" item="4"/>
          <tpl hier="44" item="2"/>
          <tpl fld="17" item="0"/>
        </tpls>
      </n>
      <n v="1427667">
        <tpls c="7">
          <tpl fld="3" item="0"/>
          <tpl fld="16" item="0"/>
          <tpl hier="35" item="1"/>
          <tpl fld="11" item="33"/>
          <tpl fld="12" item="3"/>
          <tpl hier="44" item="2"/>
          <tpl fld="17" item="0"/>
        </tpls>
      </n>
      <m>
        <tpls c="3">
          <tpl fld="2" item="14"/>
          <tpl fld="8" item="7"/>
          <tpl fld="17" item="3"/>
        </tpls>
      </m>
      <m>
        <tpls c="3">
          <tpl fld="2" item="19"/>
          <tpl fld="8" item="7"/>
          <tpl fld="17" item="3"/>
        </tpls>
      </m>
      <m>
        <tpls c="7">
          <tpl fld="3" item="1"/>
          <tpl fld="16" item="2"/>
          <tpl hier="35" item="0"/>
          <tpl fld="11" item="7"/>
          <tpl fld="12" item="4"/>
          <tpl hier="44" item="2"/>
          <tpl fld="17" item="0"/>
        </tpls>
      </m>
      <n v="96805">
        <tpls c="7">
          <tpl fld="3" item="0"/>
          <tpl fld="16" item="11"/>
          <tpl hier="35" item="1"/>
          <tpl fld="11" item="19"/>
          <tpl fld="12" item="2"/>
          <tpl hier="44" item="2"/>
          <tpl fld="17" item="0"/>
        </tpls>
      </n>
      <n v="1437667">
        <tpls c="7">
          <tpl fld="3" item="0"/>
          <tpl fld="16" item="3"/>
          <tpl hier="35" item="1"/>
          <tpl fld="11" item="33"/>
          <tpl fld="12" item="3"/>
          <tpl hier="44" item="2"/>
          <tpl fld="17" item="0"/>
        </tpls>
      </n>
      <n v="881422">
        <tpls c="3">
          <tpl fld="9" item="1"/>
          <tpl fld="15" item="3"/>
          <tpl fld="17" item="2"/>
        </tpls>
      </n>
      <n v="1278">
        <tpls c="7">
          <tpl fld="3" item="0"/>
          <tpl fld="16" item="11"/>
          <tpl hier="35" item="1"/>
          <tpl fld="11" item="25"/>
          <tpl fld="12" item="2"/>
          <tpl hier="44" item="2"/>
          <tpl fld="17" item="0"/>
        </tpls>
      </n>
      <n v="3795131">
        <tpls c="6">
          <tpl fld="7" item="3"/>
          <tpl fld="0" item="2"/>
          <tpl fld="11" item="46"/>
          <tpl fld="12" item="13"/>
          <tpl fld="1" item="1"/>
          <tpl fld="17" item="0"/>
        </tpls>
      </n>
      <n v="104167">
        <tpls c="7">
          <tpl fld="3" item="0"/>
          <tpl fld="16" item="9"/>
          <tpl hier="35" item="1"/>
          <tpl fld="11" item="43"/>
          <tpl fld="12" item="3"/>
          <tpl hier="44" item="2"/>
          <tpl fld="17" item="0"/>
        </tpls>
      </n>
      <n v="-2847244">
        <tpls c="6">
          <tpl fld="7" item="0"/>
          <tpl fld="16" item="11"/>
          <tpl fld="0" item="0"/>
          <tpl fld="12" item="13"/>
          <tpl fld="1" item="1"/>
          <tpl fld="17" item="0"/>
        </tpls>
      </n>
      <n v="1708859">
        <tpls c="6">
          <tpl fld="7" item="1"/>
          <tpl fld="0" item="2"/>
          <tpl fld="11" item="46"/>
          <tpl fld="12" item="13"/>
          <tpl fld="1" item="1"/>
          <tpl fld="17" item="0"/>
        </tpls>
      </n>
      <m>
        <tpls c="3">
          <tpl fld="2" item="4"/>
          <tpl fld="8" item="10"/>
          <tpl fld="17" item="3"/>
        </tpls>
      </m>
      <n v="7217817">
        <tpls c="6">
          <tpl fld="6" item="3"/>
          <tpl hier="35" item="3"/>
          <tpl fld="11" item="2"/>
          <tpl fld="12" item="2"/>
          <tpl hier="44" item="2"/>
          <tpl fld="17" item="0"/>
        </tpls>
      </n>
      <n v="119100">
        <tpls c="6">
          <tpl fld="6" item="3"/>
          <tpl hier="35" item="1"/>
          <tpl fld="11" item="15"/>
          <tpl fld="10" item="2"/>
          <tpl hier="44" item="2"/>
          <tpl fld="17" item="0"/>
        </tpls>
      </n>
      <n v="113362">
        <tpls c="6">
          <tpl fld="7" item="1"/>
          <tpl fld="0" item="2"/>
          <tpl fld="11" item="16"/>
          <tpl fld="10" item="2"/>
          <tpl hier="44" item="2"/>
          <tpl fld="17" item="0"/>
        </tpls>
      </n>
      <n v="39700">
        <tpls c="7">
          <tpl fld="3" item="0"/>
          <tpl fld="16" item="9"/>
          <tpl hier="35" item="1"/>
          <tpl fld="11" item="15"/>
          <tpl fld="12" item="3"/>
          <tpl hier="44" item="2"/>
          <tpl fld="17" item="0"/>
        </tpls>
      </n>
      <n v="81347615">
        <tpls c="5">
          <tpl fld="7" item="3"/>
          <tpl fld="0" item="2"/>
          <tpl fld="12" item="16"/>
          <tpl fld="1" item="1"/>
          <tpl fld="17" item="0"/>
        </tpls>
      </n>
      <m>
        <tpls c="3">
          <tpl fld="2" item="0"/>
          <tpl fld="8" item="9"/>
          <tpl fld="17" item="3"/>
        </tpls>
      </m>
      <n v="2000000">
        <tpls c="3">
          <tpl fld="8" item="1"/>
          <tpl fld="4" item="0"/>
          <tpl fld="17" item="3"/>
        </tpls>
      </n>
      <n v="0">
        <tpls c="6">
          <tpl fld="7" item="3"/>
          <tpl fld="0" item="2"/>
          <tpl fld="11" item="13"/>
          <tpl fld="12" item="5"/>
          <tpl fld="1" item="1"/>
          <tpl fld="17" item="0"/>
        </tpls>
      </n>
      <n v="0">
        <tpls c="6">
          <tpl fld="6" item="3"/>
          <tpl hier="35" item="3"/>
          <tpl fld="11" item="0"/>
          <tpl fld="12" item="2"/>
          <tpl hier="44" item="2"/>
          <tpl fld="17" item="0"/>
        </tpls>
      </n>
      <n v="876105">
        <tpls c="6">
          <tpl fld="7" item="0"/>
          <tpl fld="0" item="0"/>
          <tpl fld="11" item="16"/>
          <tpl fld="10" item="2"/>
          <tpl hier="44" item="2"/>
          <tpl fld="17" item="0"/>
        </tpls>
      </n>
      <n v="0">
        <tpls c="7">
          <tpl fld="7" item="0"/>
          <tpl fld="16" item="3"/>
          <tpl fld="0" item="0"/>
          <tpl fld="11" item="53"/>
          <tpl fld="12" item="14"/>
          <tpl fld="1" item="1"/>
          <tpl fld="17" item="0"/>
        </tpls>
      </n>
      <m>
        <tpls c="7">
          <tpl fld="3" item="1"/>
          <tpl fld="16" item="10"/>
          <tpl hier="35" item="0"/>
          <tpl fld="11" item="32"/>
          <tpl fld="12" item="2"/>
          <tpl hier="44" item="2"/>
          <tpl fld="17" item="0"/>
        </tpls>
      </m>
      <n v="30000">
        <tpls c="7">
          <tpl fld="3" item="0"/>
          <tpl fld="16" item="1"/>
          <tpl hier="35" item="1"/>
          <tpl fld="11" item="31"/>
          <tpl fld="12" item="3"/>
          <tpl hier="44" item="2"/>
          <tpl fld="17" item="0"/>
        </tpls>
      </n>
      <m>
        <tpls c="7">
          <tpl fld="3" item="1"/>
          <tpl fld="16" item="5"/>
          <tpl hier="35" item="0"/>
          <tpl fld="11" item="43"/>
          <tpl fld="12" item="3"/>
          <tpl hier="44" item="2"/>
          <tpl fld="17" item="0"/>
        </tpls>
      </m>
      <m>
        <tpls c="7">
          <tpl fld="3" item="1"/>
          <tpl hier="10" item="4294967295"/>
          <tpl hier="35" item="0"/>
          <tpl fld="11" item="30"/>
          <tpl fld="12" item="15"/>
          <tpl hier="44" item="2"/>
          <tpl fld="17" item="0"/>
        </tpls>
      </m>
      <n v="-96889">
        <tpls c="6">
          <tpl fld="7" item="0"/>
          <tpl fld="16" item="8"/>
          <tpl fld="0" item="0"/>
          <tpl fld="12" item="20"/>
          <tpl fld="1" item="1"/>
          <tpl fld="17" item="0"/>
        </tpls>
      </n>
      <m>
        <tpls c="7">
          <tpl fld="3" item="0"/>
          <tpl fld="16" item="7"/>
          <tpl hier="35" item="1"/>
          <tpl fld="11" item="4"/>
          <tpl fld="12" item="1"/>
          <tpl hier="44" item="2"/>
          <tpl fld="17" item="0"/>
        </tpls>
      </m>
      <n v="608316917">
        <tpls c="5">
          <tpl fld="7" item="3"/>
          <tpl fld="0" item="2"/>
          <tpl fld="12" item="13"/>
          <tpl fld="1" item="1"/>
          <tpl fld="17" item="0"/>
        </tpls>
      </n>
      <n v="587000">
        <tpls c="7">
          <tpl fld="3" item="0"/>
          <tpl fld="16" item="11"/>
          <tpl hier="35" item="1"/>
          <tpl fld="11" item="16"/>
          <tpl fld="12" item="3"/>
          <tpl hier="44" item="2"/>
          <tpl fld="17" item="0"/>
        </tpls>
      </n>
      <n v="185577">
        <tpls c="7">
          <tpl fld="3" item="0"/>
          <tpl fld="16" item="6"/>
          <tpl hier="35" item="1"/>
          <tpl fld="11" item="36"/>
          <tpl fld="12" item="2"/>
          <tpl hier="44" item="2"/>
          <tpl fld="17" item="0"/>
        </tpls>
      </n>
      <m>
        <tpls c="3">
          <tpl fld="2" item="20"/>
          <tpl fld="8" item="5"/>
          <tpl fld="17" item="3"/>
        </tpls>
      </m>
      <n v="1347185">
        <tpls c="7">
          <tpl fld="3" item="0"/>
          <tpl fld="16" item="5"/>
          <tpl hier="35" item="1"/>
          <tpl fld="11" item="8"/>
          <tpl fld="12" item="3"/>
          <tpl hier="44" item="2"/>
          <tpl fld="17" item="0"/>
        </tpls>
      </n>
      <n v="204635">
        <tpls c="6">
          <tpl fld="6" item="3"/>
          <tpl hier="35" item="3"/>
          <tpl fld="11" item="41"/>
          <tpl fld="12" item="2"/>
          <tpl hier="44" item="2"/>
          <tpl fld="17" item="0"/>
        </tpls>
      </n>
      <m>
        <tpls c="3">
          <tpl fld="2" item="1"/>
          <tpl fld="8" item="10"/>
          <tpl fld="17" item="3"/>
        </tpls>
      </m>
      <m>
        <tpls c="7">
          <tpl fld="3" item="1"/>
          <tpl fld="16" item="0"/>
          <tpl hier="35" item="0"/>
          <tpl fld="11" item="5"/>
          <tpl fld="12" item="1"/>
          <tpl hier="44" item="2"/>
          <tpl fld="17" item="0"/>
        </tpls>
      </m>
      <m>
        <tpls c="7">
          <tpl fld="3" item="1"/>
          <tpl fld="16" item="0"/>
          <tpl hier="35" item="0"/>
          <tpl fld="11" item="50"/>
          <tpl fld="12" item="11"/>
          <tpl hier="44" item="2"/>
          <tpl fld="17" item="0"/>
        </tpls>
      </m>
      <n v="24167">
        <tpls c="7">
          <tpl fld="3" item="0"/>
          <tpl fld="16" item="8"/>
          <tpl hier="35" item="1"/>
          <tpl fld="11" item="50"/>
          <tpl fld="12" item="11"/>
          <tpl hier="44" item="2"/>
          <tpl fld="17" item="0"/>
        </tpls>
      </n>
      <n v="72000">
        <tpls c="7">
          <tpl fld="3" item="0"/>
          <tpl hier="10" item="4294967295"/>
          <tpl hier="35" item="1"/>
          <tpl fld="11" item="5"/>
          <tpl fld="12" item="1"/>
          <tpl hier="44" item="2"/>
          <tpl fld="17" item="0"/>
        </tpls>
      </n>
      <m>
        <tpls c="7">
          <tpl fld="3" item="1"/>
          <tpl fld="16" item="2"/>
          <tpl hier="35" item="0"/>
          <tpl fld="11" item="43"/>
          <tpl fld="12" item="3"/>
          <tpl hier="44" item="2"/>
          <tpl fld="17" item="0"/>
        </tpls>
      </m>
      <n v="793">
        <tpls c="7">
          <tpl fld="3" item="0"/>
          <tpl fld="16" item="11"/>
          <tpl hier="35" item="1"/>
          <tpl fld="11" item="30"/>
          <tpl fld="12" item="15"/>
          <tpl hier="44" item="2"/>
          <tpl fld="17" item="0"/>
        </tpls>
      </n>
      <m>
        <tpls c="7">
          <tpl fld="3" item="1"/>
          <tpl hier="10" item="4294967295"/>
          <tpl hier="35" item="0"/>
          <tpl fld="11" item="49"/>
          <tpl fld="12" item="9"/>
          <tpl hier="44" item="2"/>
          <tpl fld="17" item="0"/>
        </tpls>
      </m>
      <n v="1000000">
        <tpls c="6">
          <tpl fld="7" item="2"/>
          <tpl fld="0" item="1"/>
          <tpl fld="11" item="14"/>
          <tpl fld="10" item="2"/>
          <tpl hier="44" item="2"/>
          <tpl fld="17" item="0"/>
        </tpls>
      </n>
      <m>
        <tpls c="6">
          <tpl fld="3" item="1"/>
          <tpl hier="10" item="4294967295"/>
          <tpl hier="35" item="0"/>
          <tpl fld="12" item="18"/>
          <tpl hier="44" item="2"/>
          <tpl fld="17" item="0"/>
        </tpls>
      </m>
      <m>
        <tpls c="6">
          <tpl fld="6" item="1"/>
          <tpl hier="35" item="3"/>
          <tpl fld="11" item="7"/>
          <tpl fld="12" item="4"/>
          <tpl hier="44" item="2"/>
          <tpl fld="17" item="0"/>
        </tpls>
      </m>
      <m>
        <tpls c="6">
          <tpl fld="3" item="1"/>
          <tpl fld="16" item="7"/>
          <tpl hier="35" item="0"/>
          <tpl fld="12" item="4"/>
          <tpl hier="44" item="2"/>
          <tpl fld="17" item="0"/>
        </tpls>
      </m>
      <n v="0">
        <tpls c="7">
          <tpl fld="3" item="0"/>
          <tpl fld="16" item="0"/>
          <tpl hier="35" item="1"/>
          <tpl fld="11" item="32"/>
          <tpl fld="12" item="2"/>
          <tpl hier="44" item="2"/>
          <tpl fld="17" item="0"/>
        </tpls>
      </n>
      <m>
        <tpls c="7">
          <tpl fld="3" item="1"/>
          <tpl fld="16" item="4"/>
          <tpl hier="35" item="0"/>
          <tpl fld="11" item="8"/>
          <tpl fld="12" item="3"/>
          <tpl hier="44" item="2"/>
          <tpl fld="17" item="0"/>
        </tpls>
      </m>
      <n v="72501">
        <tpls c="6">
          <tpl fld="6" item="0"/>
          <tpl hier="35" item="1"/>
          <tpl fld="11" item="50"/>
          <tpl fld="10" item="2"/>
          <tpl hier="44" item="2"/>
          <tpl fld="17" item="0"/>
        </tpls>
      </n>
      <m>
        <tpls c="7">
          <tpl fld="3" item="1"/>
          <tpl hier="10" item="4294967295"/>
          <tpl hier="35" item="0"/>
          <tpl fld="11" item="39"/>
          <tpl fld="12" item="3"/>
          <tpl hier="44" item="2"/>
          <tpl fld="17" item="0"/>
        </tpls>
      </m>
      <n v="921566">
        <tpls c="6">
          <tpl fld="7" item="1"/>
          <tpl fld="0" item="2"/>
          <tpl fld="11" item="39"/>
          <tpl fld="12" item="3"/>
          <tpl hier="44" item="2"/>
          <tpl fld="17" item="0"/>
        </tpls>
      </n>
      <n v="7132244">
        <tpls c="7">
          <tpl fld="7" item="0"/>
          <tpl hier="10" item="4294967295"/>
          <tpl fld="0" item="0"/>
          <tpl fld="11" item="21"/>
          <tpl fld="12" item="10"/>
          <tpl fld="1" item="1"/>
          <tpl fld="17" item="0"/>
        </tpls>
      </n>
      <n v="0">
        <tpls c="7">
          <tpl fld="7" item="0"/>
          <tpl fld="16" item="2"/>
          <tpl fld="0" item="0"/>
          <tpl fld="11" item="76"/>
          <tpl fld="12" item="14"/>
          <tpl fld="1" item="1"/>
          <tpl fld="17" item="0"/>
        </tpls>
      </n>
      <m>
        <tpls c="7">
          <tpl fld="3" item="1"/>
          <tpl fld="16" item="8"/>
          <tpl hier="35" item="0"/>
          <tpl fld="11" item="20"/>
          <tpl fld="12" item="2"/>
          <tpl hier="44" item="2"/>
          <tpl fld="17" item="0"/>
        </tpls>
      </m>
      <m>
        <tpls c="3">
          <tpl fld="2" item="16"/>
          <tpl fld="8" item="1"/>
          <tpl fld="17" item="3"/>
        </tpls>
      </m>
      <n v="6012000">
        <tpls c="7">
          <tpl fld="3" item="0"/>
          <tpl hier="10" item="4294967295"/>
          <tpl hier="35" item="1"/>
          <tpl fld="11" item="16"/>
          <tpl fld="12" item="3"/>
          <tpl hier="44" item="2"/>
          <tpl fld="17" item="0"/>
        </tpls>
      </n>
      <n v="6000">
        <tpls c="7">
          <tpl fld="3" item="0"/>
          <tpl fld="16" item="3"/>
          <tpl hier="35" item="1"/>
          <tpl fld="11" item="5"/>
          <tpl fld="12" item="1"/>
          <tpl hier="44" item="2"/>
          <tpl fld="17" item="0"/>
        </tpls>
      </n>
      <m>
        <tpls c="3">
          <tpl fld="2" item="19"/>
          <tpl fld="8" item="3"/>
          <tpl fld="17" item="3"/>
        </tpls>
      </m>
      <n v="3574993">
        <tpls c="7">
          <tpl fld="3" item="0"/>
          <tpl fld="16" item="0"/>
          <tpl hier="35" item="1"/>
          <tpl fld="11" item="3"/>
          <tpl fld="12" item="2"/>
          <tpl hier="44" item="2"/>
          <tpl fld="17" item="0"/>
        </tpls>
      </n>
      <n v="5378033">
        <tpls c="6">
          <tpl fld="3" item="0"/>
          <tpl fld="16" item="1"/>
          <tpl hier="35" item="1"/>
          <tpl fld="12" item="18"/>
          <tpl hier="44" item="2"/>
          <tpl fld="17" item="0"/>
        </tpls>
      </n>
      <n v="7200">
        <tpls c="6">
          <tpl fld="7" item="2"/>
          <tpl fld="0" item="1"/>
          <tpl fld="11" item="59"/>
          <tpl fld="10" item="3"/>
          <tpl hier="44" item="2"/>
          <tpl fld="17" item="0"/>
        </tpls>
      </n>
      <m>
        <tpls c="6">
          <tpl fld="7" item="0"/>
          <tpl fld="0" item="0"/>
          <tpl fld="11" item="7"/>
          <tpl fld="12" item="4"/>
          <tpl hier="44" item="2"/>
          <tpl fld="17" item="0"/>
        </tpls>
      </m>
      <n v="32226">
        <tpls c="7">
          <tpl fld="7" item="0"/>
          <tpl fld="16" item="5"/>
          <tpl fld="0" item="0"/>
          <tpl fld="11" item="52"/>
          <tpl fld="12" item="20"/>
          <tpl fld="1" item="1"/>
          <tpl fld="17" item="0"/>
        </tpls>
      </n>
      <n v="7820000">
        <tpls c="3">
          <tpl fld="8" item="8"/>
          <tpl hier="22" item="4294967295"/>
          <tpl fld="17" item="3"/>
        </tpls>
      </n>
      <n v="59081004">
        <tpls c="7">
          <tpl fld="7" item="0"/>
          <tpl hier="10" item="4294967295"/>
          <tpl fld="0" item="0"/>
          <tpl fld="11" item="53"/>
          <tpl fld="12" item="14"/>
          <tpl fld="1" item="1"/>
          <tpl fld="17" item="0"/>
        </tpls>
      </n>
      <m>
        <tpls c="3">
          <tpl fld="2" item="8"/>
          <tpl fld="8" item="4"/>
          <tpl fld="17" item="3"/>
        </tpls>
      </m>
      <n v="15632303">
        <tpls c="6">
          <tpl fld="3" item="0"/>
          <tpl fld="16" item="3"/>
          <tpl hier="35" item="1"/>
          <tpl fld="12" item="2"/>
          <tpl hier="44" item="2"/>
          <tpl fld="17" item="0"/>
        </tpls>
      </n>
      <m>
        <tpls c="7">
          <tpl fld="3" item="1"/>
          <tpl fld="16" item="3"/>
          <tpl hier="35" item="0"/>
          <tpl fld="11" item="34"/>
          <tpl fld="12" item="15"/>
          <tpl hier="44" item="2"/>
          <tpl fld="17" item="0"/>
        </tpls>
      </m>
      <m>
        <tpls c="3">
          <tpl fld="5" item="3"/>
          <tpl fld="4" item="2"/>
          <tpl fld="17" item="3"/>
        </tpls>
      </m>
      <m>
        <tpls c="6">
          <tpl fld="3" item="1"/>
          <tpl fld="16" item="9"/>
          <tpl hier="35" item="0"/>
          <tpl fld="12" item="3"/>
          <tpl hier="44" item="2"/>
          <tpl fld="17" item="0"/>
        </tpls>
      </m>
      <n v="0">
        <tpls c="6">
          <tpl fld="7" item="0"/>
          <tpl fld="16" item="8"/>
          <tpl fld="0" item="0"/>
          <tpl fld="12" item="22"/>
          <tpl fld="1" item="1"/>
          <tpl fld="17" item="0"/>
        </tpls>
      </n>
      <m>
        <tpls c="7">
          <tpl fld="3" item="1"/>
          <tpl hier="10" item="4294967295"/>
          <tpl hier="35" item="0"/>
          <tpl fld="11" item="44"/>
          <tpl fld="12" item="3"/>
          <tpl hier="44" item="2"/>
          <tpl fld="17" item="0"/>
        </tpls>
      </m>
      <n v="0">
        <tpls c="7">
          <tpl fld="7" item="0"/>
          <tpl fld="16" item="7"/>
          <tpl fld="0" item="0"/>
          <tpl fld="11" item="75"/>
          <tpl fld="12" item="14"/>
          <tpl fld="1" item="1"/>
          <tpl fld="17" item="0"/>
        </tpls>
      </n>
      <n v="206877">
        <tpls c="6">
          <tpl fld="7" item="0"/>
          <tpl fld="16" item="3"/>
          <tpl fld="0" item="0"/>
          <tpl fld="12" item="20"/>
          <tpl fld="1" item="1"/>
          <tpl fld="17" item="0"/>
        </tpls>
      </n>
      <m>
        <tpls c="7">
          <tpl fld="3" item="1"/>
          <tpl fld="16" item="10"/>
          <tpl hier="35" item="0"/>
          <tpl fld="11" item="48"/>
          <tpl fld="12" item="4"/>
          <tpl hier="44" item="2"/>
          <tpl fld="17" item="0"/>
        </tpls>
      </m>
      <m>
        <tpls c="7">
          <tpl fld="3" item="1"/>
          <tpl fld="16" item="3"/>
          <tpl hier="35" item="0"/>
          <tpl fld="11" item="6"/>
          <tpl fld="12" item="3"/>
          <tpl hier="44" item="2"/>
          <tpl fld="17" item="0"/>
        </tpls>
      </m>
      <n v="244864813">
        <tpls c="6">
          <tpl fld="7" item="2"/>
          <tpl fld="0" item="1"/>
          <tpl fld="11" item="49"/>
          <tpl fld="12" item="9"/>
          <tpl hier="44" item="2"/>
          <tpl fld="17" item="0"/>
        </tpls>
      </n>
      <n v="325000">
        <tpls c="7">
          <tpl fld="3" item="0"/>
          <tpl fld="16" item="0"/>
          <tpl hier="35" item="1"/>
          <tpl fld="11" item="23"/>
          <tpl fld="12" item="11"/>
          <tpl hier="44" item="2"/>
          <tpl fld="17" item="0"/>
        </tpls>
      </n>
      <n v="6012000">
        <tpls c="6">
          <tpl fld="7" item="2"/>
          <tpl fld="0" item="1"/>
          <tpl fld="11" item="16"/>
          <tpl fld="10" item="2"/>
          <tpl hier="44" item="2"/>
          <tpl fld="17" item="0"/>
        </tpls>
      </n>
      <n v="19677430">
        <tpls c="6">
          <tpl fld="3" item="0"/>
          <tpl fld="16" item="9"/>
          <tpl hier="35" item="1"/>
          <tpl fld="12" item="9"/>
          <tpl hier="44" item="2"/>
          <tpl fld="17" item="0"/>
        </tpls>
      </n>
      <m>
        <tpls c="7">
          <tpl fld="3" item="1"/>
          <tpl fld="16" item="9"/>
          <tpl hier="35" item="0"/>
          <tpl fld="11" item="30"/>
          <tpl fld="12" item="15"/>
          <tpl hier="44" item="2"/>
          <tpl fld="17" item="0"/>
        </tpls>
      </m>
      <m>
        <tpls c="3">
          <tpl fld="2" item="6"/>
          <tpl fld="8" item="10"/>
          <tpl fld="17" item="3"/>
        </tpls>
      </m>
      <m>
        <tpls c="7">
          <tpl fld="3" item="0"/>
          <tpl fld="16" item="10"/>
          <tpl hier="35" item="1"/>
          <tpl fld="11" item="26"/>
          <tpl fld="12" item="2"/>
          <tpl hier="44" item="2"/>
          <tpl fld="17" item="0"/>
        </tpls>
      </m>
      <n v="98619">
        <tpls c="7">
          <tpl fld="3" item="0"/>
          <tpl fld="16" item="2"/>
          <tpl hier="35" item="1"/>
          <tpl fld="11" item="54"/>
          <tpl fld="12" item="4"/>
          <tpl hier="44" item="2"/>
          <tpl fld="17" item="0"/>
        </tpls>
      </n>
      <m>
        <tpls c="3">
          <tpl fld="2" item="18"/>
          <tpl fld="8" item="8"/>
          <tpl fld="17" item="3"/>
        </tpls>
      </m>
      <n v="3941555">
        <tpls c="6">
          <tpl fld="6" item="2"/>
          <tpl hier="35" item="1"/>
          <tpl fld="11" item="8"/>
          <tpl fld="10" item="2"/>
          <tpl hier="44" item="2"/>
          <tpl fld="17" item="0"/>
        </tpls>
      </n>
      <m>
        <tpls c="6">
          <tpl fld="3" item="1"/>
          <tpl fld="16" item="10"/>
          <tpl hier="35" item="0"/>
          <tpl fld="12" item="2"/>
          <tpl hier="44" item="2"/>
          <tpl fld="17" item="0"/>
        </tpls>
      </m>
      <n v="162977979">
        <tpls c="6">
          <tpl fld="7" item="0"/>
          <tpl fld="16" item="0"/>
          <tpl fld="0" item="0"/>
          <tpl fld="12" item="14"/>
          <tpl fld="1" item="1"/>
          <tpl fld="17" item="0"/>
        </tpls>
      </n>
      <n v="0">
        <tpls c="7">
          <tpl fld="7" item="0"/>
          <tpl fld="16" item="8"/>
          <tpl fld="0" item="0"/>
          <tpl fld="11" item="63"/>
          <tpl fld="12" item="13"/>
          <tpl fld="1" item="1"/>
          <tpl fld="17" item="0"/>
        </tpls>
      </n>
      <m>
        <tpls c="6">
          <tpl fld="6" item="0"/>
          <tpl hier="35" item="3"/>
          <tpl fld="11" item="4"/>
          <tpl fld="12" item="1"/>
          <tpl hier="44" item="2"/>
          <tpl fld="17" item="0"/>
        </tpls>
      </m>
      <n v="-1545322">
        <tpls c="7">
          <tpl fld="7" item="0"/>
          <tpl fld="16" item="11"/>
          <tpl fld="0" item="0"/>
          <tpl fld="11" item="47"/>
          <tpl fld="12" item="10"/>
          <tpl fld="1" item="1"/>
          <tpl fld="17" item="0"/>
        </tpls>
      </n>
      <n v="110780">
        <tpls c="7">
          <tpl fld="3" item="0"/>
          <tpl fld="16" item="0"/>
          <tpl hier="35" item="1"/>
          <tpl fld="11" item="36"/>
          <tpl fld="12" item="2"/>
          <tpl hier="44" item="2"/>
          <tpl fld="17" item="0"/>
        </tpls>
      </n>
      <m>
        <tpls c="3">
          <tpl fld="2" item="10"/>
          <tpl fld="8" item="5"/>
          <tpl fld="17" item="3"/>
        </tpls>
      </m>
      <n v="22726">
        <tpls c="7">
          <tpl fld="3" item="0"/>
          <tpl fld="16" item="3"/>
          <tpl hier="35" item="1"/>
          <tpl fld="11" item="32"/>
          <tpl fld="12" item="2"/>
          <tpl hier="44" item="2"/>
          <tpl fld="17" item="0"/>
        </tpls>
      </n>
      <m>
        <tpls c="3">
          <tpl fld="2" item="21"/>
          <tpl fld="8" item="5"/>
          <tpl fld="17" item="3"/>
        </tpls>
      </m>
      <m>
        <tpls c="7">
          <tpl fld="3" item="1"/>
          <tpl fld="16" item="10"/>
          <tpl hier="35" item="0"/>
          <tpl fld="11" item="23"/>
          <tpl fld="12" item="11"/>
          <tpl hier="44" item="2"/>
          <tpl fld="17" item="0"/>
        </tpls>
      </m>
      <m>
        <tpls c="6">
          <tpl fld="3" item="1"/>
          <tpl fld="16" item="10"/>
          <tpl hier="35" item="0"/>
          <tpl fld="12" item="4"/>
          <tpl hier="44" item="2"/>
          <tpl fld="17" item="0"/>
        </tpls>
      </m>
      <m>
        <tpls c="3">
          <tpl fld="2" item="4"/>
          <tpl fld="8" item="9"/>
          <tpl fld="17" item="3"/>
        </tpls>
      </m>
      <n v="-10614">
        <tpls c="6">
          <tpl fld="7" item="0"/>
          <tpl fld="16" item="3"/>
          <tpl fld="0" item="0"/>
          <tpl fld="12" item="7"/>
          <tpl fld="1" item="1"/>
          <tpl fld="17" item="0"/>
        </tpls>
      </n>
      <n v="450000">
        <tpls c="7">
          <tpl fld="3" item="0"/>
          <tpl fld="16" item="11"/>
          <tpl hier="35" item="1"/>
          <tpl fld="11" item="23"/>
          <tpl fld="12" item="11"/>
          <tpl hier="44" item="2"/>
          <tpl fld="17" item="0"/>
        </tpls>
      </n>
      <m>
        <tpls c="6">
          <tpl fld="3" item="1"/>
          <tpl fld="16" item="0"/>
          <tpl hier="35" item="0"/>
          <tpl fld="12" item="3"/>
          <tpl hier="44" item="2"/>
          <tpl fld="17" item="0"/>
        </tpls>
      </m>
      <m>
        <tpls c="7">
          <tpl fld="3" item="0"/>
          <tpl fld="16" item="6"/>
          <tpl hier="35" item="1"/>
          <tpl fld="11" item="4"/>
          <tpl fld="12" item="1"/>
          <tpl hier="44" item="2"/>
          <tpl fld="17" item="0"/>
        </tpls>
      </m>
      <n v="0">
        <tpls c="7">
          <tpl fld="7" item="0"/>
          <tpl fld="16" item="7"/>
          <tpl fld="0" item="0"/>
          <tpl fld="11" item="73"/>
          <tpl fld="12" item="0"/>
          <tpl fld="1" item="1"/>
          <tpl fld="17" item="0"/>
        </tpls>
      </n>
      <n v="0">
        <tpls c="7">
          <tpl fld="7" item="0"/>
          <tpl fld="16" item="7"/>
          <tpl fld="0" item="0"/>
          <tpl fld="11" item="65"/>
          <tpl fld="12" item="12"/>
          <tpl fld="1" item="1"/>
          <tpl fld="17" item="0"/>
        </tpls>
      </n>
      <n v="84602">
        <tpls c="7">
          <tpl fld="3" item="0"/>
          <tpl fld="16" item="0"/>
          <tpl hier="35" item="1"/>
          <tpl fld="11" item="19"/>
          <tpl fld="12" item="2"/>
          <tpl hier="44" item="2"/>
          <tpl fld="17" item="0"/>
        </tpls>
      </n>
      <m>
        <tpls c="7">
          <tpl fld="3" item="1"/>
          <tpl fld="16" item="2"/>
          <tpl hier="35" item="0"/>
          <tpl fld="11" item="18"/>
          <tpl fld="12" item="2"/>
          <tpl hier="44" item="2"/>
          <tpl fld="17" item="0"/>
        </tpls>
      </m>
      <m>
        <tpls c="7">
          <tpl fld="7" item="0"/>
          <tpl hier="10" item="4294967295"/>
          <tpl fld="0" item="0"/>
          <tpl fld="11" item="61"/>
          <tpl fld="12" item="7"/>
          <tpl fld="1" item="1"/>
          <tpl fld="17" item="0"/>
        </tpls>
      </m>
      <m>
        <tpls c="7">
          <tpl fld="3" item="1"/>
          <tpl fld="16" item="6"/>
          <tpl hier="35" item="0"/>
          <tpl fld="11" item="16"/>
          <tpl fld="12" item="3"/>
          <tpl hier="44" item="2"/>
          <tpl fld="17" item="0"/>
        </tpls>
      </m>
      <m>
        <tpls c="7">
          <tpl fld="3" item="1"/>
          <tpl fld="16" item="7"/>
          <tpl hier="35" item="0"/>
          <tpl fld="11" item="19"/>
          <tpl fld="12" item="2"/>
          <tpl hier="44" item="2"/>
          <tpl fld="17" item="0"/>
        </tpls>
      </m>
      <m>
        <tpls c="7">
          <tpl fld="3" item="1"/>
          <tpl fld="16" item="6"/>
          <tpl hier="35" item="0"/>
          <tpl fld="11" item="18"/>
          <tpl fld="12" item="2"/>
          <tpl hier="44" item="2"/>
          <tpl fld="17" item="0"/>
        </tpls>
      </m>
      <n v="195">
        <tpls c="7">
          <tpl fld="3" item="0"/>
          <tpl fld="16" item="4"/>
          <tpl hier="35" item="1"/>
          <tpl fld="11" item="30"/>
          <tpl fld="12" item="15"/>
          <tpl hier="44" item="2"/>
          <tpl fld="17" item="0"/>
        </tpls>
      </n>
      <m>
        <tpls c="3">
          <tpl fld="2" item="7"/>
          <tpl fld="8" item="2"/>
          <tpl fld="17" item="3"/>
        </tpls>
      </m>
      <m>
        <tpls c="7">
          <tpl fld="3" item="1"/>
          <tpl fld="16" item="2"/>
          <tpl hier="35" item="0"/>
          <tpl fld="11" item="54"/>
          <tpl fld="12" item="4"/>
          <tpl hier="44" item="2"/>
          <tpl fld="17" item="0"/>
        </tpls>
      </m>
      <m>
        <tpls c="7">
          <tpl fld="3" item="1"/>
          <tpl fld="16" item="9"/>
          <tpl hier="35" item="0"/>
          <tpl fld="11" item="37"/>
          <tpl fld="12" item="11"/>
          <tpl hier="44" item="2"/>
          <tpl fld="17" item="0"/>
        </tpls>
      </m>
      <m>
        <tpls c="7">
          <tpl fld="3" item="1"/>
          <tpl fld="16" item="3"/>
          <tpl hier="35" item="0"/>
          <tpl fld="11" item="36"/>
          <tpl fld="12" item="2"/>
          <tpl hier="44" item="2"/>
          <tpl fld="17" item="0"/>
        </tpls>
      </m>
      <m>
        <tpls c="7">
          <tpl fld="3" item="1"/>
          <tpl hier="10" item="4294967295"/>
          <tpl hier="35" item="0"/>
          <tpl fld="11" item="32"/>
          <tpl fld="12" item="2"/>
          <tpl hier="44" item="2"/>
          <tpl fld="17" item="0"/>
        </tpls>
      </m>
      <m>
        <tpls c="3">
          <tpl fld="2" item="4"/>
          <tpl fld="8" item="0"/>
          <tpl fld="17" item="3"/>
        </tpls>
      </m>
      <m>
        <tpls c="7">
          <tpl fld="3" item="1"/>
          <tpl fld="16" item="3"/>
          <tpl hier="35" item="0"/>
          <tpl fld="11" item="25"/>
          <tpl fld="12" item="2"/>
          <tpl hier="44" item="2"/>
          <tpl fld="17" item="0"/>
        </tpls>
      </m>
      <n v="-1607354">
        <tpls c="7">
          <tpl fld="7" item="0"/>
          <tpl fld="16" item="8"/>
          <tpl fld="0" item="0"/>
          <tpl fld="11" item="47"/>
          <tpl fld="12" item="10"/>
          <tpl fld="1" item="1"/>
          <tpl fld="17" item="0"/>
        </tpls>
      </n>
      <n v="19713185">
        <tpls c="7">
          <tpl fld="3" item="0"/>
          <tpl fld="16" item="7"/>
          <tpl hier="35" item="1"/>
          <tpl fld="11" item="49"/>
          <tpl fld="12" item="9"/>
          <tpl hier="44" item="2"/>
          <tpl fld="17" item="0"/>
        </tpls>
      </n>
      <m>
        <tpls c="7">
          <tpl fld="3" item="1"/>
          <tpl fld="16" item="5"/>
          <tpl hier="35" item="0"/>
          <tpl fld="11" item="10"/>
          <tpl fld="12" item="3"/>
          <tpl hier="44" item="2"/>
          <tpl fld="17" item="0"/>
        </tpls>
      </m>
      <m>
        <tpls c="7">
          <tpl fld="3" item="1"/>
          <tpl fld="16" item="5"/>
          <tpl hier="35" item="0"/>
          <tpl fld="11" item="20"/>
          <tpl fld="12" item="2"/>
          <tpl hier="44" item="2"/>
          <tpl fld="17" item="0"/>
        </tpls>
      </m>
      <n v="10134688">
        <tpls c="6">
          <tpl fld="7" item="3"/>
          <tpl fld="0" item="2"/>
          <tpl fld="11" item="76"/>
          <tpl fld="12" item="14"/>
          <tpl fld="1" item="1"/>
          <tpl fld="17" item="0"/>
        </tpls>
      </n>
      <n v="0">
        <tpls c="7">
          <tpl fld="7" item="0"/>
          <tpl fld="16" item="7"/>
          <tpl fld="0" item="0"/>
          <tpl fld="11" item="45"/>
          <tpl fld="12" item="7"/>
          <tpl fld="1" item="1"/>
          <tpl fld="17" item="0"/>
        </tpls>
      </n>
      <m>
        <tpls c="7">
          <tpl fld="3" item="1"/>
          <tpl fld="16" item="11"/>
          <tpl hier="35" item="0"/>
          <tpl fld="11" item="3"/>
          <tpl fld="12" item="2"/>
          <tpl hier="44" item="2"/>
          <tpl fld="17" item="0"/>
        </tpls>
      </m>
      <m>
        <tpls c="6">
          <tpl fld="3" item="1"/>
          <tpl fld="16" item="4"/>
          <tpl hier="35" item="0"/>
          <tpl fld="12" item="21"/>
          <tpl hier="44" item="2"/>
          <tpl fld="17" item="0"/>
        </tpls>
      </m>
      <n v="218748">
        <tpls c="6">
          <tpl fld="6" item="0"/>
          <tpl hier="35" item="3"/>
          <tpl fld="11" item="14"/>
          <tpl fld="12" item="3"/>
          <tpl hier="44" item="2"/>
          <tpl fld="17" item="0"/>
        </tpls>
      </n>
      <m>
        <tpls c="6">
          <tpl fld="3" item="1"/>
          <tpl fld="16" item="5"/>
          <tpl hier="35" item="0"/>
          <tpl fld="12" item="4"/>
          <tpl hier="44" item="2"/>
          <tpl fld="17" item="0"/>
        </tpls>
      </m>
      <n v="33366">
        <tpls c="7">
          <tpl fld="3" item="0"/>
          <tpl fld="16" item="8"/>
          <tpl hier="35" item="1"/>
          <tpl fld="11" item="17"/>
          <tpl fld="12" item="3"/>
          <tpl hier="44" item="2"/>
          <tpl fld="17" item="0"/>
        </tpls>
      </n>
      <n v="-1528">
        <tpls c="7">
          <tpl fld="7" item="0"/>
          <tpl fld="16" item="1"/>
          <tpl fld="0" item="0"/>
          <tpl fld="11" item="71"/>
          <tpl fld="12" item="13"/>
          <tpl fld="1" item="1"/>
          <tpl fld="17" item="0"/>
        </tpls>
      </n>
      <n v="191">
        <tpls c="6">
          <tpl fld="3" item="0"/>
          <tpl fld="16" item="2"/>
          <tpl hier="35" item="1"/>
          <tpl fld="12" item="15"/>
          <tpl hier="44" item="2"/>
          <tpl fld="17" item="0"/>
        </tpls>
      </n>
      <n v="0">
        <tpls c="6">
          <tpl fld="6" item="0"/>
          <tpl hier="35" item="3"/>
          <tpl fld="11" item="48"/>
          <tpl fld="12" item="4"/>
          <tpl hier="44" item="2"/>
          <tpl fld="17" item="0"/>
        </tpls>
      </n>
      <n v="0">
        <tpls c="6">
          <tpl fld="7" item="0"/>
          <tpl fld="16" item="7"/>
          <tpl fld="0" item="0"/>
          <tpl fld="12" item="8"/>
          <tpl fld="1" item="1"/>
          <tpl fld="17" item="0"/>
        </tpls>
      </n>
      <m>
        <tpls c="7">
          <tpl fld="3" item="1"/>
          <tpl fld="16" item="4"/>
          <tpl hier="35" item="0"/>
          <tpl fld="11" item="44"/>
          <tpl fld="12" item="3"/>
          <tpl hier="44" item="2"/>
          <tpl fld="17" item="0"/>
        </tpls>
      </m>
      <n v="36413">
        <tpls c="6">
          <tpl fld="7" item="1"/>
          <tpl fld="0" item="2"/>
          <tpl fld="11" item="25"/>
          <tpl fld="10" item="0"/>
          <tpl hier="44" item="2"/>
          <tpl fld="17" item="0"/>
        </tpls>
      </n>
      <m>
        <tpls c="3">
          <tpl fld="2" item="19"/>
          <tpl fld="8" item="10"/>
          <tpl fld="17" item="3"/>
        </tpls>
      </m>
      <n v="600">
        <tpls c="6">
          <tpl fld="3" item="0"/>
          <tpl fld="16" item="4"/>
          <tpl hier="35" item="1"/>
          <tpl fld="12" item="21"/>
          <tpl hier="44" item="2"/>
          <tpl fld="17" item="0"/>
        </tpls>
      </n>
      <n v="67957522">
        <tpls c="5">
          <tpl fld="6" item="1"/>
          <tpl hier="35" item="3"/>
          <tpl fld="12" item="9"/>
          <tpl hier="44" item="2"/>
          <tpl fld="17" item="0"/>
        </tpls>
      </n>
      <n v="19750843">
        <tpls c="7">
          <tpl fld="3" item="0"/>
          <tpl fld="16" item="5"/>
          <tpl hier="35" item="1"/>
          <tpl fld="11" item="49"/>
          <tpl fld="12" item="9"/>
          <tpl hier="44" item="2"/>
          <tpl fld="17" item="0"/>
        </tpls>
      </n>
      <n v="19471">
        <tpls c="7">
          <tpl fld="3" item="0"/>
          <tpl fld="16" item="11"/>
          <tpl hier="35" item="1"/>
          <tpl fld="11" item="11"/>
          <tpl fld="12" item="2"/>
          <tpl hier="44" item="2"/>
          <tpl fld="17" item="0"/>
        </tpls>
      </n>
      <n v="312501">
        <tpls c="6">
          <tpl fld="6" item="3"/>
          <tpl hier="35" item="3"/>
          <tpl fld="11" item="43"/>
          <tpl fld="12" item="3"/>
          <tpl hier="44" item="2"/>
          <tpl fld="17" item="0"/>
        </tpls>
      </n>
      <n v="-2027767">
        <tpls c="7">
          <tpl fld="7" item="0"/>
          <tpl fld="16" item="6"/>
          <tpl fld="0" item="0"/>
          <tpl fld="11" item="28"/>
          <tpl fld="12" item="13"/>
          <tpl fld="1" item="1"/>
          <tpl fld="17" item="0"/>
        </tpls>
      </n>
      <m>
        <tpls c="7">
          <tpl fld="3" item="0"/>
          <tpl hier="10" item="4294967295"/>
          <tpl hier="35" item="1"/>
          <tpl fld="11" item="4"/>
          <tpl fld="12" item="1"/>
          <tpl hier="44" item="2"/>
          <tpl fld="17" item="0"/>
        </tpls>
      </m>
      <m>
        <tpls c="7">
          <tpl fld="3" item="1"/>
          <tpl fld="16" item="8"/>
          <tpl hier="35" item="0"/>
          <tpl fld="11" item="43"/>
          <tpl fld="12" item="3"/>
          <tpl hier="44" item="2"/>
          <tpl fld="17" item="0"/>
        </tpls>
      </m>
      <m>
        <tpls c="7">
          <tpl fld="3" item="1"/>
          <tpl fld="16" item="10"/>
          <tpl hier="35" item="0"/>
          <tpl fld="11" item="26"/>
          <tpl fld="12" item="2"/>
          <tpl hier="44" item="2"/>
          <tpl fld="17" item="0"/>
        </tpls>
      </m>
      <m>
        <tpls c="3">
          <tpl fld="2" item="8"/>
          <tpl fld="8" item="6"/>
          <tpl fld="17" item="3"/>
        </tpls>
      </m>
      <n v="-1480">
        <tpls c="7">
          <tpl fld="7" item="0"/>
          <tpl fld="16" item="1"/>
          <tpl fld="0" item="0"/>
          <tpl fld="11" item="74"/>
          <tpl fld="12" item="16"/>
          <tpl fld="1" item="1"/>
          <tpl fld="17" item="0"/>
        </tpls>
      </n>
      <n v="72917">
        <tpls c="7">
          <tpl fld="3" item="0"/>
          <tpl fld="16" item="11"/>
          <tpl hier="35" item="1"/>
          <tpl fld="11" item="14"/>
          <tpl fld="12" item="3"/>
          <tpl hier="44" item="2"/>
          <tpl fld="17" item="0"/>
        </tpls>
      </n>
      <n v="58957846">
        <tpls c="6">
          <tpl fld="6" item="2"/>
          <tpl hier="35" item="1"/>
          <tpl fld="11" item="49"/>
          <tpl fld="10" item="2"/>
          <tpl hier="44" item="2"/>
          <tpl fld="17" item="0"/>
        </tpls>
      </n>
      <n v="0">
        <tpls c="7">
          <tpl fld="7" item="0"/>
          <tpl fld="16" item="5"/>
          <tpl fld="0" item="0"/>
          <tpl fld="11" item="21"/>
          <tpl fld="12" item="10"/>
          <tpl fld="1" item="1"/>
          <tpl fld="17" item="0"/>
        </tpls>
      </n>
      <n v="186241">
        <tpls c="6">
          <tpl fld="7" item="0"/>
          <tpl fld="16" item="11"/>
          <tpl fld="0" item="0"/>
          <tpl fld="12" item="20"/>
          <tpl fld="1" item="1"/>
          <tpl fld="17" item="0"/>
        </tpls>
      </n>
      <n v="1034193">
        <tpls c="7">
          <tpl fld="3" item="0"/>
          <tpl hier="10" item="4294967295"/>
          <tpl hier="35" item="1"/>
          <tpl fld="11" item="41"/>
          <tpl fld="12" item="2"/>
          <tpl hier="44" item="2"/>
          <tpl fld="17" item="0"/>
        </tpls>
      </n>
      <m>
        <tpls c="7">
          <tpl fld="3" item="1"/>
          <tpl fld="16" item="2"/>
          <tpl hier="35" item="0"/>
          <tpl fld="11" item="6"/>
          <tpl fld="12" item="3"/>
          <tpl hier="44" item="2"/>
          <tpl fld="17" item="0"/>
        </tpls>
      </m>
      <m>
        <tpls c="7">
          <tpl fld="3" item="1"/>
          <tpl fld="16" item="6"/>
          <tpl hier="35" item="0"/>
          <tpl fld="11" item="25"/>
          <tpl fld="12" item="2"/>
          <tpl hier="44" item="2"/>
          <tpl fld="17" item="0"/>
        </tpls>
      </m>
      <m>
        <tpls c="7">
          <tpl fld="3" item="1"/>
          <tpl hier="10" item="4294967295"/>
          <tpl hier="35" item="0"/>
          <tpl fld="11" item="23"/>
          <tpl fld="12" item="11"/>
          <tpl hier="44" item="2"/>
          <tpl fld="17" item="0"/>
        </tpls>
      </m>
      <n v="197960">
        <tpls c="7">
          <tpl fld="3" item="0"/>
          <tpl fld="16" item="7"/>
          <tpl hier="35" item="1"/>
          <tpl fld="11" item="36"/>
          <tpl fld="12" item="2"/>
          <tpl hier="44" item="2"/>
          <tpl fld="17" item="0"/>
        </tpls>
      </n>
      <n v="620078">
        <tpls c="6">
          <tpl fld="7" item="0"/>
          <tpl fld="16" item="8"/>
          <tpl fld="0" item="0"/>
          <tpl fld="12" item="10"/>
          <tpl fld="1" item="1"/>
          <tpl fld="17" item="0"/>
        </tpls>
      </n>
      <n v="236483">
        <tpls c="6">
          <tpl fld="7" item="2"/>
          <tpl fld="0" item="1"/>
          <tpl fld="11" item="32"/>
          <tpl fld="10" item="0"/>
          <tpl hier="44" item="2"/>
          <tpl fld="17" item="0"/>
        </tpls>
      </n>
      <n v="600">
        <tpls c="6">
          <tpl fld="3" item="0"/>
          <tpl fld="16" item="8"/>
          <tpl hier="35" item="1"/>
          <tpl fld="12" item="21"/>
          <tpl hier="44" item="2"/>
          <tpl fld="17" item="0"/>
        </tpls>
      </n>
      <n v="30000">
        <tpls c="7">
          <tpl fld="3" item="0"/>
          <tpl fld="16" item="6"/>
          <tpl hier="35" item="1"/>
          <tpl fld="11" item="31"/>
          <tpl fld="12" item="3"/>
          <tpl hier="44" item="2"/>
          <tpl fld="17" item="0"/>
        </tpls>
      </n>
      <n v="17829000">
        <tpls c="3">
          <tpl fld="8" item="1"/>
          <tpl fld="4" item="1"/>
          <tpl fld="17" item="3"/>
        </tpls>
      </n>
      <n v="1661917">
        <tpls c="6">
          <tpl fld="3" item="0"/>
          <tpl fld="16" item="7"/>
          <tpl hier="35" item="1"/>
          <tpl fld="12" item="11"/>
          <tpl hier="44" item="2"/>
          <tpl fld="17" item="0"/>
        </tpls>
      </n>
      <n v="1250004">
        <tpls c="6">
          <tpl fld="7" item="2"/>
          <tpl fld="0" item="1"/>
          <tpl fld="11" item="43"/>
          <tpl fld="10" item="2"/>
          <tpl hier="44" item="2"/>
          <tpl fld="17" item="0"/>
        </tpls>
      </n>
      <m>
        <tpls c="7">
          <tpl fld="3" item="1"/>
          <tpl fld="16" item="4"/>
          <tpl hier="35" item="0"/>
          <tpl fld="11" item="17"/>
          <tpl fld="12" item="3"/>
          <tpl hier="44" item="2"/>
          <tpl fld="17" item="0"/>
        </tpls>
      </m>
      <n v="418525">
        <tpls c="7">
          <tpl fld="3" item="0"/>
          <tpl fld="16" item="1"/>
          <tpl hier="35" item="1"/>
          <tpl fld="11" item="22"/>
          <tpl fld="12" item="4"/>
          <tpl hier="44" item="2"/>
          <tpl fld="17" item="0"/>
        </tpls>
      </n>
      <n v="126875">
        <tpls c="3">
          <tpl fld="9" item="11"/>
          <tpl fld="15" item="3"/>
          <tpl fld="17" item="2"/>
        </tpls>
      </n>
      <m>
        <tpls c="7">
          <tpl fld="3" item="1"/>
          <tpl fld="16" item="0"/>
          <tpl hier="35" item="0"/>
          <tpl fld="11" item="6"/>
          <tpl fld="12" item="3"/>
          <tpl hier="44" item="2"/>
          <tpl fld="17" item="0"/>
        </tpls>
      </m>
      <m>
        <tpls c="7">
          <tpl fld="3" item="1"/>
          <tpl fld="16" item="7"/>
          <tpl hier="35" item="0"/>
          <tpl fld="11" item="49"/>
          <tpl fld="12" item="9"/>
          <tpl hier="44" item="2"/>
          <tpl fld="17" item="0"/>
        </tpls>
      </m>
      <n v="461000">
        <tpls c="7">
          <tpl fld="3" item="0"/>
          <tpl fld="16" item="0"/>
          <tpl hier="35" item="1"/>
          <tpl fld="11" item="16"/>
          <tpl fld="12" item="3"/>
          <tpl hier="44" item="2"/>
          <tpl fld="17" item="0"/>
        </tpls>
      </n>
      <n v="15720000">
        <tpls c="7">
          <tpl fld="3" item="0"/>
          <tpl hier="10" item="4294967295"/>
          <tpl hier="35" item="1"/>
          <tpl fld="11" item="37"/>
          <tpl fld="12" item="11"/>
          <tpl hier="44" item="2"/>
          <tpl fld="17" item="0"/>
        </tpls>
      </n>
      <n v="6518">
        <tpls c="7">
          <tpl fld="7" item="0"/>
          <tpl fld="16" item="11"/>
          <tpl fld="0" item="0"/>
          <tpl fld="11" item="57"/>
          <tpl fld="12" item="7"/>
          <tpl fld="1" item="1"/>
          <tpl fld="17" item="0"/>
        </tpls>
      </n>
      <n v="-40597">
        <tpls c="7">
          <tpl fld="7" item="0"/>
          <tpl fld="16" item="6"/>
          <tpl fld="0" item="0"/>
          <tpl fld="11" item="42"/>
          <tpl fld="12" item="16"/>
          <tpl fld="1" item="1"/>
          <tpl fld="17" item="0"/>
        </tpls>
      </n>
      <n v="20439944">
        <tpls c="6">
          <tpl fld="3" item="0"/>
          <tpl fld="16" item="6"/>
          <tpl hier="35" item="1"/>
          <tpl fld="12" item="2"/>
          <tpl hier="44" item="2"/>
          <tpl fld="17" item="0"/>
        </tpls>
      </n>
      <n v="97750">
        <tpls c="7">
          <tpl fld="3" item="0"/>
          <tpl fld="16" item="3"/>
          <tpl hier="35" item="1"/>
          <tpl fld="11" item="39"/>
          <tpl fld="12" item="3"/>
          <tpl hier="44" item="2"/>
          <tpl fld="17" item="0"/>
        </tpls>
      </n>
      <n v="1443934">
        <tpls c="7">
          <tpl fld="3" item="0"/>
          <tpl fld="16" item="2"/>
          <tpl hier="35" item="1"/>
          <tpl fld="11" item="6"/>
          <tpl fld="12" item="3"/>
          <tpl hier="44" item="2"/>
          <tpl fld="17" item="0"/>
        </tpls>
      </n>
      <n v="406156412">
        <tpls c="6">
          <tpl fld="7" item="3"/>
          <tpl fld="0" item="2"/>
          <tpl fld="11" item="66"/>
          <tpl fld="12" item="13"/>
          <tpl fld="1" item="1"/>
          <tpl fld="17" item="0"/>
        </tpls>
      </n>
      <m>
        <tpls c="3">
          <tpl fld="2" item="21"/>
          <tpl fld="8" item="8"/>
          <tpl fld="17" item="3"/>
        </tpls>
      </m>
      <n v="158832144">
        <tpls c="6">
          <tpl fld="7" item="1"/>
          <tpl fld="0" item="2"/>
          <tpl fld="11" item="3"/>
          <tpl fld="12" item="2"/>
          <tpl hier="44" item="2"/>
          <tpl fld="17" item="0"/>
        </tpls>
      </n>
      <n v="0">
        <tpls c="7">
          <tpl fld="7" item="0"/>
          <tpl hier="10" item="4294967295"/>
          <tpl fld="0" item="0"/>
          <tpl fld="11" item="13"/>
          <tpl fld="12" item="5"/>
          <tpl fld="1" item="1"/>
          <tpl fld="17" item="0"/>
        </tpls>
      </n>
      <n v="6000">
        <tpls c="7">
          <tpl fld="3" item="0"/>
          <tpl fld="16" item="8"/>
          <tpl hier="35" item="1"/>
          <tpl fld="11" item="5"/>
          <tpl fld="12" item="1"/>
          <tpl hier="44" item="2"/>
          <tpl fld="17" item="0"/>
        </tpls>
      </n>
      <m>
        <tpls c="7">
          <tpl fld="3" item="1"/>
          <tpl fld="16" item="11"/>
          <tpl hier="35" item="0"/>
          <tpl fld="11" item="26"/>
          <tpl fld="12" item="2"/>
          <tpl hier="44" item="2"/>
          <tpl fld="17" item="0"/>
        </tpls>
      </m>
      <n v="1820000">
        <tpls c="3">
          <tpl fld="8" item="0"/>
          <tpl fld="4" item="3"/>
          <tpl fld="17" item="3"/>
        </tpls>
      </n>
      <n v="10261987">
        <tpls c="6">
          <tpl fld="6" item="3"/>
          <tpl hier="35" item="1"/>
          <tpl fld="11" item="35"/>
          <tpl fld="10" item="0"/>
          <tpl hier="44" item="2"/>
          <tpl fld="17" item="0"/>
        </tpls>
      </n>
      <n v="5596305">
        <tpls c="6">
          <tpl fld="7" item="0"/>
          <tpl fld="0" item="0"/>
          <tpl fld="11" item="33"/>
          <tpl fld="10" item="2"/>
          <tpl hier="44" item="2"/>
          <tpl fld="17" item="0"/>
        </tpls>
      </n>
      <n v="396021">
        <tpls c="3">
          <tpl fld="9" item="0"/>
          <tpl fld="15" item="2"/>
          <tpl fld="17" item="2"/>
        </tpls>
      </n>
      <n v="223819">
        <tpls c="6">
          <tpl fld="7" item="0"/>
          <tpl fld="0" item="0"/>
          <tpl fld="11" item="32"/>
          <tpl fld="10" item="0"/>
          <tpl hier="44" item="2"/>
          <tpl fld="17" item="0"/>
        </tpls>
      </n>
      <n v="0">
        <tpls c="6">
          <tpl fld="7" item="0"/>
          <tpl fld="16" item="6"/>
          <tpl fld="0" item="0"/>
          <tpl fld="12" item="8"/>
          <tpl fld="1" item="1"/>
          <tpl fld="17" item="0"/>
        </tpls>
      </n>
      <n v="312501">
        <tpls c="6">
          <tpl fld="6" item="1"/>
          <tpl hier="35" item="3"/>
          <tpl fld="11" item="43"/>
          <tpl fld="12" item="3"/>
          <tpl hier="44" item="2"/>
          <tpl fld="17" item="0"/>
        </tpls>
      </n>
      <n v="793">
        <tpls c="7">
          <tpl fld="3" item="0"/>
          <tpl fld="16" item="4"/>
          <tpl hier="35" item="1"/>
          <tpl fld="11" item="54"/>
          <tpl fld="12" item="4"/>
          <tpl hier="44" item="2"/>
          <tpl fld="17" item="0"/>
        </tpls>
      </n>
      <n v="30000">
        <tpls c="7">
          <tpl fld="3" item="0"/>
          <tpl fld="16" item="9"/>
          <tpl hier="35" item="1"/>
          <tpl fld="11" item="31"/>
          <tpl fld="12" item="3"/>
          <tpl hier="44" item="2"/>
          <tpl fld="17" item="0"/>
        </tpls>
      </n>
      <n v="400400">
        <tpls c="6">
          <tpl fld="7" item="2"/>
          <tpl fld="0" item="1"/>
          <tpl fld="11" item="17"/>
          <tpl fld="12" item="3"/>
          <tpl hier="44" item="2"/>
          <tpl fld="17" item="0"/>
        </tpls>
      </n>
      <n v="593117348">
        <tpls c="6">
          <tpl fld="7" item="0"/>
          <tpl fld="16" item="0"/>
          <tpl fld="0" item="0"/>
          <tpl fld="12" item="13"/>
          <tpl fld="1" item="1"/>
          <tpl fld="17" item="0"/>
        </tpls>
      </n>
      <m>
        <tpls c="7">
          <tpl fld="3" item="1"/>
          <tpl fld="16" item="0"/>
          <tpl hier="35" item="0"/>
          <tpl fld="11" item="32"/>
          <tpl fld="12" item="2"/>
          <tpl hier="44" item="2"/>
          <tpl fld="17" item="0"/>
        </tpls>
      </m>
      <n v="271608">
        <tpls c="6">
          <tpl fld="7" item="2"/>
          <tpl fld="0" item="1"/>
          <tpl fld="11" item="11"/>
          <tpl fld="12" item="2"/>
          <tpl hier="44" item="2"/>
          <tpl fld="17" item="0"/>
        </tpls>
      </n>
      <n v="1437666">
        <tpls c="7">
          <tpl fld="3" item="0"/>
          <tpl fld="16" item="8"/>
          <tpl hier="35" item="1"/>
          <tpl fld="11" item="33"/>
          <tpl fld="12" item="3"/>
          <tpl hier="44" item="2"/>
          <tpl fld="17" item="0"/>
        </tpls>
      </n>
      <m>
        <tpls c="7">
          <tpl fld="3" item="1"/>
          <tpl fld="16" item="10"/>
          <tpl hier="35" item="0"/>
          <tpl fld="11" item="0"/>
          <tpl fld="12" item="2"/>
          <tpl hier="44" item="2"/>
          <tpl fld="17" item="0"/>
        </tpls>
      </m>
      <n v="185000">
        <tpls c="3">
          <tpl fld="8" item="3"/>
          <tpl fld="4" item="2"/>
          <tpl fld="17" item="3"/>
        </tpls>
      </n>
      <n v="18000">
        <tpls c="6">
          <tpl fld="6" item="2"/>
          <tpl hier="35" item="3"/>
          <tpl fld="11" item="5"/>
          <tpl fld="12" item="1"/>
          <tpl hier="44" item="2"/>
          <tpl fld="17" item="0"/>
        </tpls>
      </n>
      <n v="33367">
        <tpls c="7">
          <tpl fld="3" item="0"/>
          <tpl fld="16" item="9"/>
          <tpl hier="35" item="1"/>
          <tpl fld="11" item="17"/>
          <tpl fld="12" item="3"/>
          <tpl hier="44" item="2"/>
          <tpl fld="17" item="0"/>
        </tpls>
      </n>
      <n v="19750843">
        <tpls c="6">
          <tpl fld="3" item="0"/>
          <tpl fld="16" item="5"/>
          <tpl hier="35" item="1"/>
          <tpl fld="12" item="9"/>
          <tpl hier="44" item="2"/>
          <tpl fld="17" item="0"/>
        </tpls>
      </n>
      <n v="507059">
        <tpls c="6">
          <tpl fld="7" item="3"/>
          <tpl fld="0" item="2"/>
          <tpl fld="11" item="70"/>
          <tpl fld="12" item="20"/>
          <tpl fld="1" item="1"/>
          <tpl fld="17" item="0"/>
        </tpls>
      </n>
      <n v="196">
        <tpls c="7">
          <tpl fld="3" item="0"/>
          <tpl fld="16" item="6"/>
          <tpl hier="35" item="1"/>
          <tpl fld="11" item="34"/>
          <tpl fld="12" item="15"/>
          <tpl hier="44" item="2"/>
          <tpl fld="17" item="0"/>
        </tpls>
      </n>
      <m>
        <tpls c="7">
          <tpl fld="3" item="1"/>
          <tpl fld="16" item="9"/>
          <tpl hier="35" item="0"/>
          <tpl fld="11" item="20"/>
          <tpl fld="12" item="2"/>
          <tpl hier="44" item="2"/>
          <tpl fld="17" item="0"/>
        </tpls>
      </m>
      <n v="217342424">
        <tpls c="5">
          <tpl fld="6" item="3"/>
          <tpl hier="35" item="3"/>
          <tpl fld="12" item="2"/>
          <tpl hier="44" item="2"/>
          <tpl fld="17" item="0"/>
        </tpls>
      </n>
      <m>
        <tpls c="3">
          <tpl fld="2" item="16"/>
          <tpl fld="8" item="10"/>
          <tpl fld="17" item="3"/>
        </tpls>
      </m>
      <n v="1800">
        <tpls c="5">
          <tpl fld="6" item="2"/>
          <tpl hier="35" item="3"/>
          <tpl fld="12" item="21"/>
          <tpl hier="44" item="2"/>
          <tpl fld="17" item="0"/>
        </tpls>
      </n>
      <n v="982006">
        <tpls c="6">
          <tpl fld="7" item="0"/>
          <tpl fld="0" item="0"/>
          <tpl fld="11" item="41"/>
          <tpl fld="12" item="2"/>
          <tpl hier="44" item="2"/>
          <tpl fld="17" item="0"/>
        </tpls>
      </n>
      <n v="7217">
        <tpls c="6">
          <tpl fld="7" item="0"/>
          <tpl fld="0" item="0"/>
          <tpl fld="11" item="25"/>
          <tpl fld="10" item="0"/>
          <tpl hier="44" item="2"/>
          <tpl fld="17" item="0"/>
        </tpls>
      </n>
      <n v="418525">
        <tpls c="7">
          <tpl fld="3" item="0"/>
          <tpl fld="16" item="3"/>
          <tpl hier="35" item="1"/>
          <tpl fld="11" item="22"/>
          <tpl fld="12" item="4"/>
          <tpl hier="44" item="2"/>
          <tpl fld="17" item="0"/>
        </tpls>
      </n>
      <n v="29003">
        <tpls c="7">
          <tpl fld="3" item="0"/>
          <tpl fld="16" item="4"/>
          <tpl hier="35" item="1"/>
          <tpl fld="11" item="32"/>
          <tpl fld="12" item="2"/>
          <tpl hier="44" item="2"/>
          <tpl fld="17" item="0"/>
        </tpls>
      </n>
      <m>
        <tpls c="7">
          <tpl fld="3" item="1"/>
          <tpl hier="10" item="4294967295"/>
          <tpl hier="35" item="0"/>
          <tpl fld="11" item="41"/>
          <tpl fld="12" item="2"/>
          <tpl hier="44" item="2"/>
          <tpl fld="17" item="0"/>
        </tpls>
      </m>
      <m>
        <tpls c="3">
          <tpl fld="2" item="17"/>
          <tpl fld="8" item="0"/>
          <tpl fld="17" item="3"/>
        </tpls>
      </m>
      <m>
        <tpls c="6">
          <tpl fld="3" item="1"/>
          <tpl fld="16" item="8"/>
          <tpl hier="35" item="0"/>
          <tpl fld="12" item="2"/>
          <tpl hier="44" item="2"/>
          <tpl fld="17" item="0"/>
        </tpls>
      </m>
      <m>
        <tpls c="6">
          <tpl fld="7" item="1"/>
          <tpl fld="0" item="2"/>
          <tpl fld="11" item="7"/>
          <tpl fld="12" item="4"/>
          <tpl hier="44" item="2"/>
          <tpl fld="17" item="0"/>
        </tpls>
      </m>
      <m>
        <tpls c="6">
          <tpl fld="6" item="2"/>
          <tpl hier="35" item="1"/>
          <tpl fld="11" item="7"/>
          <tpl fld="10" item="1"/>
          <tpl hier="44" item="2"/>
          <tpl fld="17" item="0"/>
        </tpls>
      </m>
      <n v="10050136">
        <tpls c="7">
          <tpl fld="7" item="0"/>
          <tpl fld="16" item="0"/>
          <tpl fld="0" item="0"/>
          <tpl fld="11" item="62"/>
          <tpl fld="12" item="13"/>
          <tpl fld="1" item="1"/>
          <tpl fld="17" item="0"/>
        </tpls>
      </n>
      <n v="4167">
        <tpls c="3">
          <tpl fld="9" item="0"/>
          <tpl fld="15" item="0"/>
          <tpl fld="17" item="2"/>
        </tpls>
      </n>
      <n v="38">
        <tpls c="7">
          <tpl fld="3" item="0"/>
          <tpl fld="16" item="9"/>
          <tpl hier="35" item="1"/>
          <tpl fld="11" item="30"/>
          <tpl fld="12" item="15"/>
          <tpl hier="44" item="2"/>
          <tpl fld="17" item="0"/>
        </tpls>
      </n>
      <n v="0">
        <tpls c="7">
          <tpl fld="7" item="0"/>
          <tpl fld="16" item="5"/>
          <tpl fld="0" item="0"/>
          <tpl fld="11" item="69"/>
          <tpl fld="12" item="7"/>
          <tpl fld="1" item="1"/>
          <tpl fld="17" item="0"/>
        </tpls>
      </n>
      <n v="476400">
        <tpls c="7">
          <tpl fld="3" item="0"/>
          <tpl hier="10" item="4294967295"/>
          <tpl hier="35" item="1"/>
          <tpl fld="11" item="15"/>
          <tpl fld="12" item="3"/>
          <tpl hier="44" item="2"/>
          <tpl fld="17" item="0"/>
        </tpls>
      </n>
      <n v="17574893">
        <tpls c="5">
          <tpl fld="6" item="0"/>
          <tpl hier="35" item="3"/>
          <tpl fld="12" item="3"/>
          <tpl hier="44" item="2"/>
          <tpl fld="17" item="0"/>
        </tpls>
      </n>
      <n v="0">
        <tpls c="7">
          <tpl fld="7" item="0"/>
          <tpl fld="16" item="8"/>
          <tpl fld="0" item="0"/>
          <tpl fld="11" item="73"/>
          <tpl fld="12" item="0"/>
          <tpl fld="1" item="1"/>
          <tpl fld="17" item="0"/>
        </tpls>
      </n>
      <n v="603100">
        <tpls c="7">
          <tpl fld="3" item="0"/>
          <tpl fld="16" item="5"/>
          <tpl hier="35" item="1"/>
          <tpl fld="11" item="10"/>
          <tpl fld="12" item="3"/>
          <tpl hier="44" item="2"/>
          <tpl fld="17" item="0"/>
        </tpls>
      </n>
      <n v="0">
        <tpls c="7">
          <tpl fld="7" item="0"/>
          <tpl fld="16" item="2"/>
          <tpl fld="0" item="0"/>
          <tpl fld="11" item="60"/>
          <tpl fld="12" item="20"/>
          <tpl fld="1" item="1"/>
          <tpl fld="17" item="0"/>
        </tpls>
      </n>
      <m>
        <tpls c="7">
          <tpl fld="3" item="0"/>
          <tpl fld="16" item="7"/>
          <tpl hier="35" item="1"/>
          <tpl fld="11" item="26"/>
          <tpl fld="12" item="2"/>
          <tpl hier="44" item="2"/>
          <tpl fld="17" item="0"/>
        </tpls>
      </m>
      <n v="483821">
        <tpls c="6">
          <tpl fld="3" item="0"/>
          <tpl fld="16" item="8"/>
          <tpl hier="35" item="1"/>
          <tpl fld="12" item="4"/>
          <tpl hier="44" item="2"/>
          <tpl fld="17" item="0"/>
        </tpls>
      </n>
      <n v="19829000">
        <tpls c="3">
          <tpl fld="8" item="1"/>
          <tpl hier="22" item="4294967295"/>
          <tpl fld="17" item="3"/>
        </tpls>
      </n>
      <n v="9450000">
        <tpls c="3">
          <tpl fld="2" item="9"/>
          <tpl fld="8" item="2"/>
          <tpl fld="17" item="3"/>
        </tpls>
      </n>
      <n v="360000">
        <tpls c="6">
          <tpl fld="7" item="2"/>
          <tpl fld="0" item="1"/>
          <tpl fld="11" item="31"/>
          <tpl fld="12" item="3"/>
          <tpl hier="44" item="2"/>
          <tpl fld="17" item="0"/>
        </tpls>
      </n>
      <m>
        <tpls c="7">
          <tpl fld="3" item="1"/>
          <tpl fld="16" item="9"/>
          <tpl hier="35" item="0"/>
          <tpl fld="11" item="33"/>
          <tpl fld="12" item="3"/>
          <tpl hier="44" item="2"/>
          <tpl fld="17" item="0"/>
        </tpls>
      </m>
      <m>
        <tpls c="7">
          <tpl fld="3" item="1"/>
          <tpl fld="16" item="4"/>
          <tpl hier="35" item="0"/>
          <tpl fld="11" item="41"/>
          <tpl fld="12" item="2"/>
          <tpl hier="44" item="2"/>
          <tpl fld="17" item="0"/>
        </tpls>
      </m>
      <m>
        <tpls c="7">
          <tpl fld="3" item="1"/>
          <tpl fld="16" item="1"/>
          <tpl hier="35" item="0"/>
          <tpl fld="11" item="9"/>
          <tpl fld="12" item="4"/>
          <tpl hier="44" item="2"/>
          <tpl fld="17" item="0"/>
        </tpls>
      </m>
      <m>
        <tpls c="7">
          <tpl fld="3" item="1"/>
          <tpl fld="16" item="3"/>
          <tpl hier="35" item="0"/>
          <tpl fld="11" item="48"/>
          <tpl fld="12" item="4"/>
          <tpl hier="44" item="2"/>
          <tpl fld="17" item="0"/>
        </tpls>
      </m>
      <m>
        <tpls c="7">
          <tpl fld="3" item="1"/>
          <tpl fld="16" item="8"/>
          <tpl hier="35" item="0"/>
          <tpl fld="11" item="5"/>
          <tpl fld="12" item="1"/>
          <tpl hier="44" item="2"/>
          <tpl fld="17" item="0"/>
        </tpls>
      </m>
      <n v="0">
        <tpls c="7">
          <tpl fld="3" item="0"/>
          <tpl fld="16" item="5"/>
          <tpl hier="35" item="1"/>
          <tpl fld="11" item="0"/>
          <tpl fld="12" item="2"/>
          <tpl hier="44" item="2"/>
          <tpl fld="17" item="0"/>
        </tpls>
      </n>
      <m>
        <tpls c="7">
          <tpl fld="3" item="1"/>
          <tpl fld="16" item="7"/>
          <tpl hier="35" item="0"/>
          <tpl fld="11" item="5"/>
          <tpl fld="12" item="1"/>
          <tpl hier="44" item="2"/>
          <tpl fld="17" item="0"/>
        </tpls>
      </m>
      <n v="72917">
        <tpls c="7">
          <tpl fld="3" item="0"/>
          <tpl fld="16" item="2"/>
          <tpl hier="35" item="1"/>
          <tpl fld="11" item="14"/>
          <tpl fld="12" item="3"/>
          <tpl hier="44" item="2"/>
          <tpl fld="17" item="0"/>
        </tpls>
      </n>
      <m>
        <tpls c="7">
          <tpl fld="3" item="1"/>
          <tpl fld="16" item="2"/>
          <tpl hier="35" item="0"/>
          <tpl fld="11" item="44"/>
          <tpl fld="12" item="3"/>
          <tpl hier="44" item="2"/>
          <tpl fld="17" item="0"/>
        </tpls>
      </m>
      <n v="0">
        <tpls c="6">
          <tpl fld="7" item="0"/>
          <tpl fld="16" item="2"/>
          <tpl fld="0" item="0"/>
          <tpl fld="12" item="20"/>
          <tpl fld="1" item="1"/>
          <tpl fld="17" item="0"/>
        </tpls>
      </n>
      <m>
        <tpls c="3">
          <tpl fld="2" item="4"/>
          <tpl fld="8" item="1"/>
          <tpl fld="17" item="3"/>
        </tpls>
      </m>
      <n v="204631">
        <tpls c="6">
          <tpl fld="7" item="1"/>
          <tpl fld="0" item="2"/>
          <tpl fld="11" item="11"/>
          <tpl fld="12" item="2"/>
          <tpl hier="44" item="2"/>
          <tpl fld="17" item="0"/>
        </tpls>
      </n>
      <n v="218751">
        <tpls c="6">
          <tpl fld="6" item="2"/>
          <tpl hier="35" item="3"/>
          <tpl fld="11" item="14"/>
          <tpl fld="12" item="3"/>
          <tpl hier="44" item="2"/>
          <tpl fld="17" item="0"/>
        </tpls>
      </n>
      <n v="0">
        <tpls c="6">
          <tpl fld="7" item="0"/>
          <tpl fld="0" item="0"/>
          <tpl fld="11" item="15"/>
          <tpl fld="10" item="2"/>
          <tpl hier="44" item="2"/>
          <tpl fld="17" item="0"/>
        </tpls>
      </n>
      <m>
        <tpls c="7">
          <tpl fld="3" item="1"/>
          <tpl fld="16" item="10"/>
          <tpl hier="35" item="0"/>
          <tpl fld="11" item="50"/>
          <tpl fld="12" item="11"/>
          <tpl hier="44" item="2"/>
          <tpl fld="17" item="0"/>
        </tpls>
      </m>
      <n v="0">
        <tpls c="6">
          <tpl fld="7" item="0"/>
          <tpl fld="0" item="0"/>
          <tpl fld="11" item="0"/>
          <tpl fld="10" item="0"/>
          <tpl hier="44" item="2"/>
          <tpl fld="17" item="0"/>
        </tpls>
      </n>
      <n v="140803">
        <tpls c="7">
          <tpl fld="7" item="0"/>
          <tpl fld="16" item="11"/>
          <tpl fld="0" item="0"/>
          <tpl fld="11" item="74"/>
          <tpl fld="12" item="16"/>
          <tpl fld="1" item="1"/>
          <tpl fld="17" item="0"/>
        </tpls>
      </n>
      <n v="148492">
        <tpls c="6">
          <tpl fld="7" item="0"/>
          <tpl fld="0" item="0"/>
          <tpl fld="11" item="50"/>
          <tpl fld="10" item="2"/>
          <tpl hier="44" item="2"/>
          <tpl fld="17" item="0"/>
        </tpls>
      </n>
      <n v="418525">
        <tpls c="7">
          <tpl fld="3" item="0"/>
          <tpl fld="16" item="7"/>
          <tpl hier="35" item="1"/>
          <tpl fld="11" item="22"/>
          <tpl fld="12" item="4"/>
          <tpl hier="44" item="2"/>
          <tpl fld="17" item="0"/>
        </tpls>
      </n>
      <m>
        <tpls c="6">
          <tpl fld="3" item="1"/>
          <tpl fld="16" item="11"/>
          <tpl hier="35" item="0"/>
          <tpl fld="12" item="11"/>
          <tpl hier="44" item="2"/>
          <tpl fld="17" item="0"/>
        </tpls>
      </m>
      <n v="72501">
        <tpls c="6">
          <tpl fld="6" item="2"/>
          <tpl hier="35" item="3"/>
          <tpl fld="11" item="50"/>
          <tpl fld="12" item="11"/>
          <tpl hier="44" item="2"/>
          <tpl fld="17" item="0"/>
        </tpls>
      </n>
      <n v="-2848013">
        <tpls c="6">
          <tpl fld="7" item="0"/>
          <tpl fld="16" item="9"/>
          <tpl fld="0" item="0"/>
          <tpl fld="12" item="13"/>
          <tpl fld="1" item="1"/>
          <tpl fld="17" item="0"/>
        </tpls>
      </n>
      <m>
        <tpls c="3">
          <tpl fld="2" item="21"/>
          <tpl fld="8" item="10"/>
          <tpl fld="17" item="3"/>
        </tpls>
      </m>
      <n v="5379858">
        <tpls c="6">
          <tpl fld="3" item="0"/>
          <tpl hier="10" item="4294967295"/>
          <tpl hier="35" item="1"/>
          <tpl fld="12" item="4"/>
          <tpl hier="44" item="2"/>
          <tpl fld="17" item="0"/>
        </tpls>
      </n>
      <n v="300">
        <tpls c="7">
          <tpl fld="3" item="0"/>
          <tpl fld="16" item="3"/>
          <tpl hier="35" item="1"/>
          <tpl fld="11" item="1"/>
          <tpl fld="12" item="1"/>
          <tpl hier="44" item="2"/>
          <tpl fld="17" item="0"/>
        </tpls>
      </n>
      <n v="1820000">
        <tpls c="3">
          <tpl fld="2" item="3"/>
          <tpl fld="8" item="8"/>
          <tpl fld="17" item="3"/>
        </tpls>
      </n>
      <n v="33000">
        <tpls c="7">
          <tpl fld="3" item="0"/>
          <tpl hier="10" item="4294967295"/>
          <tpl hier="35" item="1"/>
          <tpl fld="11" item="38"/>
          <tpl fld="12" item="11"/>
          <tpl hier="44" item="2"/>
          <tpl fld="17" item="0"/>
        </tpls>
      </n>
      <m>
        <tpls c="7">
          <tpl fld="3" item="1"/>
          <tpl fld="16" item="7"/>
          <tpl hier="35" item="0"/>
          <tpl fld="11" item="0"/>
          <tpl fld="12" item="2"/>
          <tpl hier="44" item="2"/>
          <tpl fld="17" item="0"/>
        </tpls>
      </m>
      <n v="53329433">
        <tpls c="7">
          <tpl fld="7" item="0"/>
          <tpl fld="16" item="0"/>
          <tpl fld="0" item="0"/>
          <tpl fld="11" item="28"/>
          <tpl fld="12" item="13"/>
          <tpl fld="1" item="1"/>
          <tpl fld="17" item="0"/>
        </tpls>
      </n>
      <n v="231">
        <tpls c="6">
          <tpl fld="3" item="0"/>
          <tpl fld="16" item="3"/>
          <tpl hier="35" item="1"/>
          <tpl fld="12" item="15"/>
          <tpl hier="44" item="2"/>
          <tpl fld="17" item="0"/>
        </tpls>
      </n>
      <n v="0">
        <tpls c="7">
          <tpl fld="3" item="0"/>
          <tpl fld="16" item="4"/>
          <tpl hier="35" item="1"/>
          <tpl fld="11" item="9"/>
          <tpl fld="12" item="4"/>
          <tpl hier="44" item="2"/>
          <tpl fld="17" item="0"/>
        </tpls>
      </n>
      <n v="236483">
        <tpls c="7">
          <tpl fld="3" item="0"/>
          <tpl hier="10" item="4294967295"/>
          <tpl hier="35" item="1"/>
          <tpl fld="11" item="32"/>
          <tpl fld="12" item="2"/>
          <tpl hier="44" item="2"/>
          <tpl fld="17" item="0"/>
        </tpls>
      </n>
      <m>
        <tpls c="7">
          <tpl fld="3" item="1"/>
          <tpl hier="10" item="4294967295"/>
          <tpl hier="35" item="0"/>
          <tpl fld="11" item="48"/>
          <tpl fld="12" item="4"/>
          <tpl hier="44" item="2"/>
          <tpl fld="17" item="0"/>
        </tpls>
      </m>
      <n v="290004">
        <tpls c="7">
          <tpl fld="3" item="0"/>
          <tpl hier="10" item="4294967295"/>
          <tpl hier="35" item="1"/>
          <tpl fld="11" item="50"/>
          <tpl fld="12" item="11"/>
          <tpl hier="44" item="2"/>
          <tpl fld="17" item="0"/>
        </tpls>
      </n>
      <n v="1661917">
        <tpls c="6">
          <tpl fld="3" item="0"/>
          <tpl fld="16" item="10"/>
          <tpl hier="35" item="1"/>
          <tpl fld="12" item="11"/>
          <tpl hier="44" item="2"/>
          <tpl fld="17" item="0"/>
        </tpls>
      </n>
      <m>
        <tpls c="7">
          <tpl fld="3" item="1"/>
          <tpl fld="16" item="5"/>
          <tpl hier="35" item="0"/>
          <tpl fld="11" item="0"/>
          <tpl fld="12" item="2"/>
          <tpl hier="44" item="2"/>
          <tpl fld="17" item="0"/>
        </tpls>
      </m>
      <n v="1820000">
        <tpls c="3">
          <tpl fld="2" item="3"/>
          <tpl fld="8" item="0"/>
          <tpl fld="17" item="3"/>
        </tpls>
      </n>
      <m>
        <tpls c="6">
          <tpl fld="3" item="1"/>
          <tpl fld="16" item="5"/>
          <tpl hier="35" item="0"/>
          <tpl fld="12" item="11"/>
          <tpl hier="44" item="2"/>
          <tpl fld="17" item="0"/>
        </tpls>
      </m>
      <n v="2971264">
        <tpls c="6">
          <tpl fld="7" item="1"/>
          <tpl fld="0" item="2"/>
          <tpl fld="11" item="37"/>
          <tpl fld="10" item="2"/>
          <tpl hier="44" item="2"/>
          <tpl fld="17" item="0"/>
        </tpls>
      </n>
      <m>
        <tpls c="7">
          <tpl fld="3" item="1"/>
          <tpl hier="10" item="4294967295"/>
          <tpl hier="35" item="0"/>
          <tpl fld="11" item="16"/>
          <tpl fld="12" item="3"/>
          <tpl hier="44" item="2"/>
          <tpl fld="17" item="0"/>
        </tpls>
      </m>
      <n v="72501">
        <tpls c="6">
          <tpl fld="6" item="2"/>
          <tpl hier="35" item="1"/>
          <tpl fld="11" item="50"/>
          <tpl fld="10" item="2"/>
          <tpl hier="44" item="2"/>
          <tpl fld="17" item="0"/>
        </tpls>
      </n>
      <m>
        <tpls c="3">
          <tpl fld="2" item="17"/>
          <tpl fld="8" item="5"/>
          <tpl fld="17" item="3"/>
        </tpls>
      </m>
      <n v="89998">
        <tpls c="7">
          <tpl fld="3" item="0"/>
          <tpl fld="16" item="1"/>
          <tpl hier="35" item="1"/>
          <tpl fld="11" item="41"/>
          <tpl fld="12" item="2"/>
          <tpl hier="44" item="2"/>
          <tpl fld="17" item="0"/>
        </tpls>
      </n>
      <n v="1310000">
        <tpls c="7">
          <tpl fld="3" item="0"/>
          <tpl fld="16" item="11"/>
          <tpl hier="35" item="1"/>
          <tpl fld="11" item="37"/>
          <tpl fld="12" item="11"/>
          <tpl hier="44" item="2"/>
          <tpl fld="17" item="0"/>
        </tpls>
      </n>
      <n v="404750">
        <tpls c="7">
          <tpl fld="3" item="0"/>
          <tpl fld="16" item="1"/>
          <tpl hier="35" item="1"/>
          <tpl fld="11" item="27"/>
          <tpl fld="12" item="3"/>
          <tpl hier="44" item="2"/>
          <tpl fld="17" item="0"/>
        </tpls>
      </n>
      <m>
        <tpls c="3">
          <tpl fld="2" item="16"/>
          <tpl fld="8" item="6"/>
          <tpl fld="17" item="3"/>
        </tpls>
      </m>
      <m>
        <tpls c="7">
          <tpl fld="3" item="1"/>
          <tpl fld="16" item="8"/>
          <tpl hier="35" item="0"/>
          <tpl fld="11" item="30"/>
          <tpl fld="12" item="15"/>
          <tpl hier="44" item="2"/>
          <tpl fld="17" item="0"/>
        </tpls>
      </m>
      <n v="-250">
        <tpls c="7">
          <tpl fld="7" item="0"/>
          <tpl fld="16" item="8"/>
          <tpl fld="0" item="0"/>
          <tpl fld="11" item="72"/>
          <tpl fld="12" item="0"/>
          <tpl fld="1" item="1"/>
          <tpl fld="17" item="0"/>
        </tpls>
      </n>
      <n v="24167">
        <tpls c="7">
          <tpl fld="3" item="0"/>
          <tpl fld="16" item="10"/>
          <tpl hier="35" item="1"/>
          <tpl fld="11" item="50"/>
          <tpl fld="12" item="11"/>
          <tpl hier="44" item="2"/>
          <tpl fld="17" item="0"/>
        </tpls>
      </n>
      <n v="13573277">
        <tpls c="6">
          <tpl fld="7" item="1"/>
          <tpl fld="0" item="2"/>
          <tpl fld="11" item="20"/>
          <tpl fld="12" item="2"/>
          <tpl hier="44" item="2"/>
          <tpl fld="17" item="0"/>
        </tpls>
      </n>
      <n v="6000">
        <tpls c="7">
          <tpl fld="3" item="0"/>
          <tpl fld="16" item="6"/>
          <tpl hier="35" item="1"/>
          <tpl fld="11" item="5"/>
          <tpl fld="12" item="1"/>
          <tpl hier="44" item="2"/>
          <tpl fld="17" item="0"/>
        </tpls>
      </n>
      <n v="573358">
        <tpls c="6">
          <tpl fld="7" item="0"/>
          <tpl fld="0" item="0"/>
          <tpl fld="11" item="17"/>
          <tpl fld="10" item="2"/>
          <tpl hier="44" item="2"/>
          <tpl fld="17" item="0"/>
        </tpls>
      </n>
      <m>
        <tpls c="6">
          <tpl fld="3" item="1"/>
          <tpl fld="16" item="0"/>
          <tpl hier="35" item="0"/>
          <tpl fld="12" item="11"/>
          <tpl hier="44" item="2"/>
          <tpl fld="17" item="0"/>
        </tpls>
      </m>
      <n v="282769">
        <tpls c="6">
          <tpl fld="6" item="2"/>
          <tpl hier="35" item="1"/>
          <tpl fld="11" item="41"/>
          <tpl fld="10" item="0"/>
          <tpl hier="44" item="2"/>
          <tpl fld="17" item="0"/>
        </tpls>
      </n>
      <n v="254750">
        <tpls c="7">
          <tpl fld="3" item="0"/>
          <tpl fld="16" item="3"/>
          <tpl hier="35" item="1"/>
          <tpl fld="11" item="27"/>
          <tpl fld="12" item="3"/>
          <tpl hier="44" item="2"/>
          <tpl fld="17" item="0"/>
        </tpls>
      </n>
      <n v="163412">
        <tpls c="7">
          <tpl fld="3" item="0"/>
          <tpl fld="16" item="5"/>
          <tpl hier="35" item="1"/>
          <tpl fld="11" item="36"/>
          <tpl fld="12" item="2"/>
          <tpl hier="44" item="2"/>
          <tpl fld="17" item="0"/>
        </tpls>
      </n>
      <n v="4985751">
        <tpls c="5">
          <tpl fld="6" item="1"/>
          <tpl hier="35" item="3"/>
          <tpl fld="12" item="11"/>
          <tpl hier="44" item="2"/>
          <tpl fld="17" item="0"/>
        </tpls>
      </n>
      <n v="38000">
        <tpls c="7">
          <tpl fld="7" item="0"/>
          <tpl fld="16" item="6"/>
          <tpl fld="0" item="0"/>
          <tpl fld="11" item="73"/>
          <tpl fld="12" item="0"/>
          <tpl fld="1" item="1"/>
          <tpl fld="17" item="0"/>
        </tpls>
      </n>
      <m>
        <tpls c="3">
          <tpl fld="8" item="7"/>
          <tpl fld="4" item="2"/>
          <tpl fld="17" item="3"/>
        </tpls>
      </m>
      <m>
        <tpls c="3">
          <tpl fld="8" item="11"/>
          <tpl fld="4" item="0"/>
          <tpl fld="17" item="3"/>
        </tpls>
      </m>
      <m>
        <tpls c="7">
          <tpl fld="3" item="1"/>
          <tpl fld="16" item="11"/>
          <tpl hier="35" item="0"/>
          <tpl fld="11" item="9"/>
          <tpl fld="12" item="4"/>
          <tpl hier="44" item="2"/>
          <tpl fld="17" item="0"/>
        </tpls>
      </m>
      <m>
        <tpls c="7">
          <tpl fld="3" item="1"/>
          <tpl fld="16" item="8"/>
          <tpl hier="35" item="0"/>
          <tpl fld="11" item="10"/>
          <tpl fld="12" item="3"/>
          <tpl hier="44" item="2"/>
          <tpl fld="17" item="0"/>
        </tpls>
      </m>
      <n v="600">
        <tpls c="6">
          <tpl fld="3" item="0"/>
          <tpl fld="16" item="11"/>
          <tpl hier="35" item="1"/>
          <tpl fld="12" item="21"/>
          <tpl hier="44" item="2"/>
          <tpl fld="17" item="0"/>
        </tpls>
      </n>
      <m>
        <tpls c="6">
          <tpl fld="7" item="1"/>
          <tpl fld="0" item="2"/>
          <tpl fld="11" item="61"/>
          <tpl fld="12" item="7"/>
          <tpl fld="1" item="1"/>
          <tpl fld="17" item="0"/>
        </tpls>
      </m>
      <n v="1427667">
        <tpls c="7">
          <tpl fld="3" item="0"/>
          <tpl fld="16" item="7"/>
          <tpl hier="35" item="1"/>
          <tpl fld="11" item="33"/>
          <tpl fld="12" item="3"/>
          <tpl hier="44" item="2"/>
          <tpl fld="17" item="0"/>
        </tpls>
      </n>
      <n v="5715537">
        <tpls c="6">
          <tpl fld="3" item="0"/>
          <tpl fld="16" item="2"/>
          <tpl hier="35" item="1"/>
          <tpl fld="12" item="3"/>
          <tpl hier="44" item="2"/>
          <tpl fld="17" item="0"/>
        </tpls>
      </n>
      <m>
        <tpls c="6">
          <tpl fld="3" item="1"/>
          <tpl fld="16" item="3"/>
          <tpl hier="35" item="0"/>
          <tpl fld="12" item="21"/>
          <tpl hier="44" item="2"/>
          <tpl fld="17" item="0"/>
        </tpls>
      </m>
      <m>
        <tpls c="6">
          <tpl fld="7" item="2"/>
          <tpl fld="0" item="1"/>
          <tpl fld="11" item="4"/>
          <tpl fld="10" item="3"/>
          <tpl hier="44" item="2"/>
          <tpl fld="17" item="0"/>
        </tpls>
      </m>
      <n v="498345">
        <tpls c="6">
          <tpl fld="6" item="2"/>
          <tpl hier="35" item="1"/>
          <tpl fld="11" item="36"/>
          <tpl fld="10" item="0"/>
          <tpl hier="44" item="2"/>
          <tpl fld="17" item="0"/>
        </tpls>
      </n>
      <n v="0">
        <tpls c="7">
          <tpl fld="7" item="0"/>
          <tpl fld="16" item="2"/>
          <tpl fld="0" item="0"/>
          <tpl fld="11" item="67"/>
          <tpl fld="12" item="0"/>
          <tpl fld="1" item="1"/>
          <tpl fld="17" item="0"/>
        </tpls>
      </n>
      <m>
        <tpls c="7">
          <tpl fld="3" item="1"/>
          <tpl fld="16" item="0"/>
          <tpl hier="35" item="0"/>
          <tpl fld="11" item="16"/>
          <tpl fld="12" item="3"/>
          <tpl hier="44" item="2"/>
          <tpl fld="17" item="0"/>
        </tpls>
      </m>
      <n v="3930000">
        <tpls c="6">
          <tpl fld="6" item="2"/>
          <tpl hier="35" item="3"/>
          <tpl fld="11" item="37"/>
          <tpl fld="12" item="11"/>
          <tpl hier="44" item="2"/>
          <tpl fld="17" item="0"/>
        </tpls>
      </n>
      <n v="1509000">
        <tpls c="6">
          <tpl fld="6" item="2"/>
          <tpl hier="35" item="3"/>
          <tpl fld="11" item="16"/>
          <tpl fld="12" item="3"/>
          <tpl hier="44" item="2"/>
          <tpl fld="17" item="0"/>
        </tpls>
      </n>
      <n v="10180">
        <tpls c="7">
          <tpl fld="7" item="0"/>
          <tpl fld="16" item="7"/>
          <tpl fld="0" item="0"/>
          <tpl fld="11" item="74"/>
          <tpl fld="12" item="16"/>
          <tpl fld="1" item="1"/>
          <tpl fld="17" item="0"/>
        </tpls>
      </n>
      <m>
        <tpls c="7">
          <tpl fld="3" item="1"/>
          <tpl fld="16" item="8"/>
          <tpl hier="35" item="0"/>
          <tpl fld="11" item="4"/>
          <tpl fld="12" item="1"/>
          <tpl hier="44" item="2"/>
          <tpl fld="17" item="0"/>
        </tpls>
      </m>
      <n v="162977979">
        <tpls c="6">
          <tpl fld="7" item="0"/>
          <tpl hier="10" item="4294967295"/>
          <tpl fld="0" item="0"/>
          <tpl fld="12" item="14"/>
          <tpl fld="1" item="1"/>
          <tpl fld="17" item="0"/>
        </tpls>
      </n>
      <m>
        <tpls c="3">
          <tpl fld="2" item="3"/>
          <tpl fld="8" item="9"/>
          <tpl fld="17" item="3"/>
        </tpls>
      </m>
      <n v="0">
        <tpls c="7">
          <tpl fld="3" item="0"/>
          <tpl fld="16" item="0"/>
          <tpl hier="35" item="1"/>
          <tpl fld="11" item="44"/>
          <tpl fld="12" item="3"/>
          <tpl hier="44" item="2"/>
          <tpl fld="17" item="0"/>
        </tpls>
      </n>
      <m>
        <tpls c="7">
          <tpl fld="3" item="1"/>
          <tpl fld="16" item="5"/>
          <tpl hier="35" item="0"/>
          <tpl fld="11" item="16"/>
          <tpl fld="12" item="3"/>
          <tpl hier="44" item="2"/>
          <tpl fld="17" item="0"/>
        </tpls>
      </m>
      <m>
        <tpls c="7">
          <tpl fld="3" item="1"/>
          <tpl fld="16" item="11"/>
          <tpl hier="35" item="0"/>
          <tpl fld="11" item="22"/>
          <tpl fld="12" item="4"/>
          <tpl hier="44" item="2"/>
          <tpl fld="17" item="0"/>
        </tpls>
      </m>
      <n v="300">
        <tpls c="7">
          <tpl fld="3" item="0"/>
          <tpl fld="16" item="8"/>
          <tpl hier="35" item="1"/>
          <tpl fld="11" item="1"/>
          <tpl fld="12" item="1"/>
          <tpl hier="44" item="2"/>
          <tpl fld="17" item="0"/>
        </tpls>
      </n>
      <n v="6000">
        <tpls c="7">
          <tpl fld="3" item="0"/>
          <tpl fld="16" item="5"/>
          <tpl hier="35" item="1"/>
          <tpl fld="11" item="5"/>
          <tpl fld="12" item="1"/>
          <tpl hier="44" item="2"/>
          <tpl fld="17" item="0"/>
        </tpls>
      </n>
      <m>
        <tpls c="3">
          <tpl fld="2" item="3"/>
          <tpl fld="8" item="1"/>
          <tpl fld="17" item="3"/>
        </tpls>
      </m>
      <n v="900">
        <tpls c="6">
          <tpl fld="6" item="1"/>
          <tpl hier="35" item="1"/>
          <tpl fld="11" item="1"/>
          <tpl fld="10" item="3"/>
          <tpl hier="44" item="2"/>
          <tpl fld="17" item="0"/>
        </tpls>
      </n>
      <m>
        <tpls c="7">
          <tpl fld="3" item="1"/>
          <tpl fld="16" item="2"/>
          <tpl hier="35" item="0"/>
          <tpl fld="11" item="14"/>
          <tpl fld="12" item="3"/>
          <tpl hier="44" item="2"/>
          <tpl fld="17" item="0"/>
        </tpls>
      </m>
      <n v="162246329">
        <tpls c="6">
          <tpl fld="6" item="3"/>
          <tpl hier="35" item="3"/>
          <tpl fld="11" item="3"/>
          <tpl fld="12" item="2"/>
          <tpl hier="44" item="2"/>
          <tpl fld="17" item="0"/>
        </tpls>
      </n>
      <n v="12727925">
        <tpls c="6">
          <tpl fld="7" item="0"/>
          <tpl fld="0" item="0"/>
          <tpl fld="11" item="8"/>
          <tpl fld="12" item="3"/>
          <tpl hier="44" item="2"/>
          <tpl fld="17" item="0"/>
        </tpls>
      </n>
      <n v="4167">
        <tpls c="3">
          <tpl fld="9" item="10"/>
          <tpl fld="15" item="0"/>
          <tpl fld="17" item="2"/>
        </tpls>
      </n>
      <m>
        <tpls c="6">
          <tpl fld="6" item="0"/>
          <tpl hier="35" item="1"/>
          <tpl fld="11" item="26"/>
          <tpl fld="10" item="0"/>
          <tpl hier="44" item="2"/>
          <tpl fld="17" item="0"/>
        </tpls>
      </m>
      <n v="594623">
        <tpls c="6">
          <tpl fld="6" item="0"/>
          <tpl hier="35" item="3"/>
          <tpl fld="11" item="36"/>
          <tpl fld="12" item="2"/>
          <tpl hier="44" item="2"/>
          <tpl fld="17" item="0"/>
        </tpls>
      </n>
      <m>
        <tpls c="6">
          <tpl fld="3" item="1"/>
          <tpl fld="16" item="7"/>
          <tpl hier="35" item="0"/>
          <tpl fld="12" item="15"/>
          <tpl hier="44" item="2"/>
          <tpl fld="17" item="0"/>
        </tpls>
      </m>
      <n v="5615">
        <tpls c="6">
          <tpl fld="3" item="0"/>
          <tpl hier="10" item="4294967295"/>
          <tpl hier="35" item="1"/>
          <tpl fld="12" item="15"/>
          <tpl hier="44" item="2"/>
          <tpl fld="17" item="0"/>
        </tpls>
      </n>
      <n v="2716">
        <tpls c="6">
          <tpl fld="6" item="2"/>
          <tpl hier="35" item="3"/>
          <tpl fld="11" item="25"/>
          <tpl fld="12" item="2"/>
          <tpl hier="44" item="2"/>
          <tpl fld="17" item="0"/>
        </tpls>
      </n>
      <n v="0">
        <tpls c="6">
          <tpl fld="7" item="0"/>
          <tpl fld="16" item="7"/>
          <tpl fld="0" item="0"/>
          <tpl fld="12" item="20"/>
          <tpl fld="1" item="1"/>
          <tpl fld="17" item="0"/>
        </tpls>
      </n>
      <n v="0">
        <tpls c="6">
          <tpl fld="7" item="1"/>
          <tpl fld="0" item="2"/>
          <tpl fld="11" item="0"/>
          <tpl fld="10" item="0"/>
          <tpl hier="44" item="2"/>
          <tpl fld="17" item="0"/>
        </tpls>
      </n>
      <n v="-453">
        <tpls c="6">
          <tpl fld="7" item="2"/>
          <tpl fld="0" item="1"/>
          <tpl fld="11" item="9"/>
          <tpl fld="12" item="4"/>
          <tpl hier="44" item="2"/>
          <tpl fld="17" item="0"/>
        </tpls>
      </n>
      <n v="104167">
        <tpls c="7">
          <tpl fld="3" item="0"/>
          <tpl fld="16" item="1"/>
          <tpl hier="35" item="1"/>
          <tpl fld="11" item="43"/>
          <tpl fld="12" item="3"/>
          <tpl hier="44" item="2"/>
          <tpl fld="17" item="0"/>
        </tpls>
      </n>
      <n v="828698">
        <tpls c="6">
          <tpl fld="7" item="3"/>
          <tpl fld="0" item="2"/>
          <tpl fld="11" item="60"/>
          <tpl fld="12" item="20"/>
          <tpl fld="1" item="1"/>
          <tpl fld="17" item="0"/>
        </tpls>
      </n>
      <n v="982006">
        <tpls c="6">
          <tpl fld="7" item="0"/>
          <tpl fld="0" item="0"/>
          <tpl fld="11" item="41"/>
          <tpl fld="10" item="0"/>
          <tpl hier="44" item="2"/>
          <tpl fld="17" item="0"/>
        </tpls>
      </n>
      <n v="27569">
        <tpls c="7">
          <tpl fld="3" item="0"/>
          <tpl fld="16" item="1"/>
          <tpl hier="35" item="1"/>
          <tpl fld="11" item="11"/>
          <tpl fld="12" item="2"/>
          <tpl hier="44" item="2"/>
          <tpl fld="17" item="0"/>
        </tpls>
      </n>
      <n v="0">
        <tpls c="7">
          <tpl fld="7" item="0"/>
          <tpl fld="16" item="8"/>
          <tpl fld="0" item="0"/>
          <tpl fld="11" item="12"/>
          <tpl fld="12" item="6"/>
          <tpl fld="1" item="1"/>
          <tpl fld="17" item="0"/>
        </tpls>
      </n>
      <n v="0">
        <tpls c="7">
          <tpl fld="7" item="0"/>
          <tpl fld="16" item="3"/>
          <tpl fld="0" item="0"/>
          <tpl fld="11" item="73"/>
          <tpl fld="12" item="0"/>
          <tpl fld="1" item="1"/>
          <tpl fld="17" item="0"/>
        </tpls>
      </n>
      <m>
        <tpls c="7">
          <tpl fld="3" item="1"/>
          <tpl fld="16" item="10"/>
          <tpl hier="35" item="0"/>
          <tpl fld="11" item="25"/>
          <tpl fld="12" item="2"/>
          <tpl hier="44" item="2"/>
          <tpl fld="17" item="0"/>
        </tpls>
      </m>
      <m>
        <tpls c="7">
          <tpl fld="3" item="1"/>
          <tpl fld="16" item="0"/>
          <tpl hier="35" item="0"/>
          <tpl fld="11" item="30"/>
          <tpl fld="12" item="15"/>
          <tpl hier="44" item="2"/>
          <tpl fld="17" item="0"/>
        </tpls>
      </m>
      <n v="0">
        <tpls c="6">
          <tpl fld="7" item="0"/>
          <tpl hier="10" item="4294967295"/>
          <tpl fld="0" item="0"/>
          <tpl fld="12" item="5"/>
          <tpl fld="1" item="1"/>
          <tpl fld="17" item="0"/>
        </tpls>
      </n>
      <m>
        <tpls c="6">
          <tpl fld="3" item="1"/>
          <tpl fld="16" item="2"/>
          <tpl hier="35" item="0"/>
          <tpl fld="12" item="18"/>
          <tpl hier="44" item="2"/>
          <tpl fld="17" item="0"/>
        </tpls>
      </m>
      <m>
        <tpls c="7">
          <tpl fld="3" item="1"/>
          <tpl fld="16" item="8"/>
          <tpl hier="35" item="0"/>
          <tpl fld="11" item="15"/>
          <tpl fld="12" item="3"/>
          <tpl hier="44" item="2"/>
          <tpl fld="17" item="0"/>
        </tpls>
      </m>
      <n v="36993">
        <tpls c="6">
          <tpl fld="6" item="0"/>
          <tpl hier="35" item="1"/>
          <tpl fld="11" item="32"/>
          <tpl fld="10" item="0"/>
          <tpl hier="44" item="2"/>
          <tpl fld="17" item="0"/>
        </tpls>
      </n>
      <n v="498345">
        <tpls c="6">
          <tpl fld="6" item="2"/>
          <tpl hier="35" item="3"/>
          <tpl fld="11" item="36"/>
          <tpl fld="12" item="2"/>
          <tpl hier="44" item="2"/>
          <tpl fld="17" item="0"/>
        </tpls>
      </n>
      <m>
        <tpls c="3">
          <tpl fld="2" item="9"/>
          <tpl fld="8" item="5"/>
          <tpl fld="17" item="3"/>
        </tpls>
      </m>
      <n v="1917">
        <tpls c="6">
          <tpl fld="6" item="0"/>
          <tpl hier="35" item="3"/>
          <tpl fld="11" item="25"/>
          <tpl fld="12" item="2"/>
          <tpl hier="44" item="2"/>
          <tpl fld="17" item="0"/>
        </tpls>
      </n>
      <m>
        <tpls c="3">
          <tpl fld="2" item="14"/>
          <tpl fld="8" item="8"/>
          <tpl fld="17" item="3"/>
        </tpls>
      </m>
      <m>
        <tpls c="6">
          <tpl fld="3" item="1"/>
          <tpl hier="10" item="4294967295"/>
          <tpl hier="35" item="0"/>
          <tpl fld="12" item="4"/>
          <tpl hier="44" item="2"/>
          <tpl fld="17" item="0"/>
        </tpls>
      </m>
      <m>
        <tpls c="6">
          <tpl fld="3" item="1"/>
          <tpl fld="16" item="8"/>
          <tpl hier="35" item="0"/>
          <tpl fld="12" item="18"/>
          <tpl hier="44" item="2"/>
          <tpl fld="17" item="0"/>
        </tpls>
      </m>
      <n v="3930000">
        <tpls c="6">
          <tpl fld="6" item="0"/>
          <tpl hier="35" item="1"/>
          <tpl fld="11" item="37"/>
          <tpl fld="10" item="2"/>
          <tpl hier="44" item="2"/>
          <tpl fld="17" item="0"/>
        </tpls>
      </n>
      <m>
        <tpls c="3">
          <tpl fld="2" item="17"/>
          <tpl fld="8" item="9"/>
          <tpl fld="17" item="3"/>
        </tpls>
      </m>
      <n v="12000000">
        <tpls c="3">
          <tpl fld="2" item="20"/>
          <tpl fld="8" item="3"/>
          <tpl fld="17" item="3"/>
        </tpls>
      </n>
      <n v="0">
        <tpls c="7">
          <tpl fld="7" item="0"/>
          <tpl fld="16" item="6"/>
          <tpl fld="0" item="0"/>
          <tpl fld="11" item="29"/>
          <tpl fld="12" item="8"/>
          <tpl fld="1" item="1"/>
          <tpl fld="17" item="0"/>
        </tpls>
      </n>
      <n v="0">
        <tpls c="7">
          <tpl fld="7" item="0"/>
          <tpl fld="16" item="2"/>
          <tpl fld="0" item="0"/>
          <tpl fld="11" item="64"/>
          <tpl fld="12" item="22"/>
          <tpl fld="1" item="1"/>
          <tpl fld="17" item="0"/>
        </tpls>
      </n>
      <n v="25237331">
        <tpls c="6">
          <tpl fld="3" item="0"/>
          <tpl fld="16" item="4"/>
          <tpl hier="35" item="1"/>
          <tpl fld="12" item="2"/>
          <tpl hier="44" item="2"/>
          <tpl fld="17" item="0"/>
        </tpls>
      </n>
      <n v="33367">
        <tpls c="7">
          <tpl fld="3" item="0"/>
          <tpl fld="16" item="1"/>
          <tpl hier="35" item="1"/>
          <tpl fld="11" item="17"/>
          <tpl fld="12" item="3"/>
          <tpl hier="44" item="2"/>
          <tpl fld="17" item="0"/>
        </tpls>
      </n>
      <n v="0">
        <tpls c="7">
          <tpl fld="7" item="0"/>
          <tpl fld="16" item="6"/>
          <tpl fld="0" item="0"/>
          <tpl fld="11" item="72"/>
          <tpl fld="12" item="0"/>
          <tpl fld="1" item="1"/>
          <tpl fld="17" item="0"/>
        </tpls>
      </n>
      <m>
        <tpls c="7">
          <tpl fld="3" item="0"/>
          <tpl fld="16" item="5"/>
          <tpl hier="35" item="1"/>
          <tpl fld="11" item="7"/>
          <tpl fld="12" item="4"/>
          <tpl hier="44" item="2"/>
          <tpl fld="17" item="0"/>
        </tpls>
      </m>
      <n v="32226">
        <tpls c="6">
          <tpl fld="7" item="0"/>
          <tpl fld="16" item="5"/>
          <tpl fld="0" item="0"/>
          <tpl fld="12" item="20"/>
          <tpl fld="1" item="1"/>
          <tpl fld="17" item="0"/>
        </tpls>
      </n>
      <m>
        <tpls c="6">
          <tpl fld="3" item="1"/>
          <tpl fld="16" item="4"/>
          <tpl hier="35" item="0"/>
          <tpl fld="12" item="9"/>
          <tpl hier="44" item="2"/>
          <tpl fld="17" item="0"/>
        </tpls>
      </m>
      <n v="8899321">
        <tpls c="6">
          <tpl fld="6" item="0"/>
          <tpl hier="35" item="1"/>
          <tpl fld="11" item="35"/>
          <tpl fld="10" item="0"/>
          <tpl hier="44" item="2"/>
          <tpl fld="17" item="0"/>
        </tpls>
      </n>
      <n v="438301">
        <tpls c="7">
          <tpl fld="3" item="0"/>
          <tpl fld="16" item="0"/>
          <tpl hier="35" item="1"/>
          <tpl fld="11" item="22"/>
          <tpl fld="12" item="4"/>
          <tpl hier="44" item="2"/>
          <tpl fld="17" item="0"/>
        </tpls>
      </n>
      <m>
        <tpls c="7">
          <tpl fld="3" item="1"/>
          <tpl fld="16" item="9"/>
          <tpl hier="35" item="0"/>
          <tpl fld="11" item="54"/>
          <tpl fld="12" item="4"/>
          <tpl hier="44" item="2"/>
          <tpl fld="17" item="0"/>
        </tpls>
      </m>
      <n v="66484462">
        <tpls c="6">
          <tpl fld="3" item="0"/>
          <tpl hier="10" item="4294967295"/>
          <tpl hier="35" item="1"/>
          <tpl fld="12" item="18"/>
          <tpl hier="44" item="2"/>
          <tpl fld="17" item="0"/>
        </tpls>
      </n>
      <n v="0">
        <tpls c="7">
          <tpl fld="7" item="0"/>
          <tpl hier="10" item="4294967295"/>
          <tpl fld="0" item="0"/>
          <tpl fld="11" item="63"/>
          <tpl fld="12" item="13"/>
          <tpl fld="1" item="1"/>
          <tpl fld="17" item="0"/>
        </tpls>
      </n>
      <n v="-1545322">
        <tpls c="6">
          <tpl fld="7" item="0"/>
          <tpl fld="16" item="2"/>
          <tpl fld="0" item="0"/>
          <tpl fld="12" item="10"/>
          <tpl fld="1" item="1"/>
          <tpl fld="17" item="0"/>
        </tpls>
      </n>
      <m>
        <tpls c="6">
          <tpl fld="3" item="1"/>
          <tpl fld="16" item="9"/>
          <tpl hier="35" item="0"/>
          <tpl fld="12" item="9"/>
          <tpl hier="44" item="2"/>
          <tpl fld="17" item="0"/>
        </tpls>
      </m>
      <n v="338235">
        <tpls c="6">
          <tpl fld="7" item="2"/>
          <tpl fld="0" item="1"/>
          <tpl fld="11" item="54"/>
          <tpl fld="12" item="4"/>
          <tpl hier="44" item="2"/>
          <tpl fld="17" item="0"/>
        </tpls>
      </n>
      <m>
        <tpls c="7">
          <tpl fld="3" item="1"/>
          <tpl fld="16" item="3"/>
          <tpl hier="35" item="0"/>
          <tpl fld="11" item="27"/>
          <tpl fld="12" item="3"/>
          <tpl hier="44" item="2"/>
          <tpl fld="17" item="0"/>
        </tpls>
      </m>
      <n v="24167">
        <tpls c="7">
          <tpl fld="3" item="0"/>
          <tpl fld="16" item="3"/>
          <tpl hier="35" item="1"/>
          <tpl fld="11" item="50"/>
          <tpl fld="12" item="11"/>
          <tpl hier="44" item="2"/>
          <tpl fld="17" item="0"/>
        </tpls>
      </n>
      <n v="421720">
        <tpls c="6">
          <tpl fld="3" item="0"/>
          <tpl fld="16" item="9"/>
          <tpl hier="35" item="1"/>
          <tpl fld="12" item="4"/>
          <tpl hier="44" item="2"/>
          <tpl fld="17" item="0"/>
        </tpls>
      </n>
      <m>
        <tpls c="7">
          <tpl fld="3" item="1"/>
          <tpl fld="16" item="5"/>
          <tpl hier="35" item="0"/>
          <tpl fld="11" item="19"/>
          <tpl fld="12" item="2"/>
          <tpl hier="44" item="2"/>
          <tpl fld="17" item="0"/>
        </tpls>
      </m>
      <n v="-1542864">
        <tpls c="6">
          <tpl fld="7" item="0"/>
          <tpl fld="16" item="5"/>
          <tpl fld="0" item="0"/>
          <tpl fld="12" item="10"/>
          <tpl fld="1" item="1"/>
          <tpl fld="17" item="0"/>
        </tpls>
      </n>
      <n v="31942">
        <tpls c="7">
          <tpl fld="7" item="0"/>
          <tpl fld="16" item="9"/>
          <tpl fld="0" item="0"/>
          <tpl fld="11" item="51"/>
          <tpl fld="12" item="7"/>
          <tpl fld="1" item="1"/>
          <tpl fld="17" item="0"/>
        </tpls>
      </n>
      <m>
        <tpls c="7">
          <tpl fld="3" item="1"/>
          <tpl fld="16" item="1"/>
          <tpl hier="35" item="0"/>
          <tpl fld="11" item="17"/>
          <tpl fld="12" item="3"/>
          <tpl hier="44" item="2"/>
          <tpl fld="17" item="0"/>
        </tpls>
      </m>
      <n v="3944646">
        <tpls c="7">
          <tpl fld="3" item="0"/>
          <tpl fld="16" item="5"/>
          <tpl hier="35" item="1"/>
          <tpl fld="11" item="35"/>
          <tpl fld="12" item="2"/>
          <tpl hier="44" item="2"/>
          <tpl fld="17" item="0"/>
        </tpls>
      </n>
      <n v="2971264">
        <tpls c="6">
          <tpl fld="7" item="1"/>
          <tpl fld="0" item="2"/>
          <tpl fld="11" item="37"/>
          <tpl fld="12" item="11"/>
          <tpl hier="44" item="2"/>
          <tpl fld="17" item="0"/>
        </tpls>
      </n>
      <m>
        <tpls c="3">
          <tpl fld="2" item="16"/>
          <tpl fld="8" item="7"/>
          <tpl fld="17" item="3"/>
        </tpls>
      </m>
      <n v="1310000">
        <tpls c="7">
          <tpl fld="3" item="0"/>
          <tpl fld="16" item="3"/>
          <tpl hier="35" item="1"/>
          <tpl fld="11" item="37"/>
          <tpl fld="12" item="11"/>
          <tpl hier="44" item="2"/>
          <tpl fld="17" item="0"/>
        </tpls>
      </n>
      <n v="1255575">
        <tpls c="6">
          <tpl fld="6" item="1"/>
          <tpl hier="35" item="1"/>
          <tpl fld="11" item="22"/>
          <tpl fld="10" item="1"/>
          <tpl hier="44" item="2"/>
          <tpl fld="17" item="0"/>
        </tpls>
      </n>
      <n v="0">
        <tpls c="7">
          <tpl fld="7" item="0"/>
          <tpl fld="16" item="9"/>
          <tpl fld="0" item="0"/>
          <tpl fld="11" item="13"/>
          <tpl fld="12" item="5"/>
          <tpl fld="1" item="1"/>
          <tpl fld="17" item="0"/>
        </tpls>
      </n>
      <n v="20193004">
        <tpls c="6">
          <tpl fld="3" item="0"/>
          <tpl hier="10" item="4294967295"/>
          <tpl hier="35" item="1"/>
          <tpl fld="12" item="11"/>
          <tpl hier="44" item="2"/>
          <tpl fld="17" item="0"/>
        </tpls>
      </n>
      <m>
        <tpls c="3">
          <tpl fld="8" item="5"/>
          <tpl fld="4" item="0"/>
          <tpl fld="17" item="3"/>
        </tpls>
      </m>
      <m>
        <tpls c="7">
          <tpl fld="3" item="1"/>
          <tpl fld="16" item="0"/>
          <tpl hier="35" item="0"/>
          <tpl fld="11" item="3"/>
          <tpl fld="12" item="2"/>
          <tpl hier="44" item="2"/>
          <tpl fld="17" item="0"/>
        </tpls>
      </m>
      <m>
        <tpls c="7">
          <tpl fld="3" item="1"/>
          <tpl hier="10" item="4294967295"/>
          <tpl hier="35" item="0"/>
          <tpl fld="11" item="43"/>
          <tpl fld="12" item="3"/>
          <tpl hier="44" item="2"/>
          <tpl fld="17" item="0"/>
        </tpls>
      </m>
      <n v="0">
        <tpls c="7">
          <tpl fld="7" item="0"/>
          <tpl fld="16" item="6"/>
          <tpl fld="0" item="0"/>
          <tpl fld="11" item="63"/>
          <tpl fld="12" item="13"/>
          <tpl fld="1" item="1"/>
          <tpl fld="17" item="0"/>
        </tpls>
      </n>
      <m>
        <tpls c="6">
          <tpl fld="3" item="1"/>
          <tpl fld="16" item="11"/>
          <tpl hier="35" item="0"/>
          <tpl fld="12" item="21"/>
          <tpl hier="44" item="2"/>
          <tpl fld="17" item="0"/>
        </tpls>
      </m>
      <n v="600">
        <tpls c="6">
          <tpl fld="3" item="0"/>
          <tpl fld="16" item="3"/>
          <tpl hier="35" item="1"/>
          <tpl fld="12" item="21"/>
          <tpl hier="44" item="2"/>
          <tpl fld="17" item="0"/>
        </tpls>
      </n>
      <m>
        <tpls c="7">
          <tpl fld="3" item="1"/>
          <tpl fld="16" item="11"/>
          <tpl hier="35" item="0"/>
          <tpl fld="11" item="6"/>
          <tpl fld="12" item="3"/>
          <tpl hier="44" item="2"/>
          <tpl fld="17" item="0"/>
        </tpls>
      </m>
      <n v="100101">
        <tpls c="6">
          <tpl fld="6" item="2"/>
          <tpl hier="35" item="3"/>
          <tpl fld="11" item="17"/>
          <tpl fld="12" item="3"/>
          <tpl hier="44" item="2"/>
          <tpl fld="17" item="0"/>
        </tpls>
      </n>
      <n v="3069835">
        <tpls c="7">
          <tpl fld="3" item="0"/>
          <tpl fld="16" item="2"/>
          <tpl hier="35" item="1"/>
          <tpl fld="11" item="35"/>
          <tpl fld="12" item="2"/>
          <tpl hier="44" item="2"/>
          <tpl fld="17" item="0"/>
        </tpls>
      </n>
      <n v="8331686">
        <tpls c="6">
          <tpl fld="7" item="1"/>
          <tpl fld="0" item="2"/>
          <tpl fld="11" item="33"/>
          <tpl fld="12" item="3"/>
          <tpl hier="44" item="2"/>
          <tpl fld="17" item="0"/>
        </tpls>
      </n>
      <n v="293250">
        <tpls c="6">
          <tpl fld="6" item="3"/>
          <tpl hier="35" item="1"/>
          <tpl fld="11" item="39"/>
          <tpl fld="10" item="2"/>
          <tpl hier="44" item="2"/>
          <tpl fld="17" item="0"/>
        </tpls>
      </n>
      <n v="8211286">
        <tpls c="6">
          <tpl fld="6" item="0"/>
          <tpl hier="35" item="3"/>
          <tpl fld="11" item="3"/>
          <tpl fld="12" item="2"/>
          <tpl hier="44" item="2"/>
          <tpl fld="17" item="0"/>
        </tpls>
      </n>
      <n v="1255575">
        <tpls c="6">
          <tpl fld="6" item="0"/>
          <tpl hier="35" item="3"/>
          <tpl fld="11" item="22"/>
          <tpl fld="12" item="4"/>
          <tpl hier="44" item="2"/>
          <tpl fld="17" item="0"/>
        </tpls>
      </n>
      <n v="86875">
        <tpls c="7">
          <tpl fld="3" item="0"/>
          <tpl fld="16" item="11"/>
          <tpl hier="35" item="1"/>
          <tpl fld="11" item="41"/>
          <tpl fld="12" item="2"/>
          <tpl hier="44" item="2"/>
          <tpl fld="17" item="0"/>
        </tpls>
      </n>
      <n v="2000000">
        <tpls c="3">
          <tpl fld="5" item="9"/>
          <tpl fld="4" item="0"/>
          <tpl fld="17" item="3"/>
        </tpls>
      </n>
      <m>
        <tpls c="6">
          <tpl fld="3" item="1"/>
          <tpl fld="16" item="1"/>
          <tpl hier="35" item="0"/>
          <tpl fld="12" item="2"/>
          <tpl hier="44" item="2"/>
          <tpl fld="17" item="0"/>
        </tpls>
      </m>
      <m>
        <tpls c="3">
          <tpl fld="8" item="8"/>
          <tpl fld="4" item="0"/>
          <tpl fld="17" item="3"/>
        </tpls>
      </m>
      <m>
        <tpls c="6">
          <tpl fld="3" item="1"/>
          <tpl fld="16" item="10"/>
          <tpl hier="35" item="0"/>
          <tpl fld="12" item="11"/>
          <tpl hier="44" item="2"/>
          <tpl fld="17" item="0"/>
        </tpls>
      </m>
      <n v="-173856">
        <tpls c="7">
          <tpl fld="7" item="0"/>
          <tpl fld="16" item="1"/>
          <tpl fld="0" item="0"/>
          <tpl fld="11" item="46"/>
          <tpl fld="12" item="13"/>
          <tpl fld="1" item="1"/>
          <tpl fld="17" item="0"/>
        </tpls>
      </n>
      <n v="0">
        <tpls c="7">
          <tpl fld="7" item="0"/>
          <tpl fld="16" item="8"/>
          <tpl fld="0" item="0"/>
          <tpl fld="11" item="75"/>
          <tpl fld="12" item="14"/>
          <tpl fld="1" item="1"/>
          <tpl fld="17" item="0"/>
        </tpls>
      </n>
      <n v="-34818">
        <tpls c="7">
          <tpl fld="7" item="0"/>
          <tpl fld="16" item="8"/>
          <tpl fld="0" item="0"/>
          <tpl fld="11" item="62"/>
          <tpl fld="12" item="13"/>
          <tpl fld="1" item="1"/>
          <tpl fld="17" item="0"/>
        </tpls>
      </n>
      <m>
        <tpls c="3">
          <tpl fld="2" item="21"/>
          <tpl fld="8" item="7"/>
          <tpl fld="17" item="3"/>
        </tpls>
      </m>
      <n v="0">
        <tpls c="7">
          <tpl fld="7" item="0"/>
          <tpl fld="16" item="11"/>
          <tpl fld="0" item="0"/>
          <tpl fld="11" item="13"/>
          <tpl fld="12" item="5"/>
          <tpl fld="1" item="1"/>
          <tpl fld="17" item="0"/>
        </tpls>
      </n>
      <m>
        <tpls c="6">
          <tpl fld="3" item="1"/>
          <tpl fld="16" item="9"/>
          <tpl hier="35" item="0"/>
          <tpl fld="12" item="4"/>
          <tpl hier="44" item="2"/>
          <tpl fld="17" item="0"/>
        </tpls>
      </m>
      <n v="5740131">
        <tpls c="6">
          <tpl fld="3" item="0"/>
          <tpl fld="16" item="10"/>
          <tpl hier="35" item="1"/>
          <tpl fld="12" item="3"/>
          <tpl hier="44" item="2"/>
          <tpl fld="17" item="0"/>
        </tpls>
      </n>
      <n v="338235">
        <tpls c="6">
          <tpl fld="7" item="2"/>
          <tpl fld="0" item="1"/>
          <tpl fld="11" item="54"/>
          <tpl fld="10" item="1"/>
          <tpl hier="44" item="2"/>
          <tpl fld="17" item="0"/>
        </tpls>
      </n>
      <n v="9601891">
        <tpls c="7">
          <tpl fld="3" item="0"/>
          <tpl fld="16" item="1"/>
          <tpl hier="35" item="1"/>
          <tpl fld="11" item="18"/>
          <tpl fld="12" item="2"/>
          <tpl hier="44" item="2"/>
          <tpl fld="17" item="0"/>
        </tpls>
      </n>
      <m>
        <tpls c="7">
          <tpl fld="3" item="1"/>
          <tpl fld="16" item="9"/>
          <tpl hier="35" item="0"/>
          <tpl fld="11" item="49"/>
          <tpl fld="12" item="9"/>
          <tpl hier="44" item="2"/>
          <tpl fld="17" item="0"/>
        </tpls>
      </m>
      <n v="325000">
        <tpls c="7">
          <tpl fld="3" item="0"/>
          <tpl fld="16" item="5"/>
          <tpl hier="35" item="1"/>
          <tpl fld="11" item="23"/>
          <tpl fld="12" item="11"/>
          <tpl hier="44" item="2"/>
          <tpl fld="17" item="0"/>
        </tpls>
      </n>
      <n v="1786917">
        <tpls c="6">
          <tpl fld="3" item="0"/>
          <tpl fld="16" item="11"/>
          <tpl hier="35" item="1"/>
          <tpl fld="12" item="11"/>
          <tpl hier="44" item="2"/>
          <tpl fld="17" item="0"/>
        </tpls>
      </n>
      <m>
        <tpls c="7">
          <tpl fld="3" item="1"/>
          <tpl fld="16" item="11"/>
          <tpl hier="35" item="0"/>
          <tpl fld="11" item="10"/>
          <tpl fld="12" item="3"/>
          <tpl hier="44" item="2"/>
          <tpl fld="17" item="0"/>
        </tpls>
      </m>
      <n v="-27741">
        <tpls c="7">
          <tpl fld="3" item="0"/>
          <tpl fld="16" item="1"/>
          <tpl hier="35" item="1"/>
          <tpl fld="11" item="54"/>
          <tpl fld="12" item="4"/>
          <tpl hier="44" item="2"/>
          <tpl fld="17" item="0"/>
        </tpls>
      </n>
      <n v="439825">
        <tpls c="6">
          <tpl fld="3" item="0"/>
          <tpl fld="16" item="6"/>
          <tpl hier="35" item="1"/>
          <tpl fld="12" item="4"/>
          <tpl hier="44" item="2"/>
          <tpl fld="17" item="0"/>
        </tpls>
      </n>
      <n v="86277800">
        <tpls c="5">
          <tpl fld="7" item="1"/>
          <tpl fld="0" item="2"/>
          <tpl fld="12" item="12"/>
          <tpl fld="1" item="1"/>
          <tpl fld="17" item="0"/>
        </tpls>
      </n>
      <n v="17327204">
        <tpls c="6">
          <tpl fld="7" item="2"/>
          <tpl fld="0" item="1"/>
          <tpl fld="11" item="6"/>
          <tpl fld="10" item="2"/>
          <tpl hier="44" item="2"/>
          <tpl fld="17" item="0"/>
        </tpls>
      </n>
      <m>
        <tpls c="3">
          <tpl fld="2" item="8"/>
          <tpl fld="8" item="10"/>
          <tpl fld="17" item="3"/>
        </tpls>
      </m>
      <m>
        <tpls c="7">
          <tpl fld="3" item="1"/>
          <tpl fld="16" item="9"/>
          <tpl hier="35" item="0"/>
          <tpl fld="11" item="3"/>
          <tpl fld="12" item="2"/>
          <tpl hier="44" item="2"/>
          <tpl fld="17" item="0"/>
        </tpls>
      </m>
      <n v="1879780">
        <tpls c="6">
          <tpl fld="7" item="0"/>
          <tpl fld="0" item="0"/>
          <tpl fld="11" item="23"/>
          <tpl fld="12" item="11"/>
          <tpl hier="44" item="2"/>
          <tpl fld="17" item="0"/>
        </tpls>
      </n>
      <n v="90000">
        <tpls c="6">
          <tpl fld="6" item="1"/>
          <tpl hier="35" item="3"/>
          <tpl fld="11" item="31"/>
          <tpl fld="12" item="3"/>
          <tpl hier="44" item="2"/>
          <tpl fld="17" item="0"/>
        </tpls>
      </n>
      <m>
        <tpls c="3">
          <tpl fld="2" item="10"/>
          <tpl fld="8" item="2"/>
          <tpl fld="17" item="3"/>
        </tpls>
      </m>
      <n v="1250004">
        <tpls c="7">
          <tpl fld="3" item="0"/>
          <tpl hier="10" item="4294967295"/>
          <tpl hier="35" item="1"/>
          <tpl fld="11" item="43"/>
          <tpl fld="12" item="3"/>
          <tpl hier="44" item="2"/>
          <tpl fld="17" item="0"/>
        </tpls>
      </n>
      <n v="165283">
        <tpls c="7">
          <tpl fld="3" item="0"/>
          <tpl fld="16" item="11"/>
          <tpl hier="35" item="1"/>
          <tpl fld="11" item="36"/>
          <tpl fld="12" item="2"/>
          <tpl hier="44" item="2"/>
          <tpl fld="17" item="0"/>
        </tpls>
      </n>
      <n v="3125">
        <tpls c="3">
          <tpl fld="9" item="3"/>
          <tpl fld="15" item="1"/>
          <tpl fld="17" item="2"/>
        </tpls>
      </n>
      <m>
        <tpls c="7">
          <tpl fld="3" item="0"/>
          <tpl fld="16" item="6"/>
          <tpl hier="35" item="1"/>
          <tpl fld="11" item="26"/>
          <tpl fld="12" item="2"/>
          <tpl hier="44" item="2"/>
          <tpl fld="17" item="0"/>
        </tpls>
      </m>
      <m>
        <tpls c="6">
          <tpl fld="3" item="1"/>
          <tpl fld="16" item="2"/>
          <tpl hier="35" item="0"/>
          <tpl fld="12" item="11"/>
          <tpl hier="44" item="2"/>
          <tpl fld="17" item="0"/>
        </tpls>
      </m>
      <n v="0">
        <tpls c="7">
          <tpl fld="7" item="0"/>
          <tpl fld="16" item="5"/>
          <tpl fld="0" item="0"/>
          <tpl fld="11" item="76"/>
          <tpl fld="12" item="14"/>
          <tpl fld="1" item="1"/>
          <tpl fld="17" item="0"/>
        </tpls>
      </n>
      <n v="660125">
        <tpls c="3">
          <tpl fld="9" item="2"/>
          <tpl fld="15" item="2"/>
          <tpl fld="17" item="2"/>
        </tpls>
      </n>
      <n v="0">
        <tpls c="7">
          <tpl fld="3" item="0"/>
          <tpl fld="16" item="0"/>
          <tpl hier="35" item="1"/>
          <tpl fld="11" item="54"/>
          <tpl fld="12" item="4"/>
          <tpl hier="44" item="2"/>
          <tpl fld="17" item="0"/>
        </tpls>
      </n>
      <m>
        <tpls c="3">
          <tpl fld="2" item="18"/>
          <tpl fld="8" item="0"/>
          <tpl fld="17" item="3"/>
        </tpls>
      </m>
      <n v="14447624">
        <tpls c="5">
          <tpl fld="6" item="3"/>
          <tpl hier="35" item="3"/>
          <tpl fld="12" item="18"/>
          <tpl hier="44" item="2"/>
          <tpl fld="17" item="0"/>
        </tpls>
      </n>
      <n v="271543">
        <tpls c="6">
          <tpl fld="6" item="1"/>
          <tpl hier="35" item="3"/>
          <tpl fld="11" item="19"/>
          <tpl fld="12" item="2"/>
          <tpl hier="44" item="2"/>
          <tpl fld="17" item="0"/>
        </tpls>
      </n>
      <n v="900">
        <tpls c="6">
          <tpl fld="6" item="2"/>
          <tpl hier="35" item="1"/>
          <tpl fld="11" item="1"/>
          <tpl fld="10" item="3"/>
          <tpl hier="44" item="2"/>
          <tpl fld="17" item="0"/>
        </tpls>
      </n>
      <m>
        <tpls c="7">
          <tpl fld="3" item="1"/>
          <tpl fld="16" item="7"/>
          <tpl hier="35" item="0"/>
          <tpl fld="11" item="20"/>
          <tpl fld="12" item="2"/>
          <tpl hier="44" item="2"/>
          <tpl fld="17" item="0"/>
        </tpls>
      </m>
      <n v="1717915">
        <tpls c="6">
          <tpl fld="7" item="1"/>
          <tpl fld="0" item="2"/>
          <tpl fld="11" item="67"/>
          <tpl fld="12" item="0"/>
          <tpl fld="1" item="1"/>
          <tpl fld="17" item="0"/>
        </tpls>
      </n>
      <n v="0">
        <tpls c="6">
          <tpl fld="6" item="0"/>
          <tpl hier="35" item="3"/>
          <tpl fld="11" item="9"/>
          <tpl fld="12" item="4"/>
          <tpl hier="44" item="2"/>
          <tpl fld="17" item="0"/>
        </tpls>
      </n>
      <m>
        <tpls c="7">
          <tpl fld="3" item="0"/>
          <tpl fld="16" item="9"/>
          <tpl hier="35" item="1"/>
          <tpl fld="11" item="26"/>
          <tpl fld="12" item="2"/>
          <tpl hier="44" item="2"/>
          <tpl fld="17" item="0"/>
        </tpls>
      </m>
      <n v="10842">
        <tpls c="7">
          <tpl fld="3" item="0"/>
          <tpl fld="16" item="7"/>
          <tpl hier="35" item="1"/>
          <tpl fld="11" item="32"/>
          <tpl fld="12" item="2"/>
          <tpl hier="44" item="2"/>
          <tpl fld="17" item="0"/>
        </tpls>
      </n>
      <n v="1443934">
        <tpls c="7">
          <tpl fld="3" item="0"/>
          <tpl fld="16" item="3"/>
          <tpl hier="35" item="1"/>
          <tpl fld="11" item="6"/>
          <tpl fld="12" item="3"/>
          <tpl hier="44" item="2"/>
          <tpl fld="17" item="0"/>
        </tpls>
      </n>
      <m>
        <tpls c="7">
          <tpl fld="3" item="1"/>
          <tpl fld="16" item="7"/>
          <tpl hier="35" item="0"/>
          <tpl fld="11" item="36"/>
          <tpl fld="12" item="2"/>
          <tpl hier="44" item="2"/>
          <tpl fld="17" item="0"/>
        </tpls>
      </m>
      <m>
        <tpls c="7">
          <tpl fld="3" item="1"/>
          <tpl fld="16" item="10"/>
          <tpl hier="35" item="0"/>
          <tpl fld="11" item="18"/>
          <tpl fld="12" item="2"/>
          <tpl hier="44" item="2"/>
          <tpl fld="17" item="0"/>
        </tpls>
      </m>
      <n v="-2928321">
        <tpls c="6">
          <tpl fld="7" item="0"/>
          <tpl fld="16" item="8"/>
          <tpl fld="0" item="0"/>
          <tpl fld="12" item="13"/>
          <tpl fld="1" item="1"/>
          <tpl fld="17" item="0"/>
        </tpls>
      </n>
      <m>
        <tpls c="7">
          <tpl fld="3" item="1"/>
          <tpl fld="16" item="0"/>
          <tpl hier="35" item="0"/>
          <tpl fld="11" item="27"/>
          <tpl fld="12" item="3"/>
          <tpl hier="44" item="2"/>
          <tpl fld="17" item="0"/>
        </tpls>
      </m>
      <n v="0">
        <tpls c="6">
          <tpl fld="7" item="0"/>
          <tpl fld="16" item="9"/>
          <tpl fld="0" item="0"/>
          <tpl fld="12" item="22"/>
          <tpl fld="1" item="1"/>
          <tpl fld="17" item="0"/>
        </tpls>
      </n>
      <m>
        <tpls c="7">
          <tpl fld="3" item="1"/>
          <tpl fld="16" item="11"/>
          <tpl hier="35" item="0"/>
          <tpl fld="11" item="14"/>
          <tpl fld="12" item="3"/>
          <tpl hier="44" item="2"/>
          <tpl fld="17" item="0"/>
        </tpls>
      </m>
      <n v="7831">
        <tpls c="6">
          <tpl fld="7" item="1"/>
          <tpl fld="0" item="2"/>
          <tpl fld="11" item="38"/>
          <tpl fld="12" item="11"/>
          <tpl hier="44" item="2"/>
          <tpl fld="17" item="0"/>
        </tpls>
      </n>
      <n v="418525">
        <tpls c="7">
          <tpl fld="3" item="0"/>
          <tpl fld="16" item="5"/>
          <tpl hier="35" item="1"/>
          <tpl fld="11" item="22"/>
          <tpl fld="12" item="4"/>
          <tpl hier="44" item="2"/>
          <tpl fld="17" item="0"/>
        </tpls>
      </n>
      <m>
        <tpls c="6">
          <tpl fld="3" item="1"/>
          <tpl fld="16" item="7"/>
          <tpl hier="35" item="0"/>
          <tpl fld="12" item="3"/>
          <tpl hier="44" item="2"/>
          <tpl fld="17" item="0"/>
        </tpls>
      </m>
      <m>
        <tpls c="7">
          <tpl fld="3" item="1"/>
          <tpl fld="16" item="6"/>
          <tpl hier="35" item="0"/>
          <tpl fld="11" item="35"/>
          <tpl fld="12" item="2"/>
          <tpl hier="44" item="2"/>
          <tpl fld="17" item="0"/>
        </tpls>
      </m>
      <n v="300">
        <tpls c="7">
          <tpl fld="3" item="0"/>
          <tpl fld="16" item="4"/>
          <tpl hier="35" item="1"/>
          <tpl fld="11" item="1"/>
          <tpl fld="12" item="1"/>
          <tpl hier="44" item="2"/>
          <tpl fld="17" item="0"/>
        </tpls>
      </n>
      <n v="17274">
        <tpls c="7">
          <tpl fld="3" item="0"/>
          <tpl fld="16" item="5"/>
          <tpl hier="35" item="1"/>
          <tpl fld="11" item="11"/>
          <tpl fld="12" item="2"/>
          <tpl hier="44" item="2"/>
          <tpl fld="17" item="0"/>
        </tpls>
      </n>
      <m>
        <tpls c="7">
          <tpl fld="3" item="1"/>
          <tpl fld="16" item="11"/>
          <tpl hier="35" item="0"/>
          <tpl fld="11" item="7"/>
          <tpl fld="12" item="4"/>
          <tpl hier="44" item="2"/>
          <tpl fld="17" item="0"/>
        </tpls>
      </m>
      <m>
        <tpls c="7">
          <tpl fld="3" item="1"/>
          <tpl fld="16" item="1"/>
          <tpl hier="35" item="0"/>
          <tpl fld="11" item="32"/>
          <tpl fld="12" item="2"/>
          <tpl hier="44" item="2"/>
          <tpl fld="17" item="0"/>
        </tpls>
      </m>
      <m>
        <tpls c="3">
          <tpl fld="5" item="1"/>
          <tpl fld="4" item="2"/>
          <tpl fld="17" item="3"/>
        </tpls>
      </m>
      <m>
        <tpls c="7">
          <tpl fld="3" item="1"/>
          <tpl fld="16" item="2"/>
          <tpl hier="35" item="0"/>
          <tpl fld="11" item="39"/>
          <tpl fld="12" item="3"/>
          <tpl hier="44" item="2"/>
          <tpl fld="17" item="0"/>
        </tpls>
      </m>
      <n v="17474750">
        <tpls c="6">
          <tpl fld="7" item="2"/>
          <tpl fld="0" item="1"/>
          <tpl fld="11" item="20"/>
          <tpl fld="10" item="0"/>
          <tpl hier="44" item="2"/>
          <tpl fld="17" item="0"/>
        </tpls>
      </n>
      <m>
        <tpls c="3">
          <tpl fld="2" item="2"/>
          <tpl fld="8" item="8"/>
          <tpl fld="17" item="3"/>
        </tpls>
      </m>
      <m>
        <tpls c="7">
          <tpl fld="3" item="1"/>
          <tpl fld="16" item="2"/>
          <tpl hier="35" item="0"/>
          <tpl fld="11" item="20"/>
          <tpl fld="12" item="2"/>
          <tpl hier="44" item="2"/>
          <tpl fld="17" item="0"/>
        </tpls>
      </m>
      <n v="18919141">
        <tpls c="6">
          <tpl fld="7" item="1"/>
          <tpl fld="0" item="2"/>
          <tpl fld="11" item="2"/>
          <tpl fld="10" item="0"/>
          <tpl hier="44" item="2"/>
          <tpl fld="17" item="0"/>
        </tpls>
      </n>
      <n v="402316784">
        <tpls c="7">
          <tpl fld="7" item="0"/>
          <tpl hier="10" item="4294967295"/>
          <tpl fld="0" item="0"/>
          <tpl fld="11" item="66"/>
          <tpl fld="12" item="13"/>
          <tpl fld="1" item="1"/>
          <tpl fld="17" item="0"/>
        </tpls>
      </n>
      <n v="4167">
        <tpls c="3">
          <tpl fld="9" item="4"/>
          <tpl fld="15" item="0"/>
          <tpl fld="17" item="2"/>
        </tpls>
      </n>
      <n v="90935">
        <tpls c="7">
          <tpl fld="3" item="0"/>
          <tpl fld="16" item="7"/>
          <tpl hier="35" item="1"/>
          <tpl fld="11" item="41"/>
          <tpl fld="12" item="2"/>
          <tpl hier="44" item="2"/>
          <tpl fld="17" item="0"/>
        </tpls>
      </n>
      <n v="56352">
        <tpls c="6">
          <tpl fld="7" item="0"/>
          <tpl fld="0" item="0"/>
          <tpl fld="11" item="5"/>
          <tpl fld="12" item="1"/>
          <tpl hier="44" item="2"/>
          <tpl fld="17" item="0"/>
        </tpls>
      </n>
      <n v="417234">
        <tpls c="3">
          <tpl fld="9" item="3"/>
          <tpl fld="15" item="3"/>
          <tpl fld="17" item="2"/>
        </tpls>
      </n>
      <n v="24167">
        <tpls c="7">
          <tpl fld="3" item="0"/>
          <tpl fld="16" item="2"/>
          <tpl hier="35" item="1"/>
          <tpl fld="11" item="50"/>
          <tpl fld="12" item="11"/>
          <tpl hier="44" item="2"/>
          <tpl fld="17" item="0"/>
        </tpls>
      </n>
      <n v="6090000">
        <tpls c="3">
          <tpl fld="8" item="7"/>
          <tpl fld="4" item="3"/>
          <tpl fld="17" item="3"/>
        </tpls>
      </n>
      <m>
        <tpls c="6">
          <tpl fld="6" item="2"/>
          <tpl hier="35" item="1"/>
          <tpl fld="11" item="26"/>
          <tpl fld="10" item="0"/>
          <tpl hier="44" item="2"/>
          <tpl fld="17" item="0"/>
        </tpls>
      </m>
      <n v="603100">
        <tpls c="7">
          <tpl fld="3" item="0"/>
          <tpl fld="16" item="4"/>
          <tpl hier="35" item="1"/>
          <tpl fld="11" item="10"/>
          <tpl fld="12" item="3"/>
          <tpl hier="44" item="2"/>
          <tpl fld="17" item="0"/>
        </tpls>
      </n>
      <m>
        <tpls c="6">
          <tpl fld="7" item="1"/>
          <tpl fld="0" item="2"/>
          <tpl fld="11" item="24"/>
          <tpl fld="10" item="1"/>
          <tpl hier="44" item="2"/>
          <tpl fld="17" item="0"/>
        </tpls>
      </m>
      <m>
        <tpls c="7">
          <tpl fld="3" item="1"/>
          <tpl fld="16" item="1"/>
          <tpl hier="35" item="0"/>
          <tpl fld="11" item="11"/>
          <tpl fld="12" item="2"/>
          <tpl hier="44" item="2"/>
          <tpl fld="17" item="0"/>
        </tpls>
      </m>
      <n v="139305">
        <tpls c="6">
          <tpl fld="7" item="1"/>
          <tpl fld="0" item="2"/>
          <tpl fld="11" item="14"/>
          <tpl fld="10" item="2"/>
          <tpl hier="44" item="2"/>
          <tpl fld="17" item="0"/>
        </tpls>
      </n>
      <n v="1408000">
        <tpls c="6">
          <tpl fld="6" item="1"/>
          <tpl hier="35" item="3"/>
          <tpl fld="11" item="16"/>
          <tpl fld="12" item="3"/>
          <tpl hier="44" item="2"/>
          <tpl fld="17" item="0"/>
        </tpls>
      </n>
      <m>
        <tpls c="7">
          <tpl fld="3" item="1"/>
          <tpl fld="16" item="0"/>
          <tpl hier="35" item="0"/>
          <tpl fld="11" item="44"/>
          <tpl fld="12" item="3"/>
          <tpl hier="44" item="2"/>
          <tpl fld="17" item="0"/>
        </tpls>
      </m>
      <n v="495600">
        <tpls c="3">
          <tpl fld="8" item="10"/>
          <tpl hier="22" item="4294967295"/>
          <tpl fld="17" item="3"/>
        </tpls>
      </n>
      <n v="7561">
        <tpls c="7">
          <tpl fld="3" item="0"/>
          <tpl hier="10" item="4294967295"/>
          <tpl hier="35" item="1"/>
          <tpl fld="11" item="25"/>
          <tpl fld="12" item="2"/>
          <tpl hier="44" item="2"/>
          <tpl fld="17" item="0"/>
        </tpls>
      </n>
      <m>
        <tpls c="7">
          <tpl fld="3" item="1"/>
          <tpl fld="16" item="5"/>
          <tpl hier="35" item="0"/>
          <tpl fld="11" item="18"/>
          <tpl fld="12" item="2"/>
          <tpl hier="44" item="2"/>
          <tpl fld="17" item="0"/>
        </tpls>
      </m>
      <n v="32726225">
        <tpls c="6">
          <tpl fld="6" item="3"/>
          <tpl hier="35" item="1"/>
          <tpl fld="11" item="18"/>
          <tpl fld="10" item="0"/>
          <tpl hier="44" item="2"/>
          <tpl fld="17" item="0"/>
        </tpls>
      </n>
      <n v="1154250">
        <tpls c="6">
          <tpl fld="6" item="2"/>
          <tpl hier="35" item="3"/>
          <tpl fld="11" item="27"/>
          <tpl fld="12" item="3"/>
          <tpl hier="44" item="2"/>
          <tpl fld="17" item="0"/>
        </tpls>
      </n>
      <n v="286917">
        <tpls c="6">
          <tpl fld="7" item="0"/>
          <tpl fld="0" item="0"/>
          <tpl fld="11" item="31"/>
          <tpl fld="12" item="3"/>
          <tpl hier="44" item="2"/>
          <tpl fld="17" item="0"/>
        </tpls>
      </n>
      <m>
        <tpls c="6">
          <tpl fld="7" item="1"/>
          <tpl fld="0" item="2"/>
          <tpl fld="11" item="4"/>
          <tpl fld="10" item="3"/>
          <tpl hier="44" item="2"/>
          <tpl fld="17" item="0"/>
        </tpls>
      </m>
      <n v="600">
        <tpls c="6">
          <tpl fld="3" item="0"/>
          <tpl fld="16" item="6"/>
          <tpl hier="35" item="1"/>
          <tpl fld="12" item="21"/>
          <tpl hier="44" item="2"/>
          <tpl fld="17" item="0"/>
        </tpls>
      </n>
      <n v="6543543">
        <tpls c="6">
          <tpl fld="6" item="2"/>
          <tpl hier="35" item="3"/>
          <tpl fld="11" item="20"/>
          <tpl fld="12" item="2"/>
          <tpl hier="44" item="2"/>
          <tpl fld="17" item="0"/>
        </tpls>
      </n>
      <m>
        <tpls c="7">
          <tpl fld="3" item="1"/>
          <tpl fld="16" item="1"/>
          <tpl hier="35" item="0"/>
          <tpl fld="11" item="15"/>
          <tpl fld="12" item="3"/>
          <tpl hier="44" item="2"/>
          <tpl fld="17" item="0"/>
        </tpls>
      </m>
      <n v="33196562">
        <tpls c="6">
          <tpl fld="6" item="0"/>
          <tpl hier="35" item="3"/>
          <tpl fld="11" item="18"/>
          <tpl fld="12" item="2"/>
          <tpl hier="44" item="2"/>
          <tpl fld="17" item="0"/>
        </tpls>
      </n>
      <m>
        <tpls c="7">
          <tpl fld="3" item="1"/>
          <tpl fld="16" item="1"/>
          <tpl hier="35" item="0"/>
          <tpl fld="11" item="3"/>
          <tpl fld="12" item="2"/>
          <tpl hier="44" item="2"/>
          <tpl fld="17" item="0"/>
        </tpls>
      </m>
      <m>
        <tpls c="3">
          <tpl fld="2" item="5"/>
          <tpl fld="8" item="1"/>
          <tpl fld="17" item="3"/>
        </tpls>
      </m>
      <n v="8250">
        <tpls c="6">
          <tpl fld="6" item="1"/>
          <tpl hier="35" item="3"/>
          <tpl fld="11" item="38"/>
          <tpl fld="12" item="11"/>
          <tpl hier="44" item="2"/>
          <tpl fld="17" item="0"/>
        </tpls>
      </n>
      <n v="0">
        <tpls c="7">
          <tpl fld="7" item="0"/>
          <tpl fld="16" item="9"/>
          <tpl fld="0" item="0"/>
          <tpl fld="11" item="68"/>
          <tpl fld="12" item="17"/>
          <tpl fld="1" item="1"/>
          <tpl fld="17" item="0"/>
        </tpls>
      </n>
      <n v="29900441">
        <tpls c="6">
          <tpl fld="6" item="1"/>
          <tpl hier="35" item="3"/>
          <tpl fld="11" item="18"/>
          <tpl fld="12" item="2"/>
          <tpl hier="44" item="2"/>
          <tpl fld="17" item="0"/>
        </tpls>
      </n>
      <n v="323501">
        <tpls c="6">
          <tpl fld="6" item="2"/>
          <tpl hier="35" item="3"/>
          <tpl fld="11" item="19"/>
          <tpl fld="12" item="2"/>
          <tpl hier="44" item="2"/>
          <tpl fld="17" item="0"/>
        </tpls>
      </n>
      <n v="1757">
        <tpls c="6">
          <tpl fld="6" item="1"/>
          <tpl hier="35" item="3"/>
          <tpl fld="11" item="25"/>
          <tpl fld="12" item="2"/>
          <tpl hier="44" item="2"/>
          <tpl fld="17" item="0"/>
        </tpls>
      </n>
      <m>
        <tpls c="3">
          <tpl fld="2" item="10"/>
          <tpl fld="8" item="4"/>
          <tpl fld="17" item="3"/>
        </tpls>
      </m>
      <n v="77456">
        <tpls c="6">
          <tpl fld="6" item="0"/>
          <tpl hier="35" item="1"/>
          <tpl fld="11" item="11"/>
          <tpl fld="10" item="0"/>
          <tpl hier="44" item="2"/>
          <tpl fld="17" item="0"/>
        </tpls>
      </n>
      <n v="86277800">
        <tpls c="7">
          <tpl fld="7" item="0"/>
          <tpl fld="16" item="0"/>
          <tpl fld="0" item="0"/>
          <tpl fld="11" item="65"/>
          <tpl fld="12" item="12"/>
          <tpl fld="1" item="1"/>
          <tpl fld="17" item="0"/>
        </tpls>
      </n>
      <m>
        <tpls c="3">
          <tpl fld="2" item="12"/>
          <tpl fld="8" item="1"/>
          <tpl fld="17" item="3"/>
        </tpls>
      </m>
      <m>
        <tpls c="7">
          <tpl fld="3" item="1"/>
          <tpl fld="16" item="10"/>
          <tpl hier="35" item="0"/>
          <tpl fld="11" item="20"/>
          <tpl fld="12" item="2"/>
          <tpl hier="44" item="2"/>
          <tpl fld="17" item="0"/>
        </tpls>
      </m>
      <n v="104167">
        <tpls c="7">
          <tpl fld="3" item="0"/>
          <tpl fld="16" item="8"/>
          <tpl hier="35" item="1"/>
          <tpl fld="11" item="43"/>
          <tpl fld="12" item="3"/>
          <tpl hier="44" item="2"/>
          <tpl fld="17" item="0"/>
        </tpls>
      </n>
      <n v="19540285">
        <tpls c="6">
          <tpl fld="3" item="0"/>
          <tpl fld="16" item="6"/>
          <tpl hier="35" item="1"/>
          <tpl fld="12" item="9"/>
          <tpl hier="44" item="2"/>
          <tpl fld="17" item="0"/>
        </tpls>
      </n>
      <m>
        <tpls c="6">
          <tpl fld="3" item="1"/>
          <tpl fld="16" item="0"/>
          <tpl hier="35" item="0"/>
          <tpl fld="12" item="2"/>
          <tpl hier="44" item="2"/>
          <tpl fld="17" item="0"/>
        </tpls>
      </m>
      <n v="6000">
        <tpls c="7">
          <tpl fld="3" item="0"/>
          <tpl fld="16" item="7"/>
          <tpl hier="35" item="1"/>
          <tpl fld="11" item="5"/>
          <tpl fld="12" item="1"/>
          <tpl hier="44" item="2"/>
          <tpl fld="17" item="0"/>
        </tpls>
      </n>
      <m>
        <tpls c="6">
          <tpl fld="3" item="1"/>
          <tpl fld="16" item="1"/>
          <tpl hier="35" item="0"/>
          <tpl fld="12" item="21"/>
          <tpl hier="44" item="2"/>
          <tpl fld="17" item="0"/>
        </tpls>
      </m>
      <n v="52177460">
        <tpls c="6">
          <tpl fld="7" item="3"/>
          <tpl fld="0" item="2"/>
          <tpl fld="11" item="75"/>
          <tpl fld="12" item="14"/>
          <tpl fld="1" item="1"/>
          <tpl fld="17" item="0"/>
        </tpls>
      </n>
      <n v="8250">
        <tpls c="6">
          <tpl fld="6" item="0"/>
          <tpl hier="35" item="1"/>
          <tpl fld="11" item="38"/>
          <tpl fld="10" item="2"/>
          <tpl hier="44" item="2"/>
          <tpl fld="17" item="0"/>
        </tpls>
      </n>
      <n v="914250">
        <tpls c="6">
          <tpl fld="6" item="3"/>
          <tpl hier="35" item="3"/>
          <tpl fld="11" item="27"/>
          <tpl fld="12" item="3"/>
          <tpl hier="44" item="2"/>
          <tpl fld="17" item="0"/>
        </tpls>
      </n>
      <n v="461000">
        <tpls c="7">
          <tpl fld="3" item="0"/>
          <tpl fld="16" item="5"/>
          <tpl hier="35" item="1"/>
          <tpl fld="11" item="16"/>
          <tpl fld="12" item="3"/>
          <tpl hier="44" item="2"/>
          <tpl fld="17" item="0"/>
        </tpls>
      </n>
      <n v="0">
        <tpls c="6">
          <tpl fld="6" item="2"/>
          <tpl hier="35" item="1"/>
          <tpl fld="11" item="9"/>
          <tpl fld="10" item="1"/>
          <tpl hier="44" item="2"/>
          <tpl fld="17" item="0"/>
        </tpls>
      </n>
      <m>
        <tpls c="7">
          <tpl fld="3" item="1"/>
          <tpl fld="16" item="0"/>
          <tpl hier="35" item="0"/>
          <tpl fld="11" item="9"/>
          <tpl fld="12" item="4"/>
          <tpl hier="44" item="2"/>
          <tpl fld="17" item="0"/>
        </tpls>
      </m>
      <m>
        <tpls c="7">
          <tpl fld="3" item="1"/>
          <tpl fld="16" item="2"/>
          <tpl hier="35" item="0"/>
          <tpl fld="11" item="11"/>
          <tpl fld="12" item="2"/>
          <tpl hier="44" item="2"/>
          <tpl fld="17" item="0"/>
        </tpls>
      </m>
      <n v="0">
        <tpls c="7">
          <tpl fld="7" item="0"/>
          <tpl fld="16" item="1"/>
          <tpl fld="0" item="0"/>
          <tpl fld="11" item="63"/>
          <tpl fld="12" item="13"/>
          <tpl fld="1" item="1"/>
          <tpl fld="17" item="0"/>
        </tpls>
      </n>
      <n v="1077783">
        <tpls c="7">
          <tpl fld="3" item="0"/>
          <tpl fld="16" item="6"/>
          <tpl hier="35" item="1"/>
          <tpl fld="11" item="8"/>
          <tpl fld="12" item="3"/>
          <tpl hier="44" item="2"/>
          <tpl fld="17" item="0"/>
        </tpls>
      </n>
      <n v="0">
        <tpls c="7">
          <tpl fld="3" item="0"/>
          <tpl fld="16" item="1"/>
          <tpl hier="35" item="1"/>
          <tpl fld="11" item="25"/>
          <tpl fld="12" item="2"/>
          <tpl hier="44" item="2"/>
          <tpl fld="17" item="0"/>
        </tpls>
      </n>
      <n v="0">
        <tpls c="7">
          <tpl fld="7" item="0"/>
          <tpl fld="16" item="9"/>
          <tpl fld="0" item="0"/>
          <tpl fld="11" item="65"/>
          <tpl fld="12" item="12"/>
          <tpl fld="1" item="1"/>
          <tpl fld="17" item="0"/>
        </tpls>
      </n>
      <m>
        <tpls c="7">
          <tpl fld="3" item="1"/>
          <tpl fld="16" item="2"/>
          <tpl hier="35" item="0"/>
          <tpl fld="11" item="23"/>
          <tpl fld="12" item="11"/>
          <tpl hier="44" item="2"/>
          <tpl fld="17" item="0"/>
        </tpls>
      </m>
      <n v="3600">
        <tpls c="6">
          <tpl fld="7" item="2"/>
          <tpl fld="0" item="1"/>
          <tpl fld="11" item="1"/>
          <tpl fld="12" item="1"/>
          <tpl hier="44" item="2"/>
          <tpl fld="17" item="0"/>
        </tpls>
      </n>
      <n v="312501">
        <tpls c="6">
          <tpl fld="6" item="2"/>
          <tpl hier="35" item="3"/>
          <tpl fld="11" item="43"/>
          <tpl fld="12" item="3"/>
          <tpl hier="44" item="2"/>
          <tpl fld="17" item="0"/>
        </tpls>
      </n>
      <n v="-1528">
        <tpls c="7">
          <tpl fld="7" item="0"/>
          <tpl fld="16" item="9"/>
          <tpl fld="0" item="0"/>
          <tpl fld="11" item="71"/>
          <tpl fld="12" item="13"/>
          <tpl fld="1" item="1"/>
          <tpl fld="17" item="0"/>
        </tpls>
      </n>
      <m>
        <tpls c="7">
          <tpl fld="3" item="1"/>
          <tpl fld="16" item="3"/>
          <tpl hier="35" item="0"/>
          <tpl fld="11" item="1"/>
          <tpl fld="12" item="1"/>
          <tpl hier="44" item="2"/>
          <tpl fld="17" item="0"/>
        </tpls>
      </m>
      <m>
        <tpls c="7">
          <tpl fld="3" item="1"/>
          <tpl hier="10" item="4294967295"/>
          <tpl hier="35" item="0"/>
          <tpl fld="11" item="17"/>
          <tpl fld="12" item="3"/>
          <tpl hier="44" item="2"/>
          <tpl fld="17" item="0"/>
        </tpls>
      </m>
      <m>
        <tpls c="7">
          <tpl fld="3" item="1"/>
          <tpl hier="10" item="4294967295"/>
          <tpl hier="35" item="0"/>
          <tpl fld="11" item="27"/>
          <tpl fld="12" item="3"/>
          <tpl hier="44" item="2"/>
          <tpl fld="17" item="0"/>
        </tpls>
      </m>
      <n v="1173000">
        <tpls c="7">
          <tpl fld="3" item="0"/>
          <tpl hier="10" item="4294967295"/>
          <tpl hier="35" item="1"/>
          <tpl fld="11" item="39"/>
          <tpl fld="12" item="3"/>
          <tpl hier="44" item="2"/>
          <tpl fld="17" item="0"/>
        </tpls>
      </n>
      <n v="343750">
        <tpls c="6">
          <tpl fld="6" item="1"/>
          <tpl hier="35" item="1"/>
          <tpl fld="11" item="14"/>
          <tpl fld="10" item="2"/>
          <tpl hier="44" item="2"/>
          <tpl fld="17" item="0"/>
        </tpls>
      </n>
      <n v="293250">
        <tpls c="6">
          <tpl fld="6" item="3"/>
          <tpl hier="35" item="3"/>
          <tpl fld="11" item="39"/>
          <tpl fld="12" item="3"/>
          <tpl hier="44" item="2"/>
          <tpl fld="17" item="0"/>
        </tpls>
      </n>
      <m>
        <tpls c="7">
          <tpl fld="7" item="0"/>
          <tpl fld="16" item="9"/>
          <tpl fld="0" item="0"/>
          <tpl fld="11" item="61"/>
          <tpl fld="12" item="7"/>
          <tpl fld="1" item="1"/>
          <tpl fld="17" item="0"/>
        </tpls>
      </m>
      <n v="0">
        <tpls c="7">
          <tpl fld="3" item="0"/>
          <tpl fld="16" item="1"/>
          <tpl hier="35" item="1"/>
          <tpl fld="11" item="0"/>
          <tpl fld="12" item="2"/>
          <tpl hier="44" item="2"/>
          <tpl fld="17" item="0"/>
        </tpls>
      </n>
      <n v="451378">
        <tpls c="6">
          <tpl fld="3" item="0"/>
          <tpl fld="16" item="7"/>
          <tpl hier="35" item="1"/>
          <tpl fld="12" item="4"/>
          <tpl hier="44" item="2"/>
          <tpl fld="17" item="0"/>
        </tpls>
      </n>
      <n v="325000">
        <tpls c="7">
          <tpl fld="3" item="0"/>
          <tpl fld="16" item="1"/>
          <tpl hier="35" item="1"/>
          <tpl fld="11" item="23"/>
          <tpl fld="12" item="11"/>
          <tpl hier="44" item="2"/>
          <tpl fld="17" item="0"/>
        </tpls>
      </n>
      <n v="573358">
        <tpls c="6">
          <tpl fld="7" item="0"/>
          <tpl fld="0" item="0"/>
          <tpl fld="11" item="17"/>
          <tpl fld="12" item="3"/>
          <tpl hier="44" item="2"/>
          <tpl fld="17" item="0"/>
        </tpls>
      </n>
      <n v="0">
        <tpls c="7">
          <tpl fld="7" item="0"/>
          <tpl fld="16" item="2"/>
          <tpl fld="0" item="0"/>
          <tpl fld="11" item="29"/>
          <tpl fld="12" item="8"/>
          <tpl fld="1" item="1"/>
          <tpl fld="17" item="0"/>
        </tpls>
      </n>
      <n v="229754">
        <tpls c="7">
          <tpl fld="7" item="0"/>
          <tpl fld="16" item="1"/>
          <tpl fld="0" item="0"/>
          <tpl fld="11" item="62"/>
          <tpl fld="12" item="13"/>
          <tpl fld="1" item="1"/>
          <tpl fld="17" item="0"/>
        </tpls>
      </n>
      <m>
        <tpls c="3">
          <tpl fld="2" item="20"/>
          <tpl fld="8" item="11"/>
          <tpl fld="17" item="3"/>
        </tpls>
      </m>
      <n v="14309">
        <tpls c="6">
          <tpl fld="7" item="1"/>
          <tpl fld="0" item="2"/>
          <tpl fld="11" item="9"/>
          <tpl fld="12" item="4"/>
          <tpl hier="44" item="2"/>
          <tpl fld="17" item="0"/>
        </tpls>
      </n>
      <m>
        <tpls c="3">
          <tpl fld="2" item="12"/>
          <tpl fld="8" item="3"/>
          <tpl fld="17" item="3"/>
        </tpls>
      </m>
      <n v="1275351">
        <tpls c="6">
          <tpl fld="6" item="3"/>
          <tpl hier="35" item="1"/>
          <tpl fld="11" item="22"/>
          <tpl fld="10" item="1"/>
          <tpl hier="44" item="2"/>
          <tpl fld="17" item="0"/>
        </tpls>
      </n>
      <n v="0">
        <tpls c="6">
          <tpl fld="7" item="1"/>
          <tpl fld="0" item="2"/>
          <tpl fld="11" item="13"/>
          <tpl fld="12" item="5"/>
          <tpl fld="1" item="1"/>
          <tpl fld="17" item="0"/>
        </tpls>
      </n>
      <n v="404750">
        <tpls c="7">
          <tpl fld="3" item="0"/>
          <tpl fld="16" item="7"/>
          <tpl hier="35" item="1"/>
          <tpl fld="11" item="27"/>
          <tpl fld="12" item="3"/>
          <tpl hier="44" item="2"/>
          <tpl fld="17" item="0"/>
        </tpls>
      </n>
      <n v="-2826514">
        <tpls c="6">
          <tpl fld="7" item="0"/>
          <tpl fld="16" item="7"/>
          <tpl fld="0" item="0"/>
          <tpl fld="12" item="13"/>
          <tpl fld="1" item="1"/>
          <tpl fld="17" item="0"/>
        </tpls>
      </n>
      <n v="1225000">
        <tpls c="6">
          <tpl fld="6" item="2"/>
          <tpl hier="35" item="3"/>
          <tpl fld="11" item="23"/>
          <tpl fld="12" item="11"/>
          <tpl hier="44" item="2"/>
          <tpl fld="17" item="0"/>
        </tpls>
      </n>
      <n v="-634770">
        <tpls c="6">
          <tpl fld="7" item="0"/>
          <tpl fld="16" item="9"/>
          <tpl fld="0" item="0"/>
          <tpl fld="12" item="7"/>
          <tpl fld="1" item="1"/>
          <tpl fld="17" item="0"/>
        </tpls>
      </n>
      <m>
        <tpls c="3">
          <tpl fld="2" item="19"/>
          <tpl fld="8" item="4"/>
          <tpl fld="17" item="3"/>
        </tpls>
      </m>
      <n v="39700">
        <tpls c="7">
          <tpl fld="3" item="0"/>
          <tpl fld="16" item="6"/>
          <tpl hier="35" item="1"/>
          <tpl fld="11" item="15"/>
          <tpl fld="12" item="3"/>
          <tpl hier="44" item="2"/>
          <tpl fld="17" item="0"/>
        </tpls>
      </n>
      <m>
        <tpls c="7">
          <tpl fld="3" item="1"/>
          <tpl fld="16" item="4"/>
          <tpl hier="35" item="0"/>
          <tpl fld="11" item="34"/>
          <tpl fld="12" item="15"/>
          <tpl hier="44" item="2"/>
          <tpl fld="17" item="0"/>
        </tpls>
      </m>
      <m>
        <tpls c="3">
          <tpl fld="2" item="16"/>
          <tpl fld="8" item="11"/>
          <tpl fld="17" item="3"/>
        </tpls>
      </m>
      <n v="100100">
        <tpls c="6">
          <tpl fld="6" item="1"/>
          <tpl hier="35" item="3"/>
          <tpl fld="11" item="17"/>
          <tpl fld="12" item="3"/>
          <tpl hier="44" item="2"/>
          <tpl fld="17" item="0"/>
        </tpls>
      </n>
      <n v="-8210">
        <tpls c="6">
          <tpl fld="7" item="0"/>
          <tpl fld="16" item="1"/>
          <tpl fld="0" item="0"/>
          <tpl fld="12" item="20"/>
          <tpl fld="1" item="1"/>
          <tpl fld="17" item="0"/>
        </tpls>
      </n>
      <n v="1218953">
        <tpls c="6">
          <tpl fld="7" item="2"/>
          <tpl fld="0" item="1"/>
          <tpl fld="11" item="19"/>
          <tpl fld="10" item="0"/>
          <tpl hier="44" item="2"/>
          <tpl fld="17" item="0"/>
        </tpls>
      </n>
      <n v="683911">
        <tpls c="6">
          <tpl fld="7" item="1"/>
          <tpl fld="0" item="2"/>
          <tpl fld="11" item="60"/>
          <tpl fld="12" item="20"/>
          <tpl fld="1" item="1"/>
          <tpl fld="17" item="0"/>
        </tpls>
      </n>
      <m>
        <tpls c="7">
          <tpl fld="3" item="1"/>
          <tpl fld="16" item="0"/>
          <tpl hier="35" item="0"/>
          <tpl fld="11" item="49"/>
          <tpl fld="12" item="9"/>
          <tpl hier="44" item="2"/>
          <tpl fld="17" item="0"/>
        </tpls>
      </m>
      <n v="0">
        <tpls c="7">
          <tpl fld="3" item="0"/>
          <tpl fld="16" item="6"/>
          <tpl hier="35" item="1"/>
          <tpl fld="11" item="48"/>
          <tpl fld="12" item="4"/>
          <tpl hier="44" item="2"/>
          <tpl fld="17" item="0"/>
        </tpls>
      </n>
      <n v="594623">
        <tpls c="6">
          <tpl fld="6" item="0"/>
          <tpl hier="35" item="1"/>
          <tpl fld="11" item="36"/>
          <tpl fld="10" item="0"/>
          <tpl hier="44" item="2"/>
          <tpl fld="17" item="0"/>
        </tpls>
      </n>
      <n v="150000">
        <tpls c="3">
          <tpl fld="2" item="10"/>
          <tpl fld="8" item="9"/>
          <tpl fld="17" item="3"/>
        </tpls>
      </n>
      <n v="300">
        <tpls c="7">
          <tpl fld="3" item="0"/>
          <tpl fld="16" item="11"/>
          <tpl hier="35" item="1"/>
          <tpl fld="11" item="1"/>
          <tpl fld="12" item="1"/>
          <tpl hier="44" item="2"/>
          <tpl fld="17" item="0"/>
        </tpls>
      </n>
      <n v="-144733">
        <tpls c="7">
          <tpl fld="7" item="0"/>
          <tpl fld="16" item="11"/>
          <tpl fld="0" item="0"/>
          <tpl fld="11" item="72"/>
          <tpl fld="12" item="0"/>
          <tpl fld="1" item="1"/>
          <tpl fld="17" item="0"/>
        </tpls>
      </n>
      <n v="0">
        <tpls c="6">
          <tpl fld="7" item="3"/>
          <tpl fld="0" item="2"/>
          <tpl fld="11" item="68"/>
          <tpl fld="12" item="17"/>
          <tpl fld="1" item="1"/>
          <tpl fld="17" item="0"/>
        </tpls>
      </n>
      <n v="14500000">
        <tpls c="3">
          <tpl fld="8" item="3"/>
          <tpl fld="4" item="3"/>
          <tpl fld="17" item="3"/>
        </tpls>
      </n>
      <n v="0">
        <tpls c="7">
          <tpl fld="7" item="0"/>
          <tpl fld="16" item="5"/>
          <tpl fld="0" item="0"/>
          <tpl fld="11" item="29"/>
          <tpl fld="12" item="8"/>
          <tpl fld="1" item="1"/>
          <tpl fld="17" item="0"/>
        </tpls>
      </n>
      <n v="1173000">
        <tpls c="6">
          <tpl fld="7" item="2"/>
          <tpl fld="0" item="1"/>
          <tpl fld="11" item="39"/>
          <tpl fld="10" item="2"/>
          <tpl hier="44" item="2"/>
          <tpl fld="17" item="0"/>
        </tpls>
      </n>
      <n v="185000">
        <tpls c="3">
          <tpl fld="5" item="0"/>
          <tpl fld="4" item="2"/>
          <tpl fld="17" item="3"/>
        </tpls>
      </n>
      <n v="0">
        <tpls c="7">
          <tpl fld="7" item="0"/>
          <tpl fld="16" item="1"/>
          <tpl fld="0" item="0"/>
          <tpl fld="11" item="75"/>
          <tpl fld="12" item="14"/>
          <tpl fld="1" item="1"/>
          <tpl fld="17" item="0"/>
        </tpls>
      </n>
      <m>
        <tpls c="7">
          <tpl fld="3" item="1"/>
          <tpl fld="16" item="8"/>
          <tpl hier="35" item="0"/>
          <tpl fld="11" item="3"/>
          <tpl fld="12" item="2"/>
          <tpl hier="44" item="2"/>
          <tpl fld="17" item="0"/>
        </tpls>
      </m>
      <n v="3600">
        <tpls c="6">
          <tpl fld="7" item="2"/>
          <tpl fld="0" item="1"/>
          <tpl fld="11" item="1"/>
          <tpl fld="10" item="3"/>
          <tpl hier="44" item="2"/>
          <tpl fld="17" item="0"/>
        </tpls>
      </n>
      <m>
        <tpls c="6">
          <tpl fld="7" item="0"/>
          <tpl fld="0" item="0"/>
          <tpl fld="11" item="7"/>
          <tpl fld="10" item="1"/>
          <tpl hier="44" item="2"/>
          <tpl fld="17" item="0"/>
        </tpls>
      </m>
      <m>
        <tpls c="3">
          <tpl fld="2" item="2"/>
          <tpl fld="8" item="1"/>
          <tpl fld="17" item="3"/>
        </tpls>
      </m>
      <n v="312501">
        <tpls c="6">
          <tpl fld="6" item="0"/>
          <tpl hier="35" item="3"/>
          <tpl fld="11" item="43"/>
          <tpl fld="12" item="3"/>
          <tpl hier="44" item="2"/>
          <tpl fld="17" item="0"/>
        </tpls>
      </n>
      <n v="1250004">
        <tpls c="6">
          <tpl fld="7" item="2"/>
          <tpl fld="0" item="1"/>
          <tpl fld="11" item="43"/>
          <tpl fld="12" item="3"/>
          <tpl hier="44" item="2"/>
          <tpl fld="17" item="0"/>
        </tpls>
      </n>
      <n v="1077783">
        <tpls c="7">
          <tpl fld="3" item="0"/>
          <tpl fld="16" item="4"/>
          <tpl hier="35" item="1"/>
          <tpl fld="11" item="8"/>
          <tpl fld="12" item="3"/>
          <tpl hier="44" item="2"/>
          <tpl fld="17" item="0"/>
        </tpls>
      </n>
      <m>
        <tpls c="3">
          <tpl fld="2" item="13"/>
          <tpl fld="8" item="4"/>
          <tpl fld="17" item="3"/>
        </tpls>
      </m>
      <m>
        <tpls c="3">
          <tpl fld="2" item="15"/>
          <tpl fld="8" item="7"/>
          <tpl fld="17" item="3"/>
        </tpls>
      </m>
      <n v="938527">
        <tpls c="6">
          <tpl fld="7" item="0"/>
          <tpl fld="0" item="0"/>
          <tpl fld="11" item="43"/>
          <tpl fld="12" item="3"/>
          <tpl hier="44" item="2"/>
          <tpl fld="17" item="0"/>
        </tpls>
      </n>
      <n v="631609">
        <tpls c="3">
          <tpl fld="9" item="2"/>
          <tpl fld="15" item="3"/>
          <tpl fld="17" item="2"/>
        </tpls>
      </n>
      <m>
        <tpls c="7">
          <tpl fld="3" item="1"/>
          <tpl fld="16" item="1"/>
          <tpl hier="35" item="0"/>
          <tpl fld="11" item="30"/>
          <tpl fld="12" item="15"/>
          <tpl hier="44" item="2"/>
          <tpl fld="17" item="0"/>
        </tpls>
      </m>
      <n v="97750">
        <tpls c="7">
          <tpl fld="3" item="0"/>
          <tpl fld="16" item="4"/>
          <tpl hier="35" item="1"/>
          <tpl fld="11" item="39"/>
          <tpl fld="12" item="3"/>
          <tpl hier="44" item="2"/>
          <tpl fld="17" item="0"/>
        </tpls>
      </n>
      <m>
        <tpls c="7">
          <tpl fld="3" item="1"/>
          <tpl fld="16" item="5"/>
          <tpl hier="35" item="0"/>
          <tpl fld="11" item="32"/>
          <tpl fld="12" item="2"/>
          <tpl hier="44" item="2"/>
          <tpl fld="17" item="0"/>
        </tpls>
      </m>
      <n v="0">
        <tpls c="7">
          <tpl fld="7" item="0"/>
          <tpl fld="16" item="11"/>
          <tpl fld="0" item="0"/>
          <tpl fld="11" item="67"/>
          <tpl fld="12" item="0"/>
          <tpl fld="1" item="1"/>
          <tpl fld="17" item="0"/>
        </tpls>
      </n>
      <m>
        <tpls c="3">
          <tpl fld="2" item="1"/>
          <tpl fld="8" item="2"/>
          <tpl fld="17" item="3"/>
        </tpls>
      </m>
      <m>
        <tpls c="7">
          <tpl fld="3" item="1"/>
          <tpl fld="16" item="11"/>
          <tpl hier="35" item="0"/>
          <tpl fld="11" item="54"/>
          <tpl fld="12" item="4"/>
          <tpl hier="44" item="2"/>
          <tpl fld="17" item="0"/>
        </tpls>
      </m>
      <m>
        <tpls c="3">
          <tpl fld="2" item="17"/>
          <tpl fld="8" item="8"/>
          <tpl fld="17" item="3"/>
        </tpls>
      </m>
      <n v="1890000">
        <tpls c="3">
          <tpl fld="2" item="11"/>
          <tpl fld="8" item="5"/>
          <tpl fld="17" item="3"/>
        </tpls>
      </n>
      <n v="0">
        <tpls c="7">
          <tpl fld="7" item="0"/>
          <tpl fld="16" item="9"/>
          <tpl fld="0" item="0"/>
          <tpl fld="11" item="29"/>
          <tpl fld="12" item="8"/>
          <tpl fld="1" item="1"/>
          <tpl fld="17" item="0"/>
        </tpls>
      </n>
      <n v="0">
        <tpls c="7">
          <tpl fld="3" item="0"/>
          <tpl hier="10" item="4294967295"/>
          <tpl hier="35" item="1"/>
          <tpl fld="11" item="0"/>
          <tpl fld="12" item="2"/>
          <tpl hier="44" item="2"/>
          <tpl fld="17" item="0"/>
        </tpls>
      </n>
      <n v="0">
        <tpls c="7">
          <tpl fld="3" item="0"/>
          <tpl fld="16" item="0"/>
          <tpl hier="35" item="1"/>
          <tpl fld="11" item="48"/>
          <tpl fld="12" item="4"/>
          <tpl hier="44" item="2"/>
          <tpl fld="17" item="0"/>
        </tpls>
      </n>
      <n v="0">
        <tpls c="6">
          <tpl fld="7" item="1"/>
          <tpl fld="0" item="2"/>
          <tpl fld="11" item="64"/>
          <tpl fld="12" item="22"/>
          <tpl fld="1" item="1"/>
          <tpl fld="17" item="0"/>
        </tpls>
      </n>
      <n v="0">
        <tpls c="6">
          <tpl fld="7" item="0"/>
          <tpl fld="16" item="11"/>
          <tpl fld="0" item="0"/>
          <tpl fld="12" item="12"/>
          <tpl fld="1" item="1"/>
          <tpl fld="17" item="0"/>
        </tpls>
      </n>
      <n v="3353">
        <tpls c="6">
          <tpl fld="7" item="0"/>
          <tpl fld="0" item="0"/>
          <tpl fld="11" item="30"/>
          <tpl fld="12" item="15"/>
          <tpl hier="44" item="2"/>
          <tpl fld="17" item="0"/>
        </tpls>
      </n>
      <m>
        <tpls c="7">
          <tpl fld="3" item="1"/>
          <tpl hier="10" item="4294967295"/>
          <tpl hier="35" item="0"/>
          <tpl fld="11" item="22"/>
          <tpl fld="12" item="4"/>
          <tpl hier="44" item="2"/>
          <tpl fld="17" item="0"/>
        </tpls>
      </m>
      <n v="0">
        <tpls c="7">
          <tpl fld="7" item="0"/>
          <tpl fld="16" item="1"/>
          <tpl fld="0" item="0"/>
          <tpl fld="11" item="69"/>
          <tpl fld="12" item="7"/>
          <tpl fld="1" item="1"/>
          <tpl fld="17" item="0"/>
        </tpls>
      </n>
      <n v="890875">
        <tpls c="7">
          <tpl fld="7" item="0"/>
          <tpl fld="16" item="0"/>
          <tpl fld="0" item="0"/>
          <tpl fld="11" item="73"/>
          <tpl fld="12" item="0"/>
          <tpl fld="1" item="1"/>
          <tpl fld="17" item="0"/>
        </tpls>
      </n>
      <m>
        <tpls c="3">
          <tpl fld="2" item="13"/>
          <tpl fld="8" item="10"/>
          <tpl fld="17" item="3"/>
        </tpls>
      </m>
      <n v="0">
        <tpls c="7">
          <tpl fld="7" item="0"/>
          <tpl fld="16" item="5"/>
          <tpl fld="0" item="0"/>
          <tpl fld="11" item="75"/>
          <tpl fld="12" item="14"/>
          <tpl fld="1" item="1"/>
          <tpl fld="17" item="0"/>
        </tpls>
      </n>
      <n v="0">
        <tpls c="6">
          <tpl fld="6" item="1"/>
          <tpl hier="35" item="3"/>
          <tpl fld="11" item="0"/>
          <tpl fld="12" item="2"/>
          <tpl hier="44" item="2"/>
          <tpl fld="17" item="0"/>
        </tpls>
      </n>
      <n v="33367">
        <tpls c="7">
          <tpl fld="3" item="0"/>
          <tpl fld="16" item="2"/>
          <tpl hier="35" item="1"/>
          <tpl fld="11" item="17"/>
          <tpl fld="12" item="3"/>
          <tpl hier="44" item="2"/>
          <tpl fld="17" item="0"/>
        </tpls>
      </n>
      <m>
        <tpls c="7">
          <tpl fld="3" item="1"/>
          <tpl fld="16" item="5"/>
          <tpl hier="35" item="0"/>
          <tpl fld="11" item="36"/>
          <tpl fld="12" item="2"/>
          <tpl hier="44" item="2"/>
          <tpl fld="17" item="0"/>
        </tpls>
      </m>
      <m>
        <tpls c="3">
          <tpl fld="2" item="21"/>
          <tpl fld="8" item="1"/>
          <tpl fld="17" item="3"/>
        </tpls>
      </m>
      <n v="3930000">
        <tpls c="6">
          <tpl fld="6" item="3"/>
          <tpl hier="35" item="3"/>
          <tpl fld="11" item="37"/>
          <tpl fld="12" item="11"/>
          <tpl hier="44" item="2"/>
          <tpl fld="17" item="0"/>
        </tpls>
      </n>
      <n v="72191018">
        <tpls c="6">
          <tpl fld="3" item="0"/>
          <tpl hier="10" item="4294967295"/>
          <tpl hier="35" item="1"/>
          <tpl fld="12" item="3"/>
          <tpl hier="44" item="2"/>
          <tpl fld="17" item="0"/>
        </tpls>
      </n>
      <n v="-10087338">
        <tpls c="7">
          <tpl fld="7" item="0"/>
          <tpl fld="16" item="3"/>
          <tpl fld="0" item="0"/>
          <tpl fld="11" item="56"/>
          <tpl fld="12" item="16"/>
          <tpl fld="1" item="1"/>
          <tpl fld="17" item="0"/>
        </tpls>
      </n>
      <n v="0">
        <tpls c="7">
          <tpl fld="7" item="0"/>
          <tpl fld="16" item="7"/>
          <tpl fld="0" item="0"/>
          <tpl fld="11" item="13"/>
          <tpl fld="12" item="5"/>
          <tpl fld="1" item="1"/>
          <tpl fld="17" item="0"/>
        </tpls>
      </n>
      <m>
        <tpls c="7">
          <tpl fld="3" item="1"/>
          <tpl fld="16" item="4"/>
          <tpl hier="35" item="0"/>
          <tpl fld="11" item="27"/>
          <tpl fld="12" item="3"/>
          <tpl hier="44" item="2"/>
          <tpl fld="17" item="0"/>
        </tpls>
      </m>
      <n v="26599312">
        <tpls c="6">
          <tpl fld="7" item="0"/>
          <tpl fld="0" item="0"/>
          <tpl fld="11" item="2"/>
          <tpl fld="12" item="2"/>
          <tpl hier="44" item="2"/>
          <tpl fld="17" item="0"/>
        </tpls>
      </n>
      <m>
        <tpls c="7">
          <tpl fld="3" item="1"/>
          <tpl fld="16" item="8"/>
          <tpl hier="35" item="0"/>
          <tpl fld="11" item="11"/>
          <tpl fld="12" item="2"/>
          <tpl hier="44" item="2"/>
          <tpl fld="17" item="0"/>
        </tpls>
      </m>
      <n v="0">
        <tpls c="7">
          <tpl fld="7" item="0"/>
          <tpl fld="16" item="6"/>
          <tpl fld="0" item="0"/>
          <tpl fld="11" item="65"/>
          <tpl fld="12" item="12"/>
          <tpl fld="1" item="1"/>
          <tpl fld="17" item="0"/>
        </tpls>
      </n>
      <n v="7200">
        <tpls c="6">
          <tpl fld="3" item="0"/>
          <tpl hier="10" item="4294967295"/>
          <tpl hier="35" item="1"/>
          <tpl fld="12" item="21"/>
          <tpl hier="44" item="2"/>
          <tpl fld="17" item="0"/>
        </tpls>
      </n>
      <n v="16569210">
        <tpls c="6">
          <tpl fld="7" item="0"/>
          <tpl fld="0" item="0"/>
          <tpl fld="11" item="20"/>
          <tpl fld="10" item="0"/>
          <tpl hier="44" item="2"/>
          <tpl fld="17" item="0"/>
        </tpls>
      </n>
      <n v="-275530">
        <tpls c="7">
          <tpl fld="7" item="0"/>
          <tpl fld="16" item="6"/>
          <tpl fld="0" item="0"/>
          <tpl fld="11" item="45"/>
          <tpl fld="12" item="7"/>
          <tpl fld="1" item="1"/>
          <tpl fld="17" item="0"/>
        </tpls>
      </n>
      <n v="2750">
        <tpls c="7">
          <tpl fld="3" item="0"/>
          <tpl fld="16" item="1"/>
          <tpl hier="35" item="1"/>
          <tpl fld="11" item="38"/>
          <tpl fld="12" item="11"/>
          <tpl hier="44" item="2"/>
          <tpl fld="17" item="0"/>
        </tpls>
      </n>
      <n v="38000">
        <tpls c="6">
          <tpl fld="7" item="0"/>
          <tpl fld="16" item="6"/>
          <tpl fld="0" item="0"/>
          <tpl fld="12" item="0"/>
          <tpl fld="1" item="1"/>
          <tpl fld="17" item="0"/>
        </tpls>
      </n>
      <n v="300">
        <tpls c="7">
          <tpl fld="3" item="0"/>
          <tpl fld="16" item="7"/>
          <tpl hier="35" item="1"/>
          <tpl fld="11" item="1"/>
          <tpl fld="12" item="1"/>
          <tpl hier="44" item="2"/>
          <tpl fld="17" item="0"/>
        </tpls>
      </n>
      <n v="14500000">
        <tpls c="3">
          <tpl fld="5" item="0"/>
          <tpl fld="4" item="3"/>
          <tpl fld="17" item="3"/>
        </tpls>
      </n>
      <n v="-80261">
        <tpls c="7">
          <tpl fld="7" item="0"/>
          <tpl fld="16" item="6"/>
          <tpl fld="0" item="0"/>
          <tpl fld="11" item="51"/>
          <tpl fld="12" item="7"/>
          <tpl fld="1" item="1"/>
          <tpl fld="17" item="0"/>
        </tpls>
      </n>
      <n v="1335757">
        <tpls c="5">
          <tpl fld="7" item="3"/>
          <tpl fld="0" item="2"/>
          <tpl fld="12" item="20"/>
          <tpl fld="1" item="1"/>
          <tpl fld="17" item="0"/>
        </tpls>
      </n>
      <m>
        <tpls c="6">
          <tpl fld="3" item="1"/>
          <tpl fld="16" item="4"/>
          <tpl hier="35" item="0"/>
          <tpl fld="12" item="3"/>
          <tpl hier="44" item="2"/>
          <tpl fld="17" item="0"/>
        </tpls>
      </m>
      <m>
        <tpls c="3">
          <tpl fld="2" item="0"/>
          <tpl fld="8" item="4"/>
          <tpl fld="17" item="3"/>
        </tpls>
      </m>
      <n v="39700">
        <tpls c="7">
          <tpl fld="3" item="0"/>
          <tpl fld="16" item="2"/>
          <tpl hier="35" item="1"/>
          <tpl fld="11" item="15"/>
          <tpl fld="12" item="3"/>
          <tpl hier="44" item="2"/>
          <tpl fld="17" item="0"/>
        </tpls>
      </n>
      <n v="17390000">
        <tpls c="3">
          <tpl fld="8" item="5"/>
          <tpl fld="4" item="3"/>
          <tpl fld="17" item="3"/>
        </tpls>
      </n>
      <n v="0">
        <tpls c="7">
          <tpl fld="3" item="0"/>
          <tpl fld="16" item="7"/>
          <tpl hier="35" item="1"/>
          <tpl fld="11" item="0"/>
          <tpl fld="12" item="2"/>
          <tpl hier="44" item="2"/>
          <tpl fld="17" item="0"/>
        </tpls>
      </n>
      <m>
        <tpls c="7">
          <tpl fld="3" item="1"/>
          <tpl fld="16" item="5"/>
          <tpl hier="35" item="0"/>
          <tpl fld="11" item="22"/>
          <tpl fld="12" item="4"/>
          <tpl hier="44" item="2"/>
          <tpl fld="17" item="0"/>
        </tpls>
      </m>
      <n v="0">
        <tpls c="7">
          <tpl fld="7" item="0"/>
          <tpl fld="16" item="2"/>
          <tpl fld="0" item="0"/>
          <tpl fld="11" item="45"/>
          <tpl fld="12" item="7"/>
          <tpl fld="1" item="1"/>
          <tpl fld="17" item="0"/>
        </tpls>
      </n>
      <m>
        <tpls c="3">
          <tpl fld="2" item="7"/>
          <tpl fld="8" item="4"/>
          <tpl fld="17" item="3"/>
        </tpls>
      </m>
      <n v="126875">
        <tpls c="3">
          <tpl fld="9" item="7"/>
          <tpl fld="15" item="3"/>
          <tpl fld="17" item="2"/>
        </tpls>
      </n>
      <n v="1310000">
        <tpls c="7">
          <tpl fld="3" item="0"/>
          <tpl fld="16" item="5"/>
          <tpl hier="35" item="1"/>
          <tpl fld="11" item="37"/>
          <tpl fld="12" item="11"/>
          <tpl hier="44" item="2"/>
          <tpl fld="17" item="0"/>
        </tpls>
      </n>
      <m>
        <tpls c="3">
          <tpl fld="2" item="8"/>
          <tpl fld="8" item="8"/>
          <tpl fld="17" item="3"/>
        </tpls>
      </m>
      <n v="59081004">
        <tpls c="6">
          <tpl fld="7" item="1"/>
          <tpl fld="0" item="2"/>
          <tpl fld="11" item="53"/>
          <tpl fld="12" item="14"/>
          <tpl fld="1" item="1"/>
          <tpl fld="17" item="0"/>
        </tpls>
      </n>
      <m>
        <tpls c="7">
          <tpl fld="3" item="1"/>
          <tpl fld="16" item="2"/>
          <tpl hier="35" item="0"/>
          <tpl fld="11" item="33"/>
          <tpl fld="12" item="3"/>
          <tpl hier="44" item="2"/>
          <tpl fld="17" item="0"/>
        </tpls>
      </m>
      <m>
        <tpls c="7">
          <tpl fld="3" item="1"/>
          <tpl fld="16" item="3"/>
          <tpl hier="35" item="0"/>
          <tpl fld="11" item="3"/>
          <tpl fld="12" item="2"/>
          <tpl hier="44" item="2"/>
          <tpl fld="17" item="0"/>
        </tpls>
      </m>
      <n v="120386">
        <tpls c="7">
          <tpl fld="3" item="0"/>
          <tpl fld="16" item="4"/>
          <tpl hier="35" item="1"/>
          <tpl fld="11" item="19"/>
          <tpl fld="12" item="2"/>
          <tpl hier="44" item="2"/>
          <tpl fld="17" item="0"/>
        </tpls>
      </n>
      <m>
        <tpls c="7">
          <tpl fld="3" item="1"/>
          <tpl fld="16" item="7"/>
          <tpl hier="35" item="0"/>
          <tpl fld="11" item="14"/>
          <tpl fld="12" item="3"/>
          <tpl hier="44" item="2"/>
          <tpl fld="17" item="0"/>
        </tpls>
      </m>
      <m>
        <tpls c="7">
          <tpl fld="3" item="1"/>
          <tpl fld="16" item="9"/>
          <tpl hier="35" item="0"/>
          <tpl fld="11" item="10"/>
          <tpl fld="12" item="3"/>
          <tpl hier="44" item="2"/>
          <tpl fld="17" item="0"/>
        </tpls>
      </m>
      <m>
        <tpls c="7">
          <tpl fld="3" item="1"/>
          <tpl fld="16" item="5"/>
          <tpl hier="35" item="0"/>
          <tpl fld="11" item="38"/>
          <tpl fld="12" item="11"/>
          <tpl hier="44" item="2"/>
          <tpl fld="17" item="0"/>
        </tpls>
      </m>
      <n v="0">
        <tpls c="6">
          <tpl fld="7" item="0"/>
          <tpl fld="16" item="3"/>
          <tpl fld="0" item="0"/>
          <tpl fld="12" item="6"/>
          <tpl fld="1" item="1"/>
          <tpl fld="17" item="0"/>
        </tpls>
      </n>
      <m>
        <tpls c="7">
          <tpl fld="3" item="1"/>
          <tpl fld="16" item="0"/>
          <tpl hier="35" item="0"/>
          <tpl fld="11" item="11"/>
          <tpl fld="12" item="2"/>
          <tpl hier="44" item="2"/>
          <tpl fld="17" item="0"/>
        </tpls>
      </m>
      <n v="-2931861">
        <tpls c="6">
          <tpl fld="7" item="0"/>
          <tpl fld="16" item="6"/>
          <tpl fld="0" item="0"/>
          <tpl fld="12" item="13"/>
          <tpl fld="1" item="1"/>
          <tpl fld="17" item="0"/>
        </tpls>
      </n>
      <n v="3550">
        <tpls c="6">
          <tpl fld="7" item="2"/>
          <tpl fld="0" item="1"/>
          <tpl fld="11" item="30"/>
          <tpl fld="10" item="1"/>
          <tpl hier="44" item="2"/>
          <tpl fld="17" item="0"/>
        </tpls>
      </n>
      <n v="1800">
        <tpls c="5">
          <tpl fld="6" item="3"/>
          <tpl hier="35" item="3"/>
          <tpl fld="12" item="21"/>
          <tpl hier="44" item="2"/>
          <tpl fld="17" item="0"/>
        </tpls>
      </n>
      <n v="1881">
        <tpls c="6">
          <tpl fld="7" item="1"/>
          <tpl fld="0" item="2"/>
          <tpl fld="11" item="34"/>
          <tpl fld="12" item="15"/>
          <tpl hier="44" item="2"/>
          <tpl fld="17" item="0"/>
        </tpls>
      </n>
      <n v="24167">
        <tpls c="7">
          <tpl fld="3" item="0"/>
          <tpl fld="16" item="9"/>
          <tpl hier="35" item="1"/>
          <tpl fld="11" item="50"/>
          <tpl fld="12" item="11"/>
          <tpl hier="44" item="2"/>
          <tpl fld="17" item="0"/>
        </tpls>
      </n>
      <m>
        <tpls c="7">
          <tpl fld="3" item="1"/>
          <tpl fld="16" item="6"/>
          <tpl hier="35" item="0"/>
          <tpl fld="11" item="0"/>
          <tpl fld="12" item="2"/>
          <tpl hier="44" item="2"/>
          <tpl fld="17" item="0"/>
        </tpls>
      </m>
      <m>
        <tpls c="7">
          <tpl fld="3" item="1"/>
          <tpl fld="16" item="4"/>
          <tpl hier="35" item="0"/>
          <tpl fld="11" item="3"/>
          <tpl fld="12" item="2"/>
          <tpl hier="44" item="2"/>
          <tpl fld="17" item="0"/>
        </tpls>
      </m>
      <n v="3233349">
        <tpls c="6">
          <tpl fld="6" item="0"/>
          <tpl hier="35" item="3"/>
          <tpl fld="11" item="8"/>
          <tpl fld="12" item="3"/>
          <tpl hier="44" item="2"/>
          <tpl fld="17" item="0"/>
        </tpls>
      </n>
      <n v="573500">
        <tpls c="7">
          <tpl fld="3" item="0"/>
          <tpl fld="16" item="7"/>
          <tpl hier="35" item="1"/>
          <tpl fld="11" item="16"/>
          <tpl fld="12" item="3"/>
          <tpl hier="44" item="2"/>
          <tpl fld="17" item="0"/>
        </tpls>
      </n>
      <n v="1427667">
        <tpls c="7">
          <tpl fld="3" item="0"/>
          <tpl fld="16" item="9"/>
          <tpl hier="35" item="1"/>
          <tpl fld="11" item="33"/>
          <tpl fld="12" item="3"/>
          <tpl hier="44" item="2"/>
          <tpl fld="17" item="0"/>
        </tpls>
      </n>
      <m>
        <tpls c="7">
          <tpl fld="3" item="1"/>
          <tpl hier="10" item="4294967295"/>
          <tpl hier="35" item="0"/>
          <tpl fld="11" item="9"/>
          <tpl fld="12" item="4"/>
          <tpl hier="44" item="2"/>
          <tpl fld="17" item="0"/>
        </tpls>
      </m>
      <n v="461000">
        <tpls c="7">
          <tpl fld="3" item="0"/>
          <tpl fld="16" item="1"/>
          <tpl hier="35" item="1"/>
          <tpl fld="11" item="16"/>
          <tpl fld="12" item="3"/>
          <tpl hier="44" item="2"/>
          <tpl fld="17" item="0"/>
        </tpls>
      </n>
      <n v="0">
        <tpls c="7">
          <tpl fld="3" item="0"/>
          <tpl fld="16" item="7"/>
          <tpl hier="35" item="1"/>
          <tpl fld="11" item="48"/>
          <tpl fld="12" item="4"/>
          <tpl hier="44" item="2"/>
          <tpl fld="17" item="0"/>
        </tpls>
      </n>
      <m>
        <tpls c="3">
          <tpl fld="2" item="12"/>
          <tpl fld="8" item="5"/>
          <tpl fld="17" item="3"/>
        </tpls>
      </m>
      <m>
        <tpls c="7">
          <tpl fld="3" item="1"/>
          <tpl fld="16" item="7"/>
          <tpl hier="35" item="0"/>
          <tpl fld="11" item="6"/>
          <tpl fld="12" item="3"/>
          <tpl hier="44" item="2"/>
          <tpl fld="17" item="0"/>
        </tpls>
      </m>
      <m>
        <tpls c="3">
          <tpl fld="2" item="0"/>
          <tpl fld="8" item="3"/>
          <tpl fld="17" item="3"/>
        </tpls>
      </m>
      <n v="28712465">
        <tpls c="6">
          <tpl fld="3" item="0"/>
          <tpl fld="16" item="1"/>
          <tpl hier="35" item="1"/>
          <tpl fld="12" item="9"/>
          <tpl hier="44" item="2"/>
          <tpl fld="17" item="0"/>
        </tpls>
      </n>
      <n v="-392981">
        <tpls c="7">
          <tpl fld="7" item="0"/>
          <tpl fld="16" item="2"/>
          <tpl fld="0" item="0"/>
          <tpl fld="11" item="58"/>
          <tpl fld="12" item="19"/>
          <tpl fld="1" item="1"/>
          <tpl fld="17" item="0"/>
        </tpls>
      </n>
      <n v="66484462">
        <tpls c="5">
          <tpl fld="7" item="2"/>
          <tpl fld="0" item="1"/>
          <tpl fld="12" item="18"/>
          <tpl hier="44" item="2"/>
          <tpl fld="17" item="0"/>
        </tpls>
      </n>
      <n v="-2184">
        <tpls c="7">
          <tpl fld="7" item="0"/>
          <tpl fld="16" item="7"/>
          <tpl fld="0" item="0"/>
          <tpl fld="11" item="72"/>
          <tpl fld="12" item="0"/>
          <tpl fld="1" item="1"/>
          <tpl fld="17" item="0"/>
        </tpls>
      </n>
      <m>
        <tpls c="7">
          <tpl fld="3" item="1"/>
          <tpl fld="16" item="9"/>
          <tpl hier="35" item="0"/>
          <tpl fld="11" item="26"/>
          <tpl fld="12" item="2"/>
          <tpl hier="44" item="2"/>
          <tpl fld="17" item="0"/>
        </tpls>
      </m>
      <n v="0">
        <tpls c="5">
          <tpl fld="7" item="1"/>
          <tpl fld="0" item="2"/>
          <tpl fld="12" item="5"/>
          <tpl fld="1" item="1"/>
          <tpl fld="17" item="0"/>
        </tpls>
      </n>
      <m>
        <tpls c="7">
          <tpl fld="3" item="1"/>
          <tpl fld="16" item="9"/>
          <tpl hier="35" item="0"/>
          <tpl fld="11" item="32"/>
          <tpl fld="12" item="2"/>
          <tpl hier="44" item="2"/>
          <tpl fld="17" item="0"/>
        </tpls>
      </m>
      <m>
        <tpls c="7">
          <tpl fld="3" item="1"/>
          <tpl fld="16" item="4"/>
          <tpl hier="35" item="0"/>
          <tpl fld="11" item="50"/>
          <tpl fld="12" item="11"/>
          <tpl hier="44" item="2"/>
          <tpl fld="17" item="0"/>
        </tpls>
      </m>
      <n v="0">
        <tpls c="6">
          <tpl fld="7" item="0"/>
          <tpl fld="16" item="3"/>
          <tpl fld="0" item="0"/>
          <tpl fld="12" item="5"/>
          <tpl fld="1" item="1"/>
          <tpl fld="17" item="0"/>
        </tpls>
      </n>
      <m>
        <tpls c="7">
          <tpl fld="3" item="1"/>
          <tpl fld="16" item="1"/>
          <tpl hier="35" item="0"/>
          <tpl fld="11" item="19"/>
          <tpl fld="12" item="2"/>
          <tpl hier="44" item="2"/>
          <tpl fld="17" item="0"/>
        </tpls>
      </m>
      <n v="68074">
        <tpls c="6">
          <tpl fld="6" item="3"/>
          <tpl hier="35" item="3"/>
          <tpl fld="11" item="11"/>
          <tpl fld="12" item="2"/>
          <tpl hier="44" item="2"/>
          <tpl fld="17" item="0"/>
        </tpls>
      </n>
      <n v="17561">
        <tpls c="7">
          <tpl fld="3" item="0"/>
          <tpl fld="16" item="0"/>
          <tpl hier="35" item="1"/>
          <tpl fld="11" item="11"/>
          <tpl fld="12" item="2"/>
          <tpl hier="44" item="2"/>
          <tpl fld="17" item="0"/>
        </tpls>
      </n>
      <n v="603100">
        <tpls c="7">
          <tpl fld="3" item="0"/>
          <tpl fld="16" item="6"/>
          <tpl hier="35" item="1"/>
          <tpl fld="11" item="10"/>
          <tpl fld="12" item="3"/>
          <tpl hier="44" item="2"/>
          <tpl fld="17" item="0"/>
        </tpls>
      </n>
      <n v="414292">
        <tpls c="3">
          <tpl fld="9" item="5"/>
          <tpl fld="15" item="2"/>
          <tpl fld="17" item="2"/>
        </tpls>
      </n>
      <n v="0">
        <tpls c="7">
          <tpl fld="3" item="0"/>
          <tpl fld="16" item="11"/>
          <tpl hier="35" item="1"/>
          <tpl fld="11" item="48"/>
          <tpl fld="12" item="4"/>
          <tpl hier="44" item="2"/>
          <tpl fld="17" item="0"/>
        </tpls>
      </n>
      <m>
        <tpls c="7">
          <tpl fld="3" item="1"/>
          <tpl fld="16" item="7"/>
          <tpl hier="35" item="0"/>
          <tpl fld="11" item="1"/>
          <tpl fld="12" item="1"/>
          <tpl hier="44" item="2"/>
          <tpl fld="17" item="0"/>
        </tpls>
      </m>
      <m>
        <tpls c="7">
          <tpl fld="3" item="1"/>
          <tpl fld="16" item="5"/>
          <tpl hier="35" item="0"/>
          <tpl fld="11" item="27"/>
          <tpl fld="12" item="3"/>
          <tpl hier="44" item="2"/>
          <tpl fld="17" item="0"/>
        </tpls>
      </m>
      <n v="14519">
        <tpls c="7">
          <tpl fld="3" item="0"/>
          <tpl fld="16" item="9"/>
          <tpl hier="35" item="1"/>
          <tpl fld="11" item="11"/>
          <tpl fld="12" item="2"/>
          <tpl hier="44" item="2"/>
          <tpl fld="17" item="0"/>
        </tpls>
      </n>
      <n v="1661917">
        <tpls c="6">
          <tpl fld="3" item="0"/>
          <tpl fld="16" item="1"/>
          <tpl hier="35" item="1"/>
          <tpl fld="12" item="11"/>
          <tpl hier="44" item="2"/>
          <tpl fld="17" item="0"/>
        </tpls>
      </n>
      <m>
        <tpls c="3">
          <tpl fld="2" item="7"/>
          <tpl fld="8" item="0"/>
          <tpl fld="17" item="3"/>
        </tpls>
      </m>
      <m>
        <tpls c="7">
          <tpl fld="3" item="1"/>
          <tpl fld="16" item="1"/>
          <tpl hier="35" item="0"/>
          <tpl fld="11" item="33"/>
          <tpl fld="12" item="3"/>
          <tpl hier="44" item="2"/>
          <tpl fld="17" item="0"/>
        </tpls>
      </m>
      <n v="3941555">
        <tpls c="6">
          <tpl fld="6" item="2"/>
          <tpl hier="35" item="3"/>
          <tpl fld="11" item="8"/>
          <tpl fld="12" item="3"/>
          <tpl hier="44" item="2"/>
          <tpl fld="17" item="0"/>
        </tpls>
      </n>
      <n v="0">
        <tpls c="6">
          <tpl fld="7" item="0"/>
          <tpl fld="16" item="11"/>
          <tpl fld="0" item="0"/>
          <tpl fld="12" item="8"/>
          <tpl fld="1" item="1"/>
          <tpl fld="17" item="0"/>
        </tpls>
      </n>
      <n v="4150000">
        <tpls c="7">
          <tpl fld="3" item="0"/>
          <tpl hier="10" item="4294967295"/>
          <tpl hier="35" item="1"/>
          <tpl fld="11" item="23"/>
          <tpl fld="12" item="11"/>
          <tpl hier="44" item="2"/>
          <tpl fld="17" item="0"/>
        </tpls>
      </n>
      <n v="975000">
        <tpls c="6">
          <tpl fld="6" item="3"/>
          <tpl hier="35" item="1"/>
          <tpl fld="11" item="23"/>
          <tpl fld="10" item="2"/>
          <tpl hier="44" item="2"/>
          <tpl fld="17" item="0"/>
        </tpls>
      </n>
      <n v="15720000">
        <tpls c="6">
          <tpl fld="7" item="2"/>
          <tpl fld="0" item="1"/>
          <tpl fld="11" item="37"/>
          <tpl fld="12" item="11"/>
          <tpl hier="44" item="2"/>
          <tpl fld="17" item="0"/>
        </tpls>
      </n>
      <n v="1443934">
        <tpls c="7">
          <tpl fld="3" item="0"/>
          <tpl fld="16" item="11"/>
          <tpl hier="35" item="1"/>
          <tpl fld="11" item="6"/>
          <tpl fld="12" item="3"/>
          <tpl hier="44" item="2"/>
          <tpl fld="17" item="0"/>
        </tpls>
      </n>
      <m>
        <tpls c="6">
          <tpl fld="6" item="3"/>
          <tpl hier="35" item="1"/>
          <tpl fld="11" item="7"/>
          <tpl fld="10" item="1"/>
          <tpl hier="44" item="2"/>
          <tpl fld="17" item="0"/>
        </tpls>
      </m>
      <n v="0">
        <tpls c="7">
          <tpl fld="7" item="0"/>
          <tpl fld="16" item="6"/>
          <tpl fld="0" item="0"/>
          <tpl fld="11" item="69"/>
          <tpl fld="12" item="7"/>
          <tpl fld="1" item="1"/>
          <tpl fld="17" item="0"/>
        </tpls>
      </n>
      <m>
        <tpls c="3">
          <tpl fld="2" item="12"/>
          <tpl fld="8" item="7"/>
          <tpl fld="17" item="3"/>
        </tpls>
      </m>
      <n v="0">
        <tpls c="7">
          <tpl fld="7" item="0"/>
          <tpl fld="16" item="11"/>
          <tpl fld="0" item="0"/>
          <tpl fld="11" item="21"/>
          <tpl fld="12" item="10"/>
          <tpl fld="1" item="1"/>
          <tpl fld="17" item="0"/>
        </tpls>
      </n>
      <n v="2357197">
        <tpls c="6">
          <tpl fld="7" item="0"/>
          <tpl fld="0" item="0"/>
          <tpl fld="11" item="27"/>
          <tpl fld="10" item="2"/>
          <tpl hier="44" item="2"/>
          <tpl fld="17" item="0"/>
        </tpls>
      </n>
      <n v="0">
        <tpls c="7">
          <tpl fld="3" item="0"/>
          <tpl fld="16" item="11"/>
          <tpl hier="35" item="1"/>
          <tpl fld="11" item="9"/>
          <tpl fld="12" item="4"/>
          <tpl hier="44" item="2"/>
          <tpl fld="17" item="0"/>
        </tpls>
      </n>
      <n v="4150000">
        <tpls c="6">
          <tpl fld="7" item="2"/>
          <tpl fld="0" item="1"/>
          <tpl fld="11" item="23"/>
          <tpl fld="10" item="2"/>
          <tpl hier="44" item="2"/>
          <tpl fld="17" item="0"/>
        </tpls>
      </n>
      <m>
        <tpls c="7">
          <tpl fld="3" item="1"/>
          <tpl fld="16" item="8"/>
          <tpl hier="35" item="0"/>
          <tpl fld="11" item="48"/>
          <tpl fld="12" item="4"/>
          <tpl hier="44" item="2"/>
          <tpl fld="17" item="0"/>
        </tpls>
      </m>
      <n v="67957522">
        <tpls c="6">
          <tpl fld="6" item="1"/>
          <tpl hier="35" item="3"/>
          <tpl fld="11" item="49"/>
          <tpl fld="12" item="9"/>
          <tpl hier="44" item="2"/>
          <tpl fld="17" item="0"/>
        </tpls>
      </n>
      <m>
        <tpls c="7">
          <tpl fld="3" item="1"/>
          <tpl fld="16" item="8"/>
          <tpl hier="35" item="0"/>
          <tpl fld="11" item="26"/>
          <tpl fld="12" item="2"/>
          <tpl hier="44" item="2"/>
          <tpl fld="17" item="0"/>
        </tpls>
      </m>
      <n v="58697243">
        <tpls c="5">
          <tpl fld="6" item="0"/>
          <tpl hier="35" item="3"/>
          <tpl fld="12" item="9"/>
          <tpl hier="44" item="2"/>
          <tpl fld="17" item="0"/>
        </tpls>
      </n>
      <m>
        <tpls c="3">
          <tpl fld="2" item="19"/>
          <tpl fld="8" item="0"/>
          <tpl fld="17" item="3"/>
        </tpls>
      </m>
      <n v="-1">
        <tpls c="7">
          <tpl fld="7" item="0"/>
          <tpl fld="16" item="8"/>
          <tpl fld="0" item="0"/>
          <tpl fld="11" item="45"/>
          <tpl fld="12" item="7"/>
          <tpl fld="1" item="1"/>
          <tpl fld="17" item="0"/>
        </tpls>
      </n>
      <m>
        <tpls c="3">
          <tpl fld="2" item="1"/>
          <tpl fld="8" item="9"/>
          <tpl fld="17" item="3"/>
        </tpls>
      </m>
      <n v="1200">
        <tpls c="5">
          <tpl fld="7" item="0"/>
          <tpl fld="0" item="0"/>
          <tpl fld="12" item="21"/>
          <tpl hier="44" item="2"/>
          <tpl fld="17" item="0"/>
        </tpls>
      </n>
      <m>
        <tpls c="6">
          <tpl fld="7" item="0"/>
          <tpl fld="0" item="0"/>
          <tpl fld="11" item="26"/>
          <tpl fld="10" item="0"/>
          <tpl hier="44" item="2"/>
          <tpl fld="17" item="0"/>
        </tpls>
      </m>
      <n v="270241">
        <tpls c="6">
          <tpl fld="6" item="0"/>
          <tpl hier="35" item="1"/>
          <tpl fld="11" item="41"/>
          <tpl fld="10" item="0"/>
          <tpl hier="44" item="2"/>
          <tpl fld="17" item="0"/>
        </tpls>
      </n>
      <n v="1275351">
        <tpls c="6">
          <tpl fld="6" item="3"/>
          <tpl hier="35" item="3"/>
          <tpl fld="11" item="22"/>
          <tpl fld="12" item="4"/>
          <tpl hier="44" item="2"/>
          <tpl fld="17" item="0"/>
        </tpls>
      </n>
      <n v="9075">
        <tpls c="7">
          <tpl fld="7" item="0"/>
          <tpl fld="16" item="6"/>
          <tpl fld="0" item="0"/>
          <tpl fld="11" item="74"/>
          <tpl fld="12" item="16"/>
          <tpl fld="1" item="1"/>
          <tpl fld="17" item="0"/>
        </tpls>
      </n>
      <n v="0">
        <tpls c="7">
          <tpl fld="7" item="0"/>
          <tpl fld="16" item="5"/>
          <tpl fld="0" item="0"/>
          <tpl fld="11" item="68"/>
          <tpl fld="12" item="17"/>
          <tpl fld="1" item="1"/>
          <tpl fld="17" item="0"/>
        </tpls>
      </n>
      <n v="0">
        <tpls c="7">
          <tpl fld="7" item="0"/>
          <tpl fld="16" item="8"/>
          <tpl fld="0" item="0"/>
          <tpl fld="11" item="65"/>
          <tpl fld="12" item="12"/>
          <tpl fld="1" item="1"/>
          <tpl fld="17" item="0"/>
        </tpls>
      </n>
      <n v="1000000">
        <tpls c="6">
          <tpl fld="7" item="2"/>
          <tpl fld="0" item="1"/>
          <tpl fld="11" item="14"/>
          <tpl fld="12" item="3"/>
          <tpl hier="44" item="2"/>
          <tpl fld="17" item="0"/>
        </tpls>
      </n>
      <n v="6722116">
        <tpls c="6">
          <tpl fld="3" item="0"/>
          <tpl fld="16" item="4"/>
          <tpl hier="35" item="1"/>
          <tpl fld="12" item="18"/>
          <tpl hier="44" item="2"/>
          <tpl fld="17" item="0"/>
        </tpls>
      </n>
      <m>
        <tpls c="7">
          <tpl fld="3" item="1"/>
          <tpl fld="16" item="3"/>
          <tpl hier="35" item="0"/>
          <tpl fld="11" item="7"/>
          <tpl fld="12" item="4"/>
          <tpl hier="44" item="2"/>
          <tpl fld="17" item="0"/>
        </tpls>
      </m>
      <m>
        <tpls c="7">
          <tpl fld="3" item="1"/>
          <tpl fld="16" item="8"/>
          <tpl hier="35" item="0"/>
          <tpl fld="11" item="17"/>
          <tpl fld="12" item="3"/>
          <tpl hier="44" item="2"/>
          <tpl fld="17" item="0"/>
        </tpls>
      </m>
      <n v="7766386">
        <tpls c="6">
          <tpl fld="6" item="2"/>
          <tpl hier="35" item="3"/>
          <tpl fld="11" item="3"/>
          <tpl fld="12" item="2"/>
          <tpl hier="44" item="2"/>
          <tpl fld="17" item="0"/>
        </tpls>
      </n>
      <m>
        <tpls c="7">
          <tpl fld="3" item="1"/>
          <tpl fld="16" item="4"/>
          <tpl hier="35" item="0"/>
          <tpl fld="11" item="11"/>
          <tpl fld="12" item="2"/>
          <tpl hier="44" item="2"/>
          <tpl fld="17" item="0"/>
        </tpls>
      </m>
      <n v="-12622">
        <tpls c="7">
          <tpl fld="7" item="0"/>
          <tpl fld="16" item="9"/>
          <tpl fld="0" item="0"/>
          <tpl fld="11" item="74"/>
          <tpl fld="12" item="16"/>
          <tpl fld="1" item="1"/>
          <tpl fld="17" item="0"/>
        </tpls>
      </n>
      <n v="59252202">
        <tpls c="6">
          <tpl fld="6" item="3"/>
          <tpl hier="35" item="3"/>
          <tpl fld="11" item="49"/>
          <tpl fld="12" item="9"/>
          <tpl hier="44" item="2"/>
          <tpl fld="17" item="0"/>
        </tpls>
      </n>
      <n v="1255575">
        <tpls c="6">
          <tpl fld="6" item="0"/>
          <tpl hier="35" item="1"/>
          <tpl fld="11" item="22"/>
          <tpl fld="10" item="1"/>
          <tpl hier="44" item="2"/>
          <tpl fld="17" item="0"/>
        </tpls>
      </n>
      <n v="51784612">
        <tpls c="5">
          <tpl fld="7" item="0"/>
          <tpl fld="0" item="0"/>
          <tpl fld="12" item="18"/>
          <tpl hier="44" item="2"/>
          <tpl fld="17" item="0"/>
        </tpls>
      </n>
      <n v="27897841">
        <tpls c="6">
          <tpl fld="7" item="2"/>
          <tpl fld="0" item="1"/>
          <tpl fld="11" item="2"/>
          <tpl fld="12" item="2"/>
          <tpl hier="44" item="2"/>
          <tpl fld="17" item="0"/>
        </tpls>
      </n>
      <m>
        <tpls c="3">
          <tpl fld="2" item="2"/>
          <tpl fld="8" item="5"/>
          <tpl fld="17" item="3"/>
        </tpls>
      </m>
      <n v="30000">
        <tpls c="7">
          <tpl fld="3" item="0"/>
          <tpl fld="16" item="7"/>
          <tpl hier="35" item="1"/>
          <tpl fld="11" item="31"/>
          <tpl fld="12" item="3"/>
          <tpl hier="44" item="2"/>
          <tpl fld="17" item="0"/>
        </tpls>
      </n>
      <n v="5579970">
        <tpls c="5">
          <tpl fld="7" item="1"/>
          <tpl fld="0" item="2"/>
          <tpl fld="12" item="11"/>
          <tpl hier="44" item="2"/>
          <tpl fld="17" item="0"/>
        </tpls>
      </n>
      <n v="72501">
        <tpls c="6">
          <tpl fld="6" item="3"/>
          <tpl hier="35" item="3"/>
          <tpl fld="11" item="50"/>
          <tpl fld="12" item="11"/>
          <tpl hier="44" item="2"/>
          <tpl fld="17" item="0"/>
        </tpls>
      </n>
      <n v="8250">
        <tpls c="6">
          <tpl fld="6" item="3"/>
          <tpl hier="35" item="3"/>
          <tpl fld="11" item="38"/>
          <tpl fld="12" item="11"/>
          <tpl hier="44" item="2"/>
          <tpl fld="17" item="0"/>
        </tpls>
      </n>
      <m>
        <tpls c="7">
          <tpl fld="3" item="1"/>
          <tpl fld="16" item="1"/>
          <tpl hier="35" item="0"/>
          <tpl fld="11" item="5"/>
          <tpl fld="12" item="1"/>
          <tpl hier="44" item="2"/>
          <tpl fld="17" item="0"/>
        </tpls>
      </m>
      <n v="19811282">
        <tpls c="6">
          <tpl fld="3" item="0"/>
          <tpl fld="16" item="9"/>
          <tpl hier="35" item="1"/>
          <tpl fld="12" item="2"/>
          <tpl hier="44" item="2"/>
          <tpl fld="17" item="0"/>
        </tpls>
      </n>
      <n v="293250">
        <tpls c="6">
          <tpl fld="6" item="1"/>
          <tpl hier="35" item="1"/>
          <tpl fld="11" item="39"/>
          <tpl fld="10" item="2"/>
          <tpl hier="44" item="2"/>
          <tpl fld="17" item="0"/>
        </tpls>
      </n>
      <n v="5102644">
        <tpls c="5">
          <tpl fld="7" item="0"/>
          <tpl fld="0" item="0"/>
          <tpl fld="12" item="4"/>
          <tpl hier="44" item="2"/>
          <tpl fld="17" item="0"/>
        </tpls>
      </n>
      <n v="0">
        <tpls c="7">
          <tpl fld="7" item="0"/>
          <tpl fld="16" item="11"/>
          <tpl fld="0" item="0"/>
          <tpl fld="11" item="76"/>
          <tpl fld="12" item="14"/>
          <tpl fld="1" item="1"/>
          <tpl fld="17" item="0"/>
        </tpls>
      </n>
      <m>
        <tpls c="7">
          <tpl fld="3" item="0"/>
          <tpl fld="16" item="2"/>
          <tpl hier="35" item="1"/>
          <tpl fld="11" item="26"/>
          <tpl fld="12" item="2"/>
          <tpl hier="44" item="2"/>
          <tpl fld="17" item="0"/>
        </tpls>
      </m>
      <n v="0">
        <tpls c="7">
          <tpl fld="3" item="0"/>
          <tpl fld="16" item="6"/>
          <tpl hier="35" item="1"/>
          <tpl fld="11" item="25"/>
          <tpl fld="12" item="2"/>
          <tpl hier="44" item="2"/>
          <tpl fld="17" item="0"/>
        </tpls>
      </n>
      <m>
        <tpls c="7">
          <tpl fld="3" item="1"/>
          <tpl fld="16" item="10"/>
          <tpl hier="35" item="0"/>
          <tpl fld="11" item="5"/>
          <tpl fld="12" item="1"/>
          <tpl hier="44" item="2"/>
          <tpl fld="17" item="0"/>
        </tpls>
      </m>
      <n v="16101599">
        <tpls c="5">
          <tpl fld="6" item="2"/>
          <tpl hier="35" item="3"/>
          <tpl fld="12" item="18"/>
          <tpl hier="44" item="2"/>
          <tpl fld="17" item="0"/>
        </tpls>
      </n>
      <n v="126859046">
        <tpls c="6">
          <tpl fld="7" item="0"/>
          <tpl hier="10" item="4294967295"/>
          <tpl fld="0" item="0"/>
          <tpl fld="12" item="6"/>
          <tpl fld="1" item="1"/>
          <tpl fld="17" item="0"/>
        </tpls>
      </n>
      <n v="0">
        <tpls c="6">
          <tpl fld="7" item="0"/>
          <tpl fld="16" item="6"/>
          <tpl fld="0" item="0"/>
          <tpl fld="12" item="6"/>
          <tpl fld="1" item="1"/>
          <tpl fld="17" item="0"/>
        </tpls>
      </n>
      <n v="109646">
        <tpls c="7">
          <tpl fld="3" item="0"/>
          <tpl fld="16" item="10"/>
          <tpl hier="35" item="1"/>
          <tpl fld="11" item="19"/>
          <tpl fld="12" item="2"/>
          <tpl hier="44" item="2"/>
          <tpl fld="17" item="0"/>
        </tpls>
      </n>
      <n v="26599312">
        <tpls c="6">
          <tpl fld="7" item="0"/>
          <tpl fld="0" item="0"/>
          <tpl fld="11" item="2"/>
          <tpl fld="10" item="0"/>
          <tpl hier="44" item="2"/>
          <tpl fld="17" item="0"/>
        </tpls>
      </n>
      <m>
        <tpls c="7">
          <tpl fld="3" item="1"/>
          <tpl hier="10" item="4294967295"/>
          <tpl hier="35" item="0"/>
          <tpl fld="11" item="38"/>
          <tpl fld="12" item="11"/>
          <tpl hier="44" item="2"/>
          <tpl fld="17" item="0"/>
        </tpls>
      </m>
      <m>
        <tpls c="6">
          <tpl fld="3" item="1"/>
          <tpl hier="10" item="4294967295"/>
          <tpl hier="35" item="0"/>
          <tpl fld="12" item="11"/>
          <tpl hier="44" item="2"/>
          <tpl fld="17" item="0"/>
        </tpls>
      </m>
      <n v="22093">
        <tpls c="6">
          <tpl fld="6" item="0"/>
          <tpl hier="35" item="3"/>
          <tpl fld="11" item="54"/>
          <tpl fld="12" item="4"/>
          <tpl hier="44" item="2"/>
          <tpl fld="17" item="0"/>
        </tpls>
      </n>
      <n v="-754257">
        <tpls c="6">
          <tpl fld="7" item="0"/>
          <tpl fld="16" item="1"/>
          <tpl fld="0" item="0"/>
          <tpl fld="12" item="7"/>
          <tpl fld="1" item="1"/>
          <tpl fld="17" item="0"/>
        </tpls>
      </n>
      <m>
        <tpls c="7">
          <tpl fld="3" item="1"/>
          <tpl fld="16" item="0"/>
          <tpl hier="35" item="0"/>
          <tpl fld="11" item="38"/>
          <tpl fld="12" item="11"/>
          <tpl hier="44" item="2"/>
          <tpl fld="17" item="0"/>
        </tpls>
      </m>
      <n v="1661917">
        <tpls c="6">
          <tpl fld="3" item="0"/>
          <tpl fld="16" item="6"/>
          <tpl hier="35" item="1"/>
          <tpl fld="12" item="11"/>
          <tpl hier="44" item="2"/>
          <tpl fld="17" item="0"/>
        </tpls>
      </n>
      <n v="290004">
        <tpls c="6">
          <tpl fld="7" item="2"/>
          <tpl fld="0" item="1"/>
          <tpl fld="11" item="50"/>
          <tpl fld="10" item="2"/>
          <tpl hier="44" item="2"/>
          <tpl fld="17" item="0"/>
        </tpls>
      </n>
      <m>
        <tpls c="6">
          <tpl fld="3" item="1"/>
          <tpl fld="16" item="1"/>
          <tpl hier="35" item="0"/>
          <tpl fld="12" item="11"/>
          <tpl hier="44" item="2"/>
          <tpl fld="17" item="0"/>
        </tpls>
      </m>
      <n v="18000">
        <tpls c="6">
          <tpl fld="6" item="0"/>
          <tpl hier="35" item="3"/>
          <tpl fld="11" item="5"/>
          <tpl fld="12" item="1"/>
          <tpl hier="44" item="2"/>
          <tpl fld="17" item="0"/>
        </tpls>
      </n>
      <n v="1277668">
        <tpls c="5">
          <tpl fld="6" item="0"/>
          <tpl hier="35" item="3"/>
          <tpl fld="12" item="4"/>
          <tpl hier="44" item="2"/>
          <tpl fld="17" item="0"/>
        </tpls>
      </n>
      <n v="2750">
        <tpls c="7">
          <tpl fld="3" item="0"/>
          <tpl fld="16" item="5"/>
          <tpl hier="35" item="1"/>
          <tpl fld="11" item="38"/>
          <tpl fld="12" item="11"/>
          <tpl hier="44" item="2"/>
          <tpl fld="17" item="0"/>
        </tpls>
      </n>
      <n v="254750">
        <tpls c="7">
          <tpl fld="3" item="0"/>
          <tpl fld="16" item="4"/>
          <tpl hier="35" item="1"/>
          <tpl fld="11" item="27"/>
          <tpl fld="12" item="3"/>
          <tpl hier="44" item="2"/>
          <tpl fld="17" item="0"/>
        </tpls>
      </n>
      <n v="10772359">
        <tpls c="5">
          <tpl fld="7" item="0"/>
          <tpl fld="0" item="0"/>
          <tpl fld="12" item="11"/>
          <tpl hier="44" item="2"/>
          <tpl fld="17" item="0"/>
        </tpls>
      </n>
      <m>
        <tpls c="7">
          <tpl fld="3" item="1"/>
          <tpl fld="16" item="6"/>
          <tpl hier="35" item="0"/>
          <tpl fld="11" item="50"/>
          <tpl fld="12" item="11"/>
          <tpl hier="44" item="2"/>
          <tpl fld="17" item="0"/>
        </tpls>
      </m>
      <n v="36993">
        <tpls c="6">
          <tpl fld="6" item="0"/>
          <tpl hier="35" item="3"/>
          <tpl fld="11" item="32"/>
          <tpl fld="12" item="2"/>
          <tpl hier="44" item="2"/>
          <tpl fld="17" item="0"/>
        </tpls>
      </n>
      <n v="1379196">
        <tpls c="5">
          <tpl fld="6" item="2"/>
          <tpl hier="35" item="3"/>
          <tpl fld="12" item="4"/>
          <tpl hier="44" item="2"/>
          <tpl fld="17" item="0"/>
        </tpls>
      </n>
      <n v="1077784">
        <tpls c="7">
          <tpl fld="3" item="0"/>
          <tpl fld="16" item="1"/>
          <tpl hier="35" item="1"/>
          <tpl fld="11" item="8"/>
          <tpl fld="12" item="3"/>
          <tpl hier="44" item="2"/>
          <tpl fld="17" item="0"/>
        </tpls>
      </n>
      <m>
        <tpls c="6">
          <tpl fld="3" item="1"/>
          <tpl fld="16" item="6"/>
          <tpl hier="35" item="0"/>
          <tpl fld="12" item="2"/>
          <tpl hier="44" item="2"/>
          <tpl fld="17" item="0"/>
        </tpls>
      </m>
      <n v="0">
        <tpls c="6">
          <tpl fld="7" item="0"/>
          <tpl fld="16" item="8"/>
          <tpl fld="0" item="0"/>
          <tpl fld="12" item="17"/>
          <tpl fld="1" item="1"/>
          <tpl fld="17" item="0"/>
        </tpls>
      </n>
      <n v="185992935">
        <tpls c="6">
          <tpl fld="7" item="2"/>
          <tpl fld="0" item="1"/>
          <tpl fld="11" item="3"/>
          <tpl fld="12" item="2"/>
          <tpl hier="44" item="2"/>
          <tpl fld="17" item="0"/>
        </tpls>
      </n>
      <n v="1957">
        <tpls c="6">
          <tpl fld="7" item="0"/>
          <tpl fld="0" item="0"/>
          <tpl fld="11" item="34"/>
          <tpl fld="10" item="1"/>
          <tpl hier="44" item="2"/>
          <tpl fld="17" item="0"/>
        </tpls>
      </n>
      <m>
        <tpls c="7">
          <tpl fld="3" item="1"/>
          <tpl fld="16" item="2"/>
          <tpl hier="35" item="0"/>
          <tpl fld="11" item="4"/>
          <tpl fld="12" item="1"/>
          <tpl hier="44" item="2"/>
          <tpl fld="17" item="0"/>
        </tpls>
      </m>
      <m>
        <tpls c="6">
          <tpl fld="3" item="1"/>
          <tpl fld="16" item="6"/>
          <tpl hier="35" item="0"/>
          <tpl fld="12" item="21"/>
          <tpl hier="44" item="2"/>
          <tpl fld="17" item="0"/>
        </tpls>
      </m>
      <m>
        <tpls c="3">
          <tpl fld="2" item="7"/>
          <tpl fld="8" item="11"/>
          <tpl fld="17" item="3"/>
        </tpls>
      </m>
      <n v="0">
        <tpls c="6">
          <tpl fld="7" item="0"/>
          <tpl fld="16" item="11"/>
          <tpl fld="0" item="0"/>
          <tpl fld="12" item="14"/>
          <tpl fld="1" item="1"/>
          <tpl fld="17" item="0"/>
        </tpls>
      </n>
      <n v="4605">
        <tpls c="6">
          <tpl fld="7" item="1"/>
          <tpl fld="0" item="2"/>
          <tpl fld="11" item="30"/>
          <tpl fld="10" item="1"/>
          <tpl hier="44" item="2"/>
          <tpl fld="17" item="0"/>
        </tpls>
      </n>
      <m>
        <tpls c="6">
          <tpl fld="3" item="1"/>
          <tpl fld="16" item="9"/>
          <tpl hier="35" item="0"/>
          <tpl fld="12" item="15"/>
          <tpl hier="44" item="2"/>
          <tpl fld="17" item="0"/>
        </tpls>
      </m>
      <n v="0">
        <tpls c="7">
          <tpl fld="7" item="0"/>
          <tpl fld="16" item="6"/>
          <tpl fld="0" item="0"/>
          <tpl fld="11" item="76"/>
          <tpl fld="12" item="14"/>
          <tpl fld="1" item="1"/>
          <tpl fld="17" item="0"/>
        </tpls>
      </n>
      <n v="259540">
        <tpls c="6">
          <tpl fld="7" item="1"/>
          <tpl fld="0" item="2"/>
          <tpl fld="11" item="70"/>
          <tpl fld="12" item="20"/>
          <tpl fld="1" item="1"/>
          <tpl fld="17" item="0"/>
        </tpls>
      </n>
      <n v="24167">
        <tpls c="7">
          <tpl fld="3" item="0"/>
          <tpl fld="16" item="6"/>
          <tpl hier="35" item="1"/>
          <tpl fld="11" item="50"/>
          <tpl fld="12" item="11"/>
          <tpl hier="44" item="2"/>
          <tpl fld="17" item="0"/>
        </tpls>
      </n>
      <n v="3827531">
        <tpls c="6">
          <tpl fld="6" item="3"/>
          <tpl hier="35" item="3"/>
          <tpl fld="11" item="20"/>
          <tpl fld="12" item="2"/>
          <tpl hier="44" item="2"/>
          <tpl fld="17" item="0"/>
        </tpls>
      </n>
      <m>
        <tpls c="3">
          <tpl fld="2" item="12"/>
          <tpl fld="8" item="4"/>
          <tpl fld="17" item="3"/>
        </tpls>
      </m>
      <n v="6000000">
        <tpls c="3">
          <tpl fld="2" item="4"/>
          <tpl fld="8" item="8"/>
          <tpl fld="17" item="3"/>
        </tpls>
      </n>
      <m>
        <tpls c="7">
          <tpl fld="3" item="1"/>
          <tpl fld="16" item="7"/>
          <tpl hier="35" item="0"/>
          <tpl fld="11" item="38"/>
          <tpl fld="12" item="11"/>
          <tpl hier="44" item="2"/>
          <tpl fld="17" item="0"/>
        </tpls>
      </m>
      <m>
        <tpls c="3">
          <tpl fld="2" item="19"/>
          <tpl fld="8" item="6"/>
          <tpl fld="17" item="3"/>
        </tpls>
      </m>
      <m>
        <tpls c="6">
          <tpl fld="3" item="1"/>
          <tpl fld="16" item="10"/>
          <tpl hier="35" item="0"/>
          <tpl fld="12" item="18"/>
          <tpl hier="44" item="2"/>
          <tpl fld="17" item="0"/>
        </tpls>
      </m>
      <m>
        <tpls c="7">
          <tpl fld="3" item="1"/>
          <tpl fld="16" item="8"/>
          <tpl hier="35" item="0"/>
          <tpl fld="11" item="44"/>
          <tpl fld="12" item="3"/>
          <tpl hier="44" item="2"/>
          <tpl fld="17" item="0"/>
        </tpls>
      </m>
      <n v="72000">
        <tpls c="6">
          <tpl fld="7" item="2"/>
          <tpl fld="0" item="1"/>
          <tpl fld="11" item="5"/>
          <tpl fld="12" item="1"/>
          <tpl hier="44" item="2"/>
          <tpl fld="17" item="0"/>
        </tpls>
      </n>
      <n v="33622902">
        <tpls c="6">
          <tpl fld="7" item="0"/>
          <tpl fld="0" item="0"/>
          <tpl fld="11" item="35"/>
          <tpl fld="12" item="2"/>
          <tpl hier="44" item="2"/>
          <tpl fld="17" item="0"/>
        </tpls>
      </n>
      <n v="245">
        <tpls c="6">
          <tpl fld="3" item="0"/>
          <tpl fld="16" item="8"/>
          <tpl hier="35" item="1"/>
          <tpl fld="12" item="15"/>
          <tpl hier="44" item="2"/>
          <tpl fld="17" item="0"/>
        </tpls>
      </n>
      <n v="0">
        <tpls c="7">
          <tpl fld="7" item="0"/>
          <tpl fld="16" item="11"/>
          <tpl fld="0" item="0"/>
          <tpl fld="11" item="65"/>
          <tpl fld="12" item="12"/>
          <tpl fld="1" item="1"/>
          <tpl fld="17" item="0"/>
        </tpls>
      </n>
      <n v="33367">
        <tpls c="7">
          <tpl fld="3" item="0"/>
          <tpl fld="16" item="11"/>
          <tpl hier="35" item="1"/>
          <tpl fld="11" item="17"/>
          <tpl fld="12" item="3"/>
          <tpl hier="44" item="2"/>
          <tpl fld="17" item="0"/>
        </tpls>
      </n>
      <m>
        <tpls c="3">
          <tpl fld="2" item="20"/>
          <tpl fld="8" item="7"/>
          <tpl fld="17" item="3"/>
        </tpls>
      </m>
      <n v="24583">
        <tpls c="3">
          <tpl fld="9" item="11"/>
          <tpl fld="15" item="2"/>
          <tpl fld="17" item="2"/>
        </tpls>
      </n>
      <n v="201106">
        <tpls c="6">
          <tpl fld="7" item="0"/>
          <tpl fld="0" item="0"/>
          <tpl fld="11" item="1"/>
          <tpl fld="10" item="3"/>
          <tpl hier="44" item="2"/>
          <tpl fld="17" item="0"/>
        </tpls>
      </n>
      <n v="603100">
        <tpls c="7">
          <tpl fld="3" item="0"/>
          <tpl fld="16" item="11"/>
          <tpl hier="35" item="1"/>
          <tpl fld="11" item="10"/>
          <tpl fld="12" item="3"/>
          <tpl hier="44" item="2"/>
          <tpl fld="17" item="0"/>
        </tpls>
      </n>
      <n v="5310">
        <tpls c="5">
          <tpl fld="7" item="0"/>
          <tpl fld="0" item="0"/>
          <tpl fld="12" item="15"/>
          <tpl hier="44" item="2"/>
          <tpl fld="17" item="0"/>
        </tpls>
      </n>
      <n v="293250">
        <tpls c="6">
          <tpl fld="6" item="2"/>
          <tpl hier="35" item="1"/>
          <tpl fld="11" item="39"/>
          <tpl fld="10" item="2"/>
          <tpl hier="44" item="2"/>
          <tpl fld="17" item="0"/>
        </tpls>
      </n>
      <n v="-477952">
        <tpls c="7">
          <tpl fld="7" item="0"/>
          <tpl fld="16" item="8"/>
          <tpl fld="0" item="0"/>
          <tpl fld="11" item="55"/>
          <tpl fld="12" item="13"/>
          <tpl fld="1" item="1"/>
          <tpl fld="17" item="0"/>
        </tpls>
      </n>
      <n v="72917">
        <tpls c="7">
          <tpl fld="3" item="0"/>
          <tpl fld="16" item="9"/>
          <tpl hier="35" item="1"/>
          <tpl fld="11" item="14"/>
          <tpl fld="12" item="3"/>
          <tpl hier="44" item="2"/>
          <tpl fld="17" item="0"/>
        </tpls>
      </n>
      <n v="276548">
        <tpls c="6">
          <tpl fld="6" item="1"/>
          <tpl hier="35" item="3"/>
          <tpl fld="11" item="41"/>
          <tpl fld="12" item="2"/>
          <tpl hier="44" item="2"/>
          <tpl fld="17" item="0"/>
        </tpls>
      </n>
      <m>
        <tpls c="7">
          <tpl fld="3" item="1"/>
          <tpl fld="16" item="9"/>
          <tpl hier="35" item="0"/>
          <tpl fld="11" item="44"/>
          <tpl fld="12" item="3"/>
          <tpl hier="44" item="2"/>
          <tpl fld="17" item="0"/>
        </tpls>
      </m>
      <m>
        <tpls c="7">
          <tpl fld="3" item="1"/>
          <tpl fld="16" item="6"/>
          <tpl hier="35" item="0"/>
          <tpl fld="11" item="23"/>
          <tpl fld="12" item="11"/>
          <tpl hier="44" item="2"/>
          <tpl fld="17" item="0"/>
        </tpls>
      </m>
      <n v="1158596">
        <tpls c="6">
          <tpl fld="7" item="0"/>
          <tpl fld="0" item="0"/>
          <tpl fld="11" item="19"/>
          <tpl fld="10" item="0"/>
          <tpl hier="44" item="2"/>
          <tpl fld="17" item="0"/>
        </tpls>
      </n>
      <n v="-392981">
        <tpls c="6">
          <tpl fld="7" item="0"/>
          <tpl fld="16" item="6"/>
          <tpl fld="0" item="0"/>
          <tpl fld="12" item="19"/>
          <tpl fld="1" item="1"/>
          <tpl fld="17" item="0"/>
        </tpls>
      </n>
      <n v="896055">
        <tpls c="6">
          <tpl fld="7" item="0"/>
          <tpl fld="0" item="0"/>
          <tpl fld="11" item="39"/>
          <tpl fld="10" item="2"/>
          <tpl hier="44" item="2"/>
          <tpl fld="17" item="0"/>
        </tpls>
      </n>
      <n v="2750">
        <tpls c="7">
          <tpl fld="3" item="0"/>
          <tpl fld="16" item="10"/>
          <tpl hier="35" item="1"/>
          <tpl fld="11" item="38"/>
          <tpl fld="12" item="11"/>
          <tpl hier="44" item="2"/>
          <tpl fld="17" item="0"/>
        </tpls>
      </n>
      <n v="195796">
        <tpls c="7">
          <tpl fld="3" item="0"/>
          <tpl fld="16" item="8"/>
          <tpl hier="35" item="1"/>
          <tpl fld="11" item="36"/>
          <tpl fld="12" item="2"/>
          <tpl hier="44" item="2"/>
          <tpl fld="17" item="0"/>
        </tpls>
      </n>
      <n v="-235048">
        <tpls c="7">
          <tpl fld="7" item="0"/>
          <tpl fld="16" item="9"/>
          <tpl fld="0" item="0"/>
          <tpl fld="11" item="62"/>
          <tpl fld="12" item="13"/>
          <tpl fld="1" item="1"/>
          <tpl fld="17" item="0"/>
        </tpls>
      </n>
      <n v="4312998">
        <tpls c="6">
          <tpl fld="6" item="0"/>
          <tpl hier="35" item="1"/>
          <tpl fld="11" item="33"/>
          <tpl fld="10" item="2"/>
          <tpl hier="44" item="2"/>
          <tpl fld="17" item="0"/>
        </tpls>
      </n>
      <n v="1260000">
        <tpls c="3">
          <tpl fld="5" item="5"/>
          <tpl fld="4" item="3"/>
          <tpl fld="17" item="3"/>
        </tpls>
      </n>
      <n v="0">
        <tpls c="7">
          <tpl fld="3" item="0"/>
          <tpl fld="16" item="2"/>
          <tpl hier="35" item="1"/>
          <tpl fld="11" item="0"/>
          <tpl fld="12" item="2"/>
          <tpl hier="44" item="2"/>
          <tpl fld="17" item="0"/>
        </tpls>
      </n>
      <n v="600">
        <tpls c="6">
          <tpl fld="3" item="0"/>
          <tpl fld="16" item="10"/>
          <tpl hier="35" item="1"/>
          <tpl fld="12" item="21"/>
          <tpl hier="44" item="2"/>
          <tpl fld="17" item="0"/>
        </tpls>
      </n>
      <n v="0">
        <tpls c="6">
          <tpl fld="6" item="2"/>
          <tpl hier="35" item="1"/>
          <tpl fld="11" item="0"/>
          <tpl fld="10" item="0"/>
          <tpl hier="44" item="2"/>
          <tpl fld="17" item="0"/>
        </tpls>
      </n>
      <m>
        <tpls c="7">
          <tpl fld="3" item="1"/>
          <tpl fld="16" item="8"/>
          <tpl hier="35" item="0"/>
          <tpl fld="11" item="54"/>
          <tpl fld="12" item="4"/>
          <tpl hier="44" item="2"/>
          <tpl fld="17" item="0"/>
        </tpls>
      </m>
      <m>
        <tpls c="7">
          <tpl fld="3" item="1"/>
          <tpl fld="16" item="10"/>
          <tpl hier="35" item="0"/>
          <tpl fld="11" item="43"/>
          <tpl fld="12" item="3"/>
          <tpl hier="44" item="2"/>
          <tpl fld="17" item="0"/>
        </tpls>
      </m>
      <n v="1443934">
        <tpls c="7">
          <tpl fld="3" item="0"/>
          <tpl fld="16" item="1"/>
          <tpl hier="35" item="1"/>
          <tpl fld="11" item="6"/>
          <tpl fld="12" item="3"/>
          <tpl hier="44" item="2"/>
          <tpl fld="17" item="0"/>
        </tpls>
      </n>
      <n v="11792250">
        <tpls c="3">
          <tpl fld="8" item="11"/>
          <tpl fld="4" item="3"/>
          <tpl fld="17" item="3"/>
        </tpls>
      </n>
      <n v="18000">
        <tpls c="6">
          <tpl fld="6" item="3"/>
          <tpl hier="35" item="1"/>
          <tpl fld="11" item="5"/>
          <tpl fld="10" item="3"/>
          <tpl hier="44" item="2"/>
          <tpl fld="17" item="0"/>
        </tpls>
      </n>
      <n v="0">
        <tpls c="7">
          <tpl fld="3" item="0"/>
          <tpl fld="16" item="10"/>
          <tpl hier="35" item="1"/>
          <tpl fld="11" item="44"/>
          <tpl fld="12" item="3"/>
          <tpl hier="44" item="2"/>
          <tpl fld="17" item="0"/>
        </tpls>
      </n>
      <m>
        <tpls c="7">
          <tpl fld="3" item="1"/>
          <tpl fld="16" item="2"/>
          <tpl hier="35" item="0"/>
          <tpl fld="11" item="32"/>
          <tpl fld="12" item="2"/>
          <tpl hier="44" item="2"/>
          <tpl fld="17" item="0"/>
        </tpls>
      </m>
      <m>
        <tpls c="3">
          <tpl fld="2" item="5"/>
          <tpl fld="8" item="9"/>
          <tpl fld="17" item="3"/>
        </tpls>
      </m>
      <m>
        <tpls c="3">
          <tpl fld="2" item="5"/>
          <tpl fld="8" item="2"/>
          <tpl fld="17" item="3"/>
        </tpls>
      </m>
      <n v="6300000">
        <tpls c="3">
          <tpl fld="2" item="15"/>
          <tpl fld="8" item="3"/>
          <tpl fld="17" item="3"/>
        </tpls>
      </n>
      <m>
        <tpls c="7">
          <tpl fld="3" item="1"/>
          <tpl fld="16" item="3"/>
          <tpl hier="35" item="0"/>
          <tpl fld="11" item="33"/>
          <tpl fld="12" item="3"/>
          <tpl hier="44" item="2"/>
          <tpl fld="17" item="0"/>
        </tpls>
      </m>
      <n v="0">
        <tpls c="7">
          <tpl fld="7" item="0"/>
          <tpl fld="16" item="7"/>
          <tpl fld="0" item="0"/>
          <tpl fld="11" item="67"/>
          <tpl fld="12" item="0"/>
          <tpl fld="1" item="1"/>
          <tpl fld="17" item="0"/>
        </tpls>
      </n>
      <n v="8250">
        <tpls c="6">
          <tpl fld="6" item="1"/>
          <tpl hier="35" item="1"/>
          <tpl fld="11" item="38"/>
          <tpl fld="10" item="2"/>
          <tpl hier="44" item="2"/>
          <tpl fld="17" item="0"/>
        </tpls>
      </n>
      <n v="0">
        <tpls c="7">
          <tpl fld="7" item="0"/>
          <tpl fld="16" item="6"/>
          <tpl fld="0" item="0"/>
          <tpl fld="11" item="12"/>
          <tpl fld="12" item="6"/>
          <tpl fld="1" item="1"/>
          <tpl fld="17" item="0"/>
        </tpls>
      </n>
      <n v="12213929">
        <tpls c="7">
          <tpl fld="7" item="0"/>
          <tpl hier="10" item="4294967295"/>
          <tpl fld="0" item="0"/>
          <tpl fld="11" item="76"/>
          <tpl fld="12" item="14"/>
          <tpl fld="1" item="1"/>
          <tpl fld="17" item="0"/>
        </tpls>
      </n>
      <m>
        <tpls c="7">
          <tpl fld="3" item="1"/>
          <tpl fld="16" item="9"/>
          <tpl hier="35" item="0"/>
          <tpl fld="11" item="16"/>
          <tpl fld="12" item="3"/>
          <tpl hier="44" item="2"/>
          <tpl fld="17" item="0"/>
        </tpls>
      </m>
      <n v="0">
        <tpls c="7">
          <tpl fld="7" item="0"/>
          <tpl fld="16" item="6"/>
          <tpl fld="0" item="0"/>
          <tpl fld="11" item="68"/>
          <tpl fld="12" item="17"/>
          <tpl fld="1" item="1"/>
          <tpl fld="17" item="0"/>
        </tpls>
      </n>
      <m>
        <tpls c="3">
          <tpl fld="2" item="7"/>
          <tpl fld="8" item="5"/>
          <tpl fld="17" item="3"/>
        </tpls>
      </m>
      <m>
        <tpls c="7">
          <tpl fld="3" item="1"/>
          <tpl fld="16" item="2"/>
          <tpl hier="35" item="0"/>
          <tpl fld="11" item="10"/>
          <tpl fld="12" item="3"/>
          <tpl hier="44" item="2"/>
          <tpl fld="17" item="0"/>
        </tpls>
      </m>
      <n v="24167">
        <tpls c="7">
          <tpl fld="3" item="0"/>
          <tpl fld="16" item="4"/>
          <tpl hier="35" item="1"/>
          <tpl fld="11" item="50"/>
          <tpl fld="12" item="11"/>
          <tpl hier="44" item="2"/>
          <tpl fld="17" item="0"/>
        </tpls>
      </n>
      <n v="59">
        <tpls c="7">
          <tpl fld="3" item="0"/>
          <tpl fld="16" item="8"/>
          <tpl hier="35" item="1"/>
          <tpl fld="11" item="30"/>
          <tpl fld="12" item="15"/>
          <tpl hier="44" item="2"/>
          <tpl fld="17" item="0"/>
        </tpls>
      </n>
      <m>
        <tpls c="6">
          <tpl fld="3" item="1"/>
          <tpl fld="16" item="5"/>
          <tpl hier="35" item="0"/>
          <tpl fld="12" item="3"/>
          <tpl hier="44" item="2"/>
          <tpl fld="17" item="0"/>
        </tpls>
      </m>
      <m>
        <tpls c="7">
          <tpl fld="3" item="1"/>
          <tpl fld="16" item="3"/>
          <tpl hier="35" item="0"/>
          <tpl fld="11" item="10"/>
          <tpl fld="12" item="3"/>
          <tpl hier="44" item="2"/>
          <tpl fld="17" item="0"/>
        </tpls>
      </m>
      <m>
        <tpls c="3">
          <tpl fld="8" item="2"/>
          <tpl fld="4" item="2"/>
          <tpl fld="17" item="3"/>
        </tpls>
      </m>
      <m>
        <tpls c="6">
          <tpl fld="3" item="1"/>
          <tpl fld="16" item="3"/>
          <tpl hier="35" item="0"/>
          <tpl fld="12" item="2"/>
          <tpl hier="44" item="2"/>
          <tpl fld="17" item="0"/>
        </tpls>
      </m>
      <n v="886099">
        <tpls c="6">
          <tpl fld="7" item="1"/>
          <tpl fld="0" item="2"/>
          <tpl fld="11" item="41"/>
          <tpl fld="12" item="2"/>
          <tpl hier="44" item="2"/>
          <tpl fld="17" item="0"/>
        </tpls>
      </n>
      <n v="-496708">
        <tpls c="7">
          <tpl fld="7" item="0"/>
          <tpl fld="16" item="1"/>
          <tpl fld="0" item="0"/>
          <tpl fld="11" item="52"/>
          <tpl fld="12" item="20"/>
          <tpl fld="1" item="1"/>
          <tpl fld="17" item="0"/>
        </tpls>
      </n>
      <n v="0">
        <tpls c="7">
          <tpl fld="7" item="0"/>
          <tpl fld="16" item="7"/>
          <tpl fld="0" item="0"/>
          <tpl fld="11" item="70"/>
          <tpl fld="12" item="20"/>
          <tpl fld="1" item="1"/>
          <tpl fld="17" item="0"/>
        </tpls>
      </n>
      <n v="123621">
        <tpls c="6">
          <tpl fld="6" item="2"/>
          <tpl hier="35" item="1"/>
          <tpl fld="11" item="54"/>
          <tpl fld="10" item="1"/>
          <tpl hier="44" item="2"/>
          <tpl fld="17" item="0"/>
        </tpls>
      </n>
      <n v="4137000">
        <tpls c="6">
          <tpl fld="7" item="2"/>
          <tpl fld="0" item="1"/>
          <tpl fld="11" item="27"/>
          <tpl fld="10" item="2"/>
          <tpl hier="44" item="2"/>
          <tpl fld="17" item="0"/>
        </tpls>
      </n>
      <n v="360000">
        <tpls c="7">
          <tpl fld="3" item="0"/>
          <tpl hier="10" item="4294967295"/>
          <tpl hier="35" item="1"/>
          <tpl fld="11" item="31"/>
          <tpl fld="12" item="3"/>
          <tpl hier="44" item="2"/>
          <tpl fld="17" item="0"/>
        </tpls>
      </n>
      <n v="0">
        <tpls c="7">
          <tpl fld="3" item="0"/>
          <tpl fld="16" item="4"/>
          <tpl hier="35" item="1"/>
          <tpl fld="11" item="48"/>
          <tpl fld="12" item="4"/>
          <tpl hier="44" item="2"/>
          <tpl fld="17" item="0"/>
        </tpls>
      </n>
      <n v="0">
        <tpls c="7">
          <tpl fld="7" item="0"/>
          <tpl hier="10" item="4294967295"/>
          <tpl fld="0" item="0"/>
          <tpl fld="11" item="68"/>
          <tpl fld="12" item="17"/>
          <tpl fld="1" item="1"/>
          <tpl fld="17" item="0"/>
        </tpls>
      </n>
      <n v="41686069">
        <tpls c="5">
          <tpl fld="7" item="1"/>
          <tpl fld="0" item="2"/>
          <tpl fld="12" item="18"/>
          <tpl hier="44" item="2"/>
          <tpl fld="17" item="0"/>
        </tpls>
      </n>
      <n v="85037136">
        <tpls c="7">
          <tpl fld="3" item="0"/>
          <tpl fld="16" item="7"/>
          <tpl hier="35" item="1"/>
          <tpl fld="11" item="3"/>
          <tpl fld="12" item="2"/>
          <tpl hier="44" item="2"/>
          <tpl fld="17" item="0"/>
        </tpls>
      </n>
      <n v="2572">
        <tpls c="5">
          <tpl fld="6" item="0"/>
          <tpl hier="35" item="3"/>
          <tpl fld="12" item="15"/>
          <tpl hier="44" item="2"/>
          <tpl fld="17" item="0"/>
        </tpls>
      </n>
      <m>
        <tpls c="7">
          <tpl fld="3" item="0"/>
          <tpl fld="16" item="1"/>
          <tpl hier="35" item="1"/>
          <tpl fld="11" item="7"/>
          <tpl fld="12" item="4"/>
          <tpl hier="44" item="2"/>
          <tpl fld="17" item="0"/>
        </tpls>
      </m>
      <m>
        <tpls c="3">
          <tpl fld="2" item="14"/>
          <tpl fld="8" item="5"/>
          <tpl fld="17" item="3"/>
        </tpls>
      </m>
      <n v="24167">
        <tpls c="7">
          <tpl fld="3" item="0"/>
          <tpl fld="16" item="5"/>
          <tpl hier="35" item="1"/>
          <tpl fld="11" item="50"/>
          <tpl fld="12" item="11"/>
          <tpl hier="44" item="2"/>
          <tpl fld="17" item="0"/>
        </tpls>
      </n>
      <m>
        <tpls c="3">
          <tpl fld="8" item="10"/>
          <tpl fld="4" item="1"/>
          <tpl fld="17" item="3"/>
        </tpls>
      </m>
      <n v="0">
        <tpls c="7">
          <tpl fld="7" item="0"/>
          <tpl fld="16" item="2"/>
          <tpl fld="0" item="0"/>
          <tpl fld="11" item="75"/>
          <tpl fld="12" item="14"/>
          <tpl fld="1" item="1"/>
          <tpl fld="17" item="0"/>
        </tpls>
      </n>
      <n v="2848420">
        <tpls c="6">
          <tpl fld="7" item="0"/>
          <tpl hier="10" item="4294967295"/>
          <tpl fld="0" item="0"/>
          <tpl fld="12" item="0"/>
          <tpl fld="1" item="1"/>
          <tpl fld="17" item="0"/>
        </tpls>
      </n>
      <m>
        <tpls c="3">
          <tpl fld="2" item="2"/>
          <tpl fld="8" item="0"/>
          <tpl fld="17" item="3"/>
        </tpls>
      </m>
      <n v="1800">
        <tpls c="5">
          <tpl fld="6" item="0"/>
          <tpl hier="35" item="3"/>
          <tpl fld="12" item="21"/>
          <tpl hier="44" item="2"/>
          <tpl fld="17" item="0"/>
        </tpls>
      </n>
      <n v="181">
        <tpls c="7">
          <tpl fld="3" item="0"/>
          <tpl fld="16" item="11"/>
          <tpl hier="35" item="1"/>
          <tpl fld="11" item="34"/>
          <tpl fld="12" item="15"/>
          <tpl hier="44" item="2"/>
          <tpl fld="17" item="0"/>
        </tpls>
      </n>
      <m>
        <tpls c="3">
          <tpl fld="2" item="14"/>
          <tpl fld="8" item="1"/>
          <tpl fld="17" item="3"/>
        </tpls>
      </m>
      <m>
        <tpls c="7">
          <tpl fld="3" item="1"/>
          <tpl fld="16" item="8"/>
          <tpl hier="35" item="0"/>
          <tpl fld="11" item="50"/>
          <tpl fld="12" item="11"/>
          <tpl hier="44" item="2"/>
          <tpl fld="17" item="0"/>
        </tpls>
      </m>
      <m>
        <tpls c="3">
          <tpl fld="2" item="7"/>
          <tpl fld="8" item="1"/>
          <tpl fld="17" item="3"/>
        </tpls>
      </m>
      <n v="6979">
        <tpls c="3">
          <tpl fld="9" item="6"/>
          <tpl fld="15" item="1"/>
          <tpl fld="17" item="2"/>
        </tpls>
      </n>
      <n v="0">
        <tpls c="6">
          <tpl fld="6" item="2"/>
          <tpl hier="35" item="3"/>
          <tpl fld="11" item="0"/>
          <tpl fld="12" item="2"/>
          <tpl hier="44" item="2"/>
          <tpl fld="17" item="0"/>
        </tpls>
      </n>
      <n v="-477952">
        <tpls c="7">
          <tpl fld="7" item="0"/>
          <tpl fld="16" item="6"/>
          <tpl fld="0" item="0"/>
          <tpl fld="11" item="55"/>
          <tpl fld="12" item="13"/>
          <tpl fld="1" item="1"/>
          <tpl fld="17" item="0"/>
        </tpls>
      </n>
      <n v="975000">
        <tpls c="6">
          <tpl fld="6" item="1"/>
          <tpl hier="35" item="1"/>
          <tpl fld="11" item="23"/>
          <tpl fld="10" item="2"/>
          <tpl hier="44" item="2"/>
          <tpl fld="17" item="0"/>
        </tpls>
      </n>
      <n v="33000">
        <tpls c="6">
          <tpl fld="7" item="2"/>
          <tpl fld="0" item="1"/>
          <tpl fld="11" item="38"/>
          <tpl fld="12" item="11"/>
          <tpl hier="44" item="2"/>
          <tpl fld="17" item="0"/>
        </tpls>
      </n>
      <m>
        <tpls c="6">
          <tpl fld="3" item="1"/>
          <tpl fld="16" item="8"/>
          <tpl hier="35" item="0"/>
          <tpl fld="12" item="21"/>
          <tpl hier="44" item="2"/>
          <tpl fld="17" item="0"/>
        </tpls>
      </m>
      <n v="3781965">
        <tpls c="7">
          <tpl fld="7" item="0"/>
          <tpl fld="16" item="0"/>
          <tpl fld="0" item="0"/>
          <tpl fld="11" item="45"/>
          <tpl fld="12" item="7"/>
          <tpl fld="1" item="1"/>
          <tpl fld="17" item="0"/>
        </tpls>
      </n>
      <n v="0">
        <tpls c="7">
          <tpl fld="7" item="0"/>
          <tpl fld="16" item="9"/>
          <tpl fld="0" item="0"/>
          <tpl fld="11" item="76"/>
          <tpl fld="12" item="14"/>
          <tpl fld="1" item="1"/>
          <tpl fld="17" item="0"/>
        </tpls>
      </n>
      <n v="-1528">
        <tpls c="7">
          <tpl fld="7" item="0"/>
          <tpl fld="16" item="6"/>
          <tpl fld="0" item="0"/>
          <tpl fld="11" item="71"/>
          <tpl fld="12" item="13"/>
          <tpl fld="1" item="1"/>
          <tpl fld="17" item="0"/>
        </tpls>
      </n>
      <n v="0">
        <tpls c="7">
          <tpl fld="7" item="0"/>
          <tpl fld="16" item="0"/>
          <tpl fld="0" item="0"/>
          <tpl fld="11" item="69"/>
          <tpl fld="12" item="7"/>
          <tpl fld="1" item="1"/>
          <tpl fld="17" item="0"/>
        </tpls>
      </n>
      <n v="0">
        <tpls c="6">
          <tpl fld="6" item="0"/>
          <tpl hier="35" item="3"/>
          <tpl fld="11" item="0"/>
          <tpl fld="12" item="2"/>
          <tpl hier="44" item="2"/>
          <tpl fld="17" item="0"/>
        </tpls>
      </n>
      <n v="56709141">
        <tpls c="6">
          <tpl fld="7" item="3"/>
          <tpl fld="0" item="2"/>
          <tpl fld="11" item="28"/>
          <tpl fld="12" item="13"/>
          <tpl fld="1" item="1"/>
          <tpl fld="17" item="0"/>
        </tpls>
      </n>
      <m>
        <tpls c="7">
          <tpl fld="3" item="1"/>
          <tpl fld="16" item="10"/>
          <tpl hier="35" item="0"/>
          <tpl fld="11" item="6"/>
          <tpl fld="12" item="3"/>
          <tpl hier="44" item="2"/>
          <tpl fld="17" item="0"/>
        </tpls>
      </m>
      <n v="3109913">
        <tpls c="7">
          <tpl fld="3" item="0"/>
          <tpl fld="16" item="9"/>
          <tpl hier="35" item="1"/>
          <tpl fld="11" item="35"/>
          <tpl fld="12" item="2"/>
          <tpl hier="44" item="2"/>
          <tpl fld="17" item="0"/>
        </tpls>
      </n>
      <n v="0">
        <tpls c="7">
          <tpl fld="7" item="0"/>
          <tpl fld="16" item="9"/>
          <tpl fld="0" item="0"/>
          <tpl fld="11" item="63"/>
          <tpl fld="12" item="13"/>
          <tpl fld="1" item="1"/>
          <tpl fld="17" item="0"/>
        </tpls>
      </n>
      <n v="4167">
        <tpls c="3">
          <tpl fld="9" item="8"/>
          <tpl fld="15" item="0"/>
          <tpl fld="17" item="2"/>
        </tpls>
      </n>
      <n v="7100000">
        <tpls c="3">
          <tpl fld="2" item="16"/>
          <tpl fld="8" item="5"/>
          <tpl fld="17" item="3"/>
        </tpls>
      </n>
      <n v="7537110">
        <tpls c="6">
          <tpl fld="6" item="1"/>
          <tpl hier="35" item="3"/>
          <tpl fld="11" item="35"/>
          <tpl fld="12" item="2"/>
          <tpl hier="44" item="2"/>
          <tpl fld="17" item="0"/>
        </tpls>
      </n>
      <n v="165922">
        <tpls c="6">
          <tpl fld="6" item="2"/>
          <tpl hier="35" item="1"/>
          <tpl fld="11" item="32"/>
          <tpl fld="10" item="0"/>
          <tpl hier="44" item="2"/>
          <tpl fld="17" item="0"/>
        </tpls>
      </n>
      <m>
        <tpls c="7">
          <tpl fld="3" item="0"/>
          <tpl fld="16" item="7"/>
          <tpl hier="35" item="1"/>
          <tpl fld="11" item="7"/>
          <tpl fld="12" item="4"/>
          <tpl hier="44" item="2"/>
          <tpl fld="17" item="0"/>
        </tpls>
      </m>
      <n v="0">
        <tpls c="7">
          <tpl fld="3" item="0"/>
          <tpl fld="16" item="5"/>
          <tpl hier="35" item="1"/>
          <tpl fld="11" item="9"/>
          <tpl fld="12" item="4"/>
          <tpl hier="44" item="2"/>
          <tpl fld="17" item="0"/>
        </tpls>
      </n>
      <m>
        <tpls c="7">
          <tpl fld="3" item="1"/>
          <tpl fld="16" item="5"/>
          <tpl hier="35" item="0"/>
          <tpl fld="11" item="54"/>
          <tpl fld="12" item="4"/>
          <tpl hier="44" item="2"/>
          <tpl fld="17" item="0"/>
        </tpls>
      </m>
      <n v="16">
        <tpls c="7">
          <tpl fld="3" item="0"/>
          <tpl fld="16" item="7"/>
          <tpl hier="35" item="1"/>
          <tpl fld="11" item="30"/>
          <tpl fld="12" item="15"/>
          <tpl hier="44" item="2"/>
          <tpl fld="17" item="0"/>
        </tpls>
      </n>
      <m>
        <tpls c="7">
          <tpl fld="3" item="1"/>
          <tpl hier="10" item="4294967295"/>
          <tpl hier="35" item="0"/>
          <tpl fld="11" item="6"/>
          <tpl fld="12" item="3"/>
          <tpl hier="44" item="2"/>
          <tpl fld="17" item="0"/>
        </tpls>
      </m>
      <m>
        <tpls c="7">
          <tpl fld="3" item="1"/>
          <tpl fld="16" item="10"/>
          <tpl hier="35" item="0"/>
          <tpl fld="11" item="30"/>
          <tpl fld="12" item="15"/>
          <tpl hier="44" item="2"/>
          <tpl fld="17" item="0"/>
        </tpls>
      </m>
      <n v="12727925">
        <tpls c="6">
          <tpl fld="7" item="0"/>
          <tpl fld="0" item="0"/>
          <tpl fld="11" item="8"/>
          <tpl fld="10" item="2"/>
          <tpl hier="44" item="2"/>
          <tpl fld="17" item="0"/>
        </tpls>
      </n>
      <n v="857000">
        <tpls c="3">
          <tpl fld="9" item="1"/>
          <tpl fld="15" item="2"/>
          <tpl fld="17" item="2"/>
        </tpls>
      </n>
      <m>
        <tpls c="7">
          <tpl fld="3" item="1"/>
          <tpl hier="10" item="4294967295"/>
          <tpl hier="35" item="0"/>
          <tpl fld="11" item="20"/>
          <tpl fld="12" item="2"/>
          <tpl hier="44" item="2"/>
          <tpl fld="17" item="0"/>
        </tpls>
      </m>
      <n v="-453">
        <tpls c="7">
          <tpl fld="3" item="0"/>
          <tpl hier="10" item="4294967295"/>
          <tpl hier="35" item="1"/>
          <tpl fld="11" item="9"/>
          <tpl fld="12" item="4"/>
          <tpl hier="44" item="2"/>
          <tpl fld="17" item="0"/>
        </tpls>
      </n>
      <n v="0">
        <tpls c="6">
          <tpl fld="7" item="0"/>
          <tpl fld="16" item="3"/>
          <tpl fld="0" item="0"/>
          <tpl fld="12" item="8"/>
          <tpl fld="1" item="1"/>
          <tpl fld="17" item="0"/>
        </tpls>
      </n>
      <n v="603100">
        <tpls c="7">
          <tpl fld="3" item="0"/>
          <tpl fld="16" item="10"/>
          <tpl hier="35" item="1"/>
          <tpl fld="11" item="10"/>
          <tpl fld="12" item="3"/>
          <tpl hier="44" item="2"/>
          <tpl fld="17" item="0"/>
        </tpls>
      </n>
      <n v="12987102">
        <tpls c="6">
          <tpl fld="7" item="1"/>
          <tpl fld="0" item="2"/>
          <tpl fld="11" item="6"/>
          <tpl fld="12" item="3"/>
          <tpl hier="44" item="2"/>
          <tpl fld="17" item="0"/>
        </tpls>
      </n>
      <n v="59081004">
        <tpls c="7">
          <tpl fld="7" item="0"/>
          <tpl fld="16" item="0"/>
          <tpl fld="0" item="0"/>
          <tpl fld="11" item="53"/>
          <tpl fld="12" item="14"/>
          <tpl fld="1" item="1"/>
          <tpl fld="17" item="0"/>
        </tpls>
      </n>
      <m>
        <tpls c="7">
          <tpl fld="3" item="1"/>
          <tpl fld="16" item="7"/>
          <tpl hier="35" item="0"/>
          <tpl fld="11" item="43"/>
          <tpl fld="12" item="3"/>
          <tpl hier="44" item="2"/>
          <tpl fld="17" item="0"/>
        </tpls>
      </m>
      <n v="982380">
        <tpls c="6">
          <tpl fld="7" item="1"/>
          <tpl fld="0" item="2"/>
          <tpl fld="11" item="19"/>
          <tpl fld="12" item="2"/>
          <tpl hier="44" item="2"/>
          <tpl fld="17" item="0"/>
        </tpls>
      </n>
      <n v="-250">
        <tpls c="6">
          <tpl fld="7" item="0"/>
          <tpl fld="16" item="8"/>
          <tpl fld="0" item="0"/>
          <tpl fld="12" item="0"/>
          <tpl fld="1" item="1"/>
          <tpl fld="17" item="0"/>
        </tpls>
      </n>
      <n v="1437666">
        <tpls c="7">
          <tpl fld="3" item="0"/>
          <tpl fld="16" item="10"/>
          <tpl hier="35" item="1"/>
          <tpl fld="11" item="33"/>
          <tpl fld="12" item="3"/>
          <tpl hier="44" item="2"/>
          <tpl fld="17" item="0"/>
        </tpls>
      </n>
      <n v="114072">
        <tpls c="7">
          <tpl fld="3" item="0"/>
          <tpl fld="16" item="7"/>
          <tpl hier="35" item="1"/>
          <tpl fld="11" item="19"/>
          <tpl fld="12" item="2"/>
          <tpl hier="44" item="2"/>
          <tpl fld="17" item="0"/>
        </tpls>
      </n>
      <n v="-18440">
        <tpls c="7">
          <tpl fld="7" item="0"/>
          <tpl fld="16" item="9"/>
          <tpl fld="0" item="0"/>
          <tpl fld="11" item="72"/>
          <tpl fld="12" item="0"/>
          <tpl fld="1" item="1"/>
          <tpl fld="17" item="0"/>
        </tpls>
      </n>
      <n v="418525">
        <tpls c="6">
          <tpl fld="3" item="0"/>
          <tpl fld="16" item="10"/>
          <tpl hier="35" item="1"/>
          <tpl fld="12" item="4"/>
          <tpl hier="44" item="2"/>
          <tpl fld="17" item="0"/>
        </tpls>
      </n>
      <n v="1098974">
        <tpls c="7">
          <tpl fld="3" item="0"/>
          <tpl fld="16" item="6"/>
          <tpl hier="35" item="1"/>
          <tpl fld="11" item="20"/>
          <tpl fld="12" item="2"/>
          <tpl hier="44" item="2"/>
          <tpl fld="17" item="0"/>
        </tpls>
      </n>
      <n v="0">
        <tpls c="6">
          <tpl fld="6" item="1"/>
          <tpl hier="35" item="1"/>
          <tpl fld="11" item="44"/>
          <tpl fld="10" item="3"/>
          <tpl hier="44" item="2"/>
          <tpl fld="17" item="0"/>
        </tpls>
      </n>
      <m>
        <tpls c="3">
          <tpl fld="5" item="5"/>
          <tpl fld="4" item="2"/>
          <tpl fld="17" item="3"/>
        </tpls>
      </m>
      <n v="-1952269">
        <tpls c="7">
          <tpl fld="7" item="0"/>
          <tpl fld="16" item="5"/>
          <tpl fld="0" item="0"/>
          <tpl fld="11" item="45"/>
          <tpl fld="12" item="7"/>
          <tpl fld="1" item="1"/>
          <tpl fld="17" item="0"/>
        </tpls>
      </n>
      <m>
        <tpls c="3">
          <tpl fld="2" item="13"/>
          <tpl fld="8" item="7"/>
          <tpl fld="17" item="3"/>
        </tpls>
      </m>
      <n v="1447185">
        <tpls c="7">
          <tpl fld="3" item="0"/>
          <tpl fld="16" item="9"/>
          <tpl hier="35" item="1"/>
          <tpl fld="11" item="8"/>
          <tpl fld="12" item="3"/>
          <tpl hier="44" item="2"/>
          <tpl fld="17" item="0"/>
        </tpls>
      </n>
      <n v="0">
        <tpls c="6">
          <tpl fld="7" item="0"/>
          <tpl fld="16" item="8"/>
          <tpl fld="0" item="0"/>
          <tpl fld="12" item="5"/>
          <tpl fld="1" item="1"/>
          <tpl fld="17" item="0"/>
        </tpls>
      </n>
      <n v="150000">
        <tpls c="3">
          <tpl fld="8" item="9"/>
          <tpl hier="22" item="4294967295"/>
          <tpl fld="17" item="3"/>
        </tpls>
      </n>
      <m>
        <tpls c="6">
          <tpl fld="7" item="1"/>
          <tpl fld="0" item="2"/>
          <tpl fld="11" item="68"/>
          <tpl fld="12" item="17"/>
          <tpl fld="1" item="1"/>
          <tpl fld="17" item="0"/>
        </tpls>
      </m>
      <m>
        <tpls c="6">
          <tpl fld="3" item="1"/>
          <tpl hier="10" item="4294967295"/>
          <tpl hier="35" item="0"/>
          <tpl fld="12" item="2"/>
          <tpl hier="44" item="2"/>
          <tpl fld="17" item="0"/>
        </tpls>
      </m>
      <m>
        <tpls c="7">
          <tpl fld="3" item="1"/>
          <tpl fld="16" item="11"/>
          <tpl hier="35" item="0"/>
          <tpl fld="11" item="11"/>
          <tpl fld="12" item="2"/>
          <tpl hier="44" item="2"/>
          <tpl fld="17" item="0"/>
        </tpls>
      </m>
      <n v="3827531">
        <tpls c="6">
          <tpl fld="6" item="3"/>
          <tpl hier="35" item="1"/>
          <tpl fld="11" item="20"/>
          <tpl fld="10" item="0"/>
          <tpl hier="44" item="2"/>
          <tpl fld="17" item="0"/>
        </tpls>
      </n>
      <n v="1443933">
        <tpls c="7">
          <tpl fld="3" item="0"/>
          <tpl fld="16" item="6"/>
          <tpl hier="35" item="1"/>
          <tpl fld="11" item="6"/>
          <tpl fld="12" item="3"/>
          <tpl hier="44" item="2"/>
          <tpl fld="17" item="0"/>
        </tpls>
      </n>
      <m>
        <tpls c="7">
          <tpl fld="3" item="1"/>
          <tpl fld="16" item="10"/>
          <tpl hier="35" item="0"/>
          <tpl fld="11" item="39"/>
          <tpl fld="12" item="3"/>
          <tpl hier="44" item="2"/>
          <tpl fld="17" item="0"/>
        </tpls>
      </m>
      <n v="355">
        <tpls c="6">
          <tpl fld="3" item="0"/>
          <tpl fld="16" item="4"/>
          <tpl hier="35" item="1"/>
          <tpl fld="12" item="15"/>
          <tpl hier="44" item="2"/>
          <tpl fld="17" item="0"/>
        </tpls>
      </n>
      <m>
        <tpls c="3">
          <tpl fld="2" item="17"/>
          <tpl fld="8" item="10"/>
          <tpl fld="17" item="3"/>
        </tpls>
      </m>
      <n v="4167">
        <tpls c="3">
          <tpl fld="9" item="6"/>
          <tpl fld="15" item="0"/>
          <tpl fld="17" item="2"/>
        </tpls>
      </n>
      <m>
        <tpls c="3">
          <tpl fld="2" item="8"/>
          <tpl fld="8" item="7"/>
          <tpl fld="17" item="3"/>
        </tpls>
      </m>
      <n v="-1968">
        <tpls c="7">
          <tpl fld="7" item="0"/>
          <tpl fld="16" item="8"/>
          <tpl fld="0" item="0"/>
          <tpl fld="11" item="42"/>
          <tpl fld="12" item="16"/>
          <tpl fld="1" item="1"/>
          <tpl fld="17" item="0"/>
        </tpls>
      </n>
      <n v="0">
        <tpls c="7">
          <tpl fld="7" item="0"/>
          <tpl fld="16" item="1"/>
          <tpl fld="0" item="0"/>
          <tpl fld="11" item="64"/>
          <tpl fld="12" item="22"/>
          <tpl fld="1" item="1"/>
          <tpl fld="17" item="0"/>
        </tpls>
      </n>
      <n v="68074">
        <tpls c="6">
          <tpl fld="6" item="3"/>
          <tpl hier="35" item="1"/>
          <tpl fld="11" item="11"/>
          <tpl fld="10" item="0"/>
          <tpl hier="44" item="2"/>
          <tpl fld="17" item="0"/>
        </tpls>
      </n>
      <m>
        <tpls c="3">
          <tpl fld="8" item="11"/>
          <tpl fld="4" item="2"/>
          <tpl fld="17" item="3"/>
        </tpls>
      </m>
      <n v="17829000">
        <tpls c="3">
          <tpl fld="2" item="8"/>
          <tpl fld="8" item="1"/>
          <tpl fld="17" item="3"/>
        </tpls>
      </n>
      <n v="1437667">
        <tpls c="7">
          <tpl fld="3" item="0"/>
          <tpl fld="16" item="1"/>
          <tpl hier="35" item="1"/>
          <tpl fld="11" item="33"/>
          <tpl fld="12" item="3"/>
          <tpl hier="44" item="2"/>
          <tpl fld="17" item="0"/>
        </tpls>
      </n>
      <n v="3125">
        <tpls c="3">
          <tpl fld="9" item="2"/>
          <tpl fld="15" item="1"/>
          <tpl fld="17" item="2"/>
        </tpls>
      </n>
      <m>
        <tpls c="7">
          <tpl fld="3" item="0"/>
          <tpl hier="10" item="4294967295"/>
          <tpl hier="35" item="1"/>
          <tpl fld="11" item="26"/>
          <tpl fld="12" item="2"/>
          <tpl hier="44" item="2"/>
          <tpl fld="17" item="0"/>
        </tpls>
      </m>
      <n v="178">
        <tpls c="7">
          <tpl fld="3" item="0"/>
          <tpl fld="16" item="2"/>
          <tpl hier="35" item="1"/>
          <tpl fld="11" item="34"/>
          <tpl fld="12" item="15"/>
          <tpl hier="44" item="2"/>
          <tpl fld="17" item="0"/>
        </tpls>
      </n>
      <m>
        <tpls c="7">
          <tpl fld="3" item="1"/>
          <tpl fld="16" item="11"/>
          <tpl hier="35" item="0"/>
          <tpl fld="11" item="8"/>
          <tpl fld="12" item="3"/>
          <tpl hier="44" item="2"/>
          <tpl fld="17" item="0"/>
        </tpls>
      </m>
      <n v="286917">
        <tpls c="6">
          <tpl fld="7" item="0"/>
          <tpl fld="0" item="0"/>
          <tpl fld="11" item="31"/>
          <tpl fld="10" item="2"/>
          <tpl hier="44" item="2"/>
          <tpl fld="17" item="0"/>
        </tpls>
      </n>
      <n v="202130">
        <tpls c="6">
          <tpl fld="7" item="1"/>
          <tpl fld="0" item="2"/>
          <tpl fld="11" item="72"/>
          <tpl fld="12" item="0"/>
          <tpl fld="1" item="1"/>
          <tpl fld="17" item="0"/>
        </tpls>
      </n>
      <m>
        <tpls c="3">
          <tpl fld="2" item="16"/>
          <tpl fld="8" item="8"/>
          <tpl fld="17" item="3"/>
        </tpls>
      </m>
      <n v="160">
        <tpls c="7">
          <tpl fld="3" item="0"/>
          <tpl fld="16" item="9"/>
          <tpl hier="35" item="1"/>
          <tpl fld="11" item="25"/>
          <tpl fld="12" item="2"/>
          <tpl hier="44" item="2"/>
          <tpl fld="17" item="0"/>
        </tpls>
      </n>
      <m>
        <tpls c="3">
          <tpl fld="2" item="13"/>
          <tpl fld="8" item="2"/>
          <tpl fld="17" item="3"/>
        </tpls>
      </m>
      <n v="1443933">
        <tpls c="7">
          <tpl fld="3" item="0"/>
          <tpl fld="16" item="10"/>
          <tpl hier="35" item="1"/>
          <tpl fld="11" item="6"/>
          <tpl fld="12" item="3"/>
          <tpl hier="44" item="2"/>
          <tpl fld="17" item="0"/>
        </tpls>
      </n>
      <n v="982380">
        <tpls c="6">
          <tpl fld="7" item="1"/>
          <tpl fld="0" item="2"/>
          <tpl fld="11" item="19"/>
          <tpl fld="10" item="0"/>
          <tpl hier="44" item="2"/>
          <tpl fld="17" item="0"/>
        </tpls>
      </n>
      <n v="15720000">
        <tpls c="6">
          <tpl fld="7" item="2"/>
          <tpl fld="0" item="1"/>
          <tpl fld="11" item="37"/>
          <tpl fld="10" item="2"/>
          <tpl hier="44" item="2"/>
          <tpl fld="17" item="0"/>
        </tpls>
      </n>
      <n v="281344">
        <tpls c="6">
          <tpl fld="7" item="1"/>
          <tpl fld="0" item="2"/>
          <tpl fld="11" item="31"/>
          <tpl fld="12" item="3"/>
          <tpl hier="44" item="2"/>
          <tpl fld="17" item="0"/>
        </tpls>
      </n>
      <n v="574986518">
        <tpls c="6">
          <tpl fld="7" item="0"/>
          <tpl hier="10" item="4294967295"/>
          <tpl fld="0" item="0"/>
          <tpl fld="12" item="13"/>
          <tpl fld="1" item="1"/>
          <tpl fld="17" item="0"/>
        </tpls>
      </n>
      <n v="3233349">
        <tpls c="6">
          <tpl fld="6" item="0"/>
          <tpl hier="35" item="1"/>
          <tpl fld="11" item="8"/>
          <tpl fld="10" item="2"/>
          <tpl hier="44" item="2"/>
          <tpl fld="17" item="0"/>
        </tpls>
      </n>
      <n v="0">
        <tpls c="7">
          <tpl fld="7" item="0"/>
          <tpl fld="16" item="1"/>
          <tpl fld="0" item="0"/>
          <tpl fld="11" item="65"/>
          <tpl fld="12" item="12"/>
          <tpl fld="1" item="1"/>
          <tpl fld="17" item="0"/>
        </tpls>
      </n>
      <n v="15000000">
        <tpls c="3">
          <tpl fld="8" item="2"/>
          <tpl fld="4" item="3"/>
          <tpl fld="17" item="3"/>
        </tpls>
      </n>
      <m>
        <tpls c="3">
          <tpl fld="8" item="1"/>
          <tpl fld="4" item="3"/>
          <tpl fld="17" item="3"/>
        </tpls>
      </m>
      <n v="0">
        <tpls c="7">
          <tpl fld="7" item="0"/>
          <tpl fld="16" item="11"/>
          <tpl fld="0" item="0"/>
          <tpl fld="11" item="53"/>
          <tpl fld="12" item="14"/>
          <tpl fld="1" item="1"/>
          <tpl fld="17" item="0"/>
        </tpls>
      </n>
      <n v="4331799">
        <tpls c="6">
          <tpl fld="6" item="0"/>
          <tpl hier="35" item="3"/>
          <tpl fld="11" item="6"/>
          <tpl fld="12" item="3"/>
          <tpl hier="44" item="2"/>
          <tpl fld="17" item="0"/>
        </tpls>
      </n>
      <n v="1599500">
        <tpls c="6">
          <tpl fld="6" item="0"/>
          <tpl hier="35" item="3"/>
          <tpl fld="11" item="16"/>
          <tpl fld="12" item="3"/>
          <tpl hier="44" item="2"/>
          <tpl fld="17" item="0"/>
        </tpls>
      </n>
      <n v="418525">
        <tpls c="7">
          <tpl fld="3" item="0"/>
          <tpl fld="16" item="2"/>
          <tpl hier="35" item="1"/>
          <tpl fld="11" item="22"/>
          <tpl fld="12" item="4"/>
          <tpl hier="44" item="2"/>
          <tpl fld="17" item="0"/>
        </tpls>
      </n>
      <n v="-425">
        <tpls c="6">
          <tpl fld="7" item="0"/>
          <tpl fld="0" item="0"/>
          <tpl fld="11" item="9"/>
          <tpl fld="12" item="4"/>
          <tpl hier="44" item="2"/>
          <tpl fld="17" item="0"/>
        </tpls>
      </n>
      <n v="-1607354">
        <tpls c="7">
          <tpl fld="7" item="0"/>
          <tpl fld="16" item="6"/>
          <tpl fld="0" item="0"/>
          <tpl fld="11" item="47"/>
          <tpl fld="12" item="10"/>
          <tpl fld="1" item="1"/>
          <tpl fld="17" item="0"/>
        </tpls>
      </n>
      <n v="10842">
        <tpls c="6">
          <tpl fld="6" item="3"/>
          <tpl hier="35" item="3"/>
          <tpl fld="11" item="32"/>
          <tpl fld="12" item="2"/>
          <tpl hier="44" item="2"/>
          <tpl fld="17" item="0"/>
        </tpls>
      </n>
      <n v="202884">
        <tpls c="6">
          <tpl fld="7" item="1"/>
          <tpl fld="0" item="2"/>
          <tpl fld="11" item="1"/>
          <tpl fld="12" item="1"/>
          <tpl hier="44" item="2"/>
          <tpl fld="17" item="0"/>
        </tpls>
      </n>
      <n v="0">
        <tpls c="7">
          <tpl fld="3" item="0"/>
          <tpl fld="16" item="11"/>
          <tpl hier="35" item="1"/>
          <tpl fld="11" item="0"/>
          <tpl fld="12" item="2"/>
          <tpl hier="44" item="2"/>
          <tpl fld="17" item="0"/>
        </tpls>
      </n>
      <m>
        <tpls c="6">
          <tpl fld="3" item="1"/>
          <tpl fld="16" item="1"/>
          <tpl hier="35" item="0"/>
          <tpl fld="12" item="15"/>
          <tpl hier="44" item="2"/>
          <tpl fld="17" item="0"/>
        </tpls>
      </m>
      <n v="4312998">
        <tpls c="6">
          <tpl fld="6" item="0"/>
          <tpl hier="35" item="3"/>
          <tpl fld="11" item="33"/>
          <tpl fld="12" item="3"/>
          <tpl hier="44" item="2"/>
          <tpl fld="17" item="0"/>
        </tpls>
      </n>
      <m>
        <tpls c="6">
          <tpl fld="3" item="1"/>
          <tpl fld="16" item="3"/>
          <tpl hier="35" item="0"/>
          <tpl fld="12" item="11"/>
          <tpl hier="44" item="2"/>
          <tpl fld="17" item="0"/>
        </tpls>
      </m>
      <m>
        <tpls c="3">
          <tpl fld="2" item="1"/>
          <tpl fld="8" item="6"/>
          <tpl fld="17" item="3"/>
        </tpls>
      </m>
      <n v="1034193">
        <tpls c="6">
          <tpl fld="7" item="2"/>
          <tpl fld="0" item="1"/>
          <tpl fld="11" item="41"/>
          <tpl fld="10" item="0"/>
          <tpl hier="44" item="2"/>
          <tpl fld="17" item="0"/>
        </tpls>
      </n>
      <n v="0">
        <tpls c="7">
          <tpl fld="7" item="0"/>
          <tpl fld="16" item="1"/>
          <tpl fld="0" item="0"/>
          <tpl fld="11" item="73"/>
          <tpl fld="12" item="0"/>
          <tpl fld="1" item="1"/>
          <tpl fld="17" item="0"/>
        </tpls>
      </n>
      <m>
        <tpls c="3">
          <tpl fld="2" item="13"/>
          <tpl fld="8" item="0"/>
          <tpl fld="17" item="3"/>
        </tpls>
      </m>
      <n v="90000">
        <tpls c="6">
          <tpl fld="6" item="3"/>
          <tpl hier="35" item="3"/>
          <tpl fld="11" item="31"/>
          <tpl fld="12" item="3"/>
          <tpl hier="44" item="2"/>
          <tpl fld="17" item="0"/>
        </tpls>
      </n>
      <n v="0">
        <tpls c="6">
          <tpl fld="6" item="2"/>
          <tpl hier="35" item="1"/>
          <tpl fld="11" item="48"/>
          <tpl fld="10" item="1"/>
          <tpl hier="44" item="2"/>
          <tpl fld="17" item="0"/>
        </tpls>
      </n>
      <m>
        <tpls c="7">
          <tpl fld="3" item="1"/>
          <tpl fld="16" item="8"/>
          <tpl hier="35" item="0"/>
          <tpl fld="11" item="36"/>
          <tpl fld="12" item="2"/>
          <tpl hier="44" item="2"/>
          <tpl fld="17" item="0"/>
        </tpls>
      </m>
      <n v="1661917">
        <tpls c="6">
          <tpl fld="3" item="0"/>
          <tpl fld="16" item="8"/>
          <tpl hier="35" item="1"/>
          <tpl fld="12" item="11"/>
          <tpl hier="44" item="2"/>
          <tpl fld="17" item="0"/>
        </tpls>
      </n>
      <m>
        <tpls c="7">
          <tpl fld="3" item="1"/>
          <tpl fld="16" item="11"/>
          <tpl hier="35" item="0"/>
          <tpl fld="11" item="4"/>
          <tpl fld="12" item="1"/>
          <tpl hier="44" item="2"/>
          <tpl fld="17" item="0"/>
        </tpls>
      </m>
      <n v="0">
        <tpls c="6">
          <tpl fld="6" item="3"/>
          <tpl hier="35" item="1"/>
          <tpl fld="11" item="44"/>
          <tpl fld="10" item="3"/>
          <tpl hier="44" item="2"/>
          <tpl fld="17" item="0"/>
        </tpls>
      </n>
      <n v="17390000">
        <tpls c="3">
          <tpl fld="8" item="5"/>
          <tpl hier="22" item="4294967295"/>
          <tpl fld="17" item="3"/>
        </tpls>
      </n>
      <m>
        <tpls c="7">
          <tpl fld="3" item="1"/>
          <tpl fld="16" item="4"/>
          <tpl hier="35" item="0"/>
          <tpl fld="11" item="30"/>
          <tpl fld="12" item="15"/>
          <tpl hier="44" item="2"/>
          <tpl fld="17" item="0"/>
        </tpls>
      </m>
      <n v="418525">
        <tpls c="6">
          <tpl fld="3" item="0"/>
          <tpl fld="16" item="5"/>
          <tpl hier="35" item="1"/>
          <tpl fld="12" item="4"/>
          <tpl hier="44" item="2"/>
          <tpl fld="17" item="0"/>
        </tpls>
      </n>
      <m>
        <tpls c="3">
          <tpl fld="8" item="4"/>
          <tpl fld="4" item="3"/>
          <tpl fld="17" item="3"/>
        </tpls>
      </m>
      <n v="0">
        <tpls c="7">
          <tpl fld="7" item="0"/>
          <tpl fld="16" item="11"/>
          <tpl fld="0" item="0"/>
          <tpl fld="11" item="66"/>
          <tpl fld="12" item="13"/>
          <tpl fld="1" item="1"/>
          <tpl fld="17" item="0"/>
        </tpls>
      </n>
      <n v="900">
        <tpls c="6">
          <tpl fld="6" item="2"/>
          <tpl hier="35" item="3"/>
          <tpl fld="11" item="1"/>
          <tpl fld="12" item="1"/>
          <tpl hier="44" item="2"/>
          <tpl fld="17" item="0"/>
        </tpls>
      </n>
      <n v="-1607354">
        <tpls c="7">
          <tpl fld="7" item="0"/>
          <tpl fld="16" item="3"/>
          <tpl fld="0" item="0"/>
          <tpl fld="11" item="47"/>
          <tpl fld="12" item="10"/>
          <tpl fld="1" item="1"/>
          <tpl fld="17" item="0"/>
        </tpls>
      </n>
      <n v="72501">
        <tpls c="6">
          <tpl fld="6" item="1"/>
          <tpl hier="35" item="3"/>
          <tpl fld="11" item="50"/>
          <tpl fld="12" item="11"/>
          <tpl hier="44" item="2"/>
          <tpl fld="17" item="0"/>
        </tpls>
      </n>
      <n v="1207958">
        <tpls c="6">
          <tpl fld="7" item="0"/>
          <tpl fld="16" item="3"/>
          <tpl fld="0" item="0"/>
          <tpl fld="12" item="10"/>
          <tpl fld="1" item="1"/>
          <tpl fld="17" item="0"/>
        </tpls>
      </n>
      <n v="10171911">
        <tpls c="5">
          <tpl fld="7" item="1"/>
          <tpl fld="0" item="2"/>
          <tpl fld="12" item="7"/>
          <tpl fld="1" item="1"/>
          <tpl fld="17" item="0"/>
        </tpls>
      </n>
      <n v="16840140">
        <tpls c="5">
          <tpl fld="6" item="1"/>
          <tpl hier="35" item="3"/>
          <tpl fld="12" item="18"/>
          <tpl hier="44" item="2"/>
          <tpl fld="17" item="0"/>
        </tpls>
      </n>
      <m>
        <tpls c="7">
          <tpl fld="3" item="1"/>
          <tpl fld="16" item="3"/>
          <tpl hier="35" item="0"/>
          <tpl fld="11" item="19"/>
          <tpl fld="12" item="2"/>
          <tpl hier="44" item="2"/>
          <tpl fld="17" item="0"/>
        </tpls>
      </m>
      <n v="6000">
        <tpls c="7">
          <tpl fld="3" item="0"/>
          <tpl fld="16" item="4"/>
          <tpl hier="35" item="1"/>
          <tpl fld="11" item="5"/>
          <tpl fld="12" item="1"/>
          <tpl hier="44" item="2"/>
          <tpl fld="17" item="0"/>
        </tpls>
      </n>
      <n v="4331802">
        <tpls c="6">
          <tpl fld="6" item="3"/>
          <tpl hier="35" item="3"/>
          <tpl fld="11" item="6"/>
          <tpl fld="12" item="3"/>
          <tpl hier="44" item="2"/>
          <tpl fld="17" item="0"/>
        </tpls>
      </n>
      <m>
        <tpls c="7">
          <tpl fld="3" item="1"/>
          <tpl fld="16" item="2"/>
          <tpl hier="35" item="0"/>
          <tpl fld="11" item="5"/>
          <tpl fld="12" item="1"/>
          <tpl hier="44" item="2"/>
          <tpl fld="17" item="0"/>
        </tpls>
      </m>
      <m>
        <tpls c="3">
          <tpl fld="2" item="21"/>
          <tpl fld="8" item="9"/>
          <tpl fld="17" item="3"/>
        </tpls>
      </m>
      <n v="975000">
        <tpls c="6">
          <tpl fld="6" item="0"/>
          <tpl hier="35" item="1"/>
          <tpl fld="11" item="23"/>
          <tpl fld="10" item="2"/>
          <tpl hier="44" item="2"/>
          <tpl fld="17" item="0"/>
        </tpls>
      </n>
      <n v="841">
        <tpls c="5">
          <tpl fld="6" item="3"/>
          <tpl hier="35" item="3"/>
          <tpl fld="12" item="15"/>
          <tpl hier="44" item="2"/>
          <tpl fld="17" item="0"/>
        </tpls>
      </n>
      <n v="19677430">
        <tpls c="7">
          <tpl fld="3" item="0"/>
          <tpl fld="16" item="9"/>
          <tpl hier="35" item="1"/>
          <tpl fld="11" item="49"/>
          <tpl fld="12" item="9"/>
          <tpl hier="44" item="2"/>
          <tpl fld="17" item="0"/>
        </tpls>
      </n>
      <n v="0">
        <tpls c="6">
          <tpl fld="7" item="0"/>
          <tpl fld="16" item="0"/>
          <tpl fld="0" item="0"/>
          <tpl fld="12" item="22"/>
          <tpl fld="1" item="1"/>
          <tpl fld="17" item="0"/>
        </tpls>
      </n>
      <n v="4509555">
        <tpls c="6">
          <tpl fld="6" item="3"/>
          <tpl hier="35" item="1"/>
          <tpl fld="11" item="8"/>
          <tpl fld="10" item="2"/>
          <tpl hier="44" item="2"/>
          <tpl fld="17" item="0"/>
        </tpls>
      </n>
      <n v="1173000">
        <tpls c="6">
          <tpl fld="7" item="2"/>
          <tpl fld="0" item="1"/>
          <tpl fld="11" item="39"/>
          <tpl fld="12" item="3"/>
          <tpl hier="44" item="2"/>
          <tpl fld="17" item="0"/>
        </tpls>
      </n>
      <n v="8899321">
        <tpls c="6">
          <tpl fld="6" item="0"/>
          <tpl hier="35" item="3"/>
          <tpl fld="11" item="35"/>
          <tpl fld="12" item="2"/>
          <tpl hier="44" item="2"/>
          <tpl fld="17" item="0"/>
        </tpls>
      </n>
      <m>
        <tpls c="7">
          <tpl fld="3" item="1"/>
          <tpl fld="16" item="7"/>
          <tpl hier="35" item="0"/>
          <tpl fld="11" item="16"/>
          <tpl fld="12" item="3"/>
          <tpl hier="44" item="2"/>
          <tpl fld="17" item="0"/>
        </tpls>
      </m>
      <n v="219419574">
        <tpls c="6">
          <tpl fld="7" item="0"/>
          <tpl hier="10" item="4294967295"/>
          <tpl fld="0" item="0"/>
          <tpl fld="12" item="16"/>
          <tpl fld="1" item="1"/>
          <tpl fld="17" item="0"/>
        </tpls>
      </n>
      <n v="222559207">
        <tpls c="5">
          <tpl fld="7" item="0"/>
          <tpl fld="0" item="0"/>
          <tpl fld="12" item="9"/>
          <tpl hier="44" item="2"/>
          <tpl fld="17" item="0"/>
        </tpls>
      </n>
      <n v="1270751">
        <tpls c="7">
          <tpl fld="7" item="0"/>
          <tpl hier="10" item="4294967295"/>
          <tpl fld="0" item="0"/>
          <tpl fld="11" item="60"/>
          <tpl fld="12" item="20"/>
          <tpl fld="1" item="1"/>
          <tpl fld="17" item="0"/>
        </tpls>
      </n>
      <n v="0">
        <tpls c="6">
          <tpl fld="7" item="3"/>
          <tpl fld="0" item="2"/>
          <tpl fld="11" item="61"/>
          <tpl fld="12" item="7"/>
          <tpl fld="1" item="1"/>
          <tpl fld="17" item="0"/>
        </tpls>
      </n>
      <n v="0">
        <tpls c="6">
          <tpl fld="7" item="1"/>
          <tpl fld="0" item="2"/>
          <tpl fld="11" item="15"/>
          <tpl fld="10" item="2"/>
          <tpl hier="44" item="2"/>
          <tpl fld="17" item="0"/>
        </tpls>
      </n>
      <m>
        <tpls c="7">
          <tpl fld="3" item="1"/>
          <tpl fld="16" item="9"/>
          <tpl hier="35" item="0"/>
          <tpl fld="11" item="18"/>
          <tpl fld="12" item="2"/>
          <tpl hier="44" item="2"/>
          <tpl fld="17" item="0"/>
        </tpls>
      </m>
      <n v="8250">
        <tpls c="6">
          <tpl fld="6" item="0"/>
          <tpl hier="35" item="3"/>
          <tpl fld="11" item="38"/>
          <tpl fld="12" item="11"/>
          <tpl hier="44" item="2"/>
          <tpl fld="17" item="0"/>
        </tpls>
      </n>
      <n v="0">
        <tpls c="7">
          <tpl fld="7" item="0"/>
          <tpl fld="16" item="8"/>
          <tpl fld="0" item="0"/>
          <tpl fld="11" item="67"/>
          <tpl fld="12" item="0"/>
          <tpl fld="1" item="1"/>
          <tpl fld="17" item="0"/>
        </tpls>
      </n>
      <m>
        <tpls c="7">
          <tpl fld="3" item="1"/>
          <tpl fld="16" item="9"/>
          <tpl hier="35" item="0"/>
          <tpl fld="11" item="14"/>
          <tpl fld="12" item="3"/>
          <tpl hier="44" item="2"/>
          <tpl fld="17" item="0"/>
        </tpls>
      </m>
      <m>
        <tpls c="3">
          <tpl fld="2" item="6"/>
          <tpl fld="8" item="3"/>
          <tpl fld="17" item="3"/>
        </tpls>
      </m>
      <m>
        <tpls c="6">
          <tpl fld="3" item="1"/>
          <tpl fld="16" item="6"/>
          <tpl hier="35" item="0"/>
          <tpl fld="12" item="11"/>
          <tpl hier="44" item="2"/>
          <tpl fld="17" item="0"/>
        </tpls>
      </m>
      <n v="22707">
        <tpls c="7">
          <tpl fld="7" item="0"/>
          <tpl fld="16" item="3"/>
          <tpl fld="0" item="0"/>
          <tpl fld="11" item="62"/>
          <tpl fld="12" item="13"/>
          <tpl fld="1" item="1"/>
          <tpl fld="17" item="0"/>
        </tpls>
      </n>
      <n v="1484627">
        <tpls c="6">
          <tpl fld="7" item="0"/>
          <tpl hier="10" item="4294967295"/>
          <tpl fld="0" item="0"/>
          <tpl fld="12" item="20"/>
          <tpl fld="1" item="1"/>
          <tpl fld="17" item="0"/>
        </tpls>
      </n>
      <n v="0">
        <tpls c="7">
          <tpl fld="7" item="0"/>
          <tpl fld="16" item="9"/>
          <tpl fld="0" item="0"/>
          <tpl fld="11" item="75"/>
          <tpl fld="12" item="14"/>
          <tpl fld="1" item="1"/>
          <tpl fld="17" item="0"/>
        </tpls>
      </n>
      <n v="8250">
        <tpls c="6">
          <tpl fld="6" item="2"/>
          <tpl hier="35" item="3"/>
          <tpl fld="11" item="38"/>
          <tpl fld="12" item="11"/>
          <tpl hier="44" item="2"/>
          <tpl fld="17" item="0"/>
        </tpls>
      </n>
      <n v="104167">
        <tpls c="7">
          <tpl fld="3" item="0"/>
          <tpl fld="16" item="2"/>
          <tpl hier="35" item="1"/>
          <tpl fld="11" item="43"/>
          <tpl fld="12" item="3"/>
          <tpl hier="44" item="2"/>
          <tpl fld="17" item="0"/>
        </tpls>
      </n>
      <n v="5596305">
        <tpls c="6">
          <tpl fld="7" item="0"/>
          <tpl fld="0" item="0"/>
          <tpl fld="11" item="33"/>
          <tpl fld="12" item="3"/>
          <tpl hier="44" item="2"/>
          <tpl fld="17" item="0"/>
        </tpls>
      </n>
      <n v="98643026">
        <tpls c="6">
          <tpl fld="7" item="1"/>
          <tpl fld="0" item="2"/>
          <tpl fld="11" item="58"/>
          <tpl fld="12" item="19"/>
          <tpl fld="1" item="1"/>
          <tpl fld="17" item="0"/>
        </tpls>
      </n>
      <n v="0">
        <tpls c="6">
          <tpl fld="6" item="0"/>
          <tpl hier="35" item="1"/>
          <tpl fld="11" item="9"/>
          <tpl fld="10" item="1"/>
          <tpl hier="44" item="2"/>
          <tpl fld="17" item="0"/>
        </tpls>
      </n>
      <m>
        <tpls c="3">
          <tpl fld="2" item="18"/>
          <tpl fld="8" item="11"/>
          <tpl fld="17" item="3"/>
        </tpls>
      </m>
      <n v="1815185">
        <tpls c="7">
          <tpl fld="3" item="0"/>
          <tpl fld="16" item="7"/>
          <tpl hier="35" item="1"/>
          <tpl fld="11" item="8"/>
          <tpl fld="12" item="3"/>
          <tpl hier="44" item="2"/>
          <tpl fld="17" item="0"/>
        </tpls>
      </n>
      <n v="5623866">
        <tpls c="6">
          <tpl fld="3" item="0"/>
          <tpl fld="16" item="3"/>
          <tpl hier="35" item="1"/>
          <tpl fld="12" item="18"/>
          <tpl hier="44" item="2"/>
          <tpl fld="17" item="0"/>
        </tpls>
      </n>
      <n v="104167">
        <tpls c="7">
          <tpl fld="3" item="0"/>
          <tpl fld="16" item="7"/>
          <tpl hier="35" item="1"/>
          <tpl fld="11" item="43"/>
          <tpl fld="12" item="3"/>
          <tpl hier="44" item="2"/>
          <tpl fld="17" item="0"/>
        </tpls>
      </n>
      <n v="0">
        <tpls c="6">
          <tpl fld="7" item="0"/>
          <tpl fld="16" item="6"/>
          <tpl fld="0" item="0"/>
          <tpl fld="12" item="5"/>
          <tpl fld="1" item="1"/>
          <tpl fld="17" item="0"/>
        </tpls>
      </n>
      <n v="58957846">
        <tpls c="5">
          <tpl fld="6" item="2"/>
          <tpl hier="35" item="3"/>
          <tpl fld="12" item="9"/>
          <tpl hier="44" item="2"/>
          <tpl fld="17" item="0"/>
        </tpls>
      </n>
      <n v="4283001">
        <tpls c="6">
          <tpl fld="6" item="3"/>
          <tpl hier="35" item="3"/>
          <tpl fld="11" item="33"/>
          <tpl fld="12" item="3"/>
          <tpl hier="44" item="2"/>
          <tpl fld="17" item="0"/>
        </tpls>
      </n>
      <n v="106987">
        <tpls c="7">
          <tpl fld="3" item="0"/>
          <tpl fld="16" item="5"/>
          <tpl hier="35" item="1"/>
          <tpl fld="11" item="19"/>
          <tpl fld="12" item="2"/>
          <tpl hier="44" item="2"/>
          <tpl fld="17" item="0"/>
        </tpls>
      </n>
      <n v="0">
        <tpls c="6">
          <tpl fld="7" item="0"/>
          <tpl fld="16" item="1"/>
          <tpl fld="0" item="0"/>
          <tpl fld="12" item="17"/>
          <tpl fld="1" item="1"/>
          <tpl fld="17" item="0"/>
        </tpls>
      </n>
      <m>
        <tpls c="7">
          <tpl fld="3" item="1"/>
          <tpl fld="16" item="11"/>
          <tpl hier="35" item="0"/>
          <tpl fld="11" item="38"/>
          <tpl fld="12" item="11"/>
          <tpl hier="44" item="2"/>
          <tpl fld="17" item="0"/>
        </tpls>
      </m>
      <n v="-2847244">
        <tpls c="6">
          <tpl fld="7" item="0"/>
          <tpl fld="16" item="2"/>
          <tpl fld="0" item="0"/>
          <tpl fld="12" item="13"/>
          <tpl fld="1" item="1"/>
          <tpl fld="17" item="0"/>
        </tpls>
      </n>
      <n v="2065">
        <tpls c="7">
          <tpl fld="3" item="0"/>
          <tpl hier="10" item="4294967295"/>
          <tpl hier="35" item="1"/>
          <tpl fld="11" item="34"/>
          <tpl fld="12" item="15"/>
          <tpl hier="44" item="2"/>
          <tpl fld="17" item="0"/>
        </tpls>
      </n>
      <n v="0">
        <tpls c="7">
          <tpl fld="7" item="0"/>
          <tpl fld="16" item="8"/>
          <tpl fld="0" item="0"/>
          <tpl fld="11" item="76"/>
          <tpl fld="12" item="14"/>
          <tpl fld="1" item="1"/>
          <tpl fld="17" item="0"/>
        </tpls>
      </n>
      <n v="1443934">
        <tpls c="7">
          <tpl fld="3" item="0"/>
          <tpl fld="16" item="9"/>
          <tpl hier="35" item="1"/>
          <tpl fld="11" item="6"/>
          <tpl fld="12" item="3"/>
          <tpl hier="44" item="2"/>
          <tpl fld="17" item="0"/>
        </tpls>
      </n>
      <m>
        <tpls c="3">
          <tpl fld="2" item="6"/>
          <tpl fld="8" item="7"/>
          <tpl fld="17" item="3"/>
        </tpls>
      </m>
      <m>
        <tpls c="6">
          <tpl fld="6" item="3"/>
          <tpl hier="35" item="3"/>
          <tpl fld="11" item="4"/>
          <tpl fld="12" item="1"/>
          <tpl hier="44" item="2"/>
          <tpl fld="17" item="0"/>
        </tpls>
      </m>
      <n v="-534182">
        <tpls c="6">
          <tpl fld="7" item="0"/>
          <tpl fld="16" item="6"/>
          <tpl fld="0" item="0"/>
          <tpl fld="12" item="7"/>
          <tpl fld="1" item="1"/>
          <tpl fld="17" item="0"/>
        </tpls>
      </n>
      <n v="8698751">
        <tpls c="6">
          <tpl fld="6" item="2"/>
          <tpl hier="35" item="3"/>
          <tpl fld="11" item="35"/>
          <tpl fld="12" item="2"/>
          <tpl hier="44" item="2"/>
          <tpl fld="17" item="0"/>
        </tpls>
      </n>
      <m>
        <tpls c="3">
          <tpl fld="2" item="4"/>
          <tpl fld="8" item="4"/>
          <tpl fld="17" item="3"/>
        </tpls>
      </m>
      <m>
        <tpls c="7">
          <tpl fld="3" item="1"/>
          <tpl fld="16" item="10"/>
          <tpl hier="35" item="0"/>
          <tpl fld="11" item="38"/>
          <tpl fld="12" item="11"/>
          <tpl hier="44" item="2"/>
          <tpl fld="17" item="0"/>
        </tpls>
      </m>
      <m>
        <tpls c="7">
          <tpl fld="3" item="1"/>
          <tpl fld="16" item="2"/>
          <tpl hier="35" item="0"/>
          <tpl fld="11" item="1"/>
          <tpl fld="12" item="1"/>
          <tpl hier="44" item="2"/>
          <tpl fld="17" item="0"/>
        </tpls>
      </m>
      <m>
        <tpls c="3">
          <tpl fld="2" item="10"/>
          <tpl fld="8" item="6"/>
          <tpl fld="17" item="3"/>
        </tpls>
      </m>
      <m>
        <tpls c="7">
          <tpl fld="3" item="1"/>
          <tpl fld="16" item="11"/>
          <tpl hier="35" item="0"/>
          <tpl fld="11" item="43"/>
          <tpl fld="12" item="3"/>
          <tpl hier="44" item="2"/>
          <tpl fld="17" item="0"/>
        </tpls>
      </m>
      <n v="3125">
        <tpls c="3">
          <tpl fld="9" item="8"/>
          <tpl fld="15" item="1"/>
          <tpl fld="17" item="2"/>
        </tpls>
      </n>
      <n v="0">
        <tpls c="6">
          <tpl fld="7" item="0"/>
          <tpl fld="16" item="11"/>
          <tpl fld="0" item="0"/>
          <tpl fld="12" item="5"/>
          <tpl fld="1" item="1"/>
          <tpl fld="17" item="0"/>
        </tpls>
      </n>
      <n v="0">
        <tpls c="7">
          <tpl fld="7" item="0"/>
          <tpl fld="16" item="3"/>
          <tpl fld="0" item="0"/>
          <tpl fld="11" item="65"/>
          <tpl fld="12" item="12"/>
          <tpl fld="1" item="1"/>
          <tpl fld="17" item="0"/>
        </tpls>
      </n>
      <n v="9450000">
        <tpls c="3">
          <tpl fld="8" item="2"/>
          <tpl fld="4" item="1"/>
          <tpl fld="17" item="3"/>
        </tpls>
      </n>
      <n v="-4430570">
        <tpls c="6">
          <tpl fld="7" item="0"/>
          <tpl fld="16" item="8"/>
          <tpl fld="0" item="0"/>
          <tpl fld="12" item="16"/>
          <tpl fld="1" item="1"/>
          <tpl fld="17" item="0"/>
        </tpls>
      </n>
      <m>
        <tpls c="7">
          <tpl fld="3" item="1"/>
          <tpl fld="16" item="2"/>
          <tpl hier="35" item="0"/>
          <tpl fld="11" item="17"/>
          <tpl fld="12" item="3"/>
          <tpl hier="44" item="2"/>
          <tpl fld="17" item="0"/>
        </tpls>
      </m>
      <n v="-178391">
        <tpls c="7">
          <tpl fld="7" item="0"/>
          <tpl fld="16" item="6"/>
          <tpl fld="0" item="0"/>
          <tpl fld="11" item="57"/>
          <tpl fld="12" item="7"/>
          <tpl fld="1" item="1"/>
          <tpl fld="17" item="0"/>
        </tpls>
      </n>
      <n v="-1528">
        <tpls c="7">
          <tpl fld="7" item="0"/>
          <tpl fld="16" item="3"/>
          <tpl fld="0" item="0"/>
          <tpl fld="11" item="71"/>
          <tpl fld="12" item="13"/>
          <tpl fld="1" item="1"/>
          <tpl fld="17" item="0"/>
        </tpls>
      </n>
      <m>
        <tpls c="3">
          <tpl fld="5" item="6"/>
          <tpl fld="4" item="1"/>
          <tpl fld="17" item="3"/>
        </tpls>
      </m>
      <n v="72917">
        <tpls c="7">
          <tpl fld="3" item="0"/>
          <tpl fld="16" item="7"/>
          <tpl hier="35" item="1"/>
          <tpl fld="11" item="14"/>
          <tpl fld="12" item="3"/>
          <tpl hier="44" item="2"/>
          <tpl fld="17" item="0"/>
        </tpls>
      </n>
      <n v="2608232">
        <tpls c="7">
          <tpl fld="3" item="0"/>
          <tpl fld="16" item="1"/>
          <tpl hier="35" item="1"/>
          <tpl fld="11" item="35"/>
          <tpl fld="12" item="2"/>
          <tpl hier="44" item="2"/>
          <tpl fld="17" item="0"/>
        </tpls>
      </n>
      <n v="0">
        <tpls c="7">
          <tpl fld="7" item="0"/>
          <tpl fld="16" item="2"/>
          <tpl fld="0" item="0"/>
          <tpl fld="11" item="68"/>
          <tpl fld="12" item="17"/>
          <tpl fld="1" item="1"/>
          <tpl fld="17" item="0"/>
        </tpls>
      </n>
      <m>
        <tpls c="7">
          <tpl fld="3" item="1"/>
          <tpl fld="16" item="0"/>
          <tpl hier="35" item="0"/>
          <tpl fld="11" item="4"/>
          <tpl fld="12" item="1"/>
          <tpl hier="44" item="2"/>
          <tpl fld="17" item="0"/>
        </tpls>
      </m>
      <n v="472152">
        <tpls c="6">
          <tpl fld="6" item="3"/>
          <tpl hier="35" item="1"/>
          <tpl fld="11" item="36"/>
          <tpl fld="10" item="0"/>
          <tpl hier="44" item="2"/>
          <tpl fld="17" item="0"/>
        </tpls>
      </n>
      <n v="506">
        <tpls c="6">
          <tpl fld="6" item="0"/>
          <tpl hier="35" item="1"/>
          <tpl fld="11" item="34"/>
          <tpl fld="10" item="1"/>
          <tpl hier="44" item="2"/>
          <tpl fld="17" item="0"/>
        </tpls>
      </n>
      <m>
        <tpls c="7">
          <tpl fld="3" item="1"/>
          <tpl fld="16" item="11"/>
          <tpl hier="35" item="0"/>
          <tpl fld="11" item="23"/>
          <tpl fld="12" item="11"/>
          <tpl hier="44" item="2"/>
          <tpl fld="17" item="0"/>
        </tpls>
      </m>
      <m>
        <tpls c="7">
          <tpl fld="3" item="1"/>
          <tpl fld="16" item="0"/>
          <tpl hier="35" item="0"/>
          <tpl fld="11" item="10"/>
          <tpl fld="12" item="3"/>
          <tpl hier="44" item="2"/>
          <tpl fld="17" item="0"/>
        </tpls>
      </m>
      <n v="7768934">
        <tpls c="6">
          <tpl fld="6" item="1"/>
          <tpl hier="35" item="1"/>
          <tpl fld="11" item="3"/>
          <tpl fld="10" item="0"/>
          <tpl hier="44" item="2"/>
          <tpl fld="17" item="0"/>
        </tpls>
      </n>
      <m>
        <tpls c="7">
          <tpl fld="3" item="1"/>
          <tpl fld="16" item="0"/>
          <tpl hier="35" item="0"/>
          <tpl fld="11" item="54"/>
          <tpl fld="12" item="4"/>
          <tpl hier="44" item="2"/>
          <tpl fld="17" item="0"/>
        </tpls>
      </m>
      <m>
        <tpls c="6">
          <tpl fld="3" item="1"/>
          <tpl fld="16" item="10"/>
          <tpl hier="35" item="0"/>
          <tpl fld="12" item="21"/>
          <tpl hier="44" item="2"/>
          <tpl fld="17" item="0"/>
        </tpls>
      </m>
      <n v="1443934">
        <tpls c="7">
          <tpl fld="3" item="0"/>
          <tpl fld="16" item="0"/>
          <tpl hier="35" item="1"/>
          <tpl fld="11" item="6"/>
          <tpl fld="12" item="3"/>
          <tpl hier="44" item="2"/>
          <tpl fld="17" item="0"/>
        </tpls>
      </n>
      <n v="495600">
        <tpls c="3">
          <tpl fld="8" item="10"/>
          <tpl fld="4" item="3"/>
          <tpl fld="17" item="3"/>
        </tpls>
      </n>
      <n v="18846250">
        <tpls c="6">
          <tpl fld="3" item="0"/>
          <tpl fld="16" item="10"/>
          <tpl hier="35" item="1"/>
          <tpl fld="12" item="2"/>
          <tpl hier="44" item="2"/>
          <tpl fld="17" item="0"/>
        </tpls>
      </n>
      <n v="1080265">
        <tpls c="7">
          <tpl fld="3" item="0"/>
          <tpl fld="16" item="10"/>
          <tpl hier="35" item="1"/>
          <tpl fld="11" item="20"/>
          <tpl fld="12" item="2"/>
          <tpl hier="44" item="2"/>
          <tpl fld="17" item="0"/>
        </tpls>
      </n>
      <m>
        <tpls c="7">
          <tpl fld="3" item="1"/>
          <tpl fld="16" item="8"/>
          <tpl hier="35" item="0"/>
          <tpl fld="11" item="6"/>
          <tpl fld="12" item="3"/>
          <tpl hier="44" item="2"/>
          <tpl fld="17" item="0"/>
        </tpls>
      </m>
      <n v="0">
        <tpls c="7">
          <tpl fld="3" item="0"/>
          <tpl fld="16" item="11"/>
          <tpl hier="35" item="1"/>
          <tpl fld="11" item="44"/>
          <tpl fld="12" item="3"/>
          <tpl hier="44" item="2"/>
          <tpl fld="17" item="0"/>
        </tpls>
      </n>
      <n v="0">
        <tpls c="6">
          <tpl fld="7" item="0"/>
          <tpl fld="16" item="7"/>
          <tpl fld="0" item="0"/>
          <tpl fld="12" item="17"/>
          <tpl fld="1" item="1"/>
          <tpl fld="17" item="0"/>
        </tpls>
      </n>
      <n v="19095099">
        <tpls c="6">
          <tpl fld="6" item="0"/>
          <tpl hier="35" item="1"/>
          <tpl fld="11" item="40"/>
          <tpl fld="10" item="2"/>
          <tpl hier="44" item="2"/>
          <tpl fld="17" item="0"/>
        </tpls>
      </n>
      <m>
        <tpls c="7">
          <tpl fld="3" item="1"/>
          <tpl fld="16" item="9"/>
          <tpl hier="35" item="0"/>
          <tpl fld="11" item="34"/>
          <tpl fld="12" item="15"/>
          <tpl hier="44" item="2"/>
          <tpl fld="17" item="0"/>
        </tpls>
      </m>
      <n v="900">
        <tpls c="6">
          <tpl fld="6" item="3"/>
          <tpl hier="35" item="1"/>
          <tpl fld="11" item="1"/>
          <tpl fld="10" item="3"/>
          <tpl hier="44" item="2"/>
          <tpl fld="17" item="0"/>
        </tpls>
      </n>
      <m>
        <tpls c="7">
          <tpl fld="3" item="1"/>
          <tpl fld="16" item="6"/>
          <tpl hier="35" item="0"/>
          <tpl fld="11" item="37"/>
          <tpl fld="12" item="11"/>
          <tpl hier="44" item="2"/>
          <tpl fld="17" item="0"/>
        </tpls>
      </m>
      <n v="2425682">
        <tpls c="7">
          <tpl fld="3" item="0"/>
          <tpl fld="16" item="8"/>
          <tpl hier="35" item="1"/>
          <tpl fld="11" item="3"/>
          <tpl fld="12" item="2"/>
          <tpl hier="44" item="2"/>
          <tpl fld="17" item="0"/>
        </tpls>
      </n>
      <m>
        <tpls c="3">
          <tpl fld="2" item="2"/>
          <tpl fld="8" item="6"/>
          <tpl fld="17" item="3"/>
        </tpls>
      </m>
      <m>
        <tpls c="6">
          <tpl fld="3" item="1"/>
          <tpl fld="16" item="0"/>
          <tpl hier="35" item="0"/>
          <tpl fld="12" item="4"/>
          <tpl hier="44" item="2"/>
          <tpl fld="17" item="0"/>
        </tpls>
      </m>
      <n v="2429894">
        <tpls c="7">
          <tpl fld="3" item="0"/>
          <tpl fld="16" item="0"/>
          <tpl hier="35" item="1"/>
          <tpl fld="11" item="35"/>
          <tpl fld="12" item="2"/>
          <tpl hier="44" item="2"/>
          <tpl fld="17" item="0"/>
        </tpls>
      </n>
      <n v="103358798">
        <tpls c="6">
          <tpl fld="7" item="3"/>
          <tpl fld="0" item="2"/>
          <tpl fld="11" item="58"/>
          <tpl fld="12" item="19"/>
          <tpl fld="1" item="1"/>
          <tpl fld="17" item="0"/>
        </tpls>
      </n>
      <n v="24519">
        <tpls c="6">
          <tpl fld="7" item="0"/>
          <tpl fld="0" item="0"/>
          <tpl fld="11" item="38"/>
          <tpl fld="10" item="2"/>
          <tpl hier="44" item="2"/>
          <tpl fld="17" item="0"/>
        </tpls>
      </n>
      <m>
        <tpls c="6">
          <tpl fld="3" item="1"/>
          <tpl fld="16" item="6"/>
          <tpl hier="35" item="0"/>
          <tpl fld="12" item="15"/>
          <tpl hier="44" item="2"/>
          <tpl fld="17" item="0"/>
        </tpls>
      </m>
      <n v="158832144">
        <tpls c="6">
          <tpl fld="7" item="1"/>
          <tpl fld="0" item="2"/>
          <tpl fld="11" item="3"/>
          <tpl fld="10" item="0"/>
          <tpl hier="44" item="2"/>
          <tpl fld="17" item="0"/>
        </tpls>
      </n>
      <n v="0">
        <tpls c="6">
          <tpl fld="7" item="2"/>
          <tpl fld="0" item="1"/>
          <tpl fld="11" item="48"/>
          <tpl fld="10" item="1"/>
          <tpl hier="44" item="2"/>
          <tpl fld="17" item="0"/>
        </tpls>
      </n>
      <n v="86277800">
        <tpls c="6">
          <tpl fld="7" item="0"/>
          <tpl fld="16" item="0"/>
          <tpl fld="0" item="0"/>
          <tpl fld="12" item="12"/>
          <tpl fld="1" item="1"/>
          <tpl fld="17" item="0"/>
        </tpls>
      </n>
      <n v="186">
        <tpls c="7">
          <tpl fld="3" item="0"/>
          <tpl fld="16" item="8"/>
          <tpl hier="35" item="1"/>
          <tpl fld="11" item="34"/>
          <tpl fld="12" item="15"/>
          <tpl hier="44" item="2"/>
          <tpl fld="17" item="0"/>
        </tpls>
      </n>
      <n v="0">
        <tpls c="7">
          <tpl fld="3" item="0"/>
          <tpl fld="16" item="8"/>
          <tpl hier="35" item="1"/>
          <tpl fld="11" item="25"/>
          <tpl fld="12" item="2"/>
          <tpl hier="44" item="2"/>
          <tpl fld="17" item="0"/>
        </tpls>
      </n>
      <n v="0">
        <tpls c="7">
          <tpl fld="7" item="0"/>
          <tpl fld="16" item="5"/>
          <tpl fld="0" item="0"/>
          <tpl fld="11" item="63"/>
          <tpl fld="12" item="13"/>
          <tpl fld="1" item="1"/>
          <tpl fld="17" item="0"/>
        </tpls>
      </n>
      <n v="-1528">
        <tpls c="7">
          <tpl fld="7" item="0"/>
          <tpl fld="16" item="11"/>
          <tpl fld="0" item="0"/>
          <tpl fld="11" item="71"/>
          <tpl fld="12" item="13"/>
          <tpl fld="1" item="1"/>
          <tpl fld="17" item="0"/>
        </tpls>
      </n>
      <n v="2446228">
        <tpls c="6">
          <tpl fld="7" item="1"/>
          <tpl fld="0" item="2"/>
          <tpl fld="11" item="27"/>
          <tpl fld="12" item="3"/>
          <tpl hier="44" item="2"/>
          <tpl fld="17" item="0"/>
        </tpls>
      </n>
      <n v="19788174">
        <tpls c="6">
          <tpl fld="3" item="0"/>
          <tpl fld="16" item="0"/>
          <tpl hier="35" item="1"/>
          <tpl fld="12" item="9"/>
          <tpl hier="44" item="2"/>
          <tpl fld="17" item="0"/>
        </tpls>
      </n>
      <m>
        <tpls c="7">
          <tpl fld="3" item="1"/>
          <tpl fld="16" item="8"/>
          <tpl hier="35" item="0"/>
          <tpl fld="11" item="34"/>
          <tpl fld="12" item="15"/>
          <tpl hier="44" item="2"/>
          <tpl fld="17" item="0"/>
        </tpls>
      </m>
      <n v="-392981">
        <tpls c="6">
          <tpl fld="7" item="0"/>
          <tpl fld="16" item="3"/>
          <tpl fld="0" item="0"/>
          <tpl fld="12" item="19"/>
          <tpl fld="1" item="1"/>
          <tpl fld="17" item="0"/>
        </tpls>
      </n>
      <n v="32726225">
        <tpls c="6">
          <tpl fld="6" item="3"/>
          <tpl hier="35" item="3"/>
          <tpl fld="11" item="18"/>
          <tpl fld="12" item="2"/>
          <tpl hier="44" item="2"/>
          <tpl fld="17" item="0"/>
        </tpls>
      </n>
      <n v="4283001">
        <tpls c="6">
          <tpl fld="6" item="3"/>
          <tpl hier="35" item="1"/>
          <tpl fld="11" item="33"/>
          <tpl fld="10" item="2"/>
          <tpl hier="44" item="2"/>
          <tpl fld="17" item="0"/>
        </tpls>
      </n>
      <n v="144049">
        <tpls c="7">
          <tpl fld="7" item="0"/>
          <tpl fld="16" item="2"/>
          <tpl fld="0" item="0"/>
          <tpl fld="11" item="72"/>
          <tpl fld="12" item="0"/>
          <tpl fld="1" item="1"/>
          <tpl fld="17" item="0"/>
        </tpls>
      </n>
      <n v="190">
        <tpls c="6">
          <tpl fld="3" item="0"/>
          <tpl fld="16" item="7"/>
          <tpl hier="35" item="1"/>
          <tpl fld="12" item="15"/>
          <tpl hier="44" item="2"/>
          <tpl fld="17" item="0"/>
        </tpls>
      </n>
      <n v="0">
        <tpls c="7">
          <tpl fld="3" item="0"/>
          <tpl fld="16" item="10"/>
          <tpl hier="35" item="1"/>
          <tpl fld="11" item="48"/>
          <tpl fld="12" item="4"/>
          <tpl hier="44" item="2"/>
          <tpl fld="17" item="0"/>
        </tpls>
      </n>
      <n v="4414240">
        <tpls c="7">
          <tpl fld="3" item="0"/>
          <tpl fld="16" item="4"/>
          <tpl hier="35" item="1"/>
          <tpl fld="11" item="3"/>
          <tpl fld="12" item="2"/>
          <tpl hier="44" item="2"/>
          <tpl fld="17" item="0"/>
        </tpls>
      </n>
      <n v="3042151">
        <tpls c="7">
          <tpl fld="3" item="0"/>
          <tpl fld="16" item="1"/>
          <tpl hier="35" item="1"/>
          <tpl fld="11" item="3"/>
          <tpl fld="12" item="2"/>
          <tpl hier="44" item="2"/>
          <tpl fld="17" item="0"/>
        </tpls>
      </n>
      <n v="201630">
        <tpls c="7">
          <tpl fld="7" item="0"/>
          <tpl hier="10" item="4294967295"/>
          <tpl fld="0" item="0"/>
          <tpl fld="11" item="72"/>
          <tpl fld="12" item="0"/>
          <tpl fld="1" item="1"/>
          <tpl fld="17" item="0"/>
        </tpls>
      </n>
      <n v="-70">
        <tpls c="7">
          <tpl fld="7" item="0"/>
          <tpl fld="16" item="9"/>
          <tpl fld="0" item="0"/>
          <tpl fld="11" item="42"/>
          <tpl fld="12" item="16"/>
          <tpl fld="1" item="1"/>
          <tpl fld="17" item="0"/>
        </tpls>
      </n>
      <m>
        <tpls c="7">
          <tpl fld="3" item="1"/>
          <tpl fld="16" item="5"/>
          <tpl hier="35" item="0"/>
          <tpl fld="11" item="25"/>
          <tpl fld="12" item="2"/>
          <tpl hier="44" item="2"/>
          <tpl fld="17" item="0"/>
        </tpls>
      </m>
      <m>
        <tpls c="7">
          <tpl fld="3" item="1"/>
          <tpl fld="16" item="9"/>
          <tpl hier="35" item="0"/>
          <tpl fld="11" item="7"/>
          <tpl fld="12" item="4"/>
          <tpl hier="44" item="2"/>
          <tpl fld="17" item="0"/>
        </tpls>
      </m>
      <n v="414292">
        <tpls c="3">
          <tpl fld="9" item="8"/>
          <tpl fld="15" item="2"/>
          <tpl fld="17" item="2"/>
        </tpls>
      </n>
      <n v="104167">
        <tpls c="7">
          <tpl fld="3" item="0"/>
          <tpl fld="16" item="11"/>
          <tpl hier="35" item="1"/>
          <tpl fld="11" item="43"/>
          <tpl fld="12" item="3"/>
          <tpl hier="44" item="2"/>
          <tpl fld="17" item="0"/>
        </tpls>
      </n>
      <n v="6041537">
        <tpls c="6">
          <tpl fld="3" item="0"/>
          <tpl fld="16" item="11"/>
          <tpl hier="35" item="1"/>
          <tpl fld="12" item="3"/>
          <tpl hier="44" item="2"/>
          <tpl fld="17" item="0"/>
        </tpls>
      </n>
      <m>
        <tpls c="7">
          <tpl fld="3" item="1"/>
          <tpl fld="16" item="1"/>
          <tpl hier="35" item="0"/>
          <tpl fld="11" item="41"/>
          <tpl fld="12" item="2"/>
          <tpl hier="44" item="2"/>
          <tpl fld="17" item="0"/>
        </tpls>
      </m>
      <n v="3600">
        <tpls c="7">
          <tpl fld="3" item="0"/>
          <tpl hier="10" item="4294967295"/>
          <tpl hier="35" item="1"/>
          <tpl fld="11" item="1"/>
          <tpl fld="12" item="1"/>
          <tpl hier="44" item="2"/>
          <tpl fld="17" item="0"/>
        </tpls>
      </n>
      <m>
        <tpls c="3">
          <tpl fld="2" item="9"/>
          <tpl fld="8" item="6"/>
          <tpl fld="17" item="3"/>
        </tpls>
      </m>
      <n v="17829000">
        <tpls c="3">
          <tpl fld="5" item="9"/>
          <tpl fld="4" item="1"/>
          <tpl fld="17" item="3"/>
        </tpls>
      </n>
      <n v="0">
        <tpls c="7">
          <tpl fld="7" item="0"/>
          <tpl fld="16" item="6"/>
          <tpl fld="0" item="0"/>
          <tpl fld="11" item="75"/>
          <tpl fld="12" item="14"/>
          <tpl fld="1" item="1"/>
          <tpl fld="17" item="0"/>
        </tpls>
      </n>
      <n v="3887447">
        <tpls c="7">
          <tpl fld="3" item="0"/>
          <tpl fld="16" item="7"/>
          <tpl hier="35" item="1"/>
          <tpl fld="11" item="35"/>
          <tpl fld="12" item="2"/>
          <tpl hier="44" item="2"/>
          <tpl fld="17" item="0"/>
        </tpls>
      </n>
      <m>
        <tpls c="7">
          <tpl fld="3" item="1"/>
          <tpl fld="16" item="0"/>
          <tpl hier="35" item="0"/>
          <tpl fld="11" item="15"/>
          <tpl fld="12" item="3"/>
          <tpl hier="44" item="2"/>
          <tpl fld="17" item="0"/>
        </tpls>
      </m>
      <m>
        <tpls c="7">
          <tpl fld="3" item="1"/>
          <tpl fld="16" item="11"/>
          <tpl hier="35" item="0"/>
          <tpl fld="11" item="20"/>
          <tpl fld="12" item="2"/>
          <tpl hier="44" item="2"/>
          <tpl fld="17" item="0"/>
        </tpls>
      </m>
      <m>
        <tpls c="7">
          <tpl fld="3" item="1"/>
          <tpl fld="16" item="6"/>
          <tpl hier="35" item="0"/>
          <tpl fld="11" item="6"/>
          <tpl fld="12" item="3"/>
          <tpl hier="44" item="2"/>
          <tpl fld="17" item="0"/>
        </tpls>
      </m>
      <m>
        <tpls c="6">
          <tpl fld="6" item="3"/>
          <tpl hier="35" item="3"/>
          <tpl fld="11" item="7"/>
          <tpl fld="12" item="4"/>
          <tpl hier="44" item="2"/>
          <tpl fld="17" item="0"/>
        </tpls>
      </m>
      <m>
        <tpls c="6">
          <tpl fld="6" item="2"/>
          <tpl hier="35" item="3"/>
          <tpl fld="11" item="7"/>
          <tpl fld="12" item="4"/>
          <tpl hier="44" item="2"/>
          <tpl fld="17" item="0"/>
        </tpls>
      </m>
      <m>
        <tpls c="3">
          <tpl fld="2" item="20"/>
          <tpl fld="8" item="0"/>
          <tpl fld="17" item="3"/>
        </tpls>
      </m>
      <n v="150000">
        <tpls c="3">
          <tpl fld="5" item="8"/>
          <tpl fld="4" item="2"/>
          <tpl fld="17" item="3"/>
        </tpls>
      </n>
      <m>
        <tpls c="3">
          <tpl fld="2" item="6"/>
          <tpl fld="8" item="4"/>
          <tpl fld="17" item="3"/>
        </tpls>
      </m>
      <n v="18000">
        <tpls c="6">
          <tpl fld="6" item="3"/>
          <tpl hier="35" item="3"/>
          <tpl fld="11" item="5"/>
          <tpl fld="12" item="1"/>
          <tpl hier="44" item="2"/>
          <tpl fld="17" item="0"/>
        </tpls>
      </n>
      <n v="1310000">
        <tpls c="7">
          <tpl fld="3" item="0"/>
          <tpl fld="16" item="10"/>
          <tpl hier="35" item="1"/>
          <tpl fld="11" item="37"/>
          <tpl fld="12" item="11"/>
          <tpl hier="44" item="2"/>
          <tpl fld="17" item="0"/>
        </tpls>
      </n>
      <m>
        <tpls c="7">
          <tpl fld="3" item="1"/>
          <tpl fld="16" item="1"/>
          <tpl hier="35" item="0"/>
          <tpl fld="11" item="44"/>
          <tpl fld="12" item="3"/>
          <tpl hier="44" item="2"/>
          <tpl fld="17" item="0"/>
        </tpls>
      </m>
      <m>
        <tpls c="7">
          <tpl fld="3" item="1"/>
          <tpl fld="16" item="1"/>
          <tpl hier="35" item="0"/>
          <tpl fld="11" item="27"/>
          <tpl fld="12" item="3"/>
          <tpl hier="44" item="2"/>
          <tpl fld="17" item="0"/>
        </tpls>
      </m>
      <n v="4313000">
        <tpls c="6">
          <tpl fld="6" item="1"/>
          <tpl hier="35" item="3"/>
          <tpl fld="11" item="33"/>
          <tpl fld="12" item="3"/>
          <tpl hier="44" item="2"/>
          <tpl fld="17" item="0"/>
        </tpls>
      </n>
      <n v="419318">
        <tpls c="6">
          <tpl fld="3" item="0"/>
          <tpl fld="16" item="4"/>
          <tpl hier="35" item="1"/>
          <tpl fld="12" item="4"/>
          <tpl hier="44" item="2"/>
          <tpl fld="17" item="0"/>
        </tpls>
      </n>
      <m>
        <tpls c="3">
          <tpl fld="2" item="11"/>
          <tpl fld="8" item="7"/>
          <tpl fld="17" item="3"/>
        </tpls>
      </m>
      <n v="97750">
        <tpls c="7">
          <tpl fld="3" item="0"/>
          <tpl fld="16" item="1"/>
          <tpl hier="35" item="1"/>
          <tpl fld="11" item="39"/>
          <tpl fld="12" item="3"/>
          <tpl hier="44" item="2"/>
          <tpl fld="17" item="0"/>
        </tpls>
      </n>
      <n v="1427667">
        <tpls c="7">
          <tpl fld="3" item="0"/>
          <tpl fld="16" item="2"/>
          <tpl hier="35" item="1"/>
          <tpl fld="11" item="33"/>
          <tpl fld="12" item="3"/>
          <tpl hier="44" item="2"/>
          <tpl fld="17" item="0"/>
        </tpls>
      </n>
      <n v="12213929">
        <tpls c="6">
          <tpl fld="7" item="1"/>
          <tpl fld="0" item="2"/>
          <tpl fld="11" item="76"/>
          <tpl fld="12" item="14"/>
          <tpl fld="1" item="1"/>
          <tpl fld="17" item="0"/>
        </tpls>
      </n>
      <n v="316886">
        <tpls c="7">
          <tpl fld="7" item="0"/>
          <tpl fld="16" item="0"/>
          <tpl fld="0" item="0"/>
          <tpl fld="11" item="74"/>
          <tpl fld="12" item="16"/>
          <tpl fld="1" item="1"/>
          <tpl fld="17" item="0"/>
        </tpls>
      </n>
      <n v="13658338">
        <tpls c="6">
          <tpl fld="7" item="0"/>
          <tpl fld="0" item="0"/>
          <tpl fld="11" item="6"/>
          <tpl fld="10" item="2"/>
          <tpl hier="44" item="2"/>
          <tpl fld="17" item="0"/>
        </tpls>
      </n>
      <m>
        <tpls c="3">
          <tpl fld="2" item="11"/>
          <tpl fld="8" item="11"/>
          <tpl fld="17" item="3"/>
        </tpls>
      </m>
      <n v="222559207">
        <tpls c="6">
          <tpl fld="7" item="0"/>
          <tpl fld="0" item="0"/>
          <tpl fld="11" item="49"/>
          <tpl fld="12" item="9"/>
          <tpl hier="44" item="2"/>
          <tpl fld="17" item="0"/>
        </tpls>
      </n>
      <n v="0">
        <tpls c="6">
          <tpl fld="6" item="2"/>
          <tpl hier="35" item="3"/>
          <tpl fld="11" item="9"/>
          <tpl fld="12" item="4"/>
          <tpl hier="44" item="2"/>
          <tpl fld="17" item="0"/>
        </tpls>
      </n>
      <n v="4780639">
        <tpls c="6">
          <tpl fld="7" item="0"/>
          <tpl fld="16" item="1"/>
          <tpl fld="0" item="0"/>
          <tpl fld="12" item="13"/>
          <tpl fld="1" item="1"/>
          <tpl fld="17" item="0"/>
        </tpls>
      </n>
      <n v="244864813">
        <tpls c="5">
          <tpl fld="7" item="2"/>
          <tpl fld="0" item="1"/>
          <tpl fld="12" item="9"/>
          <tpl hier="44" item="2"/>
          <tpl fld="17" item="0"/>
        </tpls>
      </n>
      <n v="3517434">
        <tpls c="7">
          <tpl fld="3" item="0"/>
          <tpl fld="16" item="9"/>
          <tpl hier="35" item="1"/>
          <tpl fld="11" item="3"/>
          <tpl fld="12" item="2"/>
          <tpl hier="44" item="2"/>
          <tpl fld="17" item="0"/>
        </tpls>
      </n>
      <n v="4331802">
        <tpls c="6">
          <tpl fld="6" item="2"/>
          <tpl hier="35" item="3"/>
          <tpl fld="11" item="6"/>
          <tpl fld="12" item="3"/>
          <tpl hier="44" item="2"/>
          <tpl fld="17" item="0"/>
        </tpls>
      </n>
      <n v="72917">
        <tpls c="7">
          <tpl fld="3" item="0"/>
          <tpl fld="16" item="1"/>
          <tpl hier="35" item="1"/>
          <tpl fld="11" item="14"/>
          <tpl fld="12" item="3"/>
          <tpl hier="44" item="2"/>
          <tpl fld="17" item="0"/>
        </tpls>
      </n>
      <n v="14309">
        <tpls c="6">
          <tpl fld="7" item="1"/>
          <tpl fld="0" item="2"/>
          <tpl fld="11" item="9"/>
          <tpl fld="10" item="1"/>
          <tpl hier="44" item="2"/>
          <tpl fld="17" item="0"/>
        </tpls>
      </n>
      <m>
        <tpls c="7">
          <tpl fld="3" item="1"/>
          <tpl fld="16" item="2"/>
          <tpl hier="35" item="0"/>
          <tpl fld="11" item="48"/>
          <tpl fld="12" item="4"/>
          <tpl hier="44" item="2"/>
          <tpl fld="17" item="0"/>
        </tpls>
      </m>
      <n v="0">
        <tpls c="7">
          <tpl fld="3" item="0"/>
          <tpl fld="16" item="0"/>
          <tpl hier="35" item="1"/>
          <tpl fld="11" item="9"/>
          <tpl fld="12" item="4"/>
          <tpl hier="44" item="2"/>
          <tpl fld="17" item="0"/>
        </tpls>
      </n>
      <m>
        <tpls c="7">
          <tpl fld="3" item="1"/>
          <tpl fld="16" item="2"/>
          <tpl hier="35" item="0"/>
          <tpl fld="11" item="41"/>
          <tpl fld="12" item="2"/>
          <tpl hier="44" item="2"/>
          <tpl fld="17" item="0"/>
        </tpls>
      </m>
      <n v="72501">
        <tpls c="6">
          <tpl fld="6" item="0"/>
          <tpl hier="35" item="3"/>
          <tpl fld="11" item="50"/>
          <tpl fld="12" item="11"/>
          <tpl hier="44" item="2"/>
          <tpl fld="17" item="0"/>
        </tpls>
      </n>
      <n v="2049086">
        <tpls c="7">
          <tpl fld="3" item="0"/>
          <tpl fld="16" item="2"/>
          <tpl hier="35" item="1"/>
          <tpl fld="11" item="3"/>
          <tpl fld="12" item="2"/>
          <tpl hier="44" item="2"/>
          <tpl fld="17" item="0"/>
        </tpls>
      </n>
      <m>
        <tpls c="3">
          <tpl fld="2" item="9"/>
          <tpl fld="8" item="0"/>
          <tpl fld="17" item="3"/>
        </tpls>
      </m>
      <n v="885875">
        <tpls c="6">
          <tpl fld="7" item="1"/>
          <tpl fld="0" item="2"/>
          <tpl fld="11" item="73"/>
          <tpl fld="12" item="0"/>
          <tpl fld="1" item="1"/>
          <tpl fld="17" item="0"/>
        </tpls>
      </n>
      <n v="1051368">
        <tpls c="7">
          <tpl fld="3" item="0"/>
          <tpl fld="16" item="0"/>
          <tpl hier="35" item="1"/>
          <tpl fld="11" item="20"/>
          <tpl fld="12" item="2"/>
          <tpl hier="44" item="2"/>
          <tpl fld="17" item="0"/>
        </tpls>
      </n>
      <m>
        <tpls c="6">
          <tpl fld="7" item="1"/>
          <tpl fld="0" item="2"/>
          <tpl fld="11" item="26"/>
          <tpl fld="12" item="2"/>
          <tpl hier="44" item="2"/>
          <tpl fld="17" item="0"/>
        </tpls>
      </m>
      <m>
        <tpls c="6">
          <tpl fld="3" item="1"/>
          <tpl fld="16" item="7"/>
          <tpl hier="35" item="0"/>
          <tpl fld="12" item="18"/>
          <tpl hier="44" item="2"/>
          <tpl fld="17" item="0"/>
        </tpls>
      </m>
      <n v="5042076">
        <tpls c="7">
          <tpl fld="3" item="0"/>
          <tpl hier="10" item="4294967295"/>
          <tpl hier="35" item="1"/>
          <tpl fld="11" item="22"/>
          <tpl fld="12" item="4"/>
          <tpl hier="44" item="2"/>
          <tpl fld="17" item="0"/>
        </tpls>
      </n>
      <m>
        <tpls c="7">
          <tpl fld="3" item="1"/>
          <tpl fld="16" item="6"/>
          <tpl hier="35" item="0"/>
          <tpl fld="11" item="26"/>
          <tpl fld="12" item="2"/>
          <tpl hier="44" item="2"/>
          <tpl fld="17" item="0"/>
        </tpls>
      </m>
      <n v="254750">
        <tpls c="7">
          <tpl fld="3" item="0"/>
          <tpl fld="16" item="2"/>
          <tpl hier="35" item="1"/>
          <tpl fld="11" item="27"/>
          <tpl fld="12" item="3"/>
          <tpl hier="44" item="2"/>
          <tpl fld="17" item="0"/>
        </tpls>
      </n>
      <m>
        <tpls c="3">
          <tpl fld="2" item="11"/>
          <tpl fld="8" item="0"/>
          <tpl fld="17" item="3"/>
        </tpls>
      </m>
      <n v="185992935">
        <tpls c="7">
          <tpl fld="3" item="0"/>
          <tpl hier="10" item="4294967295"/>
          <tpl hier="35" item="1"/>
          <tpl fld="11" item="3"/>
          <tpl fld="12" item="2"/>
          <tpl hier="44" item="2"/>
          <tpl fld="17" item="0"/>
        </tpls>
      </n>
      <n v="1495500">
        <tpls c="6">
          <tpl fld="6" item="3"/>
          <tpl hier="35" item="3"/>
          <tpl fld="11" item="16"/>
          <tpl fld="12" item="3"/>
          <tpl hier="44" item="2"/>
          <tpl fld="17" item="0"/>
        </tpls>
      </n>
      <n v="16101599">
        <tpls c="6">
          <tpl fld="6" item="2"/>
          <tpl hier="35" item="1"/>
          <tpl fld="11" item="40"/>
          <tpl fld="10" item="2"/>
          <tpl hier="44" item="2"/>
          <tpl fld="17" item="0"/>
        </tpls>
      </n>
      <m>
        <tpls c="7">
          <tpl fld="3" item="1"/>
          <tpl fld="16" item="0"/>
          <tpl hier="35" item="0"/>
          <tpl fld="11" item="33"/>
          <tpl fld="12" item="3"/>
          <tpl hier="44" item="2"/>
          <tpl fld="17" item="0"/>
        </tpls>
      </m>
      <m>
        <tpls c="7">
          <tpl fld="3" item="1"/>
          <tpl fld="16" item="6"/>
          <tpl hier="35" item="0"/>
          <tpl fld="11" item="48"/>
          <tpl fld="12" item="4"/>
          <tpl hier="44" item="2"/>
          <tpl fld="17" item="0"/>
        </tpls>
      </m>
      <m>
        <tpls c="7">
          <tpl fld="3" item="1"/>
          <tpl hier="10" item="4294967295"/>
          <tpl hier="35" item="0"/>
          <tpl fld="11" item="35"/>
          <tpl fld="12" item="2"/>
          <tpl hier="44" item="2"/>
          <tpl fld="17" item="0"/>
        </tpls>
      </m>
      <m>
        <tpls c="7">
          <tpl fld="3" item="1"/>
          <tpl fld="16" item="3"/>
          <tpl hier="35" item="0"/>
          <tpl fld="11" item="5"/>
          <tpl fld="12" item="1"/>
          <tpl hier="44" item="2"/>
          <tpl fld="17" item="0"/>
        </tpls>
      </m>
      <n v="1786917">
        <tpls c="6">
          <tpl fld="3" item="0"/>
          <tpl fld="16" item="9"/>
          <tpl hier="35" item="1"/>
          <tpl fld="12" item="11"/>
          <tpl hier="44" item="2"/>
          <tpl fld="17" item="0"/>
        </tpls>
      </n>
      <m>
        <tpls c="6">
          <tpl fld="3" item="1"/>
          <tpl fld="16" item="4"/>
          <tpl hier="35" item="0"/>
          <tpl fld="12" item="15"/>
          <tpl hier="44" item="2"/>
          <tpl fld="17" item="0"/>
        </tpls>
      </m>
      <m>
        <tpls c="7">
          <tpl fld="3" item="1"/>
          <tpl fld="16" item="7"/>
          <tpl hier="35" item="0"/>
          <tpl fld="11" item="22"/>
          <tpl fld="12" item="4"/>
          <tpl hier="44" item="2"/>
          <tpl fld="17" item="0"/>
        </tpls>
      </m>
      <n v="-392981">
        <tpls c="7">
          <tpl fld="7" item="0"/>
          <tpl fld="16" item="7"/>
          <tpl fld="0" item="0"/>
          <tpl fld="11" item="58"/>
          <tpl fld="12" item="19"/>
          <tpl fld="1" item="1"/>
          <tpl fld="17" item="0"/>
        </tpls>
      </n>
      <m>
        <tpls c="3">
          <tpl fld="5" item="3"/>
          <tpl fld="4" item="0"/>
          <tpl fld="17" item="3"/>
        </tpls>
      </m>
      <n v="21000">
        <tpls c="7">
          <tpl fld="7" item="0"/>
          <tpl fld="16" item="11"/>
          <tpl fld="0" item="0"/>
          <tpl fld="11" item="73"/>
          <tpl fld="12" item="0"/>
          <tpl fld="1" item="1"/>
          <tpl fld="17" item="0"/>
        </tpls>
      </n>
      <m>
        <tpls c="6">
          <tpl fld="3" item="1"/>
          <tpl fld="16" item="5"/>
          <tpl hier="35" item="0"/>
          <tpl fld="12" item="21"/>
          <tpl hier="44" item="2"/>
          <tpl fld="17" item="0"/>
        </tpls>
      </m>
      <m>
        <tpls c="3">
          <tpl fld="8" item="7"/>
          <tpl fld="4" item="0"/>
          <tpl fld="17" item="3"/>
        </tpls>
      </m>
      <n v="113362">
        <tpls c="6">
          <tpl fld="7" item="1"/>
          <tpl fld="0" item="2"/>
          <tpl fld="11" item="16"/>
          <tpl fld="12" item="3"/>
          <tpl hier="44" item="2"/>
          <tpl fld="17" item="0"/>
        </tpls>
      </n>
      <m>
        <tpls c="7">
          <tpl fld="3" item="1"/>
          <tpl fld="16" item="2"/>
          <tpl hier="35" item="0"/>
          <tpl fld="11" item="3"/>
          <tpl fld="12" item="2"/>
          <tpl hier="44" item="2"/>
          <tpl fld="17" item="0"/>
        </tpls>
      </m>
      <m>
        <tpls c="7">
          <tpl fld="3" item="1"/>
          <tpl hier="10" item="4294967295"/>
          <tpl hier="35" item="0"/>
          <tpl fld="11" item="25"/>
          <tpl fld="12" item="2"/>
          <tpl hier="44" item="2"/>
          <tpl fld="17" item="0"/>
        </tpls>
      </m>
      <n v="312501">
        <tpls c="6">
          <tpl fld="6" item="0"/>
          <tpl hier="35" item="1"/>
          <tpl fld="11" item="43"/>
          <tpl fld="10" item="2"/>
          <tpl hier="44" item="2"/>
          <tpl fld="17" item="0"/>
        </tpls>
      </n>
      <n v="2750">
        <tpls c="7">
          <tpl fld="3" item="0"/>
          <tpl fld="16" item="8"/>
          <tpl hier="35" item="1"/>
          <tpl fld="11" item="38"/>
          <tpl fld="12" item="11"/>
          <tpl hier="44" item="2"/>
          <tpl fld="17" item="0"/>
        </tpls>
      </n>
      <n v="2750">
        <tpls c="7">
          <tpl fld="3" item="0"/>
          <tpl fld="16" item="9"/>
          <tpl hier="35" item="1"/>
          <tpl fld="11" item="38"/>
          <tpl fld="12" item="11"/>
          <tpl hier="44" item="2"/>
          <tpl fld="17" item="0"/>
        </tpls>
      </n>
      <m>
        <tpls c="6">
          <tpl fld="7" item="1"/>
          <tpl fld="0" item="2"/>
          <tpl fld="11" item="7"/>
          <tpl fld="10" item="1"/>
          <tpl hier="44" item="2"/>
          <tpl fld="17" item="0"/>
        </tpls>
      </m>
      <m>
        <tpls c="3">
          <tpl fld="2" item="16"/>
          <tpl fld="8" item="9"/>
          <tpl fld="17" item="3"/>
        </tpls>
      </m>
      <m>
        <tpls c="6">
          <tpl fld="7" item="1"/>
          <tpl fld="0" item="2"/>
          <tpl fld="11" item="48"/>
          <tpl fld="12" item="4"/>
          <tpl hier="44" item="2"/>
          <tpl fld="17" item="0"/>
        </tpls>
      </m>
      <n v="300">
        <tpls c="7">
          <tpl fld="3" item="0"/>
          <tpl fld="16" item="6"/>
          <tpl hier="35" item="1"/>
          <tpl fld="11" item="1"/>
          <tpl fld="12" item="1"/>
          <tpl hier="44" item="2"/>
          <tpl fld="17" item="0"/>
        </tpls>
      </n>
      <n v="236000">
        <tpls c="3">
          <tpl fld="8" item="7"/>
          <tpl fld="4" item="1"/>
          <tpl fld="17" item="3"/>
        </tpls>
      </n>
      <n v="293250">
        <tpls c="6">
          <tpl fld="6" item="2"/>
          <tpl hier="35" item="3"/>
          <tpl fld="11" item="39"/>
          <tpl fld="12" item="3"/>
          <tpl hier="44" item="2"/>
          <tpl fld="17" item="0"/>
        </tpls>
      </n>
      <n v="1310000">
        <tpls c="7">
          <tpl fld="3" item="0"/>
          <tpl fld="16" item="4"/>
          <tpl hier="35" item="1"/>
          <tpl fld="11" item="37"/>
          <tpl fld="12" item="11"/>
          <tpl hier="44" item="2"/>
          <tpl fld="17" item="0"/>
        </tpls>
      </n>
      <n v="17327204">
        <tpls c="6">
          <tpl fld="7" item="2"/>
          <tpl fld="0" item="1"/>
          <tpl fld="11" item="6"/>
          <tpl fld="12" item="3"/>
          <tpl hier="44" item="2"/>
          <tpl fld="17" item="0"/>
        </tpls>
      </n>
      <n v="115907399">
        <tpls c="6">
          <tpl fld="7" item="0"/>
          <tpl fld="0" item="0"/>
          <tpl fld="11" item="18"/>
          <tpl fld="12" item="2"/>
          <tpl hier="44" item="2"/>
          <tpl fld="17" item="0"/>
        </tpls>
      </n>
      <m>
        <tpls c="3">
          <tpl fld="2" item="14"/>
          <tpl fld="8" item="3"/>
          <tpl fld="17" item="3"/>
        </tpls>
      </m>
      <n v="52362">
        <tpls c="6">
          <tpl fld="6" item="2"/>
          <tpl hier="35" item="3"/>
          <tpl fld="11" item="11"/>
          <tpl fld="12" item="2"/>
          <tpl hier="44" item="2"/>
          <tpl fld="17" item="0"/>
        </tpls>
      </n>
      <m>
        <tpls c="7">
          <tpl fld="3" item="1"/>
          <tpl fld="16" item="7"/>
          <tpl hier="35" item="0"/>
          <tpl fld="11" item="41"/>
          <tpl fld="12" item="2"/>
          <tpl hier="44" item="2"/>
          <tpl fld="17" item="0"/>
        </tpls>
      </m>
      <m>
        <tpls c="3">
          <tpl fld="2" item="9"/>
          <tpl fld="8" item="8"/>
          <tpl fld="17" item="3"/>
        </tpls>
      </m>
      <n v="4715772">
        <tpls c="6">
          <tpl fld="7" item="1"/>
          <tpl fld="0" item="2"/>
          <tpl fld="11" item="22"/>
          <tpl fld="10" item="1"/>
          <tpl hier="44" item="2"/>
          <tpl fld="17" item="0"/>
        </tpls>
      </n>
      <m>
        <tpls c="3">
          <tpl fld="2" item="11"/>
          <tpl fld="8" item="3"/>
          <tpl fld="17" item="3"/>
        </tpls>
      </m>
      <n v="-2855758">
        <tpls c="6">
          <tpl fld="7" item="0"/>
          <tpl fld="16" item="3"/>
          <tpl fld="0" item="0"/>
          <tpl fld="12" item="13"/>
          <tpl fld="1" item="1"/>
          <tpl fld="17" item="0"/>
        </tpls>
      </n>
      <n v="0">
        <tpls c="6">
          <tpl fld="6" item="2"/>
          <tpl hier="35" item="3"/>
          <tpl fld="11" item="48"/>
          <tpl fld="12" item="4"/>
          <tpl hier="44" item="2"/>
          <tpl fld="17" item="0"/>
        </tpls>
      </n>
      <n v="100098">
        <tpls c="6">
          <tpl fld="6" item="0"/>
          <tpl hier="35" item="3"/>
          <tpl fld="11" item="17"/>
          <tpl fld="12" item="3"/>
          <tpl hier="44" item="2"/>
          <tpl fld="17" item="0"/>
        </tpls>
      </n>
      <m>
        <tpls c="3">
          <tpl fld="8" item="9"/>
          <tpl fld="4" item="0"/>
          <tpl fld="17" item="3"/>
        </tpls>
      </m>
      <m>
        <tpls c="7">
          <tpl fld="3" item="1"/>
          <tpl fld="16" item="4"/>
          <tpl hier="35" item="0"/>
          <tpl fld="11" item="0"/>
          <tpl fld="12" item="2"/>
          <tpl hier="44" item="2"/>
          <tpl fld="17" item="0"/>
        </tpls>
      </m>
      <m>
        <tpls c="7">
          <tpl fld="3" item="1"/>
          <tpl fld="16" item="11"/>
          <tpl hier="35" item="0"/>
          <tpl fld="11" item="37"/>
          <tpl fld="12" item="11"/>
          <tpl hier="44" item="2"/>
          <tpl fld="17" item="0"/>
        </tpls>
      </m>
      <m>
        <tpls c="3">
          <tpl fld="2" item="10"/>
          <tpl fld="8" item="0"/>
          <tpl fld="17" item="3"/>
        </tpls>
      </m>
      <n v="261141">
        <tpls c="6">
          <tpl fld="7" item="3"/>
          <tpl fld="0" item="2"/>
          <tpl fld="11" item="74"/>
          <tpl fld="12" item="16"/>
          <tpl fld="1" item="1"/>
          <tpl fld="17" item="0"/>
        </tpls>
      </n>
      <m>
        <tpls c="3">
          <tpl fld="2" item="16"/>
          <tpl fld="8" item="3"/>
          <tpl fld="17" item="3"/>
        </tpls>
      </m>
      <n v="418525">
        <tpls c="7">
          <tpl fld="3" item="0"/>
          <tpl fld="16" item="8"/>
          <tpl hier="35" item="1"/>
          <tpl fld="11" item="22"/>
          <tpl fld="12" item="4"/>
          <tpl hier="44" item="2"/>
          <tpl fld="17" item="0"/>
        </tpls>
      </n>
      <n v="6326000">
        <tpls c="3">
          <tpl fld="8" item="7"/>
          <tpl hier="22" item="4294967295"/>
          <tpl fld="17" item="3"/>
        </tpls>
      </n>
      <n v="2069762">
        <tpls c="6">
          <tpl fld="7" item="2"/>
          <tpl fld="0" item="1"/>
          <tpl fld="11" item="36"/>
          <tpl fld="12" item="2"/>
          <tpl hier="44" item="2"/>
          <tpl fld="17" item="0"/>
        </tpls>
      </n>
      <n v="-453">
        <tpls c="6">
          <tpl fld="6" item="1"/>
          <tpl hier="35" item="3"/>
          <tpl fld="11" item="9"/>
          <tpl fld="12" item="4"/>
          <tpl hier="44" item="2"/>
          <tpl fld="17" item="0"/>
        </tpls>
      </n>
      <n v="0">
        <tpls c="7">
          <tpl fld="7" item="0"/>
          <tpl fld="16" item="7"/>
          <tpl fld="0" item="0"/>
          <tpl fld="11" item="69"/>
          <tpl fld="12" item="7"/>
          <tpl fld="1" item="1"/>
          <tpl fld="17" item="0"/>
        </tpls>
      </n>
      <n v="1661917">
        <tpls c="6">
          <tpl fld="3" item="0"/>
          <tpl fld="16" item="5"/>
          <tpl hier="35" item="1"/>
          <tpl fld="12" item="11"/>
          <tpl hier="44" item="2"/>
          <tpl fld="17" item="0"/>
        </tpls>
      </n>
      <m>
        <tpls c="7">
          <tpl fld="3" item="1"/>
          <tpl fld="16" item="7"/>
          <tpl hier="35" item="0"/>
          <tpl fld="11" item="50"/>
          <tpl fld="12" item="11"/>
          <tpl hier="44" item="2"/>
          <tpl fld="17" item="0"/>
        </tpls>
      </m>
      <m>
        <tpls c="3">
          <tpl fld="2" item="3"/>
          <tpl fld="8" item="10"/>
          <tpl fld="17" item="3"/>
        </tpls>
      </m>
      <n v="223819">
        <tpls c="6">
          <tpl fld="7" item="0"/>
          <tpl fld="0" item="0"/>
          <tpl fld="11" item="32"/>
          <tpl fld="12" item="2"/>
          <tpl hier="44" item="2"/>
          <tpl fld="17" item="0"/>
        </tpls>
      </n>
      <n v="594729260">
        <tpls c="5">
          <tpl fld="7" item="1"/>
          <tpl fld="0" item="2"/>
          <tpl fld="12" item="13"/>
          <tpl fld="1" item="1"/>
          <tpl fld="17" item="0"/>
        </tpls>
      </n>
      <n v="0">
        <tpls c="6">
          <tpl fld="6" item="2"/>
          <tpl hier="35" item="1"/>
          <tpl fld="11" item="44"/>
          <tpl fld="10" item="3"/>
          <tpl hier="44" item="2"/>
          <tpl fld="17" item="0"/>
        </tpls>
      </n>
      <n v="18000">
        <tpls c="6">
          <tpl fld="6" item="1"/>
          <tpl hier="35" item="3"/>
          <tpl fld="11" item="5"/>
          <tpl fld="12" item="1"/>
          <tpl hier="44" item="2"/>
          <tpl fld="17" item="0"/>
        </tpls>
      </n>
      <m>
        <tpls c="3">
          <tpl fld="2" item="9"/>
          <tpl fld="8" item="4"/>
          <tpl fld="17" item="3"/>
        </tpls>
      </m>
      <n v="126859046">
        <tpls c="6">
          <tpl fld="7" item="3"/>
          <tpl fld="0" item="2"/>
          <tpl fld="11" item="12"/>
          <tpl fld="12" item="6"/>
          <tpl fld="1" item="1"/>
          <tpl fld="17" item="0"/>
        </tpls>
      </n>
      <m>
        <tpls c="3">
          <tpl fld="2" item="14"/>
          <tpl fld="8" item="9"/>
          <tpl fld="17" item="3"/>
        </tpls>
      </m>
      <m>
        <tpls c="3">
          <tpl fld="2" item="10"/>
          <tpl fld="8" item="8"/>
          <tpl fld="17" item="3"/>
        </tpls>
      </m>
      <n v="-1542864">
        <tpls c="6">
          <tpl fld="7" item="0"/>
          <tpl fld="16" item="7"/>
          <tpl fld="0" item="0"/>
          <tpl fld="12" item="10"/>
          <tpl fld="1" item="1"/>
          <tpl fld="17" item="0"/>
        </tpls>
      </n>
      <n v="390984">
        <tpls c="3">
          <tpl fld="9" item="4"/>
          <tpl fld="15" item="3"/>
          <tpl fld="17" item="2"/>
        </tpls>
      </n>
      <n v="292646501">
        <tpls c="5">
          <tpl fld="7" item="1"/>
          <tpl fld="0" item="2"/>
          <tpl fld="12" item="8"/>
          <tpl fld="1" item="1"/>
          <tpl fld="17" item="0"/>
        </tpls>
      </n>
      <n v="24519">
        <tpls c="6">
          <tpl fld="7" item="0"/>
          <tpl fld="0" item="0"/>
          <tpl fld="11" item="38"/>
          <tpl fld="12" item="11"/>
          <tpl hier="44" item="2"/>
          <tpl fld="17" item="0"/>
        </tpls>
      </n>
      <n v="10221419">
        <tpls c="6">
          <tpl fld="7" item="1"/>
          <tpl fld="0" item="2"/>
          <tpl fld="11" item="62"/>
          <tpl fld="12" item="13"/>
          <tpl fld="1" item="1"/>
          <tpl fld="17" item="0"/>
        </tpls>
      </n>
      <m>
        <tpls c="3">
          <tpl fld="2" item="1"/>
          <tpl fld="8" item="1"/>
          <tpl fld="17" item="3"/>
        </tpls>
      </m>
      <m>
        <tpls c="6">
          <tpl fld="3" item="1"/>
          <tpl fld="16" item="7"/>
          <tpl hier="35" item="0"/>
          <tpl fld="12" item="11"/>
          <tpl hier="44" item="2"/>
          <tpl fld="17" item="0"/>
        </tpls>
      </m>
      <n v="5421">
        <tpls c="7">
          <tpl fld="3" item="0"/>
          <tpl fld="16" item="8"/>
          <tpl hier="35" item="1"/>
          <tpl fld="11" item="9"/>
          <tpl fld="12" item="4"/>
          <tpl hier="44" item="2"/>
          <tpl fld="17" item="0"/>
        </tpls>
      </n>
      <n v="5656131">
        <tpls c="6">
          <tpl fld="3" item="0"/>
          <tpl fld="16" item="8"/>
          <tpl hier="35" item="1"/>
          <tpl fld="12" item="3"/>
          <tpl hier="44" item="2"/>
          <tpl fld="17" item="0"/>
        </tpls>
      </n>
      <n v="0">
        <tpls c="6">
          <tpl fld="6" item="3"/>
          <tpl hier="35" item="1"/>
          <tpl fld="11" item="48"/>
          <tpl fld="10" item="1"/>
          <tpl hier="44" item="2"/>
          <tpl fld="17" item="0"/>
        </tpls>
      </n>
      <m>
        <tpls c="6">
          <tpl fld="7" item="2"/>
          <tpl fld="0" item="1"/>
          <tpl fld="11" item="4"/>
          <tpl fld="12" item="1"/>
          <tpl hier="44" item="2"/>
          <tpl fld="17" item="0"/>
        </tpls>
      </m>
      <n v="7990">
        <tpls c="7">
          <tpl fld="3" item="0"/>
          <tpl fld="16" item="6"/>
          <tpl hier="35" item="1"/>
          <tpl fld="11" item="32"/>
          <tpl fld="12" item="2"/>
          <tpl hier="44" item="2"/>
          <tpl fld="17" item="0"/>
        </tpls>
      </n>
      <n v="-173856">
        <tpls c="7">
          <tpl fld="7" item="0"/>
          <tpl fld="16" item="9"/>
          <tpl fld="0" item="0"/>
          <tpl fld="11" item="46"/>
          <tpl fld="12" item="13"/>
          <tpl fld="1" item="1"/>
          <tpl fld="17" item="0"/>
        </tpls>
      </n>
      <n v="165922">
        <tpls c="6">
          <tpl fld="6" item="2"/>
          <tpl hier="35" item="3"/>
          <tpl fld="11" item="32"/>
          <tpl fld="12" item="2"/>
          <tpl hier="44" item="2"/>
          <tpl fld="17" item="0"/>
        </tpls>
      </n>
      <n v="-453">
        <tpls c="6">
          <tpl fld="7" item="2"/>
          <tpl fld="0" item="1"/>
          <tpl fld="11" item="9"/>
          <tpl fld="10" item="1"/>
          <tpl hier="44" item="2"/>
          <tpl fld="17" item="0"/>
        </tpls>
      </n>
      <n v="44735376">
        <tpls c="7">
          <tpl fld="7" item="0"/>
          <tpl hier="10" item="4294967295"/>
          <tpl fld="0" item="0"/>
          <tpl fld="11" item="47"/>
          <tpl fld="12" item="10"/>
          <tpl fld="1" item="1"/>
          <tpl fld="17" item="0"/>
        </tpls>
      </n>
      <m>
        <tpls c="6">
          <tpl fld="6" item="1"/>
          <tpl hier="35" item="1"/>
          <tpl fld="11" item="24"/>
          <tpl fld="10" item="1"/>
          <tpl hier="44" item="2"/>
          <tpl fld="17" item="0"/>
        </tpls>
      </m>
      <m>
        <tpls c="6">
          <tpl fld="7" item="2"/>
          <tpl fld="0" item="1"/>
          <tpl fld="11" item="26"/>
          <tpl fld="12" item="2"/>
          <tpl hier="44" item="2"/>
          <tpl fld="17" item="0"/>
        </tpls>
      </m>
      <m>
        <tpls c="3">
          <tpl fld="2" item="8"/>
          <tpl fld="8" item="11"/>
          <tpl fld="17" item="3"/>
        </tpls>
      </m>
      <n v="3125">
        <tpls c="3">
          <tpl fld="9" item="10"/>
          <tpl fld="15" item="1"/>
          <tpl fld="17" item="2"/>
        </tpls>
      </n>
      <n v="5075813">
        <tpls c="6">
          <tpl fld="6" item="1"/>
          <tpl hier="35" item="1"/>
          <tpl fld="11" item="2"/>
          <tpl fld="10" item="0"/>
          <tpl hier="44" item="2"/>
          <tpl fld="17" item="0"/>
        </tpls>
      </n>
      <n v="0">
        <tpls c="7">
          <tpl fld="7" item="0"/>
          <tpl fld="16" item="5"/>
          <tpl fld="0" item="0"/>
          <tpl fld="11" item="74"/>
          <tpl fld="12" item="16"/>
          <tpl fld="1" item="1"/>
          <tpl fld="17" item="0"/>
        </tpls>
      </n>
      <n v="186241">
        <tpls c="7">
          <tpl fld="7" item="0"/>
          <tpl fld="16" item="11"/>
          <tpl fld="0" item="0"/>
          <tpl fld="11" item="60"/>
          <tpl fld="12" item="20"/>
          <tpl fld="1" item="1"/>
          <tpl fld="17" item="0"/>
        </tpls>
      </n>
      <n v="0">
        <tpls c="7">
          <tpl fld="7" item="0"/>
          <tpl fld="16" item="6"/>
          <tpl fld="0" item="0"/>
          <tpl fld="11" item="66"/>
          <tpl fld="12" item="13"/>
          <tpl fld="1" item="1"/>
          <tpl fld="17" item="0"/>
        </tpls>
      </n>
      <n v="19605285">
        <tpls c="6">
          <tpl fld="3" item="0"/>
          <tpl fld="16" item="8"/>
          <tpl hier="35" item="1"/>
          <tpl fld="12" item="9"/>
          <tpl hier="44" item="2"/>
          <tpl fld="17" item="0"/>
        </tpls>
      </n>
      <n v="18477111">
        <tpls c="5">
          <tpl fld="6" item="3"/>
          <tpl hier="35" item="3"/>
          <tpl fld="12" item="3"/>
          <tpl hier="44" item="2"/>
          <tpl fld="17" item="0"/>
        </tpls>
      </n>
      <n v="0">
        <tpls c="6">
          <tpl fld="7" item="2"/>
          <tpl fld="0" item="1"/>
          <tpl fld="11" item="48"/>
          <tpl fld="12" item="4"/>
          <tpl hier="44" item="2"/>
          <tpl fld="17" item="0"/>
        </tpls>
      </n>
      <m>
        <tpls c="7">
          <tpl fld="3" item="1"/>
          <tpl fld="16" item="10"/>
          <tpl hier="35" item="0"/>
          <tpl fld="11" item="36"/>
          <tpl fld="12" item="2"/>
          <tpl hier="44" item="2"/>
          <tpl fld="17" item="0"/>
        </tpls>
      </m>
      <m>
        <tpls c="3">
          <tpl fld="2" item="10"/>
          <tpl fld="8" item="10"/>
          <tpl fld="17" item="3"/>
        </tpls>
      </m>
      <n v="0">
        <tpls c="7">
          <tpl fld="3" item="0"/>
          <tpl fld="16" item="3"/>
          <tpl hier="35" item="1"/>
          <tpl fld="11" item="48"/>
          <tpl fld="12" item="4"/>
          <tpl hier="44" item="2"/>
          <tpl fld="17" item="0"/>
        </tpls>
      </n>
      <n v="0">
        <tpls c="7">
          <tpl fld="7" item="0"/>
          <tpl fld="16" item="6"/>
          <tpl fld="0" item="0"/>
          <tpl fld="11" item="67"/>
          <tpl fld="12" item="0"/>
          <tpl fld="1" item="1"/>
          <tpl fld="17" item="0"/>
        </tpls>
      </n>
      <m>
        <tpls c="3">
          <tpl fld="2" item="0"/>
          <tpl fld="8" item="5"/>
          <tpl fld="17" item="3"/>
        </tpls>
      </m>
      <m>
        <tpls c="7">
          <tpl fld="3" item="1"/>
          <tpl fld="16" item="5"/>
          <tpl hier="35" item="0"/>
          <tpl fld="11" item="8"/>
          <tpl fld="12" item="3"/>
          <tpl hier="44" item="2"/>
          <tpl fld="17" item="0"/>
        </tpls>
      </m>
      <m>
        <tpls c="3">
          <tpl fld="2" item="18"/>
          <tpl fld="8" item="7"/>
          <tpl fld="17" item="3"/>
        </tpls>
      </m>
      <n v="0">
        <tpls c="7">
          <tpl fld="7" item="0"/>
          <tpl fld="16" item="1"/>
          <tpl fld="0" item="0"/>
          <tpl fld="11" item="76"/>
          <tpl fld="12" item="14"/>
          <tpl fld="1" item="1"/>
          <tpl fld="17" item="0"/>
        </tpls>
      </n>
      <m>
        <tpls c="3">
          <tpl fld="2" item="18"/>
          <tpl fld="8" item="6"/>
          <tpl fld="17" item="3"/>
        </tpls>
      </m>
      <n v="1661917">
        <tpls c="6">
          <tpl fld="3" item="0"/>
          <tpl fld="16" item="2"/>
          <tpl hier="35" item="1"/>
          <tpl fld="12" item="11"/>
          <tpl hier="44" item="2"/>
          <tpl fld="17" item="0"/>
        </tpls>
      </n>
      <n v="6178631">
        <tpls c="6">
          <tpl fld="3" item="0"/>
          <tpl fld="16" item="6"/>
          <tpl hier="35" item="1"/>
          <tpl fld="12" item="3"/>
          <tpl hier="44" item="2"/>
          <tpl fld="17" item="0"/>
        </tpls>
      </n>
      <m>
        <tpls c="6">
          <tpl fld="7" item="1"/>
          <tpl fld="0" item="2"/>
          <tpl fld="11" item="26"/>
          <tpl fld="10" item="0"/>
          <tpl hier="44" item="2"/>
          <tpl fld="17" item="0"/>
        </tpls>
      </m>
      <n v="1308204">
        <tpls c="5">
          <tpl fld="6" item="3"/>
          <tpl hier="35" item="3"/>
          <tpl fld="12" item="4"/>
          <tpl hier="44" item="2"/>
          <tpl fld="17" item="0"/>
        </tpls>
      </n>
      <n v="3930000">
        <tpls c="6">
          <tpl fld="6" item="0"/>
          <tpl hier="35" item="3"/>
          <tpl fld="11" item="37"/>
          <tpl fld="12" item="11"/>
          <tpl hier="44" item="2"/>
          <tpl fld="17" item="0"/>
        </tpls>
      </n>
      <n v="30000">
        <tpls c="7">
          <tpl fld="3" item="0"/>
          <tpl fld="16" item="8"/>
          <tpl hier="35" item="1"/>
          <tpl fld="11" item="31"/>
          <tpl fld="12" item="3"/>
          <tpl hier="44" item="2"/>
          <tpl fld="17" item="0"/>
        </tpls>
      </n>
      <m>
        <tpls c="6">
          <tpl fld="7" item="2"/>
          <tpl fld="0" item="1"/>
          <tpl fld="11" item="7"/>
          <tpl fld="12" item="4"/>
          <tpl hier="44" item="2"/>
          <tpl fld="17" item="0"/>
        </tpls>
      </m>
      <n v="0">
        <tpls c="6">
          <tpl fld="7" item="0"/>
          <tpl fld="16" item="7"/>
          <tpl fld="0" item="0"/>
          <tpl fld="12" item="14"/>
          <tpl fld="1" item="1"/>
          <tpl fld="17" item="0"/>
        </tpls>
      </n>
      <n v="1238">
        <tpls c="6">
          <tpl fld="7" item="0"/>
          <tpl fld="0" item="0"/>
          <tpl fld="11" item="44"/>
          <tpl fld="10" item="3"/>
          <tpl hier="44" item="2"/>
          <tpl fld="17" item="0"/>
        </tpls>
      </n>
      <n v="0">
        <tpls c="7">
          <tpl fld="3" item="0"/>
          <tpl fld="16" item="9"/>
          <tpl hier="35" item="1"/>
          <tpl fld="11" item="44"/>
          <tpl fld="12" item="3"/>
          <tpl hier="44" item="2"/>
          <tpl fld="17" item="0"/>
        </tpls>
      </n>
      <n v="1982682">
        <tpls c="6">
          <tpl fld="7" item="1"/>
          <tpl fld="0" item="2"/>
          <tpl fld="11" item="36"/>
          <tpl fld="12" item="2"/>
          <tpl hier="44" item="2"/>
          <tpl fld="17" item="0"/>
        </tpls>
      </n>
      <n v="466">
        <tpls c="6">
          <tpl fld="6" item="3"/>
          <tpl hier="35" item="1"/>
          <tpl fld="11" item="34"/>
          <tpl fld="10" item="1"/>
          <tpl hier="44" item="2"/>
          <tpl fld="17" item="0"/>
        </tpls>
      </n>
      <n v="10166523">
        <tpls c="6">
          <tpl fld="7" item="1"/>
          <tpl fld="0" item="2"/>
          <tpl fld="11" item="8"/>
          <tpl fld="10" item="2"/>
          <tpl hier="44" item="2"/>
          <tpl fld="17" item="0"/>
        </tpls>
      </n>
      <m>
        <tpls c="7">
          <tpl fld="3" item="1"/>
          <tpl fld="16" item="10"/>
          <tpl hier="35" item="0"/>
          <tpl fld="11" item="41"/>
          <tpl fld="12" item="2"/>
          <tpl hier="44" item="2"/>
          <tpl fld="17" item="0"/>
        </tpls>
      </m>
      <n v="-2826514">
        <tpls c="6">
          <tpl fld="7" item="0"/>
          <tpl fld="16" item="5"/>
          <tpl fld="0" item="0"/>
          <tpl fld="12" item="13"/>
          <tpl fld="1" item="1"/>
          <tpl fld="17" item="0"/>
        </tpls>
      </n>
      <n v="1154250">
        <tpls c="6">
          <tpl fld="6" item="0"/>
          <tpl hier="35" item="1"/>
          <tpl fld="11" item="27"/>
          <tpl fld="10" item="2"/>
          <tpl hier="44" item="2"/>
          <tpl fld="17" item="0"/>
        </tpls>
      </n>
      <n v="1800">
        <tpls c="5">
          <tpl fld="6" item="1"/>
          <tpl hier="35" item="3"/>
          <tpl fld="12" item="21"/>
          <tpl hier="44" item="2"/>
          <tpl fld="17" item="0"/>
        </tpls>
      </n>
      <m>
        <tpls c="3">
          <tpl fld="2" item="17"/>
          <tpl fld="8" item="2"/>
          <tpl fld="17" item="3"/>
        </tpls>
      </m>
      <m>
        <tpls c="3">
          <tpl fld="8" item="0"/>
          <tpl fld="4" item="2"/>
          <tpl fld="17" item="3"/>
        </tpls>
      </m>
      <m>
        <tpls c="3">
          <tpl fld="2" item="13"/>
          <tpl fld="8" item="6"/>
          <tpl fld="17" item="3"/>
        </tpls>
      </m>
      <m>
        <tpls c="3">
          <tpl fld="2" item="21"/>
          <tpl fld="8" item="6"/>
          <tpl fld="17" item="3"/>
        </tpls>
      </m>
      <n v="91683046">
        <tpls c="6">
          <tpl fld="7" item="1"/>
          <tpl fld="0" item="2"/>
          <tpl fld="11" item="75"/>
          <tpl fld="12" item="14"/>
          <tpl fld="1" item="1"/>
          <tpl fld="17" item="0"/>
        </tpls>
      </n>
      <n v="119100">
        <tpls c="6">
          <tpl fld="6" item="1"/>
          <tpl hier="35" item="1"/>
          <tpl fld="11" item="15"/>
          <tpl fld="10" item="2"/>
          <tpl hier="44" item="2"/>
          <tpl fld="17" item="0"/>
        </tpls>
      </n>
      <n v="100101">
        <tpls c="6">
          <tpl fld="6" item="3"/>
          <tpl hier="35" item="3"/>
          <tpl fld="11" item="17"/>
          <tpl fld="12" item="3"/>
          <tpl hier="44" item="2"/>
          <tpl fld="17" item="0"/>
        </tpls>
      </n>
      <m>
        <tpls c="6">
          <tpl fld="6" item="2"/>
          <tpl hier="35" item="3"/>
          <tpl fld="11" item="4"/>
          <tpl fld="12" item="1"/>
          <tpl hier="44" item="2"/>
          <tpl fld="17" item="0"/>
        </tpls>
      </m>
      <n v="39700">
        <tpls c="7">
          <tpl fld="3" item="0"/>
          <tpl fld="16" item="8"/>
          <tpl hier="35" item="1"/>
          <tpl fld="11" item="15"/>
          <tpl fld="12" item="3"/>
          <tpl hier="44" item="2"/>
          <tpl fld="17" item="0"/>
        </tpls>
      </n>
      <n v="8400000">
        <tpls c="3">
          <tpl fld="2" item="19"/>
          <tpl fld="8" item="5"/>
          <tpl fld="17" item="3"/>
        </tpls>
      </n>
      <m>
        <tpls c="7">
          <tpl fld="3" item="1"/>
          <tpl fld="16" item="5"/>
          <tpl hier="35" item="0"/>
          <tpl fld="11" item="50"/>
          <tpl fld="12" item="11"/>
          <tpl hier="44" item="2"/>
          <tpl fld="17" item="0"/>
        </tpls>
      </m>
      <m>
        <tpls c="7">
          <tpl fld="3" item="1"/>
          <tpl fld="16" item="5"/>
          <tpl hier="35" item="0"/>
          <tpl fld="11" item="34"/>
          <tpl fld="12" item="15"/>
          <tpl hier="44" item="2"/>
          <tpl fld="17" item="0"/>
        </tpls>
      </m>
      <m>
        <tpls c="6">
          <tpl fld="3" item="1"/>
          <tpl hier="10" item="4294967295"/>
          <tpl hier="35" item="0"/>
          <tpl fld="12" item="3"/>
          <tpl hier="44" item="2"/>
          <tpl fld="17" item="0"/>
        </tpls>
      </m>
      <m>
        <tpls c="3">
          <tpl fld="8" item="1"/>
          <tpl fld="4" item="2"/>
          <tpl fld="17" item="3"/>
        </tpls>
      </m>
      <n v="0">
        <tpls c="7">
          <tpl fld="7" item="0"/>
          <tpl fld="16" item="2"/>
          <tpl fld="0" item="0"/>
          <tpl fld="11" item="21"/>
          <tpl fld="12" item="10"/>
          <tpl fld="1" item="1"/>
          <tpl fld="17" item="0"/>
        </tpls>
      </n>
      <n v="0">
        <tpls c="7">
          <tpl fld="3" item="0"/>
          <tpl fld="16" item="1"/>
          <tpl hier="35" item="1"/>
          <tpl fld="11" item="32"/>
          <tpl fld="12" item="2"/>
          <tpl hier="44" item="2"/>
          <tpl fld="17" item="0"/>
        </tpls>
      </n>
      <n v="1661917">
        <tpls c="6">
          <tpl fld="3" item="0"/>
          <tpl fld="16" item="4"/>
          <tpl hier="35" item="1"/>
          <tpl fld="12" item="11"/>
          <tpl hier="44" item="2"/>
          <tpl fld="17" item="0"/>
        </tpls>
      </n>
      <n v="15625810">
        <tpls c="6">
          <tpl fld="7" item="2"/>
          <tpl fld="0" item="1"/>
          <tpl fld="11" item="8"/>
          <tpl fld="12" item="3"/>
          <tpl hier="44" item="2"/>
          <tpl fld="17" item="0"/>
        </tpls>
      </n>
      <n v="0">
        <tpls c="6">
          <tpl fld="7" item="0"/>
          <tpl fld="16" item="11"/>
          <tpl fld="0" item="0"/>
          <tpl fld="12" item="22"/>
          <tpl fld="1" item="1"/>
          <tpl fld="17" item="0"/>
        </tpls>
      </n>
      <n v="149166">
        <tpls c="7">
          <tpl fld="3" item="0"/>
          <tpl fld="16" item="11"/>
          <tpl hier="35" item="1"/>
          <tpl fld="11" item="32"/>
          <tpl fld="12" item="2"/>
          <tpl hier="44" item="2"/>
          <tpl fld="17" item="0"/>
        </tpls>
      </n>
      <m>
        <tpls c="6">
          <tpl fld="6" item="3"/>
          <tpl hier="35" item="1"/>
          <tpl fld="11" item="26"/>
          <tpl fld="10" item="0"/>
          <tpl hier="44" item="2"/>
          <tpl fld="17" item="0"/>
        </tpls>
      </m>
      <n v="-477952">
        <tpls c="7">
          <tpl fld="7" item="0"/>
          <tpl fld="16" item="11"/>
          <tpl fld="0" item="0"/>
          <tpl fld="11" item="55"/>
          <tpl fld="12" item="13"/>
          <tpl fld="1" item="1"/>
          <tpl fld="17" item="0"/>
        </tpls>
      </n>
      <m>
        <tpls c="7">
          <tpl fld="3" item="1"/>
          <tpl fld="16" item="9"/>
          <tpl hier="35" item="0"/>
          <tpl fld="11" item="27"/>
          <tpl fld="12" item="3"/>
          <tpl hier="44" item="2"/>
          <tpl fld="17" item="0"/>
        </tpls>
      </m>
      <n v="603100">
        <tpls c="7">
          <tpl fld="3" item="0"/>
          <tpl fld="16" item="1"/>
          <tpl hier="35" item="1"/>
          <tpl fld="11" item="10"/>
          <tpl fld="12" item="3"/>
          <tpl hier="44" item="2"/>
          <tpl fld="17" item="0"/>
        </tpls>
      </n>
      <n v="1437666">
        <tpls c="7">
          <tpl fld="3" item="0"/>
          <tpl fld="16" item="4"/>
          <tpl hier="35" item="1"/>
          <tpl fld="11" item="33"/>
          <tpl fld="12" item="3"/>
          <tpl hier="44" item="2"/>
          <tpl fld="17" item="0"/>
        </tpls>
      </n>
      <m>
        <tpls c="6">
          <tpl fld="6" item="2"/>
          <tpl hier="35" item="1"/>
          <tpl fld="11" item="4"/>
          <tpl fld="10" item="3"/>
          <tpl hier="44" item="2"/>
          <tpl fld="17" item="0"/>
        </tpls>
      </m>
      <n v="2750">
        <tpls c="7">
          <tpl fld="3" item="0"/>
          <tpl fld="16" item="2"/>
          <tpl hier="35" item="1"/>
          <tpl fld="11" item="38"/>
          <tpl fld="12" item="11"/>
          <tpl hier="44" item="2"/>
          <tpl fld="17" item="0"/>
        </tpls>
      </n>
      <n v="3383">
        <tpls c="7">
          <tpl fld="7" item="0"/>
          <tpl fld="16" item="11"/>
          <tpl fld="0" item="0"/>
          <tpl fld="11" item="51"/>
          <tpl fld="12" item="7"/>
          <tpl fld="1" item="1"/>
          <tpl fld="17" item="0"/>
        </tpls>
      </n>
      <m>
        <tpls c="7">
          <tpl fld="3" item="1"/>
          <tpl fld="16" item="11"/>
          <tpl hier="35" item="0"/>
          <tpl fld="11" item="19"/>
          <tpl fld="12" item="2"/>
          <tpl hier="44" item="2"/>
          <tpl fld="17" item="0"/>
        </tpls>
      </m>
      <m>
        <tpls c="7">
          <tpl fld="3" item="1"/>
          <tpl fld="16" item="10"/>
          <tpl hier="35" item="0"/>
          <tpl fld="11" item="44"/>
          <tpl fld="12" item="3"/>
          <tpl hier="44" item="2"/>
          <tpl fld="17" item="0"/>
        </tpls>
      </m>
      <n v="1437666">
        <tpls c="7">
          <tpl fld="3" item="0"/>
          <tpl fld="16" item="6"/>
          <tpl hier="35" item="1"/>
          <tpl fld="11" item="33"/>
          <tpl fld="12" item="3"/>
          <tpl hier="44" item="2"/>
          <tpl fld="17" item="0"/>
        </tpls>
      </n>
      <m>
        <tpls c="7">
          <tpl fld="3" item="1"/>
          <tpl fld="16" item="7"/>
          <tpl hier="35" item="0"/>
          <tpl fld="11" item="8"/>
          <tpl fld="12" item="3"/>
          <tpl hier="44" item="2"/>
          <tpl fld="17" item="0"/>
        </tpls>
      </m>
      <n v="921566">
        <tpls c="6">
          <tpl fld="7" item="1"/>
          <tpl fld="0" item="2"/>
          <tpl fld="11" item="39"/>
          <tpl fld="10" item="2"/>
          <tpl hier="44" item="2"/>
          <tpl fld="17" item="0"/>
        </tpls>
      </n>
      <n v="6514136">
        <tpls c="6">
          <tpl fld="3" item="0"/>
          <tpl fld="16" item="3"/>
          <tpl hier="35" item="1"/>
          <tpl fld="12" item="3"/>
          <tpl hier="44" item="2"/>
          <tpl fld="17" item="0"/>
        </tpls>
      </n>
      <m>
        <tpls c="7">
          <tpl fld="3" item="1"/>
          <tpl fld="16" item="7"/>
          <tpl hier="35" item="0"/>
          <tpl fld="11" item="3"/>
          <tpl fld="12" item="2"/>
          <tpl hier="44" item="2"/>
          <tpl fld="17" item="0"/>
        </tpls>
      </m>
      <n v="1443933">
        <tpls c="7">
          <tpl fld="3" item="0"/>
          <tpl fld="16" item="8"/>
          <tpl hier="35" item="1"/>
          <tpl fld="11" item="6"/>
          <tpl fld="12" item="3"/>
          <tpl hier="44" item="2"/>
          <tpl fld="17" item="0"/>
        </tpls>
      </n>
      <n v="593500">
        <tpls c="7">
          <tpl fld="3" item="0"/>
          <tpl fld="16" item="6"/>
          <tpl hier="35" item="1"/>
          <tpl fld="11" item="16"/>
          <tpl fld="12" item="3"/>
          <tpl hier="44" item="2"/>
          <tpl fld="17" item="0"/>
        </tpls>
      </n>
      <n v="2750">
        <tpls c="7">
          <tpl fld="3" item="0"/>
          <tpl fld="16" item="7"/>
          <tpl hier="35" item="1"/>
          <tpl fld="11" item="38"/>
          <tpl fld="12" item="11"/>
          <tpl hier="44" item="2"/>
          <tpl fld="17" item="0"/>
        </tpls>
      </n>
      <n v="-1545322">
        <tpls c="7">
          <tpl fld="7" item="0"/>
          <tpl fld="16" item="2"/>
          <tpl fld="0" item="0"/>
          <tpl fld="11" item="47"/>
          <tpl fld="12" item="10"/>
          <tpl fld="1" item="1"/>
          <tpl fld="17" item="0"/>
        </tpls>
      </n>
      <m>
        <tpls c="7">
          <tpl fld="3" item="1"/>
          <tpl fld="16" item="8"/>
          <tpl hier="35" item="0"/>
          <tpl fld="11" item="41"/>
          <tpl fld="12" item="2"/>
          <tpl hier="44" item="2"/>
          <tpl fld="17" item="0"/>
        </tpls>
      </m>
      <m>
        <tpls c="7">
          <tpl fld="3" item="1"/>
          <tpl fld="16" item="7"/>
          <tpl hier="35" item="0"/>
          <tpl fld="11" item="23"/>
          <tpl fld="12" item="11"/>
          <tpl hier="44" item="2"/>
          <tpl fld="17" item="0"/>
        </tpls>
      </m>
      <m>
        <tpls c="7">
          <tpl fld="3" item="1"/>
          <tpl fld="16" item="6"/>
          <tpl hier="35" item="0"/>
          <tpl fld="11" item="17"/>
          <tpl fld="12" item="3"/>
          <tpl hier="44" item="2"/>
          <tpl fld="17" item="0"/>
        </tpls>
      </m>
      <n v="2066">
        <tpls c="6">
          <tpl fld="6" item="0"/>
          <tpl hier="35" item="3"/>
          <tpl fld="11" item="30"/>
          <tpl fld="12" item="15"/>
          <tpl hier="44" item="2"/>
          <tpl fld="17" item="0"/>
        </tpls>
      </n>
      <n v="8595501">
        <tpls c="7">
          <tpl fld="3" item="0"/>
          <tpl fld="16" item="3"/>
          <tpl hier="35" item="1"/>
          <tpl fld="11" item="18"/>
          <tpl fld="12" item="2"/>
          <tpl hier="44" item="2"/>
          <tpl fld="17" item="0"/>
        </tpls>
      </n>
      <n v="86277800">
        <tpls c="6">
          <tpl fld="7" item="1"/>
          <tpl fld="0" item="2"/>
          <tpl fld="11" item="65"/>
          <tpl fld="12" item="12"/>
          <tpl fld="1" item="1"/>
          <tpl fld="17" item="0"/>
        </tpls>
      </n>
      <m>
        <tpls c="7">
          <tpl fld="3" item="1"/>
          <tpl fld="16" item="1"/>
          <tpl hier="35" item="0"/>
          <tpl fld="11" item="1"/>
          <tpl fld="12" item="1"/>
          <tpl hier="44" item="2"/>
          <tpl fld="17" item="0"/>
        </tpls>
      </m>
      <n v="2357197">
        <tpls c="6">
          <tpl fld="7" item="0"/>
          <tpl fld="0" item="0"/>
          <tpl fld="11" item="27"/>
          <tpl fld="12" item="3"/>
          <tpl hier="44" item="2"/>
          <tpl fld="17" item="0"/>
        </tpls>
      </n>
      <m>
        <tpls c="6">
          <tpl fld="3" item="1"/>
          <tpl fld="16" item="10"/>
          <tpl hier="35" item="0"/>
          <tpl fld="12" item="3"/>
          <tpl hier="44" item="2"/>
          <tpl fld="17" item="0"/>
        </tpls>
      </m>
      <n v="7561">
        <tpls c="6">
          <tpl fld="7" item="2"/>
          <tpl fld="0" item="1"/>
          <tpl fld="11" item="25"/>
          <tpl fld="10" item="0"/>
          <tpl hier="44" item="2"/>
          <tpl fld="17" item="0"/>
        </tpls>
      </n>
      <m>
        <tpls c="3">
          <tpl fld="2" item="15"/>
          <tpl fld="8" item="9"/>
          <tpl fld="17" item="3"/>
        </tpls>
      </m>
      <m>
        <tpls c="7">
          <tpl fld="3" item="1"/>
          <tpl fld="16" item="9"/>
          <tpl hier="35" item="0"/>
          <tpl fld="11" item="36"/>
          <tpl fld="12" item="2"/>
          <tpl hier="44" item="2"/>
          <tpl fld="17" item="0"/>
        </tpls>
      </m>
      <m>
        <tpls c="7">
          <tpl fld="3" item="1"/>
          <tpl fld="16" item="1"/>
          <tpl hier="35" item="0"/>
          <tpl fld="11" item="18"/>
          <tpl fld="12" item="2"/>
          <tpl hier="44" item="2"/>
          <tpl fld="17" item="0"/>
        </tpls>
      </m>
      <n v="0">
        <tpls c="7">
          <tpl fld="7" item="0"/>
          <tpl fld="16" item="9"/>
          <tpl fld="0" item="0"/>
          <tpl fld="11" item="67"/>
          <tpl fld="12" item="0"/>
          <tpl fld="1" item="1"/>
          <tpl fld="17" item="0"/>
        </tpls>
      </n>
      <n v="0">
        <tpls c="7">
          <tpl fld="3" item="0"/>
          <tpl fld="16" item="6"/>
          <tpl hier="35" item="1"/>
          <tpl fld="11" item="9"/>
          <tpl fld="12" item="4"/>
          <tpl hier="44" item="2"/>
          <tpl fld="17" item="0"/>
        </tpls>
      </n>
      <m>
        <tpls c="3">
          <tpl fld="2" item="0"/>
          <tpl fld="8" item="0"/>
          <tpl fld="17" item="3"/>
        </tpls>
      </m>
      <n v="0">
        <tpls c="6">
          <tpl fld="7" item="0"/>
          <tpl fld="16" item="9"/>
          <tpl fld="0" item="0"/>
          <tpl fld="12" item="12"/>
          <tpl fld="1" item="1"/>
          <tpl fld="17" item="0"/>
        </tpls>
      </n>
      <n v="438301">
        <tpls c="6">
          <tpl fld="3" item="0"/>
          <tpl fld="16" item="0"/>
          <tpl hier="35" item="1"/>
          <tpl fld="12" item="4"/>
          <tpl hier="44" item="2"/>
          <tpl fld="17" item="0"/>
        </tpls>
      </n>
      <n v="0">
        <tpls c="7">
          <tpl fld="7" item="0"/>
          <tpl fld="16" item="7"/>
          <tpl fld="0" item="0"/>
          <tpl fld="11" item="53"/>
          <tpl fld="12" item="14"/>
          <tpl fld="1" item="1"/>
          <tpl fld="17" item="0"/>
        </tpls>
      </n>
      <m>
        <tpls c="3">
          <tpl fld="2" item="10"/>
          <tpl fld="8" item="1"/>
          <tpl fld="17" item="3"/>
        </tpls>
      </m>
      <n v="6000">
        <tpls c="7">
          <tpl fld="3" item="0"/>
          <tpl fld="16" item="10"/>
          <tpl hier="35" item="1"/>
          <tpl fld="11" item="5"/>
          <tpl fld="12" item="1"/>
          <tpl hier="44" item="2"/>
          <tpl fld="17" item="0"/>
        </tpls>
      </n>
      <n v="58697243">
        <tpls c="6">
          <tpl fld="6" item="0"/>
          <tpl hier="35" item="1"/>
          <tpl fld="11" item="49"/>
          <tpl fld="10" item="2"/>
          <tpl hier="44" item="2"/>
          <tpl fld="17" item="0"/>
        </tpls>
      </n>
      <n v="305661">
        <tpls c="6">
          <tpl fld="6" item="3"/>
          <tpl hier="35" item="3"/>
          <tpl fld="11" item="19"/>
          <tpl fld="12" item="2"/>
          <tpl hier="44" item="2"/>
          <tpl fld="17" item="0"/>
        </tpls>
      </n>
      <n v="12987102">
        <tpls c="6">
          <tpl fld="7" item="1"/>
          <tpl fld="0" item="2"/>
          <tpl fld="11" item="6"/>
          <tpl fld="10" item="2"/>
          <tpl hier="44" item="2"/>
          <tpl fld="17" item="0"/>
        </tpls>
      </n>
      <n v="0">
        <tpls c="7">
          <tpl fld="7" item="0"/>
          <tpl fld="16" item="2"/>
          <tpl fld="0" item="0"/>
          <tpl fld="11" item="69"/>
          <tpl fld="12" item="7"/>
          <tpl fld="1" item="1"/>
          <tpl fld="17" item="0"/>
        </tpls>
      </n>
      <m>
        <tpls c="6">
          <tpl fld="3" item="1"/>
          <tpl fld="16" item="10"/>
          <tpl hier="35" item="0"/>
          <tpl fld="12" item="9"/>
          <tpl hier="44" item="2"/>
          <tpl fld="17" item="0"/>
        </tpls>
      </m>
      <n v="6424134">
        <tpls c="6">
          <tpl fld="6" item="2"/>
          <tpl hier="35" item="3"/>
          <tpl fld="11" item="2"/>
          <tpl fld="12" item="2"/>
          <tpl hier="44" item="2"/>
          <tpl fld="17" item="0"/>
        </tpls>
      </n>
      <n v="-1528">
        <tpls c="7">
          <tpl fld="7" item="0"/>
          <tpl fld="16" item="8"/>
          <tpl fld="0" item="0"/>
          <tpl fld="11" item="71"/>
          <tpl fld="12" item="13"/>
          <tpl fld="1" item="1"/>
          <tpl fld="17" item="0"/>
        </tpls>
      </n>
      <n v="0">
        <tpls c="6">
          <tpl fld="7" item="0"/>
          <tpl fld="16" item="5"/>
          <tpl fld="0" item="0"/>
          <tpl fld="12" item="12"/>
          <tpl fld="1" item="1"/>
          <tpl fld="17" item="0"/>
        </tpls>
      </n>
      <n v="22226037">
        <tpls c="6">
          <tpl fld="7" item="1"/>
          <tpl fld="0" item="2"/>
          <tpl fld="11" item="35"/>
          <tpl fld="12" item="2"/>
          <tpl hier="44" item="2"/>
          <tpl fld="17" item="0"/>
        </tpls>
      </n>
      <n v="-3016893">
        <tpls c="6">
          <tpl fld="7" item="0"/>
          <tpl fld="16" item="6"/>
          <tpl fld="0" item="0"/>
          <tpl fld="12" item="16"/>
          <tpl fld="1" item="1"/>
          <tpl fld="17" item="0"/>
        </tpls>
      </n>
      <n v="15732">
        <tpls c="7">
          <tpl fld="7" item="0"/>
          <tpl fld="16" item="2"/>
          <tpl fld="0" item="0"/>
          <tpl fld="11" item="74"/>
          <tpl fld="12" item="16"/>
          <tpl fld="1" item="1"/>
          <tpl fld="17" item="0"/>
        </tpls>
      </n>
      <n v="21323">
        <tpls c="7">
          <tpl fld="7" item="0"/>
          <tpl fld="16" item="3"/>
          <tpl fld="0" item="0"/>
          <tpl fld="11" item="74"/>
          <tpl fld="12" item="16"/>
          <tpl fld="1" item="1"/>
          <tpl fld="17" item="0"/>
        </tpls>
      </n>
      <n v="6000">
        <tpls c="7">
          <tpl fld="3" item="0"/>
          <tpl fld="16" item="9"/>
          <tpl hier="35" item="1"/>
          <tpl fld="11" item="5"/>
          <tpl fld="12" item="1"/>
          <tpl hier="44" item="2"/>
          <tpl fld="17" item="0"/>
        </tpls>
      </n>
      <n v="568">
        <tpls c="6">
          <tpl fld="7" item="1"/>
          <tpl fld="0" item="2"/>
          <tpl fld="11" item="44"/>
          <tpl fld="10" item="3"/>
          <tpl hier="44" item="2"/>
          <tpl fld="17" item="0"/>
        </tpls>
      </n>
      <n v="414292">
        <tpls c="3">
          <tpl fld="9" item="9"/>
          <tpl fld="15" item="2"/>
          <tpl fld="17" item="2"/>
        </tpls>
      </n>
      <n v="1443934">
        <tpls c="7">
          <tpl fld="3" item="0"/>
          <tpl fld="16" item="7"/>
          <tpl hier="35" item="1"/>
          <tpl fld="11" item="6"/>
          <tpl fld="12" item="3"/>
          <tpl hier="44" item="2"/>
          <tpl fld="17" item="0"/>
        </tpls>
      </n>
      <m>
        <tpls c="3">
          <tpl fld="2" item="5"/>
          <tpl fld="8" item="3"/>
          <tpl fld="17" item="3"/>
        </tpls>
      </m>
      <n v="72917">
        <tpls c="7">
          <tpl fld="3" item="0"/>
          <tpl fld="16" item="5"/>
          <tpl hier="35" item="1"/>
          <tpl fld="11" item="14"/>
          <tpl fld="12" item="3"/>
          <tpl hier="44" item="2"/>
          <tpl fld="17" item="0"/>
        </tpls>
      </n>
      <n v="271608">
        <tpls c="7">
          <tpl fld="3" item="0"/>
          <tpl hier="10" item="4294967295"/>
          <tpl hier="35" item="1"/>
          <tpl fld="11" item="11"/>
          <tpl fld="12" item="2"/>
          <tpl hier="44" item="2"/>
          <tpl fld="17" item="0"/>
        </tpls>
      </n>
      <m>
        <tpls c="7">
          <tpl fld="3" item="1"/>
          <tpl fld="16" item="4"/>
          <tpl hier="35" item="0"/>
          <tpl fld="11" item="6"/>
          <tpl fld="12" item="3"/>
          <tpl hier="44" item="2"/>
          <tpl fld="17" item="0"/>
        </tpls>
      </m>
      <m>
        <tpls c="7">
          <tpl fld="3" item="1"/>
          <tpl fld="16" item="2"/>
          <tpl hier="35" item="0"/>
          <tpl fld="11" item="50"/>
          <tpl fld="12" item="11"/>
          <tpl hier="44" item="2"/>
          <tpl fld="17" item="0"/>
        </tpls>
      </m>
      <m>
        <tpls c="7">
          <tpl fld="3" item="1"/>
          <tpl fld="16" item="4"/>
          <tpl hier="35" item="0"/>
          <tpl fld="11" item="10"/>
          <tpl fld="12" item="3"/>
          <tpl hier="44" item="2"/>
          <tpl fld="17" item="0"/>
        </tpls>
      </m>
      <m>
        <tpls c="6">
          <tpl fld="3" item="1"/>
          <tpl fld="16" item="4"/>
          <tpl hier="35" item="0"/>
          <tpl fld="12" item="11"/>
          <tpl hier="44" item="2"/>
          <tpl fld="17" item="0"/>
        </tpls>
      </m>
      <n v="4137000">
        <tpls c="6">
          <tpl fld="7" item="2"/>
          <tpl fld="0" item="1"/>
          <tpl fld="11" item="27"/>
          <tpl fld="12" item="3"/>
          <tpl hier="44" item="2"/>
          <tpl fld="17" item="0"/>
        </tpls>
      </n>
      <n v="54800105">
        <tpls c="5">
          <tpl fld="6" item="1"/>
          <tpl hier="35" item="3"/>
          <tpl fld="12" item="2"/>
          <tpl hier="44" item="2"/>
          <tpl fld="17" item="0"/>
        </tpls>
      </n>
      <n v="2306349">
        <tpls c="6">
          <tpl fld="7" item="1"/>
          <tpl fld="0" item="2"/>
          <tpl fld="11" item="23"/>
          <tpl fld="12" item="11"/>
          <tpl hier="44" item="2"/>
          <tpl fld="17" item="0"/>
        </tpls>
      </n>
      <n v="4785429">
        <tpls c="6">
          <tpl fld="7" item="0"/>
          <tpl fld="0" item="0"/>
          <tpl fld="11" item="22"/>
          <tpl fld="10" item="1"/>
          <tpl hier="44" item="2"/>
          <tpl fld="17" item="0"/>
        </tpls>
      </n>
      <m>
        <tpls c="6">
          <tpl fld="3" item="1"/>
          <tpl fld="16" item="8"/>
          <tpl hier="35" item="0"/>
          <tpl fld="12" item="3"/>
          <tpl hier="44" item="2"/>
          <tpl fld="17" item="0"/>
        </tpls>
      </m>
      <n v="0">
        <tpls c="7">
          <tpl fld="3" item="0"/>
          <tpl fld="16" item="10"/>
          <tpl hier="35" item="1"/>
          <tpl fld="11" item="32"/>
          <tpl fld="12" item="2"/>
          <tpl hier="44" item="2"/>
          <tpl fld="17" item="0"/>
        </tpls>
      </n>
      <m>
        <tpls c="6">
          <tpl fld="6" item="0"/>
          <tpl hier="35" item="3"/>
          <tpl fld="11" item="7"/>
          <tpl fld="12" item="4"/>
          <tpl hier="44" item="2"/>
          <tpl fld="17" item="0"/>
        </tpls>
      </m>
      <m>
        <tpls c="3">
          <tpl fld="2" item="20"/>
          <tpl fld="8" item="9"/>
          <tpl fld="17" item="3"/>
        </tpls>
      </m>
      <n v="-1921936">
        <tpls c="7">
          <tpl fld="7" item="0"/>
          <tpl fld="16" item="2"/>
          <tpl fld="0" item="0"/>
          <tpl fld="11" item="28"/>
          <tpl fld="12" item="13"/>
          <tpl fld="1" item="1"/>
          <tpl fld="17" item="0"/>
        </tpls>
      </n>
      <m>
        <tpls c="6">
          <tpl fld="3" item="1"/>
          <tpl fld="16" item="2"/>
          <tpl hier="35" item="0"/>
          <tpl fld="12" item="2"/>
          <tpl hier="44" item="2"/>
          <tpl fld="17" item="0"/>
        </tpls>
      </m>
      <m>
        <tpls c="3">
          <tpl fld="8" item="9"/>
          <tpl fld="4" item="3"/>
          <tpl fld="17" item="3"/>
        </tpls>
      </m>
      <n v="312501">
        <tpls c="6">
          <tpl fld="6" item="3"/>
          <tpl hier="35" item="1"/>
          <tpl fld="11" item="43"/>
          <tpl fld="10" item="2"/>
          <tpl hier="44" item="2"/>
          <tpl fld="17" item="0"/>
        </tpls>
      </n>
      <n v="375">
        <tpls c="6">
          <tpl fld="6" item="3"/>
          <tpl hier="35" item="1"/>
          <tpl fld="11" item="30"/>
          <tpl fld="10" item="1"/>
          <tpl hier="44" item="2"/>
          <tpl fld="17" item="0"/>
        </tpls>
      </n>
      <n v="-291483">
        <tpls c="7">
          <tpl fld="7" item="0"/>
          <tpl fld="16" item="3"/>
          <tpl fld="0" item="0"/>
          <tpl fld="11" item="60"/>
          <tpl fld="12" item="20"/>
          <tpl fld="1" item="1"/>
          <tpl fld="17" item="0"/>
        </tpls>
      </n>
      <m>
        <tpls c="3">
          <tpl fld="2" item="19"/>
          <tpl fld="8" item="8"/>
          <tpl fld="17" item="3"/>
        </tpls>
      </m>
      <n v="1218953">
        <tpls c="7">
          <tpl fld="3" item="0"/>
          <tpl hier="10" item="4294967295"/>
          <tpl hier="35" item="1"/>
          <tpl fld="11" item="19"/>
          <tpl fld="12" item="2"/>
          <tpl hier="44" item="2"/>
          <tpl fld="17" item="0"/>
        </tpls>
      </n>
      <m>
        <tpls c="3">
          <tpl fld="2" item="12"/>
          <tpl fld="8" item="10"/>
          <tpl fld="17" item="3"/>
        </tpls>
      </m>
      <n v="2815312">
        <tpls c="7">
          <tpl fld="7" item="0"/>
          <tpl fld="16" item="3"/>
          <tpl fld="0" item="0"/>
          <tpl fld="11" item="21"/>
          <tpl fld="12" item="10"/>
          <tpl fld="1" item="1"/>
          <tpl fld="17" item="0"/>
        </tpls>
      </n>
      <n v="600">
        <tpls c="6">
          <tpl fld="3" item="0"/>
          <tpl fld="16" item="5"/>
          <tpl hier="35" item="1"/>
          <tpl fld="12" item="21"/>
          <tpl hier="44" item="2"/>
          <tpl fld="17" item="0"/>
        </tpls>
      </n>
      <n v="0">
        <tpls c="7">
          <tpl fld="7" item="0"/>
          <tpl fld="16" item="3"/>
          <tpl fld="0" item="0"/>
          <tpl fld="11" item="75"/>
          <tpl fld="12" item="14"/>
          <tpl fld="1" item="1"/>
          <tpl fld="17" item="0"/>
        </tpls>
      </n>
      <m>
        <tpls c="3">
          <tpl fld="2" item="3"/>
          <tpl fld="8" item="4"/>
          <tpl fld="17" item="3"/>
        </tpls>
      </m>
      <n v="100100">
        <tpls c="6">
          <tpl fld="6" item="1"/>
          <tpl hier="35" item="1"/>
          <tpl fld="11" item="17"/>
          <tpl fld="10" item="2"/>
          <tpl hier="44" item="2"/>
          <tpl fld="17" item="0"/>
        </tpls>
      </n>
      <m>
        <tpls c="7">
          <tpl fld="3" item="1"/>
          <tpl fld="16" item="6"/>
          <tpl hier="35" item="0"/>
          <tpl fld="11" item="54"/>
          <tpl fld="12" item="4"/>
          <tpl hier="44" item="2"/>
          <tpl fld="17" item="0"/>
        </tpls>
      </m>
      <m>
        <tpls c="7">
          <tpl fld="3" item="1"/>
          <tpl fld="16" item="3"/>
          <tpl hier="35" item="0"/>
          <tpl fld="11" item="9"/>
          <tpl fld="12" item="4"/>
          <tpl hier="44" item="2"/>
          <tpl fld="17" item="0"/>
        </tpls>
      </m>
      <m>
        <tpls c="7">
          <tpl fld="3" item="1"/>
          <tpl fld="16" item="10"/>
          <tpl hier="35" item="0"/>
          <tpl fld="11" item="54"/>
          <tpl fld="12" item="4"/>
          <tpl hier="44" item="2"/>
          <tpl fld="17" item="0"/>
        </tpls>
      </m>
      <n v="-425">
        <tpls c="6">
          <tpl fld="7" item="0"/>
          <tpl fld="0" item="0"/>
          <tpl fld="11" item="9"/>
          <tpl fld="10" item="1"/>
          <tpl hier="44" item="2"/>
          <tpl fld="17" item="0"/>
        </tpls>
      </n>
      <n v="-76207">
        <tpls c="7">
          <tpl fld="7" item="0"/>
          <tpl fld="16" item="6"/>
          <tpl fld="0" item="0"/>
          <tpl fld="11" item="52"/>
          <tpl fld="12" item="20"/>
          <tpl fld="1" item="1"/>
          <tpl fld="17" item="0"/>
        </tpls>
      </n>
      <m>
        <tpls c="6">
          <tpl fld="3" item="1"/>
          <tpl fld="16" item="5"/>
          <tpl hier="35" item="0"/>
          <tpl fld="12" item="9"/>
          <tpl hier="44" item="2"/>
          <tpl fld="17" item="0"/>
        </tpls>
      </m>
      <m>
        <tpls c="3">
          <tpl fld="2" item="4"/>
          <tpl fld="8" item="2"/>
          <tpl fld="17" item="3"/>
        </tpls>
      </m>
      <n v="0">
        <tpls c="7">
          <tpl fld="7" item="0"/>
          <tpl fld="16" item="3"/>
          <tpl fld="0" item="0"/>
          <tpl fld="11" item="76"/>
          <tpl fld="12" item="14"/>
          <tpl fld="1" item="1"/>
          <tpl fld="17" item="0"/>
        </tpls>
      </n>
      <n v="1087173">
        <tpls c="7">
          <tpl fld="3" item="0"/>
          <tpl fld="16" item="9"/>
          <tpl hier="35" item="1"/>
          <tpl fld="11" item="20"/>
          <tpl fld="12" item="2"/>
          <tpl hier="44" item="2"/>
          <tpl fld="17" item="0"/>
        </tpls>
      </n>
      <m>
        <tpls c="7">
          <tpl fld="3" item="1"/>
          <tpl fld="16" item="10"/>
          <tpl hier="35" item="0"/>
          <tpl fld="11" item="10"/>
          <tpl fld="12" item="3"/>
          <tpl hier="44" item="2"/>
          <tpl fld="17" item="0"/>
        </tpls>
      </m>
      <m>
        <tpls c="3">
          <tpl fld="5" item="4"/>
          <tpl fld="4" item="3"/>
          <tpl fld="17" item="3"/>
        </tpls>
      </m>
      <n v="1255575">
        <tpls c="6">
          <tpl fld="6" item="2"/>
          <tpl hier="35" item="3"/>
          <tpl fld="11" item="22"/>
          <tpl fld="12" item="4"/>
          <tpl hier="44" item="2"/>
          <tpl fld="17" item="0"/>
        </tpls>
      </n>
      <m>
        <tpls c="3">
          <tpl fld="2" item="6"/>
          <tpl fld="8" item="8"/>
          <tpl fld="17" item="3"/>
        </tpls>
      </m>
      <m>
        <tpls c="7">
          <tpl fld="3" item="1"/>
          <tpl fld="16" item="2"/>
          <tpl hier="35" item="0"/>
          <tpl fld="11" item="35"/>
          <tpl fld="12" item="2"/>
          <tpl hier="44" item="2"/>
          <tpl fld="17" item="0"/>
        </tpls>
      </m>
      <n v="914250">
        <tpls c="6">
          <tpl fld="6" item="1"/>
          <tpl hier="35" item="3"/>
          <tpl fld="11" item="27"/>
          <tpl fld="12" item="3"/>
          <tpl hier="44" item="2"/>
          <tpl fld="17" item="0"/>
        </tpls>
      </n>
      <n v="35397169">
        <tpls c="6">
          <tpl fld="7" item="2"/>
          <tpl fld="0" item="1"/>
          <tpl fld="11" item="35"/>
          <tpl fld="12" item="2"/>
          <tpl hier="44" item="2"/>
          <tpl fld="17" item="0"/>
        </tpls>
      </n>
      <m>
        <tpls c="6">
          <tpl fld="7" item="0"/>
          <tpl fld="0" item="0"/>
          <tpl fld="11" item="4"/>
          <tpl fld="10" item="3"/>
          <tpl hier="44" item="2"/>
          <tpl fld="17" item="0"/>
        </tpls>
      </m>
      <n v="10261987">
        <tpls c="6">
          <tpl fld="6" item="3"/>
          <tpl hier="35" item="3"/>
          <tpl fld="11" item="35"/>
          <tpl fld="12" item="2"/>
          <tpl hier="44" item="2"/>
          <tpl fld="17" item="0"/>
        </tpls>
      </n>
      <n v="3353">
        <tpls c="6">
          <tpl fld="7" item="0"/>
          <tpl fld="0" item="0"/>
          <tpl fld="11" item="30"/>
          <tpl fld="10" item="1"/>
          <tpl hier="44" item="2"/>
          <tpl fld="17" item="0"/>
        </tpls>
      </n>
      <n v="270241">
        <tpls c="6">
          <tpl fld="6" item="0"/>
          <tpl hier="35" item="3"/>
          <tpl fld="11" item="41"/>
          <tpl fld="12" item="2"/>
          <tpl hier="44" item="2"/>
          <tpl fld="17" item="0"/>
        </tpls>
      </n>
      <n v="91683046">
        <tpls c="7">
          <tpl fld="7" item="0"/>
          <tpl fld="16" item="0"/>
          <tpl fld="0" item="0"/>
          <tpl fld="11" item="75"/>
          <tpl fld="12" item="14"/>
          <tpl fld="1" item="1"/>
          <tpl fld="17" item="0"/>
        </tpls>
      </n>
      <n v="33622902">
        <tpls c="6">
          <tpl fld="7" item="0"/>
          <tpl fld="0" item="0"/>
          <tpl fld="11" item="35"/>
          <tpl fld="10" item="0"/>
          <tpl hier="44" item="2"/>
          <tpl fld="17" item="0"/>
        </tpls>
      </n>
      <n v="0">
        <tpls c="7">
          <tpl fld="7" item="0"/>
          <tpl fld="16" item="11"/>
          <tpl fld="0" item="0"/>
          <tpl fld="11" item="75"/>
          <tpl fld="12" item="14"/>
          <tpl fld="1" item="1"/>
          <tpl fld="17" item="0"/>
        </tpls>
      </n>
      <n v="5042076">
        <tpls c="6">
          <tpl fld="7" item="2"/>
          <tpl fld="0" item="1"/>
          <tpl fld="11" item="22"/>
          <tpl fld="12" item="4"/>
          <tpl hier="44" item="2"/>
          <tpl fld="17" item="0"/>
        </tpls>
      </n>
      <n v="4283001">
        <tpls c="6">
          <tpl fld="6" item="2"/>
          <tpl hier="35" item="3"/>
          <tpl fld="11" item="33"/>
          <tpl fld="12" item="3"/>
          <tpl hier="44" item="2"/>
          <tpl fld="17" item="0"/>
        </tpls>
      </n>
      <n v="356940028">
        <tpls c="5">
          <tpl fld="7" item="1"/>
          <tpl fld="0" item="2"/>
          <tpl fld="12" item="2"/>
          <tpl hier="44" item="2"/>
          <tpl fld="17" item="0"/>
        </tpls>
      </n>
      <n v="844">
        <tpls c="6">
          <tpl fld="6" item="2"/>
          <tpl hier="35" item="3"/>
          <tpl fld="11" item="30"/>
          <tpl fld="12" item="15"/>
          <tpl hier="44" item="2"/>
          <tpl fld="17" item="0"/>
        </tpls>
      </n>
      <n v="531000">
        <tpls c="3">
          <tpl fld="2" item="0"/>
          <tpl fld="8" item="11"/>
          <tpl fld="17" item="3"/>
        </tpls>
      </n>
      <n v="18000">
        <tpls c="6">
          <tpl fld="6" item="0"/>
          <tpl hier="35" item="1"/>
          <tpl fld="11" item="5"/>
          <tpl fld="10" item="3"/>
          <tpl hier="44" item="2"/>
          <tpl fld="17" item="0"/>
        </tpls>
      </n>
      <m>
        <tpls c="7">
          <tpl fld="7" item="0"/>
          <tpl fld="16" item="1"/>
          <tpl fld="0" item="0"/>
          <tpl fld="11" item="61"/>
          <tpl fld="12" item="7"/>
          <tpl fld="1" item="1"/>
          <tpl fld="17" item="0"/>
        </tpls>
      </m>
      <n v="0">
        <tpls c="6">
          <tpl fld="7" item="0"/>
          <tpl fld="16" item="7"/>
          <tpl fld="0" item="0"/>
          <tpl fld="12" item="12"/>
          <tpl fld="1" item="1"/>
          <tpl fld="17" item="0"/>
        </tpls>
      </n>
      <n v="0">
        <tpls c="6">
          <tpl fld="7" item="0"/>
          <tpl fld="16" item="0"/>
          <tpl fld="0" item="0"/>
          <tpl fld="12" item="5"/>
          <tpl fld="1" item="1"/>
          <tpl fld="17" item="0"/>
        </tpls>
      </n>
      <n v="90000">
        <tpls c="6">
          <tpl fld="6" item="2"/>
          <tpl hier="35" item="3"/>
          <tpl fld="11" item="31"/>
          <tpl fld="12" item="3"/>
          <tpl hier="44" item="2"/>
          <tpl fld="17" item="0"/>
        </tpls>
      </n>
      <n v="16885">
        <tpls c="6">
          <tpl fld="7" item="1"/>
          <tpl fld="0" item="2"/>
          <tpl fld="11" item="54"/>
          <tpl fld="10" item="1"/>
          <tpl hier="44" item="2"/>
          <tpl fld="17" item="0"/>
        </tpls>
      </n>
      <n v="5395">
        <tpls c="7">
          <tpl fld="7" item="0"/>
          <tpl fld="16" item="7"/>
          <tpl fld="0" item="0"/>
          <tpl fld="11" item="51"/>
          <tpl fld="12" item="7"/>
          <tpl fld="1" item="1"/>
          <tpl fld="17" item="0"/>
        </tpls>
      </n>
      <n v="30000">
        <tpls c="7">
          <tpl fld="3" item="0"/>
          <tpl fld="16" item="2"/>
          <tpl hier="35" item="1"/>
          <tpl fld="11" item="31"/>
          <tpl fld="12" item="3"/>
          <tpl hier="44" item="2"/>
          <tpl fld="17" item="0"/>
        </tpls>
      </n>
      <n v="6300000">
        <tpls c="3">
          <tpl fld="8" item="3"/>
          <tpl fld="4" item="1"/>
          <tpl fld="17" item="3"/>
        </tpls>
      </n>
      <n v="1757">
        <tpls c="6">
          <tpl fld="6" item="1"/>
          <tpl hier="35" item="1"/>
          <tpl fld="11" item="25"/>
          <tpl fld="10" item="0"/>
          <tpl hier="44" item="2"/>
          <tpl fld="17" item="0"/>
        </tpls>
      </n>
      <n v="177827">
        <tpls c="7">
          <tpl fld="7" item="0"/>
          <tpl fld="16" item="3"/>
          <tpl fld="0" item="0"/>
          <tpl fld="11" item="51"/>
          <tpl fld="12" item="7"/>
          <tpl fld="1" item="1"/>
          <tpl fld="17" item="0"/>
        </tpls>
      </n>
      <m>
        <tpls c="7">
          <tpl fld="3" item="1"/>
          <tpl fld="16" item="9"/>
          <tpl hier="35" item="0"/>
          <tpl fld="11" item="43"/>
          <tpl fld="12" item="3"/>
          <tpl hier="44" item="2"/>
          <tpl fld="17" item="0"/>
        </tpls>
      </m>
      <m>
        <tpls c="7">
          <tpl fld="3" item="1"/>
          <tpl fld="16" item="7"/>
          <tpl hier="35" item="0"/>
          <tpl fld="11" item="32"/>
          <tpl fld="12" item="2"/>
          <tpl hier="44" item="2"/>
          <tpl fld="17" item="0"/>
        </tpls>
      </m>
      <n v="4331801">
        <tpls c="6">
          <tpl fld="6" item="1"/>
          <tpl hier="35" item="3"/>
          <tpl fld="11" item="6"/>
          <tpl fld="12" item="3"/>
          <tpl hier="44" item="2"/>
          <tpl fld="17" item="0"/>
        </tpls>
      </n>
      <n v="0">
        <tpls c="6">
          <tpl fld="7" item="0"/>
          <tpl fld="16" item="2"/>
          <tpl fld="0" item="0"/>
          <tpl fld="12" item="22"/>
          <tpl fld="1" item="1"/>
          <tpl fld="17" item="0"/>
        </tpls>
      </n>
      <n v="0">
        <tpls c="6">
          <tpl fld="7" item="0"/>
          <tpl fld="0" item="0"/>
          <tpl fld="11" item="10"/>
          <tpl fld="10" item="2"/>
          <tpl hier="44" item="2"/>
          <tpl fld="17" item="0"/>
        </tpls>
      </n>
      <n v="1347185">
        <tpls c="7">
          <tpl fld="3" item="0"/>
          <tpl fld="16" item="11"/>
          <tpl hier="35" item="1"/>
          <tpl fld="11" item="8"/>
          <tpl fld="12" item="3"/>
          <tpl hier="44" item="2"/>
          <tpl fld="17" item="0"/>
        </tpls>
      </n>
      <n v="139241480">
        <tpls c="6">
          <tpl fld="7" item="1"/>
          <tpl fld="0" item="2"/>
          <tpl fld="11" item="18"/>
          <tpl fld="10" item="0"/>
          <tpl hier="44" item="2"/>
          <tpl fld="17" item="0"/>
        </tpls>
      </n>
      <m>
        <tpls c="3">
          <tpl fld="2" item="14"/>
          <tpl fld="8" item="11"/>
          <tpl fld="17" item="3"/>
        </tpls>
      </m>
      <n v="18000">
        <tpls c="6">
          <tpl fld="6" item="2"/>
          <tpl hier="35" item="1"/>
          <tpl fld="11" item="5"/>
          <tpl fld="10" item="3"/>
          <tpl hier="44" item="2"/>
          <tpl fld="17" item="0"/>
        </tpls>
      </n>
      <n v="1661917">
        <tpls c="6">
          <tpl fld="3" item="0"/>
          <tpl fld="16" item="0"/>
          <tpl hier="35" item="1"/>
          <tpl fld="12" item="11"/>
          <tpl hier="44" item="2"/>
          <tpl fld="17" item="0"/>
        </tpls>
      </n>
      <n v="33000">
        <tpls c="6">
          <tpl fld="7" item="2"/>
          <tpl fld="0" item="1"/>
          <tpl fld="11" item="38"/>
          <tpl fld="10" item="2"/>
          <tpl hier="44" item="2"/>
          <tpl fld="17" item="0"/>
        </tpls>
      </n>
      <n v="4331801">
        <tpls c="6">
          <tpl fld="6" item="1"/>
          <tpl hier="35" item="1"/>
          <tpl fld="11" item="6"/>
          <tpl fld="10" item="2"/>
          <tpl hier="44" item="2"/>
          <tpl fld="17" item="0"/>
        </tpls>
      </n>
      <m>
        <tpls c="7">
          <tpl fld="3" item="1"/>
          <tpl fld="16" item="2"/>
          <tpl hier="35" item="0"/>
          <tpl fld="11" item="37"/>
          <tpl fld="12" item="11"/>
          <tpl hier="44" item="2"/>
          <tpl fld="17" item="0"/>
        </tpls>
      </m>
      <m>
        <tpls c="3">
          <tpl fld="2" item="15"/>
          <tpl fld="8" item="0"/>
          <tpl fld="17" item="3"/>
        </tpls>
      </m>
      <m>
        <tpls c="7">
          <tpl fld="3" item="1"/>
          <tpl fld="16" item="3"/>
          <tpl hier="35" item="0"/>
          <tpl fld="11" item="50"/>
          <tpl fld="12" item="11"/>
          <tpl hier="44" item="2"/>
          <tpl fld="17" item="0"/>
        </tpls>
      </m>
      <n v="6000">
        <tpls c="7">
          <tpl fld="3" item="0"/>
          <tpl fld="16" item="2"/>
          <tpl hier="35" item="1"/>
          <tpl fld="11" item="5"/>
          <tpl fld="12" item="1"/>
          <tpl hier="44" item="2"/>
          <tpl fld="17" item="0"/>
        </tpls>
      </n>
      <n v="3125">
        <tpls c="3">
          <tpl fld="9" item="5"/>
          <tpl fld="15" item="1"/>
          <tpl fld="17" item="2"/>
        </tpls>
      </n>
      <n v="3930000">
        <tpls c="6">
          <tpl fld="6" item="2"/>
          <tpl hier="35" item="1"/>
          <tpl fld="11" item="37"/>
          <tpl fld="10" item="2"/>
          <tpl hier="44" item="2"/>
          <tpl fld="17" item="0"/>
        </tpls>
      </n>
      <n v="126859046">
        <tpls c="5">
          <tpl fld="7" item="1"/>
          <tpl fld="0" item="2"/>
          <tpl fld="12" item="6"/>
          <tpl fld="1" item="1"/>
          <tpl fld="17" item="0"/>
        </tpls>
      </n>
      <m>
        <tpls c="7">
          <tpl fld="3" item="1"/>
          <tpl fld="16" item="7"/>
          <tpl hier="35" item="0"/>
          <tpl fld="11" item="9"/>
          <tpl fld="12" item="4"/>
          <tpl hier="44" item="2"/>
          <tpl fld="17" item="0"/>
        </tpls>
      </m>
      <m>
        <tpls c="7">
          <tpl fld="3" item="1"/>
          <tpl fld="16" item="3"/>
          <tpl hier="35" item="0"/>
          <tpl fld="11" item="8"/>
          <tpl fld="12" item="3"/>
          <tpl hier="44" item="2"/>
          <tpl fld="17" item="0"/>
        </tpls>
      </m>
      <m>
        <tpls c="7">
          <tpl fld="3" item="1"/>
          <tpl fld="16" item="2"/>
          <tpl hier="35" item="0"/>
          <tpl fld="11" item="22"/>
          <tpl fld="12" item="4"/>
          <tpl hier="44" item="2"/>
          <tpl fld="17" item="0"/>
        </tpls>
      </m>
      <m>
        <tpls c="7">
          <tpl fld="3" item="1"/>
          <tpl fld="16" item="3"/>
          <tpl hier="35" item="0"/>
          <tpl fld="11" item="11"/>
          <tpl fld="12" item="2"/>
          <tpl hier="44" item="2"/>
          <tpl fld="17" item="0"/>
        </tpls>
      </m>
      <n v="22726">
        <tpls c="6">
          <tpl fld="6" item="1"/>
          <tpl hier="35" item="3"/>
          <tpl fld="11" item="32"/>
          <tpl fld="12" item="2"/>
          <tpl hier="44" item="2"/>
          <tpl fld="17" item="0"/>
        </tpls>
      </n>
      <m>
        <tpls c="7">
          <tpl fld="3" item="1"/>
          <tpl fld="16" item="1"/>
          <tpl hier="35" item="0"/>
          <tpl fld="11" item="34"/>
          <tpl fld="12" item="15"/>
          <tpl hier="44" item="2"/>
          <tpl fld="17" item="0"/>
        </tpls>
      </m>
      <m>
        <tpls c="3">
          <tpl fld="2" item="13"/>
          <tpl fld="8" item="8"/>
          <tpl fld="17" item="3"/>
        </tpls>
      </m>
      <m>
        <tpls c="7">
          <tpl fld="3" item="1"/>
          <tpl fld="16" item="9"/>
          <tpl hier="35" item="0"/>
          <tpl fld="11" item="50"/>
          <tpl fld="12" item="11"/>
          <tpl hier="44" item="2"/>
          <tpl fld="17" item="0"/>
        </tpls>
      </m>
      <n v="5915537">
        <tpls c="6">
          <tpl fld="3" item="0"/>
          <tpl fld="16" item="5"/>
          <tpl hier="35" item="1"/>
          <tpl fld="12" item="3"/>
          <tpl hier="44" item="2"/>
          <tpl fld="17" item="0"/>
        </tpls>
      </n>
      <n v="603100">
        <tpls c="7">
          <tpl fld="3" item="0"/>
          <tpl fld="16" item="8"/>
          <tpl hier="35" item="1"/>
          <tpl fld="11" item="10"/>
          <tpl fld="12" item="3"/>
          <tpl hier="44" item="2"/>
          <tpl fld="17" item="0"/>
        </tpls>
      </n>
      <n v="218751">
        <tpls c="6">
          <tpl fld="6" item="2"/>
          <tpl hier="35" item="1"/>
          <tpl fld="11" item="14"/>
          <tpl fld="10" item="2"/>
          <tpl hier="44" item="2"/>
          <tpl fld="17" item="0"/>
        </tpls>
      </n>
      <n v="1968404">
        <tpls c="6">
          <tpl fld="7" item="0"/>
          <tpl fld="0" item="0"/>
          <tpl fld="11" item="36"/>
          <tpl fld="10" item="0"/>
          <tpl hier="44" item="2"/>
          <tpl fld="17" item="0"/>
        </tpls>
      </n>
      <n v="16">
        <tpls c="7">
          <tpl fld="7" item="0"/>
          <tpl fld="16" item="8"/>
          <tpl fld="0" item="0"/>
          <tpl fld="11" item="74"/>
          <tpl fld="12" item="16"/>
          <tpl fld="1" item="1"/>
          <tpl fld="17" item="0"/>
        </tpls>
      </n>
      <n v="476400">
        <tpls c="6">
          <tpl fld="7" item="2"/>
          <tpl fld="0" item="1"/>
          <tpl fld="11" item="15"/>
          <tpl fld="12" item="3"/>
          <tpl hier="44" item="2"/>
          <tpl fld="17" item="0"/>
        </tpls>
      </n>
      <n v="18919141">
        <tpls c="6">
          <tpl fld="7" item="1"/>
          <tpl fld="0" item="2"/>
          <tpl fld="11" item="2"/>
          <tpl fld="12" item="2"/>
          <tpl hier="44" item="2"/>
          <tpl fld="17" item="0"/>
        </tpls>
      </n>
      <n v="0">
        <tpls c="7">
          <tpl fld="7" item="0"/>
          <tpl fld="16" item="8"/>
          <tpl fld="0" item="0"/>
          <tpl fld="11" item="68"/>
          <tpl fld="12" item="17"/>
          <tpl fld="1" item="1"/>
          <tpl fld="17" item="0"/>
        </tpls>
      </n>
      <n v="139305">
        <tpls c="6">
          <tpl fld="7" item="1"/>
          <tpl fld="0" item="2"/>
          <tpl fld="11" item="14"/>
          <tpl fld="12" item="3"/>
          <tpl hier="44" item="2"/>
          <tpl fld="17" item="0"/>
        </tpls>
      </n>
      <n v="877000">
        <tpls c="3">
          <tpl fld="2" item="21"/>
          <tpl fld="8" item="11"/>
          <tpl fld="17" item="3"/>
        </tpls>
      </n>
      <n v="-212400">
        <tpls c="7">
          <tpl fld="7" item="0"/>
          <tpl fld="16" item="8"/>
          <tpl fld="0" item="0"/>
          <tpl fld="11" item="66"/>
          <tpl fld="12" item="13"/>
          <tpl fld="1" item="1"/>
          <tpl fld="17" item="0"/>
        </tpls>
      </n>
      <n v="0">
        <tpls c="7">
          <tpl fld="7" item="0"/>
          <tpl fld="16" item="11"/>
          <tpl fld="0" item="0"/>
          <tpl fld="11" item="12"/>
          <tpl fld="12" item="6"/>
          <tpl fld="1" item="1"/>
          <tpl fld="17" item="0"/>
        </tpls>
      </n>
      <n v="900">
        <tpls c="6">
          <tpl fld="6" item="0"/>
          <tpl hier="35" item="3"/>
          <tpl fld="11" item="1"/>
          <tpl fld="12" item="1"/>
          <tpl hier="44" item="2"/>
          <tpl fld="17" item="0"/>
        </tpls>
      </n>
      <m>
        <tpls c="7">
          <tpl fld="3" item="1"/>
          <tpl fld="16" item="10"/>
          <tpl hier="35" item="0"/>
          <tpl fld="11" item="49"/>
          <tpl fld="12" item="9"/>
          <tpl hier="44" item="2"/>
          <tpl fld="17" item="0"/>
        </tpls>
      </m>
      <m>
        <tpls c="7">
          <tpl fld="3" item="1"/>
          <tpl fld="16" item="8"/>
          <tpl hier="35" item="0"/>
          <tpl fld="11" item="32"/>
          <tpl fld="12" item="2"/>
          <tpl hier="44" item="2"/>
          <tpl fld="17" item="0"/>
        </tpls>
      </m>
      <n v="4985751">
        <tpls c="5">
          <tpl fld="6" item="0"/>
          <tpl hier="35" item="3"/>
          <tpl fld="12" item="11"/>
          <tpl hier="44" item="2"/>
          <tpl fld="17" item="0"/>
        </tpls>
      </n>
      <m>
        <tpls c="3">
          <tpl fld="2" item="8"/>
          <tpl fld="8" item="0"/>
          <tpl fld="17" item="3"/>
        </tpls>
      </m>
      <m>
        <tpls c="3">
          <tpl fld="2" item="7"/>
          <tpl fld="8" item="8"/>
          <tpl fld="17" item="3"/>
        </tpls>
      </m>
      <n v="294526">
        <tpls c="6">
          <tpl fld="7" item="1"/>
          <tpl fld="0" item="2"/>
          <tpl fld="11" item="50"/>
          <tpl fld="12" item="11"/>
          <tpl hier="44" item="2"/>
          <tpl fld="17" item="0"/>
        </tpls>
      </n>
      <m>
        <tpls c="7">
          <tpl fld="3" item="1"/>
          <tpl fld="16" item="5"/>
          <tpl hier="35" item="0"/>
          <tpl fld="11" item="6"/>
          <tpl fld="12" item="3"/>
          <tpl hier="44" item="2"/>
          <tpl fld="17" item="0"/>
        </tpls>
      </m>
      <n v="72191018">
        <tpls c="5">
          <tpl fld="7" item="2"/>
          <tpl fld="0" item="1"/>
          <tpl fld="12" item="3"/>
          <tpl hier="44" item="2"/>
          <tpl fld="17" item="0"/>
        </tpls>
      </n>
      <n v="4331799">
        <tpls c="6">
          <tpl fld="6" item="0"/>
          <tpl hier="35" item="1"/>
          <tpl fld="11" item="6"/>
          <tpl fld="10" item="2"/>
          <tpl hier="44" item="2"/>
          <tpl fld="17" item="0"/>
        </tpls>
      </n>
      <m>
        <tpls c="7">
          <tpl fld="3" item="1"/>
          <tpl fld="16" item="8"/>
          <tpl hier="35" item="0"/>
          <tpl fld="11" item="7"/>
          <tpl fld="12" item="4"/>
          <tpl hier="44" item="2"/>
          <tpl fld="17" item="0"/>
        </tpls>
      </m>
      <n v="489713">
        <tpls c="7">
          <tpl fld="7" item="0"/>
          <tpl fld="16" item="1"/>
          <tpl fld="0" item="0"/>
          <tpl fld="11" item="60"/>
          <tpl fld="12" item="20"/>
          <tpl fld="1" item="1"/>
          <tpl fld="17" item="0"/>
        </tpls>
      </n>
      <n v="211">
        <tpls c="6">
          <tpl fld="3" item="0"/>
          <tpl fld="16" item="9"/>
          <tpl hier="35" item="1"/>
          <tpl fld="12" item="15"/>
          <tpl hier="44" item="2"/>
          <tpl fld="17" item="0"/>
        </tpls>
      </n>
      <n v="55744">
        <tpls c="6">
          <tpl fld="7" item="1"/>
          <tpl fld="0" item="2"/>
          <tpl fld="11" item="32"/>
          <tpl fld="10" item="0"/>
          <tpl hier="44" item="2"/>
          <tpl fld="17" item="0"/>
        </tpls>
      </n>
      <n v="-2681526">
        <tpls c="7">
          <tpl fld="7" item="0"/>
          <tpl fld="16" item="11"/>
          <tpl fld="0" item="0"/>
          <tpl fld="11" item="56"/>
          <tpl fld="12" item="16"/>
          <tpl fld="1" item="1"/>
          <tpl fld="17" item="0"/>
        </tpls>
      </n>
      <m>
        <tpls c="6">
          <tpl fld="3" item="1"/>
          <tpl fld="16" item="4"/>
          <tpl hier="35" item="0"/>
          <tpl fld="12" item="18"/>
          <tpl hier="44" item="2"/>
          <tpl fld="17" item="0"/>
        </tpls>
      </m>
      <m>
        <tpls c="7">
          <tpl fld="3" item="1"/>
          <tpl fld="16" item="10"/>
          <tpl hier="35" item="0"/>
          <tpl fld="11" item="31"/>
          <tpl fld="12" item="3"/>
          <tpl hier="44" item="2"/>
          <tpl fld="17" item="0"/>
        </tpls>
      </m>
      <n v="405811">
        <tpls c="6">
          <tpl fld="3" item="0"/>
          <tpl fld="16" item="3"/>
          <tpl hier="35" item="1"/>
          <tpl fld="12" item="4"/>
          <tpl hier="44" item="2"/>
          <tpl fld="17" item="0"/>
        </tpls>
      </n>
      <n v="988250">
        <tpls c="3">
          <tpl fld="9" item="6"/>
          <tpl fld="15" item="2"/>
          <tpl fld="17" item="2"/>
        </tpls>
      </n>
      <n v="0">
        <tpls c="7">
          <tpl fld="7" item="0"/>
          <tpl fld="16" item="11"/>
          <tpl fld="0" item="0"/>
          <tpl fld="11" item="63"/>
          <tpl fld="12" item="13"/>
          <tpl fld="1" item="1"/>
          <tpl fld="17" item="0"/>
        </tpls>
      </n>
      <n v="938527">
        <tpls c="6">
          <tpl fld="7" item="0"/>
          <tpl fld="0" item="0"/>
          <tpl fld="11" item="43"/>
          <tpl fld="10" item="2"/>
          <tpl hier="44" item="2"/>
          <tpl fld="17" item="0"/>
        </tpls>
      </n>
      <n v="4150000">
        <tpls c="6">
          <tpl fld="7" item="2"/>
          <tpl fld="0" item="1"/>
          <tpl fld="11" item="23"/>
          <tpl fld="12" item="11"/>
          <tpl hier="44" item="2"/>
          <tpl fld="17" item="0"/>
        </tpls>
      </n>
      <n v="1154250">
        <tpls c="6">
          <tpl fld="6" item="2"/>
          <tpl hier="35" item="1"/>
          <tpl fld="11" item="27"/>
          <tpl fld="10" item="2"/>
          <tpl hier="44" item="2"/>
          <tpl fld="17" item="0"/>
        </tpls>
      </n>
      <n v="41686069">
        <tpls c="6">
          <tpl fld="7" item="1"/>
          <tpl fld="0" item="2"/>
          <tpl fld="11" item="40"/>
          <tpl fld="10" item="2"/>
          <tpl hier="44" item="2"/>
          <tpl fld="17" item="0"/>
        </tpls>
      </n>
      <n v="56943">
        <tpls c="6">
          <tpl fld="7" item="1"/>
          <tpl fld="0" item="2"/>
          <tpl fld="11" item="42"/>
          <tpl fld="12" item="16"/>
          <tpl fld="1" item="1"/>
          <tpl fld="17" item="0"/>
        </tpls>
      </n>
      <m>
        <tpls c="6">
          <tpl fld="6" item="2"/>
          <tpl hier="35" item="1"/>
          <tpl fld="11" item="24"/>
          <tpl fld="10" item="1"/>
          <tpl hier="44" item="2"/>
          <tpl fld="17" item="0"/>
        </tpls>
      </m>
      <m>
        <tpls c="7">
          <tpl fld="3" item="1"/>
          <tpl fld="16" item="3"/>
          <tpl hier="35" item="0"/>
          <tpl fld="11" item="4"/>
          <tpl fld="12" item="1"/>
          <tpl hier="44" item="2"/>
          <tpl fld="17" item="0"/>
        </tpls>
      </m>
      <n v="772520">
        <tpls c="6">
          <tpl fld="7" item="1"/>
          <tpl fld="0" item="2"/>
          <tpl fld="11" item="43"/>
          <tpl fld="12" item="3"/>
          <tpl hier="44" item="2"/>
          <tpl fld="17" item="0"/>
        </tpls>
      </n>
      <n v="0">
        <tpls c="7">
          <tpl fld="7" item="0"/>
          <tpl fld="16" item="9"/>
          <tpl fld="0" item="0"/>
          <tpl fld="11" item="12"/>
          <tpl fld="12" item="6"/>
          <tpl fld="1" item="1"/>
          <tpl fld="17" item="0"/>
        </tpls>
      </n>
      <n v="1177053">
        <tpls c="7">
          <tpl fld="3" item="0"/>
          <tpl fld="16" item="8"/>
          <tpl hier="35" item="1"/>
          <tpl fld="11" item="20"/>
          <tpl fld="12" item="2"/>
          <tpl hier="44" item="2"/>
          <tpl fld="17" item="0"/>
        </tpls>
      </n>
      <m>
        <tpls c="7">
          <tpl fld="3" item="1"/>
          <tpl fld="16" item="5"/>
          <tpl hier="35" item="0"/>
          <tpl fld="11" item="1"/>
          <tpl fld="12" item="1"/>
          <tpl hier="44" item="2"/>
          <tpl fld="17" item="0"/>
        </tpls>
      </m>
      <n v="0">
        <tpls c="6">
          <tpl fld="6" item="1"/>
          <tpl hier="35" item="1"/>
          <tpl fld="11" item="48"/>
          <tpl fld="10" item="1"/>
          <tpl hier="44" item="2"/>
          <tpl fld="17" item="0"/>
        </tpls>
      </n>
      <m>
        <tpls c="7">
          <tpl fld="3" item="1"/>
          <tpl fld="16" item="8"/>
          <tpl hier="35" item="0"/>
          <tpl fld="11" item="9"/>
          <tpl fld="12" item="4"/>
          <tpl hier="44" item="2"/>
          <tpl fld="17" item="0"/>
        </tpls>
      </m>
      <n v="400400">
        <tpls c="6">
          <tpl fld="7" item="2"/>
          <tpl fld="0" item="1"/>
          <tpl fld="11" item="17"/>
          <tpl fld="10" item="2"/>
          <tpl hier="44" item="2"/>
          <tpl fld="17" item="0"/>
        </tpls>
      </n>
      <n v="119100">
        <tpls c="6">
          <tpl fld="6" item="2"/>
          <tpl hier="35" item="1"/>
          <tpl fld="11" item="15"/>
          <tpl fld="10" item="2"/>
          <tpl hier="44" item="2"/>
          <tpl fld="17" item="0"/>
        </tpls>
      </n>
      <m>
        <tpls c="6">
          <tpl fld="3" item="1"/>
          <tpl fld="16" item="1"/>
          <tpl hier="35" item="0"/>
          <tpl fld="12" item="4"/>
          <tpl hier="44" item="2"/>
          <tpl fld="17" item="0"/>
        </tpls>
      </m>
      <n v="886099">
        <tpls c="6">
          <tpl fld="7" item="1"/>
          <tpl fld="0" item="2"/>
          <tpl fld="11" item="41"/>
          <tpl fld="10" item="0"/>
          <tpl hier="44" item="2"/>
          <tpl fld="17" item="0"/>
        </tpls>
      </n>
      <m>
        <tpls c="6">
          <tpl fld="3" item="1"/>
          <tpl fld="16" item="7"/>
          <tpl hier="35" item="0"/>
          <tpl fld="12" item="2"/>
          <tpl hier="44" item="2"/>
          <tpl fld="17" item="0"/>
        </tpls>
      </m>
      <n v="104167">
        <tpls c="7">
          <tpl fld="3" item="0"/>
          <tpl fld="16" item="4"/>
          <tpl hier="35" item="1"/>
          <tpl fld="11" item="43"/>
          <tpl fld="12" item="3"/>
          <tpl hier="44" item="2"/>
          <tpl fld="17" item="0"/>
        </tpls>
      </n>
      <m>
        <tpls c="6">
          <tpl fld="6" item="1"/>
          <tpl hier="35" item="1"/>
          <tpl fld="11" item="26"/>
          <tpl fld="10" item="0"/>
          <tpl hier="44" item="2"/>
          <tpl fld="17" item="0"/>
        </tpls>
      </m>
      <n v="119542002">
        <tpls c="6">
          <tpl fld="7" item="1"/>
          <tpl fld="0" item="2"/>
          <tpl fld="11" item="56"/>
          <tpl fld="12" item="16"/>
          <tpl fld="1" item="1"/>
          <tpl fld="17" item="0"/>
        </tpls>
      </n>
      <n v="0">
        <tpls c="7">
          <tpl fld="3" item="0"/>
          <tpl fld="16" item="4"/>
          <tpl hier="35" item="1"/>
          <tpl fld="11" item="0"/>
          <tpl fld="12" item="2"/>
          <tpl hier="44" item="2"/>
          <tpl fld="17" item="0"/>
        </tpls>
      </n>
      <n v="0">
        <tpls c="7">
          <tpl fld="7" item="0"/>
          <tpl fld="16" item="9"/>
          <tpl fld="0" item="0"/>
          <tpl fld="11" item="73"/>
          <tpl fld="12" item="0"/>
          <tpl fld="1" item="1"/>
          <tpl fld="17" item="0"/>
        </tpls>
      </n>
      <n v="30000">
        <tpls c="7">
          <tpl fld="3" item="0"/>
          <tpl fld="16" item="0"/>
          <tpl hier="35" item="1"/>
          <tpl fld="11" item="31"/>
          <tpl fld="12" item="3"/>
          <tpl hier="44" item="2"/>
          <tpl fld="17" item="0"/>
        </tpls>
      </n>
      <n v="1310000">
        <tpls c="7">
          <tpl fld="3" item="0"/>
          <tpl fld="16" item="1"/>
          <tpl hier="35" item="1"/>
          <tpl fld="11" item="37"/>
          <tpl fld="12" item="11"/>
          <tpl hier="44" item="2"/>
          <tpl fld="17" item="0"/>
        </tpls>
      </n>
      <n v="6000">
        <tpls c="7">
          <tpl fld="3" item="0"/>
          <tpl fld="16" item="1"/>
          <tpl hier="35" item="1"/>
          <tpl fld="11" item="5"/>
          <tpl fld="12" item="1"/>
          <tpl hier="44" item="2"/>
          <tpl fld="17" item="0"/>
        </tpls>
      </n>
      <m>
        <tpls c="7">
          <tpl fld="3" item="1"/>
          <tpl fld="16" item="0"/>
          <tpl hier="35" item="0"/>
          <tpl fld="11" item="25"/>
          <tpl fld="12" item="2"/>
          <tpl hier="44" item="2"/>
          <tpl fld="17" item="0"/>
        </tpls>
      </m>
      <n v="2066">
        <tpls c="6">
          <tpl fld="6" item="0"/>
          <tpl hier="35" item="1"/>
          <tpl fld="11" item="30"/>
          <tpl fld="10" item="1"/>
          <tpl hier="44" item="2"/>
          <tpl fld="17" item="0"/>
        </tpls>
      </n>
      <n v="0">
        <tpls c="6">
          <tpl fld="7" item="0"/>
          <tpl fld="16" item="5"/>
          <tpl fld="0" item="0"/>
          <tpl fld="12" item="6"/>
          <tpl fld="1" item="1"/>
          <tpl fld="17" item="0"/>
        </tpls>
      </n>
      <n v="0">
        <tpls c="6">
          <tpl fld="7" item="0"/>
          <tpl fld="16" item="5"/>
          <tpl fld="0" item="0"/>
          <tpl fld="12" item="5"/>
          <tpl fld="1" item="1"/>
          <tpl fld="17" item="0"/>
        </tpls>
      </n>
      <m>
        <tpls c="3">
          <tpl fld="5" item="8"/>
          <tpl fld="4" item="1"/>
          <tpl fld="17" item="3"/>
        </tpls>
      </m>
      <m>
        <tpls c="3">
          <tpl fld="8" item="6"/>
          <tpl fld="4" item="0"/>
          <tpl fld="17" item="3"/>
        </tpls>
      </m>
      <m>
        <tpls c="3">
          <tpl fld="2" item="6"/>
          <tpl fld="8" item="11"/>
          <tpl fld="17" item="3"/>
        </tpls>
      </m>
      <m>
        <tpls c="3">
          <tpl fld="2" item="14"/>
          <tpl fld="8" item="4"/>
          <tpl fld="17" item="3"/>
        </tpls>
      </m>
      <m>
        <tpls c="3">
          <tpl fld="2" item="18"/>
          <tpl fld="8" item="3"/>
          <tpl fld="17" item="3"/>
        </tpls>
      </m>
      <m>
        <tpls c="3">
          <tpl fld="2" item="11"/>
          <tpl fld="8" item="1"/>
          <tpl fld="17" item="3"/>
        </tpls>
      </m>
      <m>
        <tpls c="3">
          <tpl fld="2" item="5"/>
          <tpl fld="8" item="10"/>
          <tpl fld="17" item="3"/>
        </tpls>
      </m>
      <m>
        <tpls c="3">
          <tpl fld="2" item="3"/>
          <tpl fld="8" item="6"/>
          <tpl fld="17" item="3"/>
        </tpls>
      </m>
      <m>
        <tpls c="3">
          <tpl fld="2" item="17"/>
          <tpl fld="8" item="4"/>
          <tpl fld="17" item="3"/>
        </tpls>
      </m>
      <m>
        <tpls c="3">
          <tpl fld="2" item="10"/>
          <tpl fld="8" item="7"/>
          <tpl fld="17" item="3"/>
        </tpls>
      </m>
      <m>
        <tpls c="3">
          <tpl fld="2" item="3"/>
          <tpl fld="8" item="3"/>
          <tpl fld="17" item="3"/>
        </tpls>
      </m>
      <m>
        <tpls c="3">
          <tpl fld="2" item="9"/>
          <tpl fld="8" item="9"/>
          <tpl fld="17" item="3"/>
        </tpls>
      </m>
      <m>
        <tpls c="3">
          <tpl fld="2" item="11"/>
          <tpl fld="8" item="4"/>
          <tpl fld="17" item="3"/>
        </tpls>
      </m>
      <m>
        <tpls c="3">
          <tpl fld="2" item="8"/>
          <tpl fld="8" item="3"/>
          <tpl fld="17" item="3"/>
        </tpls>
      </m>
      <m>
        <tpls c="3">
          <tpl fld="2" item="8"/>
          <tpl fld="8" item="5"/>
          <tpl fld="17" item="3"/>
        </tpls>
      </m>
      <m>
        <tpls c="3">
          <tpl fld="2" item="14"/>
          <tpl fld="8" item="2"/>
          <tpl fld="17" item="3"/>
        </tpls>
      </m>
      <m>
        <tpls c="3">
          <tpl fld="2" item="18"/>
          <tpl fld="8" item="10"/>
          <tpl fld="17" item="3"/>
        </tpls>
      </m>
      <m>
        <tpls c="3">
          <tpl fld="2" item="12"/>
          <tpl fld="8" item="8"/>
          <tpl fld="17" item="3"/>
        </tpls>
      </m>
      <m>
        <tpls c="3">
          <tpl fld="2" item="7"/>
          <tpl fld="8" item="6"/>
          <tpl fld="17" item="3"/>
        </tpls>
      </m>
      <m>
        <tpls c="3">
          <tpl fld="2" item="3"/>
          <tpl fld="8" item="2"/>
          <tpl fld="17" item="3"/>
        </tpls>
      </m>
      <n v="2000000">
        <tpls c="3">
          <tpl fld="2" item="6"/>
          <tpl fld="8" item="1"/>
          <tpl fld="17" item="3"/>
        </tpls>
      </n>
      <m>
        <tpls c="3">
          <tpl fld="2" item="10"/>
          <tpl fld="8" item="3"/>
          <tpl fld="17" item="3"/>
        </tpls>
      </m>
      <m>
        <tpls c="3">
          <tpl fld="2" item="5"/>
          <tpl fld="8" item="5"/>
          <tpl fld="17" item="3"/>
        </tpls>
      </m>
      <m>
        <tpls c="3">
          <tpl fld="2" item="5"/>
          <tpl fld="8" item="11"/>
          <tpl fld="17" item="3"/>
        </tpls>
      </m>
      <m>
        <tpls c="3">
          <tpl fld="2" item="21"/>
          <tpl fld="8" item="3"/>
          <tpl fld="17" item="3"/>
        </tpls>
      </m>
      <n v="185000">
        <tpls c="3">
          <tpl fld="2" item="13"/>
          <tpl fld="8" item="3"/>
          <tpl fld="17" item="3"/>
        </tpls>
      </n>
      <m>
        <tpls c="3">
          <tpl fld="2" item="12"/>
          <tpl fld="8" item="2"/>
          <tpl fld="17" item="3"/>
        </tpls>
      </m>
      <m>
        <tpls c="3">
          <tpl fld="2" item="6"/>
          <tpl fld="8" item="5"/>
          <tpl fld="17" item="3"/>
        </tpls>
      </m>
      <m>
        <tpls c="3">
          <tpl fld="2" item="6"/>
          <tpl fld="8" item="6"/>
          <tpl fld="17" item="3"/>
        </tpls>
      </m>
      <m>
        <tpls c="3">
          <tpl fld="2" item="2"/>
          <tpl fld="8" item="9"/>
          <tpl fld="17" item="3"/>
        </tpls>
      </m>
      <m>
        <tpls c="3">
          <tpl fld="2" item="3"/>
          <tpl fld="8" item="5"/>
          <tpl fld="17" item="3"/>
        </tpls>
      </m>
      <m>
        <tpls c="3">
          <tpl fld="2" item="11"/>
          <tpl fld="8" item="10"/>
          <tpl fld="17" item="3"/>
        </tpls>
      </m>
      <m>
        <tpls c="3">
          <tpl fld="2" item="8"/>
          <tpl fld="8" item="2"/>
          <tpl fld="17" item="3"/>
        </tpls>
      </m>
      <n v="230861452">
        <tpls c="6">
          <tpl fld="7" item="1"/>
          <tpl fld="0" item="2"/>
          <tpl fld="11" item="49"/>
          <tpl fld="10" item="2"/>
          <tpl hier="44" item="2"/>
          <tpl fld="17" item="0"/>
        </tpls>
      </n>
      <n v="0">
        <tpls c="6">
          <tpl fld="7" item="1"/>
          <tpl fld="0" item="2"/>
          <tpl fld="11" item="59"/>
          <tpl fld="10" item="3"/>
          <tpl hier="44" item="2"/>
          <tpl fld="17" item="0"/>
        </tpls>
      </n>
      <n v="290004">
        <tpls c="6">
          <tpl fld="7" item="2"/>
          <tpl fld="0" item="1"/>
          <tpl fld="11" item="50"/>
          <tpl fld="12" item="11"/>
          <tpl hier="44" item="2"/>
          <tpl fld="17" item="0"/>
        </tpls>
      </n>
      <n v="1218953">
        <tpls c="6">
          <tpl fld="7" item="2"/>
          <tpl fld="0" item="1"/>
          <tpl fld="11" item="19"/>
          <tpl fld="12" item="2"/>
          <tpl hier="44" item="2"/>
          <tpl fld="17" item="0"/>
        </tpls>
      </n>
      <n v="399809446">
        <tpls c="5">
          <tpl fld="7" item="2"/>
          <tpl fld="0" item="1"/>
          <tpl fld="12" item="2"/>
          <tpl hier="44" item="2"/>
          <tpl fld="17" item="0"/>
        </tpls>
      </n>
      <n v="17192000">
        <tpls c="6">
          <tpl fld="7" item="2"/>
          <tpl fld="0" item="1"/>
          <tpl fld="11" item="33"/>
          <tpl fld="12" item="3"/>
          <tpl hier="44" item="2"/>
          <tpl fld="17" item="0"/>
        </tpls>
      </n>
      <n v="7561">
        <tpls c="6">
          <tpl fld="7" item="2"/>
          <tpl fld="0" item="1"/>
          <tpl fld="11" item="25"/>
          <tpl fld="12" item="2"/>
          <tpl hier="44" item="2"/>
          <tpl fld="17" item="0"/>
        </tpls>
      </n>
      <n v="17474750">
        <tpls c="6">
          <tpl fld="7" item="2"/>
          <tpl fld="0" item="1"/>
          <tpl fld="11" item="20"/>
          <tpl fld="12" item="2"/>
          <tpl hier="44" item="2"/>
          <tpl fld="17" item="0"/>
        </tpls>
      </n>
      <n v="5615">
        <tpls c="5">
          <tpl fld="7" item="2"/>
          <tpl fld="0" item="1"/>
          <tpl fld="12" item="15"/>
          <tpl hier="44" item="2"/>
          <tpl fld="17" item="0"/>
        </tpls>
      </n>
      <n v="3550">
        <tpls c="6">
          <tpl fld="7" item="2"/>
          <tpl fld="0" item="1"/>
          <tpl fld="11" item="30"/>
          <tpl fld="12" item="15"/>
          <tpl hier="44" item="2"/>
          <tpl fld="17" item="0"/>
        </tpls>
      </n>
      <n v="0">
        <tpls c="7">
          <tpl fld="3" item="0"/>
          <tpl fld="16" item="8"/>
          <tpl hier="35" item="1"/>
          <tpl fld="11" item="0"/>
          <tpl fld="12" item="2"/>
          <tpl hier="44" item="2"/>
          <tpl fld="17" item="0"/>
        </tpls>
      </n>
      <n v="347">
        <tpls c="7">
          <tpl fld="3" item="0"/>
          <tpl fld="16" item="0"/>
          <tpl hier="35" item="1"/>
          <tpl fld="11" item="30"/>
          <tpl fld="12" item="15"/>
          <tpl hier="44" item="2"/>
          <tpl fld="17" item="0"/>
        </tpls>
      </n>
      <m>
        <tpls c="7">
          <tpl fld="3" item="1"/>
          <tpl fld="16" item="5"/>
          <tpl hier="35" item="0"/>
          <tpl fld="11" item="7"/>
          <tpl fld="12" item="4"/>
          <tpl hier="44" item="2"/>
          <tpl fld="17" item="0"/>
        </tpls>
      </m>
      <m>
        <tpls c="7">
          <tpl fld="3" item="1"/>
          <tpl fld="16" item="4"/>
          <tpl hier="35" item="0"/>
          <tpl fld="11" item="20"/>
          <tpl fld="12" item="2"/>
          <tpl hier="44" item="2"/>
          <tpl fld="17" item="0"/>
        </tpls>
      </m>
      <m>
        <tpls c="6">
          <tpl fld="3" item="1"/>
          <tpl fld="16" item="7"/>
          <tpl hier="35" item="0"/>
          <tpl fld="12" item="9"/>
          <tpl hier="44" item="2"/>
          <tpl fld="17" item="0"/>
        </tpls>
      </m>
      <m>
        <tpls c="7">
          <tpl fld="3" item="1"/>
          <tpl fld="16" item="0"/>
          <tpl hier="35" item="0"/>
          <tpl fld="11" item="34"/>
          <tpl fld="12" item="15"/>
          <tpl hier="44" item="2"/>
          <tpl fld="17" item="0"/>
        </tpls>
      </m>
      <m>
        <tpls c="6">
          <tpl fld="7" item="2"/>
          <tpl fld="0" item="1"/>
          <tpl fld="11" item="24"/>
          <tpl fld="10" item="1"/>
          <tpl hier="44" item="2"/>
          <tpl fld="17" item="0"/>
        </tpls>
      </m>
      <n v="305661">
        <tpls c="6">
          <tpl fld="6" item="3"/>
          <tpl hier="35" item="1"/>
          <tpl fld="11" item="19"/>
          <tpl fld="10" item="0"/>
          <tpl hier="44" item="2"/>
          <tpl fld="17" item="0"/>
        </tpls>
      </n>
      <n v="32853">
        <tpls c="6">
          <tpl fld="6" item="3"/>
          <tpl hier="35" item="1"/>
          <tpl fld="11" item="54"/>
          <tpl fld="10" item="1"/>
          <tpl hier="44" item="2"/>
          <tpl fld="17" item="0"/>
        </tpls>
      </n>
      <n v="22226037">
        <tpls c="6">
          <tpl fld="7" item="1"/>
          <tpl fld="0" item="2"/>
          <tpl fld="11" item="35"/>
          <tpl fld="10" item="0"/>
          <tpl hier="44" item="2"/>
          <tpl fld="17" item="0"/>
        </tpls>
      </n>
      <n v="0">
        <tpls c="5">
          <tpl fld="7" item="3"/>
          <tpl fld="0" item="2"/>
          <tpl fld="12" item="22"/>
          <tpl fld="1" item="1"/>
          <tpl fld="17" item="0"/>
        </tpls>
      </n>
      <n v="-1528">
        <tpls c="7">
          <tpl fld="7" item="0"/>
          <tpl fld="16" item="2"/>
          <tpl fld="0" item="0"/>
          <tpl fld="11" item="71"/>
          <tpl fld="12" item="13"/>
          <tpl fld="1" item="1"/>
          <tpl fld="17" item="0"/>
        </tpls>
      </n>
      <n v="0">
        <tpls c="7">
          <tpl fld="7" item="0"/>
          <tpl fld="16" item="7"/>
          <tpl fld="0" item="0"/>
          <tpl fld="11" item="63"/>
          <tpl fld="12" item="13"/>
          <tpl fld="1" item="1"/>
          <tpl fld="17" item="0"/>
        </tpls>
      </n>
      <n v="7839">
        <tpls c="7">
          <tpl fld="7" item="0"/>
          <tpl fld="16" item="7"/>
          <tpl fld="0" item="0"/>
          <tpl fld="11" item="57"/>
          <tpl fld="12" item="7"/>
          <tpl fld="1" item="1"/>
          <tpl fld="17" item="0"/>
        </tpls>
      </n>
      <n v="0">
        <tpls c="7">
          <tpl fld="7" item="0"/>
          <tpl fld="16" item="7"/>
          <tpl fld="0" item="0"/>
          <tpl fld="11" item="12"/>
          <tpl fld="12" item="6"/>
          <tpl fld="1" item="1"/>
          <tpl fld="17" item="0"/>
        </tpls>
      </n>
      <n v="1935">
        <tpls c="7">
          <tpl fld="7" item="0"/>
          <tpl fld="16" item="3"/>
          <tpl fld="0" item="0"/>
          <tpl fld="11" item="72"/>
          <tpl fld="12" item="0"/>
          <tpl fld="1" item="1"/>
          <tpl fld="17" item="0"/>
        </tpls>
      </n>
      <n v="0">
        <tpls c="7">
          <tpl fld="7" item="0"/>
          <tpl fld="16" item="1"/>
          <tpl fld="0" item="0"/>
          <tpl fld="11" item="13"/>
          <tpl fld="12" item="5"/>
          <tpl fld="1" item="1"/>
          <tpl fld="17" item="0"/>
        </tpls>
      </n>
      <n v="218894462">
        <tpls c="7">
          <tpl fld="7" item="0"/>
          <tpl hier="10" item="4294967295"/>
          <tpl fld="0" item="0"/>
          <tpl fld="11" item="56"/>
          <tpl fld="12" item="16"/>
          <tpl fld="1" item="1"/>
          <tpl fld="17" item="0"/>
        </tpls>
      </n>
      <n v="55728911">
        <tpls c="7">
          <tpl fld="7" item="0"/>
          <tpl fld="16" item="0"/>
          <tpl fld="0" item="0"/>
          <tpl fld="11" item="47"/>
          <tpl fld="12" item="10"/>
          <tpl fld="1" item="1"/>
          <tpl fld="17" item="0"/>
        </tpls>
      </n>
      <n v="0">
        <tpls c="5">
          <tpl fld="7" item="1"/>
          <tpl fld="0" item="2"/>
          <tpl fld="12" item="22"/>
          <tpl fld="1" item="1"/>
          <tpl fld="17" item="0"/>
        </tpls>
      </n>
      <n v="-477952">
        <tpls c="7">
          <tpl fld="7" item="0"/>
          <tpl fld="16" item="3"/>
          <tpl fld="0" item="0"/>
          <tpl fld="11" item="55"/>
          <tpl fld="12" item="13"/>
          <tpl fld="1" item="1"/>
          <tpl fld="17" item="0"/>
        </tpls>
      </n>
      <n v="126859046">
        <tpls c="7">
          <tpl fld="7" item="0"/>
          <tpl fld="16" item="0"/>
          <tpl fld="0" item="0"/>
          <tpl fld="11" item="12"/>
          <tpl fld="12" item="6"/>
          <tpl fld="1" item="1"/>
          <tpl fld="17" item="0"/>
        </tpls>
      </n>
      <n v="0">
        <tpls c="6">
          <tpl fld="7" item="0"/>
          <tpl fld="16" item="9"/>
          <tpl fld="0" item="0"/>
          <tpl fld="12" item="17"/>
          <tpl fld="1" item="1"/>
          <tpl fld="17" item="0"/>
        </tpls>
      </n>
      <n v="123732839">
        <tpls c="6">
          <tpl fld="7" item="1"/>
          <tpl fld="0" item="2"/>
          <tpl fld="11" item="55"/>
          <tpl fld="12" item="13"/>
          <tpl fld="1" item="1"/>
          <tpl fld="17" item="0"/>
        </tpls>
      </n>
      <n v="129368378">
        <tpls c="6">
          <tpl fld="7" item="0"/>
          <tpl fld="16" item="0"/>
          <tpl fld="0" item="0"/>
          <tpl fld="12" item="16"/>
          <tpl fld="1" item="1"/>
          <tpl fld="17" item="0"/>
        </tpls>
      </n>
      <n v="98231476">
        <tpls c="7">
          <tpl fld="7" item="0"/>
          <tpl fld="16" item="0"/>
          <tpl fld="0" item="0"/>
          <tpl fld="11" item="58"/>
          <tpl fld="12" item="19"/>
          <tpl fld="1" item="1"/>
          <tpl fld="17" item="0"/>
        </tpls>
      </n>
      <n v="292646501">
        <tpls c="7">
          <tpl fld="7" item="0"/>
          <tpl hier="10" item="4294967295"/>
          <tpl fld="0" item="0"/>
          <tpl fld="11" item="29"/>
          <tpl fld="12" item="8"/>
          <tpl fld="1" item="1"/>
          <tpl fld="17" item="0"/>
        </tpls>
      </n>
      <n v="-235048">
        <tpls c="7">
          <tpl fld="7" item="0"/>
          <tpl fld="16" item="2"/>
          <tpl fld="0" item="0"/>
          <tpl fld="11" item="62"/>
          <tpl fld="12" item="13"/>
          <tpl fld="1" item="1"/>
          <tpl fld="17" item="0"/>
        </tpls>
      </n>
      <n v="-6854100">
        <tpls c="7">
          <tpl fld="7" item="0"/>
          <tpl fld="16" item="3"/>
          <tpl fld="0" item="0"/>
          <tpl fld="11" item="66"/>
          <tpl fld="12" item="13"/>
          <tpl fld="1" item="1"/>
          <tpl fld="17" item="0"/>
        </tpls>
      </n>
      <n v="36416605">
        <tpls c="6">
          <tpl fld="7" item="3"/>
          <tpl fld="0" item="2"/>
          <tpl fld="11" item="21"/>
          <tpl fld="12" item="10"/>
          <tpl fld="1" item="1"/>
          <tpl fld="17" item="0"/>
        </tpls>
      </n>
      <n v="119915511">
        <tpls c="5">
          <tpl fld="7" item="1"/>
          <tpl fld="0" item="2"/>
          <tpl fld="12" item="16"/>
          <tpl fld="1" item="1"/>
          <tpl fld="17" item="0"/>
        </tpls>
      </n>
      <n v="-1215">
        <tpls c="7">
          <tpl fld="7" item="0"/>
          <tpl fld="16" item="1"/>
          <tpl fld="0" item="0"/>
          <tpl fld="11" item="70"/>
          <tpl fld="12" item="20"/>
          <tpl fld="1" item="1"/>
          <tpl fld="17" item="0"/>
        </tpls>
      </n>
      <n v="63570">
        <tpls c="7">
          <tpl fld="7" item="0"/>
          <tpl fld="16" item="9"/>
          <tpl fld="0" item="0"/>
          <tpl fld="11" item="57"/>
          <tpl fld="12" item="7"/>
          <tpl fld="1" item="1"/>
          <tpl fld="17" item="0"/>
        </tpls>
      </n>
      <n v="118946330">
        <tpls c="7">
          <tpl fld="7" item="0"/>
          <tpl hier="10" item="4294967295"/>
          <tpl fld="0" item="0"/>
          <tpl fld="11" item="55"/>
          <tpl fld="12" item="13"/>
          <tpl fld="1" item="1"/>
          <tpl fld="17" item="0"/>
        </tpls>
      </n>
      <n v="0">
        <tpls c="7">
          <tpl fld="7" item="0"/>
          <tpl fld="16" item="2"/>
          <tpl fld="0" item="0"/>
          <tpl fld="11" item="12"/>
          <tpl fld="12" item="6"/>
          <tpl fld="1" item="1"/>
          <tpl fld="17" item="0"/>
        </tpls>
      </n>
      <n v="80295322">
        <tpls c="7">
          <tpl fld="7" item="0"/>
          <tpl fld="16" item="7"/>
          <tpl fld="0" item="0"/>
          <tpl fld="11" item="56"/>
          <tpl fld="12" item="16"/>
          <tpl fld="1" item="1"/>
          <tpl fld="17" item="0"/>
        </tpls>
      </n>
      <n v="149784">
        <tpls c="6">
          <tpl fld="7" item="0"/>
          <tpl fld="16" item="2"/>
          <tpl fld="0" item="0"/>
          <tpl fld="12" item="7"/>
          <tpl fld="1" item="1"/>
          <tpl fld="17" item="0"/>
        </tpls>
      </n>
      <n v="0">
        <tpls c="5">
          <tpl fld="7" item="3"/>
          <tpl fld="0" item="2"/>
          <tpl fld="12" item="17"/>
          <tpl fld="1" item="1"/>
          <tpl fld="17" item="0"/>
        </tpls>
      </n>
      <n v="292646501">
        <tpls c="6">
          <tpl fld="7" item="1"/>
          <tpl fld="0" item="2"/>
          <tpl fld="11" item="29"/>
          <tpl fld="12" item="8"/>
          <tpl fld="1" item="1"/>
          <tpl fld="17" item="0"/>
        </tpls>
      </n>
      <n v="72000">
        <tpls c="6">
          <tpl fld="7" item="2"/>
          <tpl fld="0" item="1"/>
          <tpl fld="11" item="5"/>
          <tpl fld="10" item="3"/>
          <tpl hier="44" item="2"/>
          <tpl fld="17" item="0"/>
        </tpls>
      </n>
      <n v="312501">
        <tpls c="6">
          <tpl fld="6" item="1"/>
          <tpl hier="35" item="1"/>
          <tpl fld="11" item="43"/>
          <tpl fld="10" item="2"/>
          <tpl hier="44" item="2"/>
          <tpl fld="17" item="0"/>
        </tpls>
      </n>
      <n v="90000">
        <tpls c="6">
          <tpl fld="6" item="2"/>
          <tpl hier="35" item="1"/>
          <tpl fld="11" item="31"/>
          <tpl fld="10" item="2"/>
          <tpl hier="44" item="2"/>
          <tpl fld="17" item="0"/>
        </tpls>
      </n>
      <n v="3930000">
        <tpls c="6">
          <tpl fld="6" item="3"/>
          <tpl hier="35" item="1"/>
          <tpl fld="11" item="37"/>
          <tpl fld="10" item="2"/>
          <tpl hier="44" item="2"/>
          <tpl fld="17" item="0"/>
        </tpls>
      </n>
      <n v="1225000">
        <tpls c="6">
          <tpl fld="6" item="2"/>
          <tpl hier="35" item="1"/>
          <tpl fld="11" item="23"/>
          <tpl fld="10" item="2"/>
          <tpl hier="44" item="2"/>
          <tpl fld="17" item="0"/>
        </tpls>
      </n>
      <n v="1509000">
        <tpls c="6">
          <tpl fld="6" item="2"/>
          <tpl hier="35" item="1"/>
          <tpl fld="11" item="16"/>
          <tpl fld="10" item="2"/>
          <tpl hier="44" item="2"/>
          <tpl fld="17" item="0"/>
        </tpls>
      </n>
      <n v="0">
        <tpls c="7">
          <tpl fld="7" item="0"/>
          <tpl fld="16" item="2"/>
          <tpl fld="0" item="0"/>
          <tpl fld="11" item="70"/>
          <tpl fld="12" item="20"/>
          <tpl fld="1" item="1"/>
          <tpl fld="17" item="0"/>
        </tpls>
      </n>
      <n v="0">
        <tpls c="7">
          <tpl fld="7" item="0"/>
          <tpl fld="16" item="5"/>
          <tpl fld="0" item="0"/>
          <tpl fld="11" item="70"/>
          <tpl fld="12" item="20"/>
          <tpl fld="1" item="1"/>
          <tpl fld="17" item="0"/>
        </tpls>
      </n>
      <n v="418525">
        <tpls c="7">
          <tpl fld="3" item="0"/>
          <tpl fld="16" item="10"/>
          <tpl hier="35" item="1"/>
          <tpl fld="11" item="22"/>
          <tpl fld="12" item="4"/>
          <tpl hier="44" item="2"/>
          <tpl fld="17" item="0"/>
        </tpls>
      </n>
      <m>
        <tpls c="7">
          <tpl fld="3" item="1"/>
          <tpl fld="16" item="3"/>
          <tpl hier="35" item="0"/>
          <tpl fld="11" item="22"/>
          <tpl fld="12" item="4"/>
          <tpl hier="44" item="2"/>
          <tpl fld="17" item="0"/>
        </tpls>
      </m>
      <m>
        <tpls c="7">
          <tpl fld="3" item="1"/>
          <tpl fld="16" item="6"/>
          <tpl hier="35" item="0"/>
          <tpl fld="11" item="22"/>
          <tpl fld="12" item="4"/>
          <tpl hier="44" item="2"/>
          <tpl fld="17" item="0"/>
        </tpls>
      </m>
      <n v="440332">
        <tpls c="6">
          <tpl fld="3" item="0"/>
          <tpl fld="16" item="11"/>
          <tpl hier="35" item="1"/>
          <tpl fld="12" item="4"/>
          <tpl hier="44" item="2"/>
          <tpl fld="17" item="0"/>
        </tpls>
      </n>
      <n v="10784958">
        <tpls c="7">
          <tpl fld="3" item="0"/>
          <tpl fld="16" item="11"/>
          <tpl hier="35" item="1"/>
          <tpl fld="11" item="18"/>
          <tpl fld="12" item="2"/>
          <tpl hier="44" item="2"/>
          <tpl fld="17" item="0"/>
        </tpls>
      </n>
      <n v="5374908">
        <tpls c="6">
          <tpl fld="3" item="0"/>
          <tpl fld="16" item="11"/>
          <tpl hier="35" item="1"/>
          <tpl fld="12" item="18"/>
          <tpl hier="44" item="2"/>
          <tpl fld="17" item="0"/>
        </tpls>
      </n>
      <n v="97750">
        <tpls c="7">
          <tpl fld="3" item="0"/>
          <tpl fld="16" item="11"/>
          <tpl hier="35" item="1"/>
          <tpl fld="11" item="39"/>
          <tpl fld="12" item="3"/>
          <tpl hier="44" item="2"/>
          <tpl fld="17" item="0"/>
        </tpls>
      </n>
      <m>
        <tpls c="7">
          <tpl fld="3" item="1"/>
          <tpl fld="16" item="11"/>
          <tpl hier="35" item="0"/>
          <tpl fld="11" item="34"/>
          <tpl fld="12" item="15"/>
          <tpl hier="44" item="2"/>
          <tpl fld="17" item="0"/>
        </tpls>
      </m>
      <m>
        <tpls c="7">
          <tpl fld="3" item="1"/>
          <tpl fld="16" item="11"/>
          <tpl hier="35" item="0"/>
          <tpl fld="11" item="16"/>
          <tpl fld="12" item="3"/>
          <tpl hier="44" item="2"/>
          <tpl fld="17" item="0"/>
        </tpls>
      </m>
      <m>
        <tpls c="7">
          <tpl fld="3" item="1"/>
          <tpl fld="16" item="11"/>
          <tpl hier="35" item="0"/>
          <tpl fld="11" item="17"/>
          <tpl fld="12" item="3"/>
          <tpl hier="44" item="2"/>
          <tpl fld="17" item="0"/>
        </tpls>
      </m>
      <m>
        <tpls c="7">
          <tpl fld="3" item="1"/>
          <tpl fld="16" item="11"/>
          <tpl hier="35" item="0"/>
          <tpl fld="11" item="41"/>
          <tpl fld="12" item="2"/>
          <tpl hier="44" item="2"/>
          <tpl fld="17" item="0"/>
        </tpls>
      </m>
      <m>
        <tpls c="6">
          <tpl fld="3" item="1"/>
          <tpl fld="16" item="11"/>
          <tpl hier="35" item="0"/>
          <tpl fld="12" item="18"/>
          <tpl hier="44" item="2"/>
          <tpl fld="17" item="0"/>
        </tpls>
      </m>
      <n v="0">
        <tpls c="7">
          <tpl fld="7" item="0"/>
          <tpl fld="16" item="5"/>
          <tpl fld="0" item="0"/>
          <tpl fld="11" item="73"/>
          <tpl fld="12" item="0"/>
          <tpl fld="1" item="1"/>
          <tpl fld="17" item="0"/>
        </tpls>
      </n>
      <n v="885875">
        <tpls c="6">
          <tpl fld="7" item="3"/>
          <tpl fld="0" item="2"/>
          <tpl fld="11" item="73"/>
          <tpl fld="12" item="0"/>
          <tpl fld="1" item="1"/>
          <tpl fld="17" item="0"/>
        </tpls>
      </n>
      <n v="39700">
        <tpls c="7">
          <tpl fld="3" item="0"/>
          <tpl fld="16" item="1"/>
          <tpl hier="35" item="1"/>
          <tpl fld="11" item="15"/>
          <tpl fld="12" item="3"/>
          <tpl hier="44" item="2"/>
          <tpl fld="17" item="0"/>
        </tpls>
      </n>
      <n v="39700">
        <tpls c="7">
          <tpl fld="3" item="0"/>
          <tpl fld="16" item="7"/>
          <tpl hier="35" item="1"/>
          <tpl fld="11" item="15"/>
          <tpl fld="12" item="3"/>
          <tpl hier="44" item="2"/>
          <tpl fld="17" item="0"/>
        </tpls>
      </n>
      <m>
        <tpls c="7">
          <tpl fld="3" item="1"/>
          <tpl fld="16" item="6"/>
          <tpl hier="35" item="0"/>
          <tpl fld="11" item="15"/>
          <tpl fld="12" item="3"/>
          <tpl hier="44" item="2"/>
          <tpl fld="17" item="0"/>
        </tpls>
      </m>
      <n v="39700">
        <tpls c="7">
          <tpl fld="3" item="0"/>
          <tpl fld="16" item="11"/>
          <tpl hier="35" item="1"/>
          <tpl fld="11" item="15"/>
          <tpl fld="12" item="3"/>
          <tpl hier="44" item="2"/>
          <tpl fld="17" item="0"/>
        </tpls>
      </n>
      <n v="39700">
        <tpls c="7">
          <tpl fld="3" item="0"/>
          <tpl fld="16" item="4"/>
          <tpl hier="35" item="1"/>
          <tpl fld="11" item="15"/>
          <tpl fld="12" item="3"/>
          <tpl hier="44" item="2"/>
          <tpl fld="17" item="0"/>
        </tpls>
      </n>
      <m>
        <tpls c="7">
          <tpl fld="3" item="1"/>
          <tpl fld="16" item="11"/>
          <tpl hier="35" item="0"/>
          <tpl fld="11" item="15"/>
          <tpl fld="12" item="3"/>
          <tpl hier="44" item="2"/>
          <tpl fld="17" item="0"/>
        </tpls>
      </m>
      <n v="39700">
        <tpls c="7">
          <tpl fld="3" item="0"/>
          <tpl fld="16" item="10"/>
          <tpl hier="35" item="1"/>
          <tpl fld="11" item="15"/>
          <tpl fld="12" item="3"/>
          <tpl hier="44" item="2"/>
          <tpl fld="17" item="0"/>
        </tpls>
      </n>
      <m>
        <tpls c="7">
          <tpl fld="3" item="1"/>
          <tpl fld="16" item="9"/>
          <tpl hier="35" item="0"/>
          <tpl fld="11" item="15"/>
          <tpl fld="12" item="3"/>
          <tpl hier="44" item="2"/>
          <tpl fld="17" item="0"/>
        </tpls>
      </m>
      <m>
        <tpls c="7">
          <tpl fld="3" item="1"/>
          <tpl fld="16" item="1"/>
          <tpl hier="35" item="0"/>
          <tpl fld="11" item="14"/>
          <tpl fld="12" item="3"/>
          <tpl hier="44" item="2"/>
          <tpl fld="17" item="0"/>
        </tpls>
      </m>
      <m>
        <tpls c="7">
          <tpl fld="3" item="1"/>
          <tpl fld="16" item="3"/>
          <tpl hier="35" item="0"/>
          <tpl fld="11" item="14"/>
          <tpl fld="12" item="3"/>
          <tpl hier="44" item="2"/>
          <tpl fld="17" item="0"/>
        </tpls>
      </m>
      <n v="0">
        <tpls c="6">
          <tpl fld="7" item="0"/>
          <tpl fld="16" item="2"/>
          <tpl fld="0" item="0"/>
          <tpl fld="12" item="5"/>
          <tpl fld="1" item="1"/>
          <tpl fld="17" item="0"/>
        </tpls>
      </n>
      <n v="97123">
        <tpls c="7">
          <tpl fld="7" item="0"/>
          <tpl fld="16" item="2"/>
          <tpl fld="0" item="0"/>
          <tpl fld="11" item="57"/>
          <tpl fld="12" item="7"/>
          <tpl fld="1" item="1"/>
          <tpl fld="17" item="0"/>
        </tpls>
      </n>
      <n v="0">
        <tpls c="6">
          <tpl fld="7" item="0"/>
          <tpl fld="16" item="2"/>
          <tpl fld="0" item="0"/>
          <tpl fld="12" item="17"/>
          <tpl fld="1" item="1"/>
          <tpl fld="17" item="0"/>
        </tpls>
      </n>
      <n v="-48623">
        <tpls c="7">
          <tpl fld="7" item="0"/>
          <tpl fld="16" item="2"/>
          <tpl fld="0" item="0"/>
          <tpl fld="11" item="42"/>
          <tpl fld="12" item="16"/>
          <tpl fld="1" item="1"/>
          <tpl fld="17" item="0"/>
        </tpls>
      </n>
      <n v="-2739614">
        <tpls c="6">
          <tpl fld="7" item="0"/>
          <tpl fld="16" item="2"/>
          <tpl fld="0" item="0"/>
          <tpl fld="12" item="16"/>
          <tpl fld="1" item="1"/>
          <tpl fld="17" item="0"/>
        </tpls>
      </n>
      <n v="0">
        <tpls c="7">
          <tpl fld="7" item="0"/>
          <tpl fld="16" item="2"/>
          <tpl fld="0" item="0"/>
          <tpl fld="11" item="53"/>
          <tpl fld="12" item="14"/>
          <tpl fld="1" item="1"/>
          <tpl fld="17" item="0"/>
        </tpls>
      </n>
      <n v="52661">
        <tpls c="7">
          <tpl fld="7" item="0"/>
          <tpl fld="16" item="2"/>
          <tpl fld="0" item="0"/>
          <tpl fld="11" item="51"/>
          <tpl fld="12" item="7"/>
          <tpl fld="1" item="1"/>
          <tpl fld="17" item="0"/>
        </tpls>
      </n>
      <m>
        <tpls c="7">
          <tpl fld="3" item="1"/>
          <tpl fld="16" item="4"/>
          <tpl hier="35" item="0"/>
          <tpl fld="11" item="37"/>
          <tpl fld="12" item="11"/>
          <tpl hier="44" item="2"/>
          <tpl fld="17" item="0"/>
        </tpls>
      </m>
      <n v="1310000">
        <tpls c="7">
          <tpl fld="3" item="0"/>
          <tpl fld="16" item="7"/>
          <tpl hier="35" item="1"/>
          <tpl fld="11" item="37"/>
          <tpl fld="12" item="11"/>
          <tpl hier="44" item="2"/>
          <tpl fld="17" item="0"/>
        </tpls>
      </n>
      <m>
        <tpls c="7">
          <tpl fld="3" item="1"/>
          <tpl fld="16" item="10"/>
          <tpl hier="35" item="0"/>
          <tpl fld="11" item="37"/>
          <tpl fld="12" item="11"/>
          <tpl hier="44" item="2"/>
          <tpl fld="17" item="0"/>
        </tpls>
      </m>
      <m>
        <tpls c="7">
          <tpl fld="3" item="1"/>
          <tpl hier="10" item="4294967295"/>
          <tpl hier="35" item="0"/>
          <tpl fld="11" item="37"/>
          <tpl fld="12" item="11"/>
          <tpl hier="44" item="2"/>
          <tpl fld="17" item="0"/>
        </tpls>
      </m>
      <m>
        <tpls c="7">
          <tpl fld="3" item="1"/>
          <tpl fld="16" item="7"/>
          <tpl hier="35" item="0"/>
          <tpl fld="11" item="37"/>
          <tpl fld="12" item="11"/>
          <tpl hier="44" item="2"/>
          <tpl fld="17" item="0"/>
        </tpls>
      </m>
      <n v="1310000">
        <tpls c="7">
          <tpl fld="3" item="0"/>
          <tpl fld="16" item="9"/>
          <tpl hier="35" item="1"/>
          <tpl fld="11" item="37"/>
          <tpl fld="12" item="11"/>
          <tpl hier="44" item="2"/>
          <tpl fld="17" item="0"/>
        </tpls>
      </n>
      <n v="1310000">
        <tpls c="7">
          <tpl fld="3" item="0"/>
          <tpl fld="16" item="2"/>
          <tpl hier="35" item="1"/>
          <tpl fld="11" item="37"/>
          <tpl fld="12" item="11"/>
          <tpl hier="44" item="2"/>
          <tpl fld="17" item="0"/>
        </tpls>
      </n>
      <m>
        <tpls c="7">
          <tpl fld="3" item="1"/>
          <tpl fld="16" item="3"/>
          <tpl hier="35" item="0"/>
          <tpl fld="11" item="37"/>
          <tpl fld="12" item="11"/>
          <tpl hier="44" item="2"/>
          <tpl fld="17" item="0"/>
        </tpls>
      </m>
      <n v="-63129">
        <tpls c="7">
          <tpl fld="7" item="0"/>
          <tpl fld="16" item="6"/>
          <tpl fld="0" item="0"/>
          <tpl fld="11" item="60"/>
          <tpl fld="12" item="20"/>
          <tpl fld="1" item="1"/>
          <tpl fld="17" item="0"/>
        </tpls>
      </n>
      <n v="0">
        <tpls c="6">
          <tpl fld="7" item="0"/>
          <tpl fld="16" item="6"/>
          <tpl fld="0" item="0"/>
          <tpl fld="12" item="12"/>
          <tpl fld="1" item="1"/>
          <tpl fld="17" item="0"/>
        </tpls>
      </n>
      <n v="0">
        <tpls c="7">
          <tpl fld="7" item="0"/>
          <tpl fld="16" item="7"/>
          <tpl fld="0" item="0"/>
          <tpl fld="11" item="76"/>
          <tpl fld="12" item="14"/>
          <tpl fld="1" item="1"/>
          <tpl fld="17" item="0"/>
        </tpls>
      </n>
      <n v="12213929">
        <tpls c="7">
          <tpl fld="7" item="0"/>
          <tpl fld="16" item="0"/>
          <tpl fld="0" item="0"/>
          <tpl fld="11" item="76"/>
          <tpl fld="12" item="14"/>
          <tpl fld="1" item="1"/>
          <tpl fld="17" item="0"/>
        </tpls>
      </n>
      <n v="7820000">
        <tpls c="3">
          <tpl fld="8" item="8"/>
          <tpl fld="4" item="3"/>
          <tpl fld="17" item="3"/>
        </tpls>
      </n>
      <n v="1260000">
        <tpls c="3">
          <tpl fld="8" item="6"/>
          <tpl fld="4" item="3"/>
          <tpl fld="17" item="3"/>
        </tpls>
      </n>
      <n v="0">
        <tpls c="7">
          <tpl fld="7" item="0"/>
          <tpl fld="16" item="6"/>
          <tpl fld="0" item="0"/>
          <tpl fld="11" item="21"/>
          <tpl fld="12" item="10"/>
          <tpl fld="1" item="1"/>
          <tpl fld="17" item="0"/>
        </tpls>
      </n>
      <n v="0">
        <tpls c="7">
          <tpl fld="7" item="0"/>
          <tpl fld="16" item="11"/>
          <tpl fld="0" item="0"/>
          <tpl fld="11" item="68"/>
          <tpl fld="12" item="17"/>
          <tpl fld="1" item="1"/>
          <tpl fld="17" item="0"/>
        </tpls>
      </n>
      <n v="-2473102">
        <tpls c="6">
          <tpl fld="7" item="0"/>
          <tpl fld="16" item="11"/>
          <tpl fld="0" item="0"/>
          <tpl fld="12" item="16"/>
          <tpl fld="1" item="1"/>
          <tpl fld="17" item="0"/>
        </tpls>
      </n>
      <n v="2750">
        <tpls c="7">
          <tpl fld="3" item="0"/>
          <tpl fld="16" item="3"/>
          <tpl hier="35" item="1"/>
          <tpl fld="11" item="38"/>
          <tpl fld="12" item="11"/>
          <tpl hier="44" item="2"/>
          <tpl fld="17" item="0"/>
        </tpls>
      </n>
      <m>
        <tpls c="6">
          <tpl fld="6" item="1"/>
          <tpl hier="35" item="1"/>
          <tpl fld="11" item="7"/>
          <tpl fld="10" item="1"/>
          <tpl hier="44" item="2"/>
          <tpl fld="17" item="0"/>
        </tpls>
      </m>
      <m>
        <tpls c="7">
          <tpl fld="3" item="1"/>
          <tpl fld="16" item="9"/>
          <tpl hier="35" item="0"/>
          <tpl fld="11" item="31"/>
          <tpl fld="12" item="3"/>
          <tpl hier="44" item="2"/>
          <tpl fld="17" item="0"/>
        </tpls>
      </m>
      <n v="0">
        <tpls c="6">
          <tpl fld="7" item="0"/>
          <tpl fld="16" item="8"/>
          <tpl fld="0" item="0"/>
          <tpl fld="12" item="8"/>
          <tpl fld="1" item="1"/>
          <tpl fld="17" item="0"/>
        </tpls>
      </n>
      <n v="97750">
        <tpls c="7">
          <tpl fld="3" item="0"/>
          <tpl fld="16" item="9"/>
          <tpl hier="35" item="1"/>
          <tpl fld="11" item="39"/>
          <tpl fld="12" item="3"/>
          <tpl hier="44" item="2"/>
          <tpl fld="17" item="0"/>
        </tpls>
      </n>
      <m>
        <tpls c="7">
          <tpl fld="3" item="1"/>
          <tpl fld="16" item="5"/>
          <tpl hier="35" item="0"/>
          <tpl fld="11" item="23"/>
          <tpl fld="12" item="11"/>
          <tpl hier="44" item="2"/>
          <tpl fld="17" item="0"/>
        </tpls>
      </m>
      <n v="119100">
        <tpls c="6">
          <tpl fld="6" item="0"/>
          <tpl hier="35" item="1"/>
          <tpl fld="11" item="15"/>
          <tpl fld="10" item="2"/>
          <tpl hier="44" item="2"/>
          <tpl fld="17" item="0"/>
        </tpls>
      </n>
      <n v="-51730">
        <tpls c="7">
          <tpl fld="7" item="0"/>
          <tpl hier="10" item="4294967295"/>
          <tpl fld="0" item="0"/>
          <tpl fld="11" item="52"/>
          <tpl fld="12" item="20"/>
          <tpl fld="1" item="1"/>
          <tpl fld="17" item="0"/>
        </tpls>
      </n>
      <n v="1661917">
        <tpls c="6">
          <tpl fld="3" item="0"/>
          <tpl fld="16" item="3"/>
          <tpl hier="35" item="1"/>
          <tpl fld="12" item="11"/>
          <tpl hier="44" item="2"/>
          <tpl fld="17" item="0"/>
        </tpls>
      </n>
      <n v="499913">
        <tpls c="7">
          <tpl fld="7" item="0"/>
          <tpl hier="10" item="4294967295"/>
          <tpl fld="0" item="0"/>
          <tpl fld="11" item="74"/>
          <tpl fld="12" item="16"/>
          <tpl fld="1" item="1"/>
          <tpl fld="17" item="0"/>
        </tpls>
      </n>
      <n v="-392981">
        <tpls c="6">
          <tpl fld="7" item="0"/>
          <tpl fld="16" item="2"/>
          <tpl fld="0" item="0"/>
          <tpl fld="12" item="19"/>
          <tpl fld="1" item="1"/>
          <tpl fld="17" item="0"/>
        </tpls>
      </n>
      <n v="14447624">
        <tpls c="6">
          <tpl fld="6" item="3"/>
          <tpl hier="35" item="1"/>
          <tpl fld="11" item="40"/>
          <tpl fld="10" item="2"/>
          <tpl hier="44" item="2"/>
          <tpl fld="17" item="0"/>
        </tpls>
      </n>
      <m>
        <tpls c="7">
          <tpl fld="3" item="1"/>
          <tpl fld="16" item="6"/>
          <tpl hier="35" item="0"/>
          <tpl fld="11" item="14"/>
          <tpl fld="12" item="3"/>
          <tpl hier="44" item="2"/>
          <tpl fld="17" item="0"/>
        </tpls>
      </m>
      <n v="496">
        <tpls c="6">
          <tpl fld="3" item="0"/>
          <tpl fld="16" item="0"/>
          <tpl hier="35" item="1"/>
          <tpl fld="12" item="15"/>
          <tpl hier="44" item="2"/>
          <tpl fld="17" item="0"/>
        </tpls>
      </n>
      <n v="2716">
        <tpls c="6">
          <tpl fld="6" item="2"/>
          <tpl hier="35" item="1"/>
          <tpl fld="11" item="25"/>
          <tpl fld="10" item="0"/>
          <tpl hier="44" item="2"/>
          <tpl fld="17" item="0"/>
        </tpls>
      </n>
    </entries>
    <sets count="4">
      <set count="1" maxRank="1" setDefinition="{[fActualAndBudget].[ReportType].&amp;[Предвидување]}">
        <tpls c="1">
          <tpl fld="0" item="0"/>
        </tpls>
      </set>
      <set count="1" maxRank="1" setDefinition="{[fActualAndBudget].[ReportType].&amp;[План]}">
        <tpls c="1">
          <tpl fld="0" item="1"/>
        </tpls>
      </set>
      <set count="1" maxRank="1" setDefinition="{[fActualAndBudget].[ObrazecIme].&amp;[Finansiski plan_Bilans na uspeh]}">
        <tpls c="1">
          <tpl fld="1" item="0"/>
        </tpls>
      </set>
      <set count="1" maxRank="1" setDefinition="{[fActualAndBudget].[ReportType].[All]}">
        <tpls c="1">
          <tpl hier="35" item="4294967295"/>
        </tpls>
      </set>
    </sets>
    <queryCache count="287">
      <query mdx="[CAPEX].[Број на јавна набавка (план)].&amp;[2023-013]">
        <tpls c="1">
          <tpl fld="2" item="0"/>
        </tpls>
      </query>
      <query mdx="[Calendar].[Date Hierarchy].[Year].&amp;[2023]">
        <tpls c="1">
          <tpl fld="3" item="0"/>
        </tpls>
      </query>
      <query mdx="[CAPEX].[Број на јавна набавка (план)].&amp;[2023-002]">
        <tpls c="1">
          <tpl fld="2" item="1"/>
        </tpls>
      </query>
      <query mdx="[CAPEX].[Број на јавна набавка (план)].&amp;[2023-010]">
        <tpls c="1">
          <tpl fld="2" item="2"/>
        </tpls>
      </query>
      <query mdx="[CAPEX].[Број на јавна набавка (план)].&amp;[2021-011]">
        <tpls c="1">
          <tpl fld="2" item="3"/>
        </tpls>
      </query>
      <query mdx="[CAPEX].[Број на јавна набавка (план)].&amp;[2022-006]">
        <tpls c="1">
          <tpl fld="2" item="4"/>
        </tpls>
      </query>
      <query mdx="[CAPEX].[Број на јавна набавка (план)].&amp;[2022-002]">
        <tpls c="1">
          <tpl fld="2" item="5"/>
        </tpls>
      </query>
      <query mdx="[CAPEX].[Број на јавна набавка (план)].&amp;[2021-013]">
        <tpls c="1">
          <tpl fld="2" item="6"/>
        </tpls>
      </query>
      <query mdx="[CAPEX].[Број на јавна набавка (план)].&amp;[2021-017]">
        <tpls c="1">
          <tpl fld="2" item="7"/>
        </tpls>
      </query>
      <query mdx="[CAPEX].[Број на јавна набавка (план)].&amp;[2022-007]">
        <tpls c="1">
          <tpl fld="2" item="8"/>
        </tpls>
      </query>
      <query mdx="[CAPEX].[Број на јавна набавка (план)].&amp;[2023-005]">
        <tpls c="1">
          <tpl fld="2" item="9"/>
        </tpls>
      </query>
      <query mdx="[CAPEX].[Број на јавна набавка (план)].&amp;[2023-012]">
        <tpls c="1">
          <tpl fld="2" item="10"/>
        </tpls>
      </query>
      <query mdx="[CAPEX].[Конто Средства].&amp;[011001]">
        <tpls c="1">
          <tpl fld="4" item="0"/>
        </tpls>
      </query>
      <query mdx="[CAPEX].[Број на јавна набавка (план)].&amp;[2022-005]">
        <tpls c="1">
          <tpl fld="2" item="11"/>
        </tpls>
      </query>
      <query mdx="[Amortizacija].[Период].&amp;[2022-12-01T00:00:00]"/>
      <query mdx="[CAPEX].[Број на јавна набавка (план)].&amp;[2021-012]">
        <tpls c="1">
          <tpl fld="2" item="12"/>
        </tpls>
      </query>
      <query mdx="[CAPEX].[Број на јавна набавка (план)].&amp;[2023-011]">
        <tpls c="1">
          <tpl fld="2" item="13"/>
        </tpls>
      </query>
      <query mdx="[CAPEX].[Број на јавна набавка (план)].&amp;[2022-003]">
        <tpls c="1">
          <tpl fld="2" item="14"/>
        </tpls>
      </query>
      <query mdx="[CAPEX].[Број на јавна набавка (план)].&amp;[2023-003]">
        <tpls c="1">
          <tpl fld="2" item="15"/>
        </tpls>
      </query>
      <query mdx="[CAPEX].[Број на јавна набавка (план)].&amp;[2022-013]">
        <tpls c="1">
          <tpl fld="2" item="16"/>
        </tpls>
      </query>
      <query mdx="[CAPEX].[Број на јавна набавка (план)].&amp;[2022-016]">
        <tpls c="1">
          <tpl fld="2" item="17"/>
        </tpls>
      </query>
      <query mdx="[CAPEX].[Број на јавна набавка (план)].&amp;[2023-014]">
        <tpls c="1">
          <tpl fld="2" item="18"/>
        </tpls>
      </query>
      <query mdx="[CAPEX].[Број на јавна набавка (план)].&amp;[2023-001]">
        <tpls c="1">
          <tpl fld="2" item="19"/>
        </tpls>
      </query>
      <query mdx="[CAPEX].[Број на јавна набавка (план)].&amp;[2023-009]">
        <tpls c="1">
          <tpl fld="2" item="20"/>
        </tpls>
      </query>
      <query mdx="[CAPEX].[Број на јавна набавка (план)].&amp;[2021-014]">
        <tpls c="1">
          <tpl fld="2" item="21"/>
        </tpls>
      </query>
      <query mdx="[CAPEX].[Очекуван датум за ставање во употреба (месец)].&amp;[2023-12-01T00:00:00]">
        <tpls c="1">
          <tpl fld="5" item="0"/>
        </tpls>
      </query>
      <query mdx="[Calendar].[Квартал].&amp;[2023-12-31T00:00:00]">
        <tpls c="1">
          <tpl fld="6" item="0"/>
        </tpls>
      </query>
      <query mdx="[CAPEX].[Очекуван датум за ставање во употреба (месец)].&amp;[2023-02-01T00:00:00]"/>
      <query mdx="[Calendar].[Година].&amp;[2022]">
        <tpls c="1">
          <tpl fld="7" item="0"/>
        </tpls>
      </query>
      <query mdx="[CAPEX].[Очекуван датум на плаќање].&amp;[2022-12-01T00:00:00]">
        <tpls c="1">
          <tpl fld="8" item="0"/>
        </tpls>
      </query>
      <query mdx="[Amortizacija].[Период].&amp;[2023-03-01T00:00:00]">
        <tpls c="1">
          <tpl fld="9" item="0"/>
        </tpls>
      </query>
      <query mdx="[Amortizacija].[Период].&amp;[2023-11-01T00:00:00]">
        <tpls c="1">
          <tpl fld="9" item="1"/>
        </tpls>
      </query>
      <query mdx="[Calendar].[Година].&amp;[2021]">
        <tpls c="1">
          <tpl fld="7" item="1"/>
        </tpls>
      </query>
      <query mdx="[CAPEX].[Очекуван датум на плаќање].&amp;[2023-03-01T00:00:00]">
        <tpls c="1">
          <tpl fld="8" item="1"/>
        </tpls>
      </query>
      <query mdx="[CAPEX].[Очекуван датум на плаќање].&amp;[2023-11-01T00:00:00]">
        <tpls c="1">
          <tpl fld="8" item="2"/>
        </tpls>
      </query>
      <query mdx="[CAPEX].[Очекуван датум за ставање во употреба (месец)].&amp;[2022-12-01T00:00:00]"/>
      <query mdx="[CAPEX].[Очекуван датум за ставање во употреба (месец)].&amp;[2023-04-01T00:00:00]">
        <tpls c="1">
          <tpl fld="5" item="1"/>
        </tpls>
      </query>
      <query mdx="[Calendar].[Квартал].&amp;[2023-09-30T00:00:00]">
        <tpls c="1">
          <tpl fld="6" item="1"/>
        </tpls>
      </query>
      <query mdx="[CAPEX].[Очекуван датум на плаќање].&amp;[2023-12-01T00:00:00]">
        <tpls c="1">
          <tpl fld="8" item="3"/>
        </tpls>
      </query>
      <query mdx="[CAPEX].[Очекуван датум за ставање во употреба (месец)].&amp;[2023-07-01T00:00:00]"/>
      <query mdx="[CAPEX].[Очекуван датум на плаќање].&amp;[2023-08-01T00:00:00]">
        <tpls c="1">
          <tpl fld="8" item="4"/>
        </tpls>
      </query>
      <query mdx="[CAPEX].[Очекуван датум за ставање во употреба (месец)].&amp;[2023-09-01T00:00:00]">
        <tpls c="1">
          <tpl fld="5" item="2"/>
        </tpls>
      </query>
      <query mdx="[Amortizacija].[Период].&amp;[2023-09-01T00:00:00]">
        <tpls c="1">
          <tpl fld="9" item="2"/>
        </tpls>
      </query>
      <query mdx="[CAPEX].[Очекуван датум за ставање во употреба (месец)].&amp;[2023-08-01T00:00:00]">
        <tpls c="1">
          <tpl fld="5" item="3"/>
        </tpls>
      </query>
      <query mdx="[Calendar].[Година].&amp;[2023]">
        <tpls c="1">
          <tpl fld="7" item="2"/>
        </tpls>
      </query>
      <query mdx="[Amortizacija].[Период].&amp;[2023-08-01T00:00:00]">
        <tpls c="1">
          <tpl fld="9" item="3"/>
        </tpls>
      </query>
      <query mdx="[CAPEX].[Очекуван датум за ставање во употреба (месец)].&amp;[2022-11-01T00:00:00]"/>
      <query mdx="[CAPEX].[Очекуван датум за ставање во употреба (месец)].&amp;[2023-11-01T00:00:00]">
        <tpls c="1">
          <tpl fld="5" item="4"/>
        </tpls>
      </query>
      <query mdx="[CAPEX].[Очекуван датум за ставање во употреба (месец)].&amp;[2023-05-01T00:00:00]">
        <tpls c="1">
          <tpl fld="5" item="5"/>
        </tpls>
      </query>
      <query mdx="[Calendar].[Квартал].&amp;[2023-06-30T00:00:00]">
        <tpls c="1">
          <tpl fld="6" item="2"/>
        </tpls>
      </query>
      <query mdx="[Calendar].[Квартал].&amp;[2023-03-31T00:00:00]">
        <tpls c="1">
          <tpl fld="6" item="3"/>
        </tpls>
      </query>
      <query mdx="[Amortizacija].[Период].&amp;[2023-04-01T00:00:00]">
        <tpls c="1">
          <tpl fld="9" item="4"/>
        </tpls>
      </query>
      <query mdx="[CAPEX].[Очекуван датум на плаќање].&amp;[2023-09-01T00:00:00]">
        <tpls c="1">
          <tpl fld="8" item="5"/>
        </tpls>
      </query>
      <query mdx="[CAPEX].[Очекуван датум на плаќање].&amp;[2023-07-01T00:00:00]"/>
      <query mdx="[Amortizacija].[Период].&amp;[2023-06-01T00:00:00]">
        <tpls c="1">
          <tpl fld="9" item="5"/>
        </tpls>
      </query>
      <query mdx="[CAPEX].[Очекуван датум за ставање во употреба (месец)].&amp;[2023-10-01T00:00:00]">
        <tpls c="1">
          <tpl fld="5" item="6"/>
        </tpls>
      </query>
      <query mdx="[CAPEX].[Очекуван датум на плаќање].&amp;[2023-05-01T00:00:00]">
        <tpls c="1">
          <tpl fld="8" item="6"/>
        </tpls>
      </query>
      <query mdx="[CAPEX].[Очекуван датум на плаќање].&amp;[2023-01-01T00:00:00]">
        <tpls c="1">
          <tpl fld="8" item="7"/>
        </tpls>
      </query>
      <query mdx="[CAPEX].[Очекуван датум за ставање во употреба (месец)].&amp;[2023-01-01T00:00:00]">
        <tpls c="1">
          <tpl fld="5" item="7"/>
        </tpls>
      </query>
      <query mdx="[Amortizacija].[Период].&amp;[2023-12-01T00:00:00]">
        <tpls c="1">
          <tpl fld="9" item="6"/>
        </tpls>
      </query>
      <query mdx="[Amortizacija].[Период].&amp;[2023-01-01T00:00:00]">
        <tpls c="1">
          <tpl fld="9" item="7"/>
        </tpls>
      </query>
      <query mdx="[Calendar].[Година].&amp;[2020]">
        <tpls c="1">
          <tpl fld="7" item="3"/>
        </tpls>
      </query>
      <query mdx="[CAPEX].[Очекуван датум на плаќање].&amp;[2023-10-01T00:00:00]">
        <tpls c="1">
          <tpl fld="8" item="8"/>
        </tpls>
      </query>
      <query mdx="[CAPEX].[Очекуван датум за ставање во употреба (месец)].&amp;[2023-06-01T00:00:00]">
        <tpls c="1">
          <tpl fld="5" item="8"/>
        </tpls>
      </query>
      <query mdx="[Amortizacija].[Период].&amp;[2023-07-01T00:00:00]">
        <tpls c="1">
          <tpl fld="9" item="8"/>
        </tpls>
      </query>
      <query mdx="[CAPEX].[Очекуван датум на плаќање].&amp;[2023-06-01T00:00:00]">
        <tpls c="1">
          <tpl fld="8" item="9"/>
        </tpls>
      </query>
      <query mdx="[CAPEX].[Очекуван датум за ставање во употреба (месец)].&amp;[2023-03-01T00:00:00]">
        <tpls c="1">
          <tpl fld="5" item="9"/>
        </tpls>
      </query>
      <query mdx="[Amortizacija].[Период].&amp;[2023-05-01T00:00:00]">
        <tpls c="1">
          <tpl fld="9" item="9"/>
        </tpls>
      </query>
      <query mdx="[Amortizacija].[Период].&amp;[2023-10-01T00:00:00]">
        <tpls c="1">
          <tpl fld="9" item="10"/>
        </tpls>
      </query>
      <query mdx="[CAPEX].[Очекуван датум на плаќање].&amp;[2023-02-01T00:00:00]">
        <tpls c="1">
          <tpl fld="8" item="10"/>
        </tpls>
      </query>
      <query mdx="[Amortizacija].[Период].&amp;[2023-02-01T00:00:00]">
        <tpls c="1">
          <tpl fld="9" item="11"/>
        </tpls>
      </query>
      <query mdx="[CAPEX].[Очекуван датум на плаќање].&amp;[2022-11-01T00:00:00]"/>
      <query mdx="[CAPEX].[Очекуван датум на плаќање].&amp;[2023-04-01T00:00:00]">
        <tpls c="1">
          <tpl fld="8" item="11"/>
        </tpls>
      </query>
      <query mdx="[Calendar].[Date Hierarchy].[Year].&amp;[2021]">
        <tpls c="1">
          <tpl fld="3" item="1"/>
        </tpls>
      </query>
      <query mdx="[CAPEX].[Конто Средства].&amp;[01213]">
        <tpls c="1">
          <tpl fld="4" item="1"/>
        </tpls>
      </query>
      <query mdx="[CAPEX].[Конто Средства].&amp;[01363]">
        <tpls c="1">
          <tpl fld="4" item="2"/>
        </tpls>
      </query>
      <query mdx="[CAPEX].[Конто Средства].&amp;[0135]"/>
      <query mdx="[CAPEX].[Конто Средства].&amp;[0191001]"/>
      <query mdx="[CAPEX].[Конто Средства].&amp;[0030]">
        <tpls c="1">
          <tpl fld="4" item="3"/>
        </tpls>
      </query>
      <query mdx="[fActualAndBudget].[StavkaGrupa].&amp;[3.1. Приходи од дејноста]">
        <tpls c="1">
          <tpl fld="10" item="0"/>
        </tpls>
      </query>
      <query mdx="[fActualAndBudget].[StavkaImeMK].&amp;[Приходи од регистар на задолжница]">
        <tpls c="1">
          <tpl fld="11" item="0"/>
        </tpls>
      </query>
      <query mdx="[fActualAndBudget].[StavkaKategorija].&amp;[1.2. Побарувања]">
        <tpls c="1">
          <tpl fld="12" item="0"/>
        </tpls>
      </query>
      <query mdx="[fActualAndBudget].[StavkaKategorija].&amp;[2.41. Расходи од финансирање]">
        <tpls c="1">
          <tpl fld="12" item="1"/>
        </tpls>
      </query>
      <query mdx="[fActualAndBudget].[StavkaImeMK].&amp;[Курсни разлики]">
        <tpls c="1">
          <tpl fld="11" item="1"/>
        </tpls>
      </query>
      <query mdx="[fActualAndBudget].[StavkaImeMK].&amp;[Приходи од регистар на вистински сопственици]">
        <tpls c="1">
          <tpl fld="11" item="2"/>
        </tpls>
      </query>
      <query mdx="[fActualAndBudget].[StavkaKategorija].&amp;[2.29. Приходи од продажба]">
        <tpls c="1">
          <tpl fld="12" item="2"/>
        </tpls>
      </query>
      <query mdx="[fActualAndBudget].[StavkaImeMK].&amp;[Приходи од годишни сметки]">
        <tpls c="1">
          <tpl fld="11" item="3"/>
        </tpls>
      </query>
      <query mdx="[fActualAndBudget].[StavkaImeMK].&amp;[Загуби и кусоци]">
        <tpls c="1">
          <tpl fld="11" item="4"/>
        </tpls>
      </query>
      <query mdx="[fActualAndBudget].[StavkaImeMK].&amp;[Останати расходи]">
        <tpls c="1">
          <tpl fld="11" item="5"/>
        </tpls>
      </query>
      <query mdx="[fActualAndBudget].[StavkaKategorija].&amp;[2.37. Останати оперативни расходи]">
        <tpls c="1">
          <tpl fld="12" item="3"/>
        </tpls>
      </query>
      <query mdx="[fActualAndBudget].[StavkaImeMK].&amp;[Услуги за одржување и заштита]">
        <tpls c="1">
          <tpl fld="11" item="6"/>
        </tpls>
      </query>
      <query mdx="[rArtikli_HR_Analiza].[StavkaKategorija.1].&amp;[2.32. Потрошени суровини и материјали]">
        <tpls c="1">
          <tpl fld="13" item="0"/>
        </tpls>
      </query>
      <query mdx="[rArtikli_HR_Analiza].[Категорија Артикл].&amp;[Трошоци за возила]"/>
      <query mdx="[rArtikli_HR_Analiza].[Ставка].&amp;[Зимски пневматици]">
        <tpls c="1">
          <tpl fld="14" item="0"/>
        </tpls>
      </query>
      <query mdx="[rArtikli_HR_Analiza].[Категорија Артикл].&amp;[Канцелариски материјал]"/>
      <query mdx="[rArtikli_HR_Analiza].[Ставка].&amp;[Хартија]">
        <tpls c="1">
          <tpl fld="14" item="1"/>
        </tpls>
      </query>
      <query mdx="[rArtikli_HR_Analiza].[Категорија Артикл].&amp;[Потрошен материјал]"/>
      <query mdx="[rArtikli_HR_Analiza].[Ставка].&amp;[Сунѓери со абразивна подлога за миење на садови, димензии мин. 9х5 см]">
        <tpls c="1">
          <tpl fld="14" item="2"/>
        </tpls>
      </query>
      <query mdx="[rArtikli_HR_Analiza].[Ставка].&amp;[Лопатки за ѓубре]">
        <tpls c="1">
          <tpl fld="14" item="3"/>
        </tpls>
      </query>
      <query mdx="[rArtikli_HR_Analiza].[Ставка].&amp;[Средство за миење на садови: 5-15% анјонски активни материи, &lt; 5% нејонски активни материи, парфем, 750 -1000мл]">
        <tpls c="1">
          <tpl fld="14" item="4"/>
        </tpls>
      </query>
      <query mdx="[rArtikli_HR_Analiza].[Категорија Артикл].&amp;[Ситен инвентар, авто гуми]"/>
      <query mdx="[rArtikli_HR_Analiza].[Ставка].&amp;[Заштита од пренапон - приклучници]"/>
      <query mdx="[rArtikli_HR_Analiza].[Ставка].&amp;[Крпи за чистење на маси и други површини (микрофибер), со димензии330х330 мм +/- 20%]">
        <tpls c="1">
          <tpl fld="14" item="5"/>
        </tpls>
      </query>
      <query mdx="[rArtikli_HR_Analiza].[Категорија Артикл].&amp;[Тековно и останато одржување]"/>
      <query mdx="[rArtikli_HR_Analiza].[Ставка].&amp;[Трослојна абсорбентна хартија 100% целулоза, бела боја со најмалку 100 ливчиња во ролна со димензии најмалку 230 х 100 mm во поединечно пакување во кеса со должина на хартија во ролната од најмалку 25 метри]">
        <tpls c="1">
          <tpl fld="14" item="6"/>
        </tpls>
      </query>
      <query mdx="[rArtikli_HR_Analiza].[Ставка].&amp;[Резервни делови - батерии]">
        <tpls c="1">
          <tpl fld="14" item="7"/>
        </tpls>
      </query>
      <query mdx="[rArtikli_HR_Analiza].[Ставка].&amp;[Четка за собирање на пајажина со димензии на рачка од 80 см до 120 см]">
        <tpls c="1">
          <tpl fld="14" item="8"/>
        </tpls>
      </query>
      <query mdx="[rArtikli_HR_Analiza].[Ставка].&amp;[Резервни делови - продолжен кабел]"/>
      <query mdx="[rArtikli_HR_Analiza].[Ставка].&amp;[Крпи за бришење со моќ на впивање на течност, со димензии 200x190x4 мм +/- 20%]">
        <tpls c="1">
          <tpl fld="14" item="9"/>
        </tpls>
      </query>
      <query mdx="[rArtikli_HR_Analiza].[Ставка].&amp;[Џогер Пуцвал со рачка во висина минимум 140 см]">
        <tpls c="1">
          <tpl fld="14" item="10"/>
        </tpls>
      </query>
      <query mdx="[rArtikli_HR_Analiza].[Ставка].&amp;[ПП апарати за гаснење пожар со CO2]"/>
      <query mdx="[rArtikli_HR_Analiza].[Ставка].&amp;[Уреди за непрекинато напојување УНН]"/>
      <query mdx="[rArtikli_HR_Analiza].[Ставка].&amp;[Останат канцелариски материјал]">
        <tpls c="1">
          <tpl fld="14" item="11"/>
        </tpls>
      </query>
      <query mdx="[rArtikli_HR_Analiza].[Ставка].&amp;[Ракавици]"/>
      <query mdx="[rArtikli_HR_Analiza].[Категорија Артикл].&amp;[Комуналии]"/>
      <query mdx="[rArtikli_HR_Analiza].[Ставка].&amp;[Средство за чистење на подови  кое се состои најмалку од &lt;5% Non-Ionic Surfactants, Perfume, Benzisothiazolinone, алкохол, боја]">
        <tpls c="1">
          <tpl fld="14" item="12"/>
        </tpls>
      </query>
      <query mdx="[rArtikli_HR_Analiza].[Ставка].&amp;[Средство за дезинфекција за вработени]"/>
      <query mdx="[rArtikli_HR_Analiza].[Ставка].&amp;[Трошоци за нафта за затоплување со склучен договор]">
        <tpls c="1">
          <tpl fld="14" item="13"/>
        </tpls>
      </query>
      <query mdx="[rArtikli_HR_Analiza].[Ставка].&amp;[Четка за WC шоља со пластична рачка]">
        <tpls c="1">
          <tpl fld="14" item="14"/>
        </tpls>
      </query>
      <query mdx="[rArtikli_HR_Analiza].[Ставка].&amp;[Средство за дезинфекција на површини]"/>
      <query mdx="[rArtikli_HR_Analiza].[Ставка].&amp;[Метли]">
        <tpls c="1">
          <tpl fld="14" item="15"/>
        </tpls>
      </query>
      <query mdx="[rArtikli_HR_Analiza].[Ставка].&amp;[Потрошена електрична енергија]"/>
      <query mdx="[rArtikli_HR_Analiza].[Ставка].&amp;[Средство за чистење на тоалет санитарии антибигор против наслаги од каменец, рѓа и сапун, &lt;5% ензиоактиви нејонски, тензиоактиви анфотери, фосфонати, парфем, 750 -1000мл.]">
        <tpls c="1">
          <tpl fld="14" item="16"/>
        </tpls>
      </query>
      <query mdx="[rArtikli_HR_Analiza].[Ставка].&amp;[Вреќи за отпад, ПВЦ, големи од  90 до 120 литри, од мин. 10 во пакување]">
        <tpls c="1">
          <tpl fld="14" item="17"/>
        </tpls>
      </query>
      <query mdx="[rArtikli_HR_Analiza].[Ставка].&amp;[Тонери]">
        <tpls c="1">
          <tpl fld="14" item="18"/>
        </tpls>
      </query>
      <query mdx="[rArtikli_HR_Analiza].[Ставка].&amp;[Течен сапун за миење на раце со ph неутрален фактор, антибактериски, во пакување од 300 мл до 1 литар со пумпица]">
        <tpls c="1">
          <tpl fld="14" item="19"/>
        </tpls>
      </query>
      <query mdx="[rArtikli_HR_Analiza].[Ставка].&amp;[ПВЦ Кофа за цедење на џогер мин. 10 литри]">
        <tpls c="1">
          <tpl fld="14" item="20"/>
        </tpls>
      </query>
      <query mdx="[rArtikli_HR_Analiza].[Ставка].&amp;[Ракавици гумени хигиеничарски големина М,L,XL]">
        <tpls c="1">
          <tpl fld="14" item="21"/>
        </tpls>
      </query>
      <query mdx="[rArtikli_HR_Analiza].[Ставка].&amp;[Останат ситен инвентар]"/>
      <query mdx="[rArtikli_HR_Analiza].[Ставка].&amp;[Средство за чистење на плочки, пакување од  0,5л - 1 литар]">
        <tpls c="1">
          <tpl fld="14" item="22"/>
        </tpls>
      </query>
      <query mdx="[rArtikli_HR_Analiza].[Ставка].&amp;[Алкохол]"/>
      <query mdx="[rArtikli_HR_Analiza].[StavkaKategorija.1].&amp;[2.37. Останати оперативни расходи]">
        <tpls c="1">
          <tpl fld="13" item="1"/>
        </tpls>
      </query>
      <query mdx="[rArtikli_HR_Analiza].[Категорија Артикл].&amp;[Едногодишни лиценци на софтверски решенија]"/>
      <query mdx="[rArtikli_HR_Analiza].[Ставка].&amp;[Резервни делови - пловаци]"/>
      <query mdx="[rArtikli_HR_Analiza].[Ставка].&amp;[Визири]"/>
      <query mdx="[rArtikli_HR_Analiza].[Ставка].&amp;[Резервни делови - казанчиња]"/>
      <query mdx="[rArtikli_HR_Analiza].[Ставка].&amp;[Резерва за џогер пуцвал]">
        <tpls c="1">
          <tpl fld="14" item="23"/>
        </tpls>
      </query>
      <query mdx="[rArtikli_HR_Analiza].[Ставка].&amp;[Летни пневматици]">
        <tpls c="1">
          <tpl fld="14" item="24"/>
        </tpls>
      </query>
      <query mdx="[rArtikli_HR_Analiza].[Ставка].&amp;[Резервни делови - чешми]"/>
      <query mdx="[rArtikli_HR_Analiza].[Ставка].&amp;[Средство за чистење стаклени површини со пумпа распрскувач кое се состои најмалку од &lt;5% Non-Ionic Surfactants, Perfume, Benzisothiazolinone]">
        <tpls c="1">
          <tpl fld="14" item="25"/>
        </tpls>
      </query>
      <query mdx="[rArtikli_HR_Analiza].[Ставка].&amp;[ПП апарати за гаснење пожар предизивикан од електрична енергија]"/>
      <query mdx="[rArtikli_HR_Analiza].[Ставка].&amp;[Трослојна тоалетна хартија во ролна 100% целулоза, бела боја со најмалку 200 листови со димензии најмалку 100 х 205mm]">
        <tpls c="1">
          <tpl fld="14" item="26"/>
        </tpls>
      </query>
      <query mdx="[rArtikli_HR_Analiza].[Ставка].&amp;[Потрошено гориво]"/>
      <query mdx="[Amortizacija].[Конто].&amp;[431001]">
        <tpls c="1">
          <tpl fld="15" item="0"/>
        </tpls>
      </query>
      <query mdx="[fActualAndBudget].[StavkaKategorija].&amp;[2.30. Останати оперативни приходи]">
        <tpls c="1">
          <tpl fld="12" item="4"/>
        </tpls>
      </query>
      <query mdx="[fActualAndBudget].[StavkaImeMK].&amp;[Приходи од продажба на подвижен имот]">
        <tpls c="1">
          <tpl fld="11" item="7"/>
        </tpls>
      </query>
      <query mdx="[Calendar].[Месец].&amp;[Jan]">
        <tpls c="1">
          <tpl fld="16" item="0"/>
        </tpls>
      </query>
      <query mdx="[fActualAndBudget].[StavkaImeMK].&amp;[Останати услуги]">
        <tpls c="1">
          <tpl fld="11" item="8"/>
        </tpls>
      </query>
      <query mdx="[fActualAndBudget].[StavkaGrupa].&amp;[3.2. Останати приходи]">
        <tpls c="1">
          <tpl fld="10" item="1"/>
        </tpls>
      </query>
      <query mdx="[fActualAndBudget].[StavkaImeMK].&amp;[Вонредни невообичаени приходи]">
        <tpls c="1">
          <tpl fld="11" item="9"/>
        </tpls>
      </query>
      <query mdx="[fActualAndBudget].[StavkaKategorija].&amp;[1.13. Вонбилансна актива]">
        <tpls c="1">
          <tpl fld="12" item="5"/>
        </tpls>
      </query>
      <query mdx="[fActualAndBudget].[StavkaImeMK].&amp;[Лиценци за разни софтвери (едногодишни, обновливи)]">
        <tpls c="1">
          <tpl fld="11" item="10"/>
        </tpls>
      </query>
      <query mdx="[Measures].[Sum of Износ]">
        <tpls c="1">
          <tpl fld="17" item="0"/>
        </tpls>
      </query>
      <query mdx="[fActualAndBudget].[StavkaImeMK].&amp;[Приходи од Регистар на резиденти и нерезиденти]">
        <tpls c="1">
          <tpl fld="11" item="11"/>
        </tpls>
      </query>
      <query mdx="[Amortizacija].[Конто].&amp;[43136]">
        <tpls c="1">
          <tpl fld="15" item="1"/>
        </tpls>
      </query>
      <query mdx="[fActualAndBudget].[StavkaKategorija].&amp;[1.21. Капитал]">
        <tpls c="1">
          <tpl fld="12" item="6"/>
        </tpls>
      </query>
      <query mdx="[fActualAndBudget].[StavkaImeMK].&amp;[Државен капитал]">
        <tpls c="1">
          <tpl fld="11" item="12"/>
        </tpls>
      </query>
      <query mdx="[fActualAndBudget].[StavkaImeMK].&amp;[Вонбилансна актива]">
        <tpls c="1">
          <tpl fld="11" item="13"/>
        </tpls>
      </query>
      <query mdx="[Amortizacija].[Конто].&amp;[43134]">
        <tpls c="1">
          <tpl fld="15" item="2"/>
        </tpls>
      </query>
      <query mdx="[fActualAndBudget].[StavkaGrupa].&amp;[4.1. Расходи од дејноста]">
        <tpls c="1">
          <tpl fld="10" item="2"/>
        </tpls>
      </query>
      <query mdx="[fActualAndBudget].[StavkaImeMK].&amp;[Премии за осигурување]">
        <tpls c="1">
          <tpl fld="11" item="14"/>
        </tpls>
      </query>
      <query mdx="[rObrazecFinansiskiPlan2019].[Спецификации].[Спецификација].&amp;[5.1 Имот, машини и опрема].&amp;[Недвижности]"/>
      <query mdx="[fActualAndBudget].[StavkaKategorija].&amp;[1.14. Краткорочни обврски]">
        <tpls c="1">
          <tpl fld="12" item="7"/>
        </tpls>
      </query>
      <query mdx="[fActualAndBudget].[StavkaKategorija].&amp;[1.22. Акумулирана добивка]">
        <tpls c="1">
          <tpl fld="12" item="8"/>
        </tpls>
      </query>
      <query mdx="[fActualAndBudget].[StavkaImeMK].&amp;[Наемнини и лизинг]">
        <tpls c="1">
          <tpl fld="11" item="15"/>
        </tpls>
      </query>
      <query mdx="[Calendar].[Месец].[All]">
        <tpls c="1">
          <tpl hier="10" item="4294967295"/>
        </tpls>
      </query>
      <query mdx="[fActualAndBudget].[StavkaImeMK].&amp;[Дневници за службени патувања и патни трошоци]">
        <tpls c="1">
          <tpl fld="11" item="16"/>
        </tpls>
      </query>
      <query mdx="[fActualAndBudget].[StavkaKategorija].&amp;[2.33. Трошоци за вработените]">
        <tpls c="1">
          <tpl fld="12" item="9"/>
        </tpls>
      </query>
      <query mdx="[fActualAndBudget].[StavkaImeMK].&amp;[Трошоци за промоција,пропаганда, реклама, репрезентација и спонзорство]">
        <tpls c="1">
          <tpl fld="11" item="17"/>
        </tpls>
      </query>
      <query mdx="[fActualAndBudget].[StavkaImeMK].&amp;[Приходи од трговски регистар]">
        <tpls c="1">
          <tpl fld="11" item="18"/>
        </tpls>
      </query>
      <query mdx="[rObrazecFinansiskiPlan2019].[Спецификации].[Спецификација].&amp;[5.4 Останати материјални основни средства]"/>
      <query mdx="[fActualAndBudget].[StavkaImeMK].&amp;[Приходи од регистар на директни странски инвестиции]">
        <tpls c="1">
          <tpl fld="11" item="19"/>
        </tpls>
      </query>
      <query mdx="[rObrazecFinansiskiPlan2019].[Спецификации].[Спецификација].&amp;[5.3 Мебел и вградување на мебел]"/>
      <query mdx="[fActualAndBudget].[StavkaImeMK].&amp;[Приходи од регистрите за кривични санкции, пресуди и др.]">
        <tpls c="1">
          <tpl fld="11" item="20"/>
        </tpls>
      </query>
      <query mdx="[fActualAndBudget].[StavkaKategorija].&amp;[1.9. Нематеријални средства]">
        <tpls c="1">
          <tpl fld="12" item="10"/>
        </tpls>
      </query>
      <query mdx="[fActualAndBudget].[StavkaImeMK].&amp;[Нематеријални средства во подготовка]">
        <tpls c="1">
          <tpl fld="11" item="21"/>
        </tpls>
      </query>
      <query mdx="[fActualAndBudget].[StavkaImeMK].&amp;[Приходи од донации]">
        <tpls c="1">
          <tpl fld="11" item="22"/>
        </tpls>
      </query>
      <query mdx="[fActualAndBudget].[ReportType].&amp;[Предвидување]">
        <tpls c="1">
          <tpl fld="0" item="0"/>
        </tpls>
      </query>
      <query mdx="[fActualAndBudget].[StavkaKategorija].&amp;[2.32. Потрошени суровини и материјали]">
        <tpls c="1">
          <tpl fld="12" item="11"/>
        </tpls>
      </query>
      <query mdx="[fActualAndBudget].[StavkaImeMK].&amp;[Потрошени суровини и материјали]">
        <tpls c="1">
          <tpl fld="11" item="23"/>
        </tpls>
      </query>
      <query mdx="[Measures].[Sum of Износ (илјади)]">
        <tpls c="1">
          <tpl fld="17" item="1"/>
        </tpls>
      </query>
      <query mdx="[fActualAndBudget].[StavkaKategorija].&amp;[1.17. Долгорочни обврски]">
        <tpls c="1">
          <tpl fld="12" item="12"/>
        </tpls>
      </query>
      <query mdx="[fActualAndBudget].[StavkaImeMK].&amp;[Капитална добивка од продажба на материјални и неметеријални средства]">
        <tpls c="1">
          <tpl fld="11" item="24"/>
        </tpls>
      </query>
      <query mdx="[fActualAndBudget].[StavkaImeMK].&amp;[Приходи од регистар на недвижности]">
        <tpls c="1">
          <tpl fld="11" item="25"/>
        </tpls>
      </query>
      <query mdx="[fActualAndBudget].[StavkaImeMK].&amp;[Приходи од прекршочна постапка]">
        <tpls c="1">
          <tpl fld="11" item="26"/>
        </tpls>
      </query>
      <query mdx="[fActualAndBudget].[StavkaImeMK].&amp;[Останати нематеријални трошоци]">
        <tpls c="1">
          <tpl fld="11" item="27"/>
        </tpls>
      </query>
      <query mdx="[fActualAndBudget].[StavkaKategorija].&amp;[1.7. Материјални средства и вложувања во недвижности]">
        <tpls c="1">
          <tpl fld="12" item="13"/>
        </tpls>
      </query>
      <query mdx="[fActualAndBudget].[StavkaImeMK].&amp;[Компјутерска и останата опрема]">
        <tpls c="1">
          <tpl fld="11" item="28"/>
        </tpls>
      </query>
      <query mdx="[fActualAndBudget].[StavkaKategorija].&amp;[1.23. Резерви]">
        <tpls c="1">
          <tpl fld="12" item="14"/>
        </tpls>
      </query>
      <query mdx="[fActualAndBudget].[StavkaImeMK].&amp;[Акумулирана добивка]">
        <tpls c="1">
          <tpl fld="11" item="29"/>
        </tpls>
      </query>
      <query mdx="[fActualAndBudget].[StavkaKategorija].&amp;[2.40. Приходи од финансирање]">
        <tpls c="1">
          <tpl fld="12" item="15"/>
        </tpls>
      </query>
      <query mdx="[fActualAndBudget].[StavkaImeMK].&amp;[Приходи од курсни разлики]">
        <tpls c="1">
          <tpl fld="11" item="30"/>
        </tpls>
      </query>
      <query mdx="[rObrazecFinansiskiPlan2019].[Спецификации].[Спецификација].&amp;[5.10 Други нематеријални средства].&amp;[Софтвер]"/>
      <query mdx="[fActualAndBudget].[StavkaImeMK].&amp;[Банкарски услуги и трошоци за платен промет]">
        <tpls c="1">
          <tpl fld="11" item="31"/>
        </tpls>
      </query>
      <query mdx="[fActualAndBudget].[StavkaImeMK].&amp;[Приходи од странство]">
        <tpls c="1">
          <tpl fld="11" item="32"/>
        </tpls>
      </query>
      <query mdx="[Calendar].[Месец].&amp;[Jul]">
        <tpls c="1">
          <tpl fld="16" item="1"/>
        </tpls>
      </query>
      <query mdx="[Calendar].[Месец].&amp;[Jun]">
        <tpls c="1">
          <tpl fld="16" item="2"/>
        </tpls>
      </query>
      <query mdx="[Measures].[Sum of Износ 2]">
        <tpls c="1">
          <tpl fld="17" item="2"/>
        </tpls>
      </query>
      <query mdx="[rObrazecFinansiskiPlan2019].[Спецификации].[Спецификација].&amp;[5.2 Возила].&amp;[Патнички автомобили]"/>
      <query mdx="[fActualAndBudget].[StavkaImeMK].&amp;[Транспортни услуги]">
        <tpls c="1">
          <tpl fld="11" item="33"/>
        </tpls>
      </query>
      <query mdx="[CAPEX].[Конто Средства].[All]">
        <tpls c="1">
          <tpl hier="22" item="4294967295"/>
        </tpls>
      </query>
      <query mdx="[Calendar].[Месец].&amp;[Aug]">
        <tpls c="1">
          <tpl fld="16" item="3"/>
        </tpls>
      </query>
      <query mdx="[fActualAndBudget].[StavkaImeMK].&amp;[Приходи од камати]">
        <tpls c="1">
          <tpl fld="11" item="34"/>
        </tpls>
      </query>
      <query mdx="[Calendar].[Месец].&amp;[Dec]">
        <tpls c="1">
          <tpl fld="16" item="4"/>
        </tpls>
      </query>
      <query mdx="[Calendar].[Месец].&amp;[Feb]">
        <tpls c="1">
          <tpl fld="16" item="5"/>
        </tpls>
      </query>
      <query mdx="[fActualAndBudget].[StavkaKategorija].&amp;[1.1. Парични средства]">
        <tpls c="1">
          <tpl fld="12" item="16"/>
        </tpls>
      </query>
      <query mdx="[fActualAndBudget].[StavkaImeMK].&amp;[Приходи од интернет дистрибутивен систем]">
        <tpls c="1">
          <tpl fld="11" item="35"/>
        </tpls>
      </query>
      <query mdx="[fActualAndBudget].[StavkaImeMK].&amp;[Приходи од заложен регистар]">
        <tpls c="1">
          <tpl fld="11" item="36"/>
        </tpls>
      </query>
      <query mdx="[fActualAndBudget].[StavkaImeMK].&amp;[Потрoшена енергија и гориво за возила]">
        <tpls c="1">
          <tpl fld="11" item="37"/>
        </tpls>
      </query>
      <query mdx="[fActualAndBudget].[StavkaImeMK].&amp;[Потрошени резервни делови]">
        <tpls c="1">
          <tpl fld="11" item="38"/>
        </tpls>
      </query>
      <query mdx="[fActualAndBudget].[StavkaImeMK].&amp;[Даноци,чланарини и други давачки кои не зависат од резултатот]">
        <tpls c="1">
          <tpl fld="11" item="39"/>
        </tpls>
      </query>
      <query mdx="[fActualAndBudget].[ReportType].&amp;[План]">
        <tpls c="1">
          <tpl fld="0" item="1"/>
        </tpls>
      </query>
      <query mdx="[fActualAndBudget].[StavkaImeMK].&amp;[Амортизација по минимални стапки]">
        <tpls c="1">
          <tpl fld="11" item="40"/>
        </tpls>
      </query>
      <query mdx="[fActualAndBudget].[StavkaImeMK].&amp;[Приходи од Регистар на лизинг]">
        <tpls c="1">
          <tpl fld="11" item="41"/>
        </tpls>
      </query>
      <query mdx="[Calendar].[Месец].&amp;[Oct]">
        <tpls c="1">
          <tpl fld="16" item="6"/>
        </tpls>
      </query>
      <query mdx="[Amortizacija].[Конто].&amp;[43031]"/>
      <query mdx="[fActualAndBudget].[StavkaImeMK].&amp;[Готовина домашна валута]">
        <tpls c="1">
          <tpl fld="11" item="42"/>
        </tpls>
      </query>
      <query mdx="[fActualAndBudget].[StavkaImeMK].&amp;[Надворешни услуги]">
        <tpls c="1">
          <tpl fld="11" item="43"/>
        </tpls>
      </query>
      <query mdx="[fActualAndBudget].[StavkaKategorija].&amp;[1.10. Долгорочни финансиски средства]"/>
      <query mdx="[fActualAndBudget].[StavkaKategorija].&amp;[1.4. Краткорочни финансиски средства]"/>
      <query mdx="[fActualAndBudget].[StavkaKategorija].&amp;[1.28. Вонбилансна пасива]">
        <tpls c="1">
          <tpl fld="12" item="17"/>
        </tpls>
      </query>
      <query mdx="[fActualAndBudget].[StavkaKategorija].&amp;[2.34. Амортизација на материјални средства]">
        <tpls c="1">
          <tpl fld="12" item="18"/>
        </tpls>
      </query>
      <query mdx="[fActualAndBudget].[StavkaGrupa].&amp;[4.2. Останати расходи]">
        <tpls c="1">
          <tpl fld="10" item="3"/>
        </tpls>
      </query>
      <query mdx="[fActualAndBudget].[StavkaImeMK].&amp;[Казни, пенали и надомест на штети затезни камати]">
        <tpls c="1">
          <tpl fld="11" item="44"/>
        </tpls>
      </query>
      <query mdx="[Calendar].[Месец].&amp;[Mar]">
        <tpls c="1">
          <tpl fld="16" item="7"/>
        </tpls>
      </query>
      <query mdx="[Calendar].[Година].&amp;[2019]">
        <tpls c="1">
          <tpl fld="7" item="4"/>
        </tpls>
      </query>
      <query mdx="[fActualAndBudget].[ReportType].&amp;[Остварено]">
        <tpls c="1">
          <tpl fld="0" item="2"/>
        </tpls>
      </query>
      <query mdx="[Measures].[Sum of Проценета вредност на набавка со ДДВ (денари)]">
        <tpls c="1">
          <tpl fld="17" item="3"/>
        </tpls>
      </query>
      <query mdx="[fActualAndBudget].[StavkaImeMK].&amp;[Обврски кон добавувачи во земјата]">
        <tpls c="1">
          <tpl fld="11" item="45"/>
        </tpls>
      </query>
      <query mdx="[Calendar].[Месец].&amp;[Sep]">
        <tpls c="1">
          <tpl fld="16" item="8"/>
        </tpls>
      </query>
      <query mdx="[fActualAndBudget].[StavkaImeMK].&amp;[Патнички автомобили]">
        <tpls c="1">
          <tpl fld="11" item="46"/>
        </tpls>
      </query>
      <query mdx="[fActualAndBudget].[StavkaImeMK].&amp;[Софтвер]">
        <tpls c="1">
          <tpl fld="11" item="47"/>
        </tpls>
      </query>
      <query mdx="[fActualAndBudget].[StavkaImeMK].&amp;[Приходи од закуп]">
        <tpls c="1">
          <tpl fld="11" item="48"/>
        </tpls>
      </query>
      <query mdx="[fActualAndBudget].[StavkaKategorija].&amp;[1.18. Други долгорочни обврски и резервирања за ризици и трошоци]"/>
      <query mdx="[fActualAndBudget].[StavkaKategorija].&amp;[1.8. Долгорочни финансиски вложувања]"/>
      <query mdx="[fActualAndBudget].[StavkaImeMK].&amp;[Надомест на трошоци на вработените, подароци и помошти]">
        <tpls c="1">
          <tpl fld="11" item="49"/>
        </tpls>
      </query>
      <query mdx="[fActualAndBudget].[StavkaKategorija].&amp;[1.24. Ревалоризациони резерви]"/>
      <query mdx="[fActualAndBudget].[StavkaKategorija].&amp;[1.15. Одложено плаќање на трошоци и приходи (ПВР)]">
        <tpls c="1">
          <tpl fld="12" item="19"/>
        </tpls>
      </query>
      <query mdx="[Amortizacija].[Конто].&amp;[43030]">
        <tpls c="1">
          <tpl fld="15" item="3"/>
        </tpls>
      </query>
      <query mdx="[Calendar].[MMM-YYYY].&amp;[Nov-2018]">
        <tpls c="1">
          <tpl fld="18" item="0"/>
        </tpls>
      </query>
      <query mdx="[fActualAndBudget].[StavkaImeMK].&amp;[Потрошок на ситен инвентар и автогуми]">
        <tpls c="1">
          <tpl fld="11" item="50"/>
        </tpls>
      </query>
      <query mdx="[fActualAndBudget].[StavkaKategorija].&amp;[1.3. Залихи]">
        <tpls c="1">
          <tpl fld="12" item="20"/>
        </tpls>
      </query>
      <query mdx="[rObrazecFinansiskiPlan2019].[Спецификации].[Спецификација].&amp;[5.4 Останати материјални основни средства].&amp;[Инвестиции во тек - недвижности]"/>
      <query mdx="[fActualAndBudget].[StavkaImeMK].&amp;[Обврски за даноци и придонеси]">
        <tpls c="1">
          <tpl fld="11" item="51"/>
        </tpls>
      </query>
      <query mdx="[fActualAndBudget].[StavkaImeMK].&amp;[Залихи на резервни делови]">
        <tpls c="1">
          <tpl fld="11" item="52"/>
        </tpls>
      </query>
      <query mdx="[rObrazecFinansiskiPlan2019].[Спецификации].[Спецификација].&amp;[5.10 Други нематеријални средства]"/>
      <query mdx="[rObrazecFinansiskiPlan2019].[Спецификации].[Спецификација].&amp;[5.1 Имот, машини и опрема]"/>
      <query mdx="[fActualAndBudget].[StavkaImeMK].&amp;[Реинвестирана добивка]">
        <tpls c="1">
          <tpl fld="11" item="53"/>
        </tpls>
      </query>
      <query mdx="[fActualAndBudget].[StavkaImeMK].&amp;[Други неспомнати приходи]">
        <tpls c="1">
          <tpl fld="11" item="54"/>
        </tpls>
      </query>
      <query mdx="[Calendar].[Година].&amp;[2017]">
        <tpls c="1">
          <tpl fld="7" item="5"/>
        </tpls>
      </query>
      <query mdx="[fActualAndBudget].[StavkaKategorija].&amp;[1.11. Други средства]"/>
      <query mdx="[fActualAndBudget].[StavkaImeMK].&amp;[Недвижности]">
        <tpls c="1">
          <tpl fld="11" item="55"/>
        </tpls>
      </query>
      <query mdx="[fActualAndBudget].[StavkaImeMK].&amp;[Жиро сметки]">
        <tpls c="1">
          <tpl fld="11" item="56"/>
        </tpls>
      </query>
      <query mdx="[Calendar].[Месец].&amp;[Apr]">
        <tpls c="1">
          <tpl fld="16" item="9"/>
        </tpls>
      </query>
      <query mdx="[fActualAndBudget].[StavkaImeMK].&amp;[Обврски кон вработените]">
        <tpls c="1">
          <tpl fld="11" item="57"/>
        </tpls>
      </query>
      <query mdx="[fActualAndBudget].[StavkaKategorija].&amp;[2.35. Вредносно усогласување на тековни средства]">
        <tpls c="1">
          <tpl fld="12" item="21"/>
        </tpls>
      </query>
      <query mdx="[fActualAndBudget].[StavkaImeMK].&amp;[Одложено плаќање на трошоци и признавање на приходи (ПВР)]">
        <tpls c="1">
          <tpl fld="11" item="58"/>
        </tpls>
      </query>
      <query mdx="[fActualAndBudget].[StavkaImeMK].&amp;[Вредносно усогласување на тековни и нетековни средства]">
        <tpls c="1">
          <tpl fld="11" item="59"/>
        </tpls>
      </query>
      <query mdx="[fActualAndBudget].[StavkaKategorija].&amp;[1.25. Добивка / Загуба за деловната година]">
        <tpls c="1">
          <tpl fld="12" item="22"/>
        </tpls>
      </query>
      <query mdx="[fActualAndBudget].[StavkaImeMK].&amp;[Залихи на канцелариски и останат материјал]">
        <tpls c="1">
          <tpl fld="11" item="60"/>
        </tpls>
      </query>
      <query mdx="[fActualAndBudget].[StavkaImeMK].&amp;[Останати тековни обврски]">
        <tpls c="1">
          <tpl fld="11" item="61"/>
        </tpls>
      </query>
      <query mdx="[fActualAndBudget].[StavkaImeMK].&amp;[Канцелариски мебел]">
        <tpls c="1">
          <tpl fld="11" item="62"/>
        </tpls>
      </query>
      <query mdx="[rObrazecFinansiskiPlan2019].[Спецификации].[Спецификација].&amp;[5.7. Права].&amp;[Права]"/>
      <query mdx="[fActualAndBudget].[StavkaImeMK].&amp;[Побарувања за аванси за материјални исредства]">
        <tpls c="1">
          <tpl fld="11" item="63"/>
        </tpls>
      </query>
      <query mdx="[fActualAndBudget].[StavkaImeMK].&amp;[Добивка/ Загуба за деловната година]">
        <tpls c="1">
          <tpl fld="11" item="64"/>
        </tpls>
      </query>
      <query mdx="[CAPEX].[Број на јавна набавка (план)].[All]">
        <tpls c="1">
          <tpl hier="16" item="4294967295"/>
        </tpls>
      </query>
      <query mdx="[fActualAndBudget].[StavkaImeMK].&amp;[Долгорочни финансиски обврски]">
        <tpls c="1">
          <tpl fld="11" item="65"/>
        </tpls>
      </query>
      <query mdx="[Calendar].[Месец].&amp;[Nov]">
        <tpls c="1">
          <tpl fld="16" item="10"/>
        </tpls>
      </query>
      <query mdx="[rObrazecFinansiskiPlan2019].[Спецификации].[Спецификација].&amp;[5.1 Имот, машини и опрема].&amp;[Компјутерска и останата опрема]"/>
      <query mdx="[fActualAndBudget].[ObrazecIme].&amp;[Finansiski plan_Bilans na sostojba]">
        <tpls c="1">
          <tpl fld="1" item="1"/>
        </tpls>
      </query>
      <query mdx="[fActualAndBudget].[StavkaImeMK].&amp;[Инвестиции во тек - недвижности]">
        <tpls c="1">
          <tpl fld="11" item="66"/>
        </tpls>
      </query>
      <query mdx="[fActualAndBudget].[StavkaImeMK].&amp;[Побарувања од државата]">
        <tpls c="1">
          <tpl fld="11" item="67"/>
        </tpls>
      </query>
      <query mdx="[Calendar].[Месец].&amp;[May]">
        <tpls c="1">
          <tpl fld="16" item="11"/>
        </tpls>
      </query>
      <query mdx="[fActualAndBudget].[StavkaImeMK].&amp;[Вонбилансна пасива]">
        <tpls c="1">
          <tpl fld="11" item="68"/>
        </tpls>
      </query>
      <query mdx="[fActualAndBudget].[StavkaImeMK].&amp;[Обврски спрема државата]">
        <tpls c="1">
          <tpl fld="11" item="69"/>
        </tpls>
      </query>
      <query mdx="[fActualAndBudget].[StavkaImeMK].&amp;[Залихи на ситен инвентар и авто гуми]">
        <tpls c="1">
          <tpl fld="11" item="70"/>
        </tpls>
      </query>
      <query mdx="[fActualAndBudget].[StavkaImeMK].&amp;[Останати материјални основни средства]">
        <tpls c="1">
          <tpl fld="11" item="71"/>
        </tpls>
      </query>
      <query mdx="[fActualAndBudget].[StavkaKategorija].&amp;[1.5. Други тековни средства (АВР)"/>
      <query mdx="[Calendar].[Година].&amp;[2018]">
        <tpls c="1">
          <tpl fld="7" item="6"/>
        </tpls>
      </query>
      <query mdx="[rObrazecFinansiskiPlan2019].[Спецификации].[Спецификација].&amp;[5.7. Права]"/>
      <query mdx="[fActualAndBudget].[StavkaImeMK].&amp;[Краткорочни финансиски побарувања]">
        <tpls c="1">
          <tpl fld="11" item="72"/>
        </tpls>
      </query>
      <query mdx="[fActualAndBudget].[StavkaImeMK].&amp;[Побарувања од вработените]">
        <tpls c="1">
          <tpl fld="11" item="73"/>
        </tpls>
      </query>
      <query mdx="[rObrazecFinansiskiPlan2019].[Спецификации].[Спецификација].&amp;[5.3 Мебел и вградување на мебел].&amp;[Канцелариски мебел]"/>
      <query mdx="[rObrazecFinansiskiPlan2019].[Спецификации].[Спецификација].&amp;[5.2 Возила]"/>
      <query mdx="[fActualAndBudget].[StavkaImeMK].&amp;[Готовина странска валута]">
        <tpls c="1">
          <tpl fld="11" item="74"/>
        </tpls>
      </query>
      <query mdx="[fActualAndBudget].[StavkaImeMK].&amp;[Останати резерви - резерви за развој]">
        <tpls c="1">
          <tpl fld="11" item="75"/>
        </tpls>
      </query>
      <query mdx="[fActualAndBudget].[StavkaImeMK].&amp;[Законска резерва]">
        <tpls c="1">
          <tpl fld="11" item="76"/>
        </tpls>
      </query>
    </queryCache>
  </tupleCache>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0.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ngela Sazdova - Doneva" refreshedDate="44899.978504166669" createdVersion="5" refreshedVersion="6" minRefreshableVersion="3" recordCount="0" supportSubquery="1" supportAdvancedDrill="1" xr:uid="{00000000-000A-0000-FFFF-FFFF0B000000}">
  <cacheSource type="external" connectionId="22"/>
  <cacheFields count="9">
    <cacheField name="[fActualAndBudget].[ObrazecIme].[ObrazecIme]" caption="ObrazecIme" numFmtId="0" hierarchy="44" level="1">
      <sharedItems containsSemiMixedTypes="0" containsNonDate="0" containsString="0"/>
    </cacheField>
    <cacheField name="[fActualAndBudget].[ReportType].[ReportType]" caption="ReportType" numFmtId="0" hierarchy="35" level="1">
      <sharedItems count="1">
        <s v="План"/>
      </sharedItems>
    </cacheField>
    <cacheField name="[Measures].[Sum of Износ]" caption="Sum of Износ" numFmtId="0" hierarchy="176" level="32767"/>
    <cacheField name="[Calendar].[Date Hierarchy].[Year]" caption="Year" numFmtId="0" hierarchy="7" level="1">
      <sharedItems containsSemiMixedTypes="0" containsString="0" containsNumber="1" containsInteger="1" minValue="2022" maxValue="2022" count="1">
        <n v="2022"/>
      </sharedItems>
      <extLst>
        <ext xmlns:x15="http://schemas.microsoft.com/office/spreadsheetml/2010/11/main" uri="{4F2E5C28-24EA-4eb8-9CBF-B6C8F9C3D259}">
          <x15:cachedUniqueNames>
            <x15:cachedUniqueName index="0" name="[Calendar].[Date Hierarchy].[Year].&amp;[2022]"/>
          </x15:cachedUniqueNames>
        </ext>
      </extLst>
    </cacheField>
    <cacheField name="[Calendar].[Date Hierarchy].[Month]" caption="Month" numFmtId="0" hierarchy="7" level="2">
      <sharedItems containsSemiMixedTypes="0" containsNonDate="0" containsString="0"/>
    </cacheField>
    <cacheField name="[Calendar].[Date Hierarchy].[DateColumn]" caption="DateColumn" numFmtId="0" hierarchy="7" level="3">
      <sharedItems containsSemiMixedTypes="0" containsNonDate="0" containsString="0"/>
    </cacheField>
    <cacheField name="[fActualAndBudget].[StavkaKategorija].[StavkaKategorija]" caption="StavkaKategorija" numFmtId="0" hierarchy="40" level="1">
      <sharedItems count="8">
        <s v="2.29. Приходи од продажба"/>
        <s v="2.30. Останати оперативни приходи"/>
        <s v="2.32. Потрошени суровини и материјали"/>
        <s v="2.33. Трошоци за вработените"/>
        <s v="2.34. Амортизација на материјални средства"/>
        <s v="2.37. Останати оперативни расходи"/>
        <s v="2.40. Приходи од финансирање"/>
        <s v="2.41. Расходи од финансирање"/>
      </sharedItems>
    </cacheField>
    <cacheField name="[fActualAndBudget].[Конто].[Конто]" caption="Конто" numFmtId="0" hierarchy="31" level="1">
      <sharedItems count="144">
        <s v="74001"/>
        <s v="74002"/>
        <s v="74003"/>
        <s v="74004"/>
        <s v="74011"/>
        <s v="74021"/>
        <s v="74023"/>
        <s v="74024"/>
        <s v="74025"/>
        <s v="74031"/>
        <s v="74032"/>
        <s v="74033"/>
        <s v="74034"/>
        <s v="74035"/>
        <s v="74036"/>
        <s v="74037"/>
        <s v="74038"/>
        <s v="74041"/>
        <s v="74042"/>
        <s v="74043"/>
        <s v="74044"/>
        <s v="74051"/>
        <s v="74052"/>
        <s v="74053"/>
        <s v="7406"/>
        <s v="740611"/>
        <s v="740615"/>
        <s v="740616"/>
        <s v="740641"/>
        <s v="740642"/>
        <s v="740643"/>
        <s v="740644"/>
        <s v="74071"/>
        <s v="74072"/>
        <s v="74082"/>
        <s v="7409"/>
        <s v="7420"/>
        <s v="7672"/>
        <s v="76721"/>
        <s v="7690"/>
        <s v="7799"/>
        <s v="40103"/>
        <s v="40105"/>
        <s v="40107"/>
        <s v="4030"/>
        <s v="40304"/>
        <s v="403102"/>
        <s v="403103"/>
        <s v="403104"/>
        <s v="403105"/>
        <s v="4031601"/>
        <s v="4031602"/>
        <s v="4031603"/>
        <s v="4031604"/>
        <s v="4031605"/>
        <s v="4031606"/>
        <s v="4031607"/>
        <s v="4031608"/>
        <s v="4031609"/>
        <s v="4031610"/>
        <s v="4031611"/>
        <s v="4051"/>
        <s v="4080"/>
        <s v="4081"/>
        <s v="4200"/>
        <s v="4220"/>
        <s v="42222"/>
        <s v="4223"/>
        <s v="4224"/>
        <s v="43030"/>
        <s v="43031"/>
        <s v="431001"/>
        <s v="431002"/>
        <s v="43132"/>
        <s v="43133"/>
        <s v="43134"/>
        <s v="43136"/>
        <s v="43139"/>
        <s v="43155"/>
        <s v="4104"/>
        <s v="4106"/>
        <s v="41101"/>
        <s v="41102"/>
        <s v="41103"/>
        <s v="4111"/>
        <s v="41111"/>
        <s v="4113"/>
        <s v="4131"/>
        <s v="4132"/>
        <s v="4133"/>
        <s v="41330"/>
        <s v="4134"/>
        <s v="4139"/>
        <s v="4143"/>
        <s v="41500"/>
        <s v="41501"/>
        <s v="41502"/>
        <s v="41503"/>
        <s v="4170"/>
        <s v="41700"/>
        <s v="41701"/>
        <s v="41733"/>
        <s v="41921"/>
        <s v="41925"/>
        <s v="41931"/>
        <s v="41934"/>
        <s v="44001"/>
        <s v="4401"/>
        <s v="44011"/>
        <s v="4403"/>
        <s v="44032"/>
        <s v="44091"/>
        <s v="4422"/>
        <s v="44220"/>
        <s v="4440"/>
        <s v="44500"/>
        <s v="44501"/>
        <s v="44502"/>
        <s v="44510"/>
        <s v="4459"/>
        <s v="4460"/>
        <s v="4476"/>
        <s v="44902"/>
        <s v="44903"/>
        <s v="44904"/>
        <s v="44907"/>
        <s v="449071"/>
        <s v="44908"/>
        <s v="449083"/>
        <s v="4494"/>
        <s v="4496"/>
        <s v="4497"/>
        <s v="44970"/>
        <s v="44972"/>
        <s v="44973"/>
        <s v="44980"/>
        <s v="4499"/>
        <s v="44990"/>
        <s v="7709"/>
        <s v="7710"/>
        <s v="7743"/>
        <s v="7751"/>
        <s v="4660"/>
        <s v="4750"/>
      </sharedItems>
    </cacheField>
    <cacheField name="[fActualAndBudget].[Назив на конто].[Назив на конто]" caption="Назив на конто" numFmtId="0" hierarchy="32" level="1">
      <sharedItems count="143">
        <s v="PRIHODI OD UPIS NA ZALOG"/>
        <s v="PRIHODI OD PROMENA NA ZALOG"/>
        <s v="PRIHODI OD INFORMACII NA ZALOG"/>
        <s v="PRIHODI OD BRI[EWE NA ZALOG"/>
        <s v="PRIHODI OD INFORMACII ZA NEDVI@NOSTI"/>
        <s v="PRIHODI OD IZDADENI BONITETI"/>
        <s v="PRIHODI OD VNES NA GODI[NI SMETKI"/>
        <s v="PRIHODI OD INFORMACII OD GODI[NI SMETKI"/>
        <s v="DRUGI PRIHODI OD REGISTAR NA GODI[NI SMETKI"/>
        <s v="PRIHODI OD UPIS NA OSNOVAWE"/>
        <s v="PRIHODI OD UPIS NA PROMENA"/>
        <s v="PRIHODI OD BRI[EWE"/>
        <s v="PRIHODI OD REGISTAR NA SANKCII I PREKR[OCI"/>
        <s v="PRIHODI OD IZDADENI INFORMACII"/>
        <s v="DRUGI PRIHODI OD TRGOVSKI REGISTAR"/>
        <s v="PRIHODI OD OBJAVA NA LIKVIDACIJA"/>
        <s v="PRIHODI OD UPIS NA LIZING"/>
        <s v="PRIHODI OD PROMENA NA LIZING"/>
        <s v="PRIHODI OD BRI[EWE NA LIZING"/>
        <s v="PRIHODI OD IZDADENI INFORMACII NA LIZING"/>
        <s v="PRIHODI OD UPIS NA VLO@.NA REZIDENTI I NEREZIDENTI"/>
        <s v="PRIHODI OD PROMENA NA VLO@.NA REZID.I NEREZIDENTI"/>
        <s v="PRIHODI OD BRI[EWE NA REZIDENTI I NEREZIDENTI"/>
        <s v="PRIHODI OD PREKR[O^NA POSTAPKA"/>
        <s v="UPIS VO REGISTAR NA VISTINSKI SOPSTVENICI PO ISTEK"/>
        <s v="INFORMACII OD RVS - TEKOVNA SOSTOJBA"/>
        <s v="INFORMACII OD RVS - ISTORIJAT"/>
        <s v="PRIHODI OD INTEGRIRANA INFORMACIJA-PAKETI"/>
        <s v="DOKUMENTI ZA LI^NA SOSTOJBA"/>
        <s v="PRIHODI OD ELEKTRON. IZVESTUVAWE ZA PROMENA-PAKETI"/>
        <s v="PRIHODI OD INFORMACIJA ZA POVRZANI SUBJEKTI"/>
        <s v="PRIHODI OD UPIS NA DIR. STRANSKI INVESTICII"/>
        <s v="PRIHODI OD UPIS NA PROMENA NA DIR.STR.INVESTICII"/>
        <s v="PRIHODI OD INFORMACIJA OD REGISTAR NA ZADOL@NICI"/>
        <s v="PRIHODI OD INTERNET DISTRIBUTIVEN SISTEM"/>
        <s v="PRIH.OD IZVR[.USL.NA STRANSKI PAZAR"/>
        <s v="PRIHOD EDNAKOV NA DEPREC NA S-VA DOB. NA KORISTEWE"/>
        <s v="PRIHODI OD DONACII I POMO[TI-ORGANIZ. NA CRF 2019"/>
        <s v="OSTANATI PRIHODI OD RABOTEWETO"/>
        <s v="DRUGI NESPOMNATI PRIHODI"/>
        <s v="POTRO[.KANCELARISKI MATERIJAL"/>
        <s v="POTRO[.MATER.ZA HIGIENA"/>
        <s v="POTR.SRED.ZA ZA[TITA PRI RAB.-RAB.(OBLEKA I OBUVKI"/>
        <s v="POTR.ELEKT.ENERGIJA"/>
        <s v="POTRO[.NAFTA"/>
        <s v="POTRO[ENO GORVO SK 2082 AI"/>
        <s v="POTRO[ENO GORIVO SK 2083 AI"/>
        <s v="POTRO[ENO GORIVO SK 2084 AI"/>
        <s v="POTRO[ENO GORIVO SK 2085 AI"/>
        <s v="POTRO[ENO GORIVO SK 0601 АС"/>
        <s v="POTRO[ENO GORIVO SK 0602 АС"/>
        <s v="POTRO[ENO GORIVO SK 0603 АС"/>
        <s v="POTRO[ENO GORIVO SK 0604 АС"/>
        <s v="POTRO[ENO GORIVO SK 0605 АС"/>
        <s v="POTRO[ENO GORIVO SK 0606 АС"/>
        <s v="POTRO[ENO GORIVO SK 0607 АС"/>
        <s v="POTRO[ENO GORIVO SK 0608 АС"/>
        <s v="POTRO[ENO GORIVO SK 0609 АС"/>
        <s v="POTRO[ENO GORIVO SK 0610 АС"/>
        <s v="POTRO[ENO GORIVO SK 0611 АС"/>
        <s v="POTR.REZERVNI DELOVI ZA TEKOVNO ODR@UV."/>
        <s v="OTPIS NA SITEN INVENTAR VO UPOTREBA"/>
        <s v="OTPIS NA AVTOGUMI VO UPOTREBA"/>
        <s v="BRUTO PLATA I NADOMESTOCI ZA PLATA ZA PROIZVODSTVO"/>
        <s v="OTPREMN.ZA ODEWE VO PENZIJA"/>
        <s v="NAGRADI NA VRABOTENI PO OSNOV OCENUVAWE I DR."/>
        <s v="REGRES ZA GOD.ODMOR"/>
        <s v="POMO[ NA SEMEJSTVO VO SLU^AJ NA BOLEST I SMRT"/>
        <s v="AMORTIZACIJA NA SOFTVER 0030"/>
        <s v="AMORTIZACIJA NA SOFTVER 0031"/>
        <s v="DEPRECIJACIJA NA GRAD. OBJEKTI SOPSTVENI"/>
        <s v="DEPRECIJACIJA NA GRAD. OBJEKTI (SREDSTVA NA KORISTEWE)"/>
        <s v="AMORTIZACIJA NA TRANSPORTNI SREDSTVA"/>
        <s v="AMORTIZACIJA NA TELEKOMUNIKACISKI UREDI"/>
        <s v="AMORTIZACIJA NA KOMPJUTERSKA OPREMA 01341"/>
        <s v="AMORTIZACIJA NA KANCELARISKI MEBEL 01363"/>
        <s v="AMORTIZACIJA NA MED.UREDI - DEFIBR. 01391"/>
        <s v="AMORTIZACIJA NA VLO@UVAWE VO TU\I NEDVI@NOSTI"/>
        <s v="TAKSI PREVOZ"/>
        <s v="DR.TRANSPORTNI USLUGI"/>
        <s v="TRO[.ZA TELEKOMUNIKACII"/>
        <s v="TRO[.ZA INTERNET"/>
        <s v="TRO[.ZA MOBILNA TELEFONIJA"/>
        <s v="PO[TENSKI USLUGI"/>
        <s v="PO[TENSKI USLUGI PRATKI DO 50 GRAMA"/>
        <s v="OSTANATI NADVORE[.USLUGI"/>
        <s v="USL.ZA TEKOV.ODR@.NA GRADE@NI OBJEKTI"/>
        <s v="USL.ZA TEKOV.ODR@.NA OPREMA"/>
        <s v="USL.ZA TEKOV.ODR@UV.NA OPREMA ZA AOP"/>
        <s v="USL.ZA TEKOV.ODR@U.NA NEMATERIJALNI VLO@.(LICENCI)"/>
        <s v="USL.ZA ODR@UV.NA HIGIENA VO PROSTORII"/>
        <s v="OSTANATI USL.ZA ODR@UVAWE"/>
        <s v="NAEMNINA ZA NEDVI@NOSTI - ZAKUP OD PRAVNO LICE"/>
        <s v="TRO[OCI ZA VODA"/>
        <s v="TRO[OCI ZA SMET"/>
        <s v="TRO[.ZA ODR@UV.NA ZELENILO"/>
        <s v="TRO[.ZA GARA@IRAWE I PARKING"/>
        <s v="TRO[.ZA REKLAMI,PROPAG.I PROMOC."/>
        <s v="OSTANATI TRO[OCI ZA SNIMAWE, FOTO, IKEBANI"/>
        <s v="OGLASI VO PE^ATENI MEDIUMI"/>
        <s v="OSTANATI NESPOM.TRO[OCI"/>
        <s v="USL.ZA SOVETUV.I SEMINAR"/>
        <s v="USLUGI ZA STRU^NO USOVR[.I OBUKA"/>
        <s v="INTELEKTUALNI USLUGI"/>
        <s v="ZDRAVSTVENI USLUGI"/>
        <s v="DNEVNICI ZA SLU@BENI PATUVAWA VO STRANSTVO"/>
        <s v="PATNI TRO[OCI VO ZEMJA"/>
        <s v="PATNI TRO[OCI ZA SLU@BENI PATUVAWA VO STRANSTVO"/>
        <s v="NADOMEST ZA NO]EVAWE VO ZEMJA"/>
        <s v="NADOMEST ZA NO]EVAWE VO STRANSTVO"/>
        <s v="TRO[OCI ZA SPORT I REKREACIJA NA VRABOTENI"/>
        <s v="OSTANATI NESPOMNATI TRO[OCI"/>
        <s v="NADOM.ZA ^L.NA KOMISIA ZA @ALBI"/>
        <s v="TRO[.ZA REPREZENTACIA"/>
        <s v="PREMIJA ZA OSIGUR.NA GRADE@NI OBJEKTI"/>
        <s v="PREMIJA ZA OSIGUR.NA TRANSPORTNI SRED."/>
        <s v="PREMIJA ZA OSIGUR.NA KOMPJUTERSKA OPREMA"/>
        <s v="PREMIJA ZA OSIGUR.OD PROF.ODG.ZA [TETI PR.TRETI LICA"/>
        <s v="DR.PREMIJI ZA OSIGURUVAWE"/>
        <s v="BANKARSKI USLUGI I TRO[OCI ZA PLATEN PROMET"/>
        <s v="^LANARINA"/>
        <s v="PRAVNI,ADVOKATSKI I NOTARSKI USLUGI"/>
        <s v="USLUGI ZA REVIZIJA I PROCENKA"/>
        <s v="USLUGI ZA PREPISI I PREVODI"/>
        <s v="DRUGI DOGOVORNI USLUGI"/>
        <s v="AGENCIJA ZA PRIVREMENI VRABOTUVAWA"/>
        <s v="ZAEDN.TRO[OCI SO NBR"/>
        <s v="TRO[.ZA DOGOVOR ZA DELO"/>
        <s v="TRO[OCI ZA INTELEKTUALNI USLUGI"/>
        <s v="KOPIRAWE,PE^ATEWE,POVRZUV.I IZDAVAWE"/>
        <s v="SUDSKI TRO[OCI"/>
        <s v="TRO[.ZA REGISTR.NA VOZILO"/>
        <s v="SERVISIRAWE I POPRAVKA NA VOZILO"/>
        <s v="DR.TRO[OCI NA VOZILO"/>
        <s v="TRO[OCI ZA PATARINA"/>
        <s v="DR.NESPOMNATI NEMATERIJALNI TRO[OCI"/>
        <s v="DADENA PARI^NA POMO[ NA FIZI^KI LICA"/>
        <s v="PRIHODI OD KAMATI"/>
        <s v="PRIHODI OD KURSNA RAZLIKA"/>
        <s v="PRIHODI OD KAMATA"/>
        <s v="PRIHODI OD POZITIVNA KURSNA RAZLIKA"/>
        <s v="RASHOD OD PORANE[NI GODINI"/>
        <s v="KURSNA RAZLIKA"/>
      </sharedItems>
    </cacheField>
  </cacheFields>
  <cacheHierarchies count="195">
    <cacheHierarchy uniqueName="[Amortizacija].[Број на јавна набавка (план)]" caption="Број на јавна набавка (план)" attribute="1" defaultMemberUniqueName="[Amortizacija].[Број на јавна набавка (план)].[All]" allUniqueName="[Amortizacija].[Број на јавна набавка (план)].[All]" dimensionUniqueName="[Amortizacija]" displayFolder="" count="0" memberValueDatatype="130" unbalanced="0"/>
    <cacheHierarchy uniqueName="[Amortizacija].[Ставка]" caption="Ставка" attribute="1" defaultMemberUniqueName="[Amortizacija].[Ставка].[All]" allUniqueName="[Amortizacija].[Ставка].[All]" dimensionUniqueName="[Amortizacija]" displayFolder="" count="0" memberValueDatatype="130" unbalanced="0"/>
    <cacheHierarchy uniqueName="[Amortizacija].[Период]" caption="Период" attribute="1" time="1" defaultMemberUniqueName="[Amortizacija].[Период].[All]" allUniqueName="[Amortizacija].[Период].[All]" dimensionUniqueName="[Amortizacija]" displayFolder="" count="0" memberValueDatatype="7" unbalanced="0"/>
    <cacheHierarchy uniqueName="[Amortizacija].[Износ]" caption="Износ" attribute="1" defaultMemberUniqueName="[Amortizacija].[Износ].[All]" allUniqueName="[Amortizacija].[Износ].[All]" dimensionUniqueName="[Amortizacija]" displayFolder="" count="0" memberValueDatatype="20" unbalanced="0"/>
    <cacheHierarchy uniqueName="[Amortizacija].[Конто]" caption="Конто" attribute="1" defaultMemberUniqueName="[Amortizacija].[Конто].[All]" allUniqueName="[Amortizacija].[Конто].[All]" dimensionUniqueName="[Amortizacija]" displayFolder="" count="0" memberValueDatatype="130" unbalanced="0"/>
    <cacheHierarchy uniqueName="[Amortizacija].[ReportType]" caption="ReportType" attribute="1" defaultMemberUniqueName="[Amortizacija].[ReportType].[All]" allUniqueName="[Amortizacija].[ReportType].[All]" dimensionUniqueName="[Amortizacija]" displayFolder="" count="0" memberValueDatatype="130" unbalanced="0"/>
    <cacheHierarchy uniqueName="[Calendar].[Date]" caption="Date" attribute="1" time="1" keyAttribute="1" defaultMemberUniqueName="[Calendar].[Date].[All]" allUniqueName="[Calendar].[Date].[All]" dimensionUniqueName="[Calendar]" displayFolder="" count="0" memberValueDatatype="7" unbalanced="0"/>
    <cacheHierarchy uniqueName="[Calendar].[Date Hierarchy]" caption="Date Hierarchy" time="1" defaultMemberUniqueName="[Calendar].[Date Hierarchy].[All]" allUniqueName="[Calendar].[Date Hierarchy].[All]" dimensionUniqueName="[Calendar]" displayFolder="" count="4" unbalanced="0">
      <fieldsUsage count="4">
        <fieldUsage x="-1"/>
        <fieldUsage x="3"/>
        <fieldUsage x="4"/>
        <fieldUsage x="5"/>
      </fieldsUsage>
    </cacheHierarchy>
    <cacheHierarchy uniqueName="[Calendar].[Година]" caption="Година" attribute="1" time="1" defaultMemberUniqueName="[Calendar].[Година].[All]" allUniqueName="[Calendar].[Година].[All]" dimensionUniqueName="[Calendar]" displayFolder="" count="0" memberValueDatatype="20" unbalanced="0"/>
    <cacheHierarchy uniqueName="[Calendar].[Month Number]" caption="Month Number" attribute="1" time="1" defaultMemberUniqueName="[Calendar].[Month Number].[All]" allUniqueName="[Calendar].[Month Number].[All]" dimensionUniqueName="[Calendar]" displayFolder="" count="0" memberValueDatatype="20" unbalanced="0"/>
    <cacheHierarchy uniqueName="[Calendar].[Месец]" caption="Месец" attribute="1" time="1" defaultMemberUniqueName="[Calendar].[Месец].[All]" allUniqueName="[Calendar].[Месец].[All]" dimensionUniqueName="[Calendar]" displayFolder="" count="0" memberValueDatatype="130" unbalanced="0"/>
    <cacheHierarchy uniqueName="[Calendar].[MMM-YYYY]" caption="MMM-YYYY" attribute="1" time="1" defaultMemberUniqueName="[Calendar].[MMM-YYYY].[All]" allUniqueName="[Calendar].[MMM-YYYY].[All]" dimensionUniqueName="[Calendar]" displayFolder="" count="0" memberValueDatatype="130" unbalanced="0"/>
    <cacheHierarchy uniqueName="[Calendar].[Day Of Week Number]" caption="Day Of Week Number" attribute="1" time="1" defaultMemberUniqueName="[Calendar].[Day Of Week Number].[All]" allUniqueName="[Calendar].[Day Of Week Number].[All]" dimensionUniqueName="[Calendar]" displayFolder="" count="0" memberValueDatatype="20" unbalanced="0"/>
    <cacheHierarchy uniqueName="[Calendar].[Day Of Week]" caption="Day Of Week" attribute="1" time="1" defaultMemberUniqueName="[Calendar].[Day Of Week].[All]" allUniqueName="[Calendar].[Day Of Week].[All]" dimensionUniqueName="[Calendar]" displayFolder="" count="0" memberValueDatatype="130" unbalanced="0"/>
    <cacheHierarchy uniqueName="[Calendar].[Квартал]" caption="Квартал" attribute="1" time="1" defaultMemberUniqueName="[Calendar].[Квартал].[All]" allUniqueName="[Calendar].[Квартал].[All]" dimensionUniqueName="[Calendar]" displayFolder="" count="0" memberValueDatatype="7" unbalanced="0"/>
    <cacheHierarchy uniqueName="[CAPEX].[Година за реализација на проект]" caption="Година за реализација на проект" attribute="1" defaultMemberUniqueName="[CAPEX].[Година за реализација на проект].[All]" allUniqueName="[CAPEX].[Година за реализација на проект].[All]" dimensionUniqueName="[CAPEX]" displayFolder="" count="0" memberValueDatatype="20" unbalanced="0"/>
    <cacheHierarchy uniqueName="[CAPEX].[Број на јавна набавка (план)]" caption="Број на јавна набавка (план)" attribute="1" defaultMemberUniqueName="[CAPEX].[Број на јавна набавка (план)].[All]" allUniqueName="[CAPEX].[Број на јавна набавка (план)].[All]" dimensionUniqueName="[CAPEX]" displayFolder="" count="0" memberValueDatatype="130" unbalanced="0"/>
    <cacheHierarchy uniqueName="[CAPEX].[Предмет на договорот за јавна набавка]" caption="Предмет на договорот за јавна набавка" attribute="1" defaultMemberUniqueName="[CAPEX].[Предмет на договорот за јавна набавка].[All]" allUniqueName="[CAPEX].[Предмет на договорот за јавна набавка].[All]" dimensionUniqueName="[CAPEX]" displayFolder="" count="0" memberValueDatatype="130" unbalanced="0"/>
    <cacheHierarchy uniqueName="[CAPEX].[Очекуван датум на плаќање]" caption="Очекуван датум на плаќање" attribute="1" time="1" defaultMemberUniqueName="[CAPEX].[Очекуван датум на плаќање].[All]" allUniqueName="[CAPEX].[Очекуван датум на плаќање].[All]" dimensionUniqueName="[CAPEX]" displayFolder="" count="0" memberValueDatatype="7" unbalanced="0"/>
    <cacheHierarchy uniqueName="[CAPEX].[Очекуван датум за ставање во употреба (месец)]" caption="Очекуван датум за ставање во употреба (месец)" attribute="1" time="1" defaultMemberUniqueName="[CAPEX].[Очекуван датум за ставање во употреба (месец)].[All]" allUniqueName="[CAPEX].[Очекуван датум за ставање во употреба (месец)].[All]" dimensionUniqueName="[CAPEX]" displayFolder="" count="0" memberValueDatatype="7" unbalanced="0"/>
    <cacheHierarchy uniqueName="[CAPEX].[Проценета вредност на набавка со ДДВ (денари)]" caption="Проценета вредност на набавка со ДДВ (денари)" attribute="1" defaultMemberUniqueName="[CAPEX].[Проценета вредност на набавка со ДДВ (денари)].[All]" allUniqueName="[CAPEX].[Проценета вредност на набавка со ДДВ (денари)].[All]" dimensionUniqueName="[CAPEX]" displayFolder="" count="0" memberValueDatatype="20" unbalanced="0"/>
    <cacheHierarchy uniqueName="[CAPEX].[Стапка на амортизација]" caption="Стапка на амортизација" attribute="1" defaultMemberUniqueName="[CAPEX].[Стапка на амортизација].[All]" allUniqueName="[CAPEX].[Стапка на амортизација].[All]" dimensionUniqueName="[CAPEX]" displayFolder="" count="0" memberValueDatatype="5" unbalanced="0"/>
    <cacheHierarchy uniqueName="[CAPEX].[Конто Средства]" caption="Конто Средства" attribute="1" defaultMemberUniqueName="[CAPEX].[Конто Средства].[All]" allUniqueName="[CAPEX].[Конто Средства].[All]" dimensionUniqueName="[CAPEX]" displayFolder="" count="0" memberValueDatatype="130" unbalanced="0"/>
    <cacheHierarchy uniqueName="[CAPEX].[Конто Амортизација]" caption="Конто Амортизација" attribute="1" defaultMemberUniqueName="[CAPEX].[Конто Амортизација].[All]" allUniqueName="[CAPEX].[Конто Амортизација].[All]" dimensionUniqueName="[CAPEX]" displayFolder="" count="0" memberValueDatatype="130" unbalanced="0"/>
    <cacheHierarchy uniqueName="[CAPEX].[Износ донација]" caption="Износ донација" attribute="1" defaultMemberUniqueName="[CAPEX].[Износ донација].[All]" allUniqueName="[CAPEX].[Износ донација].[All]" dimensionUniqueName="[CAPEX]" displayFolder="" count="0" memberValueDatatype="20" unbalanced="0"/>
    <cacheHierarchy uniqueName="[CAPEX].[Очекуван датум на плаќање (Year)]" caption="Очекуван датум на плаќање (Year)" attribute="1" defaultMemberUniqueName="[CAPEX].[Очекуван датум на плаќање (Year)].[All]" allUniqueName="[CAPEX].[Очекуван датум на плаќање (Year)].[All]" dimensionUniqueName="[CAPEX]" displayFolder="" count="0" memberValueDatatype="130" unbalanced="0"/>
    <cacheHierarchy uniqueName="[CAPEX].[Очекуван датум на плаќање (Quarter)]" caption="Очекуван датум на плаќање (Quarter)" attribute="1" defaultMemberUniqueName="[CAPEX].[Очекуван датум на плаќање (Quarter)].[All]" allUniqueName="[CAPEX].[Очекуван датум на плаќање (Quarter)].[All]" dimensionUniqueName="[CAPEX]" displayFolder="" count="0" memberValueDatatype="130" unbalanced="0"/>
    <cacheHierarchy uniqueName="[CAPEX].[Очекуван датум на плаќање (Month)]" caption="Очекуван датум на плаќање (Month)" attribute="1" defaultMemberUniqueName="[CAPEX].[Очекуван датум на плаќање (Month)].[All]" allUniqueName="[CAPEX].[Очекуван датум на плаќање (Month)].[All]" dimensionUniqueName="[CAPEX]" displayFolder="" count="0" memberValueDatatype="130" unbalanced="0"/>
    <cacheHierarchy uniqueName="[CAPEX].[Очекуван датум за ставање во употреба (месец) (Year)]" caption="Очекуван датум за ставање во употреба (месец) (Year)" attribute="1" defaultMemberUniqueName="[CAPEX].[Очекуван датум за ставање во употреба (месец) (Year)].[All]" allUniqueName="[CAPEX].[Очекуван датум за ставање во употреба (месец) (Year)].[All]" dimensionUniqueName="[CAPEX]" displayFolder="" count="0" memberValueDatatype="130" unbalanced="0"/>
    <cacheHierarchy uniqueName="[CAPEX].[Очекуван датум за ставање во употреба (месец) (Quarter)]" caption="Очекуван датум за ставање во употреба (месец) (Quarter)" attribute="1" defaultMemberUniqueName="[CAPEX].[Очекуван датум за ставање во употреба (месец) (Quarter)].[All]" allUniqueName="[CAPEX].[Очекуван датум за ставање во употреба (месец) (Quarter)].[All]" dimensionUniqueName="[CAPEX]" displayFolder="" count="0" memberValueDatatype="130" unbalanced="0"/>
    <cacheHierarchy uniqueName="[CAPEX].[Очекуван датум за ставање во употреба (месец) (Month)]" caption="Очекуван датум за ставање во употреба (месец) (Month)" attribute="1" defaultMemberUniqueName="[CAPEX].[Очекуван датум за ставање во употреба (месец) (Month)].[All]" allUniqueName="[CAPEX].[Очекуван датум за ставање во употреба (месец) (Month)].[All]" dimensionUniqueName="[CAPEX]" displayFolder="" count="0" memberValueDatatype="130" unbalanced="0"/>
    <cacheHierarchy uniqueName="[fActualAndBudget].[Конто]" caption="Конто" attribute="1" defaultMemberUniqueName="[fActualAndBudget].[Конто].[All]" allUniqueName="[fActualAndBudget].[Конто].[All]" dimensionUniqueName="[fActualAndBudget]" displayFolder="" count="2" memberValueDatatype="130" unbalanced="0">
      <fieldsUsage count="2">
        <fieldUsage x="-1"/>
        <fieldUsage x="7"/>
      </fieldsUsage>
    </cacheHierarchy>
    <cacheHierarchy uniqueName="[fActualAndBudget].[Назив на конто]" caption="Назив на конто" attribute="1" defaultMemberUniqueName="[fActualAndBudget].[Назив на конто].[All]" allUniqueName="[fActualAndBudget].[Назив на конто].[All]" dimensionUniqueName="[fActualAndBudget]" displayFolder="" count="2" memberValueDatatype="130" unbalanced="0">
      <fieldsUsage count="2">
        <fieldUsage x="-1"/>
        <fieldUsage x="8"/>
      </fieldsUsage>
    </cacheHierarchy>
    <cacheHierarchy uniqueName="[fActualAndBudget].[Период]" caption="Период" attribute="1" time="1" defaultMemberUniqueName="[fActualAndBudget].[Период].[All]" allUniqueName="[fActualAndBudget].[Период].[All]" dimensionUniqueName="[fActualAndBudget]" displayFolder="" count="0" memberValueDatatype="7" unbalanced="0"/>
    <cacheHierarchy uniqueName="[fActualAndBudget].[Износ1]" caption="Износ1" attribute="1" defaultMemberUniqueName="[fActualAndBudget].[Износ1].[All]" allUniqueName="[fActualAndBudget].[Износ1].[All]" dimensionUniqueName="[fActualAndBudget]" displayFolder="" count="0" memberValueDatatype="20" unbalanced="0"/>
    <cacheHierarchy uniqueName="[fActualAndBudget].[ReportType]" caption="ReportType" attribute="1" defaultMemberUniqueName="[fActualAndBudget].[ReportType].[All]" allUniqueName="[fActualAndBudget].[ReportType].[All]" dimensionUniqueName="[fActualAndBudget]" displayFolder="" count="2" memberValueDatatype="130" unbalanced="0">
      <fieldsUsage count="2">
        <fieldUsage x="-1"/>
        <fieldUsage x="1"/>
      </fieldsUsage>
    </cacheHierarchy>
    <cacheHierarchy uniqueName="[fActualAndBudget].[Ставка]" caption="Ставка" attribute="1" defaultMemberUniqueName="[fActualAndBudget].[Ставка].[All]" allUniqueName="[fActualAndBudget].[Ставка].[All]" dimensionUniqueName="[fActualAndBudget]" displayFolder="" count="0" memberValueDatatype="130" unbalanced="0"/>
    <cacheHierarchy uniqueName="[fActualAndBudget].[Број на јавна набавка (план)]" caption="Број на јавна набавка (план)" attribute="1" defaultMemberUniqueName="[fActualAndBudget].[Број на јавна набавка (план)].[All]" allUniqueName="[fActualAndBudget].[Број на јавна набавка (план)].[All]" dimensionUniqueName="[fActualAndBudget]" displayFolder="" count="0" memberValueDatatype="130" unbalanced="0"/>
    <cacheHierarchy uniqueName="[fActualAndBudget].[StavkaImeMK]" caption="StavkaImeMK" attribute="1" defaultMemberUniqueName="[fActualAndBudget].[StavkaImeMK].[All]" allUniqueName="[fActualAndBudget].[StavkaImeMK].[All]" dimensionUniqueName="[fActualAndBudget]" displayFolder="" count="0" memberValueDatatype="130" unbalanced="0"/>
    <cacheHierarchy uniqueName="[fActualAndBudget].[StavkaGrupa]" caption="StavkaGrupa" attribute="1" defaultMemberUniqueName="[fActualAndBudget].[StavkaGrupa].[All]" allUniqueName="[fActualAndBudget].[StavkaGrupa].[All]" dimensionUniqueName="[fActualAndBudget]" displayFolder="" count="0" memberValueDatatype="130" unbalanced="0"/>
    <cacheHierarchy uniqueName="[fActualAndBudget].[StavkaKategorija]" caption="StavkaKategorija" attribute="1" defaultMemberUniqueName="[fActualAndBudget].[StavkaKategorija].[All]" allUniqueName="[fActualAndBudget].[StavkaKategorija].[All]" dimensionUniqueName="[fActualAndBudget]" displayFolder="" count="2" memberValueDatatype="130" unbalanced="0">
      <fieldsUsage count="2">
        <fieldUsage x="-1"/>
        <fieldUsage x="6"/>
      </fieldsUsage>
    </cacheHierarchy>
    <cacheHierarchy uniqueName="[fActualAndBudget].[ZnakIzvestaj]" caption="ZnakIzvestaj" attribute="1" defaultMemberUniqueName="[fActualAndBudget].[ZnakIzvestaj].[All]" allUniqueName="[fActualAndBudget].[ZnakIzvestaj].[All]" dimensionUniqueName="[fActualAndBudget]" displayFolder="" count="0" memberValueDatatype="20" unbalanced="0"/>
    <cacheHierarchy uniqueName="[fActualAndBudget].[ObrazecID]" caption="ObrazecID" attribute="1" defaultMemberUniqueName="[fActualAndBudget].[ObrazecID].[All]" allUniqueName="[fActualAndBudget].[ObrazecID].[All]" dimensionUniqueName="[fActualAndBudget]" displayFolder="" count="0" memberValueDatatype="20" unbalanced="0"/>
    <cacheHierarchy uniqueName="[fActualAndBudget].[StavkaAOP]" caption="StavkaAOP" attribute="1" defaultMemberUniqueName="[fActualAndBudget].[StavkaAOP].[All]" allUniqueName="[fActualAndBudget].[StavkaAOP].[All]" dimensionUniqueName="[fActualAndBudget]" displayFolder="" count="0" memberValueDatatype="130" unbalanced="0"/>
    <cacheHierarchy uniqueName="[fActualAndBudget].[ObrazecIme]" caption="ObrazecIme" attribute="1" defaultMemberUniqueName="[fActualAndBudget].[ObrazecIme].[All]" allUniqueName="[fActualAndBudget].[ObrazecIme].[All]" dimensionUniqueName="[fActualAndBudget]" displayFolder="" count="2" memberValueDatatype="130" unbalanced="0">
      <fieldsUsage count="2">
        <fieldUsage x="-1"/>
        <fieldUsage x="0"/>
      </fieldsUsage>
    </cacheHierarchy>
    <cacheHierarchy uniqueName="[fActualAndBudget].[Износ]" caption="Износ" attribute="1" defaultMemberUniqueName="[fActualAndBudget].[Износ].[All]" allUniqueName="[fActualAndBudget].[Износ].[All]" dimensionUniqueName="[fActualAndBudget]" displayFolder="" count="0" memberValueDatatype="20" unbalanced="0"/>
    <cacheHierarchy uniqueName="[fActualAndBudget].[Износ (илјади)]" caption="Износ (илјади)" attribute="1" defaultMemberUniqueName="[fActualAndBudget].[Износ (илјади)].[All]" allUniqueName="[fActualAndBudget].[Износ (илјади)].[All]" dimensionUniqueName="[fActualAndBudget]" displayFolder="" count="0" memberValueDatatype="5" unbalanced="0"/>
    <cacheHierarchy uniqueName="[fActualAndBudget].[StavkaImeAOP]" caption="StavkaImeAOP" attribute="1" defaultMemberUniqueName="[fActualAndBudget].[StavkaImeAOP].[All]" allUniqueName="[fActualAndBudget].[StavkaImeAOP].[All]" dimensionUniqueName="[fActualAndBudget]" displayFolder="" count="0" memberValueDatatype="130" unbalanced="0"/>
    <cacheHierarchy uniqueName="[fActualAndBudget].[Конто Ставка]" caption="Конто Ставка" attribute="1" defaultMemberUniqueName="[fActualAndBudget].[Конто Ставка].[All]" allUniqueName="[fActualAndBudget].[Конто Ставка].[All]" dimensionUniqueName="[fActualAndBudget]" displayFolder="" count="0" memberValueDatatype="130" unbalanced="0"/>
    <cacheHierarchy uniqueName="[fArtikliCeni].[Ставка]" caption="Ставка" attribute="1" defaultMemberUniqueName="[fArtikliCeni].[Ставка].[All]" allUniqueName="[fArtikliCeni].[Ставка].[All]" dimensionUniqueName="[fArtikliCeni]" displayFolder="" count="0" memberValueDatatype="130" unbalanced="0"/>
    <cacheHierarchy uniqueName="[fArtikliCeni].[Категорија Артикл]" caption="Категорија Артикл" attribute="1" defaultMemberUniqueName="[fArtikliCeni].[Категорија Артикл].[All]" allUniqueName="[fArtikliCeni].[Категорија Артикл].[All]" dimensionUniqueName="[fArtikliCeni]" displayFolder="" count="0" memberValueDatatype="130" unbalanced="0"/>
    <cacheHierarchy uniqueName="[fArtikliCeni].[Тип на артикл]" caption="Тип на артикл" attribute="1" defaultMemberUniqueName="[fArtikliCeni].[Тип на артикл].[All]" allUniqueName="[fArtikliCeni].[Тип на артикл].[All]" dimensionUniqueName="[fArtikliCeni]" displayFolder="" count="0" memberValueDatatype="130" unbalanced="0"/>
    <cacheHierarchy uniqueName="[fArtikliCeni].[Единечна мерка]" caption="Единечна мерка" attribute="1" defaultMemberUniqueName="[fArtikliCeni].[Единечна мерка].[All]" allUniqueName="[fArtikliCeni].[Единечна мерка].[All]" dimensionUniqueName="[fArtikliCeni]" displayFolder="" count="0" memberValueDatatype="130" unbalanced="0"/>
    <cacheHierarchy uniqueName="[fArtikliCeni].[Количина]" caption="Количина" attribute="1" defaultMemberUniqueName="[fArtikliCeni].[Количина].[All]" allUniqueName="[fArtikliCeni].[Количина].[All]" dimensionUniqueName="[fArtikliCeni]" displayFolder="" count="0" memberValueDatatype="5" unbalanced="0"/>
    <cacheHierarchy uniqueName="[fArtikliCeni].[Единечна цена]" caption="Единечна цена" attribute="1" defaultMemberUniqueName="[fArtikliCeni].[Единечна цена].[All]" allUniqueName="[fArtikliCeni].[Единечна цена].[All]" dimensionUniqueName="[fArtikliCeni]" displayFolder="" count="0" memberValueDatatype="20" unbalanced="0"/>
    <cacheHierarchy uniqueName="[fArtikliCeni].[Вкупно трошок]" caption="Вкупно трошок" attribute="1" defaultMemberUniqueName="[fArtikliCeni].[Вкупно трошок].[All]" allUniqueName="[fArtikliCeni].[Вкупно трошок].[All]" dimensionUniqueName="[fArtikliCeni]" displayFolder="" count="0" memberValueDatatype="5" unbalanced="0"/>
    <cacheHierarchy uniqueName="[fArtikliCeni].[ДДВ]" caption="ДДВ" attribute="1" defaultMemberUniqueName="[fArtikliCeni].[ДДВ].[All]" allUniqueName="[fArtikliCeni].[ДДВ].[All]" dimensionUniqueName="[fArtikliCeni]" displayFolder="" count="0" memberValueDatatype="5" unbalanced="0"/>
    <cacheHierarchy uniqueName="[fArtikliCeni].[Износ]" caption="Износ" attribute="1" defaultMemberUniqueName="[fArtikliCeni].[Износ].[All]" allUniqueName="[fArtikliCeni].[Износ].[All]" dimensionUniqueName="[fArtikliCeni]" displayFolder="" count="0" memberValueDatatype="5" unbalanced="0"/>
    <cacheHierarchy uniqueName="[fArtikliCeni].[Конто]" caption="Конто" attribute="1" defaultMemberUniqueName="[fArtikliCeni].[Конто].[All]" allUniqueName="[fArtikliCeni].[Конто].[All]" dimensionUniqueName="[fArtikliCeni]" displayFolder="" count="0" memberValueDatatype="130" unbalanced="0"/>
    <cacheHierarchy uniqueName="[fArtikliCeni].[ReportType]" caption="ReportType" attribute="1" defaultMemberUniqueName="[fArtikliCeni].[ReportType].[All]" allUniqueName="[fArtikliCeni].[ReportType].[All]" dimensionUniqueName="[fArtikliCeni]" displayFolder="" count="0" memberValueDatatype="130" unbalanced="0"/>
    <cacheHierarchy uniqueName="[fArtikliCeni].[Период]" caption="Период" attribute="1" time="1" defaultMemberUniqueName="[fArtikliCeni].[Период].[All]" allUniqueName="[fArtikliCeni].[Период].[All]" dimensionUniqueName="[fArtikliCeni]" displayFolder="" count="0" memberValueDatatype="7" unbalanced="0"/>
    <cacheHierarchy uniqueName="[fArtikliCeni].[StavkaImeMK]" caption="StavkaImeMK" attribute="1" defaultMemberUniqueName="[fArtikliCeni].[StavkaImeMK].[All]" allUniqueName="[fArtikliCeni].[StavkaImeMK].[All]" dimensionUniqueName="[fArtikliCeni]" displayFolder="" count="0" memberValueDatatype="130" unbalanced="0"/>
    <cacheHierarchy uniqueName="[fArtikliCeni].[StavkaAOP]" caption="StavkaAOP" attribute="1" defaultMemberUniqueName="[fArtikliCeni].[StavkaAOP].[All]" allUniqueName="[fArtikliCeni].[StavkaAOP].[All]" dimensionUniqueName="[fArtikliCeni]" displayFolder="" count="0" memberValueDatatype="130" unbalanced="0"/>
    <cacheHierarchy uniqueName="[fArtikliCeni].[StavkaGrupa]" caption="StavkaGrupa" attribute="1" defaultMemberUniqueName="[fArtikliCeni].[StavkaGrupa].[All]" allUniqueName="[fArtikliCeni].[StavkaGrupa].[All]" dimensionUniqueName="[fArtikliCeni]" displayFolder="" count="0" memberValueDatatype="130" unbalanced="0"/>
    <cacheHierarchy uniqueName="[fArtikliCeni].[StavkaKategorija]" caption="StavkaKategorija" attribute="1" defaultMemberUniqueName="[fArtikliCeni].[StavkaKategorija].[All]" allUniqueName="[fArtikliCeni].[StavkaKategorija].[All]" dimensionUniqueName="[fArtikliCeni]" displayFolder="" count="0" memberValueDatatype="130" unbalanced="0"/>
    <cacheHierarchy uniqueName="[fArtikliCeni].[ObrazecIme]" caption="ObrazecIme" attribute="1" defaultMemberUniqueName="[fArtikliCeni].[ObrazecIme].[All]" allUniqueName="[fArtikliCeni].[ObrazecIme].[All]" dimensionUniqueName="[fArtikliCeni]" displayFolder="" count="0" memberValueDatatype="130" unbalanced="0"/>
    <cacheHierarchy uniqueName="[fCoveckiResursi].[Ставка]" caption="Ставка" attribute="1" defaultMemberUniqueName="[fCoveckiResursi].[Ставка].[All]" allUniqueName="[fCoveckiResursi].[Ставка].[All]" dimensionUniqueName="[fCoveckiResursi]" displayFolder="" count="0" memberValueDatatype="130" unbalanced="0"/>
    <cacheHierarchy uniqueName="[fCoveckiResursi].[Тип на вработување]" caption="Тип на вработување" attribute="1" defaultMemberUniqueName="[fCoveckiResursi].[Тип на вработување].[All]" allUniqueName="[fCoveckiResursi].[Тип на вработување].[All]" dimensionUniqueName="[fCoveckiResursi]" displayFolder="" count="0" memberValueDatatype="130" unbalanced="0"/>
    <cacheHierarchy uniqueName="[fCoveckiResursi].[Планиран прилив/(одлив)]" caption="Планиран прилив/(одлив)" attribute="1" defaultMemberUniqueName="[fCoveckiResursi].[Планиран прилив/(одлив)].[All]" allUniqueName="[fCoveckiResursi].[Планиран прилив/(одлив)].[All]" dimensionUniqueName="[fCoveckiResursi]" displayFolder="" count="0" memberValueDatatype="20" unbalanced="0"/>
    <cacheHierarchy uniqueName="[fCoveckiResursi].[Период]" caption="Период" attribute="1" time="1" defaultMemberUniqueName="[fCoveckiResursi].[Период].[All]" allUniqueName="[fCoveckiResursi].[Период].[All]" dimensionUniqueName="[fCoveckiResursi]" displayFolder="" count="0" memberValueDatatype="7" unbalanced="0"/>
    <cacheHierarchy uniqueName="[fCoveckiResursi].[Крајна состојба вработени]" caption="Крајна состојба вработени" attribute="1" defaultMemberUniqueName="[fCoveckiResursi].[Крајна состојба вработени].[All]" allUniqueName="[fCoveckiResursi].[Крајна состојба вработени].[All]" dimensionUniqueName="[fCoveckiResursi]" displayFolder="" count="0" memberValueDatatype="20" unbalanced="0"/>
    <cacheHierarchy uniqueName="[fCoveckiResursi].[Износ]" caption="Износ" attribute="1" defaultMemberUniqueName="[fCoveckiResursi].[Износ].[All]" allUniqueName="[fCoveckiResursi].[Износ].[All]" dimensionUniqueName="[fCoveckiResursi]" displayFolder="" count="0" memberValueDatatype="20" unbalanced="0"/>
    <cacheHierarchy uniqueName="[fCoveckiResursi].[Конто]" caption="Конто" attribute="1" defaultMemberUniqueName="[fCoveckiResursi].[Конто].[All]" allUniqueName="[fCoveckiResursi].[Конто].[All]" dimensionUniqueName="[fCoveckiResursi]" displayFolder="" count="0" memberValueDatatype="130" unbalanced="0"/>
    <cacheHierarchy uniqueName="[fCoveckiResursi].[ReportType]" caption="ReportType" attribute="1" defaultMemberUniqueName="[fCoveckiResursi].[ReportType].[All]" allUniqueName="[fCoveckiResursi].[ReportType].[All]" dimensionUniqueName="[fCoveckiResursi]" displayFolder="" count="0" memberValueDatatype="130" unbalanced="0"/>
    <cacheHierarchy uniqueName="[fCoveckiResursi].[Период (Year)]" caption="Период (Year)" attribute="1" defaultMemberUniqueName="[fCoveckiResursi].[Период (Year)].[All]" allUniqueName="[fCoveckiResursi].[Период (Year)].[All]" dimensionUniqueName="[fCoveckiResursi]" displayFolder="" count="0" memberValueDatatype="130" unbalanced="0"/>
    <cacheHierarchy uniqueName="[fCoveckiResursi].[Период (Quarter)]" caption="Период (Quarter)" attribute="1" defaultMemberUniqueName="[fCoveckiResursi].[Период (Quarter)].[All]" allUniqueName="[fCoveckiResursi].[Период (Quarter)].[All]" dimensionUniqueName="[fCoveckiResursi]" displayFolder="" count="0" memberValueDatatype="130" unbalanced="0"/>
    <cacheHierarchy uniqueName="[fCoveckiResursi].[Период (Month)]" caption="Период (Month)" attribute="1" defaultMemberUniqueName="[fCoveckiResursi].[Период (Month)].[All]" allUniqueName="[fCoveckiResursi].[Период (Month)].[All]" dimensionUniqueName="[fCoveckiResursi]" displayFolder="" count="0" memberValueDatatype="130" unbalanced="0"/>
    <cacheHierarchy uniqueName="[fCoveckiResursi].[Период (Year) 1]" caption="Период (Year) 1" attribute="1" defaultMemberUniqueName="[fCoveckiResursi].[Период (Year) 1].[All]" allUniqueName="[fCoveckiResursi].[Период (Year) 1].[All]" dimensionUniqueName="[fCoveckiResursi]" displayFolder="" count="0" memberValueDatatype="130" unbalanced="0"/>
    <cacheHierarchy uniqueName="[fCoveckiResursi].[Период (Quarter) 1]" caption="Период (Quarter) 1" attribute="1" defaultMemberUniqueName="[fCoveckiResursi].[Период (Quarter) 1].[All]" allUniqueName="[fCoveckiResursi].[Период (Quarter) 1].[All]" dimensionUniqueName="[fCoveckiResursi]" displayFolder="" count="0" memberValueDatatype="130" unbalanced="0"/>
    <cacheHierarchy uniqueName="[fCoveckiResursi].[Период (Month) 1]" caption="Период (Month) 1" attribute="1" defaultMemberUniqueName="[fCoveckiResursi].[Период (Month) 1].[All]" allUniqueName="[fCoveckiResursi].[Период (Month) 1].[All]" dimensionUniqueName="[fCoveckiResursi]" displayFolder="" count="0" memberValueDatatype="130" unbalanced="0"/>
    <cacheHierarchy uniqueName="[fCoveckiResursi  2].[Ставка]" caption="Ставка" attribute="1" defaultMemberUniqueName="[fCoveckiResursi  2].[Ставка].[All]" allUniqueName="[fCoveckiResursi  2].[Ставка].[All]" dimensionUniqueName="[fCoveckiResursi  2]" displayFolder="" count="0" memberValueDatatype="130" unbalanced="0"/>
    <cacheHierarchy uniqueName="[fCoveckiResursi  2].[Период]" caption="Период" attribute="1" time="1" defaultMemberUniqueName="[fCoveckiResursi  2].[Период].[All]" allUniqueName="[fCoveckiResursi  2].[Период].[All]" dimensionUniqueName="[fCoveckiResursi  2]" displayFolder="" count="0" memberValueDatatype="7" unbalanced="0"/>
    <cacheHierarchy uniqueName="[fCoveckiResursi  2].[Износ]" caption="Износ" attribute="1" defaultMemberUniqueName="[fCoveckiResursi  2].[Износ].[All]" allUniqueName="[fCoveckiResursi  2].[Износ].[All]" dimensionUniqueName="[fCoveckiResursi  2]" displayFolder="" count="0" memberValueDatatype="20" unbalanced="0"/>
    <cacheHierarchy uniqueName="[fCoveckiResursi  2].[Конто]" caption="Конто" attribute="1" defaultMemberUniqueName="[fCoveckiResursi  2].[Конто].[All]" allUniqueName="[fCoveckiResursi  2].[Конто].[All]" dimensionUniqueName="[fCoveckiResursi  2]" displayFolder="" count="0" memberValueDatatype="130" unbalanced="0"/>
    <cacheHierarchy uniqueName="[fCoveckiResursi  2].[ReportType]" caption="ReportType" attribute="1" defaultMemberUniqueName="[fCoveckiResursi  2].[ReportType].[All]" allUniqueName="[fCoveckiResursi  2].[ReportType].[All]" dimensionUniqueName="[fCoveckiResursi  2]" displayFolder="" count="0" memberValueDatatype="130" unbalanced="0"/>
    <cacheHierarchy uniqueName="[fCoveckiResursi  2].[StavkaImeMK]" caption="StavkaImeMK" attribute="1" defaultMemberUniqueName="[fCoveckiResursi  2].[StavkaImeMK].[All]" allUniqueName="[fCoveckiResursi  2].[StavkaImeMK].[All]" dimensionUniqueName="[fCoveckiResursi  2]" displayFolder="" count="0" memberValueDatatype="130" unbalanced="0"/>
    <cacheHierarchy uniqueName="[fCoveckiResursi  2].[StavkaKategorija]" caption="StavkaKategorija" attribute="1" defaultMemberUniqueName="[fCoveckiResursi  2].[StavkaKategorija].[All]" allUniqueName="[fCoveckiResursi  2].[StavkaKategorija].[All]" dimensionUniqueName="[fCoveckiResursi  2]" displayFolder="" count="0" memberValueDatatype="130" unbalanced="0"/>
    <cacheHierarchy uniqueName="[fCoveckiResursi  2].[ObrazecIme]" caption="ObrazecIme" attribute="1" defaultMemberUniqueName="[fCoveckiResursi  2].[ObrazecIme].[All]" allUniqueName="[fCoveckiResursi  2].[ObrazecIme].[All]" dimensionUniqueName="[fCoveckiResursi  2]" displayFolder="" count="0" memberValueDatatype="130" unbalanced="0"/>
    <cacheHierarchy uniqueName="[fOPEX].[Конто]" caption="Конто" attribute="1" defaultMemberUniqueName="[fOPEX].[Конто].[All]" allUniqueName="[fOPEX].[Конто].[All]" dimensionUniqueName="[fOPEX]" displayFolder="" count="0" memberValueDatatype="130" unbalanced="0"/>
    <cacheHierarchy uniqueName="[fOPEX].[Ставка]" caption="Ставка" attribute="1" defaultMemberUniqueName="[fOPEX].[Ставка].[All]" allUniqueName="[fOPEX].[Ставка].[All]" dimensionUniqueName="[fOPEX]" displayFolder="" count="0" memberValueDatatype="130" unbalanced="0"/>
    <cacheHierarchy uniqueName="[fOPEX].[Период]" caption="Период" attribute="1" time="1" defaultMemberUniqueName="[fOPEX].[Период].[All]" allUniqueName="[fOPEX].[Период].[All]" dimensionUniqueName="[fOPEX]" displayFolder="" count="0" memberValueDatatype="7" unbalanced="0"/>
    <cacheHierarchy uniqueName="[fOPEX].[Износ]" caption="Износ" attribute="1" defaultMemberUniqueName="[fOPEX].[Износ].[All]" allUniqueName="[fOPEX].[Износ].[All]" dimensionUniqueName="[fOPEX]" displayFolder="" count="0" memberValueDatatype="20" unbalanced="0"/>
    <cacheHierarchy uniqueName="[fOPEX].[ReportType]" caption="ReportType" attribute="1" defaultMemberUniqueName="[fOPEX].[ReportType].[All]" allUniqueName="[fOPEX].[ReportType].[All]" dimensionUniqueName="[fOPEX]" displayFolder="" count="0" memberValueDatatype="130" unbalanced="0"/>
    <cacheHierarchy uniqueName="[OPEXAnaliza].[Артикл ИД]" caption="Артикл ИД" attribute="1" defaultMemberUniqueName="[OPEXAnaliza].[Артикл ИД].[All]" allUniqueName="[OPEXAnaliza].[Артикл ИД].[All]" dimensionUniqueName="[OPEXAnaliza]" displayFolder="" count="0" memberValueDatatype="20" unbalanced="0"/>
    <cacheHierarchy uniqueName="[OPEXAnaliza].[Ставка]" caption="Ставка" attribute="1" defaultMemberUniqueName="[OPEXAnaliza].[Ставка].[All]" allUniqueName="[OPEXAnaliza].[Ставка].[All]" dimensionUniqueName="[OPEXAnaliza]" displayFolder="" count="0" memberValueDatatype="130" unbalanced="0"/>
    <cacheHierarchy uniqueName="[OPEXAnaliza].[Категорија Артикл ИД]" caption="Категорија Артикл ИД" attribute="1" defaultMemberUniqueName="[OPEXAnaliza].[Категорија Артикл ИД].[All]" allUniqueName="[OPEXAnaliza].[Категорија Артикл ИД].[All]" dimensionUniqueName="[OPEXAnaliza]" displayFolder="" count="0" memberValueDatatype="20" unbalanced="0"/>
    <cacheHierarchy uniqueName="[OPEXAnaliza].[Категорија Артикл]" caption="Категорија Артикл" attribute="1" defaultMemberUniqueName="[OPEXAnaliza].[Категорија Артикл].[All]" allUniqueName="[OPEXAnaliza].[Категорија Артикл].[All]" dimensionUniqueName="[OPEXAnaliza]" displayFolder="" count="0" memberValueDatatype="130" unbalanced="0"/>
    <cacheHierarchy uniqueName="[OPEXAnaliza].[Тип на артикл]" caption="Тип на артикл" attribute="1" defaultMemberUniqueName="[OPEXAnaliza].[Тип на артикл].[All]" allUniqueName="[OPEXAnaliza].[Тип на артикл].[All]" dimensionUniqueName="[OPEXAnaliza]" displayFolder="" count="0" memberValueDatatype="130" unbalanced="0"/>
    <cacheHierarchy uniqueName="[OPEXAnaliza].[Единечна мерка]" caption="Единечна мерка" attribute="1" defaultMemberUniqueName="[OPEXAnaliza].[Единечна мерка].[All]" allUniqueName="[OPEXAnaliza].[Единечна мерка].[All]" dimensionUniqueName="[OPEXAnaliza]" displayFolder="" count="0" memberValueDatatype="130" unbalanced="0"/>
    <cacheHierarchy uniqueName="[OPEXAnaliza].[Количина]" caption="Количина" attribute="1" defaultMemberUniqueName="[OPEXAnaliza].[Количина].[All]" allUniqueName="[OPEXAnaliza].[Количина].[All]" dimensionUniqueName="[OPEXAnaliza]" displayFolder="" count="0" memberValueDatatype="5" unbalanced="0"/>
    <cacheHierarchy uniqueName="[OPEXAnaliza].[Единечна цена]" caption="Единечна цена" attribute="1" defaultMemberUniqueName="[OPEXAnaliza].[Единечна цена].[All]" allUniqueName="[OPEXAnaliza].[Единечна цена].[All]" dimensionUniqueName="[OPEXAnaliza]" displayFolder="" count="0" memberValueDatatype="20" unbalanced="0"/>
    <cacheHierarchy uniqueName="[OPEXAnaliza].[Износ]" caption="Износ" attribute="1" defaultMemberUniqueName="[OPEXAnaliza].[Износ].[All]" allUniqueName="[OPEXAnaliza].[Износ].[All]" dimensionUniqueName="[OPEXAnaliza]" displayFolder="" count="0" memberValueDatatype="5" unbalanced="0"/>
    <cacheHierarchy uniqueName="[OPEXAnaliza].[ДДВ]" caption="ДДВ" attribute="1" defaultMemberUniqueName="[OPEXAnaliza].[ДДВ].[All]" allUniqueName="[OPEXAnaliza].[ДДВ].[All]" dimensionUniqueName="[OPEXAnaliza]" displayFolder="" count="0" memberValueDatatype="5" unbalanced="0"/>
    <cacheHierarchy uniqueName="[OPEXAnaliza].[Вкупно трошок со ДДВ]" caption="Вкупно трошок со ДДВ" attribute="1" defaultMemberUniqueName="[OPEXAnaliza].[Вкупно трошок со ДДВ].[All]" allUniqueName="[OPEXAnaliza].[Вкупно трошок со ДДВ].[All]" dimensionUniqueName="[OPEXAnaliza]" displayFolder="" count="0" memberValueDatatype="5" unbalanced="0"/>
    <cacheHierarchy uniqueName="[OPEXAnaliza].[Конто]" caption="Конто" attribute="1" defaultMemberUniqueName="[OPEXAnaliza].[Конто].[All]" allUniqueName="[OPEXAnaliza].[Конто].[All]" dimensionUniqueName="[OPEXAnaliza]" displayFolder="" count="0" memberValueDatatype="130" unbalanced="0"/>
    <cacheHierarchy uniqueName="[OPEXAnaliza].[Период]" caption="Период" attribute="1" time="1" defaultMemberUniqueName="[OPEXAnaliza].[Период].[All]" allUniqueName="[OPEXAnaliza].[Период].[All]" dimensionUniqueName="[OPEXAnaliza]" displayFolder="" count="0" memberValueDatatype="7" unbalanced="0"/>
    <cacheHierarchy uniqueName="[OPEXAnaliza].[ReportType]" caption="ReportType" attribute="1" defaultMemberUniqueName="[OPEXAnaliza].[ReportType].[All]" allUniqueName="[OPEXAnaliza].[ReportType].[All]" dimensionUniqueName="[OPEXAnaliza]" displayFolder="" count="0" memberValueDatatype="130" unbalanced="0"/>
    <cacheHierarchy uniqueName="[OPEXAnaliza].[StavkaImeMK]" caption="StavkaImeMK" attribute="1" defaultMemberUniqueName="[OPEXAnaliza].[StavkaImeMK].[All]" allUniqueName="[OPEXAnaliza].[StavkaImeMK].[All]" dimensionUniqueName="[OPEXAnaliza]" displayFolder="" count="0" memberValueDatatype="130" unbalanced="0"/>
    <cacheHierarchy uniqueName="[OPEXAnaliza].[StavkaKategorija]" caption="StavkaKategorija" attribute="1" defaultMemberUniqueName="[OPEXAnaliza].[StavkaKategorija].[All]" allUniqueName="[OPEXAnaliza].[StavkaKategorija].[All]" dimensionUniqueName="[OPEXAnaliza]" displayFolder="" count="0" memberValueDatatype="130" unbalanced="0"/>
    <cacheHierarchy uniqueName="[OPEXAnaliza].[ObrazecIme]" caption="ObrazecIme" attribute="1" defaultMemberUniqueName="[OPEXAnaliza].[ObrazecIme].[All]" allUniqueName="[OPEXAnaliza].[ObrazecIme].[All]" dimensionUniqueName="[OPEXAnaliza]" displayFolder="" count="0" memberValueDatatype="130" unbalanced="0"/>
    <cacheHierarchy uniqueName="[OPEXAnaliza].[StavkaImeAOP]" caption="StavkaImeAOP" attribute="1" defaultMemberUniqueName="[OPEXAnaliza].[StavkaImeAOP].[All]" allUniqueName="[OPEXAnaliza].[StavkaImeAOP].[All]" dimensionUniqueName="[OPEXAnaliza]" displayFolder="" count="0" memberValueDatatype="20" unbalanced="0"/>
    <cacheHierarchy uniqueName="[OPEXAnaliza].[Период (Year)]" caption="Период (Year)" attribute="1" defaultMemberUniqueName="[OPEXAnaliza].[Период (Year)].[All]" allUniqueName="[OPEXAnaliza].[Период (Year)].[All]" dimensionUniqueName="[OPEXAnaliza]" displayFolder="" count="0" memberValueDatatype="130" unbalanced="0"/>
    <cacheHierarchy uniqueName="[OPEXAnaliza].[Период (Quarter)]" caption="Период (Quarter)" attribute="1" defaultMemberUniqueName="[OPEXAnaliza].[Период (Quarter)].[All]" allUniqueName="[OPEXAnaliza].[Период (Quarter)].[All]" dimensionUniqueName="[OPEXAnaliza]" displayFolder="" count="0" memberValueDatatype="130" unbalanced="0"/>
    <cacheHierarchy uniqueName="[OPEXAnaliza].[Период (Month)]" caption="Период (Month)" attribute="1" defaultMemberUniqueName="[OPEXAnaliza].[Период (Month)].[All]" allUniqueName="[OPEXAnaliza].[Период (Month)].[All]" dimensionUniqueName="[OPEXAnaliza]" displayFolder="" count="0" memberValueDatatype="130" unbalanced="0"/>
    <cacheHierarchy uniqueName="[rArtikli_HR_Analiza].[Ставка]" caption="Ставка" attribute="1" defaultMemberUniqueName="[rArtikli_HR_Analiza].[Ставка].[All]" allUniqueName="[rArtikli_HR_Analiza].[Ставка].[All]" dimensionUniqueName="[rArtikli_HR_Analiza]" displayFolder="" count="0" memberValueDatatype="130" unbalanced="0"/>
    <cacheHierarchy uniqueName="[rArtikli_HR_Analiza].[Категорија Артикл]" caption="Категорија Артикл" attribute="1" defaultMemberUniqueName="[rArtikli_HR_Analiza].[Категорија Артикл].[All]" allUniqueName="[rArtikli_HR_Analiza].[Категорија Артикл].[All]" dimensionUniqueName="[rArtikli_HR_Analiza]" displayFolder="" count="0" memberValueDatatype="130" unbalanced="0"/>
    <cacheHierarchy uniqueName="[rArtikli_HR_Analiza].[Тип на артикл]" caption="Тип на артикл" attribute="1" defaultMemberUniqueName="[rArtikli_HR_Analiza].[Тип на артикл].[All]" allUniqueName="[rArtikli_HR_Analiza].[Тип на артикл].[All]" dimensionUniqueName="[rArtikli_HR_Analiza]" displayFolder="" count="0" memberValueDatatype="130" unbalanced="0"/>
    <cacheHierarchy uniqueName="[rArtikli_HR_Analiza].[Единечна мерка]" caption="Единечна мерка" attribute="1" defaultMemberUniqueName="[rArtikli_HR_Analiza].[Единечна мерка].[All]" allUniqueName="[rArtikli_HR_Analiza].[Единечна мерка].[All]" dimensionUniqueName="[rArtikli_HR_Analiza]" displayFolder="" count="0" memberValueDatatype="130" unbalanced="0"/>
    <cacheHierarchy uniqueName="[rArtikli_HR_Analiza].[Количина]" caption="Количина" attribute="1" defaultMemberUniqueName="[rArtikli_HR_Analiza].[Количина].[All]" allUniqueName="[rArtikli_HR_Analiza].[Количина].[All]" dimensionUniqueName="[rArtikli_HR_Analiza]" displayFolder="" count="0" memberValueDatatype="5" unbalanced="0"/>
    <cacheHierarchy uniqueName="[rArtikli_HR_Analiza].[Единечна цена]" caption="Единечна цена" attribute="1" defaultMemberUniqueName="[rArtikli_HR_Analiza].[Единечна цена].[All]" allUniqueName="[rArtikli_HR_Analiza].[Единечна цена].[All]" dimensionUniqueName="[rArtikli_HR_Analiza]" displayFolder="" count="0" memberValueDatatype="20" unbalanced="0"/>
    <cacheHierarchy uniqueName="[rArtikli_HR_Analiza].[Вкупно трошок]" caption="Вкупно трошок" attribute="1" defaultMemberUniqueName="[rArtikli_HR_Analiza].[Вкупно трошок].[All]" allUniqueName="[rArtikli_HR_Analiza].[Вкупно трошок].[All]" dimensionUniqueName="[rArtikli_HR_Analiza]" displayFolder="" count="0" memberValueDatatype="5" unbalanced="0"/>
    <cacheHierarchy uniqueName="[rArtikli_HR_Analiza].[ДДВ]" caption="ДДВ" attribute="1" defaultMemberUniqueName="[rArtikli_HR_Analiza].[ДДВ].[All]" allUniqueName="[rArtikli_HR_Analiza].[ДДВ].[All]" dimensionUniqueName="[rArtikli_HR_Analiza]" displayFolder="" count="0" memberValueDatatype="5" unbalanced="0"/>
    <cacheHierarchy uniqueName="[rArtikli_HR_Analiza].[Износ]" caption="Износ" attribute="1" defaultMemberUniqueName="[rArtikli_HR_Analiza].[Износ].[All]" allUniqueName="[rArtikli_HR_Analiza].[Износ].[All]" dimensionUniqueName="[rArtikli_HR_Analiza]" displayFolder="" count="0" memberValueDatatype="5" unbalanced="0"/>
    <cacheHierarchy uniqueName="[rArtikli_HR_Analiza].[Конто]" caption="Конто" attribute="1" defaultMemberUniqueName="[rArtikli_HR_Analiza].[Конто].[All]" allUniqueName="[rArtikli_HR_Analiza].[Конто].[All]" dimensionUniqueName="[rArtikli_HR_Analiza]" displayFolder="" count="0" memberValueDatatype="130" unbalanced="0"/>
    <cacheHierarchy uniqueName="[rArtikli_HR_Analiza].[ReportType]" caption="ReportType" attribute="1" defaultMemberUniqueName="[rArtikli_HR_Analiza].[ReportType].[All]" allUniqueName="[rArtikli_HR_Analiza].[ReportType].[All]" dimensionUniqueName="[rArtikli_HR_Analiza]" displayFolder="" count="0" memberValueDatatype="130" unbalanced="0"/>
    <cacheHierarchy uniqueName="[rArtikli_HR_Analiza].[Период]" caption="Период" attribute="1" time="1" defaultMemberUniqueName="[rArtikli_HR_Analiza].[Период].[All]" allUniqueName="[rArtikli_HR_Analiza].[Период].[All]" dimensionUniqueName="[rArtikli_HR_Analiza]" displayFolder="" count="0" memberValueDatatype="7" unbalanced="0"/>
    <cacheHierarchy uniqueName="[rArtikli_HR_Analiza].[StavkaImeMK]" caption="StavkaImeMK" attribute="1" defaultMemberUniqueName="[rArtikli_HR_Analiza].[StavkaImeMK].[All]" allUniqueName="[rArtikli_HR_Analiza].[StavkaImeMK].[All]" dimensionUniqueName="[rArtikli_HR_Analiza]" displayFolder="" count="0" memberValueDatatype="130" unbalanced="0"/>
    <cacheHierarchy uniqueName="[rArtikli_HR_Analiza].[StavkaAOP]" caption="StavkaAOP" attribute="1" defaultMemberUniqueName="[rArtikli_HR_Analiza].[StavkaAOP].[All]" allUniqueName="[rArtikli_HR_Analiza].[StavkaAOP].[All]" dimensionUniqueName="[rArtikli_HR_Analiza]" displayFolder="" count="0" memberValueDatatype="130" unbalanced="0"/>
    <cacheHierarchy uniqueName="[rArtikli_HR_Analiza].[StavkaGrupa]" caption="StavkaGrupa" attribute="1" defaultMemberUniqueName="[rArtikli_HR_Analiza].[StavkaGrupa].[All]" allUniqueName="[rArtikli_HR_Analiza].[StavkaGrupa].[All]" dimensionUniqueName="[rArtikli_HR_Analiza]" displayFolder="" count="0" memberValueDatatype="130" unbalanced="0"/>
    <cacheHierarchy uniqueName="[rArtikli_HR_Analiza].[StavkaKategorija]" caption="StavkaKategorija" attribute="1" defaultMemberUniqueName="[rArtikli_HR_Analiza].[StavkaKategorija].[All]" allUniqueName="[rArtikli_HR_Analiza].[StavkaKategorija].[All]" dimensionUniqueName="[rArtikli_HR_Analiza]" displayFolder="" count="0" memberValueDatatype="130" unbalanced="0"/>
    <cacheHierarchy uniqueName="[rArtikli_HR_Analiza].[ObrazecIme]" caption="ObrazecIme" attribute="1" defaultMemberUniqueName="[rArtikli_HR_Analiza].[ObrazecIme].[All]" allUniqueName="[rArtikli_HR_Analiza].[ObrazecIme].[All]" dimensionUniqueName="[rArtikli_HR_Analiza]" displayFolder="" count="0" memberValueDatatype="130" unbalanced="0"/>
    <cacheHierarchy uniqueName="[rArtikli_HR_Analiza].[StavkaKategorija.1]" caption="StavkaKategorija.1" attribute="1" defaultMemberUniqueName="[rArtikli_HR_Analiza].[StavkaKategorija.1].[All]" allUniqueName="[rArtikli_HR_Analiza].[StavkaKategorija.1].[All]" dimensionUniqueName="[rArtikli_HR_Analiza]" displayFolder="" count="0" memberValueDatatype="130" unbalanced="0"/>
    <cacheHierarchy uniqueName="[rArtikliAnaliza].[Артикл ИД]" caption="Артикл ИД" attribute="1" defaultMemberUniqueName="[rArtikliAnaliza].[Артикл ИД].[All]" allUniqueName="[rArtikliAnaliza].[Артикл ИД].[All]" dimensionUniqueName="[rArtikliAnaliza]" displayFolder="" count="0" memberValueDatatype="20" unbalanced="0"/>
    <cacheHierarchy uniqueName="[rArtikliAnaliza].[Ставка]" caption="Ставка" attribute="1" defaultMemberUniqueName="[rArtikliAnaliza].[Ставка].[All]" allUniqueName="[rArtikliAnaliza].[Ставка].[All]" dimensionUniqueName="[rArtikliAnaliza]" displayFolder="" count="0" memberValueDatatype="130" unbalanced="0"/>
    <cacheHierarchy uniqueName="[rArtikliAnaliza].[Категорија Артикл ИД]" caption="Категорија Артикл ИД" attribute="1" defaultMemberUniqueName="[rArtikliAnaliza].[Категорија Артикл ИД].[All]" allUniqueName="[rArtikliAnaliza].[Категорија Артикл ИД].[All]" dimensionUniqueName="[rArtikliAnaliza]" displayFolder="" count="0" memberValueDatatype="20" unbalanced="0"/>
    <cacheHierarchy uniqueName="[rArtikliAnaliza].[Категорија Артикл]" caption="Категорија Артикл" attribute="1" defaultMemberUniqueName="[rArtikliAnaliza].[Категорија Артикл].[All]" allUniqueName="[rArtikliAnaliza].[Категорија Артикл].[All]" dimensionUniqueName="[rArtikliAnaliza]" displayFolder="" count="0" memberValueDatatype="130" unbalanced="0"/>
    <cacheHierarchy uniqueName="[rArtikliAnaliza].[Тип на артикл]" caption="Тип на артикл" attribute="1" defaultMemberUniqueName="[rArtikliAnaliza].[Тип на артикл].[All]" allUniqueName="[rArtikliAnaliza].[Тип на артикл].[All]" dimensionUniqueName="[rArtikliAnaliza]" displayFolder="" count="0" memberValueDatatype="130" unbalanced="0"/>
    <cacheHierarchy uniqueName="[rArtikliAnaliza].[Единечна мерка]" caption="Единечна мерка" attribute="1" defaultMemberUniqueName="[rArtikliAnaliza].[Единечна мерка].[All]" allUniqueName="[rArtikliAnaliza].[Единечна мерка].[All]" dimensionUniqueName="[rArtikliAnaliza]" displayFolder="" count="0" memberValueDatatype="130" unbalanced="0"/>
    <cacheHierarchy uniqueName="[rArtikliAnaliza].[Количина]" caption="Количина" attribute="1" defaultMemberUniqueName="[rArtikliAnaliza].[Количина].[All]" allUniqueName="[rArtikliAnaliza].[Количина].[All]" dimensionUniqueName="[rArtikliAnaliza]" displayFolder="" count="0" memberValueDatatype="5" unbalanced="0"/>
    <cacheHierarchy uniqueName="[rArtikliAnaliza].[Единечна цена]" caption="Единечна цена" attribute="1" defaultMemberUniqueName="[rArtikliAnaliza].[Единечна цена].[All]" allUniqueName="[rArtikliAnaliza].[Единечна цена].[All]" dimensionUniqueName="[rArtikliAnaliza]" displayFolder="" count="0" memberValueDatatype="20" unbalanced="0"/>
    <cacheHierarchy uniqueName="[rArtikliAnaliza].[Износ]" caption="Износ" attribute="1" defaultMemberUniqueName="[rArtikliAnaliza].[Износ].[All]" allUniqueName="[rArtikliAnaliza].[Износ].[All]" dimensionUniqueName="[rArtikliAnaliza]" displayFolder="" count="0" memberValueDatatype="5" unbalanced="0"/>
    <cacheHierarchy uniqueName="[rArtikliAnaliza].[ДДВ]" caption="ДДВ" attribute="1" defaultMemberUniqueName="[rArtikliAnaliza].[ДДВ].[All]" allUniqueName="[rArtikliAnaliza].[ДДВ].[All]" dimensionUniqueName="[rArtikliAnaliza]" displayFolder="" count="0" memberValueDatatype="5" unbalanced="0"/>
    <cacheHierarchy uniqueName="[rArtikliAnaliza].[Вкупно трошок со ДДВ]" caption="Вкупно трошок со ДДВ" attribute="1" defaultMemberUniqueName="[rArtikliAnaliza].[Вкупно трошок со ДДВ].[All]" allUniqueName="[rArtikliAnaliza].[Вкупно трошок со ДДВ].[All]" dimensionUniqueName="[rArtikliAnaliza]" displayFolder="" count="0" memberValueDatatype="5" unbalanced="0"/>
    <cacheHierarchy uniqueName="[rArtikliAnaliza].[Конто]" caption="Конто" attribute="1" defaultMemberUniqueName="[rArtikliAnaliza].[Конто].[All]" allUniqueName="[rArtikliAnaliza].[Конто].[All]" dimensionUniqueName="[rArtikliAnaliza]" displayFolder="" count="0" memberValueDatatype="130" unbalanced="0"/>
    <cacheHierarchy uniqueName="[rArtikliAnaliza].[Период]" caption="Период" attribute="1" time="1" defaultMemberUniqueName="[rArtikliAnaliza].[Период].[All]" allUniqueName="[rArtikliAnaliza].[Период].[All]" dimensionUniqueName="[rArtikliAnaliza]" displayFolder="" count="0" memberValueDatatype="7" unbalanced="0"/>
    <cacheHierarchy uniqueName="[rArtikliAnaliza].[ReportType]" caption="ReportType" attribute="1" defaultMemberUniqueName="[rArtikliAnaliza].[ReportType].[All]" allUniqueName="[rArtikliAnaliza].[ReportType].[All]" dimensionUniqueName="[rArtikliAnaliza]" displayFolder="" count="0" memberValueDatatype="130" unbalanced="0"/>
    <cacheHierarchy uniqueName="[rArtikliAnaliza].[StavkaImeMK]" caption="StavkaImeMK" attribute="1" defaultMemberUniqueName="[rArtikliAnaliza].[StavkaImeMK].[All]" allUniqueName="[rArtikliAnaliza].[StavkaImeMK].[All]" dimensionUniqueName="[rArtikliAnaliza]" displayFolder="" count="0" memberValueDatatype="130" unbalanced="0"/>
    <cacheHierarchy uniqueName="[rArtikliAnaliza].[StavkaKategorija]" caption="StavkaKategorija" attribute="1" defaultMemberUniqueName="[rArtikliAnaliza].[StavkaKategorija].[All]" allUniqueName="[rArtikliAnaliza].[StavkaKategorija].[All]" dimensionUniqueName="[rArtikliAnaliza]" displayFolder="" count="0" memberValueDatatype="130" unbalanced="0"/>
    <cacheHierarchy uniqueName="[rArtikliAnaliza].[Период (Year)]" caption="Период (Year)" attribute="1" defaultMemberUniqueName="[rArtikliAnaliza].[Период (Year)].[All]" allUniqueName="[rArtikliAnaliza].[Период (Year)].[All]" dimensionUniqueName="[rArtikliAnaliza]" displayFolder="" count="0" memberValueDatatype="130" unbalanced="0"/>
    <cacheHierarchy uniqueName="[rArtikliAnaliza].[Период (Quarter)]" caption="Период (Quarter)" attribute="1" defaultMemberUniqueName="[rArtikliAnaliza].[Период (Quarter)].[All]" allUniqueName="[rArtikliAnaliza].[Период (Quarter)].[All]" dimensionUniqueName="[rArtikliAnaliza]" displayFolder="" count="0" memberValueDatatype="130" unbalanced="0"/>
    <cacheHierarchy uniqueName="[rArtikliAnaliza].[Период (Month)]" caption="Период (Month)" attribute="1" defaultMemberUniqueName="[rArtikliAnaliza].[Период (Month)].[All]" allUniqueName="[rArtikliAnaliza].[Период (Month)].[All]" dimensionUniqueName="[rArtikliAnaliza]" displayFolder="" count="0" memberValueDatatype="130" unbalanced="0"/>
    <cacheHierarchy uniqueName="[CAPEX].[Очекуван датум за ставање во употреба (месец) (Month Index)]" caption="Очекуван датум за ставање во употреба (месец) (Month Index)" attribute="1" defaultMemberUniqueName="[CAPEX].[Очекуван датум за ставање во употреба (месец) (Month Index)].[All]" allUniqueName="[CAPEX].[Очекуван датум за ставање во употреба (месец) (Month Index)].[All]" dimensionUniqueName="[CAPEX]" displayFolder="" count="0" memberValueDatatype="20" unbalanced="0" hidden="1"/>
    <cacheHierarchy uniqueName="[CAPEX].[Очекуван датум на плаќање (Month Index)]" caption="Очекуван датум на плаќање (Month Index)" attribute="1" defaultMemberUniqueName="[CAPEX].[Очекуван датум на плаќање (Month Index)].[All]" allUniqueName="[CAPEX].[Очекуван датум на плаќање (Month Index)].[All]" dimensionUniqueName="[CAPEX]" displayFolder="" count="0" memberValueDatatype="20" unbalanced="0" hidden="1"/>
    <cacheHierarchy uniqueName="[fActualAndBudget].[StavkaID]" caption="StavkaID" attribute="1" defaultMemberUniqueName="[fActualAndBudget].[StavkaID].[All]" allUniqueName="[fActualAndBudget].[StavkaID].[All]" dimensionUniqueName="[fActualAndBudget]" displayFolder="" count="0" memberValueDatatype="20" unbalanced="0" hidden="1"/>
    <cacheHierarchy uniqueName="[fCoveckiResursi].[Период (Month Index)]" caption="Период (Month Index)" attribute="1" defaultMemberUniqueName="[fCoveckiResursi].[Период (Month Index)].[All]" allUniqueName="[fCoveckiResursi].[Период (Month Index)].[All]" dimensionUniqueName="[fCoveckiResursi]" displayFolder="" count="0" memberValueDatatype="20" unbalanced="0" hidden="1"/>
    <cacheHierarchy uniqueName="[fCoveckiResursi].[Период (Month Index) 1]" caption="Период (Month Index) 1" attribute="1" defaultMemberUniqueName="[fCoveckiResursi].[Период (Month Index) 1].[All]" allUniqueName="[fCoveckiResursi].[Период (Month Index) 1].[All]" dimensionUniqueName="[fCoveckiResursi]" displayFolder="" count="0" memberValueDatatype="20" unbalanced="0" hidden="1"/>
    <cacheHierarchy uniqueName="[OPEXAnaliza].[Период (Month Index)]" caption="Период (Month Index)" attribute="1" defaultMemberUniqueName="[OPEXAnaliza].[Период (Month Index)].[All]" allUniqueName="[OPEXAnaliza].[Период (Month Index)].[All]" dimensionUniqueName="[OPEXAnaliza]" displayFolder="" count="0" memberValueDatatype="20" unbalanced="0" hidden="1"/>
    <cacheHierarchy uniqueName="[rArtikli_HR_Analiza].[Крајна состојба вработени]" caption="Крајна состојба вработени" attribute="1" defaultMemberUniqueName="[rArtikli_HR_Analiza].[Крајна состојба вработени].[All]" allUniqueName="[rArtikli_HR_Analiza].[Крајна состојба вработени].[All]" dimensionUniqueName="[rArtikli_HR_Analiza]" displayFolder="" count="0" memberValueDatatype="20" unbalanced="0" hidden="1"/>
    <cacheHierarchy uniqueName="[rArtikli_HR_Analiza].[Планиран прилив/(одлив)]" caption="Планиран прилив/(одлив)" attribute="1" defaultMemberUniqueName="[rArtikli_HR_Analiza].[Планиран прилив/(одлив)].[All]" allUniqueName="[rArtikli_HR_Analiza].[Планиран прилив/(одлив)].[All]" dimensionUniqueName="[rArtikli_HR_Analiza]" displayFolder="" count="0" memberValueDatatype="20" unbalanced="0" hidden="1"/>
    <cacheHierarchy uniqueName="[rArtikli_HR_Analiza].[Тип на вработување]" caption="Тип на вработување" attribute="1" defaultMemberUniqueName="[rArtikli_HR_Analiza].[Тип на вработување].[All]" allUniqueName="[rArtikli_HR_Analiza].[Тип на вработување].[All]" dimensionUniqueName="[rArtikli_HR_Analiza]" displayFolder="" count="0" memberValueDatatype="130" unbalanced="0" hidden="1"/>
    <cacheHierarchy uniqueName="[rArtikliAnaliza].[Период (Month Index)]" caption="Период (Month Index)" attribute="1" defaultMemberUniqueName="[rArtikliAnaliza].[Период (Month Index)].[All]" allUniqueName="[rArtikliAnaliza].[Период (Month Index)].[All]" dimensionUniqueName="[rArtikliAnaliza]" displayFolder="" count="0" memberValueDatatype="20" unbalanced="0" hidden="1"/>
    <cacheHierarchy uniqueName="[Measures].[__XL_Count Calendar]" caption="__XL_Count Calendar" measure="1" displayFolder="" measureGroup="Calendar" count="0" hidden="1"/>
    <cacheHierarchy uniqueName="[Measures].[__XL_Count CAPEX]" caption="__XL_Count CAPEX" measure="1" displayFolder="" measureGroup="CAPEX" count="0" hidden="1"/>
    <cacheHierarchy uniqueName="[Measures].[__XL_Count Amortizacija]" caption="__XL_Count Amortizacija" measure="1" displayFolder="" measureGroup="Amortizacija" count="0" hidden="1"/>
    <cacheHierarchy uniqueName="[Measures].[__XL_Count fCoveckiResursi]" caption="__XL_Count fCoveckiResursi" measure="1" displayFolder="" measureGroup="fCoveckiResursi" count="0" hidden="1"/>
    <cacheHierarchy uniqueName="[Measures].[__XL_Count fActualAndBudget]" caption="__XL_Count fActualAndBudget" measure="1" displayFolder="" measureGroup="fActualAndBudget" count="0" hidden="1"/>
    <cacheHierarchy uniqueName="[Measures].[__XL_Count fOPEX]" caption="__XL_Count fOPEX" measure="1" displayFolder="" measureGroup="fOPEX" count="0" hidden="1"/>
    <cacheHierarchy uniqueName="[Measures].[__XL_Count OPEXAnaliza]" caption="__XL_Count OPEXAnaliza" measure="1" displayFolder="" measureGroup="OPEXAnaliza" count="0" hidden="1"/>
    <cacheHierarchy uniqueName="[Measures].[__XL_Count rArtikliAnaliza]" caption="__XL_Count rArtikliAnaliza" measure="1" displayFolder="" measureGroup="rArtikliAnaliza" count="0" hidden="1"/>
    <cacheHierarchy uniqueName="[Measures].[__XL_Count fArtikliCeni]" caption="__XL_Count fArtikliCeni" measure="1" displayFolder="" measureGroup="fArtikliCeni" count="0" hidden="1"/>
    <cacheHierarchy uniqueName="[Measures].[__XL_Count rArtikli_HR_Analiza]" caption="__XL_Count rArtikli_HR_Analiza" measure="1" displayFolder="" measureGroup="rArtikli_HR_Analiza" count="0" hidden="1"/>
    <cacheHierarchy uniqueName="[Measures].[__XL_Count fCoveckiResursi  2]" caption="__XL_Count fCoveckiResursi  2" measure="1" displayFolder="" measureGroup="fCoveckiResursi  2" count="0" hidden="1"/>
    <cacheHierarchy uniqueName="[Measures].[__No measures defined]" caption="__No measures defined" measure="1" displayFolder="" count="0" hidden="1"/>
    <cacheHierarchy uniqueName="[Measures].[Sum of Износ 3]" caption="Sum of Износ 3" measure="1" displayFolder="" measureGroup="fCoveckiResursi" count="0" hidden="1">
      <extLst>
        <ext xmlns:x15="http://schemas.microsoft.com/office/spreadsheetml/2010/11/main" uri="{B97F6D7D-B522-45F9-BDA1-12C45D357490}">
          <x15:cacheHierarchy aggregatedColumn="71"/>
        </ext>
      </extLst>
    </cacheHierarchy>
    <cacheHierarchy uniqueName="[Measures].[Sum of Крајна состојба вработени]" caption="Sum of Крајна состојба вработени" measure="1" displayFolder="" measureGroup="fCoveckiResursi" count="0" hidden="1">
      <extLst>
        <ext xmlns:x15="http://schemas.microsoft.com/office/spreadsheetml/2010/11/main" uri="{B97F6D7D-B522-45F9-BDA1-12C45D357490}">
          <x15:cacheHierarchy aggregatedColumn="70"/>
        </ext>
      </extLst>
    </cacheHierarchy>
    <cacheHierarchy uniqueName="[Measures].[Sum of Планиран прилив/(одлив)]" caption="Sum of Планиран прилив/(одлив)" measure="1" displayFolder="" measureGroup="fCoveckiResursi" count="0" hidden="1">
      <extLst>
        <ext xmlns:x15="http://schemas.microsoft.com/office/spreadsheetml/2010/11/main" uri="{B97F6D7D-B522-45F9-BDA1-12C45D357490}">
          <x15:cacheHierarchy aggregatedColumn="68"/>
        </ext>
      </extLst>
    </cacheHierarchy>
    <cacheHierarchy uniqueName="[Measures].[Sum of Износ]" caption="Sum of Износ" measure="1" displayFolder="" measureGroup="fActualAndBudget" count="0" oneField="1" hidden="1">
      <fieldsUsage count="1">
        <fieldUsage x="2"/>
      </fieldsUsage>
      <extLst>
        <ext xmlns:x15="http://schemas.microsoft.com/office/spreadsheetml/2010/11/main" uri="{B97F6D7D-B522-45F9-BDA1-12C45D357490}">
          <x15:cacheHierarchy aggregatedColumn="45"/>
        </ext>
      </extLst>
    </cacheHierarchy>
    <cacheHierarchy uniqueName="[Measures].[Sum of Износ (илјади)]" caption="Sum of Износ (илјади)" measure="1" displayFolder="" measureGroup="fActualAndBudget" count="0" hidden="1">
      <extLst>
        <ext xmlns:x15="http://schemas.microsoft.com/office/spreadsheetml/2010/11/main" uri="{B97F6D7D-B522-45F9-BDA1-12C45D357490}">
          <x15:cacheHierarchy aggregatedColumn="46"/>
        </ext>
      </extLst>
    </cacheHierarchy>
    <cacheHierarchy uniqueName="[Measures].[Sum of Износ1]" caption="Sum of Износ1" measure="1" displayFolder="" measureGroup="fActualAndBudget" count="0" hidden="1">
      <extLst>
        <ext xmlns:x15="http://schemas.microsoft.com/office/spreadsheetml/2010/11/main" uri="{B97F6D7D-B522-45F9-BDA1-12C45D357490}">
          <x15:cacheHierarchy aggregatedColumn="34"/>
        </ext>
      </extLst>
    </cacheHierarchy>
    <cacheHierarchy uniqueName="[Measures].[Sum of Износ 2]" caption="Sum of Износ 2" measure="1" displayFolder="" measureGroup="Amortizacija" count="0" hidden="1">
      <extLst>
        <ext xmlns:x15="http://schemas.microsoft.com/office/spreadsheetml/2010/11/main" uri="{B97F6D7D-B522-45F9-BDA1-12C45D357490}">
          <x15:cacheHierarchy aggregatedColumn="3"/>
        </ext>
      </extLst>
    </cacheHierarchy>
    <cacheHierarchy uniqueName="[Measures].[Sum of Износ 4]" caption="Sum of Износ 4" measure="1" displayFolder="" measureGroup="OPEXAnaliza" count="0" hidden="1">
      <extLst>
        <ext xmlns:x15="http://schemas.microsoft.com/office/spreadsheetml/2010/11/main" uri="{B97F6D7D-B522-45F9-BDA1-12C45D357490}">
          <x15:cacheHierarchy aggregatedColumn="101"/>
        </ext>
      </extLst>
    </cacheHierarchy>
    <cacheHierarchy uniqueName="[Measures].[Sum of Износ донација]" caption="Sum of Износ донација" measure="1" displayFolder="" measureGroup="CAPEX" count="0" hidden="1">
      <extLst>
        <ext xmlns:x15="http://schemas.microsoft.com/office/spreadsheetml/2010/11/main" uri="{B97F6D7D-B522-45F9-BDA1-12C45D357490}">
          <x15:cacheHierarchy aggregatedColumn="24"/>
        </ext>
      </extLst>
    </cacheHierarchy>
    <cacheHierarchy uniqueName="[Measures].[Sum of Вкупно трошок]" caption="Sum of Вкупно трошок" measure="1" displayFolder="" measureGroup="fArtikliCeni" count="0" hidden="1">
      <extLst>
        <ext xmlns:x15="http://schemas.microsoft.com/office/spreadsheetml/2010/11/main" uri="{B97F6D7D-B522-45F9-BDA1-12C45D357490}">
          <x15:cacheHierarchy aggregatedColumn="55"/>
        </ext>
      </extLst>
    </cacheHierarchy>
    <cacheHierarchy uniqueName="[Measures].[Sum of Количина]" caption="Sum of Количина" measure="1" displayFolder="" measureGroup="fArtikliCeni" count="0" hidden="1">
      <extLst>
        <ext xmlns:x15="http://schemas.microsoft.com/office/spreadsheetml/2010/11/main" uri="{B97F6D7D-B522-45F9-BDA1-12C45D357490}">
          <x15:cacheHierarchy aggregatedColumn="53"/>
        </ext>
      </extLst>
    </cacheHierarchy>
    <cacheHierarchy uniqueName="[Measures].[Sum of Единечна цена]" caption="Sum of Единечна цена" measure="1" displayFolder="" measureGroup="fArtikliCeni" count="0" hidden="1">
      <extLst>
        <ext xmlns:x15="http://schemas.microsoft.com/office/spreadsheetml/2010/11/main" uri="{B97F6D7D-B522-45F9-BDA1-12C45D357490}">
          <x15:cacheHierarchy aggregatedColumn="54"/>
        </ext>
      </extLst>
    </cacheHierarchy>
    <cacheHierarchy uniqueName="[Measures].[Sum of ДДВ]" caption="Sum of ДДВ" measure="1" displayFolder="" measureGroup="fArtikliCeni" count="0" hidden="1">
      <extLst>
        <ext xmlns:x15="http://schemas.microsoft.com/office/spreadsheetml/2010/11/main" uri="{B97F6D7D-B522-45F9-BDA1-12C45D357490}">
          <x15:cacheHierarchy aggregatedColumn="56"/>
        </ext>
      </extLst>
    </cacheHierarchy>
    <cacheHierarchy uniqueName="[Measures].[Sum of Износ 6]" caption="Sum of Износ 6" measure="1" displayFolder="" measureGroup="fArtikliCeni" count="0" hidden="1">
      <extLst>
        <ext xmlns:x15="http://schemas.microsoft.com/office/spreadsheetml/2010/11/main" uri="{B97F6D7D-B522-45F9-BDA1-12C45D357490}">
          <x15:cacheHierarchy aggregatedColumn="57"/>
        </ext>
      </extLst>
    </cacheHierarchy>
    <cacheHierarchy uniqueName="[Measures].[Count of Единечна мерка]" caption="Count of Единечна мерка" measure="1" displayFolder="" measureGroup="fArtikliCeni" count="0" hidden="1">
      <extLst>
        <ext xmlns:x15="http://schemas.microsoft.com/office/spreadsheetml/2010/11/main" uri="{B97F6D7D-B522-45F9-BDA1-12C45D357490}">
          <x15:cacheHierarchy aggregatedColumn="52"/>
        </ext>
      </extLst>
    </cacheHierarchy>
    <cacheHierarchy uniqueName="[Measures].[Sum of Количина 2]" caption="Sum of Количина 2" measure="1" displayFolder="" measureGroup="rArtikli_HR_Analiza" count="0" hidden="1">
      <extLst>
        <ext xmlns:x15="http://schemas.microsoft.com/office/spreadsheetml/2010/11/main" uri="{B97F6D7D-B522-45F9-BDA1-12C45D357490}">
          <x15:cacheHierarchy aggregatedColumn="118"/>
        </ext>
      </extLst>
    </cacheHierarchy>
    <cacheHierarchy uniqueName="[Measures].[Sum of Единечна цена 2]" caption="Sum of Единечна цена 2" measure="1" displayFolder="" measureGroup="rArtikli_HR_Analiza" count="0" hidden="1">
      <extLst>
        <ext xmlns:x15="http://schemas.microsoft.com/office/spreadsheetml/2010/11/main" uri="{B97F6D7D-B522-45F9-BDA1-12C45D357490}">
          <x15:cacheHierarchy aggregatedColumn="119"/>
        </ext>
      </extLst>
    </cacheHierarchy>
    <cacheHierarchy uniqueName="[Measures].[Sum of Вкупно трошок 2]" caption="Sum of Вкупно трошок 2" measure="1" displayFolder="" measureGroup="rArtikli_HR_Analiza" count="0" hidden="1">
      <extLst>
        <ext xmlns:x15="http://schemas.microsoft.com/office/spreadsheetml/2010/11/main" uri="{B97F6D7D-B522-45F9-BDA1-12C45D357490}">
          <x15:cacheHierarchy aggregatedColumn="120"/>
        </ext>
      </extLst>
    </cacheHierarchy>
    <cacheHierarchy uniqueName="[Measures].[Sum of ДДВ 2]" caption="Sum of ДДВ 2" measure="1" displayFolder="" measureGroup="rArtikli_HR_Analiza" count="0" hidden="1">
      <extLst>
        <ext xmlns:x15="http://schemas.microsoft.com/office/spreadsheetml/2010/11/main" uri="{B97F6D7D-B522-45F9-BDA1-12C45D357490}">
          <x15:cacheHierarchy aggregatedColumn="121"/>
        </ext>
      </extLst>
    </cacheHierarchy>
    <cacheHierarchy uniqueName="[Measures].[Sum of Износ 7]" caption="Sum of Износ 7" measure="1" displayFolder="" measureGroup="rArtikli_HR_Analiza" count="0" hidden="1">
      <extLst>
        <ext xmlns:x15="http://schemas.microsoft.com/office/spreadsheetml/2010/11/main" uri="{B97F6D7D-B522-45F9-BDA1-12C45D357490}">
          <x15:cacheHierarchy aggregatedColumn="122"/>
        </ext>
      </extLst>
    </cacheHierarchy>
    <cacheHierarchy uniqueName="[Measures].[Sum of Износ 5]" caption="Sum of Износ 5" measure="1" displayFolder="" measureGroup="fCoveckiResursi  2" count="0" hidden="1">
      <extLst>
        <ext xmlns:x15="http://schemas.microsoft.com/office/spreadsheetml/2010/11/main" uri="{B97F6D7D-B522-45F9-BDA1-12C45D357490}">
          <x15:cacheHierarchy aggregatedColumn="82"/>
        </ext>
      </extLst>
    </cacheHierarchy>
    <cacheHierarchy uniqueName="[Measures].[Sum of Проценета вредност на набавка со ДДВ (денари)]" caption="Sum of Проценета вредност на набавка со ДДВ (денари)" measure="1" displayFolder="" measureGroup="CAPEX" count="0" hidden="1">
      <extLst>
        <ext xmlns:x15="http://schemas.microsoft.com/office/spreadsheetml/2010/11/main" uri="{B97F6D7D-B522-45F9-BDA1-12C45D357490}">
          <x15:cacheHierarchy aggregatedColumn="20"/>
        </ext>
      </extLst>
    </cacheHierarchy>
  </cacheHierarchies>
  <kpis count="0"/>
  <dimensions count="12">
    <dimension name="Amortizacija" uniqueName="[Amortizacija]" caption="Amortizacija"/>
    <dimension name="Calendar" uniqueName="[Calendar]" caption="Calendar"/>
    <dimension name="CAPEX" uniqueName="[CAPEX]" caption="CAPEX"/>
    <dimension name="fActualAndBudget" uniqueName="[fActualAndBudget]" caption="fActualAndBudget"/>
    <dimension name="fArtikliCeni" uniqueName="[fArtikliCeni]" caption="fArtikliCeni"/>
    <dimension name="fCoveckiResursi" uniqueName="[fCoveckiResursi]" caption="fCoveckiResursi"/>
    <dimension name="fCoveckiResursi  2" uniqueName="[fCoveckiResursi  2]" caption="fCoveckiResursi  2"/>
    <dimension name="fOPEX" uniqueName="[fOPEX]" caption="fOPEX"/>
    <dimension measure="1" name="Measures" uniqueName="[Measures]" caption="Measures"/>
    <dimension name="OPEXAnaliza" uniqueName="[OPEXAnaliza]" caption="OPEXAnaliza"/>
    <dimension name="rArtikli_HR_Analiza" uniqueName="[rArtikli_HR_Analiza]" caption="rArtikli_HR_Analiza"/>
    <dimension name="rArtikliAnaliza" uniqueName="[rArtikliAnaliza]" caption="rArtikliAnaliza"/>
  </dimensions>
  <measureGroups count="11">
    <measureGroup name="Amortizacija" caption="Amortizacija"/>
    <measureGroup name="Calendar" caption="Calendar"/>
    <measureGroup name="CAPEX" caption="CAPEX"/>
    <measureGroup name="fActualAndBudget" caption="fActualAndBudget"/>
    <measureGroup name="fArtikliCeni" caption="fArtikliCeni"/>
    <measureGroup name="fCoveckiResursi" caption="fCoveckiResursi"/>
    <measureGroup name="fCoveckiResursi  2" caption="fCoveckiResursi  2"/>
    <measureGroup name="fOPEX" caption="fOPEX"/>
    <measureGroup name="OPEXAnaliza" caption="OPEXAnaliza"/>
    <measureGroup name="rArtikli_HR_Analiza" caption="rArtikli_HR_Analiza"/>
    <measureGroup name="rArtikliAnaliza" caption="rArtikliAnaliza"/>
  </measureGroups>
  <maps count="19">
    <map measureGroup="0" dimension="0"/>
    <map measureGroup="0" dimension="1"/>
    <map measureGroup="1" dimension="1"/>
    <map measureGroup="2" dimension="1"/>
    <map measureGroup="2" dimension="2"/>
    <map measureGroup="3" dimension="1"/>
    <map measureGroup="3" dimension="3"/>
    <map measureGroup="4" dimension="4"/>
    <map measureGroup="5" dimension="1"/>
    <map measureGroup="5" dimension="5"/>
    <map measureGroup="6" dimension="1"/>
    <map measureGroup="6" dimension="6"/>
    <map measureGroup="7" dimension="1"/>
    <map measureGroup="7" dimension="7"/>
    <map measureGroup="8" dimension="1"/>
    <map measureGroup="8" dimension="9"/>
    <map measureGroup="9" dimension="10"/>
    <map measureGroup="10" dimension="1"/>
    <map measureGroup="10" dimension="1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ngela Sazdova - Doneva" refreshedDate="44899.978507638887" createdVersion="5" refreshedVersion="6" minRefreshableVersion="3" recordCount="0" supportSubquery="1" supportAdvancedDrill="1" xr:uid="{00000000-000A-0000-FFFF-FFFF0C000000}">
  <cacheSource type="external" connectionId="22"/>
  <cacheFields count="11">
    <cacheField name="[Measures].[Sum of Износ]" caption="Sum of Износ" numFmtId="0" hierarchy="176" level="32767"/>
    <cacheField name="[Calendar].[Година].[Година]" caption="Година" numFmtId="0" hierarchy="8" level="1">
      <sharedItems containsSemiMixedTypes="0" containsString="0" containsNumber="1" containsInteger="1" minValue="2019" maxValue="2021" count="3">
        <n v="2019"/>
        <n v="2020"/>
        <n v="2021"/>
      </sharedItems>
      <extLst>
        <ext xmlns:x15="http://schemas.microsoft.com/office/spreadsheetml/2010/11/main" uri="{4F2E5C28-24EA-4eb8-9CBF-B6C8F9C3D259}">
          <x15:cachedUniqueNames>
            <x15:cachedUniqueName index="0" name="[Calendar].[Година].&amp;[2019]"/>
            <x15:cachedUniqueName index="1" name="[Calendar].[Година].&amp;[2020]"/>
            <x15:cachedUniqueName index="2" name="[Calendar].[Година].&amp;[2021]"/>
          </x15:cachedUniqueNames>
        </ext>
      </extLst>
    </cacheField>
    <cacheField name="[fActualAndBudget].[ObrazecIme].[ObrazecIme]" caption="ObrazecIme" numFmtId="0" hierarchy="44" level="1">
      <sharedItems containsSemiMixedTypes="0" containsNonDate="0" containsString="0"/>
    </cacheField>
    <cacheField name="[fActualAndBudget].[StavkaImeAOP].[StavkaImeAOP]" caption="StavkaImeAOP" numFmtId="0" hierarchy="47" level="1">
      <sharedItems count="18">
        <s v="4.1.1 - Потрошени суровини и материјали"/>
        <s v="4.1.10 - Амортизација по минимални стапки"/>
        <s v="4.1.11 - Надомест на трошоци на вработените, подароци и помошти"/>
        <s v="4.1.12 - Дневници за службени патувања и патни трошоци"/>
        <s v="4.1.13 - Трошоци за промоција,пропаганда, реклама, репрезентација и спонзорство"/>
        <s v="4.1.14 - Премии за осигурување"/>
        <s v="4.1.15 - Даноци,чланарини и други давачки кои не зависат од резултатот"/>
        <s v="4.1.16 - Банкарски услуги и трошоци за платен промет"/>
        <s v="4.1.17 - Лиценци за разни софтвери (едногодишни, обновливи)"/>
        <s v="4.1.19 - Останати нематеријални трошоци"/>
        <s v="4.1.2 - Потрoшена енергија и гориво за возила"/>
        <s v="4.1.3 - Потрошени резервни делови"/>
        <s v="4.1.4 - Потрошок на ситен инвентар и автогуми"/>
        <s v="4.1.5 - Транспортни услуги"/>
        <s v="4.1.6 - Надворешни услуги"/>
        <s v="4.1.7 - Услуги за одржување и заштита"/>
        <s v="4.1.8 - Наемнини и лизинг"/>
        <s v="4.1.9 - Останати услуги"/>
      </sharedItems>
    </cacheField>
    <cacheField name="[fActualAndBudget].[ReportType].[ReportType]" caption="ReportType" numFmtId="0" hierarchy="35" level="1">
      <sharedItems count="3">
        <s v="Остварено"/>
        <s v="План"/>
        <s v="Предвидување"/>
      </sharedItems>
    </cacheField>
    <cacheField name="[fActualAndBudget].[StavkaGrupa].[StavkaGrupa]" caption="StavkaGrupa" numFmtId="0" hierarchy="39" level="1">
      <sharedItems count="1">
        <s v="4.1. Расходи од дејноста"/>
      </sharedItems>
    </cacheField>
    <cacheField name="[fActualAndBudget].[Конто Ставка].[Конто Ставка]" caption="Конто Ставка" numFmtId="0" hierarchy="48" level="1">
      <sharedItems containsNonDate="0" count="48">
        <s v="4170 - TRO[.ZA REKLAMI,PROPAG.I PROMOC."/>
        <s v="44500 - PREMIJA ZA OSIGUR.NA GRADE@NI OBJEKTI"/>
        <s v="44501 - PREMIJA ZA OSIGUR.NA TRANSPORTNI SRED."/>
        <s v="44502 - PREMIJA ZA OSIGUR.NA KOMPJUTERSKA OPREMA"/>
        <s v="44510 - PREMIJA ZA OSIGUR.OD PROF.ODG.ZA [TETI PR.TRETI LICA"/>
        <s v="4459 - DR.PREMIJI ZA OSIGURUVAWE"/>
        <s v="4460 - BANKARSKI USLUGI I TRO[OCI ZA PLATEN PROMET"/>
        <s v="41733 - OSTANATI NESPOM.TRO[OCI"/>
        <s v="4409 - OSTANATI NESPOMNATI TRO[OCI"/>
        <s v="44091 - TRO[OCI ZA SPORT I REKREACIJA NA VRABOTENI"/>
        <s v="44091 - Закуп на сали за вработени"/>
        <s v="4422 - NADOM.ZA ^L.NA UPRAVEN ODBOR"/>
        <s v="4422 - Надоместоци за членови на УО"/>
        <s v="44220 - NADOM.ZA ^L.NA KOMISIA ZA @ALBI"/>
        <s v="44220 - Надоместоци за членови на комисија за жалби"/>
        <s v="44221 - NADOM.ZA KOMISIA ZA STRU^EN ISPIT"/>
        <s v="44312 - DONACII NA FIZI^KI LICA"/>
        <s v="4440 - TRO[.ZA REPREZENTACIA"/>
        <s v="4494 - TRO[.ZA PRETPL.NA VESNICI I STRU^NI SPISANIA"/>
        <s v="4497 - SUDSKI TRO[OCI"/>
        <s v="4499 - DR.NESPOMNATI NEMATERIJALNI TRO[OCI"/>
        <s v="44990 - DADENA PARI^NA POMO[ NA FIZI^KI LICA"/>
        <s v="4030 - POTR.ELEKT.ENERGIJA"/>
        <s v="40304 - POTRO[.NAFTA"/>
        <s v="4031 - POTRO[.GORIVO"/>
        <s v="4031 - POTRO[.NAFTA"/>
        <s v="403101 - POTRO[ENO GORIVO AK 210 SV"/>
        <s v="403102 - POTRO[ENO GORVO SK 2082 AI"/>
        <s v="403103 - POTRO[ENO GORIVO SK 2083 AI"/>
        <s v="403104 - POTRO[ENO GORIVO SK 2084 AI"/>
        <s v="403105 - POTRO[ENO GORIVO SK 2085 AI"/>
        <s v="403106 - POTRO[ENO GORIVO SK 783 OC"/>
        <s v="403107 - POTRO[ENO GORIVO SK 782 OC"/>
        <s v="4031601 - POTRO[ENO GORIVO SK 0601 АС"/>
        <s v="4031602 - POTRO[ENO GORIVO SK 0602 АС"/>
        <s v="4031603 - POTRO[ENO GORIVO SK 0603 АС"/>
        <s v="4031604 - POTRO[ENO GORIVO SK 0604 АС"/>
        <s v="4031605 - POTRO[ENO GORIVO SK 0605 АС"/>
        <s v="4031606 - POTRO[ENO GORIVO SK 0606 АС"/>
        <s v="4031607 - POTRO[ENO GORIVO SK 0607 АС"/>
        <s v="4031608 - POTRO[ENO GORIVO SK 0608 АС"/>
        <s v="4031609 - POTRO[ENO GORIVO SK 0609 АС"/>
        <s v="4031610 - POTRO[ENO GORIVO SK 0610 АС"/>
        <s v="4031611 - POTRO[ENO GORIVO SK 0611 АС"/>
        <s v="4051 - POTR.REZERVNI DELOVI ZA TEKOVNO ODR@UV."/>
        <s v="40510 - DRUGI POTRO[ENI REZEVRNI DELOVI"/>
        <s v="4080 - OTPIS NA SITEN INVENTAR VO UPOTREBA"/>
        <s v="4081 - OTPIS NA AVTOGUMI VO UPOTREBA"/>
      </sharedItems>
    </cacheField>
    <cacheField name="[Calendar].[Date Hierarchy].[Year]" caption="Year" numFmtId="0" hierarchy="7" level="1">
      <sharedItems containsSemiMixedTypes="0" containsNonDate="0" containsString="0"/>
    </cacheField>
    <cacheField name="[Calendar].[Date Hierarchy].[Month]" caption="Month" numFmtId="0" hierarchy="7" level="2">
      <sharedItems containsSemiMixedTypes="0" containsNonDate="0" containsString="0"/>
    </cacheField>
    <cacheField name="[Calendar].[Date Hierarchy].[DateColumn]" caption="DateColumn" numFmtId="0" hierarchy="7" level="3">
      <sharedItems containsSemiMixedTypes="0" containsNonDate="0" containsString="0"/>
    </cacheField>
    <cacheField name="[fActualAndBudget].[StavkaKategorija].[StavkaKategorija]" caption="StavkaKategorija" numFmtId="0" hierarchy="40" level="1">
      <sharedItems containsSemiMixedTypes="0" containsNonDate="0" containsString="0"/>
    </cacheField>
  </cacheFields>
  <cacheHierarchies count="195">
    <cacheHierarchy uniqueName="[Amortizacija].[Број на јавна набавка (план)]" caption="Број на јавна набавка (план)" attribute="1" defaultMemberUniqueName="[Amortizacija].[Број на јавна набавка (план)].[All]" allUniqueName="[Amortizacija].[Број на јавна набавка (план)].[All]" dimensionUniqueName="[Amortizacija]" displayFolder="" count="0" memberValueDatatype="130" unbalanced="0"/>
    <cacheHierarchy uniqueName="[Amortizacija].[Ставка]" caption="Ставка" attribute="1" defaultMemberUniqueName="[Amortizacija].[Ставка].[All]" allUniqueName="[Amortizacija].[Ставка].[All]" dimensionUniqueName="[Amortizacija]" displayFolder="" count="0" memberValueDatatype="130" unbalanced="0"/>
    <cacheHierarchy uniqueName="[Amortizacija].[Период]" caption="Период" attribute="1" time="1" defaultMemberUniqueName="[Amortizacija].[Период].[All]" allUniqueName="[Amortizacija].[Период].[All]" dimensionUniqueName="[Amortizacija]" displayFolder="" count="0" memberValueDatatype="7" unbalanced="0"/>
    <cacheHierarchy uniqueName="[Amortizacija].[Износ]" caption="Износ" attribute="1" defaultMemberUniqueName="[Amortizacija].[Износ].[All]" allUniqueName="[Amortizacija].[Износ].[All]" dimensionUniqueName="[Amortizacija]" displayFolder="" count="0" memberValueDatatype="20" unbalanced="0"/>
    <cacheHierarchy uniqueName="[Amortizacija].[Конто]" caption="Конто" attribute="1" defaultMemberUniqueName="[Amortizacija].[Конто].[All]" allUniqueName="[Amortizacija].[Конто].[All]" dimensionUniqueName="[Amortizacija]" displayFolder="" count="0" memberValueDatatype="130" unbalanced="0"/>
    <cacheHierarchy uniqueName="[Amortizacija].[ReportType]" caption="ReportType" attribute="1" defaultMemberUniqueName="[Amortizacija].[ReportType].[All]" allUniqueName="[Amortizacija].[ReportType].[All]" dimensionUniqueName="[Amortizacija]" displayFolder="" count="0" memberValueDatatype="130" unbalanced="0"/>
    <cacheHierarchy uniqueName="[Calendar].[Date]" caption="Date" attribute="1" time="1" keyAttribute="1" defaultMemberUniqueName="[Calendar].[Date].[All]" allUniqueName="[Calendar].[Date].[All]" dimensionUniqueName="[Calendar]" displayFolder="" count="0" memberValueDatatype="7" unbalanced="0"/>
    <cacheHierarchy uniqueName="[Calendar].[Date Hierarchy]" caption="Date Hierarchy" time="1" defaultMemberUniqueName="[Calendar].[Date Hierarchy].[All]" allUniqueName="[Calendar].[Date Hierarchy].[All]" dimensionUniqueName="[Calendar]" displayFolder="" count="4" unbalanced="0">
      <fieldsUsage count="4">
        <fieldUsage x="-1"/>
        <fieldUsage x="7"/>
        <fieldUsage x="8"/>
        <fieldUsage x="9"/>
      </fieldsUsage>
    </cacheHierarchy>
    <cacheHierarchy uniqueName="[Calendar].[Година]" caption="Година" attribute="1" time="1" defaultMemberUniqueName="[Calendar].[Година].[All]" allUniqueName="[Calendar].[Година].[All]" dimensionUniqueName="[Calendar]" displayFolder="" count="2" memberValueDatatype="20" unbalanced="0">
      <fieldsUsage count="2">
        <fieldUsage x="-1"/>
        <fieldUsage x="1"/>
      </fieldsUsage>
    </cacheHierarchy>
    <cacheHierarchy uniqueName="[Calendar].[Month Number]" caption="Month Number" attribute="1" time="1" defaultMemberUniqueName="[Calendar].[Month Number].[All]" allUniqueName="[Calendar].[Month Number].[All]" dimensionUniqueName="[Calendar]" displayFolder="" count="0" memberValueDatatype="20" unbalanced="0"/>
    <cacheHierarchy uniqueName="[Calendar].[Месец]" caption="Месец" attribute="1" time="1" defaultMemberUniqueName="[Calendar].[Месец].[All]" allUniqueName="[Calendar].[Месец].[All]" dimensionUniqueName="[Calendar]" displayFolder="" count="0" memberValueDatatype="130" unbalanced="0"/>
    <cacheHierarchy uniqueName="[Calendar].[MMM-YYYY]" caption="MMM-YYYY" attribute="1" time="1" defaultMemberUniqueName="[Calendar].[MMM-YYYY].[All]" allUniqueName="[Calendar].[MMM-YYYY].[All]" dimensionUniqueName="[Calendar]" displayFolder="" count="0" memberValueDatatype="130" unbalanced="0"/>
    <cacheHierarchy uniqueName="[Calendar].[Day Of Week Number]" caption="Day Of Week Number" attribute="1" time="1" defaultMemberUniqueName="[Calendar].[Day Of Week Number].[All]" allUniqueName="[Calendar].[Day Of Week Number].[All]" dimensionUniqueName="[Calendar]" displayFolder="" count="0" memberValueDatatype="20" unbalanced="0"/>
    <cacheHierarchy uniqueName="[Calendar].[Day Of Week]" caption="Day Of Week" attribute="1" time="1" defaultMemberUniqueName="[Calendar].[Day Of Week].[All]" allUniqueName="[Calendar].[Day Of Week].[All]" dimensionUniqueName="[Calendar]" displayFolder="" count="0" memberValueDatatype="130" unbalanced="0"/>
    <cacheHierarchy uniqueName="[Calendar].[Квартал]" caption="Квартал" attribute="1" time="1" defaultMemberUniqueName="[Calendar].[Квартал].[All]" allUniqueName="[Calendar].[Квартал].[All]" dimensionUniqueName="[Calendar]" displayFolder="" count="0" memberValueDatatype="7" unbalanced="0"/>
    <cacheHierarchy uniqueName="[CAPEX].[Година за реализација на проект]" caption="Година за реализација на проект" attribute="1" defaultMemberUniqueName="[CAPEX].[Година за реализација на проект].[All]" allUniqueName="[CAPEX].[Година за реализација на проект].[All]" dimensionUniqueName="[CAPEX]" displayFolder="" count="0" memberValueDatatype="20" unbalanced="0"/>
    <cacheHierarchy uniqueName="[CAPEX].[Број на јавна набавка (план)]" caption="Број на јавна набавка (план)" attribute="1" defaultMemberUniqueName="[CAPEX].[Број на јавна набавка (план)].[All]" allUniqueName="[CAPEX].[Број на јавна набавка (план)].[All]" dimensionUniqueName="[CAPEX]" displayFolder="" count="0" memberValueDatatype="130" unbalanced="0"/>
    <cacheHierarchy uniqueName="[CAPEX].[Предмет на договорот за јавна набавка]" caption="Предмет на договорот за јавна набавка" attribute="1" defaultMemberUniqueName="[CAPEX].[Предмет на договорот за јавна набавка].[All]" allUniqueName="[CAPEX].[Предмет на договорот за јавна набавка].[All]" dimensionUniqueName="[CAPEX]" displayFolder="" count="0" memberValueDatatype="130" unbalanced="0"/>
    <cacheHierarchy uniqueName="[CAPEX].[Очекуван датум на плаќање]" caption="Очекуван датум на плаќање" attribute="1" time="1" defaultMemberUniqueName="[CAPEX].[Очекуван датум на плаќање].[All]" allUniqueName="[CAPEX].[Очекуван датум на плаќање].[All]" dimensionUniqueName="[CAPEX]" displayFolder="" count="0" memberValueDatatype="7" unbalanced="0"/>
    <cacheHierarchy uniqueName="[CAPEX].[Очекуван датум за ставање во употреба (месец)]" caption="Очекуван датум за ставање во употреба (месец)" attribute="1" time="1" defaultMemberUniqueName="[CAPEX].[Очекуван датум за ставање во употреба (месец)].[All]" allUniqueName="[CAPEX].[Очекуван датум за ставање во употреба (месец)].[All]" dimensionUniqueName="[CAPEX]" displayFolder="" count="0" memberValueDatatype="7" unbalanced="0"/>
    <cacheHierarchy uniqueName="[CAPEX].[Проценета вредност на набавка со ДДВ (денари)]" caption="Проценета вредност на набавка со ДДВ (денари)" attribute="1" defaultMemberUniqueName="[CAPEX].[Проценета вредност на набавка со ДДВ (денари)].[All]" allUniqueName="[CAPEX].[Проценета вредност на набавка со ДДВ (денари)].[All]" dimensionUniqueName="[CAPEX]" displayFolder="" count="0" memberValueDatatype="20" unbalanced="0"/>
    <cacheHierarchy uniqueName="[CAPEX].[Стапка на амортизација]" caption="Стапка на амортизација" attribute="1" defaultMemberUniqueName="[CAPEX].[Стапка на амортизација].[All]" allUniqueName="[CAPEX].[Стапка на амортизација].[All]" dimensionUniqueName="[CAPEX]" displayFolder="" count="0" memberValueDatatype="5" unbalanced="0"/>
    <cacheHierarchy uniqueName="[CAPEX].[Конто Средства]" caption="Конто Средства" attribute="1" defaultMemberUniqueName="[CAPEX].[Конто Средства].[All]" allUniqueName="[CAPEX].[Конто Средства].[All]" dimensionUniqueName="[CAPEX]" displayFolder="" count="0" memberValueDatatype="130" unbalanced="0"/>
    <cacheHierarchy uniqueName="[CAPEX].[Конто Амортизација]" caption="Конто Амортизација" attribute="1" defaultMemberUniqueName="[CAPEX].[Конто Амортизација].[All]" allUniqueName="[CAPEX].[Конто Амортизација].[All]" dimensionUniqueName="[CAPEX]" displayFolder="" count="0" memberValueDatatype="130" unbalanced="0"/>
    <cacheHierarchy uniqueName="[CAPEX].[Износ донација]" caption="Износ донација" attribute="1" defaultMemberUniqueName="[CAPEX].[Износ донација].[All]" allUniqueName="[CAPEX].[Износ донација].[All]" dimensionUniqueName="[CAPEX]" displayFolder="" count="0" memberValueDatatype="20" unbalanced="0"/>
    <cacheHierarchy uniqueName="[CAPEX].[Очекуван датум на плаќање (Year)]" caption="Очекуван датум на плаќање (Year)" attribute="1" defaultMemberUniqueName="[CAPEX].[Очекуван датум на плаќање (Year)].[All]" allUniqueName="[CAPEX].[Очекуван датум на плаќање (Year)].[All]" dimensionUniqueName="[CAPEX]" displayFolder="" count="0" memberValueDatatype="130" unbalanced="0"/>
    <cacheHierarchy uniqueName="[CAPEX].[Очекуван датум на плаќање (Quarter)]" caption="Очекуван датум на плаќање (Quarter)" attribute="1" defaultMemberUniqueName="[CAPEX].[Очекуван датум на плаќање (Quarter)].[All]" allUniqueName="[CAPEX].[Очекуван датум на плаќање (Quarter)].[All]" dimensionUniqueName="[CAPEX]" displayFolder="" count="0" memberValueDatatype="130" unbalanced="0"/>
    <cacheHierarchy uniqueName="[CAPEX].[Очекуван датум на плаќање (Month)]" caption="Очекуван датум на плаќање (Month)" attribute="1" defaultMemberUniqueName="[CAPEX].[Очекуван датум на плаќање (Month)].[All]" allUniqueName="[CAPEX].[Очекуван датум на плаќање (Month)].[All]" dimensionUniqueName="[CAPEX]" displayFolder="" count="0" memberValueDatatype="130" unbalanced="0"/>
    <cacheHierarchy uniqueName="[CAPEX].[Очекуван датум за ставање во употреба (месец) (Year)]" caption="Очекуван датум за ставање во употреба (месец) (Year)" attribute="1" defaultMemberUniqueName="[CAPEX].[Очекуван датум за ставање во употреба (месец) (Year)].[All]" allUniqueName="[CAPEX].[Очекуван датум за ставање во употреба (месец) (Year)].[All]" dimensionUniqueName="[CAPEX]" displayFolder="" count="0" memberValueDatatype="130" unbalanced="0"/>
    <cacheHierarchy uniqueName="[CAPEX].[Очекуван датум за ставање во употреба (месец) (Quarter)]" caption="Очекуван датум за ставање во употреба (месец) (Quarter)" attribute="1" defaultMemberUniqueName="[CAPEX].[Очекуван датум за ставање во употреба (месец) (Quarter)].[All]" allUniqueName="[CAPEX].[Очекуван датум за ставање во употреба (месец) (Quarter)].[All]" dimensionUniqueName="[CAPEX]" displayFolder="" count="0" memberValueDatatype="130" unbalanced="0"/>
    <cacheHierarchy uniqueName="[CAPEX].[Очекуван датум за ставање во употреба (месец) (Month)]" caption="Очекуван датум за ставање во употреба (месец) (Month)" attribute="1" defaultMemberUniqueName="[CAPEX].[Очекуван датум за ставање во употреба (месец) (Month)].[All]" allUniqueName="[CAPEX].[Очекуван датум за ставање во употреба (месец) (Month)].[All]" dimensionUniqueName="[CAPEX]" displayFolder="" count="0" memberValueDatatype="130" unbalanced="0"/>
    <cacheHierarchy uniqueName="[fActualAndBudget].[Конто]" caption="Конто" attribute="1" defaultMemberUniqueName="[fActualAndBudget].[Конто].[All]" allUniqueName="[fActualAndBudget].[Конто].[All]" dimensionUniqueName="[fActualAndBudget]" displayFolder="" count="0" memberValueDatatype="130" unbalanced="0"/>
    <cacheHierarchy uniqueName="[fActualAndBudget].[Назив на конто]" caption="Назив на конто" attribute="1" defaultMemberUniqueName="[fActualAndBudget].[Назив на конто].[All]" allUniqueName="[fActualAndBudget].[Назив на конто].[All]" dimensionUniqueName="[fActualAndBudget]" displayFolder="" count="0" memberValueDatatype="130" unbalanced="0"/>
    <cacheHierarchy uniqueName="[fActualAndBudget].[Период]" caption="Период" attribute="1" time="1" defaultMemberUniqueName="[fActualAndBudget].[Период].[All]" allUniqueName="[fActualAndBudget].[Период].[All]" dimensionUniqueName="[fActualAndBudget]" displayFolder="" count="0" memberValueDatatype="7" unbalanced="0"/>
    <cacheHierarchy uniqueName="[fActualAndBudget].[Износ1]" caption="Износ1" attribute="1" defaultMemberUniqueName="[fActualAndBudget].[Износ1].[All]" allUniqueName="[fActualAndBudget].[Износ1].[All]" dimensionUniqueName="[fActualAndBudget]" displayFolder="" count="0" memberValueDatatype="20" unbalanced="0"/>
    <cacheHierarchy uniqueName="[fActualAndBudget].[ReportType]" caption="ReportType" attribute="1" defaultMemberUniqueName="[fActualAndBudget].[ReportType].[All]" allUniqueName="[fActualAndBudget].[ReportType].[All]" dimensionUniqueName="[fActualAndBudget]" displayFolder="" count="2" memberValueDatatype="130" unbalanced="0">
      <fieldsUsage count="2">
        <fieldUsage x="-1"/>
        <fieldUsage x="4"/>
      </fieldsUsage>
    </cacheHierarchy>
    <cacheHierarchy uniqueName="[fActualAndBudget].[Ставка]" caption="Ставка" attribute="1" defaultMemberUniqueName="[fActualAndBudget].[Ставка].[All]" allUniqueName="[fActualAndBudget].[Ставка].[All]" dimensionUniqueName="[fActualAndBudget]" displayFolder="" count="0" memberValueDatatype="130" unbalanced="0"/>
    <cacheHierarchy uniqueName="[fActualAndBudget].[Број на јавна набавка (план)]" caption="Број на јавна набавка (план)" attribute="1" defaultMemberUniqueName="[fActualAndBudget].[Број на јавна набавка (план)].[All]" allUniqueName="[fActualAndBudget].[Број на јавна набавка (план)].[All]" dimensionUniqueName="[fActualAndBudget]" displayFolder="" count="0" memberValueDatatype="130" unbalanced="0"/>
    <cacheHierarchy uniqueName="[fActualAndBudget].[StavkaImeMK]" caption="StavkaImeMK" attribute="1" defaultMemberUniqueName="[fActualAndBudget].[StavkaImeMK].[All]" allUniqueName="[fActualAndBudget].[StavkaImeMK].[All]" dimensionUniqueName="[fActualAndBudget]" displayFolder="" count="0" memberValueDatatype="130" unbalanced="0"/>
    <cacheHierarchy uniqueName="[fActualAndBudget].[StavkaGrupa]" caption="StavkaGrupa" attribute="1" defaultMemberUniqueName="[fActualAndBudget].[StavkaGrupa].[All]" allUniqueName="[fActualAndBudget].[StavkaGrupa].[All]" dimensionUniqueName="[fActualAndBudget]" displayFolder="" count="2" memberValueDatatype="130" unbalanced="0">
      <fieldsUsage count="2">
        <fieldUsage x="-1"/>
        <fieldUsage x="5"/>
      </fieldsUsage>
    </cacheHierarchy>
    <cacheHierarchy uniqueName="[fActualAndBudget].[StavkaKategorija]" caption="StavkaKategorija" attribute="1" defaultMemberUniqueName="[fActualAndBudget].[StavkaKategorija].[All]" allUniqueName="[fActualAndBudget].[StavkaKategorija].[All]" dimensionUniqueName="[fActualAndBudget]" displayFolder="" count="2" memberValueDatatype="130" unbalanced="0">
      <fieldsUsage count="2">
        <fieldUsage x="-1"/>
        <fieldUsage x="10"/>
      </fieldsUsage>
    </cacheHierarchy>
    <cacheHierarchy uniqueName="[fActualAndBudget].[ZnakIzvestaj]" caption="ZnakIzvestaj" attribute="1" defaultMemberUniqueName="[fActualAndBudget].[ZnakIzvestaj].[All]" allUniqueName="[fActualAndBudget].[ZnakIzvestaj].[All]" dimensionUniqueName="[fActualAndBudget]" displayFolder="" count="0" memberValueDatatype="20" unbalanced="0"/>
    <cacheHierarchy uniqueName="[fActualAndBudget].[ObrazecID]" caption="ObrazecID" attribute="1" defaultMemberUniqueName="[fActualAndBudget].[ObrazecID].[All]" allUniqueName="[fActualAndBudget].[ObrazecID].[All]" dimensionUniqueName="[fActualAndBudget]" displayFolder="" count="0" memberValueDatatype="20" unbalanced="0"/>
    <cacheHierarchy uniqueName="[fActualAndBudget].[StavkaAOP]" caption="StavkaAOP" attribute="1" defaultMemberUniqueName="[fActualAndBudget].[StavkaAOP].[All]" allUniqueName="[fActualAndBudget].[StavkaAOP].[All]" dimensionUniqueName="[fActualAndBudget]" displayFolder="" count="0" memberValueDatatype="130" unbalanced="0"/>
    <cacheHierarchy uniqueName="[fActualAndBudget].[ObrazecIme]" caption="ObrazecIme" attribute="1" defaultMemberUniqueName="[fActualAndBudget].[ObrazecIme].[All]" allUniqueName="[fActualAndBudget].[ObrazecIme].[All]" dimensionUniqueName="[fActualAndBudget]" displayFolder="" count="2" memberValueDatatype="130" unbalanced="0">
      <fieldsUsage count="2">
        <fieldUsage x="-1"/>
        <fieldUsage x="2"/>
      </fieldsUsage>
    </cacheHierarchy>
    <cacheHierarchy uniqueName="[fActualAndBudget].[Износ]" caption="Износ" attribute="1" defaultMemberUniqueName="[fActualAndBudget].[Износ].[All]" allUniqueName="[fActualAndBudget].[Износ].[All]" dimensionUniqueName="[fActualAndBudget]" displayFolder="" count="0" memberValueDatatype="20" unbalanced="0"/>
    <cacheHierarchy uniqueName="[fActualAndBudget].[Износ (илјади)]" caption="Износ (илјади)" attribute="1" defaultMemberUniqueName="[fActualAndBudget].[Износ (илјади)].[All]" allUniqueName="[fActualAndBudget].[Износ (илјади)].[All]" dimensionUniqueName="[fActualAndBudget]" displayFolder="" count="0" memberValueDatatype="5" unbalanced="0"/>
    <cacheHierarchy uniqueName="[fActualAndBudget].[StavkaImeAOP]" caption="StavkaImeAOP" attribute="1" defaultMemberUniqueName="[fActualAndBudget].[StavkaImeAOP].[All]" allUniqueName="[fActualAndBudget].[StavkaImeAOP].[All]" dimensionUniqueName="[fActualAndBudget]" displayFolder="" count="2" memberValueDatatype="130" unbalanced="0">
      <fieldsUsage count="2">
        <fieldUsage x="-1"/>
        <fieldUsage x="3"/>
      </fieldsUsage>
    </cacheHierarchy>
    <cacheHierarchy uniqueName="[fActualAndBudget].[Конто Ставка]" caption="Конто Ставка" attribute="1" defaultMemberUniqueName="[fActualAndBudget].[Конто Ставка].[All]" allUniqueName="[fActualAndBudget].[Конто Ставка].[All]" dimensionUniqueName="[fActualAndBudget]" displayFolder="" count="2" memberValueDatatype="130" unbalanced="0">
      <fieldsUsage count="2">
        <fieldUsage x="-1"/>
        <fieldUsage x="6"/>
      </fieldsUsage>
    </cacheHierarchy>
    <cacheHierarchy uniqueName="[fArtikliCeni].[Ставка]" caption="Ставка" attribute="1" defaultMemberUniqueName="[fArtikliCeni].[Ставка].[All]" allUniqueName="[fArtikliCeni].[Ставка].[All]" dimensionUniqueName="[fArtikliCeni]" displayFolder="" count="0" memberValueDatatype="130" unbalanced="0"/>
    <cacheHierarchy uniqueName="[fArtikliCeni].[Категорија Артикл]" caption="Категорија Артикл" attribute="1" defaultMemberUniqueName="[fArtikliCeni].[Категорија Артикл].[All]" allUniqueName="[fArtikliCeni].[Категорија Артикл].[All]" dimensionUniqueName="[fArtikliCeni]" displayFolder="" count="0" memberValueDatatype="130" unbalanced="0"/>
    <cacheHierarchy uniqueName="[fArtikliCeni].[Тип на артикл]" caption="Тип на артикл" attribute="1" defaultMemberUniqueName="[fArtikliCeni].[Тип на артикл].[All]" allUniqueName="[fArtikliCeni].[Тип на артикл].[All]" dimensionUniqueName="[fArtikliCeni]" displayFolder="" count="0" memberValueDatatype="130" unbalanced="0"/>
    <cacheHierarchy uniqueName="[fArtikliCeni].[Единечна мерка]" caption="Единечна мерка" attribute="1" defaultMemberUniqueName="[fArtikliCeni].[Единечна мерка].[All]" allUniqueName="[fArtikliCeni].[Единечна мерка].[All]" dimensionUniqueName="[fArtikliCeni]" displayFolder="" count="0" memberValueDatatype="130" unbalanced="0"/>
    <cacheHierarchy uniqueName="[fArtikliCeni].[Количина]" caption="Количина" attribute="1" defaultMemberUniqueName="[fArtikliCeni].[Количина].[All]" allUniqueName="[fArtikliCeni].[Количина].[All]" dimensionUniqueName="[fArtikliCeni]" displayFolder="" count="0" memberValueDatatype="5" unbalanced="0"/>
    <cacheHierarchy uniqueName="[fArtikliCeni].[Единечна цена]" caption="Единечна цена" attribute="1" defaultMemberUniqueName="[fArtikliCeni].[Единечна цена].[All]" allUniqueName="[fArtikliCeni].[Единечна цена].[All]" dimensionUniqueName="[fArtikliCeni]" displayFolder="" count="0" memberValueDatatype="20" unbalanced="0"/>
    <cacheHierarchy uniqueName="[fArtikliCeni].[Вкупно трошок]" caption="Вкупно трошок" attribute="1" defaultMemberUniqueName="[fArtikliCeni].[Вкупно трошок].[All]" allUniqueName="[fArtikliCeni].[Вкупно трошок].[All]" dimensionUniqueName="[fArtikliCeni]" displayFolder="" count="0" memberValueDatatype="5" unbalanced="0"/>
    <cacheHierarchy uniqueName="[fArtikliCeni].[ДДВ]" caption="ДДВ" attribute="1" defaultMemberUniqueName="[fArtikliCeni].[ДДВ].[All]" allUniqueName="[fArtikliCeni].[ДДВ].[All]" dimensionUniqueName="[fArtikliCeni]" displayFolder="" count="0" memberValueDatatype="5" unbalanced="0"/>
    <cacheHierarchy uniqueName="[fArtikliCeni].[Износ]" caption="Износ" attribute="1" defaultMemberUniqueName="[fArtikliCeni].[Износ].[All]" allUniqueName="[fArtikliCeni].[Износ].[All]" dimensionUniqueName="[fArtikliCeni]" displayFolder="" count="0" memberValueDatatype="5" unbalanced="0"/>
    <cacheHierarchy uniqueName="[fArtikliCeni].[Конто]" caption="Конто" attribute="1" defaultMemberUniqueName="[fArtikliCeni].[Конто].[All]" allUniqueName="[fArtikliCeni].[Конто].[All]" dimensionUniqueName="[fArtikliCeni]" displayFolder="" count="0" memberValueDatatype="130" unbalanced="0"/>
    <cacheHierarchy uniqueName="[fArtikliCeni].[ReportType]" caption="ReportType" attribute="1" defaultMemberUniqueName="[fArtikliCeni].[ReportType].[All]" allUniqueName="[fArtikliCeni].[ReportType].[All]" dimensionUniqueName="[fArtikliCeni]" displayFolder="" count="0" memberValueDatatype="130" unbalanced="0"/>
    <cacheHierarchy uniqueName="[fArtikliCeni].[Период]" caption="Период" attribute="1" time="1" defaultMemberUniqueName="[fArtikliCeni].[Период].[All]" allUniqueName="[fArtikliCeni].[Период].[All]" dimensionUniqueName="[fArtikliCeni]" displayFolder="" count="0" memberValueDatatype="7" unbalanced="0"/>
    <cacheHierarchy uniqueName="[fArtikliCeni].[StavkaImeMK]" caption="StavkaImeMK" attribute="1" defaultMemberUniqueName="[fArtikliCeni].[StavkaImeMK].[All]" allUniqueName="[fArtikliCeni].[StavkaImeMK].[All]" dimensionUniqueName="[fArtikliCeni]" displayFolder="" count="0" memberValueDatatype="130" unbalanced="0"/>
    <cacheHierarchy uniqueName="[fArtikliCeni].[StavkaAOP]" caption="StavkaAOP" attribute="1" defaultMemberUniqueName="[fArtikliCeni].[StavkaAOP].[All]" allUniqueName="[fArtikliCeni].[StavkaAOP].[All]" dimensionUniqueName="[fArtikliCeni]" displayFolder="" count="0" memberValueDatatype="130" unbalanced="0"/>
    <cacheHierarchy uniqueName="[fArtikliCeni].[StavkaGrupa]" caption="StavkaGrupa" attribute="1" defaultMemberUniqueName="[fArtikliCeni].[StavkaGrupa].[All]" allUniqueName="[fArtikliCeni].[StavkaGrupa].[All]" dimensionUniqueName="[fArtikliCeni]" displayFolder="" count="0" memberValueDatatype="130" unbalanced="0"/>
    <cacheHierarchy uniqueName="[fArtikliCeni].[StavkaKategorija]" caption="StavkaKategorija" attribute="1" defaultMemberUniqueName="[fArtikliCeni].[StavkaKategorija].[All]" allUniqueName="[fArtikliCeni].[StavkaKategorija].[All]" dimensionUniqueName="[fArtikliCeni]" displayFolder="" count="0" memberValueDatatype="130" unbalanced="0"/>
    <cacheHierarchy uniqueName="[fArtikliCeni].[ObrazecIme]" caption="ObrazecIme" attribute="1" defaultMemberUniqueName="[fArtikliCeni].[ObrazecIme].[All]" allUniqueName="[fArtikliCeni].[ObrazecIme].[All]" dimensionUniqueName="[fArtikliCeni]" displayFolder="" count="0" memberValueDatatype="130" unbalanced="0"/>
    <cacheHierarchy uniqueName="[fCoveckiResursi].[Ставка]" caption="Ставка" attribute="1" defaultMemberUniqueName="[fCoveckiResursi].[Ставка].[All]" allUniqueName="[fCoveckiResursi].[Ставка].[All]" dimensionUniqueName="[fCoveckiResursi]" displayFolder="" count="0" memberValueDatatype="130" unbalanced="0"/>
    <cacheHierarchy uniqueName="[fCoveckiResursi].[Тип на вработување]" caption="Тип на вработување" attribute="1" defaultMemberUniqueName="[fCoveckiResursi].[Тип на вработување].[All]" allUniqueName="[fCoveckiResursi].[Тип на вработување].[All]" dimensionUniqueName="[fCoveckiResursi]" displayFolder="" count="0" memberValueDatatype="130" unbalanced="0"/>
    <cacheHierarchy uniqueName="[fCoveckiResursi].[Планиран прилив/(одлив)]" caption="Планиран прилив/(одлив)" attribute="1" defaultMemberUniqueName="[fCoveckiResursi].[Планиран прилив/(одлив)].[All]" allUniqueName="[fCoveckiResursi].[Планиран прилив/(одлив)].[All]" dimensionUniqueName="[fCoveckiResursi]" displayFolder="" count="0" memberValueDatatype="20" unbalanced="0"/>
    <cacheHierarchy uniqueName="[fCoveckiResursi].[Период]" caption="Период" attribute="1" time="1" defaultMemberUniqueName="[fCoveckiResursi].[Период].[All]" allUniqueName="[fCoveckiResursi].[Период].[All]" dimensionUniqueName="[fCoveckiResursi]" displayFolder="" count="0" memberValueDatatype="7" unbalanced="0"/>
    <cacheHierarchy uniqueName="[fCoveckiResursi].[Крајна состојба вработени]" caption="Крајна состојба вработени" attribute="1" defaultMemberUniqueName="[fCoveckiResursi].[Крајна состојба вработени].[All]" allUniqueName="[fCoveckiResursi].[Крајна состојба вработени].[All]" dimensionUniqueName="[fCoveckiResursi]" displayFolder="" count="0" memberValueDatatype="20" unbalanced="0"/>
    <cacheHierarchy uniqueName="[fCoveckiResursi].[Износ]" caption="Износ" attribute="1" defaultMemberUniqueName="[fCoveckiResursi].[Износ].[All]" allUniqueName="[fCoveckiResursi].[Износ].[All]" dimensionUniqueName="[fCoveckiResursi]" displayFolder="" count="0" memberValueDatatype="20" unbalanced="0"/>
    <cacheHierarchy uniqueName="[fCoveckiResursi].[Конто]" caption="Конто" attribute="1" defaultMemberUniqueName="[fCoveckiResursi].[Конто].[All]" allUniqueName="[fCoveckiResursi].[Конто].[All]" dimensionUniqueName="[fCoveckiResursi]" displayFolder="" count="0" memberValueDatatype="130" unbalanced="0"/>
    <cacheHierarchy uniqueName="[fCoveckiResursi].[ReportType]" caption="ReportType" attribute="1" defaultMemberUniqueName="[fCoveckiResursi].[ReportType].[All]" allUniqueName="[fCoveckiResursi].[ReportType].[All]" dimensionUniqueName="[fCoveckiResursi]" displayFolder="" count="0" memberValueDatatype="130" unbalanced="0"/>
    <cacheHierarchy uniqueName="[fCoveckiResursi].[Период (Year)]" caption="Период (Year)" attribute="1" defaultMemberUniqueName="[fCoveckiResursi].[Период (Year)].[All]" allUniqueName="[fCoveckiResursi].[Период (Year)].[All]" dimensionUniqueName="[fCoveckiResursi]" displayFolder="" count="0" memberValueDatatype="130" unbalanced="0"/>
    <cacheHierarchy uniqueName="[fCoveckiResursi].[Период (Quarter)]" caption="Период (Quarter)" attribute="1" defaultMemberUniqueName="[fCoveckiResursi].[Период (Quarter)].[All]" allUniqueName="[fCoveckiResursi].[Период (Quarter)].[All]" dimensionUniqueName="[fCoveckiResursi]" displayFolder="" count="0" memberValueDatatype="130" unbalanced="0"/>
    <cacheHierarchy uniqueName="[fCoveckiResursi].[Период (Month)]" caption="Период (Month)" attribute="1" defaultMemberUniqueName="[fCoveckiResursi].[Период (Month)].[All]" allUniqueName="[fCoveckiResursi].[Период (Month)].[All]" dimensionUniqueName="[fCoveckiResursi]" displayFolder="" count="0" memberValueDatatype="130" unbalanced="0"/>
    <cacheHierarchy uniqueName="[fCoveckiResursi].[Период (Year) 1]" caption="Период (Year) 1" attribute="1" defaultMemberUniqueName="[fCoveckiResursi].[Период (Year) 1].[All]" allUniqueName="[fCoveckiResursi].[Период (Year) 1].[All]" dimensionUniqueName="[fCoveckiResursi]" displayFolder="" count="0" memberValueDatatype="130" unbalanced="0"/>
    <cacheHierarchy uniqueName="[fCoveckiResursi].[Период (Quarter) 1]" caption="Период (Quarter) 1" attribute="1" defaultMemberUniqueName="[fCoveckiResursi].[Период (Quarter) 1].[All]" allUniqueName="[fCoveckiResursi].[Период (Quarter) 1].[All]" dimensionUniqueName="[fCoveckiResursi]" displayFolder="" count="0" memberValueDatatype="130" unbalanced="0"/>
    <cacheHierarchy uniqueName="[fCoveckiResursi].[Период (Month) 1]" caption="Период (Month) 1" attribute="1" defaultMemberUniqueName="[fCoveckiResursi].[Период (Month) 1].[All]" allUniqueName="[fCoveckiResursi].[Период (Month) 1].[All]" dimensionUniqueName="[fCoveckiResursi]" displayFolder="" count="0" memberValueDatatype="130" unbalanced="0"/>
    <cacheHierarchy uniqueName="[fCoveckiResursi  2].[Ставка]" caption="Ставка" attribute="1" defaultMemberUniqueName="[fCoveckiResursi  2].[Ставка].[All]" allUniqueName="[fCoveckiResursi  2].[Ставка].[All]" dimensionUniqueName="[fCoveckiResursi  2]" displayFolder="" count="0" memberValueDatatype="130" unbalanced="0"/>
    <cacheHierarchy uniqueName="[fCoveckiResursi  2].[Период]" caption="Период" attribute="1" time="1" defaultMemberUniqueName="[fCoveckiResursi  2].[Период].[All]" allUniqueName="[fCoveckiResursi  2].[Период].[All]" dimensionUniqueName="[fCoveckiResursi  2]" displayFolder="" count="0" memberValueDatatype="7" unbalanced="0"/>
    <cacheHierarchy uniqueName="[fCoveckiResursi  2].[Износ]" caption="Износ" attribute="1" defaultMemberUniqueName="[fCoveckiResursi  2].[Износ].[All]" allUniqueName="[fCoveckiResursi  2].[Износ].[All]" dimensionUniqueName="[fCoveckiResursi  2]" displayFolder="" count="0" memberValueDatatype="20" unbalanced="0"/>
    <cacheHierarchy uniqueName="[fCoveckiResursi  2].[Конто]" caption="Конто" attribute="1" defaultMemberUniqueName="[fCoveckiResursi  2].[Конто].[All]" allUniqueName="[fCoveckiResursi  2].[Конто].[All]" dimensionUniqueName="[fCoveckiResursi  2]" displayFolder="" count="0" memberValueDatatype="130" unbalanced="0"/>
    <cacheHierarchy uniqueName="[fCoveckiResursi  2].[ReportType]" caption="ReportType" attribute="1" defaultMemberUniqueName="[fCoveckiResursi  2].[ReportType].[All]" allUniqueName="[fCoveckiResursi  2].[ReportType].[All]" dimensionUniqueName="[fCoveckiResursi  2]" displayFolder="" count="0" memberValueDatatype="130" unbalanced="0"/>
    <cacheHierarchy uniqueName="[fCoveckiResursi  2].[StavkaImeMK]" caption="StavkaImeMK" attribute="1" defaultMemberUniqueName="[fCoveckiResursi  2].[StavkaImeMK].[All]" allUniqueName="[fCoveckiResursi  2].[StavkaImeMK].[All]" dimensionUniqueName="[fCoveckiResursi  2]" displayFolder="" count="0" memberValueDatatype="130" unbalanced="0"/>
    <cacheHierarchy uniqueName="[fCoveckiResursi  2].[StavkaKategorija]" caption="StavkaKategorija" attribute="1" defaultMemberUniqueName="[fCoveckiResursi  2].[StavkaKategorija].[All]" allUniqueName="[fCoveckiResursi  2].[StavkaKategorija].[All]" dimensionUniqueName="[fCoveckiResursi  2]" displayFolder="" count="0" memberValueDatatype="130" unbalanced="0"/>
    <cacheHierarchy uniqueName="[fCoveckiResursi  2].[ObrazecIme]" caption="ObrazecIme" attribute="1" defaultMemberUniqueName="[fCoveckiResursi  2].[ObrazecIme].[All]" allUniqueName="[fCoveckiResursi  2].[ObrazecIme].[All]" dimensionUniqueName="[fCoveckiResursi  2]" displayFolder="" count="0" memberValueDatatype="130" unbalanced="0"/>
    <cacheHierarchy uniqueName="[fOPEX].[Конто]" caption="Конто" attribute="1" defaultMemberUniqueName="[fOPEX].[Конто].[All]" allUniqueName="[fOPEX].[Конто].[All]" dimensionUniqueName="[fOPEX]" displayFolder="" count="0" memberValueDatatype="130" unbalanced="0"/>
    <cacheHierarchy uniqueName="[fOPEX].[Ставка]" caption="Ставка" attribute="1" defaultMemberUniqueName="[fOPEX].[Ставка].[All]" allUniqueName="[fOPEX].[Ставка].[All]" dimensionUniqueName="[fOPEX]" displayFolder="" count="0" memberValueDatatype="130" unbalanced="0"/>
    <cacheHierarchy uniqueName="[fOPEX].[Период]" caption="Период" attribute="1" time="1" defaultMemberUniqueName="[fOPEX].[Период].[All]" allUniqueName="[fOPEX].[Период].[All]" dimensionUniqueName="[fOPEX]" displayFolder="" count="0" memberValueDatatype="7" unbalanced="0"/>
    <cacheHierarchy uniqueName="[fOPEX].[Износ]" caption="Износ" attribute="1" defaultMemberUniqueName="[fOPEX].[Износ].[All]" allUniqueName="[fOPEX].[Износ].[All]" dimensionUniqueName="[fOPEX]" displayFolder="" count="0" memberValueDatatype="20" unbalanced="0"/>
    <cacheHierarchy uniqueName="[fOPEX].[ReportType]" caption="ReportType" attribute="1" defaultMemberUniqueName="[fOPEX].[ReportType].[All]" allUniqueName="[fOPEX].[ReportType].[All]" dimensionUniqueName="[fOPEX]" displayFolder="" count="0" memberValueDatatype="130" unbalanced="0"/>
    <cacheHierarchy uniqueName="[OPEXAnaliza].[Артикл ИД]" caption="Артикл ИД" attribute="1" defaultMemberUniqueName="[OPEXAnaliza].[Артикл ИД].[All]" allUniqueName="[OPEXAnaliza].[Артикл ИД].[All]" dimensionUniqueName="[OPEXAnaliza]" displayFolder="" count="0" memberValueDatatype="20" unbalanced="0"/>
    <cacheHierarchy uniqueName="[OPEXAnaliza].[Ставка]" caption="Ставка" attribute="1" defaultMemberUniqueName="[OPEXAnaliza].[Ставка].[All]" allUniqueName="[OPEXAnaliza].[Ставка].[All]" dimensionUniqueName="[OPEXAnaliza]" displayFolder="" count="0" memberValueDatatype="130" unbalanced="0"/>
    <cacheHierarchy uniqueName="[OPEXAnaliza].[Категорија Артикл ИД]" caption="Категорија Артикл ИД" attribute="1" defaultMemberUniqueName="[OPEXAnaliza].[Категорија Артикл ИД].[All]" allUniqueName="[OPEXAnaliza].[Категорија Артикл ИД].[All]" dimensionUniqueName="[OPEXAnaliza]" displayFolder="" count="0" memberValueDatatype="20" unbalanced="0"/>
    <cacheHierarchy uniqueName="[OPEXAnaliza].[Категорија Артикл]" caption="Категорија Артикл" attribute="1" defaultMemberUniqueName="[OPEXAnaliza].[Категорија Артикл].[All]" allUniqueName="[OPEXAnaliza].[Категорија Артикл].[All]" dimensionUniqueName="[OPEXAnaliza]" displayFolder="" count="0" memberValueDatatype="130" unbalanced="0"/>
    <cacheHierarchy uniqueName="[OPEXAnaliza].[Тип на артикл]" caption="Тип на артикл" attribute="1" defaultMemberUniqueName="[OPEXAnaliza].[Тип на артикл].[All]" allUniqueName="[OPEXAnaliza].[Тип на артикл].[All]" dimensionUniqueName="[OPEXAnaliza]" displayFolder="" count="0" memberValueDatatype="130" unbalanced="0"/>
    <cacheHierarchy uniqueName="[OPEXAnaliza].[Единечна мерка]" caption="Единечна мерка" attribute="1" defaultMemberUniqueName="[OPEXAnaliza].[Единечна мерка].[All]" allUniqueName="[OPEXAnaliza].[Единечна мерка].[All]" dimensionUniqueName="[OPEXAnaliza]" displayFolder="" count="0" memberValueDatatype="130" unbalanced="0"/>
    <cacheHierarchy uniqueName="[OPEXAnaliza].[Количина]" caption="Количина" attribute="1" defaultMemberUniqueName="[OPEXAnaliza].[Количина].[All]" allUniqueName="[OPEXAnaliza].[Количина].[All]" dimensionUniqueName="[OPEXAnaliza]" displayFolder="" count="0" memberValueDatatype="5" unbalanced="0"/>
    <cacheHierarchy uniqueName="[OPEXAnaliza].[Единечна цена]" caption="Единечна цена" attribute="1" defaultMemberUniqueName="[OPEXAnaliza].[Единечна цена].[All]" allUniqueName="[OPEXAnaliza].[Единечна цена].[All]" dimensionUniqueName="[OPEXAnaliza]" displayFolder="" count="0" memberValueDatatype="20" unbalanced="0"/>
    <cacheHierarchy uniqueName="[OPEXAnaliza].[Износ]" caption="Износ" attribute="1" defaultMemberUniqueName="[OPEXAnaliza].[Износ].[All]" allUniqueName="[OPEXAnaliza].[Износ].[All]" dimensionUniqueName="[OPEXAnaliza]" displayFolder="" count="0" memberValueDatatype="5" unbalanced="0"/>
    <cacheHierarchy uniqueName="[OPEXAnaliza].[ДДВ]" caption="ДДВ" attribute="1" defaultMemberUniqueName="[OPEXAnaliza].[ДДВ].[All]" allUniqueName="[OPEXAnaliza].[ДДВ].[All]" dimensionUniqueName="[OPEXAnaliza]" displayFolder="" count="0" memberValueDatatype="5" unbalanced="0"/>
    <cacheHierarchy uniqueName="[OPEXAnaliza].[Вкупно трошок со ДДВ]" caption="Вкупно трошок со ДДВ" attribute="1" defaultMemberUniqueName="[OPEXAnaliza].[Вкупно трошок со ДДВ].[All]" allUniqueName="[OPEXAnaliza].[Вкупно трошок со ДДВ].[All]" dimensionUniqueName="[OPEXAnaliza]" displayFolder="" count="0" memberValueDatatype="5" unbalanced="0"/>
    <cacheHierarchy uniqueName="[OPEXAnaliza].[Конто]" caption="Конто" attribute="1" defaultMemberUniqueName="[OPEXAnaliza].[Конто].[All]" allUniqueName="[OPEXAnaliza].[Конто].[All]" dimensionUniqueName="[OPEXAnaliza]" displayFolder="" count="0" memberValueDatatype="130" unbalanced="0"/>
    <cacheHierarchy uniqueName="[OPEXAnaliza].[Период]" caption="Период" attribute="1" time="1" defaultMemberUniqueName="[OPEXAnaliza].[Период].[All]" allUniqueName="[OPEXAnaliza].[Период].[All]" dimensionUniqueName="[OPEXAnaliza]" displayFolder="" count="0" memberValueDatatype="7" unbalanced="0"/>
    <cacheHierarchy uniqueName="[OPEXAnaliza].[ReportType]" caption="ReportType" attribute="1" defaultMemberUniqueName="[OPEXAnaliza].[ReportType].[All]" allUniqueName="[OPEXAnaliza].[ReportType].[All]" dimensionUniqueName="[OPEXAnaliza]" displayFolder="" count="0" memberValueDatatype="130" unbalanced="0"/>
    <cacheHierarchy uniqueName="[OPEXAnaliza].[StavkaImeMK]" caption="StavkaImeMK" attribute="1" defaultMemberUniqueName="[OPEXAnaliza].[StavkaImeMK].[All]" allUniqueName="[OPEXAnaliza].[StavkaImeMK].[All]" dimensionUniqueName="[OPEXAnaliza]" displayFolder="" count="0" memberValueDatatype="130" unbalanced="0"/>
    <cacheHierarchy uniqueName="[OPEXAnaliza].[StavkaKategorija]" caption="StavkaKategorija" attribute="1" defaultMemberUniqueName="[OPEXAnaliza].[StavkaKategorija].[All]" allUniqueName="[OPEXAnaliza].[StavkaKategorija].[All]" dimensionUniqueName="[OPEXAnaliza]" displayFolder="" count="0" memberValueDatatype="130" unbalanced="0"/>
    <cacheHierarchy uniqueName="[OPEXAnaliza].[ObrazecIme]" caption="ObrazecIme" attribute="1" defaultMemberUniqueName="[OPEXAnaliza].[ObrazecIme].[All]" allUniqueName="[OPEXAnaliza].[ObrazecIme].[All]" dimensionUniqueName="[OPEXAnaliza]" displayFolder="" count="0" memberValueDatatype="130" unbalanced="0"/>
    <cacheHierarchy uniqueName="[OPEXAnaliza].[StavkaImeAOP]" caption="StavkaImeAOP" attribute="1" defaultMemberUniqueName="[OPEXAnaliza].[StavkaImeAOP].[All]" allUniqueName="[OPEXAnaliza].[StavkaImeAOP].[All]" dimensionUniqueName="[OPEXAnaliza]" displayFolder="" count="0" memberValueDatatype="20" unbalanced="0"/>
    <cacheHierarchy uniqueName="[OPEXAnaliza].[Период (Year)]" caption="Период (Year)" attribute="1" defaultMemberUniqueName="[OPEXAnaliza].[Период (Year)].[All]" allUniqueName="[OPEXAnaliza].[Период (Year)].[All]" dimensionUniqueName="[OPEXAnaliza]" displayFolder="" count="0" memberValueDatatype="130" unbalanced="0"/>
    <cacheHierarchy uniqueName="[OPEXAnaliza].[Период (Quarter)]" caption="Период (Quarter)" attribute="1" defaultMemberUniqueName="[OPEXAnaliza].[Период (Quarter)].[All]" allUniqueName="[OPEXAnaliza].[Период (Quarter)].[All]" dimensionUniqueName="[OPEXAnaliza]" displayFolder="" count="0" memberValueDatatype="130" unbalanced="0"/>
    <cacheHierarchy uniqueName="[OPEXAnaliza].[Период (Month)]" caption="Период (Month)" attribute="1" defaultMemberUniqueName="[OPEXAnaliza].[Период (Month)].[All]" allUniqueName="[OPEXAnaliza].[Период (Month)].[All]" dimensionUniqueName="[OPEXAnaliza]" displayFolder="" count="0" memberValueDatatype="130" unbalanced="0"/>
    <cacheHierarchy uniqueName="[rArtikli_HR_Analiza].[Ставка]" caption="Ставка" attribute="1" defaultMemberUniqueName="[rArtikli_HR_Analiza].[Ставка].[All]" allUniqueName="[rArtikli_HR_Analiza].[Ставка].[All]" dimensionUniqueName="[rArtikli_HR_Analiza]" displayFolder="" count="0" memberValueDatatype="130" unbalanced="0"/>
    <cacheHierarchy uniqueName="[rArtikli_HR_Analiza].[Категорија Артикл]" caption="Категорија Артикл" attribute="1" defaultMemberUniqueName="[rArtikli_HR_Analiza].[Категорија Артикл].[All]" allUniqueName="[rArtikli_HR_Analiza].[Категорија Артикл].[All]" dimensionUniqueName="[rArtikli_HR_Analiza]" displayFolder="" count="0" memberValueDatatype="130" unbalanced="0"/>
    <cacheHierarchy uniqueName="[rArtikli_HR_Analiza].[Тип на артикл]" caption="Тип на артикл" attribute="1" defaultMemberUniqueName="[rArtikli_HR_Analiza].[Тип на артикл].[All]" allUniqueName="[rArtikli_HR_Analiza].[Тип на артикл].[All]" dimensionUniqueName="[rArtikli_HR_Analiza]" displayFolder="" count="0" memberValueDatatype="130" unbalanced="0"/>
    <cacheHierarchy uniqueName="[rArtikli_HR_Analiza].[Единечна мерка]" caption="Единечна мерка" attribute="1" defaultMemberUniqueName="[rArtikli_HR_Analiza].[Единечна мерка].[All]" allUniqueName="[rArtikli_HR_Analiza].[Единечна мерка].[All]" dimensionUniqueName="[rArtikli_HR_Analiza]" displayFolder="" count="0" memberValueDatatype="130" unbalanced="0"/>
    <cacheHierarchy uniqueName="[rArtikli_HR_Analiza].[Количина]" caption="Количина" attribute="1" defaultMemberUniqueName="[rArtikli_HR_Analiza].[Количина].[All]" allUniqueName="[rArtikli_HR_Analiza].[Количина].[All]" dimensionUniqueName="[rArtikli_HR_Analiza]" displayFolder="" count="0" memberValueDatatype="5" unbalanced="0"/>
    <cacheHierarchy uniqueName="[rArtikli_HR_Analiza].[Единечна цена]" caption="Единечна цена" attribute="1" defaultMemberUniqueName="[rArtikli_HR_Analiza].[Единечна цена].[All]" allUniqueName="[rArtikli_HR_Analiza].[Единечна цена].[All]" dimensionUniqueName="[rArtikli_HR_Analiza]" displayFolder="" count="0" memberValueDatatype="20" unbalanced="0"/>
    <cacheHierarchy uniqueName="[rArtikli_HR_Analiza].[Вкупно трошок]" caption="Вкупно трошок" attribute="1" defaultMemberUniqueName="[rArtikli_HR_Analiza].[Вкупно трошок].[All]" allUniqueName="[rArtikli_HR_Analiza].[Вкупно трошок].[All]" dimensionUniqueName="[rArtikli_HR_Analiza]" displayFolder="" count="0" memberValueDatatype="5" unbalanced="0"/>
    <cacheHierarchy uniqueName="[rArtikli_HR_Analiza].[ДДВ]" caption="ДДВ" attribute="1" defaultMemberUniqueName="[rArtikli_HR_Analiza].[ДДВ].[All]" allUniqueName="[rArtikli_HR_Analiza].[ДДВ].[All]" dimensionUniqueName="[rArtikli_HR_Analiza]" displayFolder="" count="0" memberValueDatatype="5" unbalanced="0"/>
    <cacheHierarchy uniqueName="[rArtikli_HR_Analiza].[Износ]" caption="Износ" attribute="1" defaultMemberUniqueName="[rArtikli_HR_Analiza].[Износ].[All]" allUniqueName="[rArtikli_HR_Analiza].[Износ].[All]" dimensionUniqueName="[rArtikli_HR_Analiza]" displayFolder="" count="0" memberValueDatatype="5" unbalanced="0"/>
    <cacheHierarchy uniqueName="[rArtikli_HR_Analiza].[Конто]" caption="Конто" attribute="1" defaultMemberUniqueName="[rArtikli_HR_Analiza].[Конто].[All]" allUniqueName="[rArtikli_HR_Analiza].[Конто].[All]" dimensionUniqueName="[rArtikli_HR_Analiza]" displayFolder="" count="0" memberValueDatatype="130" unbalanced="0"/>
    <cacheHierarchy uniqueName="[rArtikli_HR_Analiza].[ReportType]" caption="ReportType" attribute="1" defaultMemberUniqueName="[rArtikli_HR_Analiza].[ReportType].[All]" allUniqueName="[rArtikli_HR_Analiza].[ReportType].[All]" dimensionUniqueName="[rArtikli_HR_Analiza]" displayFolder="" count="0" memberValueDatatype="130" unbalanced="0"/>
    <cacheHierarchy uniqueName="[rArtikli_HR_Analiza].[Период]" caption="Период" attribute="1" time="1" defaultMemberUniqueName="[rArtikli_HR_Analiza].[Период].[All]" allUniqueName="[rArtikli_HR_Analiza].[Период].[All]" dimensionUniqueName="[rArtikli_HR_Analiza]" displayFolder="" count="0" memberValueDatatype="7" unbalanced="0"/>
    <cacheHierarchy uniqueName="[rArtikli_HR_Analiza].[StavkaImeMK]" caption="StavkaImeMK" attribute="1" defaultMemberUniqueName="[rArtikli_HR_Analiza].[StavkaImeMK].[All]" allUniqueName="[rArtikli_HR_Analiza].[StavkaImeMK].[All]" dimensionUniqueName="[rArtikli_HR_Analiza]" displayFolder="" count="0" memberValueDatatype="130" unbalanced="0"/>
    <cacheHierarchy uniqueName="[rArtikli_HR_Analiza].[StavkaAOP]" caption="StavkaAOP" attribute="1" defaultMemberUniqueName="[rArtikli_HR_Analiza].[StavkaAOP].[All]" allUniqueName="[rArtikli_HR_Analiza].[StavkaAOP].[All]" dimensionUniqueName="[rArtikli_HR_Analiza]" displayFolder="" count="0" memberValueDatatype="130" unbalanced="0"/>
    <cacheHierarchy uniqueName="[rArtikli_HR_Analiza].[StavkaGrupa]" caption="StavkaGrupa" attribute="1" defaultMemberUniqueName="[rArtikli_HR_Analiza].[StavkaGrupa].[All]" allUniqueName="[rArtikli_HR_Analiza].[StavkaGrupa].[All]" dimensionUniqueName="[rArtikli_HR_Analiza]" displayFolder="" count="0" memberValueDatatype="130" unbalanced="0"/>
    <cacheHierarchy uniqueName="[rArtikli_HR_Analiza].[StavkaKategorija]" caption="StavkaKategorija" attribute="1" defaultMemberUniqueName="[rArtikli_HR_Analiza].[StavkaKategorija].[All]" allUniqueName="[rArtikli_HR_Analiza].[StavkaKategorija].[All]" dimensionUniqueName="[rArtikli_HR_Analiza]" displayFolder="" count="0" memberValueDatatype="130" unbalanced="0"/>
    <cacheHierarchy uniqueName="[rArtikli_HR_Analiza].[ObrazecIme]" caption="ObrazecIme" attribute="1" defaultMemberUniqueName="[rArtikli_HR_Analiza].[ObrazecIme].[All]" allUniqueName="[rArtikli_HR_Analiza].[ObrazecIme].[All]" dimensionUniqueName="[rArtikli_HR_Analiza]" displayFolder="" count="0" memberValueDatatype="130" unbalanced="0"/>
    <cacheHierarchy uniqueName="[rArtikli_HR_Analiza].[StavkaKategorija.1]" caption="StavkaKategorija.1" attribute="1" defaultMemberUniqueName="[rArtikli_HR_Analiza].[StavkaKategorija.1].[All]" allUniqueName="[rArtikli_HR_Analiza].[StavkaKategorija.1].[All]" dimensionUniqueName="[rArtikli_HR_Analiza]" displayFolder="" count="0" memberValueDatatype="130" unbalanced="0"/>
    <cacheHierarchy uniqueName="[rArtikliAnaliza].[Артикл ИД]" caption="Артикл ИД" attribute="1" defaultMemberUniqueName="[rArtikliAnaliza].[Артикл ИД].[All]" allUniqueName="[rArtikliAnaliza].[Артикл ИД].[All]" dimensionUniqueName="[rArtikliAnaliza]" displayFolder="" count="0" memberValueDatatype="20" unbalanced="0"/>
    <cacheHierarchy uniqueName="[rArtikliAnaliza].[Ставка]" caption="Ставка" attribute="1" defaultMemberUniqueName="[rArtikliAnaliza].[Ставка].[All]" allUniqueName="[rArtikliAnaliza].[Ставка].[All]" dimensionUniqueName="[rArtikliAnaliza]" displayFolder="" count="0" memberValueDatatype="130" unbalanced="0"/>
    <cacheHierarchy uniqueName="[rArtikliAnaliza].[Категорија Артикл ИД]" caption="Категорија Артикл ИД" attribute="1" defaultMemberUniqueName="[rArtikliAnaliza].[Категорија Артикл ИД].[All]" allUniqueName="[rArtikliAnaliza].[Категорија Артикл ИД].[All]" dimensionUniqueName="[rArtikliAnaliza]" displayFolder="" count="0" memberValueDatatype="20" unbalanced="0"/>
    <cacheHierarchy uniqueName="[rArtikliAnaliza].[Категорија Артикл]" caption="Категорија Артикл" attribute="1" defaultMemberUniqueName="[rArtikliAnaliza].[Категорија Артикл].[All]" allUniqueName="[rArtikliAnaliza].[Категорија Артикл].[All]" dimensionUniqueName="[rArtikliAnaliza]" displayFolder="" count="0" memberValueDatatype="130" unbalanced="0"/>
    <cacheHierarchy uniqueName="[rArtikliAnaliza].[Тип на артикл]" caption="Тип на артикл" attribute="1" defaultMemberUniqueName="[rArtikliAnaliza].[Тип на артикл].[All]" allUniqueName="[rArtikliAnaliza].[Тип на артикл].[All]" dimensionUniqueName="[rArtikliAnaliza]" displayFolder="" count="0" memberValueDatatype="130" unbalanced="0"/>
    <cacheHierarchy uniqueName="[rArtikliAnaliza].[Единечна мерка]" caption="Единечна мерка" attribute="1" defaultMemberUniqueName="[rArtikliAnaliza].[Единечна мерка].[All]" allUniqueName="[rArtikliAnaliza].[Единечна мерка].[All]" dimensionUniqueName="[rArtikliAnaliza]" displayFolder="" count="0" memberValueDatatype="130" unbalanced="0"/>
    <cacheHierarchy uniqueName="[rArtikliAnaliza].[Количина]" caption="Количина" attribute="1" defaultMemberUniqueName="[rArtikliAnaliza].[Количина].[All]" allUniqueName="[rArtikliAnaliza].[Количина].[All]" dimensionUniqueName="[rArtikliAnaliza]" displayFolder="" count="0" memberValueDatatype="5" unbalanced="0"/>
    <cacheHierarchy uniqueName="[rArtikliAnaliza].[Единечна цена]" caption="Единечна цена" attribute="1" defaultMemberUniqueName="[rArtikliAnaliza].[Единечна цена].[All]" allUniqueName="[rArtikliAnaliza].[Единечна цена].[All]" dimensionUniqueName="[rArtikliAnaliza]" displayFolder="" count="0" memberValueDatatype="20" unbalanced="0"/>
    <cacheHierarchy uniqueName="[rArtikliAnaliza].[Износ]" caption="Износ" attribute="1" defaultMemberUniqueName="[rArtikliAnaliza].[Износ].[All]" allUniqueName="[rArtikliAnaliza].[Износ].[All]" dimensionUniqueName="[rArtikliAnaliza]" displayFolder="" count="0" memberValueDatatype="5" unbalanced="0"/>
    <cacheHierarchy uniqueName="[rArtikliAnaliza].[ДДВ]" caption="ДДВ" attribute="1" defaultMemberUniqueName="[rArtikliAnaliza].[ДДВ].[All]" allUniqueName="[rArtikliAnaliza].[ДДВ].[All]" dimensionUniqueName="[rArtikliAnaliza]" displayFolder="" count="0" memberValueDatatype="5" unbalanced="0"/>
    <cacheHierarchy uniqueName="[rArtikliAnaliza].[Вкупно трошок со ДДВ]" caption="Вкупно трошок со ДДВ" attribute="1" defaultMemberUniqueName="[rArtikliAnaliza].[Вкупно трошок со ДДВ].[All]" allUniqueName="[rArtikliAnaliza].[Вкупно трошок со ДДВ].[All]" dimensionUniqueName="[rArtikliAnaliza]" displayFolder="" count="0" memberValueDatatype="5" unbalanced="0"/>
    <cacheHierarchy uniqueName="[rArtikliAnaliza].[Конто]" caption="Конто" attribute="1" defaultMemberUniqueName="[rArtikliAnaliza].[Конто].[All]" allUniqueName="[rArtikliAnaliza].[Конто].[All]" dimensionUniqueName="[rArtikliAnaliza]" displayFolder="" count="0" memberValueDatatype="130" unbalanced="0"/>
    <cacheHierarchy uniqueName="[rArtikliAnaliza].[Период]" caption="Период" attribute="1" time="1" defaultMemberUniqueName="[rArtikliAnaliza].[Период].[All]" allUniqueName="[rArtikliAnaliza].[Период].[All]" dimensionUniqueName="[rArtikliAnaliza]" displayFolder="" count="0" memberValueDatatype="7" unbalanced="0"/>
    <cacheHierarchy uniqueName="[rArtikliAnaliza].[ReportType]" caption="ReportType" attribute="1" defaultMemberUniqueName="[rArtikliAnaliza].[ReportType].[All]" allUniqueName="[rArtikliAnaliza].[ReportType].[All]" dimensionUniqueName="[rArtikliAnaliza]" displayFolder="" count="0" memberValueDatatype="130" unbalanced="0"/>
    <cacheHierarchy uniqueName="[rArtikliAnaliza].[StavkaImeMK]" caption="StavkaImeMK" attribute="1" defaultMemberUniqueName="[rArtikliAnaliza].[StavkaImeMK].[All]" allUniqueName="[rArtikliAnaliza].[StavkaImeMK].[All]" dimensionUniqueName="[rArtikliAnaliza]" displayFolder="" count="0" memberValueDatatype="130" unbalanced="0"/>
    <cacheHierarchy uniqueName="[rArtikliAnaliza].[StavkaKategorija]" caption="StavkaKategorija" attribute="1" defaultMemberUniqueName="[rArtikliAnaliza].[StavkaKategorija].[All]" allUniqueName="[rArtikliAnaliza].[StavkaKategorija].[All]" dimensionUniqueName="[rArtikliAnaliza]" displayFolder="" count="0" memberValueDatatype="130" unbalanced="0"/>
    <cacheHierarchy uniqueName="[rArtikliAnaliza].[Период (Year)]" caption="Период (Year)" attribute="1" defaultMemberUniqueName="[rArtikliAnaliza].[Период (Year)].[All]" allUniqueName="[rArtikliAnaliza].[Период (Year)].[All]" dimensionUniqueName="[rArtikliAnaliza]" displayFolder="" count="0" memberValueDatatype="130" unbalanced="0"/>
    <cacheHierarchy uniqueName="[rArtikliAnaliza].[Период (Quarter)]" caption="Период (Quarter)" attribute="1" defaultMemberUniqueName="[rArtikliAnaliza].[Период (Quarter)].[All]" allUniqueName="[rArtikliAnaliza].[Период (Quarter)].[All]" dimensionUniqueName="[rArtikliAnaliza]" displayFolder="" count="0" memberValueDatatype="130" unbalanced="0"/>
    <cacheHierarchy uniqueName="[rArtikliAnaliza].[Период (Month)]" caption="Период (Month)" attribute="1" defaultMemberUniqueName="[rArtikliAnaliza].[Период (Month)].[All]" allUniqueName="[rArtikliAnaliza].[Период (Month)].[All]" dimensionUniqueName="[rArtikliAnaliza]" displayFolder="" count="0" memberValueDatatype="130" unbalanced="0"/>
    <cacheHierarchy uniqueName="[CAPEX].[Очекуван датум за ставање во употреба (месец) (Month Index)]" caption="Очекуван датум за ставање во употреба (месец) (Month Index)" attribute="1" defaultMemberUniqueName="[CAPEX].[Очекуван датум за ставање во употреба (месец) (Month Index)].[All]" allUniqueName="[CAPEX].[Очекуван датум за ставање во употреба (месец) (Month Index)].[All]" dimensionUniqueName="[CAPEX]" displayFolder="" count="0" memberValueDatatype="20" unbalanced="0" hidden="1"/>
    <cacheHierarchy uniqueName="[CAPEX].[Очекуван датум на плаќање (Month Index)]" caption="Очекуван датум на плаќање (Month Index)" attribute="1" defaultMemberUniqueName="[CAPEX].[Очекуван датум на плаќање (Month Index)].[All]" allUniqueName="[CAPEX].[Очекуван датум на плаќање (Month Index)].[All]" dimensionUniqueName="[CAPEX]" displayFolder="" count="0" memberValueDatatype="20" unbalanced="0" hidden="1"/>
    <cacheHierarchy uniqueName="[fActualAndBudget].[StavkaID]" caption="StavkaID" attribute="1" defaultMemberUniqueName="[fActualAndBudget].[StavkaID].[All]" allUniqueName="[fActualAndBudget].[StavkaID].[All]" dimensionUniqueName="[fActualAndBudget]" displayFolder="" count="0" memberValueDatatype="20" unbalanced="0" hidden="1"/>
    <cacheHierarchy uniqueName="[fCoveckiResursi].[Период (Month Index)]" caption="Период (Month Index)" attribute="1" defaultMemberUniqueName="[fCoveckiResursi].[Период (Month Index)].[All]" allUniqueName="[fCoveckiResursi].[Период (Month Index)].[All]" dimensionUniqueName="[fCoveckiResursi]" displayFolder="" count="0" memberValueDatatype="20" unbalanced="0" hidden="1"/>
    <cacheHierarchy uniqueName="[fCoveckiResursi].[Период (Month Index) 1]" caption="Период (Month Index) 1" attribute="1" defaultMemberUniqueName="[fCoveckiResursi].[Период (Month Index) 1].[All]" allUniqueName="[fCoveckiResursi].[Период (Month Index) 1].[All]" dimensionUniqueName="[fCoveckiResursi]" displayFolder="" count="0" memberValueDatatype="20" unbalanced="0" hidden="1"/>
    <cacheHierarchy uniqueName="[OPEXAnaliza].[Период (Month Index)]" caption="Период (Month Index)" attribute="1" defaultMemberUniqueName="[OPEXAnaliza].[Период (Month Index)].[All]" allUniqueName="[OPEXAnaliza].[Период (Month Index)].[All]" dimensionUniqueName="[OPEXAnaliza]" displayFolder="" count="0" memberValueDatatype="20" unbalanced="0" hidden="1"/>
    <cacheHierarchy uniqueName="[rArtikli_HR_Analiza].[Крајна состојба вработени]" caption="Крајна состојба вработени" attribute="1" defaultMemberUniqueName="[rArtikli_HR_Analiza].[Крајна состојба вработени].[All]" allUniqueName="[rArtikli_HR_Analiza].[Крајна состојба вработени].[All]" dimensionUniqueName="[rArtikli_HR_Analiza]" displayFolder="" count="0" memberValueDatatype="20" unbalanced="0" hidden="1"/>
    <cacheHierarchy uniqueName="[rArtikli_HR_Analiza].[Планиран прилив/(одлив)]" caption="Планиран прилив/(одлив)" attribute="1" defaultMemberUniqueName="[rArtikli_HR_Analiza].[Планиран прилив/(одлив)].[All]" allUniqueName="[rArtikli_HR_Analiza].[Планиран прилив/(одлив)].[All]" dimensionUniqueName="[rArtikli_HR_Analiza]" displayFolder="" count="0" memberValueDatatype="20" unbalanced="0" hidden="1"/>
    <cacheHierarchy uniqueName="[rArtikli_HR_Analiza].[Тип на вработување]" caption="Тип на вработување" attribute="1" defaultMemberUniqueName="[rArtikli_HR_Analiza].[Тип на вработување].[All]" allUniqueName="[rArtikli_HR_Analiza].[Тип на вработување].[All]" dimensionUniqueName="[rArtikli_HR_Analiza]" displayFolder="" count="0" memberValueDatatype="130" unbalanced="0" hidden="1"/>
    <cacheHierarchy uniqueName="[rArtikliAnaliza].[Период (Month Index)]" caption="Период (Month Index)" attribute="1" defaultMemberUniqueName="[rArtikliAnaliza].[Период (Month Index)].[All]" allUniqueName="[rArtikliAnaliza].[Период (Month Index)].[All]" dimensionUniqueName="[rArtikliAnaliza]" displayFolder="" count="0" memberValueDatatype="20" unbalanced="0" hidden="1"/>
    <cacheHierarchy uniqueName="[Measures].[__XL_Count Calendar]" caption="__XL_Count Calendar" measure="1" displayFolder="" measureGroup="Calendar" count="0" hidden="1"/>
    <cacheHierarchy uniqueName="[Measures].[__XL_Count CAPEX]" caption="__XL_Count CAPEX" measure="1" displayFolder="" measureGroup="CAPEX" count="0" hidden="1"/>
    <cacheHierarchy uniqueName="[Measures].[__XL_Count Amortizacija]" caption="__XL_Count Amortizacija" measure="1" displayFolder="" measureGroup="Amortizacija" count="0" hidden="1"/>
    <cacheHierarchy uniqueName="[Measures].[__XL_Count fCoveckiResursi]" caption="__XL_Count fCoveckiResursi" measure="1" displayFolder="" measureGroup="fCoveckiResursi" count="0" hidden="1"/>
    <cacheHierarchy uniqueName="[Measures].[__XL_Count fActualAndBudget]" caption="__XL_Count fActualAndBudget" measure="1" displayFolder="" measureGroup="fActualAndBudget" count="0" hidden="1"/>
    <cacheHierarchy uniqueName="[Measures].[__XL_Count fOPEX]" caption="__XL_Count fOPEX" measure="1" displayFolder="" measureGroup="fOPEX" count="0" hidden="1"/>
    <cacheHierarchy uniqueName="[Measures].[__XL_Count OPEXAnaliza]" caption="__XL_Count OPEXAnaliza" measure="1" displayFolder="" measureGroup="OPEXAnaliza" count="0" hidden="1"/>
    <cacheHierarchy uniqueName="[Measures].[__XL_Count rArtikliAnaliza]" caption="__XL_Count rArtikliAnaliza" measure="1" displayFolder="" measureGroup="rArtikliAnaliza" count="0" hidden="1"/>
    <cacheHierarchy uniqueName="[Measures].[__XL_Count fArtikliCeni]" caption="__XL_Count fArtikliCeni" measure="1" displayFolder="" measureGroup="fArtikliCeni" count="0" hidden="1"/>
    <cacheHierarchy uniqueName="[Measures].[__XL_Count rArtikli_HR_Analiza]" caption="__XL_Count rArtikli_HR_Analiza" measure="1" displayFolder="" measureGroup="rArtikli_HR_Analiza" count="0" hidden="1"/>
    <cacheHierarchy uniqueName="[Measures].[__XL_Count fCoveckiResursi  2]" caption="__XL_Count fCoveckiResursi  2" measure="1" displayFolder="" measureGroup="fCoveckiResursi  2" count="0" hidden="1"/>
    <cacheHierarchy uniqueName="[Measures].[__No measures defined]" caption="__No measures defined" measure="1" displayFolder="" count="0" hidden="1"/>
    <cacheHierarchy uniqueName="[Measures].[Sum of Износ 3]" caption="Sum of Износ 3" measure="1" displayFolder="" measureGroup="fCoveckiResursi" count="0" hidden="1">
      <extLst>
        <ext xmlns:x15="http://schemas.microsoft.com/office/spreadsheetml/2010/11/main" uri="{B97F6D7D-B522-45F9-BDA1-12C45D357490}">
          <x15:cacheHierarchy aggregatedColumn="71"/>
        </ext>
      </extLst>
    </cacheHierarchy>
    <cacheHierarchy uniqueName="[Measures].[Sum of Крајна состојба вработени]" caption="Sum of Крајна состојба вработени" measure="1" displayFolder="" measureGroup="fCoveckiResursi" count="0" hidden="1">
      <extLst>
        <ext xmlns:x15="http://schemas.microsoft.com/office/spreadsheetml/2010/11/main" uri="{B97F6D7D-B522-45F9-BDA1-12C45D357490}">
          <x15:cacheHierarchy aggregatedColumn="70"/>
        </ext>
      </extLst>
    </cacheHierarchy>
    <cacheHierarchy uniqueName="[Measures].[Sum of Планиран прилив/(одлив)]" caption="Sum of Планиран прилив/(одлив)" measure="1" displayFolder="" measureGroup="fCoveckiResursi" count="0" hidden="1">
      <extLst>
        <ext xmlns:x15="http://schemas.microsoft.com/office/spreadsheetml/2010/11/main" uri="{B97F6D7D-B522-45F9-BDA1-12C45D357490}">
          <x15:cacheHierarchy aggregatedColumn="68"/>
        </ext>
      </extLst>
    </cacheHierarchy>
    <cacheHierarchy uniqueName="[Measures].[Sum of Износ]" caption="Sum of Износ" measure="1" displayFolder="" measureGroup="fActualAndBudget" count="0" oneField="1" hidden="1">
      <fieldsUsage count="1">
        <fieldUsage x="0"/>
      </fieldsUsage>
      <extLst>
        <ext xmlns:x15="http://schemas.microsoft.com/office/spreadsheetml/2010/11/main" uri="{B97F6D7D-B522-45F9-BDA1-12C45D357490}">
          <x15:cacheHierarchy aggregatedColumn="45"/>
        </ext>
      </extLst>
    </cacheHierarchy>
    <cacheHierarchy uniqueName="[Measures].[Sum of Износ (илјади)]" caption="Sum of Износ (илјади)" measure="1" displayFolder="" measureGroup="fActualAndBudget" count="0" hidden="1">
      <extLst>
        <ext xmlns:x15="http://schemas.microsoft.com/office/spreadsheetml/2010/11/main" uri="{B97F6D7D-B522-45F9-BDA1-12C45D357490}">
          <x15:cacheHierarchy aggregatedColumn="46"/>
        </ext>
      </extLst>
    </cacheHierarchy>
    <cacheHierarchy uniqueName="[Measures].[Sum of Износ1]" caption="Sum of Износ1" measure="1" displayFolder="" measureGroup="fActualAndBudget" count="0" hidden="1">
      <extLst>
        <ext xmlns:x15="http://schemas.microsoft.com/office/spreadsheetml/2010/11/main" uri="{B97F6D7D-B522-45F9-BDA1-12C45D357490}">
          <x15:cacheHierarchy aggregatedColumn="34"/>
        </ext>
      </extLst>
    </cacheHierarchy>
    <cacheHierarchy uniqueName="[Measures].[Sum of Износ 2]" caption="Sum of Износ 2" measure="1" displayFolder="" measureGroup="Amortizacija" count="0" hidden="1">
      <extLst>
        <ext xmlns:x15="http://schemas.microsoft.com/office/spreadsheetml/2010/11/main" uri="{B97F6D7D-B522-45F9-BDA1-12C45D357490}">
          <x15:cacheHierarchy aggregatedColumn="3"/>
        </ext>
      </extLst>
    </cacheHierarchy>
    <cacheHierarchy uniqueName="[Measures].[Sum of Износ 4]" caption="Sum of Износ 4" measure="1" displayFolder="" measureGroup="OPEXAnaliza" count="0" hidden="1">
      <extLst>
        <ext xmlns:x15="http://schemas.microsoft.com/office/spreadsheetml/2010/11/main" uri="{B97F6D7D-B522-45F9-BDA1-12C45D357490}">
          <x15:cacheHierarchy aggregatedColumn="101"/>
        </ext>
      </extLst>
    </cacheHierarchy>
    <cacheHierarchy uniqueName="[Measures].[Sum of Износ донација]" caption="Sum of Износ донација" measure="1" displayFolder="" measureGroup="CAPEX" count="0" hidden="1">
      <extLst>
        <ext xmlns:x15="http://schemas.microsoft.com/office/spreadsheetml/2010/11/main" uri="{B97F6D7D-B522-45F9-BDA1-12C45D357490}">
          <x15:cacheHierarchy aggregatedColumn="24"/>
        </ext>
      </extLst>
    </cacheHierarchy>
    <cacheHierarchy uniqueName="[Measures].[Sum of Вкупно трошок]" caption="Sum of Вкупно трошок" measure="1" displayFolder="" measureGroup="fArtikliCeni" count="0" hidden="1">
      <extLst>
        <ext xmlns:x15="http://schemas.microsoft.com/office/spreadsheetml/2010/11/main" uri="{B97F6D7D-B522-45F9-BDA1-12C45D357490}">
          <x15:cacheHierarchy aggregatedColumn="55"/>
        </ext>
      </extLst>
    </cacheHierarchy>
    <cacheHierarchy uniqueName="[Measures].[Sum of Количина]" caption="Sum of Количина" measure="1" displayFolder="" measureGroup="fArtikliCeni" count="0" hidden="1">
      <extLst>
        <ext xmlns:x15="http://schemas.microsoft.com/office/spreadsheetml/2010/11/main" uri="{B97F6D7D-B522-45F9-BDA1-12C45D357490}">
          <x15:cacheHierarchy aggregatedColumn="53"/>
        </ext>
      </extLst>
    </cacheHierarchy>
    <cacheHierarchy uniqueName="[Measures].[Sum of Единечна цена]" caption="Sum of Единечна цена" measure="1" displayFolder="" measureGroup="fArtikliCeni" count="0" hidden="1">
      <extLst>
        <ext xmlns:x15="http://schemas.microsoft.com/office/spreadsheetml/2010/11/main" uri="{B97F6D7D-B522-45F9-BDA1-12C45D357490}">
          <x15:cacheHierarchy aggregatedColumn="54"/>
        </ext>
      </extLst>
    </cacheHierarchy>
    <cacheHierarchy uniqueName="[Measures].[Sum of ДДВ]" caption="Sum of ДДВ" measure="1" displayFolder="" measureGroup="fArtikliCeni" count="0" hidden="1">
      <extLst>
        <ext xmlns:x15="http://schemas.microsoft.com/office/spreadsheetml/2010/11/main" uri="{B97F6D7D-B522-45F9-BDA1-12C45D357490}">
          <x15:cacheHierarchy aggregatedColumn="56"/>
        </ext>
      </extLst>
    </cacheHierarchy>
    <cacheHierarchy uniqueName="[Measures].[Sum of Износ 6]" caption="Sum of Износ 6" measure="1" displayFolder="" measureGroup="fArtikliCeni" count="0" hidden="1">
      <extLst>
        <ext xmlns:x15="http://schemas.microsoft.com/office/spreadsheetml/2010/11/main" uri="{B97F6D7D-B522-45F9-BDA1-12C45D357490}">
          <x15:cacheHierarchy aggregatedColumn="57"/>
        </ext>
      </extLst>
    </cacheHierarchy>
    <cacheHierarchy uniqueName="[Measures].[Count of Единечна мерка]" caption="Count of Единечна мерка" measure="1" displayFolder="" measureGroup="fArtikliCeni" count="0" hidden="1">
      <extLst>
        <ext xmlns:x15="http://schemas.microsoft.com/office/spreadsheetml/2010/11/main" uri="{B97F6D7D-B522-45F9-BDA1-12C45D357490}">
          <x15:cacheHierarchy aggregatedColumn="52"/>
        </ext>
      </extLst>
    </cacheHierarchy>
    <cacheHierarchy uniqueName="[Measures].[Sum of Количина 2]" caption="Sum of Количина 2" measure="1" displayFolder="" measureGroup="rArtikli_HR_Analiza" count="0" hidden="1">
      <extLst>
        <ext xmlns:x15="http://schemas.microsoft.com/office/spreadsheetml/2010/11/main" uri="{B97F6D7D-B522-45F9-BDA1-12C45D357490}">
          <x15:cacheHierarchy aggregatedColumn="118"/>
        </ext>
      </extLst>
    </cacheHierarchy>
    <cacheHierarchy uniqueName="[Measures].[Sum of Единечна цена 2]" caption="Sum of Единечна цена 2" measure="1" displayFolder="" measureGroup="rArtikli_HR_Analiza" count="0" hidden="1">
      <extLst>
        <ext xmlns:x15="http://schemas.microsoft.com/office/spreadsheetml/2010/11/main" uri="{B97F6D7D-B522-45F9-BDA1-12C45D357490}">
          <x15:cacheHierarchy aggregatedColumn="119"/>
        </ext>
      </extLst>
    </cacheHierarchy>
    <cacheHierarchy uniqueName="[Measures].[Sum of Вкупно трошок 2]" caption="Sum of Вкупно трошок 2" measure="1" displayFolder="" measureGroup="rArtikli_HR_Analiza" count="0" hidden="1">
      <extLst>
        <ext xmlns:x15="http://schemas.microsoft.com/office/spreadsheetml/2010/11/main" uri="{B97F6D7D-B522-45F9-BDA1-12C45D357490}">
          <x15:cacheHierarchy aggregatedColumn="120"/>
        </ext>
      </extLst>
    </cacheHierarchy>
    <cacheHierarchy uniqueName="[Measures].[Sum of ДДВ 2]" caption="Sum of ДДВ 2" measure="1" displayFolder="" measureGroup="rArtikli_HR_Analiza" count="0" hidden="1">
      <extLst>
        <ext xmlns:x15="http://schemas.microsoft.com/office/spreadsheetml/2010/11/main" uri="{B97F6D7D-B522-45F9-BDA1-12C45D357490}">
          <x15:cacheHierarchy aggregatedColumn="121"/>
        </ext>
      </extLst>
    </cacheHierarchy>
    <cacheHierarchy uniqueName="[Measures].[Sum of Износ 7]" caption="Sum of Износ 7" measure="1" displayFolder="" measureGroup="rArtikli_HR_Analiza" count="0" hidden="1">
      <extLst>
        <ext xmlns:x15="http://schemas.microsoft.com/office/spreadsheetml/2010/11/main" uri="{B97F6D7D-B522-45F9-BDA1-12C45D357490}">
          <x15:cacheHierarchy aggregatedColumn="122"/>
        </ext>
      </extLst>
    </cacheHierarchy>
    <cacheHierarchy uniqueName="[Measures].[Sum of Износ 5]" caption="Sum of Износ 5" measure="1" displayFolder="" measureGroup="fCoveckiResursi  2" count="0" hidden="1">
      <extLst>
        <ext xmlns:x15="http://schemas.microsoft.com/office/spreadsheetml/2010/11/main" uri="{B97F6D7D-B522-45F9-BDA1-12C45D357490}">
          <x15:cacheHierarchy aggregatedColumn="82"/>
        </ext>
      </extLst>
    </cacheHierarchy>
    <cacheHierarchy uniqueName="[Measures].[Sum of Проценета вредност на набавка со ДДВ (денари)]" caption="Sum of Проценета вредност на набавка со ДДВ (денари)" measure="1" displayFolder="" measureGroup="CAPEX" count="0" hidden="1">
      <extLst>
        <ext xmlns:x15="http://schemas.microsoft.com/office/spreadsheetml/2010/11/main" uri="{B97F6D7D-B522-45F9-BDA1-12C45D357490}">
          <x15:cacheHierarchy aggregatedColumn="20"/>
        </ext>
      </extLst>
    </cacheHierarchy>
  </cacheHierarchies>
  <kpis count="0"/>
  <dimensions count="12">
    <dimension name="Amortizacija" uniqueName="[Amortizacija]" caption="Amortizacija"/>
    <dimension name="Calendar" uniqueName="[Calendar]" caption="Calendar"/>
    <dimension name="CAPEX" uniqueName="[CAPEX]" caption="CAPEX"/>
    <dimension name="fActualAndBudget" uniqueName="[fActualAndBudget]" caption="fActualAndBudget"/>
    <dimension name="fArtikliCeni" uniqueName="[fArtikliCeni]" caption="fArtikliCeni"/>
    <dimension name="fCoveckiResursi" uniqueName="[fCoveckiResursi]" caption="fCoveckiResursi"/>
    <dimension name="fCoveckiResursi  2" uniqueName="[fCoveckiResursi  2]" caption="fCoveckiResursi  2"/>
    <dimension name="fOPEX" uniqueName="[fOPEX]" caption="fOPEX"/>
    <dimension measure="1" name="Measures" uniqueName="[Measures]" caption="Measures"/>
    <dimension name="OPEXAnaliza" uniqueName="[OPEXAnaliza]" caption="OPEXAnaliza"/>
    <dimension name="rArtikli_HR_Analiza" uniqueName="[rArtikli_HR_Analiza]" caption="rArtikli_HR_Analiza"/>
    <dimension name="rArtikliAnaliza" uniqueName="[rArtikliAnaliza]" caption="rArtikliAnaliza"/>
  </dimensions>
  <measureGroups count="11">
    <measureGroup name="Amortizacija" caption="Amortizacija"/>
    <measureGroup name="Calendar" caption="Calendar"/>
    <measureGroup name="CAPEX" caption="CAPEX"/>
    <measureGroup name="fActualAndBudget" caption="fActualAndBudget"/>
    <measureGroup name="fArtikliCeni" caption="fArtikliCeni"/>
    <measureGroup name="fCoveckiResursi" caption="fCoveckiResursi"/>
    <measureGroup name="fCoveckiResursi  2" caption="fCoveckiResursi  2"/>
    <measureGroup name="fOPEX" caption="fOPEX"/>
    <measureGroup name="OPEXAnaliza" caption="OPEXAnaliza"/>
    <measureGroup name="rArtikli_HR_Analiza" caption="rArtikli_HR_Analiza"/>
    <measureGroup name="rArtikliAnaliza" caption="rArtikliAnaliza"/>
  </measureGroups>
  <maps count="19">
    <map measureGroup="0" dimension="0"/>
    <map measureGroup="0" dimension="1"/>
    <map measureGroup="1" dimension="1"/>
    <map measureGroup="2" dimension="1"/>
    <map measureGroup="2" dimension="2"/>
    <map measureGroup="3" dimension="1"/>
    <map measureGroup="3" dimension="3"/>
    <map measureGroup="4" dimension="4"/>
    <map measureGroup="5" dimension="1"/>
    <map measureGroup="5" dimension="5"/>
    <map measureGroup="6" dimension="1"/>
    <map measureGroup="6" dimension="6"/>
    <map measureGroup="7" dimension="1"/>
    <map measureGroup="7" dimension="7"/>
    <map measureGroup="8" dimension="1"/>
    <map measureGroup="8" dimension="9"/>
    <map measureGroup="9" dimension="10"/>
    <map measureGroup="10" dimension="1"/>
    <map measureGroup="10" dimension="1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ngela Sazdova - Doneva" refreshedDate="44899.978514120368" createdVersion="5" refreshedVersion="6" minRefreshableVersion="3" recordCount="0" supportSubquery="1" supportAdvancedDrill="1" xr:uid="{00000000-000A-0000-FFFF-FFFF0D000000}">
  <cacheSource type="external" connectionId="22"/>
  <cacheFields count="11">
    <cacheField name="[Calendar].[Date Hierarchy].[Year]" caption="Year" numFmtId="0" hierarchy="7" level="1">
      <sharedItems containsSemiMixedTypes="0" containsNonDate="0" containsString="0"/>
    </cacheField>
    <cacheField name="[Calendar].[Date Hierarchy].[Month]" caption="Month" numFmtId="0" hierarchy="7" level="2">
      <sharedItems containsSemiMixedTypes="0" containsNonDate="0" containsString="0"/>
    </cacheField>
    <cacheField name="[Calendar].[Date Hierarchy].[DateColumn]" caption="DateColumn" numFmtId="0" hierarchy="7" level="3">
      <sharedItems containsSemiMixedTypes="0" containsNonDate="0" containsString="0"/>
    </cacheField>
    <cacheField name="[Measures].[Sum of Износ]" caption="Sum of Износ" numFmtId="0" hierarchy="176" level="32767"/>
    <cacheField name="[Calendar].[Година].[Година]" caption="Година" numFmtId="0" hierarchy="8" level="1">
      <sharedItems containsSemiMixedTypes="0" containsString="0" containsNumber="1" containsInteger="1" minValue="2018" maxValue="2020" count="3">
        <n v="2018"/>
        <n v="2019"/>
        <n v="2020"/>
      </sharedItems>
      <extLst>
        <ext xmlns:x15="http://schemas.microsoft.com/office/spreadsheetml/2010/11/main" uri="{4F2E5C28-24EA-4eb8-9CBF-B6C8F9C3D259}">
          <x15:cachedUniqueNames>
            <x15:cachedUniqueName index="0" name="[Calendar].[Година].&amp;[2018]"/>
            <x15:cachedUniqueName index="1" name="[Calendar].[Година].&amp;[2019]"/>
            <x15:cachedUniqueName index="2" name="[Calendar].[Година].&amp;[2020]"/>
          </x15:cachedUniqueNames>
        </ext>
      </extLst>
    </cacheField>
    <cacheField name="[fActualAndBudget].[ObrazecIme].[ObrazecIme]" caption="ObrazecIme" numFmtId="0" hierarchy="44" level="1">
      <sharedItems containsSemiMixedTypes="0" containsNonDate="0" containsString="0"/>
    </cacheField>
    <cacheField name="[fActualAndBudget].[StavkaImeAOP].[StavkaImeAOP]" caption="StavkaImeAOP" numFmtId="0" hierarchy="47" level="1">
      <sharedItems count="44">
        <s v="3.1.1 - Приходи од заложен регистар"/>
        <s v="3.1.10 - Приходи од регионален портал"/>
        <s v="3.1.11 - Приходи од прекршочна постапка"/>
        <s v="3.1.12 - Приходи од интернет дистрибутивен систем"/>
        <s v="3.1.13 - Приходи од странство"/>
        <s v="3.1.14 - Приходи од регистар на задолжница"/>
        <s v="3.1.2 - Приходи од годишни сметки"/>
        <s v="3.1.4 - Приходи од Регистар на резиденти и нерезиденти"/>
        <s v="3.1.5 - Приходи од Регистар на лизинг"/>
        <s v="3.1.6 - Приходи од регистар на недвижности"/>
        <s v="3.1.7 - Приходи од трговски регистар"/>
        <s v="3.1.8 - Приходи од регистар на директни странски инвестиции"/>
        <s v="3.1.9 - Приходи од регистрите за кривични санкции, пресуди и др."/>
        <s v="3.2.1 - Приходи од камати"/>
        <s v="3.2.2 - Приходи од курсни разлики"/>
        <s v="3.2.3 - Други неспомнати приходи"/>
        <s v="3.2.4 - Капитална добивка од продажба на материјални и неметеријални средства"/>
        <s v="3.2.5 - Приходи од донации"/>
        <s v="3.2.6 - Приходи од продажба на подвижен имот"/>
        <s v="3.2.7 - Приходи од закуп"/>
        <s v="3.2.8 - Вонредни невообичаени приходи"/>
        <s v="4.1.1 - Потрошени суровини и материјали"/>
        <s v="4.1.10 - Амортизација по минимални стапки"/>
        <s v="4.1.11 - Надомест на трошоци на вработените, подароци и помошти"/>
        <s v="4.1.12 - Дневници за службени патувања и патни трошоци"/>
        <s v="4.1.13 - Трошоци за промоција,пропаганда, реклама, репрезентација и спонзорство"/>
        <s v="4.1.14 - Премии за осигурување"/>
        <s v="4.1.15 - Даноци,чланарини и други давачки кои не зависат од резултатот"/>
        <s v="4.1.16 - Банкарски услуги и трошоци за платен промет"/>
        <s v="4.1.17 - Лиценци за разни софтвери (едногодишни, обновливи)"/>
        <s v="4.1.19 - Останати нематеријални трошоци"/>
        <s v="4.1.2 - Потрoшена енергија и гориво за возила"/>
        <s v="4.1.3 - Потрошени резервни делови"/>
        <s v="4.1.4 - Потрошок на ситен инвентар и автогуми"/>
        <s v="4.1.5 - Транспортни услуги"/>
        <s v="4.1.6 - Надворешни услуги"/>
        <s v="4.1.7 - Услуги за одржување и заштита"/>
        <s v="4.1.8 - Наемнини и лизинг"/>
        <s v="4.1.9 - Останати услуги"/>
        <s v="4.2.2 - Казни, пенали и надомест на штети затезни камати"/>
        <s v="4.2.3 - Вредносно усогласување на тековни и нетековни средства"/>
        <s v="4.2.5 - Курсни разлики"/>
        <s v="4.2.6 - Загуби и кусоци"/>
        <s v="4.2.7 - Останати расходи"/>
      </sharedItems>
    </cacheField>
    <cacheField name="[fActualAndBudget].[ReportType].[ReportType]" caption="ReportType" numFmtId="0" hierarchy="35" level="1">
      <sharedItems count="3">
        <s v="Остварено"/>
        <s v="План"/>
        <s v="Предвидување"/>
      </sharedItems>
    </cacheField>
    <cacheField name="[fActualAndBudget].[StavkaGrupa].[StavkaGrupa]" caption="StavkaGrupa" numFmtId="0" hierarchy="39" level="1">
      <sharedItems count="4">
        <s v="3.1. Приходи од дејноста"/>
        <s v="3.2. Останати приходи"/>
        <s v="4.1. Расходи од дејноста"/>
        <s v="4.2. Останати расходи"/>
      </sharedItems>
    </cacheField>
    <cacheField name="[fActualAndBudget].[Конто Ставка].[Конто Ставка]" caption="Конто Ставка" numFmtId="0" hierarchy="48" level="1">
      <sharedItems count="93">
        <s v="43010 - "/>
        <s v="43011 - "/>
        <s v="43020 - "/>
        <s v="43030 - "/>
        <s v="43031 - "/>
        <s v="431001 - "/>
        <s v="431002 - "/>
        <s v="43132 - "/>
        <s v="43133 - "/>
        <s v="43134 - "/>
        <s v="43136 - "/>
        <s v="43139 - "/>
        <s v="43155 - "/>
        <s v="43211 - "/>
        <s v="40103 - POTRO[.KANCELARISKI MATERIJAL" u="1"/>
        <s v="40105 - POTRO[.MATER.ZA HIGIENA" u="1"/>
        <s v="40107 - POTR.SRED.ZA ZA[TITA PRI RAB.-RAB.(OBLEKA I OBUVKI" u="1"/>
        <s v="43030 - AMORTIZACIJA NA SOFTVER 0030" u="1"/>
        <s v="43031 - AMORTIZACIJA NA SOFTVER 0031" u="1"/>
        <s v="43132 - AMORTIZACIJA NA TRANSPORTNI SREDSTVA" u="1"/>
        <s v="43133 - AMORTIZACIJA NA TELEKOMUNIKACISKI UREDI" u="1"/>
        <s v="43136 - AMORTIZACIJA NA KANCELARISKI MEBEL 01363" u="1"/>
        <s v="43139 - AMORTIZACIJA NA MED.UREDI - DEFIBR. 01391" u="1"/>
        <s v="43155 - AMORTIZACIJA NA VLO@UVAWE VO TU\I NEDVI@NOSTI" u="1"/>
        <s v="4401 - PATNI TRO[OCI VO ZEMJA" u="1"/>
        <s v="44011 - PATNI TRO[OCI ZA SLU@BENI PATUVAWA VO STRANSTVO" u="1"/>
        <s v="4403 - NADOMEST ZA NO]EVAWE VO ZEMJA" u="1"/>
        <s v="44032 - NADOMEST ZA NO]EVAWE VO STRANSTVO" u="1"/>
        <s v="4170 - TRO[.ZA REKLAMI,PROPAG.I PROMOC." u="1"/>
        <s v="44500 - PREMIJA ZA OSIGUR.NA GRADE@NI OBJEKTI" u="1"/>
        <s v="44501 - PREMIJA ZA OSIGUR.NA TRANSPORTNI SRED." u="1"/>
        <s v="44502 - PREMIJA ZA OSIGUR.NA KOMPJUTERSKA OPREMA" u="1"/>
        <s v="4459 - DR.PREMIJI ZA OSIGURUVAWE" u="1"/>
        <s v="4476 - ^LANARINA" u="1"/>
        <s v="4460 - BANKARSKI USLUGI I TRO[OCI ZA PLATEN PROMET" u="1"/>
        <s v="41330 - USL.ZA TEKOV.ODR@U.NA NEMATERIJALNI VLO@.(LICENCI)" u="1"/>
        <s v="41733 - OSTANATI NESPOM.TRO[OCI" u="1"/>
        <s v="4440 - TRO[.ZA REPREZENTACIA" u="1"/>
        <s v="4494 - TRO[.ZA PRETPL.NA VESNICI I STRU^NI SPISANIA" u="1"/>
        <s v="4497 - SUDSKI TRO[OCI" u="1"/>
        <s v="4499 - DR.NESPOMNATI NEMATERIJALNI TRO[OCI" u="1"/>
        <s v="44990 - DADENA PARI^NA POMO[ NA FIZI^KI LICA" u="1"/>
        <s v="4030 - POTR.ELEKT.ENERGIJA" u="1"/>
        <s v="40304 - POTRO[.NAFTA" u="1"/>
        <s v="403102 - POTRO[ENO GORVO SK 2082 AI" u="1"/>
        <s v="403103 - POTRO[ENO GORIVO SK 2083 AI" u="1"/>
        <s v="403104 - POTRO[ENO GORIVO SK 2084 AI" u="1"/>
        <s v="403105 - POTRO[ENO GORIVO SK 2085 AI" u="1"/>
        <s v="4031601 - POTRO[ENO GORIVO SK 0601 АС" u="1"/>
        <s v="4031602 - POTRO[ENO GORIVO SK 0602 АС" u="1"/>
        <s v="4031603 - POTRO[ENO GORIVO SK 0603 АС" u="1"/>
        <s v="4031604 - POTRO[ENO GORIVO SK 0604 АС" u="1"/>
        <s v="4031605 - POTRO[ENO GORIVO SK 0605 АС" u="1"/>
        <s v="4031606 - POTRO[ENO GORIVO SK 0606 АС" u="1"/>
        <s v="4031607 - POTRO[ENO GORIVO SK 0607 АС" u="1"/>
        <s v="4031608 - POTRO[ENO GORIVO SK 0608 АС" u="1"/>
        <s v="4031609 - POTRO[ENO GORIVO SK 0609 АС" u="1"/>
        <s v="4031610 - POTRO[ENO GORIVO SK 0610 АС" u="1"/>
        <s v="4031611 - POTRO[ENO GORIVO SK 0611 АС" u="1"/>
        <s v="4051 - POTR.REZERVNI DELOVI ZA TEKOVNO ODR@UV." u="1"/>
        <s v="4080 - OTPIS NA SITEN INVENTAR VO UPOTREBA" u="1"/>
        <s v="4081 - OTPIS NA AVTOGUMI VO UPOTREBA" u="1"/>
        <s v="4104 - TAKSI PREVOZ" u="1"/>
        <s v="4106 - DR.TRANSPORTNI USLUGI" u="1"/>
        <s v="41101 - TRO[.ZA TELEKOMUNIKACII" u="1"/>
        <s v="41102 - TRO[.ZA INTERNET" u="1"/>
        <s v="41103 - TRO[.ZA MOBILNA TELEFONIJA" u="1"/>
        <s v="4111 - PO[TENSKI USLUGI" u="1"/>
        <s v="4113 - OSTANATI NADVORE[.USLUGI" u="1"/>
        <s v="41500 - TRO[OCI ZA VODA" u="1"/>
        <s v="41501 - TRO[OCI ZA SMET" u="1"/>
        <s v="41502 - TRO[.ZA ODR@UV.NA ZELENILO" u="1"/>
        <s v="41503 - TRO[.ZA GARA@IRAWE I PARKING" u="1"/>
        <s v="41700 - OSTANATI TRO[OCI ZA SNIMAWE, FOTO, IKEBANI" u="1"/>
        <s v="41701 - OGLASI VO PE^ATENI MEDIUMI" u="1"/>
        <s v="4131 - USL.ZA TEKOV.ODR@.NA GRADE@NI OBJEKTI" u="1"/>
        <s v="4132 - USL.ZA TEKOV.ODR@.NA OPREMA" u="1"/>
        <s v="4133 - USL.ZA TEKOV.ODR@UV.NA OPREMA ZA AOP" u="1"/>
        <s v="4134 - USL.ZA ODR@UV.NA HIGIENA VO PROSTORII" u="1"/>
        <s v="4139 - OSTANATI USL.ZA ODR@UVAWE" u="1"/>
        <s v="4143 - NAEMNINA ZA NEDVI@NOSTI - ZAKUP OD PRAVNO LICE" u="1"/>
        <s v="41931 - INTELEKTUALNI USLUGI" u="1"/>
        <s v="44902 - PRAVNI,ADVOKATSKI I NOTARSKI USLUGI" u="1"/>
        <s v="44903 - USLUGI ZA REVIZIJA I PROCENKA" u="1"/>
        <s v="44904 - USLUGI ZA PREPISI I PREVODI" u="1"/>
        <s v="44907 - DRUGI DOGOVORNI USLUGI" u="1"/>
        <s v="44908 - ZAEDN.TRO[OCI SO NBR" u="1"/>
        <s v="4496 - KOPIRAWE,PE^ATEWE,POVRZUV.I IZDAVAWE" u="1"/>
        <s v="44970 - TRO[.ZA REGISTR.NA VOZILO" u="1"/>
        <s v="44972 - SERVISIRAWE I POPRAVKA NA VOZILO" u="1"/>
        <s v="44973 - DR.TRO[OCI NA VOZILO" u="1"/>
        <s v="44980 - TRO[OCI ZA PATARINA" u="1"/>
        <s v="4660 - RASHOD OD PORANE[NI GODINI" u="1"/>
      </sharedItems>
    </cacheField>
    <cacheField name="[fActualAndBudget].[StavkaKategorija].[StavkaKategorija]" caption="StavkaKategorija" numFmtId="0" hierarchy="40" level="1">
      <sharedItems containsSemiMixedTypes="0" containsNonDate="0" containsString="0"/>
    </cacheField>
  </cacheFields>
  <cacheHierarchies count="195">
    <cacheHierarchy uniqueName="[Amortizacija].[Број на јавна набавка (план)]" caption="Број на јавна набавка (план)" attribute="1" defaultMemberUniqueName="[Amortizacija].[Број на јавна набавка (план)].[All]" allUniqueName="[Amortizacija].[Број на јавна набавка (план)].[All]" dimensionUniqueName="[Amortizacija]" displayFolder="" count="0" memberValueDatatype="130" unbalanced="0"/>
    <cacheHierarchy uniqueName="[Amortizacija].[Ставка]" caption="Ставка" attribute="1" defaultMemberUniqueName="[Amortizacija].[Ставка].[All]" allUniqueName="[Amortizacija].[Ставка].[All]" dimensionUniqueName="[Amortizacija]" displayFolder="" count="0" memberValueDatatype="130" unbalanced="0"/>
    <cacheHierarchy uniqueName="[Amortizacija].[Период]" caption="Период" attribute="1" time="1" defaultMemberUniqueName="[Amortizacija].[Период].[All]" allUniqueName="[Amortizacija].[Период].[All]" dimensionUniqueName="[Amortizacija]" displayFolder="" count="0" memberValueDatatype="7" unbalanced="0"/>
    <cacheHierarchy uniqueName="[Amortizacija].[Износ]" caption="Износ" attribute="1" defaultMemberUniqueName="[Amortizacija].[Износ].[All]" allUniqueName="[Amortizacija].[Износ].[All]" dimensionUniqueName="[Amortizacija]" displayFolder="" count="0" memberValueDatatype="20" unbalanced="0"/>
    <cacheHierarchy uniqueName="[Amortizacija].[Конто]" caption="Конто" attribute="1" defaultMemberUniqueName="[Amortizacija].[Конто].[All]" allUniqueName="[Amortizacija].[Конто].[All]" dimensionUniqueName="[Amortizacija]" displayFolder="" count="0" memberValueDatatype="130" unbalanced="0"/>
    <cacheHierarchy uniqueName="[Amortizacija].[ReportType]" caption="ReportType" attribute="1" defaultMemberUniqueName="[Amortizacija].[ReportType].[All]" allUniqueName="[Amortizacija].[ReportType].[All]" dimensionUniqueName="[Amortizacija]" displayFolder="" count="0" memberValueDatatype="130" unbalanced="0"/>
    <cacheHierarchy uniqueName="[Calendar].[Date]" caption="Date" attribute="1" time="1" keyAttribute="1" defaultMemberUniqueName="[Calendar].[Date].[All]" allUniqueName="[Calendar].[Date].[All]" dimensionUniqueName="[Calendar]" displayFolder="" count="0" memberValueDatatype="7" unbalanced="0"/>
    <cacheHierarchy uniqueName="[Calendar].[Date Hierarchy]" caption="Date Hierarchy" time="1" defaultMemberUniqueName="[Calendar].[Date Hierarchy].[All]" allUniqueName="[Calendar].[Date Hierarchy].[All]" dimensionUniqueName="[Calendar]" displayFolder="" count="4" unbalanced="0">
      <fieldsUsage count="4">
        <fieldUsage x="-1"/>
        <fieldUsage x="0"/>
        <fieldUsage x="1"/>
        <fieldUsage x="2"/>
      </fieldsUsage>
    </cacheHierarchy>
    <cacheHierarchy uniqueName="[Calendar].[Година]" caption="Година" attribute="1" time="1" defaultMemberUniqueName="[Calendar].[Година].[All]" allUniqueName="[Calendar].[Година].[All]" dimensionUniqueName="[Calendar]" displayFolder="" count="2" memberValueDatatype="20" unbalanced="0">
      <fieldsUsage count="2">
        <fieldUsage x="-1"/>
        <fieldUsage x="4"/>
      </fieldsUsage>
    </cacheHierarchy>
    <cacheHierarchy uniqueName="[Calendar].[Month Number]" caption="Month Number" attribute="1" time="1" defaultMemberUniqueName="[Calendar].[Month Number].[All]" allUniqueName="[Calendar].[Month Number].[All]" dimensionUniqueName="[Calendar]" displayFolder="" count="0" memberValueDatatype="20" unbalanced="0"/>
    <cacheHierarchy uniqueName="[Calendar].[Месец]" caption="Месец" attribute="1" time="1" defaultMemberUniqueName="[Calendar].[Месец].[All]" allUniqueName="[Calendar].[Месец].[All]" dimensionUniqueName="[Calendar]" displayFolder="" count="0" memberValueDatatype="130" unbalanced="0"/>
    <cacheHierarchy uniqueName="[Calendar].[MMM-YYYY]" caption="MMM-YYYY" attribute="1" time="1" defaultMemberUniqueName="[Calendar].[MMM-YYYY].[All]" allUniqueName="[Calendar].[MMM-YYYY].[All]" dimensionUniqueName="[Calendar]" displayFolder="" count="0" memberValueDatatype="130" unbalanced="0"/>
    <cacheHierarchy uniqueName="[Calendar].[Day Of Week Number]" caption="Day Of Week Number" attribute="1" time="1" defaultMemberUniqueName="[Calendar].[Day Of Week Number].[All]" allUniqueName="[Calendar].[Day Of Week Number].[All]" dimensionUniqueName="[Calendar]" displayFolder="" count="0" memberValueDatatype="20" unbalanced="0"/>
    <cacheHierarchy uniqueName="[Calendar].[Day Of Week]" caption="Day Of Week" attribute="1" time="1" defaultMemberUniqueName="[Calendar].[Day Of Week].[All]" allUniqueName="[Calendar].[Day Of Week].[All]" dimensionUniqueName="[Calendar]" displayFolder="" count="0" memberValueDatatype="130" unbalanced="0"/>
    <cacheHierarchy uniqueName="[Calendar].[Квартал]" caption="Квартал" attribute="1" time="1" defaultMemberUniqueName="[Calendar].[Квартал].[All]" allUniqueName="[Calendar].[Квартал].[All]" dimensionUniqueName="[Calendar]" displayFolder="" count="0" memberValueDatatype="7" unbalanced="0"/>
    <cacheHierarchy uniqueName="[CAPEX].[Година за реализација на проект]" caption="Година за реализација на проект" attribute="1" defaultMemberUniqueName="[CAPEX].[Година за реализација на проект].[All]" allUniqueName="[CAPEX].[Година за реализација на проект].[All]" dimensionUniqueName="[CAPEX]" displayFolder="" count="0" memberValueDatatype="20" unbalanced="0"/>
    <cacheHierarchy uniqueName="[CAPEX].[Број на јавна набавка (план)]" caption="Број на јавна набавка (план)" attribute="1" defaultMemberUniqueName="[CAPEX].[Број на јавна набавка (план)].[All]" allUniqueName="[CAPEX].[Број на јавна набавка (план)].[All]" dimensionUniqueName="[CAPEX]" displayFolder="" count="0" memberValueDatatype="130" unbalanced="0"/>
    <cacheHierarchy uniqueName="[CAPEX].[Предмет на договорот за јавна набавка]" caption="Предмет на договорот за јавна набавка" attribute="1" defaultMemberUniqueName="[CAPEX].[Предмет на договорот за јавна набавка].[All]" allUniqueName="[CAPEX].[Предмет на договорот за јавна набавка].[All]" dimensionUniqueName="[CAPEX]" displayFolder="" count="0" memberValueDatatype="130" unbalanced="0"/>
    <cacheHierarchy uniqueName="[CAPEX].[Очекуван датум на плаќање]" caption="Очекуван датум на плаќање" attribute="1" time="1" defaultMemberUniqueName="[CAPEX].[Очекуван датум на плаќање].[All]" allUniqueName="[CAPEX].[Очекуван датум на плаќање].[All]" dimensionUniqueName="[CAPEX]" displayFolder="" count="0" memberValueDatatype="7" unbalanced="0"/>
    <cacheHierarchy uniqueName="[CAPEX].[Очекуван датум за ставање во употреба (месец)]" caption="Очекуван датум за ставање во употреба (месец)" attribute="1" time="1" defaultMemberUniqueName="[CAPEX].[Очекуван датум за ставање во употреба (месец)].[All]" allUniqueName="[CAPEX].[Очекуван датум за ставање во употреба (месец)].[All]" dimensionUniqueName="[CAPEX]" displayFolder="" count="0" memberValueDatatype="7" unbalanced="0"/>
    <cacheHierarchy uniqueName="[CAPEX].[Проценета вредност на набавка со ДДВ (денари)]" caption="Проценета вредност на набавка со ДДВ (денари)" attribute="1" defaultMemberUniqueName="[CAPEX].[Проценета вредност на набавка со ДДВ (денари)].[All]" allUniqueName="[CAPEX].[Проценета вредност на набавка со ДДВ (денари)].[All]" dimensionUniqueName="[CAPEX]" displayFolder="" count="0" memberValueDatatype="20" unbalanced="0"/>
    <cacheHierarchy uniqueName="[CAPEX].[Стапка на амортизација]" caption="Стапка на амортизација" attribute="1" defaultMemberUniqueName="[CAPEX].[Стапка на амортизација].[All]" allUniqueName="[CAPEX].[Стапка на амортизација].[All]" dimensionUniqueName="[CAPEX]" displayFolder="" count="0" memberValueDatatype="5" unbalanced="0"/>
    <cacheHierarchy uniqueName="[CAPEX].[Конто Средства]" caption="Конто Средства" attribute="1" defaultMemberUniqueName="[CAPEX].[Конто Средства].[All]" allUniqueName="[CAPEX].[Конто Средства].[All]" dimensionUniqueName="[CAPEX]" displayFolder="" count="0" memberValueDatatype="130" unbalanced="0"/>
    <cacheHierarchy uniqueName="[CAPEX].[Конто Амортизација]" caption="Конто Амортизација" attribute="1" defaultMemberUniqueName="[CAPEX].[Конто Амортизација].[All]" allUniqueName="[CAPEX].[Конто Амортизација].[All]" dimensionUniqueName="[CAPEX]" displayFolder="" count="0" memberValueDatatype="130" unbalanced="0"/>
    <cacheHierarchy uniqueName="[CAPEX].[Износ донација]" caption="Износ донација" attribute="1" defaultMemberUniqueName="[CAPEX].[Износ донација].[All]" allUniqueName="[CAPEX].[Износ донација].[All]" dimensionUniqueName="[CAPEX]" displayFolder="" count="0" memberValueDatatype="20" unbalanced="0"/>
    <cacheHierarchy uniqueName="[CAPEX].[Очекуван датум на плаќање (Year)]" caption="Очекуван датум на плаќање (Year)" attribute="1" defaultMemberUniqueName="[CAPEX].[Очекуван датум на плаќање (Year)].[All]" allUniqueName="[CAPEX].[Очекуван датум на плаќање (Year)].[All]" dimensionUniqueName="[CAPEX]" displayFolder="" count="0" memberValueDatatype="130" unbalanced="0"/>
    <cacheHierarchy uniqueName="[CAPEX].[Очекуван датум на плаќање (Quarter)]" caption="Очекуван датум на плаќање (Quarter)" attribute="1" defaultMemberUniqueName="[CAPEX].[Очекуван датум на плаќање (Quarter)].[All]" allUniqueName="[CAPEX].[Очекуван датум на плаќање (Quarter)].[All]" dimensionUniqueName="[CAPEX]" displayFolder="" count="0" memberValueDatatype="130" unbalanced="0"/>
    <cacheHierarchy uniqueName="[CAPEX].[Очекуван датум на плаќање (Month)]" caption="Очекуван датум на плаќање (Month)" attribute="1" defaultMemberUniqueName="[CAPEX].[Очекуван датум на плаќање (Month)].[All]" allUniqueName="[CAPEX].[Очекуван датум на плаќање (Month)].[All]" dimensionUniqueName="[CAPEX]" displayFolder="" count="0" memberValueDatatype="130" unbalanced="0"/>
    <cacheHierarchy uniqueName="[CAPEX].[Очекуван датум за ставање во употреба (месец) (Year)]" caption="Очекуван датум за ставање во употреба (месец) (Year)" attribute="1" defaultMemberUniqueName="[CAPEX].[Очекуван датум за ставање во употреба (месец) (Year)].[All]" allUniqueName="[CAPEX].[Очекуван датум за ставање во употреба (месец) (Year)].[All]" dimensionUniqueName="[CAPEX]" displayFolder="" count="0" memberValueDatatype="130" unbalanced="0"/>
    <cacheHierarchy uniqueName="[CAPEX].[Очекуван датум за ставање во употреба (месец) (Quarter)]" caption="Очекуван датум за ставање во употреба (месец) (Quarter)" attribute="1" defaultMemberUniqueName="[CAPEX].[Очекуван датум за ставање во употреба (месец) (Quarter)].[All]" allUniqueName="[CAPEX].[Очекуван датум за ставање во употреба (месец) (Quarter)].[All]" dimensionUniqueName="[CAPEX]" displayFolder="" count="0" memberValueDatatype="130" unbalanced="0"/>
    <cacheHierarchy uniqueName="[CAPEX].[Очекуван датум за ставање во употреба (месец) (Month)]" caption="Очекуван датум за ставање во употреба (месец) (Month)" attribute="1" defaultMemberUniqueName="[CAPEX].[Очекуван датум за ставање во употреба (месец) (Month)].[All]" allUniqueName="[CAPEX].[Очекуван датум за ставање во употреба (месец) (Month)].[All]" dimensionUniqueName="[CAPEX]" displayFolder="" count="0" memberValueDatatype="130" unbalanced="0"/>
    <cacheHierarchy uniqueName="[fActualAndBudget].[Конто]" caption="Конто" attribute="1" defaultMemberUniqueName="[fActualAndBudget].[Конто].[All]" allUniqueName="[fActualAndBudget].[Конто].[All]" dimensionUniqueName="[fActualAndBudget]" displayFolder="" count="0" memberValueDatatype="130" unbalanced="0"/>
    <cacheHierarchy uniqueName="[fActualAndBudget].[Назив на конто]" caption="Назив на конто" attribute="1" defaultMemberUniqueName="[fActualAndBudget].[Назив на конто].[All]" allUniqueName="[fActualAndBudget].[Назив на конто].[All]" dimensionUniqueName="[fActualAndBudget]" displayFolder="" count="0" memberValueDatatype="130" unbalanced="0"/>
    <cacheHierarchy uniqueName="[fActualAndBudget].[Период]" caption="Период" attribute="1" time="1" defaultMemberUniqueName="[fActualAndBudget].[Период].[All]" allUniqueName="[fActualAndBudget].[Период].[All]" dimensionUniqueName="[fActualAndBudget]" displayFolder="" count="0" memberValueDatatype="7" unbalanced="0"/>
    <cacheHierarchy uniqueName="[fActualAndBudget].[Износ1]" caption="Износ1" attribute="1" defaultMemberUniqueName="[fActualAndBudget].[Износ1].[All]" allUniqueName="[fActualAndBudget].[Износ1].[All]" dimensionUniqueName="[fActualAndBudget]" displayFolder="" count="0" memberValueDatatype="20" unbalanced="0"/>
    <cacheHierarchy uniqueName="[fActualAndBudget].[ReportType]" caption="ReportType" attribute="1" defaultMemberUniqueName="[fActualAndBudget].[ReportType].[All]" allUniqueName="[fActualAndBudget].[ReportType].[All]" dimensionUniqueName="[fActualAndBudget]" displayFolder="" count="2" memberValueDatatype="130" unbalanced="0">
      <fieldsUsage count="2">
        <fieldUsage x="-1"/>
        <fieldUsage x="7"/>
      </fieldsUsage>
    </cacheHierarchy>
    <cacheHierarchy uniqueName="[fActualAndBudget].[Ставка]" caption="Ставка" attribute="1" defaultMemberUniqueName="[fActualAndBudget].[Ставка].[All]" allUniqueName="[fActualAndBudget].[Ставка].[All]" dimensionUniqueName="[fActualAndBudget]" displayFolder="" count="0" memberValueDatatype="130" unbalanced="0"/>
    <cacheHierarchy uniqueName="[fActualAndBudget].[Број на јавна набавка (план)]" caption="Број на јавна набавка (план)" attribute="1" defaultMemberUniqueName="[fActualAndBudget].[Број на јавна набавка (план)].[All]" allUniqueName="[fActualAndBudget].[Број на јавна набавка (план)].[All]" dimensionUniqueName="[fActualAndBudget]" displayFolder="" count="0" memberValueDatatype="130" unbalanced="0"/>
    <cacheHierarchy uniqueName="[fActualAndBudget].[StavkaImeMK]" caption="StavkaImeMK" attribute="1" defaultMemberUniqueName="[fActualAndBudget].[StavkaImeMK].[All]" allUniqueName="[fActualAndBudget].[StavkaImeMK].[All]" dimensionUniqueName="[fActualAndBudget]" displayFolder="" count="0" memberValueDatatype="130" unbalanced="0"/>
    <cacheHierarchy uniqueName="[fActualAndBudget].[StavkaGrupa]" caption="StavkaGrupa" attribute="1" defaultMemberUniqueName="[fActualAndBudget].[StavkaGrupa].[All]" allUniqueName="[fActualAndBudget].[StavkaGrupa].[All]" dimensionUniqueName="[fActualAndBudget]" displayFolder="" count="2" memberValueDatatype="130" unbalanced="0">
      <fieldsUsage count="2">
        <fieldUsage x="-1"/>
        <fieldUsage x="8"/>
      </fieldsUsage>
    </cacheHierarchy>
    <cacheHierarchy uniqueName="[fActualAndBudget].[StavkaKategorija]" caption="StavkaKategorija" attribute="1" defaultMemberUniqueName="[fActualAndBudget].[StavkaKategorija].[All]" allUniqueName="[fActualAndBudget].[StavkaKategorija].[All]" dimensionUniqueName="[fActualAndBudget]" displayFolder="" count="2" memberValueDatatype="130" unbalanced="0">
      <fieldsUsage count="2">
        <fieldUsage x="-1"/>
        <fieldUsage x="10"/>
      </fieldsUsage>
    </cacheHierarchy>
    <cacheHierarchy uniqueName="[fActualAndBudget].[ZnakIzvestaj]" caption="ZnakIzvestaj" attribute="1" defaultMemberUniqueName="[fActualAndBudget].[ZnakIzvestaj].[All]" allUniqueName="[fActualAndBudget].[ZnakIzvestaj].[All]" dimensionUniqueName="[fActualAndBudget]" displayFolder="" count="0" memberValueDatatype="20" unbalanced="0"/>
    <cacheHierarchy uniqueName="[fActualAndBudget].[ObrazecID]" caption="ObrazecID" attribute="1" defaultMemberUniqueName="[fActualAndBudget].[ObrazecID].[All]" allUniqueName="[fActualAndBudget].[ObrazecID].[All]" dimensionUniqueName="[fActualAndBudget]" displayFolder="" count="0" memberValueDatatype="20" unbalanced="0"/>
    <cacheHierarchy uniqueName="[fActualAndBudget].[StavkaAOP]" caption="StavkaAOP" attribute="1" defaultMemberUniqueName="[fActualAndBudget].[StavkaAOP].[All]" allUniqueName="[fActualAndBudget].[StavkaAOP].[All]" dimensionUniqueName="[fActualAndBudget]" displayFolder="" count="0" memberValueDatatype="130" unbalanced="0"/>
    <cacheHierarchy uniqueName="[fActualAndBudget].[ObrazecIme]" caption="ObrazecIme" attribute="1" defaultMemberUniqueName="[fActualAndBudget].[ObrazecIme].[All]" allUniqueName="[fActualAndBudget].[ObrazecIme].[All]" dimensionUniqueName="[fActualAndBudget]" displayFolder="" count="2" memberValueDatatype="130" unbalanced="0">
      <fieldsUsage count="2">
        <fieldUsage x="-1"/>
        <fieldUsage x="5"/>
      </fieldsUsage>
    </cacheHierarchy>
    <cacheHierarchy uniqueName="[fActualAndBudget].[Износ]" caption="Износ" attribute="1" defaultMemberUniqueName="[fActualAndBudget].[Износ].[All]" allUniqueName="[fActualAndBudget].[Износ].[All]" dimensionUniqueName="[fActualAndBudget]" displayFolder="" count="0" memberValueDatatype="20" unbalanced="0"/>
    <cacheHierarchy uniqueName="[fActualAndBudget].[Износ (илјади)]" caption="Износ (илјади)" attribute="1" defaultMemberUniqueName="[fActualAndBudget].[Износ (илјади)].[All]" allUniqueName="[fActualAndBudget].[Износ (илјади)].[All]" dimensionUniqueName="[fActualAndBudget]" displayFolder="" count="0" memberValueDatatype="5" unbalanced="0"/>
    <cacheHierarchy uniqueName="[fActualAndBudget].[StavkaImeAOP]" caption="StavkaImeAOP" attribute="1" defaultMemberUniqueName="[fActualAndBudget].[StavkaImeAOP].[All]" allUniqueName="[fActualAndBudget].[StavkaImeAOP].[All]" dimensionUniqueName="[fActualAndBudget]" displayFolder="" count="2" memberValueDatatype="130" unbalanced="0">
      <fieldsUsage count="2">
        <fieldUsage x="-1"/>
        <fieldUsage x="6"/>
      </fieldsUsage>
    </cacheHierarchy>
    <cacheHierarchy uniqueName="[fActualAndBudget].[Конто Ставка]" caption="Конто Ставка" attribute="1" defaultMemberUniqueName="[fActualAndBudget].[Конто Ставка].[All]" allUniqueName="[fActualAndBudget].[Конто Ставка].[All]" dimensionUniqueName="[fActualAndBudget]" displayFolder="" count="2" memberValueDatatype="130" unbalanced="0">
      <fieldsUsage count="2">
        <fieldUsage x="-1"/>
        <fieldUsage x="9"/>
      </fieldsUsage>
    </cacheHierarchy>
    <cacheHierarchy uniqueName="[fArtikliCeni].[Ставка]" caption="Ставка" attribute="1" defaultMemberUniqueName="[fArtikliCeni].[Ставка].[All]" allUniqueName="[fArtikliCeni].[Ставка].[All]" dimensionUniqueName="[fArtikliCeni]" displayFolder="" count="0" memberValueDatatype="130" unbalanced="0"/>
    <cacheHierarchy uniqueName="[fArtikliCeni].[Категорија Артикл]" caption="Категорија Артикл" attribute="1" defaultMemberUniqueName="[fArtikliCeni].[Категорија Артикл].[All]" allUniqueName="[fArtikliCeni].[Категорија Артикл].[All]" dimensionUniqueName="[fArtikliCeni]" displayFolder="" count="0" memberValueDatatype="130" unbalanced="0"/>
    <cacheHierarchy uniqueName="[fArtikliCeni].[Тип на артикл]" caption="Тип на артикл" attribute="1" defaultMemberUniqueName="[fArtikliCeni].[Тип на артикл].[All]" allUniqueName="[fArtikliCeni].[Тип на артикл].[All]" dimensionUniqueName="[fArtikliCeni]" displayFolder="" count="0" memberValueDatatype="130" unbalanced="0"/>
    <cacheHierarchy uniqueName="[fArtikliCeni].[Единечна мерка]" caption="Единечна мерка" attribute="1" defaultMemberUniqueName="[fArtikliCeni].[Единечна мерка].[All]" allUniqueName="[fArtikliCeni].[Единечна мерка].[All]" dimensionUniqueName="[fArtikliCeni]" displayFolder="" count="0" memberValueDatatype="130" unbalanced="0"/>
    <cacheHierarchy uniqueName="[fArtikliCeni].[Количина]" caption="Количина" attribute="1" defaultMemberUniqueName="[fArtikliCeni].[Количина].[All]" allUniqueName="[fArtikliCeni].[Количина].[All]" dimensionUniqueName="[fArtikliCeni]" displayFolder="" count="0" memberValueDatatype="5" unbalanced="0"/>
    <cacheHierarchy uniqueName="[fArtikliCeni].[Единечна цена]" caption="Единечна цена" attribute="1" defaultMemberUniqueName="[fArtikliCeni].[Единечна цена].[All]" allUniqueName="[fArtikliCeni].[Единечна цена].[All]" dimensionUniqueName="[fArtikliCeni]" displayFolder="" count="0" memberValueDatatype="20" unbalanced="0"/>
    <cacheHierarchy uniqueName="[fArtikliCeni].[Вкупно трошок]" caption="Вкупно трошок" attribute="1" defaultMemberUniqueName="[fArtikliCeni].[Вкупно трошок].[All]" allUniqueName="[fArtikliCeni].[Вкупно трошок].[All]" dimensionUniqueName="[fArtikliCeni]" displayFolder="" count="0" memberValueDatatype="5" unbalanced="0"/>
    <cacheHierarchy uniqueName="[fArtikliCeni].[ДДВ]" caption="ДДВ" attribute="1" defaultMemberUniqueName="[fArtikliCeni].[ДДВ].[All]" allUniqueName="[fArtikliCeni].[ДДВ].[All]" dimensionUniqueName="[fArtikliCeni]" displayFolder="" count="0" memberValueDatatype="5" unbalanced="0"/>
    <cacheHierarchy uniqueName="[fArtikliCeni].[Износ]" caption="Износ" attribute="1" defaultMemberUniqueName="[fArtikliCeni].[Износ].[All]" allUniqueName="[fArtikliCeni].[Износ].[All]" dimensionUniqueName="[fArtikliCeni]" displayFolder="" count="0" memberValueDatatype="5" unbalanced="0"/>
    <cacheHierarchy uniqueName="[fArtikliCeni].[Конто]" caption="Конто" attribute="1" defaultMemberUniqueName="[fArtikliCeni].[Конто].[All]" allUniqueName="[fArtikliCeni].[Конто].[All]" dimensionUniqueName="[fArtikliCeni]" displayFolder="" count="0" memberValueDatatype="130" unbalanced="0"/>
    <cacheHierarchy uniqueName="[fArtikliCeni].[ReportType]" caption="ReportType" attribute="1" defaultMemberUniqueName="[fArtikliCeni].[ReportType].[All]" allUniqueName="[fArtikliCeni].[ReportType].[All]" dimensionUniqueName="[fArtikliCeni]" displayFolder="" count="0" memberValueDatatype="130" unbalanced="0"/>
    <cacheHierarchy uniqueName="[fArtikliCeni].[Период]" caption="Период" attribute="1" time="1" defaultMemberUniqueName="[fArtikliCeni].[Период].[All]" allUniqueName="[fArtikliCeni].[Период].[All]" dimensionUniqueName="[fArtikliCeni]" displayFolder="" count="0" memberValueDatatype="7" unbalanced="0"/>
    <cacheHierarchy uniqueName="[fArtikliCeni].[StavkaImeMK]" caption="StavkaImeMK" attribute="1" defaultMemberUniqueName="[fArtikliCeni].[StavkaImeMK].[All]" allUniqueName="[fArtikliCeni].[StavkaImeMK].[All]" dimensionUniqueName="[fArtikliCeni]" displayFolder="" count="0" memberValueDatatype="130" unbalanced="0"/>
    <cacheHierarchy uniqueName="[fArtikliCeni].[StavkaAOP]" caption="StavkaAOP" attribute="1" defaultMemberUniqueName="[fArtikliCeni].[StavkaAOP].[All]" allUniqueName="[fArtikliCeni].[StavkaAOP].[All]" dimensionUniqueName="[fArtikliCeni]" displayFolder="" count="0" memberValueDatatype="130" unbalanced="0"/>
    <cacheHierarchy uniqueName="[fArtikliCeni].[StavkaGrupa]" caption="StavkaGrupa" attribute="1" defaultMemberUniqueName="[fArtikliCeni].[StavkaGrupa].[All]" allUniqueName="[fArtikliCeni].[StavkaGrupa].[All]" dimensionUniqueName="[fArtikliCeni]" displayFolder="" count="0" memberValueDatatype="130" unbalanced="0"/>
    <cacheHierarchy uniqueName="[fArtikliCeni].[StavkaKategorija]" caption="StavkaKategorija" attribute="1" defaultMemberUniqueName="[fArtikliCeni].[StavkaKategorija].[All]" allUniqueName="[fArtikliCeni].[StavkaKategorija].[All]" dimensionUniqueName="[fArtikliCeni]" displayFolder="" count="0" memberValueDatatype="130" unbalanced="0"/>
    <cacheHierarchy uniqueName="[fArtikliCeni].[ObrazecIme]" caption="ObrazecIme" attribute="1" defaultMemberUniqueName="[fArtikliCeni].[ObrazecIme].[All]" allUniqueName="[fArtikliCeni].[ObrazecIme].[All]" dimensionUniqueName="[fArtikliCeni]" displayFolder="" count="0" memberValueDatatype="130" unbalanced="0"/>
    <cacheHierarchy uniqueName="[fCoveckiResursi].[Ставка]" caption="Ставка" attribute="1" defaultMemberUniqueName="[fCoveckiResursi].[Ставка].[All]" allUniqueName="[fCoveckiResursi].[Ставка].[All]" dimensionUniqueName="[fCoveckiResursi]" displayFolder="" count="0" memberValueDatatype="130" unbalanced="0"/>
    <cacheHierarchy uniqueName="[fCoveckiResursi].[Тип на вработување]" caption="Тип на вработување" attribute="1" defaultMemberUniqueName="[fCoveckiResursi].[Тип на вработување].[All]" allUniqueName="[fCoveckiResursi].[Тип на вработување].[All]" dimensionUniqueName="[fCoveckiResursi]" displayFolder="" count="0" memberValueDatatype="130" unbalanced="0"/>
    <cacheHierarchy uniqueName="[fCoveckiResursi].[Планиран прилив/(одлив)]" caption="Планиран прилив/(одлив)" attribute="1" defaultMemberUniqueName="[fCoveckiResursi].[Планиран прилив/(одлив)].[All]" allUniqueName="[fCoveckiResursi].[Планиран прилив/(одлив)].[All]" dimensionUniqueName="[fCoveckiResursi]" displayFolder="" count="0" memberValueDatatype="20" unbalanced="0"/>
    <cacheHierarchy uniqueName="[fCoveckiResursi].[Период]" caption="Период" attribute="1" time="1" defaultMemberUniqueName="[fCoveckiResursi].[Период].[All]" allUniqueName="[fCoveckiResursi].[Период].[All]" dimensionUniqueName="[fCoveckiResursi]" displayFolder="" count="0" memberValueDatatype="7" unbalanced="0"/>
    <cacheHierarchy uniqueName="[fCoveckiResursi].[Крајна состојба вработени]" caption="Крајна состојба вработени" attribute="1" defaultMemberUniqueName="[fCoveckiResursi].[Крајна состојба вработени].[All]" allUniqueName="[fCoveckiResursi].[Крајна состојба вработени].[All]" dimensionUniqueName="[fCoveckiResursi]" displayFolder="" count="0" memberValueDatatype="20" unbalanced="0"/>
    <cacheHierarchy uniqueName="[fCoveckiResursi].[Износ]" caption="Износ" attribute="1" defaultMemberUniqueName="[fCoveckiResursi].[Износ].[All]" allUniqueName="[fCoveckiResursi].[Износ].[All]" dimensionUniqueName="[fCoveckiResursi]" displayFolder="" count="0" memberValueDatatype="20" unbalanced="0"/>
    <cacheHierarchy uniqueName="[fCoveckiResursi].[Конто]" caption="Конто" attribute="1" defaultMemberUniqueName="[fCoveckiResursi].[Конто].[All]" allUniqueName="[fCoveckiResursi].[Конто].[All]" dimensionUniqueName="[fCoveckiResursi]" displayFolder="" count="0" memberValueDatatype="130" unbalanced="0"/>
    <cacheHierarchy uniqueName="[fCoveckiResursi].[ReportType]" caption="ReportType" attribute="1" defaultMemberUniqueName="[fCoveckiResursi].[ReportType].[All]" allUniqueName="[fCoveckiResursi].[ReportType].[All]" dimensionUniqueName="[fCoveckiResursi]" displayFolder="" count="0" memberValueDatatype="130" unbalanced="0"/>
    <cacheHierarchy uniqueName="[fCoveckiResursi].[Период (Year)]" caption="Период (Year)" attribute="1" defaultMemberUniqueName="[fCoveckiResursi].[Период (Year)].[All]" allUniqueName="[fCoveckiResursi].[Период (Year)].[All]" dimensionUniqueName="[fCoveckiResursi]" displayFolder="" count="0" memberValueDatatype="130" unbalanced="0"/>
    <cacheHierarchy uniqueName="[fCoveckiResursi].[Период (Quarter)]" caption="Период (Quarter)" attribute="1" defaultMemberUniqueName="[fCoveckiResursi].[Период (Quarter)].[All]" allUniqueName="[fCoveckiResursi].[Период (Quarter)].[All]" dimensionUniqueName="[fCoveckiResursi]" displayFolder="" count="0" memberValueDatatype="130" unbalanced="0"/>
    <cacheHierarchy uniqueName="[fCoveckiResursi].[Период (Month)]" caption="Период (Month)" attribute="1" defaultMemberUniqueName="[fCoveckiResursi].[Период (Month)].[All]" allUniqueName="[fCoveckiResursi].[Период (Month)].[All]" dimensionUniqueName="[fCoveckiResursi]" displayFolder="" count="0" memberValueDatatype="130" unbalanced="0"/>
    <cacheHierarchy uniqueName="[fCoveckiResursi].[Период (Year) 1]" caption="Период (Year) 1" attribute="1" defaultMemberUniqueName="[fCoveckiResursi].[Период (Year) 1].[All]" allUniqueName="[fCoveckiResursi].[Период (Year) 1].[All]" dimensionUniqueName="[fCoveckiResursi]" displayFolder="" count="0" memberValueDatatype="130" unbalanced="0"/>
    <cacheHierarchy uniqueName="[fCoveckiResursi].[Период (Quarter) 1]" caption="Период (Quarter) 1" attribute="1" defaultMemberUniqueName="[fCoveckiResursi].[Период (Quarter) 1].[All]" allUniqueName="[fCoveckiResursi].[Период (Quarter) 1].[All]" dimensionUniqueName="[fCoveckiResursi]" displayFolder="" count="0" memberValueDatatype="130" unbalanced="0"/>
    <cacheHierarchy uniqueName="[fCoveckiResursi].[Период (Month) 1]" caption="Период (Month) 1" attribute="1" defaultMemberUniqueName="[fCoveckiResursi].[Период (Month) 1].[All]" allUniqueName="[fCoveckiResursi].[Период (Month) 1].[All]" dimensionUniqueName="[fCoveckiResursi]" displayFolder="" count="0" memberValueDatatype="130" unbalanced="0"/>
    <cacheHierarchy uniqueName="[fCoveckiResursi  2].[Ставка]" caption="Ставка" attribute="1" defaultMemberUniqueName="[fCoveckiResursi  2].[Ставка].[All]" allUniqueName="[fCoveckiResursi  2].[Ставка].[All]" dimensionUniqueName="[fCoveckiResursi  2]" displayFolder="" count="0" memberValueDatatype="130" unbalanced="0"/>
    <cacheHierarchy uniqueName="[fCoveckiResursi  2].[Период]" caption="Период" attribute="1" time="1" defaultMemberUniqueName="[fCoveckiResursi  2].[Период].[All]" allUniqueName="[fCoveckiResursi  2].[Период].[All]" dimensionUniqueName="[fCoveckiResursi  2]" displayFolder="" count="0" memberValueDatatype="7" unbalanced="0"/>
    <cacheHierarchy uniqueName="[fCoveckiResursi  2].[Износ]" caption="Износ" attribute="1" defaultMemberUniqueName="[fCoveckiResursi  2].[Износ].[All]" allUniqueName="[fCoveckiResursi  2].[Износ].[All]" dimensionUniqueName="[fCoveckiResursi  2]" displayFolder="" count="0" memberValueDatatype="20" unbalanced="0"/>
    <cacheHierarchy uniqueName="[fCoveckiResursi  2].[Конто]" caption="Конто" attribute="1" defaultMemberUniqueName="[fCoveckiResursi  2].[Конто].[All]" allUniqueName="[fCoveckiResursi  2].[Конто].[All]" dimensionUniqueName="[fCoveckiResursi  2]" displayFolder="" count="0" memberValueDatatype="130" unbalanced="0"/>
    <cacheHierarchy uniqueName="[fCoveckiResursi  2].[ReportType]" caption="ReportType" attribute="1" defaultMemberUniqueName="[fCoveckiResursi  2].[ReportType].[All]" allUniqueName="[fCoveckiResursi  2].[ReportType].[All]" dimensionUniqueName="[fCoveckiResursi  2]" displayFolder="" count="0" memberValueDatatype="130" unbalanced="0"/>
    <cacheHierarchy uniqueName="[fCoveckiResursi  2].[StavkaImeMK]" caption="StavkaImeMK" attribute="1" defaultMemberUniqueName="[fCoveckiResursi  2].[StavkaImeMK].[All]" allUniqueName="[fCoveckiResursi  2].[StavkaImeMK].[All]" dimensionUniqueName="[fCoveckiResursi  2]" displayFolder="" count="0" memberValueDatatype="130" unbalanced="0"/>
    <cacheHierarchy uniqueName="[fCoveckiResursi  2].[StavkaKategorija]" caption="StavkaKategorija" attribute="1" defaultMemberUniqueName="[fCoveckiResursi  2].[StavkaKategorija].[All]" allUniqueName="[fCoveckiResursi  2].[StavkaKategorija].[All]" dimensionUniqueName="[fCoveckiResursi  2]" displayFolder="" count="0" memberValueDatatype="130" unbalanced="0"/>
    <cacheHierarchy uniqueName="[fCoveckiResursi  2].[ObrazecIme]" caption="ObrazecIme" attribute="1" defaultMemberUniqueName="[fCoveckiResursi  2].[ObrazecIme].[All]" allUniqueName="[fCoveckiResursi  2].[ObrazecIme].[All]" dimensionUniqueName="[fCoveckiResursi  2]" displayFolder="" count="0" memberValueDatatype="130" unbalanced="0"/>
    <cacheHierarchy uniqueName="[fOPEX].[Конто]" caption="Конто" attribute="1" defaultMemberUniqueName="[fOPEX].[Конто].[All]" allUniqueName="[fOPEX].[Конто].[All]" dimensionUniqueName="[fOPEX]" displayFolder="" count="0" memberValueDatatype="130" unbalanced="0"/>
    <cacheHierarchy uniqueName="[fOPEX].[Ставка]" caption="Ставка" attribute="1" defaultMemberUniqueName="[fOPEX].[Ставка].[All]" allUniqueName="[fOPEX].[Ставка].[All]" dimensionUniqueName="[fOPEX]" displayFolder="" count="0" memberValueDatatype="130" unbalanced="0"/>
    <cacheHierarchy uniqueName="[fOPEX].[Период]" caption="Период" attribute="1" time="1" defaultMemberUniqueName="[fOPEX].[Период].[All]" allUniqueName="[fOPEX].[Период].[All]" dimensionUniqueName="[fOPEX]" displayFolder="" count="0" memberValueDatatype="7" unbalanced="0"/>
    <cacheHierarchy uniqueName="[fOPEX].[Износ]" caption="Износ" attribute="1" defaultMemberUniqueName="[fOPEX].[Износ].[All]" allUniqueName="[fOPEX].[Износ].[All]" dimensionUniqueName="[fOPEX]" displayFolder="" count="0" memberValueDatatype="20" unbalanced="0"/>
    <cacheHierarchy uniqueName="[fOPEX].[ReportType]" caption="ReportType" attribute="1" defaultMemberUniqueName="[fOPEX].[ReportType].[All]" allUniqueName="[fOPEX].[ReportType].[All]" dimensionUniqueName="[fOPEX]" displayFolder="" count="0" memberValueDatatype="130" unbalanced="0"/>
    <cacheHierarchy uniqueName="[OPEXAnaliza].[Артикл ИД]" caption="Артикл ИД" attribute="1" defaultMemberUniqueName="[OPEXAnaliza].[Артикл ИД].[All]" allUniqueName="[OPEXAnaliza].[Артикл ИД].[All]" dimensionUniqueName="[OPEXAnaliza]" displayFolder="" count="0" memberValueDatatype="20" unbalanced="0"/>
    <cacheHierarchy uniqueName="[OPEXAnaliza].[Ставка]" caption="Ставка" attribute="1" defaultMemberUniqueName="[OPEXAnaliza].[Ставка].[All]" allUniqueName="[OPEXAnaliza].[Ставка].[All]" dimensionUniqueName="[OPEXAnaliza]" displayFolder="" count="0" memberValueDatatype="130" unbalanced="0"/>
    <cacheHierarchy uniqueName="[OPEXAnaliza].[Категорија Артикл ИД]" caption="Категорија Артикл ИД" attribute="1" defaultMemberUniqueName="[OPEXAnaliza].[Категорија Артикл ИД].[All]" allUniqueName="[OPEXAnaliza].[Категорија Артикл ИД].[All]" dimensionUniqueName="[OPEXAnaliza]" displayFolder="" count="0" memberValueDatatype="20" unbalanced="0"/>
    <cacheHierarchy uniqueName="[OPEXAnaliza].[Категорија Артикл]" caption="Категорија Артикл" attribute="1" defaultMemberUniqueName="[OPEXAnaliza].[Категорија Артикл].[All]" allUniqueName="[OPEXAnaliza].[Категорија Артикл].[All]" dimensionUniqueName="[OPEXAnaliza]" displayFolder="" count="0" memberValueDatatype="130" unbalanced="0"/>
    <cacheHierarchy uniqueName="[OPEXAnaliza].[Тип на артикл]" caption="Тип на артикл" attribute="1" defaultMemberUniqueName="[OPEXAnaliza].[Тип на артикл].[All]" allUniqueName="[OPEXAnaliza].[Тип на артикл].[All]" dimensionUniqueName="[OPEXAnaliza]" displayFolder="" count="0" memberValueDatatype="130" unbalanced="0"/>
    <cacheHierarchy uniqueName="[OPEXAnaliza].[Единечна мерка]" caption="Единечна мерка" attribute="1" defaultMemberUniqueName="[OPEXAnaliza].[Единечна мерка].[All]" allUniqueName="[OPEXAnaliza].[Единечна мерка].[All]" dimensionUniqueName="[OPEXAnaliza]" displayFolder="" count="0" memberValueDatatype="130" unbalanced="0"/>
    <cacheHierarchy uniqueName="[OPEXAnaliza].[Количина]" caption="Количина" attribute="1" defaultMemberUniqueName="[OPEXAnaliza].[Количина].[All]" allUniqueName="[OPEXAnaliza].[Количина].[All]" dimensionUniqueName="[OPEXAnaliza]" displayFolder="" count="0" memberValueDatatype="5" unbalanced="0"/>
    <cacheHierarchy uniqueName="[OPEXAnaliza].[Единечна цена]" caption="Единечна цена" attribute="1" defaultMemberUniqueName="[OPEXAnaliza].[Единечна цена].[All]" allUniqueName="[OPEXAnaliza].[Единечна цена].[All]" dimensionUniqueName="[OPEXAnaliza]" displayFolder="" count="0" memberValueDatatype="20" unbalanced="0"/>
    <cacheHierarchy uniqueName="[OPEXAnaliza].[Износ]" caption="Износ" attribute="1" defaultMemberUniqueName="[OPEXAnaliza].[Износ].[All]" allUniqueName="[OPEXAnaliza].[Износ].[All]" dimensionUniqueName="[OPEXAnaliza]" displayFolder="" count="0" memberValueDatatype="5" unbalanced="0"/>
    <cacheHierarchy uniqueName="[OPEXAnaliza].[ДДВ]" caption="ДДВ" attribute="1" defaultMemberUniqueName="[OPEXAnaliza].[ДДВ].[All]" allUniqueName="[OPEXAnaliza].[ДДВ].[All]" dimensionUniqueName="[OPEXAnaliza]" displayFolder="" count="0" memberValueDatatype="5" unbalanced="0"/>
    <cacheHierarchy uniqueName="[OPEXAnaliza].[Вкупно трошок со ДДВ]" caption="Вкупно трошок со ДДВ" attribute="1" defaultMemberUniqueName="[OPEXAnaliza].[Вкупно трошок со ДДВ].[All]" allUniqueName="[OPEXAnaliza].[Вкупно трошок со ДДВ].[All]" dimensionUniqueName="[OPEXAnaliza]" displayFolder="" count="0" memberValueDatatype="5" unbalanced="0"/>
    <cacheHierarchy uniqueName="[OPEXAnaliza].[Конто]" caption="Конто" attribute="1" defaultMemberUniqueName="[OPEXAnaliza].[Конто].[All]" allUniqueName="[OPEXAnaliza].[Конто].[All]" dimensionUniqueName="[OPEXAnaliza]" displayFolder="" count="0" memberValueDatatype="130" unbalanced="0"/>
    <cacheHierarchy uniqueName="[OPEXAnaliza].[Период]" caption="Период" attribute="1" time="1" defaultMemberUniqueName="[OPEXAnaliza].[Период].[All]" allUniqueName="[OPEXAnaliza].[Период].[All]" dimensionUniqueName="[OPEXAnaliza]" displayFolder="" count="0" memberValueDatatype="7" unbalanced="0"/>
    <cacheHierarchy uniqueName="[OPEXAnaliza].[ReportType]" caption="ReportType" attribute="1" defaultMemberUniqueName="[OPEXAnaliza].[ReportType].[All]" allUniqueName="[OPEXAnaliza].[ReportType].[All]" dimensionUniqueName="[OPEXAnaliza]" displayFolder="" count="0" memberValueDatatype="130" unbalanced="0"/>
    <cacheHierarchy uniqueName="[OPEXAnaliza].[StavkaImeMK]" caption="StavkaImeMK" attribute="1" defaultMemberUniqueName="[OPEXAnaliza].[StavkaImeMK].[All]" allUniqueName="[OPEXAnaliza].[StavkaImeMK].[All]" dimensionUniqueName="[OPEXAnaliza]" displayFolder="" count="0" memberValueDatatype="130" unbalanced="0"/>
    <cacheHierarchy uniqueName="[OPEXAnaliza].[StavkaKategorija]" caption="StavkaKategorija" attribute="1" defaultMemberUniqueName="[OPEXAnaliza].[StavkaKategorija].[All]" allUniqueName="[OPEXAnaliza].[StavkaKategorija].[All]" dimensionUniqueName="[OPEXAnaliza]" displayFolder="" count="0" memberValueDatatype="130" unbalanced="0"/>
    <cacheHierarchy uniqueName="[OPEXAnaliza].[ObrazecIme]" caption="ObrazecIme" attribute="1" defaultMemberUniqueName="[OPEXAnaliza].[ObrazecIme].[All]" allUniqueName="[OPEXAnaliza].[ObrazecIme].[All]" dimensionUniqueName="[OPEXAnaliza]" displayFolder="" count="0" memberValueDatatype="130" unbalanced="0"/>
    <cacheHierarchy uniqueName="[OPEXAnaliza].[StavkaImeAOP]" caption="StavkaImeAOP" attribute="1" defaultMemberUniqueName="[OPEXAnaliza].[StavkaImeAOP].[All]" allUniqueName="[OPEXAnaliza].[StavkaImeAOP].[All]" dimensionUniqueName="[OPEXAnaliza]" displayFolder="" count="0" memberValueDatatype="20" unbalanced="0"/>
    <cacheHierarchy uniqueName="[OPEXAnaliza].[Период (Year)]" caption="Период (Year)" attribute="1" defaultMemberUniqueName="[OPEXAnaliza].[Период (Year)].[All]" allUniqueName="[OPEXAnaliza].[Период (Year)].[All]" dimensionUniqueName="[OPEXAnaliza]" displayFolder="" count="0" memberValueDatatype="130" unbalanced="0"/>
    <cacheHierarchy uniqueName="[OPEXAnaliza].[Период (Quarter)]" caption="Период (Quarter)" attribute="1" defaultMemberUniqueName="[OPEXAnaliza].[Период (Quarter)].[All]" allUniqueName="[OPEXAnaliza].[Период (Quarter)].[All]" dimensionUniqueName="[OPEXAnaliza]" displayFolder="" count="0" memberValueDatatype="130" unbalanced="0"/>
    <cacheHierarchy uniqueName="[OPEXAnaliza].[Период (Month)]" caption="Период (Month)" attribute="1" defaultMemberUniqueName="[OPEXAnaliza].[Период (Month)].[All]" allUniqueName="[OPEXAnaliza].[Период (Month)].[All]" dimensionUniqueName="[OPEXAnaliza]" displayFolder="" count="0" memberValueDatatype="130" unbalanced="0"/>
    <cacheHierarchy uniqueName="[rArtikli_HR_Analiza].[Ставка]" caption="Ставка" attribute="1" defaultMemberUniqueName="[rArtikli_HR_Analiza].[Ставка].[All]" allUniqueName="[rArtikli_HR_Analiza].[Ставка].[All]" dimensionUniqueName="[rArtikli_HR_Analiza]" displayFolder="" count="0" memberValueDatatype="130" unbalanced="0"/>
    <cacheHierarchy uniqueName="[rArtikli_HR_Analiza].[Категорија Артикл]" caption="Категорија Артикл" attribute="1" defaultMemberUniqueName="[rArtikli_HR_Analiza].[Категорија Артикл].[All]" allUniqueName="[rArtikli_HR_Analiza].[Категорија Артикл].[All]" dimensionUniqueName="[rArtikli_HR_Analiza]" displayFolder="" count="0" memberValueDatatype="130" unbalanced="0"/>
    <cacheHierarchy uniqueName="[rArtikli_HR_Analiza].[Тип на артикл]" caption="Тип на артикл" attribute="1" defaultMemberUniqueName="[rArtikli_HR_Analiza].[Тип на артикл].[All]" allUniqueName="[rArtikli_HR_Analiza].[Тип на артикл].[All]" dimensionUniqueName="[rArtikli_HR_Analiza]" displayFolder="" count="0" memberValueDatatype="130" unbalanced="0"/>
    <cacheHierarchy uniqueName="[rArtikli_HR_Analiza].[Единечна мерка]" caption="Единечна мерка" attribute="1" defaultMemberUniqueName="[rArtikli_HR_Analiza].[Единечна мерка].[All]" allUniqueName="[rArtikli_HR_Analiza].[Единечна мерка].[All]" dimensionUniqueName="[rArtikli_HR_Analiza]" displayFolder="" count="0" memberValueDatatype="130" unbalanced="0"/>
    <cacheHierarchy uniqueName="[rArtikli_HR_Analiza].[Количина]" caption="Количина" attribute="1" defaultMemberUniqueName="[rArtikli_HR_Analiza].[Количина].[All]" allUniqueName="[rArtikli_HR_Analiza].[Количина].[All]" dimensionUniqueName="[rArtikli_HR_Analiza]" displayFolder="" count="0" memberValueDatatype="5" unbalanced="0"/>
    <cacheHierarchy uniqueName="[rArtikli_HR_Analiza].[Единечна цена]" caption="Единечна цена" attribute="1" defaultMemberUniqueName="[rArtikli_HR_Analiza].[Единечна цена].[All]" allUniqueName="[rArtikli_HR_Analiza].[Единечна цена].[All]" dimensionUniqueName="[rArtikli_HR_Analiza]" displayFolder="" count="0" memberValueDatatype="20" unbalanced="0"/>
    <cacheHierarchy uniqueName="[rArtikli_HR_Analiza].[Вкупно трошок]" caption="Вкупно трошок" attribute="1" defaultMemberUniqueName="[rArtikli_HR_Analiza].[Вкупно трошок].[All]" allUniqueName="[rArtikli_HR_Analiza].[Вкупно трошок].[All]" dimensionUniqueName="[rArtikli_HR_Analiza]" displayFolder="" count="0" memberValueDatatype="5" unbalanced="0"/>
    <cacheHierarchy uniqueName="[rArtikli_HR_Analiza].[ДДВ]" caption="ДДВ" attribute="1" defaultMemberUniqueName="[rArtikli_HR_Analiza].[ДДВ].[All]" allUniqueName="[rArtikli_HR_Analiza].[ДДВ].[All]" dimensionUniqueName="[rArtikli_HR_Analiza]" displayFolder="" count="0" memberValueDatatype="5" unbalanced="0"/>
    <cacheHierarchy uniqueName="[rArtikli_HR_Analiza].[Износ]" caption="Износ" attribute="1" defaultMemberUniqueName="[rArtikli_HR_Analiza].[Износ].[All]" allUniqueName="[rArtikli_HR_Analiza].[Износ].[All]" dimensionUniqueName="[rArtikli_HR_Analiza]" displayFolder="" count="0" memberValueDatatype="5" unbalanced="0"/>
    <cacheHierarchy uniqueName="[rArtikli_HR_Analiza].[Конто]" caption="Конто" attribute="1" defaultMemberUniqueName="[rArtikli_HR_Analiza].[Конто].[All]" allUniqueName="[rArtikli_HR_Analiza].[Конто].[All]" dimensionUniqueName="[rArtikli_HR_Analiza]" displayFolder="" count="0" memberValueDatatype="130" unbalanced="0"/>
    <cacheHierarchy uniqueName="[rArtikli_HR_Analiza].[ReportType]" caption="ReportType" attribute="1" defaultMemberUniqueName="[rArtikli_HR_Analiza].[ReportType].[All]" allUniqueName="[rArtikli_HR_Analiza].[ReportType].[All]" dimensionUniqueName="[rArtikli_HR_Analiza]" displayFolder="" count="0" memberValueDatatype="130" unbalanced="0"/>
    <cacheHierarchy uniqueName="[rArtikli_HR_Analiza].[Период]" caption="Период" attribute="1" time="1" defaultMemberUniqueName="[rArtikli_HR_Analiza].[Период].[All]" allUniqueName="[rArtikli_HR_Analiza].[Период].[All]" dimensionUniqueName="[rArtikli_HR_Analiza]" displayFolder="" count="0" memberValueDatatype="7" unbalanced="0"/>
    <cacheHierarchy uniqueName="[rArtikli_HR_Analiza].[StavkaImeMK]" caption="StavkaImeMK" attribute="1" defaultMemberUniqueName="[rArtikli_HR_Analiza].[StavkaImeMK].[All]" allUniqueName="[rArtikli_HR_Analiza].[StavkaImeMK].[All]" dimensionUniqueName="[rArtikli_HR_Analiza]" displayFolder="" count="0" memberValueDatatype="130" unbalanced="0"/>
    <cacheHierarchy uniqueName="[rArtikli_HR_Analiza].[StavkaAOP]" caption="StavkaAOP" attribute="1" defaultMemberUniqueName="[rArtikli_HR_Analiza].[StavkaAOP].[All]" allUniqueName="[rArtikli_HR_Analiza].[StavkaAOP].[All]" dimensionUniqueName="[rArtikli_HR_Analiza]" displayFolder="" count="0" memberValueDatatype="130" unbalanced="0"/>
    <cacheHierarchy uniqueName="[rArtikli_HR_Analiza].[StavkaGrupa]" caption="StavkaGrupa" attribute="1" defaultMemberUniqueName="[rArtikli_HR_Analiza].[StavkaGrupa].[All]" allUniqueName="[rArtikli_HR_Analiza].[StavkaGrupa].[All]" dimensionUniqueName="[rArtikli_HR_Analiza]" displayFolder="" count="0" memberValueDatatype="130" unbalanced="0"/>
    <cacheHierarchy uniqueName="[rArtikli_HR_Analiza].[StavkaKategorija]" caption="StavkaKategorija" attribute="1" defaultMemberUniqueName="[rArtikli_HR_Analiza].[StavkaKategorija].[All]" allUniqueName="[rArtikli_HR_Analiza].[StavkaKategorija].[All]" dimensionUniqueName="[rArtikli_HR_Analiza]" displayFolder="" count="0" memberValueDatatype="130" unbalanced="0"/>
    <cacheHierarchy uniqueName="[rArtikli_HR_Analiza].[ObrazecIme]" caption="ObrazecIme" attribute="1" defaultMemberUniqueName="[rArtikli_HR_Analiza].[ObrazecIme].[All]" allUniqueName="[rArtikli_HR_Analiza].[ObrazecIme].[All]" dimensionUniqueName="[rArtikli_HR_Analiza]" displayFolder="" count="0" memberValueDatatype="130" unbalanced="0"/>
    <cacheHierarchy uniqueName="[rArtikli_HR_Analiza].[StavkaKategorija.1]" caption="StavkaKategorija.1" attribute="1" defaultMemberUniqueName="[rArtikli_HR_Analiza].[StavkaKategorija.1].[All]" allUniqueName="[rArtikli_HR_Analiza].[StavkaKategorija.1].[All]" dimensionUniqueName="[rArtikli_HR_Analiza]" displayFolder="" count="0" memberValueDatatype="130" unbalanced="0"/>
    <cacheHierarchy uniqueName="[rArtikliAnaliza].[Артикл ИД]" caption="Артикл ИД" attribute="1" defaultMemberUniqueName="[rArtikliAnaliza].[Артикл ИД].[All]" allUniqueName="[rArtikliAnaliza].[Артикл ИД].[All]" dimensionUniqueName="[rArtikliAnaliza]" displayFolder="" count="0" memberValueDatatype="20" unbalanced="0"/>
    <cacheHierarchy uniqueName="[rArtikliAnaliza].[Ставка]" caption="Ставка" attribute="1" defaultMemberUniqueName="[rArtikliAnaliza].[Ставка].[All]" allUniqueName="[rArtikliAnaliza].[Ставка].[All]" dimensionUniqueName="[rArtikliAnaliza]" displayFolder="" count="0" memberValueDatatype="130" unbalanced="0"/>
    <cacheHierarchy uniqueName="[rArtikliAnaliza].[Категорија Артикл ИД]" caption="Категорија Артикл ИД" attribute="1" defaultMemberUniqueName="[rArtikliAnaliza].[Категорија Артикл ИД].[All]" allUniqueName="[rArtikliAnaliza].[Категорија Артикл ИД].[All]" dimensionUniqueName="[rArtikliAnaliza]" displayFolder="" count="0" memberValueDatatype="20" unbalanced="0"/>
    <cacheHierarchy uniqueName="[rArtikliAnaliza].[Категорија Артикл]" caption="Категорија Артикл" attribute="1" defaultMemberUniqueName="[rArtikliAnaliza].[Категорија Артикл].[All]" allUniqueName="[rArtikliAnaliza].[Категорија Артикл].[All]" dimensionUniqueName="[rArtikliAnaliza]" displayFolder="" count="0" memberValueDatatype="130" unbalanced="0"/>
    <cacheHierarchy uniqueName="[rArtikliAnaliza].[Тип на артикл]" caption="Тип на артикл" attribute="1" defaultMemberUniqueName="[rArtikliAnaliza].[Тип на артикл].[All]" allUniqueName="[rArtikliAnaliza].[Тип на артикл].[All]" dimensionUniqueName="[rArtikliAnaliza]" displayFolder="" count="0" memberValueDatatype="130" unbalanced="0"/>
    <cacheHierarchy uniqueName="[rArtikliAnaliza].[Единечна мерка]" caption="Единечна мерка" attribute="1" defaultMemberUniqueName="[rArtikliAnaliza].[Единечна мерка].[All]" allUniqueName="[rArtikliAnaliza].[Единечна мерка].[All]" dimensionUniqueName="[rArtikliAnaliza]" displayFolder="" count="0" memberValueDatatype="130" unbalanced="0"/>
    <cacheHierarchy uniqueName="[rArtikliAnaliza].[Количина]" caption="Количина" attribute="1" defaultMemberUniqueName="[rArtikliAnaliza].[Количина].[All]" allUniqueName="[rArtikliAnaliza].[Количина].[All]" dimensionUniqueName="[rArtikliAnaliza]" displayFolder="" count="0" memberValueDatatype="5" unbalanced="0"/>
    <cacheHierarchy uniqueName="[rArtikliAnaliza].[Единечна цена]" caption="Единечна цена" attribute="1" defaultMemberUniqueName="[rArtikliAnaliza].[Единечна цена].[All]" allUniqueName="[rArtikliAnaliza].[Единечна цена].[All]" dimensionUniqueName="[rArtikliAnaliza]" displayFolder="" count="0" memberValueDatatype="20" unbalanced="0"/>
    <cacheHierarchy uniqueName="[rArtikliAnaliza].[Износ]" caption="Износ" attribute="1" defaultMemberUniqueName="[rArtikliAnaliza].[Износ].[All]" allUniqueName="[rArtikliAnaliza].[Износ].[All]" dimensionUniqueName="[rArtikliAnaliza]" displayFolder="" count="0" memberValueDatatype="5" unbalanced="0"/>
    <cacheHierarchy uniqueName="[rArtikliAnaliza].[ДДВ]" caption="ДДВ" attribute="1" defaultMemberUniqueName="[rArtikliAnaliza].[ДДВ].[All]" allUniqueName="[rArtikliAnaliza].[ДДВ].[All]" dimensionUniqueName="[rArtikliAnaliza]" displayFolder="" count="0" memberValueDatatype="5" unbalanced="0"/>
    <cacheHierarchy uniqueName="[rArtikliAnaliza].[Вкупно трошок со ДДВ]" caption="Вкупно трошок со ДДВ" attribute="1" defaultMemberUniqueName="[rArtikliAnaliza].[Вкупно трошок со ДДВ].[All]" allUniqueName="[rArtikliAnaliza].[Вкупно трошок со ДДВ].[All]" dimensionUniqueName="[rArtikliAnaliza]" displayFolder="" count="0" memberValueDatatype="5" unbalanced="0"/>
    <cacheHierarchy uniqueName="[rArtikliAnaliza].[Конто]" caption="Конто" attribute="1" defaultMemberUniqueName="[rArtikliAnaliza].[Конто].[All]" allUniqueName="[rArtikliAnaliza].[Конто].[All]" dimensionUniqueName="[rArtikliAnaliza]" displayFolder="" count="0" memberValueDatatype="130" unbalanced="0"/>
    <cacheHierarchy uniqueName="[rArtikliAnaliza].[Период]" caption="Период" attribute="1" time="1" defaultMemberUniqueName="[rArtikliAnaliza].[Период].[All]" allUniqueName="[rArtikliAnaliza].[Период].[All]" dimensionUniqueName="[rArtikliAnaliza]" displayFolder="" count="0" memberValueDatatype="7" unbalanced="0"/>
    <cacheHierarchy uniqueName="[rArtikliAnaliza].[ReportType]" caption="ReportType" attribute="1" defaultMemberUniqueName="[rArtikliAnaliza].[ReportType].[All]" allUniqueName="[rArtikliAnaliza].[ReportType].[All]" dimensionUniqueName="[rArtikliAnaliza]" displayFolder="" count="0" memberValueDatatype="130" unbalanced="0"/>
    <cacheHierarchy uniqueName="[rArtikliAnaliza].[StavkaImeMK]" caption="StavkaImeMK" attribute="1" defaultMemberUniqueName="[rArtikliAnaliza].[StavkaImeMK].[All]" allUniqueName="[rArtikliAnaliza].[StavkaImeMK].[All]" dimensionUniqueName="[rArtikliAnaliza]" displayFolder="" count="0" memberValueDatatype="130" unbalanced="0"/>
    <cacheHierarchy uniqueName="[rArtikliAnaliza].[StavkaKategorija]" caption="StavkaKategorija" attribute="1" defaultMemberUniqueName="[rArtikliAnaliza].[StavkaKategorija].[All]" allUniqueName="[rArtikliAnaliza].[StavkaKategorija].[All]" dimensionUniqueName="[rArtikliAnaliza]" displayFolder="" count="0" memberValueDatatype="130" unbalanced="0"/>
    <cacheHierarchy uniqueName="[rArtikliAnaliza].[Период (Year)]" caption="Период (Year)" attribute="1" defaultMemberUniqueName="[rArtikliAnaliza].[Период (Year)].[All]" allUniqueName="[rArtikliAnaliza].[Период (Year)].[All]" dimensionUniqueName="[rArtikliAnaliza]" displayFolder="" count="0" memberValueDatatype="130" unbalanced="0"/>
    <cacheHierarchy uniqueName="[rArtikliAnaliza].[Период (Quarter)]" caption="Период (Quarter)" attribute="1" defaultMemberUniqueName="[rArtikliAnaliza].[Период (Quarter)].[All]" allUniqueName="[rArtikliAnaliza].[Период (Quarter)].[All]" dimensionUniqueName="[rArtikliAnaliza]" displayFolder="" count="0" memberValueDatatype="130" unbalanced="0"/>
    <cacheHierarchy uniqueName="[rArtikliAnaliza].[Период (Month)]" caption="Период (Month)" attribute="1" defaultMemberUniqueName="[rArtikliAnaliza].[Период (Month)].[All]" allUniqueName="[rArtikliAnaliza].[Период (Month)].[All]" dimensionUniqueName="[rArtikliAnaliza]" displayFolder="" count="0" memberValueDatatype="130" unbalanced="0"/>
    <cacheHierarchy uniqueName="[CAPEX].[Очекуван датум за ставање во употреба (месец) (Month Index)]" caption="Очекуван датум за ставање во употреба (месец) (Month Index)" attribute="1" defaultMemberUniqueName="[CAPEX].[Очекуван датум за ставање во употреба (месец) (Month Index)].[All]" allUniqueName="[CAPEX].[Очекуван датум за ставање во употреба (месец) (Month Index)].[All]" dimensionUniqueName="[CAPEX]" displayFolder="" count="0" memberValueDatatype="20" unbalanced="0" hidden="1"/>
    <cacheHierarchy uniqueName="[CAPEX].[Очекуван датум на плаќање (Month Index)]" caption="Очекуван датум на плаќање (Month Index)" attribute="1" defaultMemberUniqueName="[CAPEX].[Очекуван датум на плаќање (Month Index)].[All]" allUniqueName="[CAPEX].[Очекуван датум на плаќање (Month Index)].[All]" dimensionUniqueName="[CAPEX]" displayFolder="" count="0" memberValueDatatype="20" unbalanced="0" hidden="1"/>
    <cacheHierarchy uniqueName="[fActualAndBudget].[StavkaID]" caption="StavkaID" attribute="1" defaultMemberUniqueName="[fActualAndBudget].[StavkaID].[All]" allUniqueName="[fActualAndBudget].[StavkaID].[All]" dimensionUniqueName="[fActualAndBudget]" displayFolder="" count="0" memberValueDatatype="20" unbalanced="0" hidden="1"/>
    <cacheHierarchy uniqueName="[fCoveckiResursi].[Период (Month Index)]" caption="Период (Month Index)" attribute="1" defaultMemberUniqueName="[fCoveckiResursi].[Период (Month Index)].[All]" allUniqueName="[fCoveckiResursi].[Период (Month Index)].[All]" dimensionUniqueName="[fCoveckiResursi]" displayFolder="" count="0" memberValueDatatype="20" unbalanced="0" hidden="1"/>
    <cacheHierarchy uniqueName="[fCoveckiResursi].[Период (Month Index) 1]" caption="Период (Month Index) 1" attribute="1" defaultMemberUniqueName="[fCoveckiResursi].[Период (Month Index) 1].[All]" allUniqueName="[fCoveckiResursi].[Период (Month Index) 1].[All]" dimensionUniqueName="[fCoveckiResursi]" displayFolder="" count="0" memberValueDatatype="20" unbalanced="0" hidden="1"/>
    <cacheHierarchy uniqueName="[OPEXAnaliza].[Период (Month Index)]" caption="Период (Month Index)" attribute="1" defaultMemberUniqueName="[OPEXAnaliza].[Период (Month Index)].[All]" allUniqueName="[OPEXAnaliza].[Период (Month Index)].[All]" dimensionUniqueName="[OPEXAnaliza]" displayFolder="" count="0" memberValueDatatype="20" unbalanced="0" hidden="1"/>
    <cacheHierarchy uniqueName="[rArtikli_HR_Analiza].[Крајна состојба вработени]" caption="Крајна состојба вработени" attribute="1" defaultMemberUniqueName="[rArtikli_HR_Analiza].[Крајна состојба вработени].[All]" allUniqueName="[rArtikli_HR_Analiza].[Крајна состојба вработени].[All]" dimensionUniqueName="[rArtikli_HR_Analiza]" displayFolder="" count="0" memberValueDatatype="20" unbalanced="0" hidden="1"/>
    <cacheHierarchy uniqueName="[rArtikli_HR_Analiza].[Планиран прилив/(одлив)]" caption="Планиран прилив/(одлив)" attribute="1" defaultMemberUniqueName="[rArtikli_HR_Analiza].[Планиран прилив/(одлив)].[All]" allUniqueName="[rArtikli_HR_Analiza].[Планиран прилив/(одлив)].[All]" dimensionUniqueName="[rArtikli_HR_Analiza]" displayFolder="" count="0" memberValueDatatype="20" unbalanced="0" hidden="1"/>
    <cacheHierarchy uniqueName="[rArtikli_HR_Analiza].[Тип на вработување]" caption="Тип на вработување" attribute="1" defaultMemberUniqueName="[rArtikli_HR_Analiza].[Тип на вработување].[All]" allUniqueName="[rArtikli_HR_Analiza].[Тип на вработување].[All]" dimensionUniqueName="[rArtikli_HR_Analiza]" displayFolder="" count="0" memberValueDatatype="130" unbalanced="0" hidden="1"/>
    <cacheHierarchy uniqueName="[rArtikliAnaliza].[Период (Month Index)]" caption="Период (Month Index)" attribute="1" defaultMemberUniqueName="[rArtikliAnaliza].[Период (Month Index)].[All]" allUniqueName="[rArtikliAnaliza].[Период (Month Index)].[All]" dimensionUniqueName="[rArtikliAnaliza]" displayFolder="" count="0" memberValueDatatype="20" unbalanced="0" hidden="1"/>
    <cacheHierarchy uniqueName="[Measures].[__XL_Count Calendar]" caption="__XL_Count Calendar" measure="1" displayFolder="" measureGroup="Calendar" count="0" hidden="1"/>
    <cacheHierarchy uniqueName="[Measures].[__XL_Count CAPEX]" caption="__XL_Count CAPEX" measure="1" displayFolder="" measureGroup="CAPEX" count="0" hidden="1"/>
    <cacheHierarchy uniqueName="[Measures].[__XL_Count Amortizacija]" caption="__XL_Count Amortizacija" measure="1" displayFolder="" measureGroup="Amortizacija" count="0" hidden="1"/>
    <cacheHierarchy uniqueName="[Measures].[__XL_Count fCoveckiResursi]" caption="__XL_Count fCoveckiResursi" measure="1" displayFolder="" measureGroup="fCoveckiResursi" count="0" hidden="1"/>
    <cacheHierarchy uniqueName="[Measures].[__XL_Count fActualAndBudget]" caption="__XL_Count fActualAndBudget" measure="1" displayFolder="" measureGroup="fActualAndBudget" count="0" hidden="1"/>
    <cacheHierarchy uniqueName="[Measures].[__XL_Count fOPEX]" caption="__XL_Count fOPEX" measure="1" displayFolder="" measureGroup="fOPEX" count="0" hidden="1"/>
    <cacheHierarchy uniqueName="[Measures].[__XL_Count OPEXAnaliza]" caption="__XL_Count OPEXAnaliza" measure="1" displayFolder="" measureGroup="OPEXAnaliza" count="0" hidden="1"/>
    <cacheHierarchy uniqueName="[Measures].[__XL_Count rArtikliAnaliza]" caption="__XL_Count rArtikliAnaliza" measure="1" displayFolder="" measureGroup="rArtikliAnaliza" count="0" hidden="1"/>
    <cacheHierarchy uniqueName="[Measures].[__XL_Count fArtikliCeni]" caption="__XL_Count fArtikliCeni" measure="1" displayFolder="" measureGroup="fArtikliCeni" count="0" hidden="1"/>
    <cacheHierarchy uniqueName="[Measures].[__XL_Count rArtikli_HR_Analiza]" caption="__XL_Count rArtikli_HR_Analiza" measure="1" displayFolder="" measureGroup="rArtikli_HR_Analiza" count="0" hidden="1"/>
    <cacheHierarchy uniqueName="[Measures].[__XL_Count fCoveckiResursi  2]" caption="__XL_Count fCoveckiResursi  2" measure="1" displayFolder="" measureGroup="fCoveckiResursi  2" count="0" hidden="1"/>
    <cacheHierarchy uniqueName="[Measures].[__No measures defined]" caption="__No measures defined" measure="1" displayFolder="" count="0" hidden="1"/>
    <cacheHierarchy uniqueName="[Measures].[Sum of Износ 3]" caption="Sum of Износ 3" measure="1" displayFolder="" measureGroup="fCoveckiResursi" count="0" hidden="1">
      <extLst>
        <ext xmlns:x15="http://schemas.microsoft.com/office/spreadsheetml/2010/11/main" uri="{B97F6D7D-B522-45F9-BDA1-12C45D357490}">
          <x15:cacheHierarchy aggregatedColumn="71"/>
        </ext>
      </extLst>
    </cacheHierarchy>
    <cacheHierarchy uniqueName="[Measures].[Sum of Крајна состојба вработени]" caption="Sum of Крајна состојба вработени" measure="1" displayFolder="" measureGroup="fCoveckiResursi" count="0" hidden="1">
      <extLst>
        <ext xmlns:x15="http://schemas.microsoft.com/office/spreadsheetml/2010/11/main" uri="{B97F6D7D-B522-45F9-BDA1-12C45D357490}">
          <x15:cacheHierarchy aggregatedColumn="70"/>
        </ext>
      </extLst>
    </cacheHierarchy>
    <cacheHierarchy uniqueName="[Measures].[Sum of Планиран прилив/(одлив)]" caption="Sum of Планиран прилив/(одлив)" measure="1" displayFolder="" measureGroup="fCoveckiResursi" count="0" hidden="1">
      <extLst>
        <ext xmlns:x15="http://schemas.microsoft.com/office/spreadsheetml/2010/11/main" uri="{B97F6D7D-B522-45F9-BDA1-12C45D357490}">
          <x15:cacheHierarchy aggregatedColumn="68"/>
        </ext>
      </extLst>
    </cacheHierarchy>
    <cacheHierarchy uniqueName="[Measures].[Sum of Износ]" caption="Sum of Износ" measure="1" displayFolder="" measureGroup="fActualAndBudget" count="0" oneField="1" hidden="1">
      <fieldsUsage count="1">
        <fieldUsage x="3"/>
      </fieldsUsage>
      <extLst>
        <ext xmlns:x15="http://schemas.microsoft.com/office/spreadsheetml/2010/11/main" uri="{B97F6D7D-B522-45F9-BDA1-12C45D357490}">
          <x15:cacheHierarchy aggregatedColumn="45"/>
        </ext>
      </extLst>
    </cacheHierarchy>
    <cacheHierarchy uniqueName="[Measures].[Sum of Износ (илјади)]" caption="Sum of Износ (илјади)" measure="1" displayFolder="" measureGroup="fActualAndBudget" count="0" hidden="1">
      <extLst>
        <ext xmlns:x15="http://schemas.microsoft.com/office/spreadsheetml/2010/11/main" uri="{B97F6D7D-B522-45F9-BDA1-12C45D357490}">
          <x15:cacheHierarchy aggregatedColumn="46"/>
        </ext>
      </extLst>
    </cacheHierarchy>
    <cacheHierarchy uniqueName="[Measures].[Sum of Износ1]" caption="Sum of Износ1" measure="1" displayFolder="" measureGroup="fActualAndBudget" count="0" hidden="1">
      <extLst>
        <ext xmlns:x15="http://schemas.microsoft.com/office/spreadsheetml/2010/11/main" uri="{B97F6D7D-B522-45F9-BDA1-12C45D357490}">
          <x15:cacheHierarchy aggregatedColumn="34"/>
        </ext>
      </extLst>
    </cacheHierarchy>
    <cacheHierarchy uniqueName="[Measures].[Sum of Износ 2]" caption="Sum of Износ 2" measure="1" displayFolder="" measureGroup="Amortizacija" count="0" hidden="1">
      <extLst>
        <ext xmlns:x15="http://schemas.microsoft.com/office/spreadsheetml/2010/11/main" uri="{B97F6D7D-B522-45F9-BDA1-12C45D357490}">
          <x15:cacheHierarchy aggregatedColumn="3"/>
        </ext>
      </extLst>
    </cacheHierarchy>
    <cacheHierarchy uniqueName="[Measures].[Sum of Износ 4]" caption="Sum of Износ 4" measure="1" displayFolder="" measureGroup="OPEXAnaliza" count="0" hidden="1">
      <extLst>
        <ext xmlns:x15="http://schemas.microsoft.com/office/spreadsheetml/2010/11/main" uri="{B97F6D7D-B522-45F9-BDA1-12C45D357490}">
          <x15:cacheHierarchy aggregatedColumn="101"/>
        </ext>
      </extLst>
    </cacheHierarchy>
    <cacheHierarchy uniqueName="[Measures].[Sum of Износ донација]" caption="Sum of Износ донација" measure="1" displayFolder="" measureGroup="CAPEX" count="0" hidden="1">
      <extLst>
        <ext xmlns:x15="http://schemas.microsoft.com/office/spreadsheetml/2010/11/main" uri="{B97F6D7D-B522-45F9-BDA1-12C45D357490}">
          <x15:cacheHierarchy aggregatedColumn="24"/>
        </ext>
      </extLst>
    </cacheHierarchy>
    <cacheHierarchy uniqueName="[Measures].[Sum of Вкупно трошок]" caption="Sum of Вкупно трошок" measure="1" displayFolder="" measureGroup="fArtikliCeni" count="0" hidden="1">
      <extLst>
        <ext xmlns:x15="http://schemas.microsoft.com/office/spreadsheetml/2010/11/main" uri="{B97F6D7D-B522-45F9-BDA1-12C45D357490}">
          <x15:cacheHierarchy aggregatedColumn="55"/>
        </ext>
      </extLst>
    </cacheHierarchy>
    <cacheHierarchy uniqueName="[Measures].[Sum of Количина]" caption="Sum of Количина" measure="1" displayFolder="" measureGroup="fArtikliCeni" count="0" hidden="1">
      <extLst>
        <ext xmlns:x15="http://schemas.microsoft.com/office/spreadsheetml/2010/11/main" uri="{B97F6D7D-B522-45F9-BDA1-12C45D357490}">
          <x15:cacheHierarchy aggregatedColumn="53"/>
        </ext>
      </extLst>
    </cacheHierarchy>
    <cacheHierarchy uniqueName="[Measures].[Sum of Единечна цена]" caption="Sum of Единечна цена" measure="1" displayFolder="" measureGroup="fArtikliCeni" count="0" hidden="1">
      <extLst>
        <ext xmlns:x15="http://schemas.microsoft.com/office/spreadsheetml/2010/11/main" uri="{B97F6D7D-B522-45F9-BDA1-12C45D357490}">
          <x15:cacheHierarchy aggregatedColumn="54"/>
        </ext>
      </extLst>
    </cacheHierarchy>
    <cacheHierarchy uniqueName="[Measures].[Sum of ДДВ]" caption="Sum of ДДВ" measure="1" displayFolder="" measureGroup="fArtikliCeni" count="0" hidden="1">
      <extLst>
        <ext xmlns:x15="http://schemas.microsoft.com/office/spreadsheetml/2010/11/main" uri="{B97F6D7D-B522-45F9-BDA1-12C45D357490}">
          <x15:cacheHierarchy aggregatedColumn="56"/>
        </ext>
      </extLst>
    </cacheHierarchy>
    <cacheHierarchy uniqueName="[Measures].[Sum of Износ 6]" caption="Sum of Износ 6" measure="1" displayFolder="" measureGroup="fArtikliCeni" count="0" hidden="1">
      <extLst>
        <ext xmlns:x15="http://schemas.microsoft.com/office/spreadsheetml/2010/11/main" uri="{B97F6D7D-B522-45F9-BDA1-12C45D357490}">
          <x15:cacheHierarchy aggregatedColumn="57"/>
        </ext>
      </extLst>
    </cacheHierarchy>
    <cacheHierarchy uniqueName="[Measures].[Count of Единечна мерка]" caption="Count of Единечна мерка" measure="1" displayFolder="" measureGroup="fArtikliCeni" count="0" hidden="1">
      <extLst>
        <ext xmlns:x15="http://schemas.microsoft.com/office/spreadsheetml/2010/11/main" uri="{B97F6D7D-B522-45F9-BDA1-12C45D357490}">
          <x15:cacheHierarchy aggregatedColumn="52"/>
        </ext>
      </extLst>
    </cacheHierarchy>
    <cacheHierarchy uniqueName="[Measures].[Sum of Количина 2]" caption="Sum of Количина 2" measure="1" displayFolder="" measureGroup="rArtikli_HR_Analiza" count="0" hidden="1">
      <extLst>
        <ext xmlns:x15="http://schemas.microsoft.com/office/spreadsheetml/2010/11/main" uri="{B97F6D7D-B522-45F9-BDA1-12C45D357490}">
          <x15:cacheHierarchy aggregatedColumn="118"/>
        </ext>
      </extLst>
    </cacheHierarchy>
    <cacheHierarchy uniqueName="[Measures].[Sum of Единечна цена 2]" caption="Sum of Единечна цена 2" measure="1" displayFolder="" measureGroup="rArtikli_HR_Analiza" count="0" hidden="1">
      <extLst>
        <ext xmlns:x15="http://schemas.microsoft.com/office/spreadsheetml/2010/11/main" uri="{B97F6D7D-B522-45F9-BDA1-12C45D357490}">
          <x15:cacheHierarchy aggregatedColumn="119"/>
        </ext>
      </extLst>
    </cacheHierarchy>
    <cacheHierarchy uniqueName="[Measures].[Sum of Вкупно трошок 2]" caption="Sum of Вкупно трошок 2" measure="1" displayFolder="" measureGroup="rArtikli_HR_Analiza" count="0" hidden="1">
      <extLst>
        <ext xmlns:x15="http://schemas.microsoft.com/office/spreadsheetml/2010/11/main" uri="{B97F6D7D-B522-45F9-BDA1-12C45D357490}">
          <x15:cacheHierarchy aggregatedColumn="120"/>
        </ext>
      </extLst>
    </cacheHierarchy>
    <cacheHierarchy uniqueName="[Measures].[Sum of ДДВ 2]" caption="Sum of ДДВ 2" measure="1" displayFolder="" measureGroup="rArtikli_HR_Analiza" count="0" hidden="1">
      <extLst>
        <ext xmlns:x15="http://schemas.microsoft.com/office/spreadsheetml/2010/11/main" uri="{B97F6D7D-B522-45F9-BDA1-12C45D357490}">
          <x15:cacheHierarchy aggregatedColumn="121"/>
        </ext>
      </extLst>
    </cacheHierarchy>
    <cacheHierarchy uniqueName="[Measures].[Sum of Износ 7]" caption="Sum of Износ 7" measure="1" displayFolder="" measureGroup="rArtikli_HR_Analiza" count="0" hidden="1">
      <extLst>
        <ext xmlns:x15="http://schemas.microsoft.com/office/spreadsheetml/2010/11/main" uri="{B97F6D7D-B522-45F9-BDA1-12C45D357490}">
          <x15:cacheHierarchy aggregatedColumn="122"/>
        </ext>
      </extLst>
    </cacheHierarchy>
    <cacheHierarchy uniqueName="[Measures].[Sum of Износ 5]" caption="Sum of Износ 5" measure="1" displayFolder="" measureGroup="fCoveckiResursi  2" count="0" hidden="1">
      <extLst>
        <ext xmlns:x15="http://schemas.microsoft.com/office/spreadsheetml/2010/11/main" uri="{B97F6D7D-B522-45F9-BDA1-12C45D357490}">
          <x15:cacheHierarchy aggregatedColumn="82"/>
        </ext>
      </extLst>
    </cacheHierarchy>
    <cacheHierarchy uniqueName="[Measures].[Sum of Проценета вредност на набавка со ДДВ (денари)]" caption="Sum of Проценета вредност на набавка со ДДВ (денари)" measure="1" displayFolder="" measureGroup="CAPEX" count="0" hidden="1">
      <extLst>
        <ext xmlns:x15="http://schemas.microsoft.com/office/spreadsheetml/2010/11/main" uri="{B97F6D7D-B522-45F9-BDA1-12C45D357490}">
          <x15:cacheHierarchy aggregatedColumn="20"/>
        </ext>
      </extLst>
    </cacheHierarchy>
  </cacheHierarchies>
  <kpis count="0"/>
  <dimensions count="12">
    <dimension name="Amortizacija" uniqueName="[Amortizacija]" caption="Amortizacija"/>
    <dimension name="Calendar" uniqueName="[Calendar]" caption="Calendar"/>
    <dimension name="CAPEX" uniqueName="[CAPEX]" caption="CAPEX"/>
    <dimension name="fActualAndBudget" uniqueName="[fActualAndBudget]" caption="fActualAndBudget"/>
    <dimension name="fArtikliCeni" uniqueName="[fArtikliCeni]" caption="fArtikliCeni"/>
    <dimension name="fCoveckiResursi" uniqueName="[fCoveckiResursi]" caption="fCoveckiResursi"/>
    <dimension name="fCoveckiResursi  2" uniqueName="[fCoveckiResursi  2]" caption="fCoveckiResursi  2"/>
    <dimension name="fOPEX" uniqueName="[fOPEX]" caption="fOPEX"/>
    <dimension measure="1" name="Measures" uniqueName="[Measures]" caption="Measures"/>
    <dimension name="OPEXAnaliza" uniqueName="[OPEXAnaliza]" caption="OPEXAnaliza"/>
    <dimension name="rArtikli_HR_Analiza" uniqueName="[rArtikli_HR_Analiza]" caption="rArtikli_HR_Analiza"/>
    <dimension name="rArtikliAnaliza" uniqueName="[rArtikliAnaliza]" caption="rArtikliAnaliza"/>
  </dimensions>
  <measureGroups count="11">
    <measureGroup name="Amortizacija" caption="Amortizacija"/>
    <measureGroup name="Calendar" caption="Calendar"/>
    <measureGroup name="CAPEX" caption="CAPEX"/>
    <measureGroup name="fActualAndBudget" caption="fActualAndBudget"/>
    <measureGroup name="fArtikliCeni" caption="fArtikliCeni"/>
    <measureGroup name="fCoveckiResursi" caption="fCoveckiResursi"/>
    <measureGroup name="fCoveckiResursi  2" caption="fCoveckiResursi  2"/>
    <measureGroup name="fOPEX" caption="fOPEX"/>
    <measureGroup name="OPEXAnaliza" caption="OPEXAnaliza"/>
    <measureGroup name="rArtikli_HR_Analiza" caption="rArtikli_HR_Analiza"/>
    <measureGroup name="rArtikliAnaliza" caption="rArtikliAnaliza"/>
  </measureGroups>
  <maps count="19">
    <map measureGroup="0" dimension="0"/>
    <map measureGroup="0" dimension="1"/>
    <map measureGroup="1" dimension="1"/>
    <map measureGroup="2" dimension="1"/>
    <map measureGroup="2" dimension="2"/>
    <map measureGroup="3" dimension="1"/>
    <map measureGroup="3" dimension="3"/>
    <map measureGroup="4" dimension="4"/>
    <map measureGroup="5" dimension="1"/>
    <map measureGroup="5" dimension="5"/>
    <map measureGroup="6" dimension="1"/>
    <map measureGroup="6" dimension="6"/>
    <map measureGroup="7" dimension="1"/>
    <map measureGroup="7" dimension="7"/>
    <map measureGroup="8" dimension="1"/>
    <map measureGroup="8" dimension="9"/>
    <map measureGroup="9" dimension="10"/>
    <map measureGroup="10" dimension="1"/>
    <map measureGroup="10" dimension="1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ngela Sazdova - Doneva" refreshedDate="44899.97852222222" createdVersion="5" refreshedVersion="6" minRefreshableVersion="3" recordCount="0" supportSubquery="1" supportAdvancedDrill="1" xr:uid="{00000000-000A-0000-FFFF-FFFF0E000000}">
  <cacheSource type="external" connectionId="22"/>
  <cacheFields count="11">
    <cacheField name="[Calendar].[Date Hierarchy].[Year]" caption="Year" numFmtId="0" hierarchy="7" level="1">
      <sharedItems containsSemiMixedTypes="0" containsNonDate="0" containsString="0"/>
    </cacheField>
    <cacheField name="[Calendar].[Date Hierarchy].[Month]" caption="Month" numFmtId="0" hierarchy="7" level="2">
      <sharedItems containsSemiMixedTypes="0" containsNonDate="0" containsString="0"/>
    </cacheField>
    <cacheField name="[Calendar].[Date Hierarchy].[DateColumn]" caption="DateColumn" numFmtId="0" hierarchy="7" level="3">
      <sharedItems containsSemiMixedTypes="0" containsNonDate="0" containsString="0"/>
    </cacheField>
    <cacheField name="[Measures].[Sum of Износ]" caption="Sum of Износ" numFmtId="0" hierarchy="176" level="32767"/>
    <cacheField name="[Calendar].[Година].[Година]" caption="Година" numFmtId="0" hierarchy="8" level="1">
      <sharedItems containsSemiMixedTypes="0" containsString="0" containsNumber="1" containsInteger="1" minValue="2018" maxValue="2020" count="3">
        <n v="2018"/>
        <n v="2019"/>
        <n v="2020"/>
      </sharedItems>
      <extLst>
        <ext xmlns:x15="http://schemas.microsoft.com/office/spreadsheetml/2010/11/main" uri="{4F2E5C28-24EA-4eb8-9CBF-B6C8F9C3D259}">
          <x15:cachedUniqueNames>
            <x15:cachedUniqueName index="0" name="[Calendar].[Година].&amp;[2018]"/>
            <x15:cachedUniqueName index="1" name="[Calendar].[Година].&amp;[2019]"/>
            <x15:cachedUniqueName index="2" name="[Calendar].[Година].&amp;[2020]"/>
          </x15:cachedUniqueNames>
        </ext>
      </extLst>
    </cacheField>
    <cacheField name="[fActualAndBudget].[ObrazecIme].[ObrazecIme]" caption="ObrazecIme" numFmtId="0" hierarchy="44" level="1">
      <sharedItems containsSemiMixedTypes="0" containsNonDate="0" containsString="0"/>
    </cacheField>
    <cacheField name="[fActualAndBudget].[StavkaImeAOP].[StavkaImeAOP]" caption="StavkaImeAOP" numFmtId="0" hierarchy="47" level="1">
      <sharedItems count="44">
        <s v="3.1.1 - Приходи од заложен регистар"/>
        <s v="3.1.10 - Приходи од регионален портал"/>
        <s v="3.1.11 - Приходи од прекршочна постапка"/>
        <s v="3.1.12 - Приходи од интернет дистрибутивен систем"/>
        <s v="3.1.13 - Приходи од странство"/>
        <s v="3.1.14 - Приходи од регистар на задолжница"/>
        <s v="3.1.2 - Приходи од годишни сметки"/>
        <s v="3.1.4 - Приходи од Регистар на резиденти и нерезиденти"/>
        <s v="3.1.5 - Приходи од Регистар на лизинг"/>
        <s v="3.1.6 - Приходи од регистар на недвижности"/>
        <s v="3.1.7 - Приходи од трговски регистар"/>
        <s v="3.1.8 - Приходи од регистар на директни странски инвестиции"/>
        <s v="3.1.9 - Приходи од регистрите за кривични санкции, пресуди и др."/>
        <s v="3.2.1 - Приходи од камати"/>
        <s v="3.2.2 - Приходи од курсни разлики"/>
        <s v="3.2.3 - Други неспомнати приходи"/>
        <s v="3.2.4 - Капитална добивка од продажба на материјални и неметеријални средства"/>
        <s v="3.2.5 - Приходи од донации"/>
        <s v="3.2.6 - Приходи од продажба на подвижен имот"/>
        <s v="3.2.7 - Приходи од закуп"/>
        <s v="3.2.8 - Вонредни невообичаени приходи"/>
        <s v="4.1.1 - Потрошени суровини и материјали"/>
        <s v="4.1.10 - Амортизација по минимални стапки"/>
        <s v="4.1.11 - Надомест на трошоци на вработените, подароци и помошти"/>
        <s v="4.1.12 - Дневници за службени патувања и патни трошоци"/>
        <s v="4.1.13 - Трошоци за промоција,пропаганда, реклама, репрезентација и спонзорство"/>
        <s v="4.1.14 - Премии за осигурување"/>
        <s v="4.1.15 - Даноци,чланарини и други давачки кои не зависат од резултатот"/>
        <s v="4.1.16 - Банкарски услуги и трошоци за платен промет"/>
        <s v="4.1.17 - Лиценци за разни софтвери (едногодишни, обновливи)"/>
        <s v="4.1.19 - Останати нематеријални трошоци"/>
        <s v="4.1.2 - Потрoшена енергија и гориво за возила"/>
        <s v="4.1.3 - Потрошени резервни делови"/>
        <s v="4.1.4 - Потрошок на ситен инвентар и автогуми"/>
        <s v="4.1.5 - Транспортни услуги"/>
        <s v="4.1.6 - Надворешни услуги"/>
        <s v="4.1.7 - Услуги за одржување и заштита"/>
        <s v="4.1.8 - Наемнини и лизинг"/>
        <s v="4.1.9 - Останати услуги"/>
        <s v="4.2.2 - Казни, пенали и надомест на штети затезни камати"/>
        <s v="4.2.3 - Вредносно усогласување на тековни и нетековни средства"/>
        <s v="4.2.5 - Курсни разлики"/>
        <s v="4.2.6 - Загуби и кусоци"/>
        <s v="4.2.7 - Останати расходи"/>
      </sharedItems>
    </cacheField>
    <cacheField name="[fActualAndBudget].[ReportType].[ReportType]" caption="ReportType" numFmtId="0" hierarchy="35" level="1">
      <sharedItems count="3">
        <s v="Остварено"/>
        <s v="План"/>
        <s v="Предвидување"/>
      </sharedItems>
    </cacheField>
    <cacheField name="[fActualAndBudget].[StavkaGrupa].[StavkaGrupa]" caption="StavkaGrupa" numFmtId="0" hierarchy="39" level="1">
      <sharedItems count="4">
        <s v="3.1. Приходи од дејноста"/>
        <s v="3.2. Останати приходи"/>
        <s v="4.1. Расходи од дејноста"/>
        <s v="4.2. Останати расходи"/>
      </sharedItems>
    </cacheField>
    <cacheField name="[fActualAndBudget].[Конто Ставка].[Конто Ставка]" caption="Конто Ставка" numFmtId="0" hierarchy="48" level="1">
      <sharedItems count="37">
        <s v="43010 - "/>
        <s v="43011 - "/>
        <s v="43020 - "/>
        <s v="43030 - "/>
        <s v="43031 - "/>
        <s v="431001 - "/>
        <s v="431002 - "/>
        <s v="43132 - "/>
        <s v="43133 - "/>
        <s v="43134 - "/>
        <s v="43136 - "/>
        <s v="43139 - "/>
        <s v="43155 - "/>
        <s v="43211 - "/>
        <s v="41733 - "/>
        <s v="4409 - "/>
        <s v="44091 - "/>
        <s v="4422 - "/>
        <s v="44220 - "/>
        <s v="44221 - "/>
        <s v="44312 - "/>
        <s v="4440 - "/>
        <s v="4494 - "/>
        <s v="4497 - "/>
        <s v="4499 - "/>
        <s v="44990 - "/>
        <s v="4104 - "/>
        <s v="4106 - "/>
        <s v="41101 - "/>
        <s v="41102 - "/>
        <s v="41103 - "/>
        <s v="4111 - "/>
        <s v="41111 - "/>
        <s v="44990 - DADENA PARI^NA POMO[ NA FIZI^KI LICA" u="1"/>
        <s v="41101 - TRO[.ZA TELEKOMUNIKACII" u="1"/>
        <s v="41102 - TRO[.ZA INTERNET" u="1"/>
        <s v="41103 - TRO[.ZA MOBILNA TELEFONIJA" u="1"/>
      </sharedItems>
    </cacheField>
    <cacheField name="[fActualAndBudget].[StavkaKategorija].[StavkaKategorija]" caption="StavkaKategorija" numFmtId="0" hierarchy="40" level="1">
      <sharedItems containsSemiMixedTypes="0" containsNonDate="0" containsString="0"/>
    </cacheField>
  </cacheFields>
  <cacheHierarchies count="195">
    <cacheHierarchy uniqueName="[Amortizacija].[Број на јавна набавка (план)]" caption="Број на јавна набавка (план)" attribute="1" defaultMemberUniqueName="[Amortizacija].[Број на јавна набавка (план)].[All]" allUniqueName="[Amortizacija].[Број на јавна набавка (план)].[All]" dimensionUniqueName="[Amortizacija]" displayFolder="" count="0" memberValueDatatype="130" unbalanced="0"/>
    <cacheHierarchy uniqueName="[Amortizacija].[Ставка]" caption="Ставка" attribute="1" defaultMemberUniqueName="[Amortizacija].[Ставка].[All]" allUniqueName="[Amortizacija].[Ставка].[All]" dimensionUniqueName="[Amortizacija]" displayFolder="" count="0" memberValueDatatype="130" unbalanced="0"/>
    <cacheHierarchy uniqueName="[Amortizacija].[Период]" caption="Период" attribute="1" time="1" defaultMemberUniqueName="[Amortizacija].[Период].[All]" allUniqueName="[Amortizacija].[Период].[All]" dimensionUniqueName="[Amortizacija]" displayFolder="" count="0" memberValueDatatype="7" unbalanced="0"/>
    <cacheHierarchy uniqueName="[Amortizacija].[Износ]" caption="Износ" attribute="1" defaultMemberUniqueName="[Amortizacija].[Износ].[All]" allUniqueName="[Amortizacija].[Износ].[All]" dimensionUniqueName="[Amortizacija]" displayFolder="" count="0" memberValueDatatype="20" unbalanced="0"/>
    <cacheHierarchy uniqueName="[Amortizacija].[Конто]" caption="Конто" attribute="1" defaultMemberUniqueName="[Amortizacija].[Конто].[All]" allUniqueName="[Amortizacija].[Конто].[All]" dimensionUniqueName="[Amortizacija]" displayFolder="" count="0" memberValueDatatype="130" unbalanced="0"/>
    <cacheHierarchy uniqueName="[Amortizacija].[ReportType]" caption="ReportType" attribute="1" defaultMemberUniqueName="[Amortizacija].[ReportType].[All]" allUniqueName="[Amortizacija].[ReportType].[All]" dimensionUniqueName="[Amortizacija]" displayFolder="" count="0" memberValueDatatype="130" unbalanced="0"/>
    <cacheHierarchy uniqueName="[Calendar].[Date]" caption="Date" attribute="1" time="1" keyAttribute="1" defaultMemberUniqueName="[Calendar].[Date].[All]" allUniqueName="[Calendar].[Date].[All]" dimensionUniqueName="[Calendar]" displayFolder="" count="0" memberValueDatatype="7" unbalanced="0"/>
    <cacheHierarchy uniqueName="[Calendar].[Date Hierarchy]" caption="Date Hierarchy" time="1" defaultMemberUniqueName="[Calendar].[Date Hierarchy].[All]" allUniqueName="[Calendar].[Date Hierarchy].[All]" dimensionUniqueName="[Calendar]" displayFolder="" count="4" unbalanced="0">
      <fieldsUsage count="4">
        <fieldUsage x="-1"/>
        <fieldUsage x="0"/>
        <fieldUsage x="1"/>
        <fieldUsage x="2"/>
      </fieldsUsage>
    </cacheHierarchy>
    <cacheHierarchy uniqueName="[Calendar].[Година]" caption="Година" attribute="1" time="1" defaultMemberUniqueName="[Calendar].[Година].[All]" allUniqueName="[Calendar].[Година].[All]" dimensionUniqueName="[Calendar]" displayFolder="" count="2" memberValueDatatype="20" unbalanced="0">
      <fieldsUsage count="2">
        <fieldUsage x="-1"/>
        <fieldUsage x="4"/>
      </fieldsUsage>
    </cacheHierarchy>
    <cacheHierarchy uniqueName="[Calendar].[Month Number]" caption="Month Number" attribute="1" time="1" defaultMemberUniqueName="[Calendar].[Month Number].[All]" allUniqueName="[Calendar].[Month Number].[All]" dimensionUniqueName="[Calendar]" displayFolder="" count="0" memberValueDatatype="20" unbalanced="0"/>
    <cacheHierarchy uniqueName="[Calendar].[Месец]" caption="Месец" attribute="1" time="1" defaultMemberUniqueName="[Calendar].[Месец].[All]" allUniqueName="[Calendar].[Месец].[All]" dimensionUniqueName="[Calendar]" displayFolder="" count="0" memberValueDatatype="130" unbalanced="0"/>
    <cacheHierarchy uniqueName="[Calendar].[MMM-YYYY]" caption="MMM-YYYY" attribute="1" time="1" defaultMemberUniqueName="[Calendar].[MMM-YYYY].[All]" allUniqueName="[Calendar].[MMM-YYYY].[All]" dimensionUniqueName="[Calendar]" displayFolder="" count="0" memberValueDatatype="130" unbalanced="0"/>
    <cacheHierarchy uniqueName="[Calendar].[Day Of Week Number]" caption="Day Of Week Number" attribute="1" time="1" defaultMemberUniqueName="[Calendar].[Day Of Week Number].[All]" allUniqueName="[Calendar].[Day Of Week Number].[All]" dimensionUniqueName="[Calendar]" displayFolder="" count="0" memberValueDatatype="20" unbalanced="0"/>
    <cacheHierarchy uniqueName="[Calendar].[Day Of Week]" caption="Day Of Week" attribute="1" time="1" defaultMemberUniqueName="[Calendar].[Day Of Week].[All]" allUniqueName="[Calendar].[Day Of Week].[All]" dimensionUniqueName="[Calendar]" displayFolder="" count="0" memberValueDatatype="130" unbalanced="0"/>
    <cacheHierarchy uniqueName="[Calendar].[Квартал]" caption="Квартал" attribute="1" time="1" defaultMemberUniqueName="[Calendar].[Квартал].[All]" allUniqueName="[Calendar].[Квартал].[All]" dimensionUniqueName="[Calendar]" displayFolder="" count="0" memberValueDatatype="7" unbalanced="0"/>
    <cacheHierarchy uniqueName="[CAPEX].[Година за реализација на проект]" caption="Година за реализација на проект" attribute="1" defaultMemberUniqueName="[CAPEX].[Година за реализација на проект].[All]" allUniqueName="[CAPEX].[Година за реализација на проект].[All]" dimensionUniqueName="[CAPEX]" displayFolder="" count="0" memberValueDatatype="20" unbalanced="0"/>
    <cacheHierarchy uniqueName="[CAPEX].[Број на јавна набавка (план)]" caption="Број на јавна набавка (план)" attribute="1" defaultMemberUniqueName="[CAPEX].[Број на јавна набавка (план)].[All]" allUniqueName="[CAPEX].[Број на јавна набавка (план)].[All]" dimensionUniqueName="[CAPEX]" displayFolder="" count="0" memberValueDatatype="130" unbalanced="0"/>
    <cacheHierarchy uniqueName="[CAPEX].[Предмет на договорот за јавна набавка]" caption="Предмет на договорот за јавна набавка" attribute="1" defaultMemberUniqueName="[CAPEX].[Предмет на договорот за јавна набавка].[All]" allUniqueName="[CAPEX].[Предмет на договорот за јавна набавка].[All]" dimensionUniqueName="[CAPEX]" displayFolder="" count="0" memberValueDatatype="130" unbalanced="0"/>
    <cacheHierarchy uniqueName="[CAPEX].[Очекуван датум на плаќање]" caption="Очекуван датум на плаќање" attribute="1" time="1" defaultMemberUniqueName="[CAPEX].[Очекуван датум на плаќање].[All]" allUniqueName="[CAPEX].[Очекуван датум на плаќање].[All]" dimensionUniqueName="[CAPEX]" displayFolder="" count="0" memberValueDatatype="7" unbalanced="0"/>
    <cacheHierarchy uniqueName="[CAPEX].[Очекуван датум за ставање во употреба (месец)]" caption="Очекуван датум за ставање во употреба (месец)" attribute="1" time="1" defaultMemberUniqueName="[CAPEX].[Очекуван датум за ставање во употреба (месец)].[All]" allUniqueName="[CAPEX].[Очекуван датум за ставање во употреба (месец)].[All]" dimensionUniqueName="[CAPEX]" displayFolder="" count="0" memberValueDatatype="7" unbalanced="0"/>
    <cacheHierarchy uniqueName="[CAPEX].[Проценета вредност на набавка со ДДВ (денари)]" caption="Проценета вредност на набавка со ДДВ (денари)" attribute="1" defaultMemberUniqueName="[CAPEX].[Проценета вредност на набавка со ДДВ (денари)].[All]" allUniqueName="[CAPEX].[Проценета вредност на набавка со ДДВ (денари)].[All]" dimensionUniqueName="[CAPEX]" displayFolder="" count="0" memberValueDatatype="20" unbalanced="0"/>
    <cacheHierarchy uniqueName="[CAPEX].[Стапка на амортизација]" caption="Стапка на амортизација" attribute="1" defaultMemberUniqueName="[CAPEX].[Стапка на амортизација].[All]" allUniqueName="[CAPEX].[Стапка на амортизација].[All]" dimensionUniqueName="[CAPEX]" displayFolder="" count="0" memberValueDatatype="5" unbalanced="0"/>
    <cacheHierarchy uniqueName="[CAPEX].[Конто Средства]" caption="Конто Средства" attribute="1" defaultMemberUniqueName="[CAPEX].[Конто Средства].[All]" allUniqueName="[CAPEX].[Конто Средства].[All]" dimensionUniqueName="[CAPEX]" displayFolder="" count="0" memberValueDatatype="130" unbalanced="0"/>
    <cacheHierarchy uniqueName="[CAPEX].[Конто Амортизација]" caption="Конто Амортизација" attribute="1" defaultMemberUniqueName="[CAPEX].[Конто Амортизација].[All]" allUniqueName="[CAPEX].[Конто Амортизација].[All]" dimensionUniqueName="[CAPEX]" displayFolder="" count="0" memberValueDatatype="130" unbalanced="0"/>
    <cacheHierarchy uniqueName="[CAPEX].[Износ донација]" caption="Износ донација" attribute="1" defaultMemberUniqueName="[CAPEX].[Износ донација].[All]" allUniqueName="[CAPEX].[Износ донација].[All]" dimensionUniqueName="[CAPEX]" displayFolder="" count="0" memberValueDatatype="20" unbalanced="0"/>
    <cacheHierarchy uniqueName="[CAPEX].[Очекуван датум на плаќање (Year)]" caption="Очекуван датум на плаќање (Year)" attribute="1" defaultMemberUniqueName="[CAPEX].[Очекуван датум на плаќање (Year)].[All]" allUniqueName="[CAPEX].[Очекуван датум на плаќање (Year)].[All]" dimensionUniqueName="[CAPEX]" displayFolder="" count="0" memberValueDatatype="130" unbalanced="0"/>
    <cacheHierarchy uniqueName="[CAPEX].[Очекуван датум на плаќање (Quarter)]" caption="Очекуван датум на плаќање (Quarter)" attribute="1" defaultMemberUniqueName="[CAPEX].[Очекуван датум на плаќање (Quarter)].[All]" allUniqueName="[CAPEX].[Очекуван датум на плаќање (Quarter)].[All]" dimensionUniqueName="[CAPEX]" displayFolder="" count="0" memberValueDatatype="130" unbalanced="0"/>
    <cacheHierarchy uniqueName="[CAPEX].[Очекуван датум на плаќање (Month)]" caption="Очекуван датум на плаќање (Month)" attribute="1" defaultMemberUniqueName="[CAPEX].[Очекуван датум на плаќање (Month)].[All]" allUniqueName="[CAPEX].[Очекуван датум на плаќање (Month)].[All]" dimensionUniqueName="[CAPEX]" displayFolder="" count="0" memberValueDatatype="130" unbalanced="0"/>
    <cacheHierarchy uniqueName="[CAPEX].[Очекуван датум за ставање во употреба (месец) (Year)]" caption="Очекуван датум за ставање во употреба (месец) (Year)" attribute="1" defaultMemberUniqueName="[CAPEX].[Очекуван датум за ставање во употреба (месец) (Year)].[All]" allUniqueName="[CAPEX].[Очекуван датум за ставање во употреба (месец) (Year)].[All]" dimensionUniqueName="[CAPEX]" displayFolder="" count="0" memberValueDatatype="130" unbalanced="0"/>
    <cacheHierarchy uniqueName="[CAPEX].[Очекуван датум за ставање во употреба (месец) (Quarter)]" caption="Очекуван датум за ставање во употреба (месец) (Quarter)" attribute="1" defaultMemberUniqueName="[CAPEX].[Очекуван датум за ставање во употреба (месец) (Quarter)].[All]" allUniqueName="[CAPEX].[Очекуван датум за ставање во употреба (месец) (Quarter)].[All]" dimensionUniqueName="[CAPEX]" displayFolder="" count="0" memberValueDatatype="130" unbalanced="0"/>
    <cacheHierarchy uniqueName="[CAPEX].[Очекуван датум за ставање во употреба (месец) (Month)]" caption="Очекуван датум за ставање во употреба (месец) (Month)" attribute="1" defaultMemberUniqueName="[CAPEX].[Очекуван датум за ставање во употреба (месец) (Month)].[All]" allUniqueName="[CAPEX].[Очекуван датум за ставање во употреба (месец) (Month)].[All]" dimensionUniqueName="[CAPEX]" displayFolder="" count="0" memberValueDatatype="130" unbalanced="0"/>
    <cacheHierarchy uniqueName="[fActualAndBudget].[Конто]" caption="Конто" attribute="1" defaultMemberUniqueName="[fActualAndBudget].[Конто].[All]" allUniqueName="[fActualAndBudget].[Конто].[All]" dimensionUniqueName="[fActualAndBudget]" displayFolder="" count="0" memberValueDatatype="130" unbalanced="0"/>
    <cacheHierarchy uniqueName="[fActualAndBudget].[Назив на конто]" caption="Назив на конто" attribute="1" defaultMemberUniqueName="[fActualAndBudget].[Назив на конто].[All]" allUniqueName="[fActualAndBudget].[Назив на конто].[All]" dimensionUniqueName="[fActualAndBudget]" displayFolder="" count="0" memberValueDatatype="130" unbalanced="0"/>
    <cacheHierarchy uniqueName="[fActualAndBudget].[Период]" caption="Период" attribute="1" time="1" defaultMemberUniqueName="[fActualAndBudget].[Период].[All]" allUniqueName="[fActualAndBudget].[Период].[All]" dimensionUniqueName="[fActualAndBudget]" displayFolder="" count="0" memberValueDatatype="7" unbalanced="0"/>
    <cacheHierarchy uniqueName="[fActualAndBudget].[Износ1]" caption="Износ1" attribute="1" defaultMemberUniqueName="[fActualAndBudget].[Износ1].[All]" allUniqueName="[fActualAndBudget].[Износ1].[All]" dimensionUniqueName="[fActualAndBudget]" displayFolder="" count="0" memberValueDatatype="20" unbalanced="0"/>
    <cacheHierarchy uniqueName="[fActualAndBudget].[ReportType]" caption="ReportType" attribute="1" defaultMemberUniqueName="[fActualAndBudget].[ReportType].[All]" allUniqueName="[fActualAndBudget].[ReportType].[All]" dimensionUniqueName="[fActualAndBudget]" displayFolder="" count="2" memberValueDatatype="130" unbalanced="0">
      <fieldsUsage count="2">
        <fieldUsage x="-1"/>
        <fieldUsage x="7"/>
      </fieldsUsage>
    </cacheHierarchy>
    <cacheHierarchy uniqueName="[fActualAndBudget].[Ставка]" caption="Ставка" attribute="1" defaultMemberUniqueName="[fActualAndBudget].[Ставка].[All]" allUniqueName="[fActualAndBudget].[Ставка].[All]" dimensionUniqueName="[fActualAndBudget]" displayFolder="" count="0" memberValueDatatype="130" unbalanced="0"/>
    <cacheHierarchy uniqueName="[fActualAndBudget].[Број на јавна набавка (план)]" caption="Број на јавна набавка (план)" attribute="1" defaultMemberUniqueName="[fActualAndBudget].[Број на јавна набавка (план)].[All]" allUniqueName="[fActualAndBudget].[Број на јавна набавка (план)].[All]" dimensionUniqueName="[fActualAndBudget]" displayFolder="" count="0" memberValueDatatype="130" unbalanced="0"/>
    <cacheHierarchy uniqueName="[fActualAndBudget].[StavkaImeMK]" caption="StavkaImeMK" attribute="1" defaultMemberUniqueName="[fActualAndBudget].[StavkaImeMK].[All]" allUniqueName="[fActualAndBudget].[StavkaImeMK].[All]" dimensionUniqueName="[fActualAndBudget]" displayFolder="" count="0" memberValueDatatype="130" unbalanced="0"/>
    <cacheHierarchy uniqueName="[fActualAndBudget].[StavkaGrupa]" caption="StavkaGrupa" attribute="1" defaultMemberUniqueName="[fActualAndBudget].[StavkaGrupa].[All]" allUniqueName="[fActualAndBudget].[StavkaGrupa].[All]" dimensionUniqueName="[fActualAndBudget]" displayFolder="" count="2" memberValueDatatype="130" unbalanced="0">
      <fieldsUsage count="2">
        <fieldUsage x="-1"/>
        <fieldUsage x="8"/>
      </fieldsUsage>
    </cacheHierarchy>
    <cacheHierarchy uniqueName="[fActualAndBudget].[StavkaKategorija]" caption="StavkaKategorija" attribute="1" defaultMemberUniqueName="[fActualAndBudget].[StavkaKategorija].[All]" allUniqueName="[fActualAndBudget].[StavkaKategorija].[All]" dimensionUniqueName="[fActualAndBudget]" displayFolder="" count="2" memberValueDatatype="130" unbalanced="0">
      <fieldsUsage count="2">
        <fieldUsage x="-1"/>
        <fieldUsage x="10"/>
      </fieldsUsage>
    </cacheHierarchy>
    <cacheHierarchy uniqueName="[fActualAndBudget].[ZnakIzvestaj]" caption="ZnakIzvestaj" attribute="1" defaultMemberUniqueName="[fActualAndBudget].[ZnakIzvestaj].[All]" allUniqueName="[fActualAndBudget].[ZnakIzvestaj].[All]" dimensionUniqueName="[fActualAndBudget]" displayFolder="" count="0" memberValueDatatype="20" unbalanced="0"/>
    <cacheHierarchy uniqueName="[fActualAndBudget].[ObrazecID]" caption="ObrazecID" attribute="1" defaultMemberUniqueName="[fActualAndBudget].[ObrazecID].[All]" allUniqueName="[fActualAndBudget].[ObrazecID].[All]" dimensionUniqueName="[fActualAndBudget]" displayFolder="" count="0" memberValueDatatype="20" unbalanced="0"/>
    <cacheHierarchy uniqueName="[fActualAndBudget].[StavkaAOP]" caption="StavkaAOP" attribute="1" defaultMemberUniqueName="[fActualAndBudget].[StavkaAOP].[All]" allUniqueName="[fActualAndBudget].[StavkaAOP].[All]" dimensionUniqueName="[fActualAndBudget]" displayFolder="" count="0" memberValueDatatype="130" unbalanced="0"/>
    <cacheHierarchy uniqueName="[fActualAndBudget].[ObrazecIme]" caption="ObrazecIme" attribute="1" defaultMemberUniqueName="[fActualAndBudget].[ObrazecIme].[All]" allUniqueName="[fActualAndBudget].[ObrazecIme].[All]" dimensionUniqueName="[fActualAndBudget]" displayFolder="" count="2" memberValueDatatype="130" unbalanced="0">
      <fieldsUsage count="2">
        <fieldUsage x="-1"/>
        <fieldUsage x="5"/>
      </fieldsUsage>
    </cacheHierarchy>
    <cacheHierarchy uniqueName="[fActualAndBudget].[Износ]" caption="Износ" attribute="1" defaultMemberUniqueName="[fActualAndBudget].[Износ].[All]" allUniqueName="[fActualAndBudget].[Износ].[All]" dimensionUniqueName="[fActualAndBudget]" displayFolder="" count="0" memberValueDatatype="20" unbalanced="0"/>
    <cacheHierarchy uniqueName="[fActualAndBudget].[Износ (илјади)]" caption="Износ (илјади)" attribute="1" defaultMemberUniqueName="[fActualAndBudget].[Износ (илјади)].[All]" allUniqueName="[fActualAndBudget].[Износ (илјади)].[All]" dimensionUniqueName="[fActualAndBudget]" displayFolder="" count="0" memberValueDatatype="5" unbalanced="0"/>
    <cacheHierarchy uniqueName="[fActualAndBudget].[StavkaImeAOP]" caption="StavkaImeAOP" attribute="1" defaultMemberUniqueName="[fActualAndBudget].[StavkaImeAOP].[All]" allUniqueName="[fActualAndBudget].[StavkaImeAOP].[All]" dimensionUniqueName="[fActualAndBudget]" displayFolder="" count="2" memberValueDatatype="130" unbalanced="0">
      <fieldsUsage count="2">
        <fieldUsage x="-1"/>
        <fieldUsage x="6"/>
      </fieldsUsage>
    </cacheHierarchy>
    <cacheHierarchy uniqueName="[fActualAndBudget].[Конто Ставка]" caption="Конто Ставка" attribute="1" defaultMemberUniqueName="[fActualAndBudget].[Конто Ставка].[All]" allUniqueName="[fActualAndBudget].[Конто Ставка].[All]" dimensionUniqueName="[fActualAndBudget]" displayFolder="" count="2" memberValueDatatype="130" unbalanced="0">
      <fieldsUsage count="2">
        <fieldUsage x="-1"/>
        <fieldUsage x="9"/>
      </fieldsUsage>
    </cacheHierarchy>
    <cacheHierarchy uniqueName="[fArtikliCeni].[Ставка]" caption="Ставка" attribute="1" defaultMemberUniqueName="[fArtikliCeni].[Ставка].[All]" allUniqueName="[fArtikliCeni].[Ставка].[All]" dimensionUniqueName="[fArtikliCeni]" displayFolder="" count="0" memberValueDatatype="130" unbalanced="0"/>
    <cacheHierarchy uniqueName="[fArtikliCeni].[Категорија Артикл]" caption="Категорија Артикл" attribute="1" defaultMemberUniqueName="[fArtikliCeni].[Категорија Артикл].[All]" allUniqueName="[fArtikliCeni].[Категорија Артикл].[All]" dimensionUniqueName="[fArtikliCeni]" displayFolder="" count="0" memberValueDatatype="130" unbalanced="0"/>
    <cacheHierarchy uniqueName="[fArtikliCeni].[Тип на артикл]" caption="Тип на артикл" attribute="1" defaultMemberUniqueName="[fArtikliCeni].[Тип на артикл].[All]" allUniqueName="[fArtikliCeni].[Тип на артикл].[All]" dimensionUniqueName="[fArtikliCeni]" displayFolder="" count="0" memberValueDatatype="130" unbalanced="0"/>
    <cacheHierarchy uniqueName="[fArtikliCeni].[Единечна мерка]" caption="Единечна мерка" attribute="1" defaultMemberUniqueName="[fArtikliCeni].[Единечна мерка].[All]" allUniqueName="[fArtikliCeni].[Единечна мерка].[All]" dimensionUniqueName="[fArtikliCeni]" displayFolder="" count="0" memberValueDatatype="130" unbalanced="0"/>
    <cacheHierarchy uniqueName="[fArtikliCeni].[Количина]" caption="Количина" attribute="1" defaultMemberUniqueName="[fArtikliCeni].[Количина].[All]" allUniqueName="[fArtikliCeni].[Количина].[All]" dimensionUniqueName="[fArtikliCeni]" displayFolder="" count="0" memberValueDatatype="5" unbalanced="0"/>
    <cacheHierarchy uniqueName="[fArtikliCeni].[Единечна цена]" caption="Единечна цена" attribute="1" defaultMemberUniqueName="[fArtikliCeni].[Единечна цена].[All]" allUniqueName="[fArtikliCeni].[Единечна цена].[All]" dimensionUniqueName="[fArtikliCeni]" displayFolder="" count="0" memberValueDatatype="20" unbalanced="0"/>
    <cacheHierarchy uniqueName="[fArtikliCeni].[Вкупно трошок]" caption="Вкупно трошок" attribute="1" defaultMemberUniqueName="[fArtikliCeni].[Вкупно трошок].[All]" allUniqueName="[fArtikliCeni].[Вкупно трошок].[All]" dimensionUniqueName="[fArtikliCeni]" displayFolder="" count="0" memberValueDatatype="5" unbalanced="0"/>
    <cacheHierarchy uniqueName="[fArtikliCeni].[ДДВ]" caption="ДДВ" attribute="1" defaultMemberUniqueName="[fArtikliCeni].[ДДВ].[All]" allUniqueName="[fArtikliCeni].[ДДВ].[All]" dimensionUniqueName="[fArtikliCeni]" displayFolder="" count="0" memberValueDatatype="5" unbalanced="0"/>
    <cacheHierarchy uniqueName="[fArtikliCeni].[Износ]" caption="Износ" attribute="1" defaultMemberUniqueName="[fArtikliCeni].[Износ].[All]" allUniqueName="[fArtikliCeni].[Износ].[All]" dimensionUniqueName="[fArtikliCeni]" displayFolder="" count="0" memberValueDatatype="5" unbalanced="0"/>
    <cacheHierarchy uniqueName="[fArtikliCeni].[Конто]" caption="Конто" attribute="1" defaultMemberUniqueName="[fArtikliCeni].[Конто].[All]" allUniqueName="[fArtikliCeni].[Конто].[All]" dimensionUniqueName="[fArtikliCeni]" displayFolder="" count="0" memberValueDatatype="130" unbalanced="0"/>
    <cacheHierarchy uniqueName="[fArtikliCeni].[ReportType]" caption="ReportType" attribute="1" defaultMemberUniqueName="[fArtikliCeni].[ReportType].[All]" allUniqueName="[fArtikliCeni].[ReportType].[All]" dimensionUniqueName="[fArtikliCeni]" displayFolder="" count="0" memberValueDatatype="130" unbalanced="0"/>
    <cacheHierarchy uniqueName="[fArtikliCeni].[Период]" caption="Период" attribute="1" time="1" defaultMemberUniqueName="[fArtikliCeni].[Период].[All]" allUniqueName="[fArtikliCeni].[Период].[All]" dimensionUniqueName="[fArtikliCeni]" displayFolder="" count="0" memberValueDatatype="7" unbalanced="0"/>
    <cacheHierarchy uniqueName="[fArtikliCeni].[StavkaImeMK]" caption="StavkaImeMK" attribute="1" defaultMemberUniqueName="[fArtikliCeni].[StavkaImeMK].[All]" allUniqueName="[fArtikliCeni].[StavkaImeMK].[All]" dimensionUniqueName="[fArtikliCeni]" displayFolder="" count="0" memberValueDatatype="130" unbalanced="0"/>
    <cacheHierarchy uniqueName="[fArtikliCeni].[StavkaAOP]" caption="StavkaAOP" attribute="1" defaultMemberUniqueName="[fArtikliCeni].[StavkaAOP].[All]" allUniqueName="[fArtikliCeni].[StavkaAOP].[All]" dimensionUniqueName="[fArtikliCeni]" displayFolder="" count="0" memberValueDatatype="130" unbalanced="0"/>
    <cacheHierarchy uniqueName="[fArtikliCeni].[StavkaGrupa]" caption="StavkaGrupa" attribute="1" defaultMemberUniqueName="[fArtikliCeni].[StavkaGrupa].[All]" allUniqueName="[fArtikliCeni].[StavkaGrupa].[All]" dimensionUniqueName="[fArtikliCeni]" displayFolder="" count="0" memberValueDatatype="130" unbalanced="0"/>
    <cacheHierarchy uniqueName="[fArtikliCeni].[StavkaKategorija]" caption="StavkaKategorija" attribute="1" defaultMemberUniqueName="[fArtikliCeni].[StavkaKategorija].[All]" allUniqueName="[fArtikliCeni].[StavkaKategorija].[All]" dimensionUniqueName="[fArtikliCeni]" displayFolder="" count="0" memberValueDatatype="130" unbalanced="0"/>
    <cacheHierarchy uniqueName="[fArtikliCeni].[ObrazecIme]" caption="ObrazecIme" attribute="1" defaultMemberUniqueName="[fArtikliCeni].[ObrazecIme].[All]" allUniqueName="[fArtikliCeni].[ObrazecIme].[All]" dimensionUniqueName="[fArtikliCeni]" displayFolder="" count="0" memberValueDatatype="130" unbalanced="0"/>
    <cacheHierarchy uniqueName="[fCoveckiResursi].[Ставка]" caption="Ставка" attribute="1" defaultMemberUniqueName="[fCoveckiResursi].[Ставка].[All]" allUniqueName="[fCoveckiResursi].[Ставка].[All]" dimensionUniqueName="[fCoveckiResursi]" displayFolder="" count="0" memberValueDatatype="130" unbalanced="0"/>
    <cacheHierarchy uniqueName="[fCoveckiResursi].[Тип на вработување]" caption="Тип на вработување" attribute="1" defaultMemberUniqueName="[fCoveckiResursi].[Тип на вработување].[All]" allUniqueName="[fCoveckiResursi].[Тип на вработување].[All]" dimensionUniqueName="[fCoveckiResursi]" displayFolder="" count="0" memberValueDatatype="130" unbalanced="0"/>
    <cacheHierarchy uniqueName="[fCoveckiResursi].[Планиран прилив/(одлив)]" caption="Планиран прилив/(одлив)" attribute="1" defaultMemberUniqueName="[fCoveckiResursi].[Планиран прилив/(одлив)].[All]" allUniqueName="[fCoveckiResursi].[Планиран прилив/(одлив)].[All]" dimensionUniqueName="[fCoveckiResursi]" displayFolder="" count="0" memberValueDatatype="20" unbalanced="0"/>
    <cacheHierarchy uniqueName="[fCoveckiResursi].[Период]" caption="Период" attribute="1" time="1" defaultMemberUniqueName="[fCoveckiResursi].[Период].[All]" allUniqueName="[fCoveckiResursi].[Период].[All]" dimensionUniqueName="[fCoveckiResursi]" displayFolder="" count="0" memberValueDatatype="7" unbalanced="0"/>
    <cacheHierarchy uniqueName="[fCoveckiResursi].[Крајна состојба вработени]" caption="Крајна состојба вработени" attribute="1" defaultMemberUniqueName="[fCoveckiResursi].[Крајна состојба вработени].[All]" allUniqueName="[fCoveckiResursi].[Крајна состојба вработени].[All]" dimensionUniqueName="[fCoveckiResursi]" displayFolder="" count="0" memberValueDatatype="20" unbalanced="0"/>
    <cacheHierarchy uniqueName="[fCoveckiResursi].[Износ]" caption="Износ" attribute="1" defaultMemberUniqueName="[fCoveckiResursi].[Износ].[All]" allUniqueName="[fCoveckiResursi].[Износ].[All]" dimensionUniqueName="[fCoveckiResursi]" displayFolder="" count="0" memberValueDatatype="20" unbalanced="0"/>
    <cacheHierarchy uniqueName="[fCoveckiResursi].[Конто]" caption="Конто" attribute="1" defaultMemberUniqueName="[fCoveckiResursi].[Конто].[All]" allUniqueName="[fCoveckiResursi].[Конто].[All]" dimensionUniqueName="[fCoveckiResursi]" displayFolder="" count="0" memberValueDatatype="130" unbalanced="0"/>
    <cacheHierarchy uniqueName="[fCoveckiResursi].[ReportType]" caption="ReportType" attribute="1" defaultMemberUniqueName="[fCoveckiResursi].[ReportType].[All]" allUniqueName="[fCoveckiResursi].[ReportType].[All]" dimensionUniqueName="[fCoveckiResursi]" displayFolder="" count="0" memberValueDatatype="130" unbalanced="0"/>
    <cacheHierarchy uniqueName="[fCoveckiResursi].[Период (Year)]" caption="Период (Year)" attribute="1" defaultMemberUniqueName="[fCoveckiResursi].[Период (Year)].[All]" allUniqueName="[fCoveckiResursi].[Период (Year)].[All]" dimensionUniqueName="[fCoveckiResursi]" displayFolder="" count="0" memberValueDatatype="130" unbalanced="0"/>
    <cacheHierarchy uniqueName="[fCoveckiResursi].[Период (Quarter)]" caption="Период (Quarter)" attribute="1" defaultMemberUniqueName="[fCoveckiResursi].[Период (Quarter)].[All]" allUniqueName="[fCoveckiResursi].[Период (Quarter)].[All]" dimensionUniqueName="[fCoveckiResursi]" displayFolder="" count="0" memberValueDatatype="130" unbalanced="0"/>
    <cacheHierarchy uniqueName="[fCoveckiResursi].[Период (Month)]" caption="Период (Month)" attribute="1" defaultMemberUniqueName="[fCoveckiResursi].[Период (Month)].[All]" allUniqueName="[fCoveckiResursi].[Период (Month)].[All]" dimensionUniqueName="[fCoveckiResursi]" displayFolder="" count="0" memberValueDatatype="130" unbalanced="0"/>
    <cacheHierarchy uniqueName="[fCoveckiResursi].[Период (Year) 1]" caption="Период (Year) 1" attribute="1" defaultMemberUniqueName="[fCoveckiResursi].[Период (Year) 1].[All]" allUniqueName="[fCoveckiResursi].[Период (Year) 1].[All]" dimensionUniqueName="[fCoveckiResursi]" displayFolder="" count="0" memberValueDatatype="130" unbalanced="0"/>
    <cacheHierarchy uniqueName="[fCoveckiResursi].[Период (Quarter) 1]" caption="Период (Quarter) 1" attribute="1" defaultMemberUniqueName="[fCoveckiResursi].[Период (Quarter) 1].[All]" allUniqueName="[fCoveckiResursi].[Период (Quarter) 1].[All]" dimensionUniqueName="[fCoveckiResursi]" displayFolder="" count="0" memberValueDatatype="130" unbalanced="0"/>
    <cacheHierarchy uniqueName="[fCoveckiResursi].[Период (Month) 1]" caption="Период (Month) 1" attribute="1" defaultMemberUniqueName="[fCoveckiResursi].[Период (Month) 1].[All]" allUniqueName="[fCoveckiResursi].[Период (Month) 1].[All]" dimensionUniqueName="[fCoveckiResursi]" displayFolder="" count="0" memberValueDatatype="130" unbalanced="0"/>
    <cacheHierarchy uniqueName="[fCoveckiResursi  2].[Ставка]" caption="Ставка" attribute="1" defaultMemberUniqueName="[fCoveckiResursi  2].[Ставка].[All]" allUniqueName="[fCoveckiResursi  2].[Ставка].[All]" dimensionUniqueName="[fCoveckiResursi  2]" displayFolder="" count="0" memberValueDatatype="130" unbalanced="0"/>
    <cacheHierarchy uniqueName="[fCoveckiResursi  2].[Период]" caption="Период" attribute="1" time="1" defaultMemberUniqueName="[fCoveckiResursi  2].[Период].[All]" allUniqueName="[fCoveckiResursi  2].[Период].[All]" dimensionUniqueName="[fCoveckiResursi  2]" displayFolder="" count="0" memberValueDatatype="7" unbalanced="0"/>
    <cacheHierarchy uniqueName="[fCoveckiResursi  2].[Износ]" caption="Износ" attribute="1" defaultMemberUniqueName="[fCoveckiResursi  2].[Износ].[All]" allUniqueName="[fCoveckiResursi  2].[Износ].[All]" dimensionUniqueName="[fCoveckiResursi  2]" displayFolder="" count="0" memberValueDatatype="20" unbalanced="0"/>
    <cacheHierarchy uniqueName="[fCoveckiResursi  2].[Конто]" caption="Конто" attribute="1" defaultMemberUniqueName="[fCoveckiResursi  2].[Конто].[All]" allUniqueName="[fCoveckiResursi  2].[Конто].[All]" dimensionUniqueName="[fCoveckiResursi  2]" displayFolder="" count="0" memberValueDatatype="130" unbalanced="0"/>
    <cacheHierarchy uniqueName="[fCoveckiResursi  2].[ReportType]" caption="ReportType" attribute="1" defaultMemberUniqueName="[fCoveckiResursi  2].[ReportType].[All]" allUniqueName="[fCoveckiResursi  2].[ReportType].[All]" dimensionUniqueName="[fCoveckiResursi  2]" displayFolder="" count="0" memberValueDatatype="130" unbalanced="0"/>
    <cacheHierarchy uniqueName="[fCoveckiResursi  2].[StavkaImeMK]" caption="StavkaImeMK" attribute="1" defaultMemberUniqueName="[fCoveckiResursi  2].[StavkaImeMK].[All]" allUniqueName="[fCoveckiResursi  2].[StavkaImeMK].[All]" dimensionUniqueName="[fCoveckiResursi  2]" displayFolder="" count="0" memberValueDatatype="130" unbalanced="0"/>
    <cacheHierarchy uniqueName="[fCoveckiResursi  2].[StavkaKategorija]" caption="StavkaKategorija" attribute="1" defaultMemberUniqueName="[fCoveckiResursi  2].[StavkaKategorija].[All]" allUniqueName="[fCoveckiResursi  2].[StavkaKategorija].[All]" dimensionUniqueName="[fCoveckiResursi  2]" displayFolder="" count="0" memberValueDatatype="130" unbalanced="0"/>
    <cacheHierarchy uniqueName="[fCoveckiResursi  2].[ObrazecIme]" caption="ObrazecIme" attribute="1" defaultMemberUniqueName="[fCoveckiResursi  2].[ObrazecIme].[All]" allUniqueName="[fCoveckiResursi  2].[ObrazecIme].[All]" dimensionUniqueName="[fCoveckiResursi  2]" displayFolder="" count="0" memberValueDatatype="130" unbalanced="0"/>
    <cacheHierarchy uniqueName="[fOPEX].[Конто]" caption="Конто" attribute="1" defaultMemberUniqueName="[fOPEX].[Конто].[All]" allUniqueName="[fOPEX].[Конто].[All]" dimensionUniqueName="[fOPEX]" displayFolder="" count="0" memberValueDatatype="130" unbalanced="0"/>
    <cacheHierarchy uniqueName="[fOPEX].[Ставка]" caption="Ставка" attribute="1" defaultMemberUniqueName="[fOPEX].[Ставка].[All]" allUniqueName="[fOPEX].[Ставка].[All]" dimensionUniqueName="[fOPEX]" displayFolder="" count="0" memberValueDatatype="130" unbalanced="0"/>
    <cacheHierarchy uniqueName="[fOPEX].[Период]" caption="Период" attribute="1" time="1" defaultMemberUniqueName="[fOPEX].[Период].[All]" allUniqueName="[fOPEX].[Период].[All]" dimensionUniqueName="[fOPEX]" displayFolder="" count="0" memberValueDatatype="7" unbalanced="0"/>
    <cacheHierarchy uniqueName="[fOPEX].[Износ]" caption="Износ" attribute="1" defaultMemberUniqueName="[fOPEX].[Износ].[All]" allUniqueName="[fOPEX].[Износ].[All]" dimensionUniqueName="[fOPEX]" displayFolder="" count="0" memberValueDatatype="20" unbalanced="0"/>
    <cacheHierarchy uniqueName="[fOPEX].[ReportType]" caption="ReportType" attribute="1" defaultMemberUniqueName="[fOPEX].[ReportType].[All]" allUniqueName="[fOPEX].[ReportType].[All]" dimensionUniqueName="[fOPEX]" displayFolder="" count="0" memberValueDatatype="130" unbalanced="0"/>
    <cacheHierarchy uniqueName="[OPEXAnaliza].[Артикл ИД]" caption="Артикл ИД" attribute="1" defaultMemberUniqueName="[OPEXAnaliza].[Артикл ИД].[All]" allUniqueName="[OPEXAnaliza].[Артикл ИД].[All]" dimensionUniqueName="[OPEXAnaliza]" displayFolder="" count="0" memberValueDatatype="20" unbalanced="0"/>
    <cacheHierarchy uniqueName="[OPEXAnaliza].[Ставка]" caption="Ставка" attribute="1" defaultMemberUniqueName="[OPEXAnaliza].[Ставка].[All]" allUniqueName="[OPEXAnaliza].[Ставка].[All]" dimensionUniqueName="[OPEXAnaliza]" displayFolder="" count="0" memberValueDatatype="130" unbalanced="0"/>
    <cacheHierarchy uniqueName="[OPEXAnaliza].[Категорија Артикл ИД]" caption="Категорија Артикл ИД" attribute="1" defaultMemberUniqueName="[OPEXAnaliza].[Категорија Артикл ИД].[All]" allUniqueName="[OPEXAnaliza].[Категорија Артикл ИД].[All]" dimensionUniqueName="[OPEXAnaliza]" displayFolder="" count="0" memberValueDatatype="20" unbalanced="0"/>
    <cacheHierarchy uniqueName="[OPEXAnaliza].[Категорија Артикл]" caption="Категорија Артикл" attribute="1" defaultMemberUniqueName="[OPEXAnaliza].[Категорија Артикл].[All]" allUniqueName="[OPEXAnaliza].[Категорија Артикл].[All]" dimensionUniqueName="[OPEXAnaliza]" displayFolder="" count="0" memberValueDatatype="130" unbalanced="0"/>
    <cacheHierarchy uniqueName="[OPEXAnaliza].[Тип на артикл]" caption="Тип на артикл" attribute="1" defaultMemberUniqueName="[OPEXAnaliza].[Тип на артикл].[All]" allUniqueName="[OPEXAnaliza].[Тип на артикл].[All]" dimensionUniqueName="[OPEXAnaliza]" displayFolder="" count="0" memberValueDatatype="130" unbalanced="0"/>
    <cacheHierarchy uniqueName="[OPEXAnaliza].[Единечна мерка]" caption="Единечна мерка" attribute="1" defaultMemberUniqueName="[OPEXAnaliza].[Единечна мерка].[All]" allUniqueName="[OPEXAnaliza].[Единечна мерка].[All]" dimensionUniqueName="[OPEXAnaliza]" displayFolder="" count="0" memberValueDatatype="130" unbalanced="0"/>
    <cacheHierarchy uniqueName="[OPEXAnaliza].[Количина]" caption="Количина" attribute="1" defaultMemberUniqueName="[OPEXAnaliza].[Количина].[All]" allUniqueName="[OPEXAnaliza].[Количина].[All]" dimensionUniqueName="[OPEXAnaliza]" displayFolder="" count="0" memberValueDatatype="5" unbalanced="0"/>
    <cacheHierarchy uniqueName="[OPEXAnaliza].[Единечна цена]" caption="Единечна цена" attribute="1" defaultMemberUniqueName="[OPEXAnaliza].[Единечна цена].[All]" allUniqueName="[OPEXAnaliza].[Единечна цена].[All]" dimensionUniqueName="[OPEXAnaliza]" displayFolder="" count="0" memberValueDatatype="20" unbalanced="0"/>
    <cacheHierarchy uniqueName="[OPEXAnaliza].[Износ]" caption="Износ" attribute="1" defaultMemberUniqueName="[OPEXAnaliza].[Износ].[All]" allUniqueName="[OPEXAnaliza].[Износ].[All]" dimensionUniqueName="[OPEXAnaliza]" displayFolder="" count="0" memberValueDatatype="5" unbalanced="0"/>
    <cacheHierarchy uniqueName="[OPEXAnaliza].[ДДВ]" caption="ДДВ" attribute="1" defaultMemberUniqueName="[OPEXAnaliza].[ДДВ].[All]" allUniqueName="[OPEXAnaliza].[ДДВ].[All]" dimensionUniqueName="[OPEXAnaliza]" displayFolder="" count="0" memberValueDatatype="5" unbalanced="0"/>
    <cacheHierarchy uniqueName="[OPEXAnaliza].[Вкупно трошок со ДДВ]" caption="Вкупно трошок со ДДВ" attribute="1" defaultMemberUniqueName="[OPEXAnaliza].[Вкупно трошок со ДДВ].[All]" allUniqueName="[OPEXAnaliza].[Вкупно трошок со ДДВ].[All]" dimensionUniqueName="[OPEXAnaliza]" displayFolder="" count="0" memberValueDatatype="5" unbalanced="0"/>
    <cacheHierarchy uniqueName="[OPEXAnaliza].[Конто]" caption="Конто" attribute="1" defaultMemberUniqueName="[OPEXAnaliza].[Конто].[All]" allUniqueName="[OPEXAnaliza].[Конто].[All]" dimensionUniqueName="[OPEXAnaliza]" displayFolder="" count="0" memberValueDatatype="130" unbalanced="0"/>
    <cacheHierarchy uniqueName="[OPEXAnaliza].[Период]" caption="Период" attribute="1" time="1" defaultMemberUniqueName="[OPEXAnaliza].[Период].[All]" allUniqueName="[OPEXAnaliza].[Период].[All]" dimensionUniqueName="[OPEXAnaliza]" displayFolder="" count="0" memberValueDatatype="7" unbalanced="0"/>
    <cacheHierarchy uniqueName="[OPEXAnaliza].[ReportType]" caption="ReportType" attribute="1" defaultMemberUniqueName="[OPEXAnaliza].[ReportType].[All]" allUniqueName="[OPEXAnaliza].[ReportType].[All]" dimensionUniqueName="[OPEXAnaliza]" displayFolder="" count="0" memberValueDatatype="130" unbalanced="0"/>
    <cacheHierarchy uniqueName="[OPEXAnaliza].[StavkaImeMK]" caption="StavkaImeMK" attribute="1" defaultMemberUniqueName="[OPEXAnaliza].[StavkaImeMK].[All]" allUniqueName="[OPEXAnaliza].[StavkaImeMK].[All]" dimensionUniqueName="[OPEXAnaliza]" displayFolder="" count="0" memberValueDatatype="130" unbalanced="0"/>
    <cacheHierarchy uniqueName="[OPEXAnaliza].[StavkaKategorija]" caption="StavkaKategorija" attribute="1" defaultMemberUniqueName="[OPEXAnaliza].[StavkaKategorija].[All]" allUniqueName="[OPEXAnaliza].[StavkaKategorija].[All]" dimensionUniqueName="[OPEXAnaliza]" displayFolder="" count="0" memberValueDatatype="130" unbalanced="0"/>
    <cacheHierarchy uniqueName="[OPEXAnaliza].[ObrazecIme]" caption="ObrazecIme" attribute="1" defaultMemberUniqueName="[OPEXAnaliza].[ObrazecIme].[All]" allUniqueName="[OPEXAnaliza].[ObrazecIme].[All]" dimensionUniqueName="[OPEXAnaliza]" displayFolder="" count="0" memberValueDatatype="130" unbalanced="0"/>
    <cacheHierarchy uniqueName="[OPEXAnaliza].[StavkaImeAOP]" caption="StavkaImeAOP" attribute="1" defaultMemberUniqueName="[OPEXAnaliza].[StavkaImeAOP].[All]" allUniqueName="[OPEXAnaliza].[StavkaImeAOP].[All]" dimensionUniqueName="[OPEXAnaliza]" displayFolder="" count="0" memberValueDatatype="20" unbalanced="0"/>
    <cacheHierarchy uniqueName="[OPEXAnaliza].[Период (Year)]" caption="Период (Year)" attribute="1" defaultMemberUniqueName="[OPEXAnaliza].[Период (Year)].[All]" allUniqueName="[OPEXAnaliza].[Период (Year)].[All]" dimensionUniqueName="[OPEXAnaliza]" displayFolder="" count="0" memberValueDatatype="130" unbalanced="0"/>
    <cacheHierarchy uniqueName="[OPEXAnaliza].[Период (Quarter)]" caption="Период (Quarter)" attribute="1" defaultMemberUniqueName="[OPEXAnaliza].[Период (Quarter)].[All]" allUniqueName="[OPEXAnaliza].[Период (Quarter)].[All]" dimensionUniqueName="[OPEXAnaliza]" displayFolder="" count="0" memberValueDatatype="130" unbalanced="0"/>
    <cacheHierarchy uniqueName="[OPEXAnaliza].[Период (Month)]" caption="Период (Month)" attribute="1" defaultMemberUniqueName="[OPEXAnaliza].[Период (Month)].[All]" allUniqueName="[OPEXAnaliza].[Период (Month)].[All]" dimensionUniqueName="[OPEXAnaliza]" displayFolder="" count="0" memberValueDatatype="130" unbalanced="0"/>
    <cacheHierarchy uniqueName="[rArtikli_HR_Analiza].[Ставка]" caption="Ставка" attribute="1" defaultMemberUniqueName="[rArtikli_HR_Analiza].[Ставка].[All]" allUniqueName="[rArtikli_HR_Analiza].[Ставка].[All]" dimensionUniqueName="[rArtikli_HR_Analiza]" displayFolder="" count="0" memberValueDatatype="130" unbalanced="0"/>
    <cacheHierarchy uniqueName="[rArtikli_HR_Analiza].[Категорија Артикл]" caption="Категорија Артикл" attribute="1" defaultMemberUniqueName="[rArtikli_HR_Analiza].[Категорија Артикл].[All]" allUniqueName="[rArtikli_HR_Analiza].[Категорија Артикл].[All]" dimensionUniqueName="[rArtikli_HR_Analiza]" displayFolder="" count="0" memberValueDatatype="130" unbalanced="0"/>
    <cacheHierarchy uniqueName="[rArtikli_HR_Analiza].[Тип на артикл]" caption="Тип на артикл" attribute="1" defaultMemberUniqueName="[rArtikli_HR_Analiza].[Тип на артикл].[All]" allUniqueName="[rArtikli_HR_Analiza].[Тип на артикл].[All]" dimensionUniqueName="[rArtikli_HR_Analiza]" displayFolder="" count="0" memberValueDatatype="130" unbalanced="0"/>
    <cacheHierarchy uniqueName="[rArtikli_HR_Analiza].[Единечна мерка]" caption="Единечна мерка" attribute="1" defaultMemberUniqueName="[rArtikli_HR_Analiza].[Единечна мерка].[All]" allUniqueName="[rArtikli_HR_Analiza].[Единечна мерка].[All]" dimensionUniqueName="[rArtikli_HR_Analiza]" displayFolder="" count="0" memberValueDatatype="130" unbalanced="0"/>
    <cacheHierarchy uniqueName="[rArtikli_HR_Analiza].[Количина]" caption="Количина" attribute="1" defaultMemberUniqueName="[rArtikli_HR_Analiza].[Количина].[All]" allUniqueName="[rArtikli_HR_Analiza].[Количина].[All]" dimensionUniqueName="[rArtikli_HR_Analiza]" displayFolder="" count="0" memberValueDatatype="5" unbalanced="0"/>
    <cacheHierarchy uniqueName="[rArtikli_HR_Analiza].[Единечна цена]" caption="Единечна цена" attribute="1" defaultMemberUniqueName="[rArtikli_HR_Analiza].[Единечна цена].[All]" allUniqueName="[rArtikli_HR_Analiza].[Единечна цена].[All]" dimensionUniqueName="[rArtikli_HR_Analiza]" displayFolder="" count="0" memberValueDatatype="20" unbalanced="0"/>
    <cacheHierarchy uniqueName="[rArtikli_HR_Analiza].[Вкупно трошок]" caption="Вкупно трошок" attribute="1" defaultMemberUniqueName="[rArtikli_HR_Analiza].[Вкупно трошок].[All]" allUniqueName="[rArtikli_HR_Analiza].[Вкупно трошок].[All]" dimensionUniqueName="[rArtikli_HR_Analiza]" displayFolder="" count="0" memberValueDatatype="5" unbalanced="0"/>
    <cacheHierarchy uniqueName="[rArtikli_HR_Analiza].[ДДВ]" caption="ДДВ" attribute="1" defaultMemberUniqueName="[rArtikli_HR_Analiza].[ДДВ].[All]" allUniqueName="[rArtikli_HR_Analiza].[ДДВ].[All]" dimensionUniqueName="[rArtikli_HR_Analiza]" displayFolder="" count="0" memberValueDatatype="5" unbalanced="0"/>
    <cacheHierarchy uniqueName="[rArtikli_HR_Analiza].[Износ]" caption="Износ" attribute="1" defaultMemberUniqueName="[rArtikli_HR_Analiza].[Износ].[All]" allUniqueName="[rArtikli_HR_Analiza].[Износ].[All]" dimensionUniqueName="[rArtikli_HR_Analiza]" displayFolder="" count="0" memberValueDatatype="5" unbalanced="0"/>
    <cacheHierarchy uniqueName="[rArtikli_HR_Analiza].[Конто]" caption="Конто" attribute="1" defaultMemberUniqueName="[rArtikli_HR_Analiza].[Конто].[All]" allUniqueName="[rArtikli_HR_Analiza].[Конто].[All]" dimensionUniqueName="[rArtikli_HR_Analiza]" displayFolder="" count="0" memberValueDatatype="130" unbalanced="0"/>
    <cacheHierarchy uniqueName="[rArtikli_HR_Analiza].[ReportType]" caption="ReportType" attribute="1" defaultMemberUniqueName="[rArtikli_HR_Analiza].[ReportType].[All]" allUniqueName="[rArtikli_HR_Analiza].[ReportType].[All]" dimensionUniqueName="[rArtikli_HR_Analiza]" displayFolder="" count="0" memberValueDatatype="130" unbalanced="0"/>
    <cacheHierarchy uniqueName="[rArtikli_HR_Analiza].[Период]" caption="Период" attribute="1" time="1" defaultMemberUniqueName="[rArtikli_HR_Analiza].[Период].[All]" allUniqueName="[rArtikli_HR_Analiza].[Период].[All]" dimensionUniqueName="[rArtikli_HR_Analiza]" displayFolder="" count="0" memberValueDatatype="7" unbalanced="0"/>
    <cacheHierarchy uniqueName="[rArtikli_HR_Analiza].[StavkaImeMK]" caption="StavkaImeMK" attribute="1" defaultMemberUniqueName="[rArtikli_HR_Analiza].[StavkaImeMK].[All]" allUniqueName="[rArtikli_HR_Analiza].[StavkaImeMK].[All]" dimensionUniqueName="[rArtikli_HR_Analiza]" displayFolder="" count="0" memberValueDatatype="130" unbalanced="0"/>
    <cacheHierarchy uniqueName="[rArtikli_HR_Analiza].[StavkaAOP]" caption="StavkaAOP" attribute="1" defaultMemberUniqueName="[rArtikli_HR_Analiza].[StavkaAOP].[All]" allUniqueName="[rArtikli_HR_Analiza].[StavkaAOP].[All]" dimensionUniqueName="[rArtikli_HR_Analiza]" displayFolder="" count="0" memberValueDatatype="130" unbalanced="0"/>
    <cacheHierarchy uniqueName="[rArtikli_HR_Analiza].[StavkaGrupa]" caption="StavkaGrupa" attribute="1" defaultMemberUniqueName="[rArtikli_HR_Analiza].[StavkaGrupa].[All]" allUniqueName="[rArtikli_HR_Analiza].[StavkaGrupa].[All]" dimensionUniqueName="[rArtikli_HR_Analiza]" displayFolder="" count="0" memberValueDatatype="130" unbalanced="0"/>
    <cacheHierarchy uniqueName="[rArtikli_HR_Analiza].[StavkaKategorija]" caption="StavkaKategorija" attribute="1" defaultMemberUniqueName="[rArtikli_HR_Analiza].[StavkaKategorija].[All]" allUniqueName="[rArtikli_HR_Analiza].[StavkaKategorija].[All]" dimensionUniqueName="[rArtikli_HR_Analiza]" displayFolder="" count="0" memberValueDatatype="130" unbalanced="0"/>
    <cacheHierarchy uniqueName="[rArtikli_HR_Analiza].[ObrazecIme]" caption="ObrazecIme" attribute="1" defaultMemberUniqueName="[rArtikli_HR_Analiza].[ObrazecIme].[All]" allUniqueName="[rArtikli_HR_Analiza].[ObrazecIme].[All]" dimensionUniqueName="[rArtikli_HR_Analiza]" displayFolder="" count="0" memberValueDatatype="130" unbalanced="0"/>
    <cacheHierarchy uniqueName="[rArtikli_HR_Analiza].[StavkaKategorija.1]" caption="StavkaKategorija.1" attribute="1" defaultMemberUniqueName="[rArtikli_HR_Analiza].[StavkaKategorija.1].[All]" allUniqueName="[rArtikli_HR_Analiza].[StavkaKategorija.1].[All]" dimensionUniqueName="[rArtikli_HR_Analiza]" displayFolder="" count="0" memberValueDatatype="130" unbalanced="0"/>
    <cacheHierarchy uniqueName="[rArtikliAnaliza].[Артикл ИД]" caption="Артикл ИД" attribute="1" defaultMemberUniqueName="[rArtikliAnaliza].[Артикл ИД].[All]" allUniqueName="[rArtikliAnaliza].[Артикл ИД].[All]" dimensionUniqueName="[rArtikliAnaliza]" displayFolder="" count="0" memberValueDatatype="20" unbalanced="0"/>
    <cacheHierarchy uniqueName="[rArtikliAnaliza].[Ставка]" caption="Ставка" attribute="1" defaultMemberUniqueName="[rArtikliAnaliza].[Ставка].[All]" allUniqueName="[rArtikliAnaliza].[Ставка].[All]" dimensionUniqueName="[rArtikliAnaliza]" displayFolder="" count="0" memberValueDatatype="130" unbalanced="0"/>
    <cacheHierarchy uniqueName="[rArtikliAnaliza].[Категорија Артикл ИД]" caption="Категорија Артикл ИД" attribute="1" defaultMemberUniqueName="[rArtikliAnaliza].[Категорија Артикл ИД].[All]" allUniqueName="[rArtikliAnaliza].[Категорија Артикл ИД].[All]" dimensionUniqueName="[rArtikliAnaliza]" displayFolder="" count="0" memberValueDatatype="20" unbalanced="0"/>
    <cacheHierarchy uniqueName="[rArtikliAnaliza].[Категорија Артикл]" caption="Категорија Артикл" attribute="1" defaultMemberUniqueName="[rArtikliAnaliza].[Категорија Артикл].[All]" allUniqueName="[rArtikliAnaliza].[Категорија Артикл].[All]" dimensionUniqueName="[rArtikliAnaliza]" displayFolder="" count="0" memberValueDatatype="130" unbalanced="0"/>
    <cacheHierarchy uniqueName="[rArtikliAnaliza].[Тип на артикл]" caption="Тип на артикл" attribute="1" defaultMemberUniqueName="[rArtikliAnaliza].[Тип на артикл].[All]" allUniqueName="[rArtikliAnaliza].[Тип на артикл].[All]" dimensionUniqueName="[rArtikliAnaliza]" displayFolder="" count="0" memberValueDatatype="130" unbalanced="0"/>
    <cacheHierarchy uniqueName="[rArtikliAnaliza].[Единечна мерка]" caption="Единечна мерка" attribute="1" defaultMemberUniqueName="[rArtikliAnaliza].[Единечна мерка].[All]" allUniqueName="[rArtikliAnaliza].[Единечна мерка].[All]" dimensionUniqueName="[rArtikliAnaliza]" displayFolder="" count="0" memberValueDatatype="130" unbalanced="0"/>
    <cacheHierarchy uniqueName="[rArtikliAnaliza].[Количина]" caption="Количина" attribute="1" defaultMemberUniqueName="[rArtikliAnaliza].[Количина].[All]" allUniqueName="[rArtikliAnaliza].[Количина].[All]" dimensionUniqueName="[rArtikliAnaliza]" displayFolder="" count="0" memberValueDatatype="5" unbalanced="0"/>
    <cacheHierarchy uniqueName="[rArtikliAnaliza].[Единечна цена]" caption="Единечна цена" attribute="1" defaultMemberUniqueName="[rArtikliAnaliza].[Единечна цена].[All]" allUniqueName="[rArtikliAnaliza].[Единечна цена].[All]" dimensionUniqueName="[rArtikliAnaliza]" displayFolder="" count="0" memberValueDatatype="20" unbalanced="0"/>
    <cacheHierarchy uniqueName="[rArtikliAnaliza].[Износ]" caption="Износ" attribute="1" defaultMemberUniqueName="[rArtikliAnaliza].[Износ].[All]" allUniqueName="[rArtikliAnaliza].[Износ].[All]" dimensionUniqueName="[rArtikliAnaliza]" displayFolder="" count="0" memberValueDatatype="5" unbalanced="0"/>
    <cacheHierarchy uniqueName="[rArtikliAnaliza].[ДДВ]" caption="ДДВ" attribute="1" defaultMemberUniqueName="[rArtikliAnaliza].[ДДВ].[All]" allUniqueName="[rArtikliAnaliza].[ДДВ].[All]" dimensionUniqueName="[rArtikliAnaliza]" displayFolder="" count="0" memberValueDatatype="5" unbalanced="0"/>
    <cacheHierarchy uniqueName="[rArtikliAnaliza].[Вкупно трошок со ДДВ]" caption="Вкупно трошок со ДДВ" attribute="1" defaultMemberUniqueName="[rArtikliAnaliza].[Вкупно трошок со ДДВ].[All]" allUniqueName="[rArtikliAnaliza].[Вкупно трошок со ДДВ].[All]" dimensionUniqueName="[rArtikliAnaliza]" displayFolder="" count="0" memberValueDatatype="5" unbalanced="0"/>
    <cacheHierarchy uniqueName="[rArtikliAnaliza].[Конто]" caption="Конто" attribute="1" defaultMemberUniqueName="[rArtikliAnaliza].[Конто].[All]" allUniqueName="[rArtikliAnaliza].[Конто].[All]" dimensionUniqueName="[rArtikliAnaliza]" displayFolder="" count="0" memberValueDatatype="130" unbalanced="0"/>
    <cacheHierarchy uniqueName="[rArtikliAnaliza].[Период]" caption="Период" attribute="1" time="1" defaultMemberUniqueName="[rArtikliAnaliza].[Период].[All]" allUniqueName="[rArtikliAnaliza].[Период].[All]" dimensionUniqueName="[rArtikliAnaliza]" displayFolder="" count="0" memberValueDatatype="7" unbalanced="0"/>
    <cacheHierarchy uniqueName="[rArtikliAnaliza].[ReportType]" caption="ReportType" attribute="1" defaultMemberUniqueName="[rArtikliAnaliza].[ReportType].[All]" allUniqueName="[rArtikliAnaliza].[ReportType].[All]" dimensionUniqueName="[rArtikliAnaliza]" displayFolder="" count="0" memberValueDatatype="130" unbalanced="0"/>
    <cacheHierarchy uniqueName="[rArtikliAnaliza].[StavkaImeMK]" caption="StavkaImeMK" attribute="1" defaultMemberUniqueName="[rArtikliAnaliza].[StavkaImeMK].[All]" allUniqueName="[rArtikliAnaliza].[StavkaImeMK].[All]" dimensionUniqueName="[rArtikliAnaliza]" displayFolder="" count="0" memberValueDatatype="130" unbalanced="0"/>
    <cacheHierarchy uniqueName="[rArtikliAnaliza].[StavkaKategorija]" caption="StavkaKategorija" attribute="1" defaultMemberUniqueName="[rArtikliAnaliza].[StavkaKategorija].[All]" allUniqueName="[rArtikliAnaliza].[StavkaKategorija].[All]" dimensionUniqueName="[rArtikliAnaliza]" displayFolder="" count="0" memberValueDatatype="130" unbalanced="0"/>
    <cacheHierarchy uniqueName="[rArtikliAnaliza].[Период (Year)]" caption="Период (Year)" attribute="1" defaultMemberUniqueName="[rArtikliAnaliza].[Период (Year)].[All]" allUniqueName="[rArtikliAnaliza].[Период (Year)].[All]" dimensionUniqueName="[rArtikliAnaliza]" displayFolder="" count="0" memberValueDatatype="130" unbalanced="0"/>
    <cacheHierarchy uniqueName="[rArtikliAnaliza].[Период (Quarter)]" caption="Период (Quarter)" attribute="1" defaultMemberUniqueName="[rArtikliAnaliza].[Период (Quarter)].[All]" allUniqueName="[rArtikliAnaliza].[Период (Quarter)].[All]" dimensionUniqueName="[rArtikliAnaliza]" displayFolder="" count="0" memberValueDatatype="130" unbalanced="0"/>
    <cacheHierarchy uniqueName="[rArtikliAnaliza].[Период (Month)]" caption="Период (Month)" attribute="1" defaultMemberUniqueName="[rArtikliAnaliza].[Период (Month)].[All]" allUniqueName="[rArtikliAnaliza].[Период (Month)].[All]" dimensionUniqueName="[rArtikliAnaliza]" displayFolder="" count="0" memberValueDatatype="130" unbalanced="0"/>
    <cacheHierarchy uniqueName="[CAPEX].[Очекуван датум за ставање во употреба (месец) (Month Index)]" caption="Очекуван датум за ставање во употреба (месец) (Month Index)" attribute="1" defaultMemberUniqueName="[CAPEX].[Очекуван датум за ставање во употреба (месец) (Month Index)].[All]" allUniqueName="[CAPEX].[Очекуван датум за ставање во употреба (месец) (Month Index)].[All]" dimensionUniqueName="[CAPEX]" displayFolder="" count="0" memberValueDatatype="20" unbalanced="0" hidden="1"/>
    <cacheHierarchy uniqueName="[CAPEX].[Очекуван датум на плаќање (Month Index)]" caption="Очекуван датум на плаќање (Month Index)" attribute="1" defaultMemberUniqueName="[CAPEX].[Очекуван датум на плаќање (Month Index)].[All]" allUniqueName="[CAPEX].[Очекуван датум на плаќање (Month Index)].[All]" dimensionUniqueName="[CAPEX]" displayFolder="" count="0" memberValueDatatype="20" unbalanced="0" hidden="1"/>
    <cacheHierarchy uniqueName="[fActualAndBudget].[StavkaID]" caption="StavkaID" attribute="1" defaultMemberUniqueName="[fActualAndBudget].[StavkaID].[All]" allUniqueName="[fActualAndBudget].[StavkaID].[All]" dimensionUniqueName="[fActualAndBudget]" displayFolder="" count="0" memberValueDatatype="20" unbalanced="0" hidden="1"/>
    <cacheHierarchy uniqueName="[fCoveckiResursi].[Период (Month Index)]" caption="Период (Month Index)" attribute="1" defaultMemberUniqueName="[fCoveckiResursi].[Период (Month Index)].[All]" allUniqueName="[fCoveckiResursi].[Период (Month Index)].[All]" dimensionUniqueName="[fCoveckiResursi]" displayFolder="" count="0" memberValueDatatype="20" unbalanced="0" hidden="1"/>
    <cacheHierarchy uniqueName="[fCoveckiResursi].[Период (Month Index) 1]" caption="Период (Month Index) 1" attribute="1" defaultMemberUniqueName="[fCoveckiResursi].[Период (Month Index) 1].[All]" allUniqueName="[fCoveckiResursi].[Период (Month Index) 1].[All]" dimensionUniqueName="[fCoveckiResursi]" displayFolder="" count="0" memberValueDatatype="20" unbalanced="0" hidden="1"/>
    <cacheHierarchy uniqueName="[OPEXAnaliza].[Период (Month Index)]" caption="Период (Month Index)" attribute="1" defaultMemberUniqueName="[OPEXAnaliza].[Период (Month Index)].[All]" allUniqueName="[OPEXAnaliza].[Период (Month Index)].[All]" dimensionUniqueName="[OPEXAnaliza]" displayFolder="" count="0" memberValueDatatype="20" unbalanced="0" hidden="1"/>
    <cacheHierarchy uniqueName="[rArtikli_HR_Analiza].[Крајна состојба вработени]" caption="Крајна состојба вработени" attribute="1" defaultMemberUniqueName="[rArtikli_HR_Analiza].[Крајна состојба вработени].[All]" allUniqueName="[rArtikli_HR_Analiza].[Крајна состојба вработени].[All]" dimensionUniqueName="[rArtikli_HR_Analiza]" displayFolder="" count="0" memberValueDatatype="20" unbalanced="0" hidden="1"/>
    <cacheHierarchy uniqueName="[rArtikli_HR_Analiza].[Планиран прилив/(одлив)]" caption="Планиран прилив/(одлив)" attribute="1" defaultMemberUniqueName="[rArtikli_HR_Analiza].[Планиран прилив/(одлив)].[All]" allUniqueName="[rArtikli_HR_Analiza].[Планиран прилив/(одлив)].[All]" dimensionUniqueName="[rArtikli_HR_Analiza]" displayFolder="" count="0" memberValueDatatype="20" unbalanced="0" hidden="1"/>
    <cacheHierarchy uniqueName="[rArtikli_HR_Analiza].[Тип на вработување]" caption="Тип на вработување" attribute="1" defaultMemberUniqueName="[rArtikli_HR_Analiza].[Тип на вработување].[All]" allUniqueName="[rArtikli_HR_Analiza].[Тип на вработување].[All]" dimensionUniqueName="[rArtikli_HR_Analiza]" displayFolder="" count="0" memberValueDatatype="130" unbalanced="0" hidden="1"/>
    <cacheHierarchy uniqueName="[rArtikliAnaliza].[Период (Month Index)]" caption="Период (Month Index)" attribute="1" defaultMemberUniqueName="[rArtikliAnaliza].[Период (Month Index)].[All]" allUniqueName="[rArtikliAnaliza].[Период (Month Index)].[All]" dimensionUniqueName="[rArtikliAnaliza]" displayFolder="" count="0" memberValueDatatype="20" unbalanced="0" hidden="1"/>
    <cacheHierarchy uniqueName="[Measures].[__XL_Count Calendar]" caption="__XL_Count Calendar" measure="1" displayFolder="" measureGroup="Calendar" count="0" hidden="1"/>
    <cacheHierarchy uniqueName="[Measures].[__XL_Count CAPEX]" caption="__XL_Count CAPEX" measure="1" displayFolder="" measureGroup="CAPEX" count="0" hidden="1"/>
    <cacheHierarchy uniqueName="[Measures].[__XL_Count Amortizacija]" caption="__XL_Count Amortizacija" measure="1" displayFolder="" measureGroup="Amortizacija" count="0" hidden="1"/>
    <cacheHierarchy uniqueName="[Measures].[__XL_Count fCoveckiResursi]" caption="__XL_Count fCoveckiResursi" measure="1" displayFolder="" measureGroup="fCoveckiResursi" count="0" hidden="1"/>
    <cacheHierarchy uniqueName="[Measures].[__XL_Count fActualAndBudget]" caption="__XL_Count fActualAndBudget" measure="1" displayFolder="" measureGroup="fActualAndBudget" count="0" hidden="1"/>
    <cacheHierarchy uniqueName="[Measures].[__XL_Count fOPEX]" caption="__XL_Count fOPEX" measure="1" displayFolder="" measureGroup="fOPEX" count="0" hidden="1"/>
    <cacheHierarchy uniqueName="[Measures].[__XL_Count OPEXAnaliza]" caption="__XL_Count OPEXAnaliza" measure="1" displayFolder="" measureGroup="OPEXAnaliza" count="0" hidden="1"/>
    <cacheHierarchy uniqueName="[Measures].[__XL_Count rArtikliAnaliza]" caption="__XL_Count rArtikliAnaliza" measure="1" displayFolder="" measureGroup="rArtikliAnaliza" count="0" hidden="1"/>
    <cacheHierarchy uniqueName="[Measures].[__XL_Count fArtikliCeni]" caption="__XL_Count fArtikliCeni" measure="1" displayFolder="" measureGroup="fArtikliCeni" count="0" hidden="1"/>
    <cacheHierarchy uniqueName="[Measures].[__XL_Count rArtikli_HR_Analiza]" caption="__XL_Count rArtikli_HR_Analiza" measure="1" displayFolder="" measureGroup="rArtikli_HR_Analiza" count="0" hidden="1"/>
    <cacheHierarchy uniqueName="[Measures].[__XL_Count fCoveckiResursi  2]" caption="__XL_Count fCoveckiResursi  2" measure="1" displayFolder="" measureGroup="fCoveckiResursi  2" count="0" hidden="1"/>
    <cacheHierarchy uniqueName="[Measures].[__No measures defined]" caption="__No measures defined" measure="1" displayFolder="" count="0" hidden="1"/>
    <cacheHierarchy uniqueName="[Measures].[Sum of Износ 3]" caption="Sum of Износ 3" measure="1" displayFolder="" measureGroup="fCoveckiResursi" count="0" hidden="1">
      <extLst>
        <ext xmlns:x15="http://schemas.microsoft.com/office/spreadsheetml/2010/11/main" uri="{B97F6D7D-B522-45F9-BDA1-12C45D357490}">
          <x15:cacheHierarchy aggregatedColumn="71"/>
        </ext>
      </extLst>
    </cacheHierarchy>
    <cacheHierarchy uniqueName="[Measures].[Sum of Крајна состојба вработени]" caption="Sum of Крајна состојба вработени" measure="1" displayFolder="" measureGroup="fCoveckiResursi" count="0" hidden="1">
      <extLst>
        <ext xmlns:x15="http://schemas.microsoft.com/office/spreadsheetml/2010/11/main" uri="{B97F6D7D-B522-45F9-BDA1-12C45D357490}">
          <x15:cacheHierarchy aggregatedColumn="70"/>
        </ext>
      </extLst>
    </cacheHierarchy>
    <cacheHierarchy uniqueName="[Measures].[Sum of Планиран прилив/(одлив)]" caption="Sum of Планиран прилив/(одлив)" measure="1" displayFolder="" measureGroup="fCoveckiResursi" count="0" hidden="1">
      <extLst>
        <ext xmlns:x15="http://schemas.microsoft.com/office/spreadsheetml/2010/11/main" uri="{B97F6D7D-B522-45F9-BDA1-12C45D357490}">
          <x15:cacheHierarchy aggregatedColumn="68"/>
        </ext>
      </extLst>
    </cacheHierarchy>
    <cacheHierarchy uniqueName="[Measures].[Sum of Износ]" caption="Sum of Износ" measure="1" displayFolder="" measureGroup="fActualAndBudget" count="0" oneField="1" hidden="1">
      <fieldsUsage count="1">
        <fieldUsage x="3"/>
      </fieldsUsage>
      <extLst>
        <ext xmlns:x15="http://schemas.microsoft.com/office/spreadsheetml/2010/11/main" uri="{B97F6D7D-B522-45F9-BDA1-12C45D357490}">
          <x15:cacheHierarchy aggregatedColumn="45"/>
        </ext>
      </extLst>
    </cacheHierarchy>
    <cacheHierarchy uniqueName="[Measures].[Sum of Износ (илјади)]" caption="Sum of Износ (илјади)" measure="1" displayFolder="" measureGroup="fActualAndBudget" count="0" hidden="1">
      <extLst>
        <ext xmlns:x15="http://schemas.microsoft.com/office/spreadsheetml/2010/11/main" uri="{B97F6D7D-B522-45F9-BDA1-12C45D357490}">
          <x15:cacheHierarchy aggregatedColumn="46"/>
        </ext>
      </extLst>
    </cacheHierarchy>
    <cacheHierarchy uniqueName="[Measures].[Sum of Износ1]" caption="Sum of Износ1" measure="1" displayFolder="" measureGroup="fActualAndBudget" count="0" hidden="1">
      <extLst>
        <ext xmlns:x15="http://schemas.microsoft.com/office/spreadsheetml/2010/11/main" uri="{B97F6D7D-B522-45F9-BDA1-12C45D357490}">
          <x15:cacheHierarchy aggregatedColumn="34"/>
        </ext>
      </extLst>
    </cacheHierarchy>
    <cacheHierarchy uniqueName="[Measures].[Sum of Износ 2]" caption="Sum of Износ 2" measure="1" displayFolder="" measureGroup="Amortizacija" count="0" hidden="1">
      <extLst>
        <ext xmlns:x15="http://schemas.microsoft.com/office/spreadsheetml/2010/11/main" uri="{B97F6D7D-B522-45F9-BDA1-12C45D357490}">
          <x15:cacheHierarchy aggregatedColumn="3"/>
        </ext>
      </extLst>
    </cacheHierarchy>
    <cacheHierarchy uniqueName="[Measures].[Sum of Износ 4]" caption="Sum of Износ 4" measure="1" displayFolder="" measureGroup="OPEXAnaliza" count="0" hidden="1">
      <extLst>
        <ext xmlns:x15="http://schemas.microsoft.com/office/spreadsheetml/2010/11/main" uri="{B97F6D7D-B522-45F9-BDA1-12C45D357490}">
          <x15:cacheHierarchy aggregatedColumn="101"/>
        </ext>
      </extLst>
    </cacheHierarchy>
    <cacheHierarchy uniqueName="[Measures].[Sum of Износ донација]" caption="Sum of Износ донација" measure="1" displayFolder="" measureGroup="CAPEX" count="0" hidden="1">
      <extLst>
        <ext xmlns:x15="http://schemas.microsoft.com/office/spreadsheetml/2010/11/main" uri="{B97F6D7D-B522-45F9-BDA1-12C45D357490}">
          <x15:cacheHierarchy aggregatedColumn="24"/>
        </ext>
      </extLst>
    </cacheHierarchy>
    <cacheHierarchy uniqueName="[Measures].[Sum of Вкупно трошок]" caption="Sum of Вкупно трошок" measure="1" displayFolder="" measureGroup="fArtikliCeni" count="0" hidden="1">
      <extLst>
        <ext xmlns:x15="http://schemas.microsoft.com/office/spreadsheetml/2010/11/main" uri="{B97F6D7D-B522-45F9-BDA1-12C45D357490}">
          <x15:cacheHierarchy aggregatedColumn="55"/>
        </ext>
      </extLst>
    </cacheHierarchy>
    <cacheHierarchy uniqueName="[Measures].[Sum of Количина]" caption="Sum of Количина" measure="1" displayFolder="" measureGroup="fArtikliCeni" count="0" hidden="1">
      <extLst>
        <ext xmlns:x15="http://schemas.microsoft.com/office/spreadsheetml/2010/11/main" uri="{B97F6D7D-B522-45F9-BDA1-12C45D357490}">
          <x15:cacheHierarchy aggregatedColumn="53"/>
        </ext>
      </extLst>
    </cacheHierarchy>
    <cacheHierarchy uniqueName="[Measures].[Sum of Единечна цена]" caption="Sum of Единечна цена" measure="1" displayFolder="" measureGroup="fArtikliCeni" count="0" hidden="1">
      <extLst>
        <ext xmlns:x15="http://schemas.microsoft.com/office/spreadsheetml/2010/11/main" uri="{B97F6D7D-B522-45F9-BDA1-12C45D357490}">
          <x15:cacheHierarchy aggregatedColumn="54"/>
        </ext>
      </extLst>
    </cacheHierarchy>
    <cacheHierarchy uniqueName="[Measures].[Sum of ДДВ]" caption="Sum of ДДВ" measure="1" displayFolder="" measureGroup="fArtikliCeni" count="0" hidden="1">
      <extLst>
        <ext xmlns:x15="http://schemas.microsoft.com/office/spreadsheetml/2010/11/main" uri="{B97F6D7D-B522-45F9-BDA1-12C45D357490}">
          <x15:cacheHierarchy aggregatedColumn="56"/>
        </ext>
      </extLst>
    </cacheHierarchy>
    <cacheHierarchy uniqueName="[Measures].[Sum of Износ 6]" caption="Sum of Износ 6" measure="1" displayFolder="" measureGroup="fArtikliCeni" count="0" hidden="1">
      <extLst>
        <ext xmlns:x15="http://schemas.microsoft.com/office/spreadsheetml/2010/11/main" uri="{B97F6D7D-B522-45F9-BDA1-12C45D357490}">
          <x15:cacheHierarchy aggregatedColumn="57"/>
        </ext>
      </extLst>
    </cacheHierarchy>
    <cacheHierarchy uniqueName="[Measures].[Count of Единечна мерка]" caption="Count of Единечна мерка" measure="1" displayFolder="" measureGroup="fArtikliCeni" count="0" hidden="1">
      <extLst>
        <ext xmlns:x15="http://schemas.microsoft.com/office/spreadsheetml/2010/11/main" uri="{B97F6D7D-B522-45F9-BDA1-12C45D357490}">
          <x15:cacheHierarchy aggregatedColumn="52"/>
        </ext>
      </extLst>
    </cacheHierarchy>
    <cacheHierarchy uniqueName="[Measures].[Sum of Количина 2]" caption="Sum of Количина 2" measure="1" displayFolder="" measureGroup="rArtikli_HR_Analiza" count="0" hidden="1">
      <extLst>
        <ext xmlns:x15="http://schemas.microsoft.com/office/spreadsheetml/2010/11/main" uri="{B97F6D7D-B522-45F9-BDA1-12C45D357490}">
          <x15:cacheHierarchy aggregatedColumn="118"/>
        </ext>
      </extLst>
    </cacheHierarchy>
    <cacheHierarchy uniqueName="[Measures].[Sum of Единечна цена 2]" caption="Sum of Единечна цена 2" measure="1" displayFolder="" measureGroup="rArtikli_HR_Analiza" count="0" hidden="1">
      <extLst>
        <ext xmlns:x15="http://schemas.microsoft.com/office/spreadsheetml/2010/11/main" uri="{B97F6D7D-B522-45F9-BDA1-12C45D357490}">
          <x15:cacheHierarchy aggregatedColumn="119"/>
        </ext>
      </extLst>
    </cacheHierarchy>
    <cacheHierarchy uniqueName="[Measures].[Sum of Вкупно трошок 2]" caption="Sum of Вкупно трошок 2" measure="1" displayFolder="" measureGroup="rArtikli_HR_Analiza" count="0" hidden="1">
      <extLst>
        <ext xmlns:x15="http://schemas.microsoft.com/office/spreadsheetml/2010/11/main" uri="{B97F6D7D-B522-45F9-BDA1-12C45D357490}">
          <x15:cacheHierarchy aggregatedColumn="120"/>
        </ext>
      </extLst>
    </cacheHierarchy>
    <cacheHierarchy uniqueName="[Measures].[Sum of ДДВ 2]" caption="Sum of ДДВ 2" measure="1" displayFolder="" measureGroup="rArtikli_HR_Analiza" count="0" hidden="1">
      <extLst>
        <ext xmlns:x15="http://schemas.microsoft.com/office/spreadsheetml/2010/11/main" uri="{B97F6D7D-B522-45F9-BDA1-12C45D357490}">
          <x15:cacheHierarchy aggregatedColumn="121"/>
        </ext>
      </extLst>
    </cacheHierarchy>
    <cacheHierarchy uniqueName="[Measures].[Sum of Износ 7]" caption="Sum of Износ 7" measure="1" displayFolder="" measureGroup="rArtikli_HR_Analiza" count="0" hidden="1">
      <extLst>
        <ext xmlns:x15="http://schemas.microsoft.com/office/spreadsheetml/2010/11/main" uri="{B97F6D7D-B522-45F9-BDA1-12C45D357490}">
          <x15:cacheHierarchy aggregatedColumn="122"/>
        </ext>
      </extLst>
    </cacheHierarchy>
    <cacheHierarchy uniqueName="[Measures].[Sum of Износ 5]" caption="Sum of Износ 5" measure="1" displayFolder="" measureGroup="fCoveckiResursi  2" count="0" hidden="1">
      <extLst>
        <ext xmlns:x15="http://schemas.microsoft.com/office/spreadsheetml/2010/11/main" uri="{B97F6D7D-B522-45F9-BDA1-12C45D357490}">
          <x15:cacheHierarchy aggregatedColumn="82"/>
        </ext>
      </extLst>
    </cacheHierarchy>
    <cacheHierarchy uniqueName="[Measures].[Sum of Проценета вредност на набавка со ДДВ (денари)]" caption="Sum of Проценета вредност на набавка со ДДВ (денари)" measure="1" displayFolder="" measureGroup="CAPEX" count="0" hidden="1">
      <extLst>
        <ext xmlns:x15="http://schemas.microsoft.com/office/spreadsheetml/2010/11/main" uri="{B97F6D7D-B522-45F9-BDA1-12C45D357490}">
          <x15:cacheHierarchy aggregatedColumn="20"/>
        </ext>
      </extLst>
    </cacheHierarchy>
  </cacheHierarchies>
  <kpis count="0"/>
  <dimensions count="12">
    <dimension name="Amortizacija" uniqueName="[Amortizacija]" caption="Amortizacija"/>
    <dimension name="Calendar" uniqueName="[Calendar]" caption="Calendar"/>
    <dimension name="CAPEX" uniqueName="[CAPEX]" caption="CAPEX"/>
    <dimension name="fActualAndBudget" uniqueName="[fActualAndBudget]" caption="fActualAndBudget"/>
    <dimension name="fArtikliCeni" uniqueName="[fArtikliCeni]" caption="fArtikliCeni"/>
    <dimension name="fCoveckiResursi" uniqueName="[fCoveckiResursi]" caption="fCoveckiResursi"/>
    <dimension name="fCoveckiResursi  2" uniqueName="[fCoveckiResursi  2]" caption="fCoveckiResursi  2"/>
    <dimension name="fOPEX" uniqueName="[fOPEX]" caption="fOPEX"/>
    <dimension measure="1" name="Measures" uniqueName="[Measures]" caption="Measures"/>
    <dimension name="OPEXAnaliza" uniqueName="[OPEXAnaliza]" caption="OPEXAnaliza"/>
    <dimension name="rArtikli_HR_Analiza" uniqueName="[rArtikli_HR_Analiza]" caption="rArtikli_HR_Analiza"/>
    <dimension name="rArtikliAnaliza" uniqueName="[rArtikliAnaliza]" caption="rArtikliAnaliza"/>
  </dimensions>
  <measureGroups count="11">
    <measureGroup name="Amortizacija" caption="Amortizacija"/>
    <measureGroup name="Calendar" caption="Calendar"/>
    <measureGroup name="CAPEX" caption="CAPEX"/>
    <measureGroup name="fActualAndBudget" caption="fActualAndBudget"/>
    <measureGroup name="fArtikliCeni" caption="fArtikliCeni"/>
    <measureGroup name="fCoveckiResursi" caption="fCoveckiResursi"/>
    <measureGroup name="fCoveckiResursi  2" caption="fCoveckiResursi  2"/>
    <measureGroup name="fOPEX" caption="fOPEX"/>
    <measureGroup name="OPEXAnaliza" caption="OPEXAnaliza"/>
    <measureGroup name="rArtikli_HR_Analiza" caption="rArtikli_HR_Analiza"/>
    <measureGroup name="rArtikliAnaliza" caption="rArtikliAnaliza"/>
  </measureGroups>
  <maps count="19">
    <map measureGroup="0" dimension="0"/>
    <map measureGroup="0" dimension="1"/>
    <map measureGroup="1" dimension="1"/>
    <map measureGroup="2" dimension="1"/>
    <map measureGroup="2" dimension="2"/>
    <map measureGroup="3" dimension="1"/>
    <map measureGroup="3" dimension="3"/>
    <map measureGroup="4" dimension="4"/>
    <map measureGroup="5" dimension="1"/>
    <map measureGroup="5" dimension="5"/>
    <map measureGroup="6" dimension="1"/>
    <map measureGroup="6" dimension="6"/>
    <map measureGroup="7" dimension="1"/>
    <map measureGroup="7" dimension="7"/>
    <map measureGroup="8" dimension="1"/>
    <map measureGroup="8" dimension="9"/>
    <map measureGroup="9" dimension="10"/>
    <map measureGroup="10" dimension="1"/>
    <map measureGroup="10" dimension="1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ngela Sazdova - Doneva" refreshedDate="44899.978529166663" createdVersion="5" refreshedVersion="6" minRefreshableVersion="3" recordCount="0" supportSubquery="1" supportAdvancedDrill="1" xr:uid="{00000000-000A-0000-FFFF-FFFF0F000000}">
  <cacheSource type="external" connectionId="22"/>
  <cacheFields count="7">
    <cacheField name="[CAPEX].[Број на јавна набавка (план)].[Број на јавна набавка (план)]" caption="Број на јавна набавка (план)" numFmtId="0" hierarchy="16" level="1">
      <sharedItems count="28">
        <s v="2019-006"/>
        <s v="2021-010"/>
        <s v="2021-011"/>
        <s v="2021-012"/>
        <s v="2021-013"/>
        <s v="2021-014"/>
        <s v="2021-017"/>
        <s v="2022-002"/>
        <s v="2022-003"/>
        <s v="2022-005"/>
        <s v="2022-006"/>
        <s v="2022-007"/>
        <s v="2022-012"/>
        <s v="2022-013"/>
        <s v="2022-016"/>
        <s v="2023-001"/>
        <s v="2023-002"/>
        <s v="2023-003"/>
        <s v="2023-004"/>
        <s v="2023-005"/>
        <s v="2023-006"/>
        <s v="2023-007"/>
        <s v="2023-009"/>
        <s v="2023-010"/>
        <s v="2023-011"/>
        <s v="2023-012"/>
        <s v="2023-013"/>
        <s v="2023-014"/>
      </sharedItems>
    </cacheField>
    <cacheField name="[CAPEX].[Предмет на договорот за јавна набавка].[Предмет на договорот за јавна набавка]" caption="Предмет на договорот за јавна набавка" numFmtId="0" hierarchy="17" level="1">
      <sharedItems count="30" longText="1">
        <s v="Систем за сметководствена евиденција- напредно електронско решение"/>
        <s v="Софтверско решение за активација на банкарската сметка преку ЕШС"/>
        <s v="Софтверско решение за водење на порамнувања во регистар на годишни сметки за неподнесена завршна сметка - I фаза бизнис анализа и  функционална  спецификација"/>
        <s v="Софтверско решение за водење на порамнувања во регистар на годишни сметки за неподнесена завршна сметка - II фаза техничка спецификација"/>
        <s v="Софтверско решение за водење на порамнувања во регистар на годишни сметки за неподнесена завршна сметка - III фаза испорака на софтверско решение"/>
        <s v="Надградба на Едношалтерскиот систем, заедничката платформа за отпочнување со бизнис, вклучувајќи го системот за размена на податоци со институциите, со нови услуги: интеграција со УЈП и Царинска управа за автоматско добивање на податоци од Потврди за платени даноци и царнски давачки, банките размена на договор и други документи за отворање на сметка) и технолошка надградба на сите постојни сервиси за размена на податоци (со УЈП и банките) - спецификации функционална и бизнис околина"/>
        <s v="Градежно занатски работи во деловниот простор (СИТ) - во тек, ќе се плаќа во 2023"/>
        <s v="Периферна компјутерска опрема проект од 2021"/>
        <s v="Надградба на дистрибутивниот систем, системот за е-потврди и системот за електронско плаќање, со нов модерен интерфејс  согласно дизајнот на новиот портал и можност за динамично формирање на пакети на услуги и можност за нивно користење во определен временски период, со задржување на постојните функционалности, вклучувајќи и нарачка и плаќање на било која услуга, испорака на домашна адреса и нови производи"/>
        <s v="Мрежно каблирање"/>
        <s v="Надградба на Софтверско решение за управување со IT процеси"/>
        <s v="Надградба на софтверско решение за водење на Регистарот на вистински сопственици"/>
        <s v="Софтверско решение за генерирање извештаи"/>
        <s v="Систем за складирање на податоци"/>
        <s v="Возобновување на регистар за залог и лизинг и други побарувања што се евидентираат во ЦР во Регистар на обезбедени трансакции"/>
        <s v="Тековна состојба со додадена вредност - дополнително поле за издедена валидна дозвола за работа или лиценца"/>
        <s v="Надградба и интеграција на Системот за централизирано управување на корисници (ЦМК) со Националниот систем за единствена најава (ССО)"/>
        <s v="Microsoft софтверски лиценци и обуки Износот е даден за една година"/>
        <s v="Системи за мрежна безбедност"/>
        <s v="Серверска инфраструктура"/>
        <s v="Систем за безбедност на електронска пошта"/>
        <s v="Систем за заштита и архивирање на податоци"/>
        <s v="Мрежна опрема за дистрибуција Скопје и Штип"/>
        <s v="Надградба на системот за централизирано управување со корисници и интеграција со дигитална услуга за потврдување на идентитетот на корисниците"/>
        <s v="ЕРТС"/>
        <s v="Надградба на системите за водењето на регистри"/>
        <s v="МЕБЕЛ - РАФТОВИ И ПЛАКАРИ ЗА РК И РРК"/>
        <s v="МЕБЕЛ - КЛИМИ"/>
        <s v="Набавка на софтверско решение за Q-radar за  Vulnerability скенирање (за скенирање на 150 уреди)"/>
        <s v="Регистар на политички изложени лица"/>
      </sharedItems>
    </cacheField>
    <cacheField name="[CAPEX].[Конто Средства].[Конто Средства]" caption="Конто Средства" numFmtId="0" hierarchy="22" level="1">
      <sharedItems containsSemiMixedTypes="0" containsNonDate="0" containsString="0"/>
    </cacheField>
    <cacheField name="[CAPEX].[Очекуван датум на плаќање (Year)].[Очекуван датум на плаќање (Year)]" caption="Очекуван датум на плаќање (Year)" numFmtId="0" hierarchy="25" level="1">
      <sharedItems count="3">
        <s v="2022"/>
        <s v="2023"/>
        <s v="2024"/>
      </sharedItems>
    </cacheField>
    <cacheField name="[CAPEX].[Очекуван датум за ставање во употреба (месец) (Year)].[Очекуван датум за ставање во употреба (месец) (Year)]" caption="Очекуван датум за ставање во употреба (месец) (Year)" numFmtId="0" hierarchy="28" level="1">
      <sharedItems count="3">
        <s v="2023"/>
        <s v="2024"/>
        <s v="2025"/>
      </sharedItems>
    </cacheField>
    <cacheField name="[CAPEX].[Очекуван датум на плаќање (Month)].[Очекуван датум на плаќање (Month)]" caption="Очекуван датум на плаќање (Month)" numFmtId="0" hierarchy="27" level="1">
      <sharedItems count="11">
        <s v="Jan"/>
        <s v="Feb"/>
        <s v="Mar"/>
        <s v="Apr"/>
        <s v="May"/>
        <s v="Jun"/>
        <s v="Aug"/>
        <s v="Sep"/>
        <s v="Oct"/>
        <s v="Nov"/>
        <s v="Dec"/>
      </sharedItems>
    </cacheField>
    <cacheField name="[Calendar].[MMM-YYYY].[MMM-YYYY]" caption="MMM-YYYY" numFmtId="0" hierarchy="11" level="1">
      <sharedItems containsBlank="1" count="121">
        <s v="Jan-2022"/>
        <s v="Jan-2017"/>
        <s v="Jan-2016"/>
        <s v="Jan-2019"/>
        <s v="Jan-2015"/>
        <s v="Jan-2021"/>
        <s v="Jan-2024"/>
        <s v="Jan-2020"/>
        <s v="Jan-2018"/>
        <s v="Jan-2023"/>
        <s v="Feb-2019"/>
        <s v="Feb-2018"/>
        <s v="Feb-2024"/>
        <s v="Feb-2023"/>
        <s v="Feb-2022"/>
        <s v="Feb-2016"/>
        <s v="Feb-2021"/>
        <s v="Feb-2020"/>
        <s v="Feb-2017"/>
        <s v="Feb-2015"/>
        <s v="Mar-2019"/>
        <s v="Mar-2020"/>
        <s v="Mar-2018"/>
        <s v="Mar-2023"/>
        <s v="Mar-2024"/>
        <s v="Mar-2022"/>
        <s v="Mar-2015"/>
        <s v="Mar-2016"/>
        <s v="Mar-2021"/>
        <s v="Mar-2017"/>
        <s v="Apr-2021"/>
        <s v="Apr-2015"/>
        <s v="Apr-2016"/>
        <s v="Apr-2017"/>
        <s v="Apr-2018"/>
        <s v="Apr-2019"/>
        <s v="Apr-2020"/>
        <s v="Apr-2022"/>
        <s v="Apr-2023"/>
        <s v="Apr-2024"/>
        <s v="May-2017"/>
        <s v="May-2020"/>
        <s v="May-2024"/>
        <s v="May-2015"/>
        <s v="May-2021"/>
        <s v="May-2019"/>
        <s v="May-2018"/>
        <s v="May-2023"/>
        <s v="May-2022"/>
        <s v="May-2016"/>
        <s v="Jun-2021"/>
        <s v="Jun-2016"/>
        <s v="Jun-2020"/>
        <s v="Jun-2023"/>
        <s v="Jun-2024"/>
        <s v="Jun-2022"/>
        <s v="Jun-2019"/>
        <s v="Jun-2015"/>
        <s v="Jun-2018"/>
        <s v="Jun-2017"/>
        <s v="Jul-2024"/>
        <s v="Jul-2018"/>
        <s v="Jul-2017"/>
        <s v="Jul-2019"/>
        <s v="Jul-2020"/>
        <s v="Jul-2016"/>
        <s v="Jul-2021"/>
        <s v="Jul-2022"/>
        <s v="Jul-2023"/>
        <s v="Jul-2015"/>
        <s v="Aug-2024"/>
        <s v="Aug-2018"/>
        <s v="Aug-2022"/>
        <s v="Aug-2023"/>
        <s v="Aug-2017"/>
        <s v="Aug-2015"/>
        <s v="Aug-2019"/>
        <s v="Aug-2016"/>
        <s v="Aug-2020"/>
        <s v="Aug-2021"/>
        <s v="Sep-2021"/>
        <s v="Sep-2022"/>
        <s v="Sep-2024"/>
        <s v="Sep-2015"/>
        <s v="Sep-2018"/>
        <s v="Sep-2020"/>
        <s v="Sep-2017"/>
        <s v="Sep-2016"/>
        <s v="Sep-2023"/>
        <s v="Sep-2019"/>
        <s v="Oct-2020"/>
        <s v="Oct-2017"/>
        <s v="Oct-2021"/>
        <s v="Oct-2024"/>
        <s v="Oct-2019"/>
        <s v="Oct-2022"/>
        <s v="Oct-2015"/>
        <s v="Oct-2023"/>
        <s v="Oct-2018"/>
        <s v="Oct-2016"/>
        <s v="Nov-2018"/>
        <s v="Nov-2019"/>
        <s v="Nov-2021"/>
        <s v="Nov-2023"/>
        <s v="Nov-2015"/>
        <s v="Nov-2016"/>
        <s v="Nov-2020"/>
        <s v="Nov-2017"/>
        <s v="Nov-2022"/>
        <s v="Nov-2024"/>
        <s v="Dec-2017"/>
        <s v="Dec-2015"/>
        <s v="Dec-2024"/>
        <s v="Dec-2021"/>
        <s v="Dec-2020"/>
        <s v="Dec-2022"/>
        <s v="Dec-2016"/>
        <s v="Dec-2023"/>
        <s v="Dec-2019"/>
        <s v="Dec-2018"/>
        <m/>
      </sharedItems>
    </cacheField>
  </cacheFields>
  <cacheHierarchies count="195">
    <cacheHierarchy uniqueName="[Amortizacija].[Број на јавна набавка (план)]" caption="Број на јавна набавка (план)" attribute="1" defaultMemberUniqueName="[Amortizacija].[Број на јавна набавка (план)].[All]" allUniqueName="[Amortizacija].[Број на јавна набавка (план)].[All]" dimensionUniqueName="[Amortizacija]" displayFolder="" count="0" memberValueDatatype="130" unbalanced="0"/>
    <cacheHierarchy uniqueName="[Amortizacija].[Ставка]" caption="Ставка" attribute="1" defaultMemberUniqueName="[Amortizacija].[Ставка].[All]" allUniqueName="[Amortizacija].[Ставка].[All]" dimensionUniqueName="[Amortizacija]" displayFolder="" count="0" memberValueDatatype="130" unbalanced="0"/>
    <cacheHierarchy uniqueName="[Amortizacija].[Период]" caption="Период" attribute="1" time="1" defaultMemberUniqueName="[Amortizacija].[Период].[All]" allUniqueName="[Amortizacija].[Период].[All]" dimensionUniqueName="[Amortizacija]" displayFolder="" count="0" memberValueDatatype="7" unbalanced="0"/>
    <cacheHierarchy uniqueName="[Amortizacija].[Износ]" caption="Износ" attribute="1" defaultMemberUniqueName="[Amortizacija].[Износ].[All]" allUniqueName="[Amortizacija].[Износ].[All]" dimensionUniqueName="[Amortizacija]" displayFolder="" count="0" memberValueDatatype="20" unbalanced="0"/>
    <cacheHierarchy uniqueName="[Amortizacija].[Конто]" caption="Конто" attribute="1" defaultMemberUniqueName="[Amortizacija].[Конто].[All]" allUniqueName="[Amortizacija].[Конто].[All]" dimensionUniqueName="[Amortizacija]" displayFolder="" count="0" memberValueDatatype="130" unbalanced="0"/>
    <cacheHierarchy uniqueName="[Amortizacija].[ReportType]" caption="ReportType" attribute="1" defaultMemberUniqueName="[Amortizacija].[ReportType].[All]" allUniqueName="[Amortizacija].[ReportType].[All]" dimensionUniqueName="[Amortizacija]" displayFolder="" count="0" memberValueDatatype="130" unbalanced="0"/>
    <cacheHierarchy uniqueName="[Calendar].[Date]" caption="Date" attribute="1" time="1" keyAttribute="1" defaultMemberUniqueName="[Calendar].[Date].[All]" allUniqueName="[Calendar].[Date].[All]" dimensionUniqueName="[Calendar]" displayFolder="" count="0" memberValueDatatype="7" unbalanced="0"/>
    <cacheHierarchy uniqueName="[Calendar].[Date Hierarchy]" caption="Date Hierarchy" time="1" defaultMemberUniqueName="[Calendar].[Date Hierarchy].[All]" allUniqueName="[Calendar].[Date Hierarchy].[All]" dimensionUniqueName="[Calendar]" displayFolder="" count="0" unbalanced="0"/>
    <cacheHierarchy uniqueName="[Calendar].[Година]" caption="Година" attribute="1" time="1" defaultMemberUniqueName="[Calendar].[Година].[All]" allUniqueName="[Calendar].[Година].[All]" dimensionUniqueName="[Calendar]" displayFolder="" count="0" memberValueDatatype="20" unbalanced="0"/>
    <cacheHierarchy uniqueName="[Calendar].[Month Number]" caption="Month Number" attribute="1" time="1" defaultMemberUniqueName="[Calendar].[Month Number].[All]" allUniqueName="[Calendar].[Month Number].[All]" dimensionUniqueName="[Calendar]" displayFolder="" count="0" memberValueDatatype="20" unbalanced="0"/>
    <cacheHierarchy uniqueName="[Calendar].[Месец]" caption="Месец" attribute="1" time="1" defaultMemberUniqueName="[Calendar].[Месец].[All]" allUniqueName="[Calendar].[Месец].[All]" dimensionUniqueName="[Calendar]" displayFolder="" count="0" memberValueDatatype="130" unbalanced="0"/>
    <cacheHierarchy uniqueName="[Calendar].[MMM-YYYY]" caption="MMM-YYYY" attribute="1" time="1" defaultMemberUniqueName="[Calendar].[MMM-YYYY].[All]" allUniqueName="[Calendar].[MMM-YYYY].[All]" dimensionUniqueName="[Calendar]" displayFolder="" count="2" memberValueDatatype="130" unbalanced="0">
      <fieldsUsage count="2">
        <fieldUsage x="-1"/>
        <fieldUsage x="6"/>
      </fieldsUsage>
    </cacheHierarchy>
    <cacheHierarchy uniqueName="[Calendar].[Day Of Week Number]" caption="Day Of Week Number" attribute="1" time="1" defaultMemberUniqueName="[Calendar].[Day Of Week Number].[All]" allUniqueName="[Calendar].[Day Of Week Number].[All]" dimensionUniqueName="[Calendar]" displayFolder="" count="0" memberValueDatatype="20" unbalanced="0"/>
    <cacheHierarchy uniqueName="[Calendar].[Day Of Week]" caption="Day Of Week" attribute="1" time="1" defaultMemberUniqueName="[Calendar].[Day Of Week].[All]" allUniqueName="[Calendar].[Day Of Week].[All]" dimensionUniqueName="[Calendar]" displayFolder="" count="0" memberValueDatatype="130" unbalanced="0"/>
    <cacheHierarchy uniqueName="[Calendar].[Квартал]" caption="Квартал" attribute="1" time="1" defaultMemberUniqueName="[Calendar].[Квартал].[All]" allUniqueName="[Calendar].[Квартал].[All]" dimensionUniqueName="[Calendar]" displayFolder="" count="0" memberValueDatatype="7" unbalanced="0"/>
    <cacheHierarchy uniqueName="[CAPEX].[Година за реализација на проект]" caption="Година за реализација на проект" attribute="1" defaultMemberUniqueName="[CAPEX].[Година за реализација на проект].[All]" allUniqueName="[CAPEX].[Година за реализација на проект].[All]" dimensionUniqueName="[CAPEX]" displayFolder="" count="0" memberValueDatatype="20" unbalanced="0"/>
    <cacheHierarchy uniqueName="[CAPEX].[Број на јавна набавка (план)]" caption="Број на јавна набавка (план)" attribute="1" defaultMemberUniqueName="[CAPEX].[Број на јавна набавка (план)].[All]" allUniqueName="[CAPEX].[Број на јавна набавка (план)].[All]" dimensionUniqueName="[CAPEX]" displayFolder="" count="2" memberValueDatatype="130" unbalanced="0">
      <fieldsUsage count="2">
        <fieldUsage x="-1"/>
        <fieldUsage x="0"/>
      </fieldsUsage>
    </cacheHierarchy>
    <cacheHierarchy uniqueName="[CAPEX].[Предмет на договорот за јавна набавка]" caption="Предмет на договорот за јавна набавка" attribute="1" defaultMemberUniqueName="[CAPEX].[Предмет на договорот за јавна набавка].[All]" allUniqueName="[CAPEX].[Предмет на договорот за јавна набавка].[All]" dimensionUniqueName="[CAPEX]" displayFolder="" count="2" memberValueDatatype="130" unbalanced="0">
      <fieldsUsage count="2">
        <fieldUsage x="-1"/>
        <fieldUsage x="1"/>
      </fieldsUsage>
    </cacheHierarchy>
    <cacheHierarchy uniqueName="[CAPEX].[Очекуван датум на плаќање]" caption="Очекуван датум на плаќање" attribute="1" time="1" defaultMemberUniqueName="[CAPEX].[Очекуван датум на плаќање].[All]" allUniqueName="[CAPEX].[Очекуван датум на плаќање].[All]" dimensionUniqueName="[CAPEX]" displayFolder="" count="0" memberValueDatatype="7" unbalanced="0"/>
    <cacheHierarchy uniqueName="[CAPEX].[Очекуван датум за ставање во употреба (месец)]" caption="Очекуван датум за ставање во употреба (месец)" attribute="1" time="1" defaultMemberUniqueName="[CAPEX].[Очекуван датум за ставање во употреба (месец)].[All]" allUniqueName="[CAPEX].[Очекуван датум за ставање во употреба (месец)].[All]" dimensionUniqueName="[CAPEX]" displayFolder="" count="0" memberValueDatatype="7" unbalanced="0"/>
    <cacheHierarchy uniqueName="[CAPEX].[Проценета вредност на набавка со ДДВ (денари)]" caption="Проценета вредност на набавка со ДДВ (денари)" attribute="1" defaultMemberUniqueName="[CAPEX].[Проценета вредност на набавка со ДДВ (денари)].[All]" allUniqueName="[CAPEX].[Проценета вредност на набавка со ДДВ (денари)].[All]" dimensionUniqueName="[CAPEX]" displayFolder="" count="0" memberValueDatatype="20" unbalanced="0"/>
    <cacheHierarchy uniqueName="[CAPEX].[Стапка на амортизација]" caption="Стапка на амортизација" attribute="1" defaultMemberUniqueName="[CAPEX].[Стапка на амортизација].[All]" allUniqueName="[CAPEX].[Стапка на амортизација].[All]" dimensionUniqueName="[CAPEX]" displayFolder="" count="0" memberValueDatatype="5" unbalanced="0"/>
    <cacheHierarchy uniqueName="[CAPEX].[Конто Средства]" caption="Конто Средства" attribute="1" defaultMemberUniqueName="[CAPEX].[Конто Средства].[All]" allUniqueName="[CAPEX].[Конто Средства].[All]" dimensionUniqueName="[CAPEX]" displayFolder="" count="2" memberValueDatatype="130" unbalanced="0">
      <fieldsUsage count="2">
        <fieldUsage x="-1"/>
        <fieldUsage x="2"/>
      </fieldsUsage>
    </cacheHierarchy>
    <cacheHierarchy uniqueName="[CAPEX].[Конто Амортизација]" caption="Конто Амортизација" attribute="1" defaultMemberUniqueName="[CAPEX].[Конто Амортизација].[All]" allUniqueName="[CAPEX].[Конто Амортизација].[All]" dimensionUniqueName="[CAPEX]" displayFolder="" count="0" memberValueDatatype="130" unbalanced="0"/>
    <cacheHierarchy uniqueName="[CAPEX].[Износ донација]" caption="Износ донација" attribute="1" defaultMemberUniqueName="[CAPEX].[Износ донација].[All]" allUniqueName="[CAPEX].[Износ донација].[All]" dimensionUniqueName="[CAPEX]" displayFolder="" count="0" memberValueDatatype="20" unbalanced="0"/>
    <cacheHierarchy uniqueName="[CAPEX].[Очекуван датум на плаќање (Year)]" caption="Очекуван датум на плаќање (Year)" attribute="1" defaultMemberUniqueName="[CAPEX].[Очекуван датум на плаќање (Year)].[All]" allUniqueName="[CAPEX].[Очекуван датум на плаќање (Year)].[All]" dimensionUniqueName="[CAPEX]" displayFolder="" count="2" memberValueDatatype="130" unbalanced="0">
      <fieldsUsage count="2">
        <fieldUsage x="-1"/>
        <fieldUsage x="3"/>
      </fieldsUsage>
    </cacheHierarchy>
    <cacheHierarchy uniqueName="[CAPEX].[Очекуван датум на плаќање (Quarter)]" caption="Очекуван датум на плаќање (Quarter)" attribute="1" defaultMemberUniqueName="[CAPEX].[Очекуван датум на плаќање (Quarter)].[All]" allUniqueName="[CAPEX].[Очекуван датум на плаќање (Quarter)].[All]" dimensionUniqueName="[CAPEX]" displayFolder="" count="0" memberValueDatatype="130" unbalanced="0"/>
    <cacheHierarchy uniqueName="[CAPEX].[Очекуван датум на плаќање (Month)]" caption="Очекуван датум на плаќање (Month)" attribute="1" defaultMemberUniqueName="[CAPEX].[Очекуван датум на плаќање (Month)].[All]" allUniqueName="[CAPEX].[Очекуван датум на плаќање (Month)].[All]" dimensionUniqueName="[CAPEX]" displayFolder="" count="2" memberValueDatatype="130" unbalanced="0">
      <fieldsUsage count="2">
        <fieldUsage x="-1"/>
        <fieldUsage x="5"/>
      </fieldsUsage>
    </cacheHierarchy>
    <cacheHierarchy uniqueName="[CAPEX].[Очекуван датум за ставање во употреба (месец) (Year)]" caption="Очекуван датум за ставање во употреба (месец) (Year)" attribute="1" defaultMemberUniqueName="[CAPEX].[Очекуван датум за ставање во употреба (месец) (Year)].[All]" allUniqueName="[CAPEX].[Очекуван датум за ставање во употреба (месец) (Year)].[All]" dimensionUniqueName="[CAPEX]" displayFolder="" count="2" memberValueDatatype="130" unbalanced="0">
      <fieldsUsage count="2">
        <fieldUsage x="-1"/>
        <fieldUsage x="4"/>
      </fieldsUsage>
    </cacheHierarchy>
    <cacheHierarchy uniqueName="[CAPEX].[Очекуван датум за ставање во употреба (месец) (Quarter)]" caption="Очекуван датум за ставање во употреба (месец) (Quarter)" attribute="1" defaultMemberUniqueName="[CAPEX].[Очекуван датум за ставање во употреба (месец) (Quarter)].[All]" allUniqueName="[CAPEX].[Очекуван датум за ставање во употреба (месец) (Quarter)].[All]" dimensionUniqueName="[CAPEX]" displayFolder="" count="0" memberValueDatatype="130" unbalanced="0"/>
    <cacheHierarchy uniqueName="[CAPEX].[Очекуван датум за ставање во употреба (месец) (Month)]" caption="Очекуван датум за ставање во употреба (месец) (Month)" attribute="1" defaultMemberUniqueName="[CAPEX].[Очекуван датум за ставање во употреба (месец) (Month)].[All]" allUniqueName="[CAPEX].[Очекуван датум за ставање во употреба (месец) (Month)].[All]" dimensionUniqueName="[CAPEX]" displayFolder="" count="0" memberValueDatatype="130" unbalanced="0"/>
    <cacheHierarchy uniqueName="[fActualAndBudget].[Конто]" caption="Конто" attribute="1" defaultMemberUniqueName="[fActualAndBudget].[Конто].[All]" allUniqueName="[fActualAndBudget].[Конто].[All]" dimensionUniqueName="[fActualAndBudget]" displayFolder="" count="0" memberValueDatatype="130" unbalanced="0"/>
    <cacheHierarchy uniqueName="[fActualAndBudget].[Назив на конто]" caption="Назив на конто" attribute="1" defaultMemberUniqueName="[fActualAndBudget].[Назив на конто].[All]" allUniqueName="[fActualAndBudget].[Назив на конто].[All]" dimensionUniqueName="[fActualAndBudget]" displayFolder="" count="0" memberValueDatatype="130" unbalanced="0"/>
    <cacheHierarchy uniqueName="[fActualAndBudget].[Период]" caption="Период" attribute="1" time="1" defaultMemberUniqueName="[fActualAndBudget].[Период].[All]" allUniqueName="[fActualAndBudget].[Период].[All]" dimensionUniqueName="[fActualAndBudget]" displayFolder="" count="0" memberValueDatatype="7" unbalanced="0"/>
    <cacheHierarchy uniqueName="[fActualAndBudget].[Износ1]" caption="Износ1" attribute="1" defaultMemberUniqueName="[fActualAndBudget].[Износ1].[All]" allUniqueName="[fActualAndBudget].[Износ1].[All]" dimensionUniqueName="[fActualAndBudget]" displayFolder="" count="0" memberValueDatatype="20" unbalanced="0"/>
    <cacheHierarchy uniqueName="[fActualAndBudget].[ReportType]" caption="ReportType" attribute="1" defaultMemberUniqueName="[fActualAndBudget].[ReportType].[All]" allUniqueName="[fActualAndBudget].[ReportType].[All]" dimensionUniqueName="[fActualAndBudget]" displayFolder="" count="0" memberValueDatatype="130" unbalanced="0"/>
    <cacheHierarchy uniqueName="[fActualAndBudget].[Ставка]" caption="Ставка" attribute="1" defaultMemberUniqueName="[fActualAndBudget].[Ставка].[All]" allUniqueName="[fActualAndBudget].[Ставка].[All]" dimensionUniqueName="[fActualAndBudget]" displayFolder="" count="0" memberValueDatatype="130" unbalanced="0"/>
    <cacheHierarchy uniqueName="[fActualAndBudget].[Број на јавна набавка (план)]" caption="Број на јавна набавка (план)" attribute="1" defaultMemberUniqueName="[fActualAndBudget].[Број на јавна набавка (план)].[All]" allUniqueName="[fActualAndBudget].[Број на јавна набавка (план)].[All]" dimensionUniqueName="[fActualAndBudget]" displayFolder="" count="0" memberValueDatatype="130" unbalanced="0"/>
    <cacheHierarchy uniqueName="[fActualAndBudget].[StavkaImeMK]" caption="StavkaImeMK" attribute="1" defaultMemberUniqueName="[fActualAndBudget].[StavkaImeMK].[All]" allUniqueName="[fActualAndBudget].[StavkaImeMK].[All]" dimensionUniqueName="[fActualAndBudget]" displayFolder="" count="0" memberValueDatatype="130" unbalanced="0"/>
    <cacheHierarchy uniqueName="[fActualAndBudget].[StavkaGrupa]" caption="StavkaGrupa" attribute="1" defaultMemberUniqueName="[fActualAndBudget].[StavkaGrupa].[All]" allUniqueName="[fActualAndBudget].[StavkaGrupa].[All]" dimensionUniqueName="[fActualAndBudget]" displayFolder="" count="0" memberValueDatatype="130" unbalanced="0"/>
    <cacheHierarchy uniqueName="[fActualAndBudget].[StavkaKategorija]" caption="StavkaKategorija" attribute="1" defaultMemberUniqueName="[fActualAndBudget].[StavkaKategorija].[All]" allUniqueName="[fActualAndBudget].[StavkaKategorija].[All]" dimensionUniqueName="[fActualAndBudget]" displayFolder="" count="0" memberValueDatatype="130" unbalanced="0"/>
    <cacheHierarchy uniqueName="[fActualAndBudget].[ZnakIzvestaj]" caption="ZnakIzvestaj" attribute="1" defaultMemberUniqueName="[fActualAndBudget].[ZnakIzvestaj].[All]" allUniqueName="[fActualAndBudget].[ZnakIzvestaj].[All]" dimensionUniqueName="[fActualAndBudget]" displayFolder="" count="0" memberValueDatatype="20" unbalanced="0"/>
    <cacheHierarchy uniqueName="[fActualAndBudget].[ObrazecID]" caption="ObrazecID" attribute="1" defaultMemberUniqueName="[fActualAndBudget].[ObrazecID].[All]" allUniqueName="[fActualAndBudget].[ObrazecID].[All]" dimensionUniqueName="[fActualAndBudget]" displayFolder="" count="0" memberValueDatatype="20" unbalanced="0"/>
    <cacheHierarchy uniqueName="[fActualAndBudget].[StavkaAOP]" caption="StavkaAOP" attribute="1" defaultMemberUniqueName="[fActualAndBudget].[StavkaAOP].[All]" allUniqueName="[fActualAndBudget].[StavkaAOP].[All]" dimensionUniqueName="[fActualAndBudget]" displayFolder="" count="0" memberValueDatatype="130" unbalanced="0"/>
    <cacheHierarchy uniqueName="[fActualAndBudget].[ObrazecIme]" caption="ObrazecIme" attribute="1" defaultMemberUniqueName="[fActualAndBudget].[ObrazecIme].[All]" allUniqueName="[fActualAndBudget].[ObrazecIme].[All]" dimensionUniqueName="[fActualAndBudget]" displayFolder="" count="0" memberValueDatatype="130" unbalanced="0"/>
    <cacheHierarchy uniqueName="[fActualAndBudget].[Износ]" caption="Износ" attribute="1" defaultMemberUniqueName="[fActualAndBudget].[Износ].[All]" allUniqueName="[fActualAndBudget].[Износ].[All]" dimensionUniqueName="[fActualAndBudget]" displayFolder="" count="0" memberValueDatatype="20" unbalanced="0"/>
    <cacheHierarchy uniqueName="[fActualAndBudget].[Износ (илјади)]" caption="Износ (илјади)" attribute="1" defaultMemberUniqueName="[fActualAndBudget].[Износ (илјади)].[All]" allUniqueName="[fActualAndBudget].[Износ (илјади)].[All]" dimensionUniqueName="[fActualAndBudget]" displayFolder="" count="0" memberValueDatatype="5" unbalanced="0"/>
    <cacheHierarchy uniqueName="[fActualAndBudget].[StavkaImeAOP]" caption="StavkaImeAOP" attribute="1" defaultMemberUniqueName="[fActualAndBudget].[StavkaImeAOP].[All]" allUniqueName="[fActualAndBudget].[StavkaImeAOP].[All]" dimensionUniqueName="[fActualAndBudget]" displayFolder="" count="0" memberValueDatatype="130" unbalanced="0"/>
    <cacheHierarchy uniqueName="[fActualAndBudget].[Конто Ставка]" caption="Конто Ставка" attribute="1" defaultMemberUniqueName="[fActualAndBudget].[Конто Ставка].[All]" allUniqueName="[fActualAndBudget].[Конто Ставка].[All]" dimensionUniqueName="[fActualAndBudget]" displayFolder="" count="0" memberValueDatatype="130" unbalanced="0"/>
    <cacheHierarchy uniqueName="[fArtikliCeni].[Ставка]" caption="Ставка" attribute="1" defaultMemberUniqueName="[fArtikliCeni].[Ставка].[All]" allUniqueName="[fArtikliCeni].[Ставка].[All]" dimensionUniqueName="[fArtikliCeni]" displayFolder="" count="0" memberValueDatatype="130" unbalanced="0"/>
    <cacheHierarchy uniqueName="[fArtikliCeni].[Категорија Артикл]" caption="Категорија Артикл" attribute="1" defaultMemberUniqueName="[fArtikliCeni].[Категорија Артикл].[All]" allUniqueName="[fArtikliCeni].[Категорија Артикл].[All]" dimensionUniqueName="[fArtikliCeni]" displayFolder="" count="0" memberValueDatatype="130" unbalanced="0"/>
    <cacheHierarchy uniqueName="[fArtikliCeni].[Тип на артикл]" caption="Тип на артикл" attribute="1" defaultMemberUniqueName="[fArtikliCeni].[Тип на артикл].[All]" allUniqueName="[fArtikliCeni].[Тип на артикл].[All]" dimensionUniqueName="[fArtikliCeni]" displayFolder="" count="0" memberValueDatatype="130" unbalanced="0"/>
    <cacheHierarchy uniqueName="[fArtikliCeni].[Единечна мерка]" caption="Единечна мерка" attribute="1" defaultMemberUniqueName="[fArtikliCeni].[Единечна мерка].[All]" allUniqueName="[fArtikliCeni].[Единечна мерка].[All]" dimensionUniqueName="[fArtikliCeni]" displayFolder="" count="0" memberValueDatatype="130" unbalanced="0"/>
    <cacheHierarchy uniqueName="[fArtikliCeni].[Количина]" caption="Количина" attribute="1" defaultMemberUniqueName="[fArtikliCeni].[Количина].[All]" allUniqueName="[fArtikliCeni].[Количина].[All]" dimensionUniqueName="[fArtikliCeni]" displayFolder="" count="0" memberValueDatatype="5" unbalanced="0"/>
    <cacheHierarchy uniqueName="[fArtikliCeni].[Единечна цена]" caption="Единечна цена" attribute="1" defaultMemberUniqueName="[fArtikliCeni].[Единечна цена].[All]" allUniqueName="[fArtikliCeni].[Единечна цена].[All]" dimensionUniqueName="[fArtikliCeni]" displayFolder="" count="0" memberValueDatatype="20" unbalanced="0"/>
    <cacheHierarchy uniqueName="[fArtikliCeni].[Вкупно трошок]" caption="Вкупно трошок" attribute="1" defaultMemberUniqueName="[fArtikliCeni].[Вкупно трошок].[All]" allUniqueName="[fArtikliCeni].[Вкупно трошок].[All]" dimensionUniqueName="[fArtikliCeni]" displayFolder="" count="0" memberValueDatatype="5" unbalanced="0"/>
    <cacheHierarchy uniqueName="[fArtikliCeni].[ДДВ]" caption="ДДВ" attribute="1" defaultMemberUniqueName="[fArtikliCeni].[ДДВ].[All]" allUniqueName="[fArtikliCeni].[ДДВ].[All]" dimensionUniqueName="[fArtikliCeni]" displayFolder="" count="0" memberValueDatatype="5" unbalanced="0"/>
    <cacheHierarchy uniqueName="[fArtikliCeni].[Износ]" caption="Износ" attribute="1" defaultMemberUniqueName="[fArtikliCeni].[Износ].[All]" allUniqueName="[fArtikliCeni].[Износ].[All]" dimensionUniqueName="[fArtikliCeni]" displayFolder="" count="0" memberValueDatatype="5" unbalanced="0"/>
    <cacheHierarchy uniqueName="[fArtikliCeni].[Конто]" caption="Конто" attribute="1" defaultMemberUniqueName="[fArtikliCeni].[Конто].[All]" allUniqueName="[fArtikliCeni].[Конто].[All]" dimensionUniqueName="[fArtikliCeni]" displayFolder="" count="0" memberValueDatatype="130" unbalanced="0"/>
    <cacheHierarchy uniqueName="[fArtikliCeni].[ReportType]" caption="ReportType" attribute="1" defaultMemberUniqueName="[fArtikliCeni].[ReportType].[All]" allUniqueName="[fArtikliCeni].[ReportType].[All]" dimensionUniqueName="[fArtikliCeni]" displayFolder="" count="0" memberValueDatatype="130" unbalanced="0"/>
    <cacheHierarchy uniqueName="[fArtikliCeni].[Период]" caption="Период" attribute="1" time="1" defaultMemberUniqueName="[fArtikliCeni].[Период].[All]" allUniqueName="[fArtikliCeni].[Период].[All]" dimensionUniqueName="[fArtikliCeni]" displayFolder="" count="0" memberValueDatatype="7" unbalanced="0"/>
    <cacheHierarchy uniqueName="[fArtikliCeni].[StavkaImeMK]" caption="StavkaImeMK" attribute="1" defaultMemberUniqueName="[fArtikliCeni].[StavkaImeMK].[All]" allUniqueName="[fArtikliCeni].[StavkaImeMK].[All]" dimensionUniqueName="[fArtikliCeni]" displayFolder="" count="0" memberValueDatatype="130" unbalanced="0"/>
    <cacheHierarchy uniqueName="[fArtikliCeni].[StavkaAOP]" caption="StavkaAOP" attribute="1" defaultMemberUniqueName="[fArtikliCeni].[StavkaAOP].[All]" allUniqueName="[fArtikliCeni].[StavkaAOP].[All]" dimensionUniqueName="[fArtikliCeni]" displayFolder="" count="0" memberValueDatatype="130" unbalanced="0"/>
    <cacheHierarchy uniqueName="[fArtikliCeni].[StavkaGrupa]" caption="StavkaGrupa" attribute="1" defaultMemberUniqueName="[fArtikliCeni].[StavkaGrupa].[All]" allUniqueName="[fArtikliCeni].[StavkaGrupa].[All]" dimensionUniqueName="[fArtikliCeni]" displayFolder="" count="0" memberValueDatatype="130" unbalanced="0"/>
    <cacheHierarchy uniqueName="[fArtikliCeni].[StavkaKategorija]" caption="StavkaKategorija" attribute="1" defaultMemberUniqueName="[fArtikliCeni].[StavkaKategorija].[All]" allUniqueName="[fArtikliCeni].[StavkaKategorija].[All]" dimensionUniqueName="[fArtikliCeni]" displayFolder="" count="0" memberValueDatatype="130" unbalanced="0"/>
    <cacheHierarchy uniqueName="[fArtikliCeni].[ObrazecIme]" caption="ObrazecIme" attribute="1" defaultMemberUniqueName="[fArtikliCeni].[ObrazecIme].[All]" allUniqueName="[fArtikliCeni].[ObrazecIme].[All]" dimensionUniqueName="[fArtikliCeni]" displayFolder="" count="0" memberValueDatatype="130" unbalanced="0"/>
    <cacheHierarchy uniqueName="[fCoveckiResursi].[Ставка]" caption="Ставка" attribute="1" defaultMemberUniqueName="[fCoveckiResursi].[Ставка].[All]" allUniqueName="[fCoveckiResursi].[Ставка].[All]" dimensionUniqueName="[fCoveckiResursi]" displayFolder="" count="0" memberValueDatatype="130" unbalanced="0"/>
    <cacheHierarchy uniqueName="[fCoveckiResursi].[Тип на вработување]" caption="Тип на вработување" attribute="1" defaultMemberUniqueName="[fCoveckiResursi].[Тип на вработување].[All]" allUniqueName="[fCoveckiResursi].[Тип на вработување].[All]" dimensionUniqueName="[fCoveckiResursi]" displayFolder="" count="0" memberValueDatatype="130" unbalanced="0"/>
    <cacheHierarchy uniqueName="[fCoveckiResursi].[Планиран прилив/(одлив)]" caption="Планиран прилив/(одлив)" attribute="1" defaultMemberUniqueName="[fCoveckiResursi].[Планиран прилив/(одлив)].[All]" allUniqueName="[fCoveckiResursi].[Планиран прилив/(одлив)].[All]" dimensionUniqueName="[fCoveckiResursi]" displayFolder="" count="0" memberValueDatatype="20" unbalanced="0"/>
    <cacheHierarchy uniqueName="[fCoveckiResursi].[Период]" caption="Период" attribute="1" time="1" defaultMemberUniqueName="[fCoveckiResursi].[Период].[All]" allUniqueName="[fCoveckiResursi].[Период].[All]" dimensionUniqueName="[fCoveckiResursi]" displayFolder="" count="0" memberValueDatatype="7" unbalanced="0"/>
    <cacheHierarchy uniqueName="[fCoveckiResursi].[Крајна состојба вработени]" caption="Крајна состојба вработени" attribute="1" defaultMemberUniqueName="[fCoveckiResursi].[Крајна состојба вработени].[All]" allUniqueName="[fCoveckiResursi].[Крајна состојба вработени].[All]" dimensionUniqueName="[fCoveckiResursi]" displayFolder="" count="0" memberValueDatatype="20" unbalanced="0"/>
    <cacheHierarchy uniqueName="[fCoveckiResursi].[Износ]" caption="Износ" attribute="1" defaultMemberUniqueName="[fCoveckiResursi].[Износ].[All]" allUniqueName="[fCoveckiResursi].[Износ].[All]" dimensionUniqueName="[fCoveckiResursi]" displayFolder="" count="0" memberValueDatatype="20" unbalanced="0"/>
    <cacheHierarchy uniqueName="[fCoveckiResursi].[Конто]" caption="Конто" attribute="1" defaultMemberUniqueName="[fCoveckiResursi].[Конто].[All]" allUniqueName="[fCoveckiResursi].[Конто].[All]" dimensionUniqueName="[fCoveckiResursi]" displayFolder="" count="0" memberValueDatatype="130" unbalanced="0"/>
    <cacheHierarchy uniqueName="[fCoveckiResursi].[ReportType]" caption="ReportType" attribute="1" defaultMemberUniqueName="[fCoveckiResursi].[ReportType].[All]" allUniqueName="[fCoveckiResursi].[ReportType].[All]" dimensionUniqueName="[fCoveckiResursi]" displayFolder="" count="0" memberValueDatatype="130" unbalanced="0"/>
    <cacheHierarchy uniqueName="[fCoveckiResursi].[Период (Year)]" caption="Период (Year)" attribute="1" defaultMemberUniqueName="[fCoveckiResursi].[Период (Year)].[All]" allUniqueName="[fCoveckiResursi].[Период (Year)].[All]" dimensionUniqueName="[fCoveckiResursi]" displayFolder="" count="0" memberValueDatatype="130" unbalanced="0"/>
    <cacheHierarchy uniqueName="[fCoveckiResursi].[Период (Quarter)]" caption="Период (Quarter)" attribute="1" defaultMemberUniqueName="[fCoveckiResursi].[Период (Quarter)].[All]" allUniqueName="[fCoveckiResursi].[Период (Quarter)].[All]" dimensionUniqueName="[fCoveckiResursi]" displayFolder="" count="0" memberValueDatatype="130" unbalanced="0"/>
    <cacheHierarchy uniqueName="[fCoveckiResursi].[Период (Month)]" caption="Период (Month)" attribute="1" defaultMemberUniqueName="[fCoveckiResursi].[Период (Month)].[All]" allUniqueName="[fCoveckiResursi].[Период (Month)].[All]" dimensionUniqueName="[fCoveckiResursi]" displayFolder="" count="0" memberValueDatatype="130" unbalanced="0"/>
    <cacheHierarchy uniqueName="[fCoveckiResursi].[Период (Year) 1]" caption="Период (Year) 1" attribute="1" defaultMemberUniqueName="[fCoveckiResursi].[Период (Year) 1].[All]" allUniqueName="[fCoveckiResursi].[Период (Year) 1].[All]" dimensionUniqueName="[fCoveckiResursi]" displayFolder="" count="0" memberValueDatatype="130" unbalanced="0"/>
    <cacheHierarchy uniqueName="[fCoveckiResursi].[Период (Quarter) 1]" caption="Период (Quarter) 1" attribute="1" defaultMemberUniqueName="[fCoveckiResursi].[Период (Quarter) 1].[All]" allUniqueName="[fCoveckiResursi].[Период (Quarter) 1].[All]" dimensionUniqueName="[fCoveckiResursi]" displayFolder="" count="0" memberValueDatatype="130" unbalanced="0"/>
    <cacheHierarchy uniqueName="[fCoveckiResursi].[Период (Month) 1]" caption="Период (Month) 1" attribute="1" defaultMemberUniqueName="[fCoveckiResursi].[Период (Month) 1].[All]" allUniqueName="[fCoveckiResursi].[Период (Month) 1].[All]" dimensionUniqueName="[fCoveckiResursi]" displayFolder="" count="0" memberValueDatatype="130" unbalanced="0"/>
    <cacheHierarchy uniqueName="[fCoveckiResursi  2].[Ставка]" caption="Ставка" attribute="1" defaultMemberUniqueName="[fCoveckiResursi  2].[Ставка].[All]" allUniqueName="[fCoveckiResursi  2].[Ставка].[All]" dimensionUniqueName="[fCoveckiResursi  2]" displayFolder="" count="0" memberValueDatatype="130" unbalanced="0"/>
    <cacheHierarchy uniqueName="[fCoveckiResursi  2].[Период]" caption="Период" attribute="1" time="1" defaultMemberUniqueName="[fCoveckiResursi  2].[Период].[All]" allUniqueName="[fCoveckiResursi  2].[Период].[All]" dimensionUniqueName="[fCoveckiResursi  2]" displayFolder="" count="0" memberValueDatatype="7" unbalanced="0"/>
    <cacheHierarchy uniqueName="[fCoveckiResursi  2].[Износ]" caption="Износ" attribute="1" defaultMemberUniqueName="[fCoveckiResursi  2].[Износ].[All]" allUniqueName="[fCoveckiResursi  2].[Износ].[All]" dimensionUniqueName="[fCoveckiResursi  2]" displayFolder="" count="0" memberValueDatatype="20" unbalanced="0"/>
    <cacheHierarchy uniqueName="[fCoveckiResursi  2].[Конто]" caption="Конто" attribute="1" defaultMemberUniqueName="[fCoveckiResursi  2].[Конто].[All]" allUniqueName="[fCoveckiResursi  2].[Конто].[All]" dimensionUniqueName="[fCoveckiResursi  2]" displayFolder="" count="0" memberValueDatatype="130" unbalanced="0"/>
    <cacheHierarchy uniqueName="[fCoveckiResursi  2].[ReportType]" caption="ReportType" attribute="1" defaultMemberUniqueName="[fCoveckiResursi  2].[ReportType].[All]" allUniqueName="[fCoveckiResursi  2].[ReportType].[All]" dimensionUniqueName="[fCoveckiResursi  2]" displayFolder="" count="0" memberValueDatatype="130" unbalanced="0"/>
    <cacheHierarchy uniqueName="[fCoveckiResursi  2].[StavkaImeMK]" caption="StavkaImeMK" attribute="1" defaultMemberUniqueName="[fCoveckiResursi  2].[StavkaImeMK].[All]" allUniqueName="[fCoveckiResursi  2].[StavkaImeMK].[All]" dimensionUniqueName="[fCoveckiResursi  2]" displayFolder="" count="0" memberValueDatatype="130" unbalanced="0"/>
    <cacheHierarchy uniqueName="[fCoveckiResursi  2].[StavkaKategorija]" caption="StavkaKategorija" attribute="1" defaultMemberUniqueName="[fCoveckiResursi  2].[StavkaKategorija].[All]" allUniqueName="[fCoveckiResursi  2].[StavkaKategorija].[All]" dimensionUniqueName="[fCoveckiResursi  2]" displayFolder="" count="0" memberValueDatatype="130" unbalanced="0"/>
    <cacheHierarchy uniqueName="[fCoveckiResursi  2].[ObrazecIme]" caption="ObrazecIme" attribute="1" defaultMemberUniqueName="[fCoveckiResursi  2].[ObrazecIme].[All]" allUniqueName="[fCoveckiResursi  2].[ObrazecIme].[All]" dimensionUniqueName="[fCoveckiResursi  2]" displayFolder="" count="0" memberValueDatatype="130" unbalanced="0"/>
    <cacheHierarchy uniqueName="[fOPEX].[Конто]" caption="Конто" attribute="1" defaultMemberUniqueName="[fOPEX].[Конто].[All]" allUniqueName="[fOPEX].[Конто].[All]" dimensionUniqueName="[fOPEX]" displayFolder="" count="0" memberValueDatatype="130" unbalanced="0"/>
    <cacheHierarchy uniqueName="[fOPEX].[Ставка]" caption="Ставка" attribute="1" defaultMemberUniqueName="[fOPEX].[Ставка].[All]" allUniqueName="[fOPEX].[Ставка].[All]" dimensionUniqueName="[fOPEX]" displayFolder="" count="0" memberValueDatatype="130" unbalanced="0"/>
    <cacheHierarchy uniqueName="[fOPEX].[Период]" caption="Период" attribute="1" time="1" defaultMemberUniqueName="[fOPEX].[Период].[All]" allUniqueName="[fOPEX].[Период].[All]" dimensionUniqueName="[fOPEX]" displayFolder="" count="0" memberValueDatatype="7" unbalanced="0"/>
    <cacheHierarchy uniqueName="[fOPEX].[Износ]" caption="Износ" attribute="1" defaultMemberUniqueName="[fOPEX].[Износ].[All]" allUniqueName="[fOPEX].[Износ].[All]" dimensionUniqueName="[fOPEX]" displayFolder="" count="0" memberValueDatatype="20" unbalanced="0"/>
    <cacheHierarchy uniqueName="[fOPEX].[ReportType]" caption="ReportType" attribute="1" defaultMemberUniqueName="[fOPEX].[ReportType].[All]" allUniqueName="[fOPEX].[ReportType].[All]" dimensionUniqueName="[fOPEX]" displayFolder="" count="0" memberValueDatatype="130" unbalanced="0"/>
    <cacheHierarchy uniqueName="[OPEXAnaliza].[Артикл ИД]" caption="Артикл ИД" attribute="1" defaultMemberUniqueName="[OPEXAnaliza].[Артикл ИД].[All]" allUniqueName="[OPEXAnaliza].[Артикл ИД].[All]" dimensionUniqueName="[OPEXAnaliza]" displayFolder="" count="0" memberValueDatatype="20" unbalanced="0"/>
    <cacheHierarchy uniqueName="[OPEXAnaliza].[Ставка]" caption="Ставка" attribute="1" defaultMemberUniqueName="[OPEXAnaliza].[Ставка].[All]" allUniqueName="[OPEXAnaliza].[Ставка].[All]" dimensionUniqueName="[OPEXAnaliza]" displayFolder="" count="0" memberValueDatatype="130" unbalanced="0"/>
    <cacheHierarchy uniqueName="[OPEXAnaliza].[Категорија Артикл ИД]" caption="Категорија Артикл ИД" attribute="1" defaultMemberUniqueName="[OPEXAnaliza].[Категорија Артикл ИД].[All]" allUniqueName="[OPEXAnaliza].[Категорија Артикл ИД].[All]" dimensionUniqueName="[OPEXAnaliza]" displayFolder="" count="0" memberValueDatatype="20" unbalanced="0"/>
    <cacheHierarchy uniqueName="[OPEXAnaliza].[Категорија Артикл]" caption="Категорија Артикл" attribute="1" defaultMemberUniqueName="[OPEXAnaliza].[Категорија Артикл].[All]" allUniqueName="[OPEXAnaliza].[Категорија Артикл].[All]" dimensionUniqueName="[OPEXAnaliza]" displayFolder="" count="0" memberValueDatatype="130" unbalanced="0"/>
    <cacheHierarchy uniqueName="[OPEXAnaliza].[Тип на артикл]" caption="Тип на артикл" attribute="1" defaultMemberUniqueName="[OPEXAnaliza].[Тип на артикл].[All]" allUniqueName="[OPEXAnaliza].[Тип на артикл].[All]" dimensionUniqueName="[OPEXAnaliza]" displayFolder="" count="0" memberValueDatatype="130" unbalanced="0"/>
    <cacheHierarchy uniqueName="[OPEXAnaliza].[Единечна мерка]" caption="Единечна мерка" attribute="1" defaultMemberUniqueName="[OPEXAnaliza].[Единечна мерка].[All]" allUniqueName="[OPEXAnaliza].[Единечна мерка].[All]" dimensionUniqueName="[OPEXAnaliza]" displayFolder="" count="0" memberValueDatatype="130" unbalanced="0"/>
    <cacheHierarchy uniqueName="[OPEXAnaliza].[Количина]" caption="Количина" attribute="1" defaultMemberUniqueName="[OPEXAnaliza].[Количина].[All]" allUniqueName="[OPEXAnaliza].[Количина].[All]" dimensionUniqueName="[OPEXAnaliza]" displayFolder="" count="0" memberValueDatatype="5" unbalanced="0"/>
    <cacheHierarchy uniqueName="[OPEXAnaliza].[Единечна цена]" caption="Единечна цена" attribute="1" defaultMemberUniqueName="[OPEXAnaliza].[Единечна цена].[All]" allUniqueName="[OPEXAnaliza].[Единечна цена].[All]" dimensionUniqueName="[OPEXAnaliza]" displayFolder="" count="0" memberValueDatatype="20" unbalanced="0"/>
    <cacheHierarchy uniqueName="[OPEXAnaliza].[Износ]" caption="Износ" attribute="1" defaultMemberUniqueName="[OPEXAnaliza].[Износ].[All]" allUniqueName="[OPEXAnaliza].[Износ].[All]" dimensionUniqueName="[OPEXAnaliza]" displayFolder="" count="0" memberValueDatatype="5" unbalanced="0"/>
    <cacheHierarchy uniqueName="[OPEXAnaliza].[ДДВ]" caption="ДДВ" attribute="1" defaultMemberUniqueName="[OPEXAnaliza].[ДДВ].[All]" allUniqueName="[OPEXAnaliza].[ДДВ].[All]" dimensionUniqueName="[OPEXAnaliza]" displayFolder="" count="0" memberValueDatatype="5" unbalanced="0"/>
    <cacheHierarchy uniqueName="[OPEXAnaliza].[Вкупно трошок со ДДВ]" caption="Вкупно трошок со ДДВ" attribute="1" defaultMemberUniqueName="[OPEXAnaliza].[Вкупно трошок со ДДВ].[All]" allUniqueName="[OPEXAnaliza].[Вкупно трошок со ДДВ].[All]" dimensionUniqueName="[OPEXAnaliza]" displayFolder="" count="0" memberValueDatatype="5" unbalanced="0"/>
    <cacheHierarchy uniqueName="[OPEXAnaliza].[Конто]" caption="Конто" attribute="1" defaultMemberUniqueName="[OPEXAnaliza].[Конто].[All]" allUniqueName="[OPEXAnaliza].[Конто].[All]" dimensionUniqueName="[OPEXAnaliza]" displayFolder="" count="0" memberValueDatatype="130" unbalanced="0"/>
    <cacheHierarchy uniqueName="[OPEXAnaliza].[Период]" caption="Период" attribute="1" time="1" defaultMemberUniqueName="[OPEXAnaliza].[Период].[All]" allUniqueName="[OPEXAnaliza].[Период].[All]" dimensionUniqueName="[OPEXAnaliza]" displayFolder="" count="0" memberValueDatatype="7" unbalanced="0"/>
    <cacheHierarchy uniqueName="[OPEXAnaliza].[ReportType]" caption="ReportType" attribute="1" defaultMemberUniqueName="[OPEXAnaliza].[ReportType].[All]" allUniqueName="[OPEXAnaliza].[ReportType].[All]" dimensionUniqueName="[OPEXAnaliza]" displayFolder="" count="0" memberValueDatatype="130" unbalanced="0"/>
    <cacheHierarchy uniqueName="[OPEXAnaliza].[StavkaImeMK]" caption="StavkaImeMK" attribute="1" defaultMemberUniqueName="[OPEXAnaliza].[StavkaImeMK].[All]" allUniqueName="[OPEXAnaliza].[StavkaImeMK].[All]" dimensionUniqueName="[OPEXAnaliza]" displayFolder="" count="0" memberValueDatatype="130" unbalanced="0"/>
    <cacheHierarchy uniqueName="[OPEXAnaliza].[StavkaKategorija]" caption="StavkaKategorija" attribute="1" defaultMemberUniqueName="[OPEXAnaliza].[StavkaKategorija].[All]" allUniqueName="[OPEXAnaliza].[StavkaKategorija].[All]" dimensionUniqueName="[OPEXAnaliza]" displayFolder="" count="0" memberValueDatatype="130" unbalanced="0"/>
    <cacheHierarchy uniqueName="[OPEXAnaliza].[ObrazecIme]" caption="ObrazecIme" attribute="1" defaultMemberUniqueName="[OPEXAnaliza].[ObrazecIme].[All]" allUniqueName="[OPEXAnaliza].[ObrazecIme].[All]" dimensionUniqueName="[OPEXAnaliza]" displayFolder="" count="0" memberValueDatatype="130" unbalanced="0"/>
    <cacheHierarchy uniqueName="[OPEXAnaliza].[StavkaImeAOP]" caption="StavkaImeAOP" attribute="1" defaultMemberUniqueName="[OPEXAnaliza].[StavkaImeAOP].[All]" allUniqueName="[OPEXAnaliza].[StavkaImeAOP].[All]" dimensionUniqueName="[OPEXAnaliza]" displayFolder="" count="0" memberValueDatatype="20" unbalanced="0"/>
    <cacheHierarchy uniqueName="[OPEXAnaliza].[Период (Year)]" caption="Период (Year)" attribute="1" defaultMemberUniqueName="[OPEXAnaliza].[Период (Year)].[All]" allUniqueName="[OPEXAnaliza].[Период (Year)].[All]" dimensionUniqueName="[OPEXAnaliza]" displayFolder="" count="0" memberValueDatatype="130" unbalanced="0"/>
    <cacheHierarchy uniqueName="[OPEXAnaliza].[Период (Quarter)]" caption="Период (Quarter)" attribute="1" defaultMemberUniqueName="[OPEXAnaliza].[Период (Quarter)].[All]" allUniqueName="[OPEXAnaliza].[Период (Quarter)].[All]" dimensionUniqueName="[OPEXAnaliza]" displayFolder="" count="0" memberValueDatatype="130" unbalanced="0"/>
    <cacheHierarchy uniqueName="[OPEXAnaliza].[Период (Month)]" caption="Период (Month)" attribute="1" defaultMemberUniqueName="[OPEXAnaliza].[Период (Month)].[All]" allUniqueName="[OPEXAnaliza].[Период (Month)].[All]" dimensionUniqueName="[OPEXAnaliza]" displayFolder="" count="0" memberValueDatatype="130" unbalanced="0"/>
    <cacheHierarchy uniqueName="[rArtikli_HR_Analiza].[Ставка]" caption="Ставка" attribute="1" defaultMemberUniqueName="[rArtikli_HR_Analiza].[Ставка].[All]" allUniqueName="[rArtikli_HR_Analiza].[Ставка].[All]" dimensionUniqueName="[rArtikli_HR_Analiza]" displayFolder="" count="0" memberValueDatatype="130" unbalanced="0"/>
    <cacheHierarchy uniqueName="[rArtikli_HR_Analiza].[Категорија Артикл]" caption="Категорија Артикл" attribute="1" defaultMemberUniqueName="[rArtikli_HR_Analiza].[Категорија Артикл].[All]" allUniqueName="[rArtikli_HR_Analiza].[Категорија Артикл].[All]" dimensionUniqueName="[rArtikli_HR_Analiza]" displayFolder="" count="0" memberValueDatatype="130" unbalanced="0"/>
    <cacheHierarchy uniqueName="[rArtikli_HR_Analiza].[Тип на артикл]" caption="Тип на артикл" attribute="1" defaultMemberUniqueName="[rArtikli_HR_Analiza].[Тип на артикл].[All]" allUniqueName="[rArtikli_HR_Analiza].[Тип на артикл].[All]" dimensionUniqueName="[rArtikli_HR_Analiza]" displayFolder="" count="0" memberValueDatatype="130" unbalanced="0"/>
    <cacheHierarchy uniqueName="[rArtikli_HR_Analiza].[Единечна мерка]" caption="Единечна мерка" attribute="1" defaultMemberUniqueName="[rArtikli_HR_Analiza].[Единечна мерка].[All]" allUniqueName="[rArtikli_HR_Analiza].[Единечна мерка].[All]" dimensionUniqueName="[rArtikli_HR_Analiza]" displayFolder="" count="0" memberValueDatatype="130" unbalanced="0"/>
    <cacheHierarchy uniqueName="[rArtikli_HR_Analiza].[Количина]" caption="Количина" attribute="1" defaultMemberUniqueName="[rArtikli_HR_Analiza].[Количина].[All]" allUniqueName="[rArtikli_HR_Analiza].[Количина].[All]" dimensionUniqueName="[rArtikli_HR_Analiza]" displayFolder="" count="0" memberValueDatatype="5" unbalanced="0"/>
    <cacheHierarchy uniqueName="[rArtikli_HR_Analiza].[Единечна цена]" caption="Единечна цена" attribute="1" defaultMemberUniqueName="[rArtikli_HR_Analiza].[Единечна цена].[All]" allUniqueName="[rArtikli_HR_Analiza].[Единечна цена].[All]" dimensionUniqueName="[rArtikli_HR_Analiza]" displayFolder="" count="0" memberValueDatatype="20" unbalanced="0"/>
    <cacheHierarchy uniqueName="[rArtikli_HR_Analiza].[Вкупно трошок]" caption="Вкупно трошок" attribute="1" defaultMemberUniqueName="[rArtikli_HR_Analiza].[Вкупно трошок].[All]" allUniqueName="[rArtikli_HR_Analiza].[Вкупно трошок].[All]" dimensionUniqueName="[rArtikli_HR_Analiza]" displayFolder="" count="0" memberValueDatatype="5" unbalanced="0"/>
    <cacheHierarchy uniqueName="[rArtikli_HR_Analiza].[ДДВ]" caption="ДДВ" attribute="1" defaultMemberUniqueName="[rArtikli_HR_Analiza].[ДДВ].[All]" allUniqueName="[rArtikli_HR_Analiza].[ДДВ].[All]" dimensionUniqueName="[rArtikli_HR_Analiza]" displayFolder="" count="0" memberValueDatatype="5" unbalanced="0"/>
    <cacheHierarchy uniqueName="[rArtikli_HR_Analiza].[Износ]" caption="Износ" attribute="1" defaultMemberUniqueName="[rArtikli_HR_Analiza].[Износ].[All]" allUniqueName="[rArtikli_HR_Analiza].[Износ].[All]" dimensionUniqueName="[rArtikli_HR_Analiza]" displayFolder="" count="0" memberValueDatatype="5" unbalanced="0"/>
    <cacheHierarchy uniqueName="[rArtikli_HR_Analiza].[Конто]" caption="Конто" attribute="1" defaultMemberUniqueName="[rArtikli_HR_Analiza].[Конто].[All]" allUniqueName="[rArtikli_HR_Analiza].[Конто].[All]" dimensionUniqueName="[rArtikli_HR_Analiza]" displayFolder="" count="0" memberValueDatatype="130" unbalanced="0"/>
    <cacheHierarchy uniqueName="[rArtikli_HR_Analiza].[ReportType]" caption="ReportType" attribute="1" defaultMemberUniqueName="[rArtikli_HR_Analiza].[ReportType].[All]" allUniqueName="[rArtikli_HR_Analiza].[ReportType].[All]" dimensionUniqueName="[rArtikli_HR_Analiza]" displayFolder="" count="0" memberValueDatatype="130" unbalanced="0"/>
    <cacheHierarchy uniqueName="[rArtikli_HR_Analiza].[Период]" caption="Период" attribute="1" time="1" defaultMemberUniqueName="[rArtikli_HR_Analiza].[Период].[All]" allUniqueName="[rArtikli_HR_Analiza].[Период].[All]" dimensionUniqueName="[rArtikli_HR_Analiza]" displayFolder="" count="0" memberValueDatatype="7" unbalanced="0"/>
    <cacheHierarchy uniqueName="[rArtikli_HR_Analiza].[StavkaImeMK]" caption="StavkaImeMK" attribute="1" defaultMemberUniqueName="[rArtikli_HR_Analiza].[StavkaImeMK].[All]" allUniqueName="[rArtikli_HR_Analiza].[StavkaImeMK].[All]" dimensionUniqueName="[rArtikli_HR_Analiza]" displayFolder="" count="0" memberValueDatatype="130" unbalanced="0"/>
    <cacheHierarchy uniqueName="[rArtikli_HR_Analiza].[StavkaAOP]" caption="StavkaAOP" attribute="1" defaultMemberUniqueName="[rArtikli_HR_Analiza].[StavkaAOP].[All]" allUniqueName="[rArtikli_HR_Analiza].[StavkaAOP].[All]" dimensionUniqueName="[rArtikli_HR_Analiza]" displayFolder="" count="0" memberValueDatatype="130" unbalanced="0"/>
    <cacheHierarchy uniqueName="[rArtikli_HR_Analiza].[StavkaGrupa]" caption="StavkaGrupa" attribute="1" defaultMemberUniqueName="[rArtikli_HR_Analiza].[StavkaGrupa].[All]" allUniqueName="[rArtikli_HR_Analiza].[StavkaGrupa].[All]" dimensionUniqueName="[rArtikli_HR_Analiza]" displayFolder="" count="0" memberValueDatatype="130" unbalanced="0"/>
    <cacheHierarchy uniqueName="[rArtikli_HR_Analiza].[StavkaKategorija]" caption="StavkaKategorija" attribute="1" defaultMemberUniqueName="[rArtikli_HR_Analiza].[StavkaKategorija].[All]" allUniqueName="[rArtikli_HR_Analiza].[StavkaKategorija].[All]" dimensionUniqueName="[rArtikli_HR_Analiza]" displayFolder="" count="0" memberValueDatatype="130" unbalanced="0"/>
    <cacheHierarchy uniqueName="[rArtikli_HR_Analiza].[ObrazecIme]" caption="ObrazecIme" attribute="1" defaultMemberUniqueName="[rArtikli_HR_Analiza].[ObrazecIme].[All]" allUniqueName="[rArtikli_HR_Analiza].[ObrazecIme].[All]" dimensionUniqueName="[rArtikli_HR_Analiza]" displayFolder="" count="0" memberValueDatatype="130" unbalanced="0"/>
    <cacheHierarchy uniqueName="[rArtikli_HR_Analiza].[StavkaKategorija.1]" caption="StavkaKategorija.1" attribute="1" defaultMemberUniqueName="[rArtikli_HR_Analiza].[StavkaKategorija.1].[All]" allUniqueName="[rArtikli_HR_Analiza].[StavkaKategorija.1].[All]" dimensionUniqueName="[rArtikli_HR_Analiza]" displayFolder="" count="0" memberValueDatatype="130" unbalanced="0"/>
    <cacheHierarchy uniqueName="[rArtikliAnaliza].[Артикл ИД]" caption="Артикл ИД" attribute="1" defaultMemberUniqueName="[rArtikliAnaliza].[Артикл ИД].[All]" allUniqueName="[rArtikliAnaliza].[Артикл ИД].[All]" dimensionUniqueName="[rArtikliAnaliza]" displayFolder="" count="0" memberValueDatatype="20" unbalanced="0"/>
    <cacheHierarchy uniqueName="[rArtikliAnaliza].[Ставка]" caption="Ставка" attribute="1" defaultMemberUniqueName="[rArtikliAnaliza].[Ставка].[All]" allUniqueName="[rArtikliAnaliza].[Ставка].[All]" dimensionUniqueName="[rArtikliAnaliza]" displayFolder="" count="0" memberValueDatatype="130" unbalanced="0"/>
    <cacheHierarchy uniqueName="[rArtikliAnaliza].[Категорија Артикл ИД]" caption="Категорија Артикл ИД" attribute="1" defaultMemberUniqueName="[rArtikliAnaliza].[Категорија Артикл ИД].[All]" allUniqueName="[rArtikliAnaliza].[Категорија Артикл ИД].[All]" dimensionUniqueName="[rArtikliAnaliza]" displayFolder="" count="0" memberValueDatatype="20" unbalanced="0"/>
    <cacheHierarchy uniqueName="[rArtikliAnaliza].[Категорија Артикл]" caption="Категорија Артикл" attribute="1" defaultMemberUniqueName="[rArtikliAnaliza].[Категорија Артикл].[All]" allUniqueName="[rArtikliAnaliza].[Категорија Артикл].[All]" dimensionUniqueName="[rArtikliAnaliza]" displayFolder="" count="0" memberValueDatatype="130" unbalanced="0"/>
    <cacheHierarchy uniqueName="[rArtikliAnaliza].[Тип на артикл]" caption="Тип на артикл" attribute="1" defaultMemberUniqueName="[rArtikliAnaliza].[Тип на артикл].[All]" allUniqueName="[rArtikliAnaliza].[Тип на артикл].[All]" dimensionUniqueName="[rArtikliAnaliza]" displayFolder="" count="0" memberValueDatatype="130" unbalanced="0"/>
    <cacheHierarchy uniqueName="[rArtikliAnaliza].[Единечна мерка]" caption="Единечна мерка" attribute="1" defaultMemberUniqueName="[rArtikliAnaliza].[Единечна мерка].[All]" allUniqueName="[rArtikliAnaliza].[Единечна мерка].[All]" dimensionUniqueName="[rArtikliAnaliza]" displayFolder="" count="0" memberValueDatatype="130" unbalanced="0"/>
    <cacheHierarchy uniqueName="[rArtikliAnaliza].[Количина]" caption="Количина" attribute="1" defaultMemberUniqueName="[rArtikliAnaliza].[Количина].[All]" allUniqueName="[rArtikliAnaliza].[Количина].[All]" dimensionUniqueName="[rArtikliAnaliza]" displayFolder="" count="0" memberValueDatatype="5" unbalanced="0"/>
    <cacheHierarchy uniqueName="[rArtikliAnaliza].[Единечна цена]" caption="Единечна цена" attribute="1" defaultMemberUniqueName="[rArtikliAnaliza].[Единечна цена].[All]" allUniqueName="[rArtikliAnaliza].[Единечна цена].[All]" dimensionUniqueName="[rArtikliAnaliza]" displayFolder="" count="0" memberValueDatatype="20" unbalanced="0"/>
    <cacheHierarchy uniqueName="[rArtikliAnaliza].[Износ]" caption="Износ" attribute="1" defaultMemberUniqueName="[rArtikliAnaliza].[Износ].[All]" allUniqueName="[rArtikliAnaliza].[Износ].[All]" dimensionUniqueName="[rArtikliAnaliza]" displayFolder="" count="0" memberValueDatatype="5" unbalanced="0"/>
    <cacheHierarchy uniqueName="[rArtikliAnaliza].[ДДВ]" caption="ДДВ" attribute="1" defaultMemberUniqueName="[rArtikliAnaliza].[ДДВ].[All]" allUniqueName="[rArtikliAnaliza].[ДДВ].[All]" dimensionUniqueName="[rArtikliAnaliza]" displayFolder="" count="0" memberValueDatatype="5" unbalanced="0"/>
    <cacheHierarchy uniqueName="[rArtikliAnaliza].[Вкупно трошок со ДДВ]" caption="Вкупно трошок со ДДВ" attribute="1" defaultMemberUniqueName="[rArtikliAnaliza].[Вкупно трошок со ДДВ].[All]" allUniqueName="[rArtikliAnaliza].[Вкупно трошок со ДДВ].[All]" dimensionUniqueName="[rArtikliAnaliza]" displayFolder="" count="0" memberValueDatatype="5" unbalanced="0"/>
    <cacheHierarchy uniqueName="[rArtikliAnaliza].[Конто]" caption="Конто" attribute="1" defaultMemberUniqueName="[rArtikliAnaliza].[Конто].[All]" allUniqueName="[rArtikliAnaliza].[Конто].[All]" dimensionUniqueName="[rArtikliAnaliza]" displayFolder="" count="0" memberValueDatatype="130" unbalanced="0"/>
    <cacheHierarchy uniqueName="[rArtikliAnaliza].[Период]" caption="Период" attribute="1" time="1" defaultMemberUniqueName="[rArtikliAnaliza].[Период].[All]" allUniqueName="[rArtikliAnaliza].[Период].[All]" dimensionUniqueName="[rArtikliAnaliza]" displayFolder="" count="0" memberValueDatatype="7" unbalanced="0"/>
    <cacheHierarchy uniqueName="[rArtikliAnaliza].[ReportType]" caption="ReportType" attribute="1" defaultMemberUniqueName="[rArtikliAnaliza].[ReportType].[All]" allUniqueName="[rArtikliAnaliza].[ReportType].[All]" dimensionUniqueName="[rArtikliAnaliza]" displayFolder="" count="0" memberValueDatatype="130" unbalanced="0"/>
    <cacheHierarchy uniqueName="[rArtikliAnaliza].[StavkaImeMK]" caption="StavkaImeMK" attribute="1" defaultMemberUniqueName="[rArtikliAnaliza].[StavkaImeMK].[All]" allUniqueName="[rArtikliAnaliza].[StavkaImeMK].[All]" dimensionUniqueName="[rArtikliAnaliza]" displayFolder="" count="0" memberValueDatatype="130" unbalanced="0"/>
    <cacheHierarchy uniqueName="[rArtikliAnaliza].[StavkaKategorija]" caption="StavkaKategorija" attribute="1" defaultMemberUniqueName="[rArtikliAnaliza].[StavkaKategorija].[All]" allUniqueName="[rArtikliAnaliza].[StavkaKategorija].[All]" dimensionUniqueName="[rArtikliAnaliza]" displayFolder="" count="0" memberValueDatatype="130" unbalanced="0"/>
    <cacheHierarchy uniqueName="[rArtikliAnaliza].[Период (Year)]" caption="Период (Year)" attribute="1" defaultMemberUniqueName="[rArtikliAnaliza].[Период (Year)].[All]" allUniqueName="[rArtikliAnaliza].[Период (Year)].[All]" dimensionUniqueName="[rArtikliAnaliza]" displayFolder="" count="0" memberValueDatatype="130" unbalanced="0"/>
    <cacheHierarchy uniqueName="[rArtikliAnaliza].[Период (Quarter)]" caption="Период (Quarter)" attribute="1" defaultMemberUniqueName="[rArtikliAnaliza].[Период (Quarter)].[All]" allUniqueName="[rArtikliAnaliza].[Период (Quarter)].[All]" dimensionUniqueName="[rArtikliAnaliza]" displayFolder="" count="0" memberValueDatatype="130" unbalanced="0"/>
    <cacheHierarchy uniqueName="[rArtikliAnaliza].[Период (Month)]" caption="Период (Month)" attribute="1" defaultMemberUniqueName="[rArtikliAnaliza].[Период (Month)].[All]" allUniqueName="[rArtikliAnaliza].[Период (Month)].[All]" dimensionUniqueName="[rArtikliAnaliza]" displayFolder="" count="0" memberValueDatatype="130" unbalanced="0"/>
    <cacheHierarchy uniqueName="[CAPEX].[Очекуван датум за ставање во употреба (месец) (Month Index)]" caption="Очекуван датум за ставање во употреба (месец) (Month Index)" attribute="1" defaultMemberUniqueName="[CAPEX].[Очекуван датум за ставање во употреба (месец) (Month Index)].[All]" allUniqueName="[CAPEX].[Очекуван датум за ставање во употреба (месец) (Month Index)].[All]" dimensionUniqueName="[CAPEX]" displayFolder="" count="0" memberValueDatatype="20" unbalanced="0" hidden="1"/>
    <cacheHierarchy uniqueName="[CAPEX].[Очекуван датум на плаќање (Month Index)]" caption="Очекуван датум на плаќање (Month Index)" attribute="1" defaultMemberUniqueName="[CAPEX].[Очекуван датум на плаќање (Month Index)].[All]" allUniqueName="[CAPEX].[Очекуван датум на плаќање (Month Index)].[All]" dimensionUniqueName="[CAPEX]" displayFolder="" count="0" memberValueDatatype="20" unbalanced="0" hidden="1"/>
    <cacheHierarchy uniqueName="[fActualAndBudget].[StavkaID]" caption="StavkaID" attribute="1" defaultMemberUniqueName="[fActualAndBudget].[StavkaID].[All]" allUniqueName="[fActualAndBudget].[StavkaID].[All]" dimensionUniqueName="[fActualAndBudget]" displayFolder="" count="0" memberValueDatatype="20" unbalanced="0" hidden="1"/>
    <cacheHierarchy uniqueName="[fCoveckiResursi].[Период (Month Index)]" caption="Период (Month Index)" attribute="1" defaultMemberUniqueName="[fCoveckiResursi].[Период (Month Index)].[All]" allUniqueName="[fCoveckiResursi].[Период (Month Index)].[All]" dimensionUniqueName="[fCoveckiResursi]" displayFolder="" count="0" memberValueDatatype="20" unbalanced="0" hidden="1"/>
    <cacheHierarchy uniqueName="[fCoveckiResursi].[Период (Month Index) 1]" caption="Период (Month Index) 1" attribute="1" defaultMemberUniqueName="[fCoveckiResursi].[Период (Month Index) 1].[All]" allUniqueName="[fCoveckiResursi].[Период (Month Index) 1].[All]" dimensionUniqueName="[fCoveckiResursi]" displayFolder="" count="0" memberValueDatatype="20" unbalanced="0" hidden="1"/>
    <cacheHierarchy uniqueName="[OPEXAnaliza].[Период (Month Index)]" caption="Период (Month Index)" attribute="1" defaultMemberUniqueName="[OPEXAnaliza].[Период (Month Index)].[All]" allUniqueName="[OPEXAnaliza].[Период (Month Index)].[All]" dimensionUniqueName="[OPEXAnaliza]" displayFolder="" count="0" memberValueDatatype="20" unbalanced="0" hidden="1"/>
    <cacheHierarchy uniqueName="[rArtikli_HR_Analiza].[Крајна состојба вработени]" caption="Крајна состојба вработени" attribute="1" defaultMemberUniqueName="[rArtikli_HR_Analiza].[Крајна состојба вработени].[All]" allUniqueName="[rArtikli_HR_Analiza].[Крајна состојба вработени].[All]" dimensionUniqueName="[rArtikli_HR_Analiza]" displayFolder="" count="0" memberValueDatatype="20" unbalanced="0" hidden="1"/>
    <cacheHierarchy uniqueName="[rArtikli_HR_Analiza].[Планиран прилив/(одлив)]" caption="Планиран прилив/(одлив)" attribute="1" defaultMemberUniqueName="[rArtikli_HR_Analiza].[Планиран прилив/(одлив)].[All]" allUniqueName="[rArtikli_HR_Analiza].[Планиран прилив/(одлив)].[All]" dimensionUniqueName="[rArtikli_HR_Analiza]" displayFolder="" count="0" memberValueDatatype="20" unbalanced="0" hidden="1"/>
    <cacheHierarchy uniqueName="[rArtikli_HR_Analiza].[Тип на вработување]" caption="Тип на вработување" attribute="1" defaultMemberUniqueName="[rArtikli_HR_Analiza].[Тип на вработување].[All]" allUniqueName="[rArtikli_HR_Analiza].[Тип на вработување].[All]" dimensionUniqueName="[rArtikli_HR_Analiza]" displayFolder="" count="0" memberValueDatatype="130" unbalanced="0" hidden="1"/>
    <cacheHierarchy uniqueName="[rArtikliAnaliza].[Период (Month Index)]" caption="Период (Month Index)" attribute="1" defaultMemberUniqueName="[rArtikliAnaliza].[Период (Month Index)].[All]" allUniqueName="[rArtikliAnaliza].[Период (Month Index)].[All]" dimensionUniqueName="[rArtikliAnaliza]" displayFolder="" count="0" memberValueDatatype="20" unbalanced="0" hidden="1"/>
    <cacheHierarchy uniqueName="[Measures].[__XL_Count Calendar]" caption="__XL_Count Calendar" measure="1" displayFolder="" measureGroup="Calendar" count="0" hidden="1"/>
    <cacheHierarchy uniqueName="[Measures].[__XL_Count CAPEX]" caption="__XL_Count CAPEX" measure="1" displayFolder="" measureGroup="CAPEX" count="0" hidden="1"/>
    <cacheHierarchy uniqueName="[Measures].[__XL_Count Amortizacija]" caption="__XL_Count Amortizacija" measure="1" displayFolder="" measureGroup="Amortizacija" count="0" hidden="1"/>
    <cacheHierarchy uniqueName="[Measures].[__XL_Count fCoveckiResursi]" caption="__XL_Count fCoveckiResursi" measure="1" displayFolder="" measureGroup="fCoveckiResursi" count="0" hidden="1"/>
    <cacheHierarchy uniqueName="[Measures].[__XL_Count fActualAndBudget]" caption="__XL_Count fActualAndBudget" measure="1" displayFolder="" measureGroup="fActualAndBudget" count="0" hidden="1"/>
    <cacheHierarchy uniqueName="[Measures].[__XL_Count fOPEX]" caption="__XL_Count fOPEX" measure="1" displayFolder="" measureGroup="fOPEX" count="0" hidden="1"/>
    <cacheHierarchy uniqueName="[Measures].[__XL_Count OPEXAnaliza]" caption="__XL_Count OPEXAnaliza" measure="1" displayFolder="" measureGroup="OPEXAnaliza" count="0" hidden="1"/>
    <cacheHierarchy uniqueName="[Measures].[__XL_Count rArtikliAnaliza]" caption="__XL_Count rArtikliAnaliza" measure="1" displayFolder="" measureGroup="rArtikliAnaliza" count="0" hidden="1"/>
    <cacheHierarchy uniqueName="[Measures].[__XL_Count fArtikliCeni]" caption="__XL_Count fArtikliCeni" measure="1" displayFolder="" measureGroup="fArtikliCeni" count="0" hidden="1"/>
    <cacheHierarchy uniqueName="[Measures].[__XL_Count rArtikli_HR_Analiza]" caption="__XL_Count rArtikli_HR_Analiza" measure="1" displayFolder="" measureGroup="rArtikli_HR_Analiza" count="0" hidden="1"/>
    <cacheHierarchy uniqueName="[Measures].[__XL_Count fCoveckiResursi  2]" caption="__XL_Count fCoveckiResursi  2" measure="1" displayFolder="" measureGroup="fCoveckiResursi  2" count="0" hidden="1"/>
    <cacheHierarchy uniqueName="[Measures].[__No measures defined]" caption="__No measures defined" measure="1" displayFolder="" count="0" hidden="1"/>
    <cacheHierarchy uniqueName="[Measures].[Sum of Износ 3]" caption="Sum of Износ 3" measure="1" displayFolder="" measureGroup="fCoveckiResursi" count="0" hidden="1">
      <extLst>
        <ext xmlns:x15="http://schemas.microsoft.com/office/spreadsheetml/2010/11/main" uri="{B97F6D7D-B522-45F9-BDA1-12C45D357490}">
          <x15:cacheHierarchy aggregatedColumn="71"/>
        </ext>
      </extLst>
    </cacheHierarchy>
    <cacheHierarchy uniqueName="[Measures].[Sum of Крајна состојба вработени]" caption="Sum of Крајна состојба вработени" measure="1" displayFolder="" measureGroup="fCoveckiResursi" count="0" hidden="1">
      <extLst>
        <ext xmlns:x15="http://schemas.microsoft.com/office/spreadsheetml/2010/11/main" uri="{B97F6D7D-B522-45F9-BDA1-12C45D357490}">
          <x15:cacheHierarchy aggregatedColumn="70"/>
        </ext>
      </extLst>
    </cacheHierarchy>
    <cacheHierarchy uniqueName="[Measures].[Sum of Планиран прилив/(одлив)]" caption="Sum of Планиран прилив/(одлив)" measure="1" displayFolder="" measureGroup="fCoveckiResursi" count="0" hidden="1">
      <extLst>
        <ext xmlns:x15="http://schemas.microsoft.com/office/spreadsheetml/2010/11/main" uri="{B97F6D7D-B522-45F9-BDA1-12C45D357490}">
          <x15:cacheHierarchy aggregatedColumn="68"/>
        </ext>
      </extLst>
    </cacheHierarchy>
    <cacheHierarchy uniqueName="[Measures].[Sum of Износ]" caption="Sum of Износ" measure="1" displayFolder="" measureGroup="fActualAndBudget" count="0" hidden="1">
      <extLst>
        <ext xmlns:x15="http://schemas.microsoft.com/office/spreadsheetml/2010/11/main" uri="{B97F6D7D-B522-45F9-BDA1-12C45D357490}">
          <x15:cacheHierarchy aggregatedColumn="45"/>
        </ext>
      </extLst>
    </cacheHierarchy>
    <cacheHierarchy uniqueName="[Measures].[Sum of Износ (илјади)]" caption="Sum of Износ (илјади)" measure="1" displayFolder="" measureGroup="fActualAndBudget" count="0" hidden="1">
      <extLst>
        <ext xmlns:x15="http://schemas.microsoft.com/office/spreadsheetml/2010/11/main" uri="{B97F6D7D-B522-45F9-BDA1-12C45D357490}">
          <x15:cacheHierarchy aggregatedColumn="46"/>
        </ext>
      </extLst>
    </cacheHierarchy>
    <cacheHierarchy uniqueName="[Measures].[Sum of Износ1]" caption="Sum of Износ1" measure="1" displayFolder="" measureGroup="fActualAndBudget" count="0" hidden="1">
      <extLst>
        <ext xmlns:x15="http://schemas.microsoft.com/office/spreadsheetml/2010/11/main" uri="{B97F6D7D-B522-45F9-BDA1-12C45D357490}">
          <x15:cacheHierarchy aggregatedColumn="34"/>
        </ext>
      </extLst>
    </cacheHierarchy>
    <cacheHierarchy uniqueName="[Measures].[Sum of Износ 2]" caption="Sum of Износ 2" measure="1" displayFolder="" measureGroup="Amortizacija" count="0" hidden="1">
      <extLst>
        <ext xmlns:x15="http://schemas.microsoft.com/office/spreadsheetml/2010/11/main" uri="{B97F6D7D-B522-45F9-BDA1-12C45D357490}">
          <x15:cacheHierarchy aggregatedColumn="3"/>
        </ext>
      </extLst>
    </cacheHierarchy>
    <cacheHierarchy uniqueName="[Measures].[Sum of Износ 4]" caption="Sum of Износ 4" measure="1" displayFolder="" measureGroup="OPEXAnaliza" count="0" hidden="1">
      <extLst>
        <ext xmlns:x15="http://schemas.microsoft.com/office/spreadsheetml/2010/11/main" uri="{B97F6D7D-B522-45F9-BDA1-12C45D357490}">
          <x15:cacheHierarchy aggregatedColumn="101"/>
        </ext>
      </extLst>
    </cacheHierarchy>
    <cacheHierarchy uniqueName="[Measures].[Sum of Износ донација]" caption="Sum of Износ донација" measure="1" displayFolder="" measureGroup="CAPEX" count="0" hidden="1">
      <extLst>
        <ext xmlns:x15="http://schemas.microsoft.com/office/spreadsheetml/2010/11/main" uri="{B97F6D7D-B522-45F9-BDA1-12C45D357490}">
          <x15:cacheHierarchy aggregatedColumn="24"/>
        </ext>
      </extLst>
    </cacheHierarchy>
    <cacheHierarchy uniqueName="[Measures].[Sum of Вкупно трошок]" caption="Sum of Вкупно трошок" measure="1" displayFolder="" measureGroup="fArtikliCeni" count="0" hidden="1">
      <extLst>
        <ext xmlns:x15="http://schemas.microsoft.com/office/spreadsheetml/2010/11/main" uri="{B97F6D7D-B522-45F9-BDA1-12C45D357490}">
          <x15:cacheHierarchy aggregatedColumn="55"/>
        </ext>
      </extLst>
    </cacheHierarchy>
    <cacheHierarchy uniqueName="[Measures].[Sum of Количина]" caption="Sum of Количина" measure="1" displayFolder="" measureGroup="fArtikliCeni" count="0" hidden="1">
      <extLst>
        <ext xmlns:x15="http://schemas.microsoft.com/office/spreadsheetml/2010/11/main" uri="{B97F6D7D-B522-45F9-BDA1-12C45D357490}">
          <x15:cacheHierarchy aggregatedColumn="53"/>
        </ext>
      </extLst>
    </cacheHierarchy>
    <cacheHierarchy uniqueName="[Measures].[Sum of Единечна цена]" caption="Sum of Единечна цена" measure="1" displayFolder="" measureGroup="fArtikliCeni" count="0" hidden="1">
      <extLst>
        <ext xmlns:x15="http://schemas.microsoft.com/office/spreadsheetml/2010/11/main" uri="{B97F6D7D-B522-45F9-BDA1-12C45D357490}">
          <x15:cacheHierarchy aggregatedColumn="54"/>
        </ext>
      </extLst>
    </cacheHierarchy>
    <cacheHierarchy uniqueName="[Measures].[Sum of ДДВ]" caption="Sum of ДДВ" measure="1" displayFolder="" measureGroup="fArtikliCeni" count="0" hidden="1">
      <extLst>
        <ext xmlns:x15="http://schemas.microsoft.com/office/spreadsheetml/2010/11/main" uri="{B97F6D7D-B522-45F9-BDA1-12C45D357490}">
          <x15:cacheHierarchy aggregatedColumn="56"/>
        </ext>
      </extLst>
    </cacheHierarchy>
    <cacheHierarchy uniqueName="[Measures].[Sum of Износ 6]" caption="Sum of Износ 6" measure="1" displayFolder="" measureGroup="fArtikliCeni" count="0" hidden="1">
      <extLst>
        <ext xmlns:x15="http://schemas.microsoft.com/office/spreadsheetml/2010/11/main" uri="{B97F6D7D-B522-45F9-BDA1-12C45D357490}">
          <x15:cacheHierarchy aggregatedColumn="57"/>
        </ext>
      </extLst>
    </cacheHierarchy>
    <cacheHierarchy uniqueName="[Measures].[Count of Единечна мерка]" caption="Count of Единечна мерка" measure="1" displayFolder="" measureGroup="fArtikliCeni" count="0" hidden="1">
      <extLst>
        <ext xmlns:x15="http://schemas.microsoft.com/office/spreadsheetml/2010/11/main" uri="{B97F6D7D-B522-45F9-BDA1-12C45D357490}">
          <x15:cacheHierarchy aggregatedColumn="52"/>
        </ext>
      </extLst>
    </cacheHierarchy>
    <cacheHierarchy uniqueName="[Measures].[Sum of Количина 2]" caption="Sum of Количина 2" measure="1" displayFolder="" measureGroup="rArtikli_HR_Analiza" count="0" hidden="1">
      <extLst>
        <ext xmlns:x15="http://schemas.microsoft.com/office/spreadsheetml/2010/11/main" uri="{B97F6D7D-B522-45F9-BDA1-12C45D357490}">
          <x15:cacheHierarchy aggregatedColumn="118"/>
        </ext>
      </extLst>
    </cacheHierarchy>
    <cacheHierarchy uniqueName="[Measures].[Sum of Единечна цена 2]" caption="Sum of Единечна цена 2" measure="1" displayFolder="" measureGroup="rArtikli_HR_Analiza" count="0" hidden="1">
      <extLst>
        <ext xmlns:x15="http://schemas.microsoft.com/office/spreadsheetml/2010/11/main" uri="{B97F6D7D-B522-45F9-BDA1-12C45D357490}">
          <x15:cacheHierarchy aggregatedColumn="119"/>
        </ext>
      </extLst>
    </cacheHierarchy>
    <cacheHierarchy uniqueName="[Measures].[Sum of Вкупно трошок 2]" caption="Sum of Вкупно трошок 2" measure="1" displayFolder="" measureGroup="rArtikli_HR_Analiza" count="0" hidden="1">
      <extLst>
        <ext xmlns:x15="http://schemas.microsoft.com/office/spreadsheetml/2010/11/main" uri="{B97F6D7D-B522-45F9-BDA1-12C45D357490}">
          <x15:cacheHierarchy aggregatedColumn="120"/>
        </ext>
      </extLst>
    </cacheHierarchy>
    <cacheHierarchy uniqueName="[Measures].[Sum of ДДВ 2]" caption="Sum of ДДВ 2" measure="1" displayFolder="" measureGroup="rArtikli_HR_Analiza" count="0" hidden="1">
      <extLst>
        <ext xmlns:x15="http://schemas.microsoft.com/office/spreadsheetml/2010/11/main" uri="{B97F6D7D-B522-45F9-BDA1-12C45D357490}">
          <x15:cacheHierarchy aggregatedColumn="121"/>
        </ext>
      </extLst>
    </cacheHierarchy>
    <cacheHierarchy uniqueName="[Measures].[Sum of Износ 7]" caption="Sum of Износ 7" measure="1" displayFolder="" measureGroup="rArtikli_HR_Analiza" count="0" hidden="1">
      <extLst>
        <ext xmlns:x15="http://schemas.microsoft.com/office/spreadsheetml/2010/11/main" uri="{B97F6D7D-B522-45F9-BDA1-12C45D357490}">
          <x15:cacheHierarchy aggregatedColumn="122"/>
        </ext>
      </extLst>
    </cacheHierarchy>
    <cacheHierarchy uniqueName="[Measures].[Sum of Износ 5]" caption="Sum of Износ 5" measure="1" displayFolder="" measureGroup="fCoveckiResursi  2" count="0" hidden="1">
      <extLst>
        <ext xmlns:x15="http://schemas.microsoft.com/office/spreadsheetml/2010/11/main" uri="{B97F6D7D-B522-45F9-BDA1-12C45D357490}">
          <x15:cacheHierarchy aggregatedColumn="82"/>
        </ext>
      </extLst>
    </cacheHierarchy>
    <cacheHierarchy uniqueName="[Measures].[Sum of Проценета вредност на набавка со ДДВ (денари)]" caption="Sum of Проценета вредност на набавка со ДДВ (денари)" measure="1" displayFolder="" measureGroup="CAPEX" count="0" hidden="1">
      <extLst>
        <ext xmlns:x15="http://schemas.microsoft.com/office/spreadsheetml/2010/11/main" uri="{B97F6D7D-B522-45F9-BDA1-12C45D357490}">
          <x15:cacheHierarchy aggregatedColumn="20"/>
        </ext>
      </extLst>
    </cacheHierarchy>
  </cacheHierarchies>
  <kpis count="0"/>
  <dimensions count="12">
    <dimension name="Amortizacija" uniqueName="[Amortizacija]" caption="Amortizacija"/>
    <dimension name="Calendar" uniqueName="[Calendar]" caption="Calendar"/>
    <dimension name="CAPEX" uniqueName="[CAPEX]" caption="CAPEX"/>
    <dimension name="fActualAndBudget" uniqueName="[fActualAndBudget]" caption="fActualAndBudget"/>
    <dimension name="fArtikliCeni" uniqueName="[fArtikliCeni]" caption="fArtikliCeni"/>
    <dimension name="fCoveckiResursi" uniqueName="[fCoveckiResursi]" caption="fCoveckiResursi"/>
    <dimension name="fCoveckiResursi  2" uniqueName="[fCoveckiResursi  2]" caption="fCoveckiResursi  2"/>
    <dimension name="fOPEX" uniqueName="[fOPEX]" caption="fOPEX"/>
    <dimension measure="1" name="Measures" uniqueName="[Measures]" caption="Measures"/>
    <dimension name="OPEXAnaliza" uniqueName="[OPEXAnaliza]" caption="OPEXAnaliza"/>
    <dimension name="rArtikli_HR_Analiza" uniqueName="[rArtikli_HR_Analiza]" caption="rArtikli_HR_Analiza"/>
    <dimension name="rArtikliAnaliza" uniqueName="[rArtikliAnaliza]" caption="rArtikliAnaliza"/>
  </dimensions>
  <measureGroups count="11">
    <measureGroup name="Amortizacija" caption="Amortizacija"/>
    <measureGroup name="Calendar" caption="Calendar"/>
    <measureGroup name="CAPEX" caption="CAPEX"/>
    <measureGroup name="fActualAndBudget" caption="fActualAndBudget"/>
    <measureGroup name="fArtikliCeni" caption="fArtikliCeni"/>
    <measureGroup name="fCoveckiResursi" caption="fCoveckiResursi"/>
    <measureGroup name="fCoveckiResursi  2" caption="fCoveckiResursi  2"/>
    <measureGroup name="fOPEX" caption="fOPEX"/>
    <measureGroup name="OPEXAnaliza" caption="OPEXAnaliza"/>
    <measureGroup name="rArtikli_HR_Analiza" caption="rArtikli_HR_Analiza"/>
    <measureGroup name="rArtikliAnaliza" caption="rArtikliAnaliza"/>
  </measureGroups>
  <maps count="19">
    <map measureGroup="0" dimension="0"/>
    <map measureGroup="0" dimension="1"/>
    <map measureGroup="1" dimension="1"/>
    <map measureGroup="2" dimension="1"/>
    <map measureGroup="2" dimension="2"/>
    <map measureGroup="3" dimension="1"/>
    <map measureGroup="3" dimension="3"/>
    <map measureGroup="4" dimension="4"/>
    <map measureGroup="5" dimension="1"/>
    <map measureGroup="5" dimension="5"/>
    <map measureGroup="6" dimension="1"/>
    <map measureGroup="6" dimension="6"/>
    <map measureGroup="7" dimension="1"/>
    <map measureGroup="7" dimension="7"/>
    <map measureGroup="8" dimension="1"/>
    <map measureGroup="8" dimension="9"/>
    <map measureGroup="9" dimension="10"/>
    <map measureGroup="10" dimension="1"/>
    <map measureGroup="10" dimension="1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ngela Sazdova - Doneva" refreshedDate="44899.978533796297" createdVersion="5" refreshedVersion="6" minRefreshableVersion="3" recordCount="0" supportSubquery="1" supportAdvancedDrill="1" xr:uid="{00000000-000A-0000-FFFF-FFFF10000000}">
  <cacheSource type="external" connectionId="22"/>
  <cacheFields count="10">
    <cacheField name="[Calendar].[Date Hierarchy].[Year]" caption="Year" numFmtId="0" hierarchy="7" level="1">
      <sharedItems containsSemiMixedTypes="0" containsNonDate="0" containsString="0"/>
    </cacheField>
    <cacheField name="[Calendar].[Date Hierarchy].[Month]" caption="Month" numFmtId="0" hierarchy="7" level="2">
      <sharedItems containsSemiMixedTypes="0" containsNonDate="0" containsString="0"/>
    </cacheField>
    <cacheField name="[Calendar].[Date Hierarchy].[DateColumn]" caption="DateColumn" numFmtId="0" hierarchy="7" level="3">
      <sharedItems containsSemiMixedTypes="0" containsNonDate="0" containsString="0"/>
    </cacheField>
    <cacheField name="[fActualAndBudget].[Конто].[Конто]" caption="Конто" numFmtId="0" hierarchy="31" level="1">
      <sharedItems containsNonDate="0" count="27">
        <s v="01100"/>
        <s v="011001"/>
        <s v="011002"/>
        <s v="0132"/>
        <s v="0133"/>
        <s v="01341"/>
        <s v="01363"/>
        <s v="01391"/>
        <s v="01399"/>
        <s v="0150"/>
        <s v="0155"/>
        <s v="0161"/>
        <s v="01690"/>
        <s v="0171"/>
        <s v="0172"/>
        <s v="019100"/>
        <s v="0191001"/>
        <s v="0191002"/>
        <s v="01932"/>
        <s v="01933"/>
        <s v="019341"/>
        <s v="019363"/>
        <s v="019391"/>
        <s v="01955"/>
        <s v="0270"/>
        <s v="74025" u="1"/>
        <s v="7409" u="1"/>
      </sharedItems>
    </cacheField>
    <cacheField name="[fActualAndBudget].[ReportType].[ReportType]" caption="ReportType" numFmtId="0" hierarchy="35" level="1">
      <sharedItems containsSemiMixedTypes="0" containsNonDate="0" containsString="0"/>
    </cacheField>
    <cacheField name="[Measures].[Sum of Износ]" caption="Sum of Износ" numFmtId="0" hierarchy="176" level="32767"/>
    <cacheField name="[Calendar].[Година].[Година]" caption="Година" numFmtId="0" hierarchy="8" level="1">
      <sharedItems containsSemiMixedTypes="0" containsNonDate="0" containsString="0"/>
    </cacheField>
    <cacheField name="[fActualAndBudget].[ObrazecIme].[ObrazecIme]" caption="ObrazecIme" numFmtId="0" hierarchy="44" level="1">
      <sharedItems containsSemiMixedTypes="0" containsNonDate="0" containsString="0"/>
    </cacheField>
    <cacheField name="[Calendar].[Квартал].[Квартал]" caption="Квартал" numFmtId="0" hierarchy="14" level="1">
      <sharedItems containsSemiMixedTypes="0" containsNonDate="0" containsDate="1" containsString="0" minDate="2019-03-31T00:00:00" maxDate="2019-10-01T00:00:00" count="3">
        <d v="2019-03-31T00:00:00"/>
        <d v="2019-06-30T00:00:00"/>
        <d v="2019-09-30T00:00:00"/>
      </sharedItems>
    </cacheField>
    <cacheField name="[fActualAndBudget].[StavkaKategorija].[StavkaKategorija]" caption="StavkaKategorija" numFmtId="0" hierarchy="40" level="1">
      <sharedItems count="14">
        <s v="1.1. Парични средства"/>
        <s v="1.13. Вонбилансна актива"/>
        <s v="1.14. Краткорочни обврски"/>
        <s v="1.15. Одложено плаќање на трошоци и приходи (ПВР)"/>
        <s v="1.17. Долгорочни обврски"/>
        <s v="1.2. Побарувања"/>
        <s v="1.21. Капитал"/>
        <s v="1.22. Акумулирана добивка"/>
        <s v="1.23. Резерви"/>
        <s v="1.25. Добивка / Загуба за деловната година"/>
        <s v="1.28. Вонбилансна пасива"/>
        <s v="1.3. Залихи"/>
        <s v="1.7. Материјални средства и вложувања во недвижности"/>
        <s v="1.9. Нематеријални средства"/>
      </sharedItems>
    </cacheField>
  </cacheFields>
  <cacheHierarchies count="195">
    <cacheHierarchy uniqueName="[Amortizacija].[Број на јавна набавка (план)]" caption="Број на јавна набавка (план)" attribute="1" defaultMemberUniqueName="[Amortizacija].[Број на јавна набавка (план)].[All]" allUniqueName="[Amortizacija].[Број на јавна набавка (план)].[All]" dimensionUniqueName="[Amortizacija]" displayFolder="" count="0" memberValueDatatype="130" unbalanced="0"/>
    <cacheHierarchy uniqueName="[Amortizacija].[Ставка]" caption="Ставка" attribute="1" defaultMemberUniqueName="[Amortizacija].[Ставка].[All]" allUniqueName="[Amortizacija].[Ставка].[All]" dimensionUniqueName="[Amortizacija]" displayFolder="" count="0" memberValueDatatype="130" unbalanced="0"/>
    <cacheHierarchy uniqueName="[Amortizacija].[Период]" caption="Период" attribute="1" time="1" defaultMemberUniqueName="[Amortizacija].[Период].[All]" allUniqueName="[Amortizacija].[Период].[All]" dimensionUniqueName="[Amortizacija]" displayFolder="" count="0" memberValueDatatype="7" unbalanced="0"/>
    <cacheHierarchy uniqueName="[Amortizacija].[Износ]" caption="Износ" attribute="1" defaultMemberUniqueName="[Amortizacija].[Износ].[All]" allUniqueName="[Amortizacija].[Износ].[All]" dimensionUniqueName="[Amortizacija]" displayFolder="" count="0" memberValueDatatype="20" unbalanced="0"/>
    <cacheHierarchy uniqueName="[Amortizacija].[Конто]" caption="Конто" attribute="1" defaultMemberUniqueName="[Amortizacija].[Конто].[All]" allUniqueName="[Amortizacija].[Конто].[All]" dimensionUniqueName="[Amortizacija]" displayFolder="" count="0" memberValueDatatype="130" unbalanced="0"/>
    <cacheHierarchy uniqueName="[Amortizacija].[ReportType]" caption="ReportType" attribute="1" defaultMemberUniqueName="[Amortizacija].[ReportType].[All]" allUniqueName="[Amortizacija].[ReportType].[All]" dimensionUniqueName="[Amortizacija]" displayFolder="" count="0" memberValueDatatype="130" unbalanced="0"/>
    <cacheHierarchy uniqueName="[Calendar].[Date]" caption="Date" attribute="1" time="1" keyAttribute="1" defaultMemberUniqueName="[Calendar].[Date].[All]" allUniqueName="[Calendar].[Date].[All]" dimensionUniqueName="[Calendar]" displayFolder="" count="0" memberValueDatatype="7" unbalanced="0"/>
    <cacheHierarchy uniqueName="[Calendar].[Date Hierarchy]" caption="Date Hierarchy" time="1" defaultMemberUniqueName="[Calendar].[Date Hierarchy].[All]" allUniqueName="[Calendar].[Date Hierarchy].[All]" dimensionUniqueName="[Calendar]" displayFolder="" count="4" unbalanced="0">
      <fieldsUsage count="4">
        <fieldUsage x="-1"/>
        <fieldUsage x="0"/>
        <fieldUsage x="1"/>
        <fieldUsage x="2"/>
      </fieldsUsage>
    </cacheHierarchy>
    <cacheHierarchy uniqueName="[Calendar].[Година]" caption="Година" attribute="1" time="1" defaultMemberUniqueName="[Calendar].[Година].[All]" allUniqueName="[Calendar].[Година].[All]" dimensionUniqueName="[Calendar]" displayFolder="" count="2" memberValueDatatype="20" unbalanced="0">
      <fieldsUsage count="2">
        <fieldUsage x="-1"/>
        <fieldUsage x="6"/>
      </fieldsUsage>
    </cacheHierarchy>
    <cacheHierarchy uniqueName="[Calendar].[Month Number]" caption="Month Number" attribute="1" time="1" defaultMemberUniqueName="[Calendar].[Month Number].[All]" allUniqueName="[Calendar].[Month Number].[All]" dimensionUniqueName="[Calendar]" displayFolder="" count="0" memberValueDatatype="20" unbalanced="0"/>
    <cacheHierarchy uniqueName="[Calendar].[Месец]" caption="Месец" attribute="1" time="1" defaultMemberUniqueName="[Calendar].[Месец].[All]" allUniqueName="[Calendar].[Месец].[All]" dimensionUniqueName="[Calendar]" displayFolder="" count="0" memberValueDatatype="130" unbalanced="0"/>
    <cacheHierarchy uniqueName="[Calendar].[MMM-YYYY]" caption="MMM-YYYY" attribute="1" time="1" defaultMemberUniqueName="[Calendar].[MMM-YYYY].[All]" allUniqueName="[Calendar].[MMM-YYYY].[All]" dimensionUniqueName="[Calendar]" displayFolder="" count="0" memberValueDatatype="130" unbalanced="0"/>
    <cacheHierarchy uniqueName="[Calendar].[Day Of Week Number]" caption="Day Of Week Number" attribute="1" time="1" defaultMemberUniqueName="[Calendar].[Day Of Week Number].[All]" allUniqueName="[Calendar].[Day Of Week Number].[All]" dimensionUniqueName="[Calendar]" displayFolder="" count="0" memberValueDatatype="20" unbalanced="0"/>
    <cacheHierarchy uniqueName="[Calendar].[Day Of Week]" caption="Day Of Week" attribute="1" time="1" defaultMemberUniqueName="[Calendar].[Day Of Week].[All]" allUniqueName="[Calendar].[Day Of Week].[All]" dimensionUniqueName="[Calendar]" displayFolder="" count="0" memberValueDatatype="130" unbalanced="0"/>
    <cacheHierarchy uniqueName="[Calendar].[Квартал]" caption="Квартал" attribute="1" time="1" defaultMemberUniqueName="[Calendar].[Квартал].[All]" allUniqueName="[Calendar].[Квартал].[All]" dimensionUniqueName="[Calendar]" displayFolder="" count="2" memberValueDatatype="7" unbalanced="0">
      <fieldsUsage count="2">
        <fieldUsage x="-1"/>
        <fieldUsage x="8"/>
      </fieldsUsage>
    </cacheHierarchy>
    <cacheHierarchy uniqueName="[CAPEX].[Година за реализација на проект]" caption="Година за реализација на проект" attribute="1" defaultMemberUniqueName="[CAPEX].[Година за реализација на проект].[All]" allUniqueName="[CAPEX].[Година за реализација на проект].[All]" dimensionUniqueName="[CAPEX]" displayFolder="" count="0" memberValueDatatype="20" unbalanced="0"/>
    <cacheHierarchy uniqueName="[CAPEX].[Број на јавна набавка (план)]" caption="Број на јавна набавка (план)" attribute="1" defaultMemberUniqueName="[CAPEX].[Број на јавна набавка (план)].[All]" allUniqueName="[CAPEX].[Број на јавна набавка (план)].[All]" dimensionUniqueName="[CAPEX]" displayFolder="" count="0" memberValueDatatype="130" unbalanced="0"/>
    <cacheHierarchy uniqueName="[CAPEX].[Предмет на договорот за јавна набавка]" caption="Предмет на договорот за јавна набавка" attribute="1" defaultMemberUniqueName="[CAPEX].[Предмет на договорот за јавна набавка].[All]" allUniqueName="[CAPEX].[Предмет на договорот за јавна набавка].[All]" dimensionUniqueName="[CAPEX]" displayFolder="" count="0" memberValueDatatype="130" unbalanced="0"/>
    <cacheHierarchy uniqueName="[CAPEX].[Очекуван датум на плаќање]" caption="Очекуван датум на плаќање" attribute="1" time="1" defaultMemberUniqueName="[CAPEX].[Очекуван датум на плаќање].[All]" allUniqueName="[CAPEX].[Очекуван датум на плаќање].[All]" dimensionUniqueName="[CAPEX]" displayFolder="" count="0" memberValueDatatype="7" unbalanced="0"/>
    <cacheHierarchy uniqueName="[CAPEX].[Очекуван датум за ставање во употреба (месец)]" caption="Очекуван датум за ставање во употреба (месец)" attribute="1" time="1" defaultMemberUniqueName="[CAPEX].[Очекуван датум за ставање во употреба (месец)].[All]" allUniqueName="[CAPEX].[Очекуван датум за ставање во употреба (месец)].[All]" dimensionUniqueName="[CAPEX]" displayFolder="" count="0" memberValueDatatype="7" unbalanced="0"/>
    <cacheHierarchy uniqueName="[CAPEX].[Проценета вредност на набавка со ДДВ (денари)]" caption="Проценета вредност на набавка со ДДВ (денари)" attribute="1" defaultMemberUniqueName="[CAPEX].[Проценета вредност на набавка со ДДВ (денари)].[All]" allUniqueName="[CAPEX].[Проценета вредност на набавка со ДДВ (денари)].[All]" dimensionUniqueName="[CAPEX]" displayFolder="" count="0" memberValueDatatype="20" unbalanced="0"/>
    <cacheHierarchy uniqueName="[CAPEX].[Стапка на амортизација]" caption="Стапка на амортизација" attribute="1" defaultMemberUniqueName="[CAPEX].[Стапка на амортизација].[All]" allUniqueName="[CAPEX].[Стапка на амортизација].[All]" dimensionUniqueName="[CAPEX]" displayFolder="" count="0" memberValueDatatype="5" unbalanced="0"/>
    <cacheHierarchy uniqueName="[CAPEX].[Конто Средства]" caption="Конто Средства" attribute="1" defaultMemberUniqueName="[CAPEX].[Конто Средства].[All]" allUniqueName="[CAPEX].[Конто Средства].[All]" dimensionUniqueName="[CAPEX]" displayFolder="" count="0" memberValueDatatype="130" unbalanced="0"/>
    <cacheHierarchy uniqueName="[CAPEX].[Конто Амортизација]" caption="Конто Амортизација" attribute="1" defaultMemberUniqueName="[CAPEX].[Конто Амортизација].[All]" allUniqueName="[CAPEX].[Конто Амортизација].[All]" dimensionUniqueName="[CAPEX]" displayFolder="" count="0" memberValueDatatype="130" unbalanced="0"/>
    <cacheHierarchy uniqueName="[CAPEX].[Износ донација]" caption="Износ донација" attribute="1" defaultMemberUniqueName="[CAPEX].[Износ донација].[All]" allUniqueName="[CAPEX].[Износ донација].[All]" dimensionUniqueName="[CAPEX]" displayFolder="" count="0" memberValueDatatype="20" unbalanced="0"/>
    <cacheHierarchy uniqueName="[CAPEX].[Очекуван датум на плаќање (Year)]" caption="Очекуван датум на плаќање (Year)" attribute="1" defaultMemberUniqueName="[CAPEX].[Очекуван датум на плаќање (Year)].[All]" allUniqueName="[CAPEX].[Очекуван датум на плаќање (Year)].[All]" dimensionUniqueName="[CAPEX]" displayFolder="" count="0" memberValueDatatype="130" unbalanced="0"/>
    <cacheHierarchy uniqueName="[CAPEX].[Очекуван датум на плаќање (Quarter)]" caption="Очекуван датум на плаќање (Quarter)" attribute="1" defaultMemberUniqueName="[CAPEX].[Очекуван датум на плаќање (Quarter)].[All]" allUniqueName="[CAPEX].[Очекуван датум на плаќање (Quarter)].[All]" dimensionUniqueName="[CAPEX]" displayFolder="" count="0" memberValueDatatype="130" unbalanced="0"/>
    <cacheHierarchy uniqueName="[CAPEX].[Очекуван датум на плаќање (Month)]" caption="Очекуван датум на плаќање (Month)" attribute="1" defaultMemberUniqueName="[CAPEX].[Очекуван датум на плаќање (Month)].[All]" allUniqueName="[CAPEX].[Очекуван датум на плаќање (Month)].[All]" dimensionUniqueName="[CAPEX]" displayFolder="" count="0" memberValueDatatype="130" unbalanced="0"/>
    <cacheHierarchy uniqueName="[CAPEX].[Очекуван датум за ставање во употреба (месец) (Year)]" caption="Очекуван датум за ставање во употреба (месец) (Year)" attribute="1" defaultMemberUniqueName="[CAPEX].[Очекуван датум за ставање во употреба (месец) (Year)].[All]" allUniqueName="[CAPEX].[Очекуван датум за ставање во употреба (месец) (Year)].[All]" dimensionUniqueName="[CAPEX]" displayFolder="" count="0" memberValueDatatype="130" unbalanced="0"/>
    <cacheHierarchy uniqueName="[CAPEX].[Очекуван датум за ставање во употреба (месец) (Quarter)]" caption="Очекуван датум за ставање во употреба (месец) (Quarter)" attribute="1" defaultMemberUniqueName="[CAPEX].[Очекуван датум за ставање во употреба (месец) (Quarter)].[All]" allUniqueName="[CAPEX].[Очекуван датум за ставање во употреба (месец) (Quarter)].[All]" dimensionUniqueName="[CAPEX]" displayFolder="" count="0" memberValueDatatype="130" unbalanced="0"/>
    <cacheHierarchy uniqueName="[CAPEX].[Очекуван датум за ставање во употреба (месец) (Month)]" caption="Очекуван датум за ставање во употреба (месец) (Month)" attribute="1" defaultMemberUniqueName="[CAPEX].[Очекуван датум за ставање во употреба (месец) (Month)].[All]" allUniqueName="[CAPEX].[Очекуван датум за ставање во употреба (месец) (Month)].[All]" dimensionUniqueName="[CAPEX]" displayFolder="" count="0" memberValueDatatype="130" unbalanced="0"/>
    <cacheHierarchy uniqueName="[fActualAndBudget].[Конто]" caption="Конто" attribute="1" defaultMemberUniqueName="[fActualAndBudget].[Конто].[All]" allUniqueName="[fActualAndBudget].[Конто].[All]" dimensionUniqueName="[fActualAndBudget]" displayFolder="" count="2" memberValueDatatype="130" unbalanced="0">
      <fieldsUsage count="2">
        <fieldUsage x="-1"/>
        <fieldUsage x="3"/>
      </fieldsUsage>
    </cacheHierarchy>
    <cacheHierarchy uniqueName="[fActualAndBudget].[Назив на конто]" caption="Назив на конто" attribute="1" defaultMemberUniqueName="[fActualAndBudget].[Назив на конто].[All]" allUniqueName="[fActualAndBudget].[Назив на конто].[All]" dimensionUniqueName="[fActualAndBudget]" displayFolder="" count="0" memberValueDatatype="130" unbalanced="0"/>
    <cacheHierarchy uniqueName="[fActualAndBudget].[Период]" caption="Период" attribute="1" time="1" defaultMemberUniqueName="[fActualAndBudget].[Период].[All]" allUniqueName="[fActualAndBudget].[Период].[All]" dimensionUniqueName="[fActualAndBudget]" displayFolder="" count="0" memberValueDatatype="7" unbalanced="0"/>
    <cacheHierarchy uniqueName="[fActualAndBudget].[Износ1]" caption="Износ1" attribute="1" defaultMemberUniqueName="[fActualAndBudget].[Износ1].[All]" allUniqueName="[fActualAndBudget].[Износ1].[All]" dimensionUniqueName="[fActualAndBudget]" displayFolder="" count="0" memberValueDatatype="20" unbalanced="0"/>
    <cacheHierarchy uniqueName="[fActualAndBudget].[ReportType]" caption="ReportType" attribute="1" defaultMemberUniqueName="[fActualAndBudget].[ReportType].[All]" allUniqueName="[fActualAndBudget].[ReportType].[All]" dimensionUniqueName="[fActualAndBudget]" displayFolder="" count="2" memberValueDatatype="130" unbalanced="0">
      <fieldsUsage count="2">
        <fieldUsage x="-1"/>
        <fieldUsage x="4"/>
      </fieldsUsage>
    </cacheHierarchy>
    <cacheHierarchy uniqueName="[fActualAndBudget].[Ставка]" caption="Ставка" attribute="1" defaultMemberUniqueName="[fActualAndBudget].[Ставка].[All]" allUniqueName="[fActualAndBudget].[Ставка].[All]" dimensionUniqueName="[fActualAndBudget]" displayFolder="" count="0" memberValueDatatype="130" unbalanced="0"/>
    <cacheHierarchy uniqueName="[fActualAndBudget].[Број на јавна набавка (план)]" caption="Број на јавна набавка (план)" attribute="1" defaultMemberUniqueName="[fActualAndBudget].[Број на јавна набавка (план)].[All]" allUniqueName="[fActualAndBudget].[Број на јавна набавка (план)].[All]" dimensionUniqueName="[fActualAndBudget]" displayFolder="" count="0" memberValueDatatype="130" unbalanced="0"/>
    <cacheHierarchy uniqueName="[fActualAndBudget].[StavkaImeMK]" caption="StavkaImeMK" attribute="1" defaultMemberUniqueName="[fActualAndBudget].[StavkaImeMK].[All]" allUniqueName="[fActualAndBudget].[StavkaImeMK].[All]" dimensionUniqueName="[fActualAndBudget]" displayFolder="" count="0" memberValueDatatype="130" unbalanced="0"/>
    <cacheHierarchy uniqueName="[fActualAndBudget].[StavkaGrupa]" caption="StavkaGrupa" attribute="1" defaultMemberUniqueName="[fActualAndBudget].[StavkaGrupa].[All]" allUniqueName="[fActualAndBudget].[StavkaGrupa].[All]" dimensionUniqueName="[fActualAndBudget]" displayFolder="" count="0" memberValueDatatype="130" unbalanced="0"/>
    <cacheHierarchy uniqueName="[fActualAndBudget].[StavkaKategorija]" caption="StavkaKategorija" attribute="1" defaultMemberUniqueName="[fActualAndBudget].[StavkaKategorija].[All]" allUniqueName="[fActualAndBudget].[StavkaKategorija].[All]" dimensionUniqueName="[fActualAndBudget]" displayFolder="" count="2" memberValueDatatype="130" unbalanced="0">
      <fieldsUsage count="2">
        <fieldUsage x="-1"/>
        <fieldUsage x="9"/>
      </fieldsUsage>
    </cacheHierarchy>
    <cacheHierarchy uniqueName="[fActualAndBudget].[ZnakIzvestaj]" caption="ZnakIzvestaj" attribute="1" defaultMemberUniqueName="[fActualAndBudget].[ZnakIzvestaj].[All]" allUniqueName="[fActualAndBudget].[ZnakIzvestaj].[All]" dimensionUniqueName="[fActualAndBudget]" displayFolder="" count="0" memberValueDatatype="20" unbalanced="0"/>
    <cacheHierarchy uniqueName="[fActualAndBudget].[ObrazecID]" caption="ObrazecID" attribute="1" defaultMemberUniqueName="[fActualAndBudget].[ObrazecID].[All]" allUniqueName="[fActualAndBudget].[ObrazecID].[All]" dimensionUniqueName="[fActualAndBudget]" displayFolder="" count="0" memberValueDatatype="20" unbalanced="0"/>
    <cacheHierarchy uniqueName="[fActualAndBudget].[StavkaAOP]" caption="StavkaAOP" attribute="1" defaultMemberUniqueName="[fActualAndBudget].[StavkaAOP].[All]" allUniqueName="[fActualAndBudget].[StavkaAOP].[All]" dimensionUniqueName="[fActualAndBudget]" displayFolder="" count="0" memberValueDatatype="130" unbalanced="0"/>
    <cacheHierarchy uniqueName="[fActualAndBudget].[ObrazecIme]" caption="ObrazecIme" attribute="1" defaultMemberUniqueName="[fActualAndBudget].[ObrazecIme].[All]" allUniqueName="[fActualAndBudget].[ObrazecIme].[All]" dimensionUniqueName="[fActualAndBudget]" displayFolder="" count="2" memberValueDatatype="130" unbalanced="0">
      <fieldsUsage count="2">
        <fieldUsage x="-1"/>
        <fieldUsage x="7"/>
      </fieldsUsage>
    </cacheHierarchy>
    <cacheHierarchy uniqueName="[fActualAndBudget].[Износ]" caption="Износ" attribute="1" defaultMemberUniqueName="[fActualAndBudget].[Износ].[All]" allUniqueName="[fActualAndBudget].[Износ].[All]" dimensionUniqueName="[fActualAndBudget]" displayFolder="" count="0" memberValueDatatype="20" unbalanced="0"/>
    <cacheHierarchy uniqueName="[fActualAndBudget].[Износ (илјади)]" caption="Износ (илјади)" attribute="1" defaultMemberUniqueName="[fActualAndBudget].[Износ (илјади)].[All]" allUniqueName="[fActualAndBudget].[Износ (илјади)].[All]" dimensionUniqueName="[fActualAndBudget]" displayFolder="" count="0" memberValueDatatype="5" unbalanced="0"/>
    <cacheHierarchy uniqueName="[fActualAndBudget].[StavkaImeAOP]" caption="StavkaImeAOP" attribute="1" defaultMemberUniqueName="[fActualAndBudget].[StavkaImeAOP].[All]" allUniqueName="[fActualAndBudget].[StavkaImeAOP].[All]" dimensionUniqueName="[fActualAndBudget]" displayFolder="" count="0" memberValueDatatype="130" unbalanced="0"/>
    <cacheHierarchy uniqueName="[fActualAndBudget].[Конто Ставка]" caption="Конто Ставка" attribute="1" defaultMemberUniqueName="[fActualAndBudget].[Конто Ставка].[All]" allUniqueName="[fActualAndBudget].[Конто Ставка].[All]" dimensionUniqueName="[fActualAndBudget]" displayFolder="" count="0" memberValueDatatype="130" unbalanced="0"/>
    <cacheHierarchy uniqueName="[fArtikliCeni].[Ставка]" caption="Ставка" attribute="1" defaultMemberUniqueName="[fArtikliCeni].[Ставка].[All]" allUniqueName="[fArtikliCeni].[Ставка].[All]" dimensionUniqueName="[fArtikliCeni]" displayFolder="" count="0" memberValueDatatype="130" unbalanced="0"/>
    <cacheHierarchy uniqueName="[fArtikliCeni].[Категорија Артикл]" caption="Категорија Артикл" attribute="1" defaultMemberUniqueName="[fArtikliCeni].[Категорија Артикл].[All]" allUniqueName="[fArtikliCeni].[Категорија Артикл].[All]" dimensionUniqueName="[fArtikliCeni]" displayFolder="" count="0" memberValueDatatype="130" unbalanced="0"/>
    <cacheHierarchy uniqueName="[fArtikliCeni].[Тип на артикл]" caption="Тип на артикл" attribute="1" defaultMemberUniqueName="[fArtikliCeni].[Тип на артикл].[All]" allUniqueName="[fArtikliCeni].[Тип на артикл].[All]" dimensionUniqueName="[fArtikliCeni]" displayFolder="" count="0" memberValueDatatype="130" unbalanced="0"/>
    <cacheHierarchy uniqueName="[fArtikliCeni].[Единечна мерка]" caption="Единечна мерка" attribute="1" defaultMemberUniqueName="[fArtikliCeni].[Единечна мерка].[All]" allUniqueName="[fArtikliCeni].[Единечна мерка].[All]" dimensionUniqueName="[fArtikliCeni]" displayFolder="" count="0" memberValueDatatype="130" unbalanced="0"/>
    <cacheHierarchy uniqueName="[fArtikliCeni].[Количина]" caption="Количина" attribute="1" defaultMemberUniqueName="[fArtikliCeni].[Количина].[All]" allUniqueName="[fArtikliCeni].[Количина].[All]" dimensionUniqueName="[fArtikliCeni]" displayFolder="" count="0" memberValueDatatype="5" unbalanced="0"/>
    <cacheHierarchy uniqueName="[fArtikliCeni].[Единечна цена]" caption="Единечна цена" attribute="1" defaultMemberUniqueName="[fArtikliCeni].[Единечна цена].[All]" allUniqueName="[fArtikliCeni].[Единечна цена].[All]" dimensionUniqueName="[fArtikliCeni]" displayFolder="" count="0" memberValueDatatype="20" unbalanced="0"/>
    <cacheHierarchy uniqueName="[fArtikliCeni].[Вкупно трошок]" caption="Вкупно трошок" attribute="1" defaultMemberUniqueName="[fArtikliCeni].[Вкупно трошок].[All]" allUniqueName="[fArtikliCeni].[Вкупно трошок].[All]" dimensionUniqueName="[fArtikliCeni]" displayFolder="" count="0" memberValueDatatype="5" unbalanced="0"/>
    <cacheHierarchy uniqueName="[fArtikliCeni].[ДДВ]" caption="ДДВ" attribute="1" defaultMemberUniqueName="[fArtikliCeni].[ДДВ].[All]" allUniqueName="[fArtikliCeni].[ДДВ].[All]" dimensionUniqueName="[fArtikliCeni]" displayFolder="" count="0" memberValueDatatype="5" unbalanced="0"/>
    <cacheHierarchy uniqueName="[fArtikliCeni].[Износ]" caption="Износ" attribute="1" defaultMemberUniqueName="[fArtikliCeni].[Износ].[All]" allUniqueName="[fArtikliCeni].[Износ].[All]" dimensionUniqueName="[fArtikliCeni]" displayFolder="" count="0" memberValueDatatype="5" unbalanced="0"/>
    <cacheHierarchy uniqueName="[fArtikliCeni].[Конто]" caption="Конто" attribute="1" defaultMemberUniqueName="[fArtikliCeni].[Конто].[All]" allUniqueName="[fArtikliCeni].[Конто].[All]" dimensionUniqueName="[fArtikliCeni]" displayFolder="" count="0" memberValueDatatype="130" unbalanced="0"/>
    <cacheHierarchy uniqueName="[fArtikliCeni].[ReportType]" caption="ReportType" attribute="1" defaultMemberUniqueName="[fArtikliCeni].[ReportType].[All]" allUniqueName="[fArtikliCeni].[ReportType].[All]" dimensionUniqueName="[fArtikliCeni]" displayFolder="" count="0" memberValueDatatype="130" unbalanced="0"/>
    <cacheHierarchy uniqueName="[fArtikliCeni].[Период]" caption="Период" attribute="1" time="1" defaultMemberUniqueName="[fArtikliCeni].[Период].[All]" allUniqueName="[fArtikliCeni].[Период].[All]" dimensionUniqueName="[fArtikliCeni]" displayFolder="" count="0" memberValueDatatype="7" unbalanced="0"/>
    <cacheHierarchy uniqueName="[fArtikliCeni].[StavkaImeMK]" caption="StavkaImeMK" attribute="1" defaultMemberUniqueName="[fArtikliCeni].[StavkaImeMK].[All]" allUniqueName="[fArtikliCeni].[StavkaImeMK].[All]" dimensionUniqueName="[fArtikliCeni]" displayFolder="" count="0" memberValueDatatype="130" unbalanced="0"/>
    <cacheHierarchy uniqueName="[fArtikliCeni].[StavkaAOP]" caption="StavkaAOP" attribute="1" defaultMemberUniqueName="[fArtikliCeni].[StavkaAOP].[All]" allUniqueName="[fArtikliCeni].[StavkaAOP].[All]" dimensionUniqueName="[fArtikliCeni]" displayFolder="" count="0" memberValueDatatype="130" unbalanced="0"/>
    <cacheHierarchy uniqueName="[fArtikliCeni].[StavkaGrupa]" caption="StavkaGrupa" attribute="1" defaultMemberUniqueName="[fArtikliCeni].[StavkaGrupa].[All]" allUniqueName="[fArtikliCeni].[StavkaGrupa].[All]" dimensionUniqueName="[fArtikliCeni]" displayFolder="" count="0" memberValueDatatype="130" unbalanced="0"/>
    <cacheHierarchy uniqueName="[fArtikliCeni].[StavkaKategorija]" caption="StavkaKategorija" attribute="1" defaultMemberUniqueName="[fArtikliCeni].[StavkaKategorija].[All]" allUniqueName="[fArtikliCeni].[StavkaKategorija].[All]" dimensionUniqueName="[fArtikliCeni]" displayFolder="" count="0" memberValueDatatype="130" unbalanced="0"/>
    <cacheHierarchy uniqueName="[fArtikliCeni].[ObrazecIme]" caption="ObrazecIme" attribute="1" defaultMemberUniqueName="[fArtikliCeni].[ObrazecIme].[All]" allUniqueName="[fArtikliCeni].[ObrazecIme].[All]" dimensionUniqueName="[fArtikliCeni]" displayFolder="" count="0" memberValueDatatype="130" unbalanced="0"/>
    <cacheHierarchy uniqueName="[fCoveckiResursi].[Ставка]" caption="Ставка" attribute="1" defaultMemberUniqueName="[fCoveckiResursi].[Ставка].[All]" allUniqueName="[fCoveckiResursi].[Ставка].[All]" dimensionUniqueName="[fCoveckiResursi]" displayFolder="" count="0" memberValueDatatype="130" unbalanced="0"/>
    <cacheHierarchy uniqueName="[fCoveckiResursi].[Тип на вработување]" caption="Тип на вработување" attribute="1" defaultMemberUniqueName="[fCoveckiResursi].[Тип на вработување].[All]" allUniqueName="[fCoveckiResursi].[Тип на вработување].[All]" dimensionUniqueName="[fCoveckiResursi]" displayFolder="" count="0" memberValueDatatype="130" unbalanced="0"/>
    <cacheHierarchy uniqueName="[fCoveckiResursi].[Планиран прилив/(одлив)]" caption="Планиран прилив/(одлив)" attribute="1" defaultMemberUniqueName="[fCoveckiResursi].[Планиран прилив/(одлив)].[All]" allUniqueName="[fCoveckiResursi].[Планиран прилив/(одлив)].[All]" dimensionUniqueName="[fCoveckiResursi]" displayFolder="" count="0" memberValueDatatype="20" unbalanced="0"/>
    <cacheHierarchy uniqueName="[fCoveckiResursi].[Период]" caption="Период" attribute="1" time="1" defaultMemberUniqueName="[fCoveckiResursi].[Период].[All]" allUniqueName="[fCoveckiResursi].[Период].[All]" dimensionUniqueName="[fCoveckiResursi]" displayFolder="" count="0" memberValueDatatype="7" unbalanced="0"/>
    <cacheHierarchy uniqueName="[fCoveckiResursi].[Крајна состојба вработени]" caption="Крајна состојба вработени" attribute="1" defaultMemberUniqueName="[fCoveckiResursi].[Крајна состојба вработени].[All]" allUniqueName="[fCoveckiResursi].[Крајна состојба вработени].[All]" dimensionUniqueName="[fCoveckiResursi]" displayFolder="" count="0" memberValueDatatype="20" unbalanced="0"/>
    <cacheHierarchy uniqueName="[fCoveckiResursi].[Износ]" caption="Износ" attribute="1" defaultMemberUniqueName="[fCoveckiResursi].[Износ].[All]" allUniqueName="[fCoveckiResursi].[Износ].[All]" dimensionUniqueName="[fCoveckiResursi]" displayFolder="" count="0" memberValueDatatype="20" unbalanced="0"/>
    <cacheHierarchy uniqueName="[fCoveckiResursi].[Конто]" caption="Конто" attribute="1" defaultMemberUniqueName="[fCoveckiResursi].[Конто].[All]" allUniqueName="[fCoveckiResursi].[Конто].[All]" dimensionUniqueName="[fCoveckiResursi]" displayFolder="" count="0" memberValueDatatype="130" unbalanced="0"/>
    <cacheHierarchy uniqueName="[fCoveckiResursi].[ReportType]" caption="ReportType" attribute="1" defaultMemberUniqueName="[fCoveckiResursi].[ReportType].[All]" allUniqueName="[fCoveckiResursi].[ReportType].[All]" dimensionUniqueName="[fCoveckiResursi]" displayFolder="" count="0" memberValueDatatype="130" unbalanced="0"/>
    <cacheHierarchy uniqueName="[fCoveckiResursi].[Период (Year)]" caption="Период (Year)" attribute="1" defaultMemberUniqueName="[fCoveckiResursi].[Период (Year)].[All]" allUniqueName="[fCoveckiResursi].[Период (Year)].[All]" dimensionUniqueName="[fCoveckiResursi]" displayFolder="" count="0" memberValueDatatype="130" unbalanced="0"/>
    <cacheHierarchy uniqueName="[fCoveckiResursi].[Период (Quarter)]" caption="Период (Quarter)" attribute="1" defaultMemberUniqueName="[fCoveckiResursi].[Период (Quarter)].[All]" allUniqueName="[fCoveckiResursi].[Период (Quarter)].[All]" dimensionUniqueName="[fCoveckiResursi]" displayFolder="" count="0" memberValueDatatype="130" unbalanced="0"/>
    <cacheHierarchy uniqueName="[fCoveckiResursi].[Период (Month)]" caption="Период (Month)" attribute="1" defaultMemberUniqueName="[fCoveckiResursi].[Период (Month)].[All]" allUniqueName="[fCoveckiResursi].[Период (Month)].[All]" dimensionUniqueName="[fCoveckiResursi]" displayFolder="" count="0" memberValueDatatype="130" unbalanced="0"/>
    <cacheHierarchy uniqueName="[fCoveckiResursi].[Период (Year) 1]" caption="Период (Year) 1" attribute="1" defaultMemberUniqueName="[fCoveckiResursi].[Период (Year) 1].[All]" allUniqueName="[fCoveckiResursi].[Период (Year) 1].[All]" dimensionUniqueName="[fCoveckiResursi]" displayFolder="" count="0" memberValueDatatype="130" unbalanced="0"/>
    <cacheHierarchy uniqueName="[fCoveckiResursi].[Период (Quarter) 1]" caption="Период (Quarter) 1" attribute="1" defaultMemberUniqueName="[fCoveckiResursi].[Период (Quarter) 1].[All]" allUniqueName="[fCoveckiResursi].[Период (Quarter) 1].[All]" dimensionUniqueName="[fCoveckiResursi]" displayFolder="" count="0" memberValueDatatype="130" unbalanced="0"/>
    <cacheHierarchy uniqueName="[fCoveckiResursi].[Период (Month) 1]" caption="Период (Month) 1" attribute="1" defaultMemberUniqueName="[fCoveckiResursi].[Период (Month) 1].[All]" allUniqueName="[fCoveckiResursi].[Период (Month) 1].[All]" dimensionUniqueName="[fCoveckiResursi]" displayFolder="" count="0" memberValueDatatype="130" unbalanced="0"/>
    <cacheHierarchy uniqueName="[fCoveckiResursi  2].[Ставка]" caption="Ставка" attribute="1" defaultMemberUniqueName="[fCoveckiResursi  2].[Ставка].[All]" allUniqueName="[fCoveckiResursi  2].[Ставка].[All]" dimensionUniqueName="[fCoveckiResursi  2]" displayFolder="" count="0" memberValueDatatype="130" unbalanced="0"/>
    <cacheHierarchy uniqueName="[fCoveckiResursi  2].[Период]" caption="Период" attribute="1" time="1" defaultMemberUniqueName="[fCoveckiResursi  2].[Период].[All]" allUniqueName="[fCoveckiResursi  2].[Период].[All]" dimensionUniqueName="[fCoveckiResursi  2]" displayFolder="" count="0" memberValueDatatype="7" unbalanced="0"/>
    <cacheHierarchy uniqueName="[fCoveckiResursi  2].[Износ]" caption="Износ" attribute="1" defaultMemberUniqueName="[fCoveckiResursi  2].[Износ].[All]" allUniqueName="[fCoveckiResursi  2].[Износ].[All]" dimensionUniqueName="[fCoveckiResursi  2]" displayFolder="" count="0" memberValueDatatype="20" unbalanced="0"/>
    <cacheHierarchy uniqueName="[fCoveckiResursi  2].[Конто]" caption="Конто" attribute="1" defaultMemberUniqueName="[fCoveckiResursi  2].[Конто].[All]" allUniqueName="[fCoveckiResursi  2].[Конто].[All]" dimensionUniqueName="[fCoveckiResursi  2]" displayFolder="" count="0" memberValueDatatype="130" unbalanced="0"/>
    <cacheHierarchy uniqueName="[fCoveckiResursi  2].[ReportType]" caption="ReportType" attribute="1" defaultMemberUniqueName="[fCoveckiResursi  2].[ReportType].[All]" allUniqueName="[fCoveckiResursi  2].[ReportType].[All]" dimensionUniqueName="[fCoveckiResursi  2]" displayFolder="" count="0" memberValueDatatype="130" unbalanced="0"/>
    <cacheHierarchy uniqueName="[fCoveckiResursi  2].[StavkaImeMK]" caption="StavkaImeMK" attribute="1" defaultMemberUniqueName="[fCoveckiResursi  2].[StavkaImeMK].[All]" allUniqueName="[fCoveckiResursi  2].[StavkaImeMK].[All]" dimensionUniqueName="[fCoveckiResursi  2]" displayFolder="" count="0" memberValueDatatype="130" unbalanced="0"/>
    <cacheHierarchy uniqueName="[fCoveckiResursi  2].[StavkaKategorija]" caption="StavkaKategorija" attribute="1" defaultMemberUniqueName="[fCoveckiResursi  2].[StavkaKategorija].[All]" allUniqueName="[fCoveckiResursi  2].[StavkaKategorija].[All]" dimensionUniqueName="[fCoveckiResursi  2]" displayFolder="" count="0" memberValueDatatype="130" unbalanced="0"/>
    <cacheHierarchy uniqueName="[fCoveckiResursi  2].[ObrazecIme]" caption="ObrazecIme" attribute="1" defaultMemberUniqueName="[fCoveckiResursi  2].[ObrazecIme].[All]" allUniqueName="[fCoveckiResursi  2].[ObrazecIme].[All]" dimensionUniqueName="[fCoveckiResursi  2]" displayFolder="" count="0" memberValueDatatype="130" unbalanced="0"/>
    <cacheHierarchy uniqueName="[fOPEX].[Конто]" caption="Конто" attribute="1" defaultMemberUniqueName="[fOPEX].[Конто].[All]" allUniqueName="[fOPEX].[Конто].[All]" dimensionUniqueName="[fOPEX]" displayFolder="" count="0" memberValueDatatype="130" unbalanced="0"/>
    <cacheHierarchy uniqueName="[fOPEX].[Ставка]" caption="Ставка" attribute="1" defaultMemberUniqueName="[fOPEX].[Ставка].[All]" allUniqueName="[fOPEX].[Ставка].[All]" dimensionUniqueName="[fOPEX]" displayFolder="" count="0" memberValueDatatype="130" unbalanced="0"/>
    <cacheHierarchy uniqueName="[fOPEX].[Период]" caption="Период" attribute="1" time="1" defaultMemberUniqueName="[fOPEX].[Период].[All]" allUniqueName="[fOPEX].[Период].[All]" dimensionUniqueName="[fOPEX]" displayFolder="" count="0" memberValueDatatype="7" unbalanced="0"/>
    <cacheHierarchy uniqueName="[fOPEX].[Износ]" caption="Износ" attribute="1" defaultMemberUniqueName="[fOPEX].[Износ].[All]" allUniqueName="[fOPEX].[Износ].[All]" dimensionUniqueName="[fOPEX]" displayFolder="" count="0" memberValueDatatype="20" unbalanced="0"/>
    <cacheHierarchy uniqueName="[fOPEX].[ReportType]" caption="ReportType" attribute="1" defaultMemberUniqueName="[fOPEX].[ReportType].[All]" allUniqueName="[fOPEX].[ReportType].[All]" dimensionUniqueName="[fOPEX]" displayFolder="" count="0" memberValueDatatype="130" unbalanced="0"/>
    <cacheHierarchy uniqueName="[OPEXAnaliza].[Артикл ИД]" caption="Артикл ИД" attribute="1" defaultMemberUniqueName="[OPEXAnaliza].[Артикл ИД].[All]" allUniqueName="[OPEXAnaliza].[Артикл ИД].[All]" dimensionUniqueName="[OPEXAnaliza]" displayFolder="" count="0" memberValueDatatype="20" unbalanced="0"/>
    <cacheHierarchy uniqueName="[OPEXAnaliza].[Ставка]" caption="Ставка" attribute="1" defaultMemberUniqueName="[OPEXAnaliza].[Ставка].[All]" allUniqueName="[OPEXAnaliza].[Ставка].[All]" dimensionUniqueName="[OPEXAnaliza]" displayFolder="" count="0" memberValueDatatype="130" unbalanced="0"/>
    <cacheHierarchy uniqueName="[OPEXAnaliza].[Категорија Артикл ИД]" caption="Категорија Артикл ИД" attribute="1" defaultMemberUniqueName="[OPEXAnaliza].[Категорија Артикл ИД].[All]" allUniqueName="[OPEXAnaliza].[Категорија Артикл ИД].[All]" dimensionUniqueName="[OPEXAnaliza]" displayFolder="" count="0" memberValueDatatype="20" unbalanced="0"/>
    <cacheHierarchy uniqueName="[OPEXAnaliza].[Категорија Артикл]" caption="Категорија Артикл" attribute="1" defaultMemberUniqueName="[OPEXAnaliza].[Категорија Артикл].[All]" allUniqueName="[OPEXAnaliza].[Категорија Артикл].[All]" dimensionUniqueName="[OPEXAnaliza]" displayFolder="" count="0" memberValueDatatype="130" unbalanced="0"/>
    <cacheHierarchy uniqueName="[OPEXAnaliza].[Тип на артикл]" caption="Тип на артикл" attribute="1" defaultMemberUniqueName="[OPEXAnaliza].[Тип на артикл].[All]" allUniqueName="[OPEXAnaliza].[Тип на артикл].[All]" dimensionUniqueName="[OPEXAnaliza]" displayFolder="" count="0" memberValueDatatype="130" unbalanced="0"/>
    <cacheHierarchy uniqueName="[OPEXAnaliza].[Единечна мерка]" caption="Единечна мерка" attribute="1" defaultMemberUniqueName="[OPEXAnaliza].[Единечна мерка].[All]" allUniqueName="[OPEXAnaliza].[Единечна мерка].[All]" dimensionUniqueName="[OPEXAnaliza]" displayFolder="" count="0" memberValueDatatype="130" unbalanced="0"/>
    <cacheHierarchy uniqueName="[OPEXAnaliza].[Количина]" caption="Количина" attribute="1" defaultMemberUniqueName="[OPEXAnaliza].[Количина].[All]" allUniqueName="[OPEXAnaliza].[Количина].[All]" dimensionUniqueName="[OPEXAnaliza]" displayFolder="" count="0" memberValueDatatype="5" unbalanced="0"/>
    <cacheHierarchy uniqueName="[OPEXAnaliza].[Единечна цена]" caption="Единечна цена" attribute="1" defaultMemberUniqueName="[OPEXAnaliza].[Единечна цена].[All]" allUniqueName="[OPEXAnaliza].[Единечна цена].[All]" dimensionUniqueName="[OPEXAnaliza]" displayFolder="" count="0" memberValueDatatype="20" unbalanced="0"/>
    <cacheHierarchy uniqueName="[OPEXAnaliza].[Износ]" caption="Износ" attribute="1" defaultMemberUniqueName="[OPEXAnaliza].[Износ].[All]" allUniqueName="[OPEXAnaliza].[Износ].[All]" dimensionUniqueName="[OPEXAnaliza]" displayFolder="" count="0" memberValueDatatype="5" unbalanced="0"/>
    <cacheHierarchy uniqueName="[OPEXAnaliza].[ДДВ]" caption="ДДВ" attribute="1" defaultMemberUniqueName="[OPEXAnaliza].[ДДВ].[All]" allUniqueName="[OPEXAnaliza].[ДДВ].[All]" dimensionUniqueName="[OPEXAnaliza]" displayFolder="" count="0" memberValueDatatype="5" unbalanced="0"/>
    <cacheHierarchy uniqueName="[OPEXAnaliza].[Вкупно трошок со ДДВ]" caption="Вкупно трошок со ДДВ" attribute="1" defaultMemberUniqueName="[OPEXAnaliza].[Вкупно трошок со ДДВ].[All]" allUniqueName="[OPEXAnaliza].[Вкупно трошок со ДДВ].[All]" dimensionUniqueName="[OPEXAnaliza]" displayFolder="" count="0" memberValueDatatype="5" unbalanced="0"/>
    <cacheHierarchy uniqueName="[OPEXAnaliza].[Конто]" caption="Конто" attribute="1" defaultMemberUniqueName="[OPEXAnaliza].[Конто].[All]" allUniqueName="[OPEXAnaliza].[Конто].[All]" dimensionUniqueName="[OPEXAnaliza]" displayFolder="" count="0" memberValueDatatype="130" unbalanced="0"/>
    <cacheHierarchy uniqueName="[OPEXAnaliza].[Период]" caption="Период" attribute="1" time="1" defaultMemberUniqueName="[OPEXAnaliza].[Период].[All]" allUniqueName="[OPEXAnaliza].[Период].[All]" dimensionUniqueName="[OPEXAnaliza]" displayFolder="" count="0" memberValueDatatype="7" unbalanced="0"/>
    <cacheHierarchy uniqueName="[OPEXAnaliza].[ReportType]" caption="ReportType" attribute="1" defaultMemberUniqueName="[OPEXAnaliza].[ReportType].[All]" allUniqueName="[OPEXAnaliza].[ReportType].[All]" dimensionUniqueName="[OPEXAnaliza]" displayFolder="" count="0" memberValueDatatype="130" unbalanced="0"/>
    <cacheHierarchy uniqueName="[OPEXAnaliza].[StavkaImeMK]" caption="StavkaImeMK" attribute="1" defaultMemberUniqueName="[OPEXAnaliza].[StavkaImeMK].[All]" allUniqueName="[OPEXAnaliza].[StavkaImeMK].[All]" dimensionUniqueName="[OPEXAnaliza]" displayFolder="" count="0" memberValueDatatype="130" unbalanced="0"/>
    <cacheHierarchy uniqueName="[OPEXAnaliza].[StavkaKategorija]" caption="StavkaKategorija" attribute="1" defaultMemberUniqueName="[OPEXAnaliza].[StavkaKategorija].[All]" allUniqueName="[OPEXAnaliza].[StavkaKategorija].[All]" dimensionUniqueName="[OPEXAnaliza]" displayFolder="" count="0" memberValueDatatype="130" unbalanced="0"/>
    <cacheHierarchy uniqueName="[OPEXAnaliza].[ObrazecIme]" caption="ObrazecIme" attribute="1" defaultMemberUniqueName="[OPEXAnaliza].[ObrazecIme].[All]" allUniqueName="[OPEXAnaliza].[ObrazecIme].[All]" dimensionUniqueName="[OPEXAnaliza]" displayFolder="" count="0" memberValueDatatype="130" unbalanced="0"/>
    <cacheHierarchy uniqueName="[OPEXAnaliza].[StavkaImeAOP]" caption="StavkaImeAOP" attribute="1" defaultMemberUniqueName="[OPEXAnaliza].[StavkaImeAOP].[All]" allUniqueName="[OPEXAnaliza].[StavkaImeAOP].[All]" dimensionUniqueName="[OPEXAnaliza]" displayFolder="" count="0" memberValueDatatype="20" unbalanced="0"/>
    <cacheHierarchy uniqueName="[OPEXAnaliza].[Период (Year)]" caption="Период (Year)" attribute="1" defaultMemberUniqueName="[OPEXAnaliza].[Период (Year)].[All]" allUniqueName="[OPEXAnaliza].[Период (Year)].[All]" dimensionUniqueName="[OPEXAnaliza]" displayFolder="" count="0" memberValueDatatype="130" unbalanced="0"/>
    <cacheHierarchy uniqueName="[OPEXAnaliza].[Период (Quarter)]" caption="Период (Quarter)" attribute="1" defaultMemberUniqueName="[OPEXAnaliza].[Период (Quarter)].[All]" allUniqueName="[OPEXAnaliza].[Период (Quarter)].[All]" dimensionUniqueName="[OPEXAnaliza]" displayFolder="" count="0" memberValueDatatype="130" unbalanced="0"/>
    <cacheHierarchy uniqueName="[OPEXAnaliza].[Период (Month)]" caption="Период (Month)" attribute="1" defaultMemberUniqueName="[OPEXAnaliza].[Период (Month)].[All]" allUniqueName="[OPEXAnaliza].[Период (Month)].[All]" dimensionUniqueName="[OPEXAnaliza]" displayFolder="" count="0" memberValueDatatype="130" unbalanced="0"/>
    <cacheHierarchy uniqueName="[rArtikli_HR_Analiza].[Ставка]" caption="Ставка" attribute="1" defaultMemberUniqueName="[rArtikli_HR_Analiza].[Ставка].[All]" allUniqueName="[rArtikli_HR_Analiza].[Ставка].[All]" dimensionUniqueName="[rArtikli_HR_Analiza]" displayFolder="" count="0" memberValueDatatype="130" unbalanced="0"/>
    <cacheHierarchy uniqueName="[rArtikli_HR_Analiza].[Категорија Артикл]" caption="Категорија Артикл" attribute="1" defaultMemberUniqueName="[rArtikli_HR_Analiza].[Категорија Артикл].[All]" allUniqueName="[rArtikli_HR_Analiza].[Категорија Артикл].[All]" dimensionUniqueName="[rArtikli_HR_Analiza]" displayFolder="" count="0" memberValueDatatype="130" unbalanced="0"/>
    <cacheHierarchy uniqueName="[rArtikli_HR_Analiza].[Тип на артикл]" caption="Тип на артикл" attribute="1" defaultMemberUniqueName="[rArtikli_HR_Analiza].[Тип на артикл].[All]" allUniqueName="[rArtikli_HR_Analiza].[Тип на артикл].[All]" dimensionUniqueName="[rArtikli_HR_Analiza]" displayFolder="" count="0" memberValueDatatype="130" unbalanced="0"/>
    <cacheHierarchy uniqueName="[rArtikli_HR_Analiza].[Единечна мерка]" caption="Единечна мерка" attribute="1" defaultMemberUniqueName="[rArtikli_HR_Analiza].[Единечна мерка].[All]" allUniqueName="[rArtikli_HR_Analiza].[Единечна мерка].[All]" dimensionUniqueName="[rArtikli_HR_Analiza]" displayFolder="" count="0" memberValueDatatype="130" unbalanced="0"/>
    <cacheHierarchy uniqueName="[rArtikli_HR_Analiza].[Количина]" caption="Количина" attribute="1" defaultMemberUniqueName="[rArtikli_HR_Analiza].[Количина].[All]" allUniqueName="[rArtikli_HR_Analiza].[Количина].[All]" dimensionUniqueName="[rArtikli_HR_Analiza]" displayFolder="" count="0" memberValueDatatype="5" unbalanced="0"/>
    <cacheHierarchy uniqueName="[rArtikli_HR_Analiza].[Единечна цена]" caption="Единечна цена" attribute="1" defaultMemberUniqueName="[rArtikli_HR_Analiza].[Единечна цена].[All]" allUniqueName="[rArtikli_HR_Analiza].[Единечна цена].[All]" dimensionUniqueName="[rArtikli_HR_Analiza]" displayFolder="" count="0" memberValueDatatype="20" unbalanced="0"/>
    <cacheHierarchy uniqueName="[rArtikli_HR_Analiza].[Вкупно трошок]" caption="Вкупно трошок" attribute="1" defaultMemberUniqueName="[rArtikli_HR_Analiza].[Вкупно трошок].[All]" allUniqueName="[rArtikli_HR_Analiza].[Вкупно трошок].[All]" dimensionUniqueName="[rArtikli_HR_Analiza]" displayFolder="" count="0" memberValueDatatype="5" unbalanced="0"/>
    <cacheHierarchy uniqueName="[rArtikli_HR_Analiza].[ДДВ]" caption="ДДВ" attribute="1" defaultMemberUniqueName="[rArtikli_HR_Analiza].[ДДВ].[All]" allUniqueName="[rArtikli_HR_Analiza].[ДДВ].[All]" dimensionUniqueName="[rArtikli_HR_Analiza]" displayFolder="" count="0" memberValueDatatype="5" unbalanced="0"/>
    <cacheHierarchy uniqueName="[rArtikli_HR_Analiza].[Износ]" caption="Износ" attribute="1" defaultMemberUniqueName="[rArtikli_HR_Analiza].[Износ].[All]" allUniqueName="[rArtikli_HR_Analiza].[Износ].[All]" dimensionUniqueName="[rArtikli_HR_Analiza]" displayFolder="" count="0" memberValueDatatype="5" unbalanced="0"/>
    <cacheHierarchy uniqueName="[rArtikli_HR_Analiza].[Конто]" caption="Конто" attribute="1" defaultMemberUniqueName="[rArtikli_HR_Analiza].[Конто].[All]" allUniqueName="[rArtikli_HR_Analiza].[Конто].[All]" dimensionUniqueName="[rArtikli_HR_Analiza]" displayFolder="" count="0" memberValueDatatype="130" unbalanced="0"/>
    <cacheHierarchy uniqueName="[rArtikli_HR_Analiza].[ReportType]" caption="ReportType" attribute="1" defaultMemberUniqueName="[rArtikli_HR_Analiza].[ReportType].[All]" allUniqueName="[rArtikli_HR_Analiza].[ReportType].[All]" dimensionUniqueName="[rArtikli_HR_Analiza]" displayFolder="" count="0" memberValueDatatype="130" unbalanced="0"/>
    <cacheHierarchy uniqueName="[rArtikli_HR_Analiza].[Период]" caption="Период" attribute="1" time="1" defaultMemberUniqueName="[rArtikli_HR_Analiza].[Период].[All]" allUniqueName="[rArtikli_HR_Analiza].[Период].[All]" dimensionUniqueName="[rArtikli_HR_Analiza]" displayFolder="" count="0" memberValueDatatype="7" unbalanced="0"/>
    <cacheHierarchy uniqueName="[rArtikli_HR_Analiza].[StavkaImeMK]" caption="StavkaImeMK" attribute="1" defaultMemberUniqueName="[rArtikli_HR_Analiza].[StavkaImeMK].[All]" allUniqueName="[rArtikli_HR_Analiza].[StavkaImeMK].[All]" dimensionUniqueName="[rArtikli_HR_Analiza]" displayFolder="" count="0" memberValueDatatype="130" unbalanced="0"/>
    <cacheHierarchy uniqueName="[rArtikli_HR_Analiza].[StavkaAOP]" caption="StavkaAOP" attribute="1" defaultMemberUniqueName="[rArtikli_HR_Analiza].[StavkaAOP].[All]" allUniqueName="[rArtikli_HR_Analiza].[StavkaAOP].[All]" dimensionUniqueName="[rArtikli_HR_Analiza]" displayFolder="" count="0" memberValueDatatype="130" unbalanced="0"/>
    <cacheHierarchy uniqueName="[rArtikli_HR_Analiza].[StavkaGrupa]" caption="StavkaGrupa" attribute="1" defaultMemberUniqueName="[rArtikli_HR_Analiza].[StavkaGrupa].[All]" allUniqueName="[rArtikli_HR_Analiza].[StavkaGrupa].[All]" dimensionUniqueName="[rArtikli_HR_Analiza]" displayFolder="" count="0" memberValueDatatype="130" unbalanced="0"/>
    <cacheHierarchy uniqueName="[rArtikli_HR_Analiza].[StavkaKategorija]" caption="StavkaKategorija" attribute="1" defaultMemberUniqueName="[rArtikli_HR_Analiza].[StavkaKategorija].[All]" allUniqueName="[rArtikli_HR_Analiza].[StavkaKategorija].[All]" dimensionUniqueName="[rArtikli_HR_Analiza]" displayFolder="" count="0" memberValueDatatype="130" unbalanced="0"/>
    <cacheHierarchy uniqueName="[rArtikli_HR_Analiza].[ObrazecIme]" caption="ObrazecIme" attribute="1" defaultMemberUniqueName="[rArtikli_HR_Analiza].[ObrazecIme].[All]" allUniqueName="[rArtikli_HR_Analiza].[ObrazecIme].[All]" dimensionUniqueName="[rArtikli_HR_Analiza]" displayFolder="" count="0" memberValueDatatype="130" unbalanced="0"/>
    <cacheHierarchy uniqueName="[rArtikli_HR_Analiza].[StavkaKategorija.1]" caption="StavkaKategorija.1" attribute="1" defaultMemberUniqueName="[rArtikli_HR_Analiza].[StavkaKategorija.1].[All]" allUniqueName="[rArtikli_HR_Analiza].[StavkaKategorija.1].[All]" dimensionUniqueName="[rArtikli_HR_Analiza]" displayFolder="" count="0" memberValueDatatype="130" unbalanced="0"/>
    <cacheHierarchy uniqueName="[rArtikliAnaliza].[Артикл ИД]" caption="Артикл ИД" attribute="1" defaultMemberUniqueName="[rArtikliAnaliza].[Артикл ИД].[All]" allUniqueName="[rArtikliAnaliza].[Артикл ИД].[All]" dimensionUniqueName="[rArtikliAnaliza]" displayFolder="" count="0" memberValueDatatype="20" unbalanced="0"/>
    <cacheHierarchy uniqueName="[rArtikliAnaliza].[Ставка]" caption="Ставка" attribute="1" defaultMemberUniqueName="[rArtikliAnaliza].[Ставка].[All]" allUniqueName="[rArtikliAnaliza].[Ставка].[All]" dimensionUniqueName="[rArtikliAnaliza]" displayFolder="" count="0" memberValueDatatype="130" unbalanced="0"/>
    <cacheHierarchy uniqueName="[rArtikliAnaliza].[Категорија Артикл ИД]" caption="Категорија Артикл ИД" attribute="1" defaultMemberUniqueName="[rArtikliAnaliza].[Категорија Артикл ИД].[All]" allUniqueName="[rArtikliAnaliza].[Категорија Артикл ИД].[All]" dimensionUniqueName="[rArtikliAnaliza]" displayFolder="" count="0" memberValueDatatype="20" unbalanced="0"/>
    <cacheHierarchy uniqueName="[rArtikliAnaliza].[Категорија Артикл]" caption="Категорија Артикл" attribute="1" defaultMemberUniqueName="[rArtikliAnaliza].[Категорија Артикл].[All]" allUniqueName="[rArtikliAnaliza].[Категорија Артикл].[All]" dimensionUniqueName="[rArtikliAnaliza]" displayFolder="" count="0" memberValueDatatype="130" unbalanced="0"/>
    <cacheHierarchy uniqueName="[rArtikliAnaliza].[Тип на артикл]" caption="Тип на артикл" attribute="1" defaultMemberUniqueName="[rArtikliAnaliza].[Тип на артикл].[All]" allUniqueName="[rArtikliAnaliza].[Тип на артикл].[All]" dimensionUniqueName="[rArtikliAnaliza]" displayFolder="" count="0" memberValueDatatype="130" unbalanced="0"/>
    <cacheHierarchy uniqueName="[rArtikliAnaliza].[Единечна мерка]" caption="Единечна мерка" attribute="1" defaultMemberUniqueName="[rArtikliAnaliza].[Единечна мерка].[All]" allUniqueName="[rArtikliAnaliza].[Единечна мерка].[All]" dimensionUniqueName="[rArtikliAnaliza]" displayFolder="" count="0" memberValueDatatype="130" unbalanced="0"/>
    <cacheHierarchy uniqueName="[rArtikliAnaliza].[Количина]" caption="Количина" attribute="1" defaultMemberUniqueName="[rArtikliAnaliza].[Количина].[All]" allUniqueName="[rArtikliAnaliza].[Количина].[All]" dimensionUniqueName="[rArtikliAnaliza]" displayFolder="" count="0" memberValueDatatype="5" unbalanced="0"/>
    <cacheHierarchy uniqueName="[rArtikliAnaliza].[Единечна цена]" caption="Единечна цена" attribute="1" defaultMemberUniqueName="[rArtikliAnaliza].[Единечна цена].[All]" allUniqueName="[rArtikliAnaliza].[Единечна цена].[All]" dimensionUniqueName="[rArtikliAnaliza]" displayFolder="" count="0" memberValueDatatype="20" unbalanced="0"/>
    <cacheHierarchy uniqueName="[rArtikliAnaliza].[Износ]" caption="Износ" attribute="1" defaultMemberUniqueName="[rArtikliAnaliza].[Износ].[All]" allUniqueName="[rArtikliAnaliza].[Износ].[All]" dimensionUniqueName="[rArtikliAnaliza]" displayFolder="" count="0" memberValueDatatype="5" unbalanced="0"/>
    <cacheHierarchy uniqueName="[rArtikliAnaliza].[ДДВ]" caption="ДДВ" attribute="1" defaultMemberUniqueName="[rArtikliAnaliza].[ДДВ].[All]" allUniqueName="[rArtikliAnaliza].[ДДВ].[All]" dimensionUniqueName="[rArtikliAnaliza]" displayFolder="" count="0" memberValueDatatype="5" unbalanced="0"/>
    <cacheHierarchy uniqueName="[rArtikliAnaliza].[Вкупно трошок со ДДВ]" caption="Вкупно трошок со ДДВ" attribute="1" defaultMemberUniqueName="[rArtikliAnaliza].[Вкупно трошок со ДДВ].[All]" allUniqueName="[rArtikliAnaliza].[Вкупно трошок со ДДВ].[All]" dimensionUniqueName="[rArtikliAnaliza]" displayFolder="" count="0" memberValueDatatype="5" unbalanced="0"/>
    <cacheHierarchy uniqueName="[rArtikliAnaliza].[Конто]" caption="Конто" attribute="1" defaultMemberUniqueName="[rArtikliAnaliza].[Конто].[All]" allUniqueName="[rArtikliAnaliza].[Конто].[All]" dimensionUniqueName="[rArtikliAnaliza]" displayFolder="" count="0" memberValueDatatype="130" unbalanced="0"/>
    <cacheHierarchy uniqueName="[rArtikliAnaliza].[Период]" caption="Период" attribute="1" time="1" defaultMemberUniqueName="[rArtikliAnaliza].[Период].[All]" allUniqueName="[rArtikliAnaliza].[Период].[All]" dimensionUniqueName="[rArtikliAnaliza]" displayFolder="" count="0" memberValueDatatype="7" unbalanced="0"/>
    <cacheHierarchy uniqueName="[rArtikliAnaliza].[ReportType]" caption="ReportType" attribute="1" defaultMemberUniqueName="[rArtikliAnaliza].[ReportType].[All]" allUniqueName="[rArtikliAnaliza].[ReportType].[All]" dimensionUniqueName="[rArtikliAnaliza]" displayFolder="" count="0" memberValueDatatype="130" unbalanced="0"/>
    <cacheHierarchy uniqueName="[rArtikliAnaliza].[StavkaImeMK]" caption="StavkaImeMK" attribute="1" defaultMemberUniqueName="[rArtikliAnaliza].[StavkaImeMK].[All]" allUniqueName="[rArtikliAnaliza].[StavkaImeMK].[All]" dimensionUniqueName="[rArtikliAnaliza]" displayFolder="" count="0" memberValueDatatype="130" unbalanced="0"/>
    <cacheHierarchy uniqueName="[rArtikliAnaliza].[StavkaKategorija]" caption="StavkaKategorija" attribute="1" defaultMemberUniqueName="[rArtikliAnaliza].[StavkaKategorija].[All]" allUniqueName="[rArtikliAnaliza].[StavkaKategorija].[All]" dimensionUniqueName="[rArtikliAnaliza]" displayFolder="" count="0" memberValueDatatype="130" unbalanced="0"/>
    <cacheHierarchy uniqueName="[rArtikliAnaliza].[Период (Year)]" caption="Период (Year)" attribute="1" defaultMemberUniqueName="[rArtikliAnaliza].[Период (Year)].[All]" allUniqueName="[rArtikliAnaliza].[Период (Year)].[All]" dimensionUniqueName="[rArtikliAnaliza]" displayFolder="" count="0" memberValueDatatype="130" unbalanced="0"/>
    <cacheHierarchy uniqueName="[rArtikliAnaliza].[Период (Quarter)]" caption="Период (Quarter)" attribute="1" defaultMemberUniqueName="[rArtikliAnaliza].[Период (Quarter)].[All]" allUniqueName="[rArtikliAnaliza].[Период (Quarter)].[All]" dimensionUniqueName="[rArtikliAnaliza]" displayFolder="" count="0" memberValueDatatype="130" unbalanced="0"/>
    <cacheHierarchy uniqueName="[rArtikliAnaliza].[Период (Month)]" caption="Период (Month)" attribute="1" defaultMemberUniqueName="[rArtikliAnaliza].[Период (Month)].[All]" allUniqueName="[rArtikliAnaliza].[Период (Month)].[All]" dimensionUniqueName="[rArtikliAnaliza]" displayFolder="" count="0" memberValueDatatype="130" unbalanced="0"/>
    <cacheHierarchy uniqueName="[CAPEX].[Очекуван датум за ставање во употреба (месец) (Month Index)]" caption="Очекуван датум за ставање во употреба (месец) (Month Index)" attribute="1" defaultMemberUniqueName="[CAPEX].[Очекуван датум за ставање во употреба (месец) (Month Index)].[All]" allUniqueName="[CAPEX].[Очекуван датум за ставање во употреба (месец) (Month Index)].[All]" dimensionUniqueName="[CAPEX]" displayFolder="" count="0" memberValueDatatype="20" unbalanced="0" hidden="1"/>
    <cacheHierarchy uniqueName="[CAPEX].[Очекуван датум на плаќање (Month Index)]" caption="Очекуван датум на плаќање (Month Index)" attribute="1" defaultMemberUniqueName="[CAPEX].[Очекуван датум на плаќање (Month Index)].[All]" allUniqueName="[CAPEX].[Очекуван датум на плаќање (Month Index)].[All]" dimensionUniqueName="[CAPEX]" displayFolder="" count="0" memberValueDatatype="20" unbalanced="0" hidden="1"/>
    <cacheHierarchy uniqueName="[fActualAndBudget].[StavkaID]" caption="StavkaID" attribute="1" defaultMemberUniqueName="[fActualAndBudget].[StavkaID].[All]" allUniqueName="[fActualAndBudget].[StavkaID].[All]" dimensionUniqueName="[fActualAndBudget]" displayFolder="" count="0" memberValueDatatype="20" unbalanced="0" hidden="1"/>
    <cacheHierarchy uniqueName="[fCoveckiResursi].[Период (Month Index)]" caption="Период (Month Index)" attribute="1" defaultMemberUniqueName="[fCoveckiResursi].[Период (Month Index)].[All]" allUniqueName="[fCoveckiResursi].[Период (Month Index)].[All]" dimensionUniqueName="[fCoveckiResursi]" displayFolder="" count="0" memberValueDatatype="20" unbalanced="0" hidden="1"/>
    <cacheHierarchy uniqueName="[fCoveckiResursi].[Период (Month Index) 1]" caption="Период (Month Index) 1" attribute="1" defaultMemberUniqueName="[fCoveckiResursi].[Период (Month Index) 1].[All]" allUniqueName="[fCoveckiResursi].[Период (Month Index) 1].[All]" dimensionUniqueName="[fCoveckiResursi]" displayFolder="" count="0" memberValueDatatype="20" unbalanced="0" hidden="1"/>
    <cacheHierarchy uniqueName="[OPEXAnaliza].[Период (Month Index)]" caption="Период (Month Index)" attribute="1" defaultMemberUniqueName="[OPEXAnaliza].[Период (Month Index)].[All]" allUniqueName="[OPEXAnaliza].[Период (Month Index)].[All]" dimensionUniqueName="[OPEXAnaliza]" displayFolder="" count="0" memberValueDatatype="20" unbalanced="0" hidden="1"/>
    <cacheHierarchy uniqueName="[rArtikli_HR_Analiza].[Крајна состојба вработени]" caption="Крајна состојба вработени" attribute="1" defaultMemberUniqueName="[rArtikli_HR_Analiza].[Крајна состојба вработени].[All]" allUniqueName="[rArtikli_HR_Analiza].[Крајна состојба вработени].[All]" dimensionUniqueName="[rArtikli_HR_Analiza]" displayFolder="" count="0" memberValueDatatype="20" unbalanced="0" hidden="1"/>
    <cacheHierarchy uniqueName="[rArtikli_HR_Analiza].[Планиран прилив/(одлив)]" caption="Планиран прилив/(одлив)" attribute="1" defaultMemberUniqueName="[rArtikli_HR_Analiza].[Планиран прилив/(одлив)].[All]" allUniqueName="[rArtikli_HR_Analiza].[Планиран прилив/(одлив)].[All]" dimensionUniqueName="[rArtikli_HR_Analiza]" displayFolder="" count="0" memberValueDatatype="20" unbalanced="0" hidden="1"/>
    <cacheHierarchy uniqueName="[rArtikli_HR_Analiza].[Тип на вработување]" caption="Тип на вработување" attribute="1" defaultMemberUniqueName="[rArtikli_HR_Analiza].[Тип на вработување].[All]" allUniqueName="[rArtikli_HR_Analiza].[Тип на вработување].[All]" dimensionUniqueName="[rArtikli_HR_Analiza]" displayFolder="" count="0" memberValueDatatype="130" unbalanced="0" hidden="1"/>
    <cacheHierarchy uniqueName="[rArtikliAnaliza].[Период (Month Index)]" caption="Период (Month Index)" attribute="1" defaultMemberUniqueName="[rArtikliAnaliza].[Период (Month Index)].[All]" allUniqueName="[rArtikliAnaliza].[Период (Month Index)].[All]" dimensionUniqueName="[rArtikliAnaliza]" displayFolder="" count="0" memberValueDatatype="20" unbalanced="0" hidden="1"/>
    <cacheHierarchy uniqueName="[Measures].[__XL_Count Calendar]" caption="__XL_Count Calendar" measure="1" displayFolder="" measureGroup="Calendar" count="0" hidden="1"/>
    <cacheHierarchy uniqueName="[Measures].[__XL_Count CAPEX]" caption="__XL_Count CAPEX" measure="1" displayFolder="" measureGroup="CAPEX" count="0" hidden="1"/>
    <cacheHierarchy uniqueName="[Measures].[__XL_Count Amortizacija]" caption="__XL_Count Amortizacija" measure="1" displayFolder="" measureGroup="Amortizacija" count="0" hidden="1"/>
    <cacheHierarchy uniqueName="[Measures].[__XL_Count fCoveckiResursi]" caption="__XL_Count fCoveckiResursi" measure="1" displayFolder="" measureGroup="fCoveckiResursi" count="0" hidden="1"/>
    <cacheHierarchy uniqueName="[Measures].[__XL_Count fActualAndBudget]" caption="__XL_Count fActualAndBudget" measure="1" displayFolder="" measureGroup="fActualAndBudget" count="0" hidden="1"/>
    <cacheHierarchy uniqueName="[Measures].[__XL_Count fOPEX]" caption="__XL_Count fOPEX" measure="1" displayFolder="" measureGroup="fOPEX" count="0" hidden="1"/>
    <cacheHierarchy uniqueName="[Measures].[__XL_Count OPEXAnaliza]" caption="__XL_Count OPEXAnaliza" measure="1" displayFolder="" measureGroup="OPEXAnaliza" count="0" hidden="1"/>
    <cacheHierarchy uniqueName="[Measures].[__XL_Count rArtikliAnaliza]" caption="__XL_Count rArtikliAnaliza" measure="1" displayFolder="" measureGroup="rArtikliAnaliza" count="0" hidden="1"/>
    <cacheHierarchy uniqueName="[Measures].[__XL_Count fArtikliCeni]" caption="__XL_Count fArtikliCeni" measure="1" displayFolder="" measureGroup="fArtikliCeni" count="0" hidden="1"/>
    <cacheHierarchy uniqueName="[Measures].[__XL_Count rArtikli_HR_Analiza]" caption="__XL_Count rArtikli_HR_Analiza" measure="1" displayFolder="" measureGroup="rArtikli_HR_Analiza" count="0" hidden="1"/>
    <cacheHierarchy uniqueName="[Measures].[__XL_Count fCoveckiResursi  2]" caption="__XL_Count fCoveckiResursi  2" measure="1" displayFolder="" measureGroup="fCoveckiResursi  2" count="0" hidden="1"/>
    <cacheHierarchy uniqueName="[Measures].[__No measures defined]" caption="__No measures defined" measure="1" displayFolder="" count="0" hidden="1"/>
    <cacheHierarchy uniqueName="[Measures].[Sum of Износ 3]" caption="Sum of Износ 3" measure="1" displayFolder="" measureGroup="fCoveckiResursi" count="0" hidden="1">
      <extLst>
        <ext xmlns:x15="http://schemas.microsoft.com/office/spreadsheetml/2010/11/main" uri="{B97F6D7D-B522-45F9-BDA1-12C45D357490}">
          <x15:cacheHierarchy aggregatedColumn="71"/>
        </ext>
      </extLst>
    </cacheHierarchy>
    <cacheHierarchy uniqueName="[Measures].[Sum of Крајна состојба вработени]" caption="Sum of Крајна состојба вработени" measure="1" displayFolder="" measureGroup="fCoveckiResursi" count="0" hidden="1">
      <extLst>
        <ext xmlns:x15="http://schemas.microsoft.com/office/spreadsheetml/2010/11/main" uri="{B97F6D7D-B522-45F9-BDA1-12C45D357490}">
          <x15:cacheHierarchy aggregatedColumn="70"/>
        </ext>
      </extLst>
    </cacheHierarchy>
    <cacheHierarchy uniqueName="[Measures].[Sum of Планиран прилив/(одлив)]" caption="Sum of Планиран прилив/(одлив)" measure="1" displayFolder="" measureGroup="fCoveckiResursi" count="0" hidden="1">
      <extLst>
        <ext xmlns:x15="http://schemas.microsoft.com/office/spreadsheetml/2010/11/main" uri="{B97F6D7D-B522-45F9-BDA1-12C45D357490}">
          <x15:cacheHierarchy aggregatedColumn="68"/>
        </ext>
      </extLst>
    </cacheHierarchy>
    <cacheHierarchy uniqueName="[Measures].[Sum of Износ]" caption="Sum of Износ" measure="1" displayFolder="" measureGroup="fActualAndBudget" count="0" oneField="1" hidden="1">
      <fieldsUsage count="1">
        <fieldUsage x="5"/>
      </fieldsUsage>
      <extLst>
        <ext xmlns:x15="http://schemas.microsoft.com/office/spreadsheetml/2010/11/main" uri="{B97F6D7D-B522-45F9-BDA1-12C45D357490}">
          <x15:cacheHierarchy aggregatedColumn="45"/>
        </ext>
      </extLst>
    </cacheHierarchy>
    <cacheHierarchy uniqueName="[Measures].[Sum of Износ (илјади)]" caption="Sum of Износ (илјади)" measure="1" displayFolder="" measureGroup="fActualAndBudget" count="0" hidden="1">
      <extLst>
        <ext xmlns:x15="http://schemas.microsoft.com/office/spreadsheetml/2010/11/main" uri="{B97F6D7D-B522-45F9-BDA1-12C45D357490}">
          <x15:cacheHierarchy aggregatedColumn="46"/>
        </ext>
      </extLst>
    </cacheHierarchy>
    <cacheHierarchy uniqueName="[Measures].[Sum of Износ1]" caption="Sum of Износ1" measure="1" displayFolder="" measureGroup="fActualAndBudget" count="0" hidden="1">
      <extLst>
        <ext xmlns:x15="http://schemas.microsoft.com/office/spreadsheetml/2010/11/main" uri="{B97F6D7D-B522-45F9-BDA1-12C45D357490}">
          <x15:cacheHierarchy aggregatedColumn="34"/>
        </ext>
      </extLst>
    </cacheHierarchy>
    <cacheHierarchy uniqueName="[Measures].[Sum of Износ 2]" caption="Sum of Износ 2" measure="1" displayFolder="" measureGroup="Amortizacija" count="0" hidden="1">
      <extLst>
        <ext xmlns:x15="http://schemas.microsoft.com/office/spreadsheetml/2010/11/main" uri="{B97F6D7D-B522-45F9-BDA1-12C45D357490}">
          <x15:cacheHierarchy aggregatedColumn="3"/>
        </ext>
      </extLst>
    </cacheHierarchy>
    <cacheHierarchy uniqueName="[Measures].[Sum of Износ 4]" caption="Sum of Износ 4" measure="1" displayFolder="" measureGroup="OPEXAnaliza" count="0" hidden="1">
      <extLst>
        <ext xmlns:x15="http://schemas.microsoft.com/office/spreadsheetml/2010/11/main" uri="{B97F6D7D-B522-45F9-BDA1-12C45D357490}">
          <x15:cacheHierarchy aggregatedColumn="101"/>
        </ext>
      </extLst>
    </cacheHierarchy>
    <cacheHierarchy uniqueName="[Measures].[Sum of Износ донација]" caption="Sum of Износ донација" measure="1" displayFolder="" measureGroup="CAPEX" count="0" hidden="1">
      <extLst>
        <ext xmlns:x15="http://schemas.microsoft.com/office/spreadsheetml/2010/11/main" uri="{B97F6D7D-B522-45F9-BDA1-12C45D357490}">
          <x15:cacheHierarchy aggregatedColumn="24"/>
        </ext>
      </extLst>
    </cacheHierarchy>
    <cacheHierarchy uniqueName="[Measures].[Sum of Вкупно трошок]" caption="Sum of Вкупно трошок" measure="1" displayFolder="" measureGroup="fArtikliCeni" count="0" hidden="1">
      <extLst>
        <ext xmlns:x15="http://schemas.microsoft.com/office/spreadsheetml/2010/11/main" uri="{B97F6D7D-B522-45F9-BDA1-12C45D357490}">
          <x15:cacheHierarchy aggregatedColumn="55"/>
        </ext>
      </extLst>
    </cacheHierarchy>
    <cacheHierarchy uniqueName="[Measures].[Sum of Количина]" caption="Sum of Количина" measure="1" displayFolder="" measureGroup="fArtikliCeni" count="0" hidden="1">
      <extLst>
        <ext xmlns:x15="http://schemas.microsoft.com/office/spreadsheetml/2010/11/main" uri="{B97F6D7D-B522-45F9-BDA1-12C45D357490}">
          <x15:cacheHierarchy aggregatedColumn="53"/>
        </ext>
      </extLst>
    </cacheHierarchy>
    <cacheHierarchy uniqueName="[Measures].[Sum of Единечна цена]" caption="Sum of Единечна цена" measure="1" displayFolder="" measureGroup="fArtikliCeni" count="0" hidden="1">
      <extLst>
        <ext xmlns:x15="http://schemas.microsoft.com/office/spreadsheetml/2010/11/main" uri="{B97F6D7D-B522-45F9-BDA1-12C45D357490}">
          <x15:cacheHierarchy aggregatedColumn="54"/>
        </ext>
      </extLst>
    </cacheHierarchy>
    <cacheHierarchy uniqueName="[Measures].[Sum of ДДВ]" caption="Sum of ДДВ" measure="1" displayFolder="" measureGroup="fArtikliCeni" count="0" hidden="1">
      <extLst>
        <ext xmlns:x15="http://schemas.microsoft.com/office/spreadsheetml/2010/11/main" uri="{B97F6D7D-B522-45F9-BDA1-12C45D357490}">
          <x15:cacheHierarchy aggregatedColumn="56"/>
        </ext>
      </extLst>
    </cacheHierarchy>
    <cacheHierarchy uniqueName="[Measures].[Sum of Износ 6]" caption="Sum of Износ 6" measure="1" displayFolder="" measureGroup="fArtikliCeni" count="0" hidden="1">
      <extLst>
        <ext xmlns:x15="http://schemas.microsoft.com/office/spreadsheetml/2010/11/main" uri="{B97F6D7D-B522-45F9-BDA1-12C45D357490}">
          <x15:cacheHierarchy aggregatedColumn="57"/>
        </ext>
      </extLst>
    </cacheHierarchy>
    <cacheHierarchy uniqueName="[Measures].[Count of Единечна мерка]" caption="Count of Единечна мерка" measure="1" displayFolder="" measureGroup="fArtikliCeni" count="0" hidden="1">
      <extLst>
        <ext xmlns:x15="http://schemas.microsoft.com/office/spreadsheetml/2010/11/main" uri="{B97F6D7D-B522-45F9-BDA1-12C45D357490}">
          <x15:cacheHierarchy aggregatedColumn="52"/>
        </ext>
      </extLst>
    </cacheHierarchy>
    <cacheHierarchy uniqueName="[Measures].[Sum of Количина 2]" caption="Sum of Количина 2" measure="1" displayFolder="" measureGroup="rArtikli_HR_Analiza" count="0" hidden="1">
      <extLst>
        <ext xmlns:x15="http://schemas.microsoft.com/office/spreadsheetml/2010/11/main" uri="{B97F6D7D-B522-45F9-BDA1-12C45D357490}">
          <x15:cacheHierarchy aggregatedColumn="118"/>
        </ext>
      </extLst>
    </cacheHierarchy>
    <cacheHierarchy uniqueName="[Measures].[Sum of Единечна цена 2]" caption="Sum of Единечна цена 2" measure="1" displayFolder="" measureGroup="rArtikli_HR_Analiza" count="0" hidden="1">
      <extLst>
        <ext xmlns:x15="http://schemas.microsoft.com/office/spreadsheetml/2010/11/main" uri="{B97F6D7D-B522-45F9-BDA1-12C45D357490}">
          <x15:cacheHierarchy aggregatedColumn="119"/>
        </ext>
      </extLst>
    </cacheHierarchy>
    <cacheHierarchy uniqueName="[Measures].[Sum of Вкупно трошок 2]" caption="Sum of Вкупно трошок 2" measure="1" displayFolder="" measureGroup="rArtikli_HR_Analiza" count="0" hidden="1">
      <extLst>
        <ext xmlns:x15="http://schemas.microsoft.com/office/spreadsheetml/2010/11/main" uri="{B97F6D7D-B522-45F9-BDA1-12C45D357490}">
          <x15:cacheHierarchy aggregatedColumn="120"/>
        </ext>
      </extLst>
    </cacheHierarchy>
    <cacheHierarchy uniqueName="[Measures].[Sum of ДДВ 2]" caption="Sum of ДДВ 2" measure="1" displayFolder="" measureGroup="rArtikli_HR_Analiza" count="0" hidden="1">
      <extLst>
        <ext xmlns:x15="http://schemas.microsoft.com/office/spreadsheetml/2010/11/main" uri="{B97F6D7D-B522-45F9-BDA1-12C45D357490}">
          <x15:cacheHierarchy aggregatedColumn="121"/>
        </ext>
      </extLst>
    </cacheHierarchy>
    <cacheHierarchy uniqueName="[Measures].[Sum of Износ 7]" caption="Sum of Износ 7" measure="1" displayFolder="" measureGroup="rArtikli_HR_Analiza" count="0" hidden="1">
      <extLst>
        <ext xmlns:x15="http://schemas.microsoft.com/office/spreadsheetml/2010/11/main" uri="{B97F6D7D-B522-45F9-BDA1-12C45D357490}">
          <x15:cacheHierarchy aggregatedColumn="122"/>
        </ext>
      </extLst>
    </cacheHierarchy>
    <cacheHierarchy uniqueName="[Measures].[Sum of Износ 5]" caption="Sum of Износ 5" measure="1" displayFolder="" measureGroup="fCoveckiResursi  2" count="0" hidden="1">
      <extLst>
        <ext xmlns:x15="http://schemas.microsoft.com/office/spreadsheetml/2010/11/main" uri="{B97F6D7D-B522-45F9-BDA1-12C45D357490}">
          <x15:cacheHierarchy aggregatedColumn="82"/>
        </ext>
      </extLst>
    </cacheHierarchy>
    <cacheHierarchy uniqueName="[Measures].[Sum of Проценета вредност на набавка со ДДВ (денари)]" caption="Sum of Проценета вредност на набавка со ДДВ (денари)" measure="1" displayFolder="" measureGroup="CAPEX" count="0" hidden="1">
      <extLst>
        <ext xmlns:x15="http://schemas.microsoft.com/office/spreadsheetml/2010/11/main" uri="{B97F6D7D-B522-45F9-BDA1-12C45D357490}">
          <x15:cacheHierarchy aggregatedColumn="20"/>
        </ext>
      </extLst>
    </cacheHierarchy>
  </cacheHierarchies>
  <kpis count="0"/>
  <dimensions count="12">
    <dimension name="Amortizacija" uniqueName="[Amortizacija]" caption="Amortizacija"/>
    <dimension name="Calendar" uniqueName="[Calendar]" caption="Calendar"/>
    <dimension name="CAPEX" uniqueName="[CAPEX]" caption="CAPEX"/>
    <dimension name="fActualAndBudget" uniqueName="[fActualAndBudget]" caption="fActualAndBudget"/>
    <dimension name="fArtikliCeni" uniqueName="[fArtikliCeni]" caption="fArtikliCeni"/>
    <dimension name="fCoveckiResursi" uniqueName="[fCoveckiResursi]" caption="fCoveckiResursi"/>
    <dimension name="fCoveckiResursi  2" uniqueName="[fCoveckiResursi  2]" caption="fCoveckiResursi  2"/>
    <dimension name="fOPEX" uniqueName="[fOPEX]" caption="fOPEX"/>
    <dimension measure="1" name="Measures" uniqueName="[Measures]" caption="Measures"/>
    <dimension name="OPEXAnaliza" uniqueName="[OPEXAnaliza]" caption="OPEXAnaliza"/>
    <dimension name="rArtikli_HR_Analiza" uniqueName="[rArtikli_HR_Analiza]" caption="rArtikli_HR_Analiza"/>
    <dimension name="rArtikliAnaliza" uniqueName="[rArtikliAnaliza]" caption="rArtikliAnaliza"/>
  </dimensions>
  <measureGroups count="11">
    <measureGroup name="Amortizacija" caption="Amortizacija"/>
    <measureGroup name="Calendar" caption="Calendar"/>
    <measureGroup name="CAPEX" caption="CAPEX"/>
    <measureGroup name="fActualAndBudget" caption="fActualAndBudget"/>
    <measureGroup name="fArtikliCeni" caption="fArtikliCeni"/>
    <measureGroup name="fCoveckiResursi" caption="fCoveckiResursi"/>
    <measureGroup name="fCoveckiResursi  2" caption="fCoveckiResursi  2"/>
    <measureGroup name="fOPEX" caption="fOPEX"/>
    <measureGroup name="OPEXAnaliza" caption="OPEXAnaliza"/>
    <measureGroup name="rArtikli_HR_Analiza" caption="rArtikli_HR_Analiza"/>
    <measureGroup name="rArtikliAnaliza" caption="rArtikliAnaliza"/>
  </measureGroups>
  <maps count="19">
    <map measureGroup="0" dimension="0"/>
    <map measureGroup="0" dimension="1"/>
    <map measureGroup="1" dimension="1"/>
    <map measureGroup="2" dimension="1"/>
    <map measureGroup="2" dimension="2"/>
    <map measureGroup="3" dimension="1"/>
    <map measureGroup="3" dimension="3"/>
    <map measureGroup="4" dimension="4"/>
    <map measureGroup="5" dimension="1"/>
    <map measureGroup="5" dimension="5"/>
    <map measureGroup="6" dimension="1"/>
    <map measureGroup="6" dimension="6"/>
    <map measureGroup="7" dimension="1"/>
    <map measureGroup="7" dimension="7"/>
    <map measureGroup="8" dimension="1"/>
    <map measureGroup="8" dimension="9"/>
    <map measureGroup="9" dimension="10"/>
    <map measureGroup="10" dimension="1"/>
    <map measureGroup="10" dimension="1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ngela Sazdova - Doneva" refreshedDate="44899.978535995368" createdVersion="5" refreshedVersion="6" minRefreshableVersion="3" recordCount="0" supportSubquery="1" supportAdvancedDrill="1" xr:uid="{00000000-000A-0000-FFFF-FFFF11000000}">
  <cacheSource type="external" connectionId="22"/>
  <cacheFields count="9">
    <cacheField name="[Calendar].[Date Hierarchy].[Year]" caption="Year" numFmtId="0" hierarchy="7" level="1">
      <sharedItems containsSemiMixedTypes="0" containsNonDate="0" containsString="0"/>
    </cacheField>
    <cacheField name="[Calendar].[Date Hierarchy].[Month]" caption="Month" numFmtId="0" hierarchy="7" level="2">
      <sharedItems containsSemiMixedTypes="0" containsNonDate="0" containsString="0"/>
    </cacheField>
    <cacheField name="[Calendar].[Date Hierarchy].[DateColumn]" caption="DateColumn" numFmtId="0" hierarchy="7" level="3">
      <sharedItems containsSemiMixedTypes="0" containsNonDate="0" containsString="0"/>
    </cacheField>
    <cacheField name="[fActualAndBudget].[Конто].[Конто]" caption="Конто" numFmtId="0" hierarchy="31" level="1">
      <sharedItems count="127">
        <s v="100001"/>
        <s v="100002"/>
        <s v="100003"/>
        <s v="100004"/>
        <s v="100005"/>
        <s v="100007"/>
        <s v="100009"/>
        <s v="100010"/>
        <s v="1009"/>
        <s v="1020"/>
        <s v="103001"/>
        <s v="103002"/>
        <s v="103003"/>
        <s v="9930"/>
        <s v="2201"/>
        <s v="222001"/>
        <s v="222002"/>
        <s v="222003"/>
        <s v="222004"/>
        <s v="222005"/>
        <s v="222006"/>
        <s v="222007"/>
        <s v="222008"/>
        <s v="222009"/>
        <s v="222010"/>
        <s v="23310"/>
        <s v="2340"/>
        <s v="2343"/>
        <s v="23440"/>
        <s v="23441"/>
        <s v="2345"/>
        <s v="23501"/>
        <s v="23502"/>
        <s v="23503"/>
        <s v="23505"/>
        <s v="23590"/>
        <s v="23591"/>
        <s v="2400"/>
        <s v="2411"/>
        <s v="2420"/>
        <s v="2422"/>
        <s v="2551"/>
        <s v="2552"/>
        <s v="2553"/>
        <s v="2631"/>
        <s v="2940"/>
        <s v="2860"/>
        <s v="120447"/>
        <s v="120448"/>
        <s v="1330"/>
        <s v="1340"/>
        <s v="1350"/>
        <s v="1351"/>
        <s v="1352"/>
        <s v="1353"/>
        <s v="1430"/>
        <s v="14301"/>
        <s v="1450"/>
        <s v="14510"/>
        <s v="14513"/>
        <s v="14516"/>
        <s v="14517"/>
        <s v="14571"/>
        <s v="1622"/>
        <s v="1625"/>
        <s v="1627"/>
        <s v="9001"/>
        <s v="9010"/>
        <s v="9500"/>
        <s v="9400"/>
        <s v="9420"/>
        <s v="94201"/>
        <s v="94202"/>
        <s v="94203"/>
        <s v="9510"/>
        <s v="9980"/>
        <s v="3000"/>
        <s v="3103"/>
        <s v="3109"/>
        <s v="3500"/>
        <s v="3510"/>
        <s v="3550"/>
        <s v="3551"/>
        <s v="3580"/>
        <s v="3590"/>
        <s v="01100"/>
        <s v="011001"/>
        <s v="011002"/>
        <s v="01212"/>
        <s v="01213"/>
        <s v="01218"/>
        <s v="0132"/>
        <s v="0133"/>
        <s v="01341"/>
        <s v="01349"/>
        <s v="0135"/>
        <s v="01363"/>
        <s v="01391"/>
        <s v="01399"/>
        <s v="0150"/>
        <s v="0155"/>
        <s v="01590"/>
        <s v="0161"/>
        <s v="01690"/>
        <s v="0171"/>
        <s v="0172"/>
        <s v="019100"/>
        <s v="0191001"/>
        <s v="0191002"/>
        <s v="01932"/>
        <s v="01933"/>
        <s v="019341"/>
        <s v="019363"/>
        <s v="019391"/>
        <s v="01955"/>
        <s v="0270"/>
        <s v="1221"/>
        <s v="1222"/>
        <s v="0020"/>
        <s v="0030"/>
        <s v="0031"/>
        <s v="006"/>
        <s v="00920"/>
        <s v="00930"/>
        <s v="00931"/>
        <s v="74025" u="1"/>
        <s v="7409" u="1"/>
      </sharedItems>
    </cacheField>
    <cacheField name="[fActualAndBudget].[ReportType].[ReportType]" caption="ReportType" numFmtId="0" hierarchy="35" level="1">
      <sharedItems count="3">
        <s v="Остварено"/>
        <s v="План"/>
        <s v="Предвидување"/>
      </sharedItems>
    </cacheField>
    <cacheField name="[Measures].[Sum of Износ]" caption="Sum of Износ" numFmtId="0" hierarchy="176" level="32767"/>
    <cacheField name="[Calendar].[Година].[Година]" caption="Година" numFmtId="0" hierarchy="8" level="1">
      <sharedItems containsSemiMixedTypes="0" containsString="0" containsNumber="1" containsInteger="1" minValue="2019" maxValue="2019" count="1">
        <n v="2019"/>
      </sharedItems>
      <extLst>
        <ext xmlns:x15="http://schemas.microsoft.com/office/spreadsheetml/2010/11/main" uri="{4F2E5C28-24EA-4eb8-9CBF-B6C8F9C3D259}">
          <x15:cachedUniqueNames>
            <x15:cachedUniqueName index="0" name="[Calendar].[Година].&amp;[2019]"/>
          </x15:cachedUniqueNames>
        </ext>
      </extLst>
    </cacheField>
    <cacheField name="[fActualAndBudget].[ObrazecIme].[ObrazecIme]" caption="ObrazecIme" numFmtId="0" hierarchy="44" level="1">
      <sharedItems containsSemiMixedTypes="0" containsNonDate="0" containsString="0"/>
    </cacheField>
    <cacheField name="[fActualAndBudget].[StavkaKategorija].[StavkaKategorija]" caption="StavkaKategorija" numFmtId="0" hierarchy="40" level="1">
      <sharedItems count="14">
        <s v="1.1. Парични средства"/>
        <s v="1.13. Вонбилансна актива"/>
        <s v="1.14. Краткорочни обврски"/>
        <s v="1.15. Одложено плаќање на трошоци и приходи (ПВР)"/>
        <s v="1.17. Долгорочни обврски"/>
        <s v="1.2. Побарувања"/>
        <s v="1.21. Капитал"/>
        <s v="1.22. Акумулирана добивка"/>
        <s v="1.23. Резерви"/>
        <s v="1.25. Добивка / Загуба за деловната година"/>
        <s v="1.28. Вонбилансна пасива"/>
        <s v="1.3. Залихи"/>
        <s v="1.7. Материјални средства и вложувања во недвижности"/>
        <s v="1.9. Нематеријални средства"/>
      </sharedItems>
    </cacheField>
  </cacheFields>
  <cacheHierarchies count="195">
    <cacheHierarchy uniqueName="[Amortizacija].[Број на јавна набавка (план)]" caption="Број на јавна набавка (план)" attribute="1" defaultMemberUniqueName="[Amortizacija].[Број на јавна набавка (план)].[All]" allUniqueName="[Amortizacija].[Број на јавна набавка (план)].[All]" dimensionUniqueName="[Amortizacija]" displayFolder="" count="0" memberValueDatatype="130" unbalanced="0"/>
    <cacheHierarchy uniqueName="[Amortizacija].[Ставка]" caption="Ставка" attribute="1" defaultMemberUniqueName="[Amortizacija].[Ставка].[All]" allUniqueName="[Amortizacija].[Ставка].[All]" dimensionUniqueName="[Amortizacija]" displayFolder="" count="0" memberValueDatatype="130" unbalanced="0"/>
    <cacheHierarchy uniqueName="[Amortizacija].[Период]" caption="Период" attribute="1" time="1" defaultMemberUniqueName="[Amortizacija].[Период].[All]" allUniqueName="[Amortizacija].[Период].[All]" dimensionUniqueName="[Amortizacija]" displayFolder="" count="0" memberValueDatatype="7" unbalanced="0"/>
    <cacheHierarchy uniqueName="[Amortizacija].[Износ]" caption="Износ" attribute="1" defaultMemberUniqueName="[Amortizacija].[Износ].[All]" allUniqueName="[Amortizacija].[Износ].[All]" dimensionUniqueName="[Amortizacija]" displayFolder="" count="0" memberValueDatatype="20" unbalanced="0"/>
    <cacheHierarchy uniqueName="[Amortizacija].[Конто]" caption="Конто" attribute="1" defaultMemberUniqueName="[Amortizacija].[Конто].[All]" allUniqueName="[Amortizacija].[Конто].[All]" dimensionUniqueName="[Amortizacija]" displayFolder="" count="0" memberValueDatatype="130" unbalanced="0"/>
    <cacheHierarchy uniqueName="[Amortizacija].[ReportType]" caption="ReportType" attribute="1" defaultMemberUniqueName="[Amortizacija].[ReportType].[All]" allUniqueName="[Amortizacija].[ReportType].[All]" dimensionUniqueName="[Amortizacija]" displayFolder="" count="0" memberValueDatatype="130" unbalanced="0"/>
    <cacheHierarchy uniqueName="[Calendar].[Date]" caption="Date" attribute="1" time="1" keyAttribute="1" defaultMemberUniqueName="[Calendar].[Date].[All]" allUniqueName="[Calendar].[Date].[All]" dimensionUniqueName="[Calendar]" displayFolder="" count="0" memberValueDatatype="7" unbalanced="0"/>
    <cacheHierarchy uniqueName="[Calendar].[Date Hierarchy]" caption="Date Hierarchy" time="1" defaultMemberUniqueName="[Calendar].[Date Hierarchy].[All]" allUniqueName="[Calendar].[Date Hierarchy].[All]" dimensionUniqueName="[Calendar]" displayFolder="" count="4" unbalanced="0">
      <fieldsUsage count="4">
        <fieldUsage x="-1"/>
        <fieldUsage x="0"/>
        <fieldUsage x="1"/>
        <fieldUsage x="2"/>
      </fieldsUsage>
    </cacheHierarchy>
    <cacheHierarchy uniqueName="[Calendar].[Година]" caption="Година" attribute="1" time="1" defaultMemberUniqueName="[Calendar].[Година].[All]" allUniqueName="[Calendar].[Година].[All]" dimensionUniqueName="[Calendar]" displayFolder="" count="2" memberValueDatatype="20" unbalanced="0">
      <fieldsUsage count="2">
        <fieldUsage x="-1"/>
        <fieldUsage x="6"/>
      </fieldsUsage>
    </cacheHierarchy>
    <cacheHierarchy uniqueName="[Calendar].[Month Number]" caption="Month Number" attribute="1" time="1" defaultMemberUniqueName="[Calendar].[Month Number].[All]" allUniqueName="[Calendar].[Month Number].[All]" dimensionUniqueName="[Calendar]" displayFolder="" count="0" memberValueDatatype="20" unbalanced="0"/>
    <cacheHierarchy uniqueName="[Calendar].[Месец]" caption="Месец" attribute="1" time="1" defaultMemberUniqueName="[Calendar].[Месец].[All]" allUniqueName="[Calendar].[Месец].[All]" dimensionUniqueName="[Calendar]" displayFolder="" count="0" memberValueDatatype="130" unbalanced="0"/>
    <cacheHierarchy uniqueName="[Calendar].[MMM-YYYY]" caption="MMM-YYYY" attribute="1" time="1" defaultMemberUniqueName="[Calendar].[MMM-YYYY].[All]" allUniqueName="[Calendar].[MMM-YYYY].[All]" dimensionUniqueName="[Calendar]" displayFolder="" count="0" memberValueDatatype="130" unbalanced="0"/>
    <cacheHierarchy uniqueName="[Calendar].[Day Of Week Number]" caption="Day Of Week Number" attribute="1" time="1" defaultMemberUniqueName="[Calendar].[Day Of Week Number].[All]" allUniqueName="[Calendar].[Day Of Week Number].[All]" dimensionUniqueName="[Calendar]" displayFolder="" count="0" memberValueDatatype="20" unbalanced="0"/>
    <cacheHierarchy uniqueName="[Calendar].[Day Of Week]" caption="Day Of Week" attribute="1" time="1" defaultMemberUniqueName="[Calendar].[Day Of Week].[All]" allUniqueName="[Calendar].[Day Of Week].[All]" dimensionUniqueName="[Calendar]" displayFolder="" count="0" memberValueDatatype="130" unbalanced="0"/>
    <cacheHierarchy uniqueName="[Calendar].[Квартал]" caption="Квартал" attribute="1" time="1" defaultMemberUniqueName="[Calendar].[Квартал].[All]" allUniqueName="[Calendar].[Квартал].[All]" dimensionUniqueName="[Calendar]" displayFolder="" count="0" memberValueDatatype="7" unbalanced="0"/>
    <cacheHierarchy uniqueName="[CAPEX].[Година за реализација на проект]" caption="Година за реализација на проект" attribute="1" defaultMemberUniqueName="[CAPEX].[Година за реализација на проект].[All]" allUniqueName="[CAPEX].[Година за реализација на проект].[All]" dimensionUniqueName="[CAPEX]" displayFolder="" count="0" memberValueDatatype="20" unbalanced="0"/>
    <cacheHierarchy uniqueName="[CAPEX].[Број на јавна набавка (план)]" caption="Број на јавна набавка (план)" attribute="1" defaultMemberUniqueName="[CAPEX].[Број на јавна набавка (план)].[All]" allUniqueName="[CAPEX].[Број на јавна набавка (план)].[All]" dimensionUniqueName="[CAPEX]" displayFolder="" count="0" memberValueDatatype="130" unbalanced="0"/>
    <cacheHierarchy uniqueName="[CAPEX].[Предмет на договорот за јавна набавка]" caption="Предмет на договорот за јавна набавка" attribute="1" defaultMemberUniqueName="[CAPEX].[Предмет на договорот за јавна набавка].[All]" allUniqueName="[CAPEX].[Предмет на договорот за јавна набавка].[All]" dimensionUniqueName="[CAPEX]" displayFolder="" count="0" memberValueDatatype="130" unbalanced="0"/>
    <cacheHierarchy uniqueName="[CAPEX].[Очекуван датум на плаќање]" caption="Очекуван датум на плаќање" attribute="1" time="1" defaultMemberUniqueName="[CAPEX].[Очекуван датум на плаќање].[All]" allUniqueName="[CAPEX].[Очекуван датум на плаќање].[All]" dimensionUniqueName="[CAPEX]" displayFolder="" count="0" memberValueDatatype="7" unbalanced="0"/>
    <cacheHierarchy uniqueName="[CAPEX].[Очекуван датум за ставање во употреба (месец)]" caption="Очекуван датум за ставање во употреба (месец)" attribute="1" time="1" defaultMemberUniqueName="[CAPEX].[Очекуван датум за ставање во употреба (месец)].[All]" allUniqueName="[CAPEX].[Очекуван датум за ставање во употреба (месец)].[All]" dimensionUniqueName="[CAPEX]" displayFolder="" count="0" memberValueDatatype="7" unbalanced="0"/>
    <cacheHierarchy uniqueName="[CAPEX].[Проценета вредност на набавка со ДДВ (денари)]" caption="Проценета вредност на набавка со ДДВ (денари)" attribute="1" defaultMemberUniqueName="[CAPEX].[Проценета вредност на набавка со ДДВ (денари)].[All]" allUniqueName="[CAPEX].[Проценета вредност на набавка со ДДВ (денари)].[All]" dimensionUniqueName="[CAPEX]" displayFolder="" count="0" memberValueDatatype="20" unbalanced="0"/>
    <cacheHierarchy uniqueName="[CAPEX].[Стапка на амортизација]" caption="Стапка на амортизација" attribute="1" defaultMemberUniqueName="[CAPEX].[Стапка на амортизација].[All]" allUniqueName="[CAPEX].[Стапка на амортизација].[All]" dimensionUniqueName="[CAPEX]" displayFolder="" count="0" memberValueDatatype="5" unbalanced="0"/>
    <cacheHierarchy uniqueName="[CAPEX].[Конто Средства]" caption="Конто Средства" attribute="1" defaultMemberUniqueName="[CAPEX].[Конто Средства].[All]" allUniqueName="[CAPEX].[Конто Средства].[All]" dimensionUniqueName="[CAPEX]" displayFolder="" count="0" memberValueDatatype="130" unbalanced="0"/>
    <cacheHierarchy uniqueName="[CAPEX].[Конто Амортизација]" caption="Конто Амортизација" attribute="1" defaultMemberUniqueName="[CAPEX].[Конто Амортизација].[All]" allUniqueName="[CAPEX].[Конто Амортизација].[All]" dimensionUniqueName="[CAPEX]" displayFolder="" count="0" memberValueDatatype="130" unbalanced="0"/>
    <cacheHierarchy uniqueName="[CAPEX].[Износ донација]" caption="Износ донација" attribute="1" defaultMemberUniqueName="[CAPEX].[Износ донација].[All]" allUniqueName="[CAPEX].[Износ донација].[All]" dimensionUniqueName="[CAPEX]" displayFolder="" count="0" memberValueDatatype="20" unbalanced="0"/>
    <cacheHierarchy uniqueName="[CAPEX].[Очекуван датум на плаќање (Year)]" caption="Очекуван датум на плаќање (Year)" attribute="1" defaultMemberUniqueName="[CAPEX].[Очекуван датум на плаќање (Year)].[All]" allUniqueName="[CAPEX].[Очекуван датум на плаќање (Year)].[All]" dimensionUniqueName="[CAPEX]" displayFolder="" count="0" memberValueDatatype="130" unbalanced="0"/>
    <cacheHierarchy uniqueName="[CAPEX].[Очекуван датум на плаќање (Quarter)]" caption="Очекуван датум на плаќање (Quarter)" attribute="1" defaultMemberUniqueName="[CAPEX].[Очекуван датум на плаќање (Quarter)].[All]" allUniqueName="[CAPEX].[Очекуван датум на плаќање (Quarter)].[All]" dimensionUniqueName="[CAPEX]" displayFolder="" count="0" memberValueDatatype="130" unbalanced="0"/>
    <cacheHierarchy uniqueName="[CAPEX].[Очекуван датум на плаќање (Month)]" caption="Очекуван датум на плаќање (Month)" attribute="1" defaultMemberUniqueName="[CAPEX].[Очекуван датум на плаќање (Month)].[All]" allUniqueName="[CAPEX].[Очекуван датум на плаќање (Month)].[All]" dimensionUniqueName="[CAPEX]" displayFolder="" count="0" memberValueDatatype="130" unbalanced="0"/>
    <cacheHierarchy uniqueName="[CAPEX].[Очекуван датум за ставање во употреба (месец) (Year)]" caption="Очекуван датум за ставање во употреба (месец) (Year)" attribute="1" defaultMemberUniqueName="[CAPEX].[Очекуван датум за ставање во употреба (месец) (Year)].[All]" allUniqueName="[CAPEX].[Очекуван датум за ставање во употреба (месец) (Year)].[All]" dimensionUniqueName="[CAPEX]" displayFolder="" count="0" memberValueDatatype="130" unbalanced="0"/>
    <cacheHierarchy uniqueName="[CAPEX].[Очекуван датум за ставање во употреба (месец) (Quarter)]" caption="Очекуван датум за ставање во употреба (месец) (Quarter)" attribute="1" defaultMemberUniqueName="[CAPEX].[Очекуван датум за ставање во употреба (месец) (Quarter)].[All]" allUniqueName="[CAPEX].[Очекуван датум за ставање во употреба (месец) (Quarter)].[All]" dimensionUniqueName="[CAPEX]" displayFolder="" count="0" memberValueDatatype="130" unbalanced="0"/>
    <cacheHierarchy uniqueName="[CAPEX].[Очекуван датум за ставање во употреба (месец) (Month)]" caption="Очекуван датум за ставање во употреба (месец) (Month)" attribute="1" defaultMemberUniqueName="[CAPEX].[Очекуван датум за ставање во употреба (месец) (Month)].[All]" allUniqueName="[CAPEX].[Очекуван датум за ставање во употреба (месец) (Month)].[All]" dimensionUniqueName="[CAPEX]" displayFolder="" count="0" memberValueDatatype="130" unbalanced="0"/>
    <cacheHierarchy uniqueName="[fActualAndBudget].[Конто]" caption="Конто" attribute="1" defaultMemberUniqueName="[fActualAndBudget].[Конто].[All]" allUniqueName="[fActualAndBudget].[Конто].[All]" dimensionUniqueName="[fActualAndBudget]" displayFolder="" count="2" memberValueDatatype="130" unbalanced="0">
      <fieldsUsage count="2">
        <fieldUsage x="-1"/>
        <fieldUsage x="3"/>
      </fieldsUsage>
    </cacheHierarchy>
    <cacheHierarchy uniqueName="[fActualAndBudget].[Назив на конто]" caption="Назив на конто" attribute="1" defaultMemberUniqueName="[fActualAndBudget].[Назив на конто].[All]" allUniqueName="[fActualAndBudget].[Назив на конто].[All]" dimensionUniqueName="[fActualAndBudget]" displayFolder="" count="0" memberValueDatatype="130" unbalanced="0"/>
    <cacheHierarchy uniqueName="[fActualAndBudget].[Период]" caption="Период" attribute="1" time="1" defaultMemberUniqueName="[fActualAndBudget].[Период].[All]" allUniqueName="[fActualAndBudget].[Период].[All]" dimensionUniqueName="[fActualAndBudget]" displayFolder="" count="0" memberValueDatatype="7" unbalanced="0"/>
    <cacheHierarchy uniqueName="[fActualAndBudget].[Износ1]" caption="Износ1" attribute="1" defaultMemberUniqueName="[fActualAndBudget].[Износ1].[All]" allUniqueName="[fActualAndBudget].[Износ1].[All]" dimensionUniqueName="[fActualAndBudget]" displayFolder="" count="0" memberValueDatatype="20" unbalanced="0"/>
    <cacheHierarchy uniqueName="[fActualAndBudget].[ReportType]" caption="ReportType" attribute="1" defaultMemberUniqueName="[fActualAndBudget].[ReportType].[All]" allUniqueName="[fActualAndBudget].[ReportType].[All]" dimensionUniqueName="[fActualAndBudget]" displayFolder="" count="2" memberValueDatatype="130" unbalanced="0">
      <fieldsUsage count="2">
        <fieldUsage x="-1"/>
        <fieldUsage x="4"/>
      </fieldsUsage>
    </cacheHierarchy>
    <cacheHierarchy uniqueName="[fActualAndBudget].[Ставка]" caption="Ставка" attribute="1" defaultMemberUniqueName="[fActualAndBudget].[Ставка].[All]" allUniqueName="[fActualAndBudget].[Ставка].[All]" dimensionUniqueName="[fActualAndBudget]" displayFolder="" count="0" memberValueDatatype="130" unbalanced="0"/>
    <cacheHierarchy uniqueName="[fActualAndBudget].[Број на јавна набавка (план)]" caption="Број на јавна набавка (план)" attribute="1" defaultMemberUniqueName="[fActualAndBudget].[Број на јавна набавка (план)].[All]" allUniqueName="[fActualAndBudget].[Број на јавна набавка (план)].[All]" dimensionUniqueName="[fActualAndBudget]" displayFolder="" count="0" memberValueDatatype="130" unbalanced="0"/>
    <cacheHierarchy uniqueName="[fActualAndBudget].[StavkaImeMK]" caption="StavkaImeMK" attribute="1" defaultMemberUniqueName="[fActualAndBudget].[StavkaImeMK].[All]" allUniqueName="[fActualAndBudget].[StavkaImeMK].[All]" dimensionUniqueName="[fActualAndBudget]" displayFolder="" count="0" memberValueDatatype="130" unbalanced="0"/>
    <cacheHierarchy uniqueName="[fActualAndBudget].[StavkaGrupa]" caption="StavkaGrupa" attribute="1" defaultMemberUniqueName="[fActualAndBudget].[StavkaGrupa].[All]" allUniqueName="[fActualAndBudget].[StavkaGrupa].[All]" dimensionUniqueName="[fActualAndBudget]" displayFolder="" count="0" memberValueDatatype="130" unbalanced="0"/>
    <cacheHierarchy uniqueName="[fActualAndBudget].[StavkaKategorija]" caption="StavkaKategorija" attribute="1" defaultMemberUniqueName="[fActualAndBudget].[StavkaKategorija].[All]" allUniqueName="[fActualAndBudget].[StavkaKategorija].[All]" dimensionUniqueName="[fActualAndBudget]" displayFolder="" count="2" memberValueDatatype="130" unbalanced="0">
      <fieldsUsage count="2">
        <fieldUsage x="-1"/>
        <fieldUsage x="8"/>
      </fieldsUsage>
    </cacheHierarchy>
    <cacheHierarchy uniqueName="[fActualAndBudget].[ZnakIzvestaj]" caption="ZnakIzvestaj" attribute="1" defaultMemberUniqueName="[fActualAndBudget].[ZnakIzvestaj].[All]" allUniqueName="[fActualAndBudget].[ZnakIzvestaj].[All]" dimensionUniqueName="[fActualAndBudget]" displayFolder="" count="0" memberValueDatatype="20" unbalanced="0"/>
    <cacheHierarchy uniqueName="[fActualAndBudget].[ObrazecID]" caption="ObrazecID" attribute="1" defaultMemberUniqueName="[fActualAndBudget].[ObrazecID].[All]" allUniqueName="[fActualAndBudget].[ObrazecID].[All]" dimensionUniqueName="[fActualAndBudget]" displayFolder="" count="0" memberValueDatatype="20" unbalanced="0"/>
    <cacheHierarchy uniqueName="[fActualAndBudget].[StavkaAOP]" caption="StavkaAOP" attribute="1" defaultMemberUniqueName="[fActualAndBudget].[StavkaAOP].[All]" allUniqueName="[fActualAndBudget].[StavkaAOP].[All]" dimensionUniqueName="[fActualAndBudget]" displayFolder="" count="0" memberValueDatatype="130" unbalanced="0"/>
    <cacheHierarchy uniqueName="[fActualAndBudget].[ObrazecIme]" caption="ObrazecIme" attribute="1" defaultMemberUniqueName="[fActualAndBudget].[ObrazecIme].[All]" allUniqueName="[fActualAndBudget].[ObrazecIme].[All]" dimensionUniqueName="[fActualAndBudget]" displayFolder="" count="2" memberValueDatatype="130" unbalanced="0">
      <fieldsUsage count="2">
        <fieldUsage x="-1"/>
        <fieldUsage x="7"/>
      </fieldsUsage>
    </cacheHierarchy>
    <cacheHierarchy uniqueName="[fActualAndBudget].[Износ]" caption="Износ" attribute="1" defaultMemberUniqueName="[fActualAndBudget].[Износ].[All]" allUniqueName="[fActualAndBudget].[Износ].[All]" dimensionUniqueName="[fActualAndBudget]" displayFolder="" count="0" memberValueDatatype="20" unbalanced="0"/>
    <cacheHierarchy uniqueName="[fActualAndBudget].[Износ (илјади)]" caption="Износ (илјади)" attribute="1" defaultMemberUniqueName="[fActualAndBudget].[Износ (илјади)].[All]" allUniqueName="[fActualAndBudget].[Износ (илјади)].[All]" dimensionUniqueName="[fActualAndBudget]" displayFolder="" count="0" memberValueDatatype="5" unbalanced="0"/>
    <cacheHierarchy uniqueName="[fActualAndBudget].[StavkaImeAOP]" caption="StavkaImeAOP" attribute="1" defaultMemberUniqueName="[fActualAndBudget].[StavkaImeAOP].[All]" allUniqueName="[fActualAndBudget].[StavkaImeAOP].[All]" dimensionUniqueName="[fActualAndBudget]" displayFolder="" count="0" memberValueDatatype="130" unbalanced="0"/>
    <cacheHierarchy uniqueName="[fActualAndBudget].[Конто Ставка]" caption="Конто Ставка" attribute="1" defaultMemberUniqueName="[fActualAndBudget].[Конто Ставка].[All]" allUniqueName="[fActualAndBudget].[Конто Ставка].[All]" dimensionUniqueName="[fActualAndBudget]" displayFolder="" count="0" memberValueDatatype="130" unbalanced="0"/>
    <cacheHierarchy uniqueName="[fArtikliCeni].[Ставка]" caption="Ставка" attribute="1" defaultMemberUniqueName="[fArtikliCeni].[Ставка].[All]" allUniqueName="[fArtikliCeni].[Ставка].[All]" dimensionUniqueName="[fArtikliCeni]" displayFolder="" count="0" memberValueDatatype="130" unbalanced="0"/>
    <cacheHierarchy uniqueName="[fArtikliCeni].[Категорија Артикл]" caption="Категорија Артикл" attribute="1" defaultMemberUniqueName="[fArtikliCeni].[Категорија Артикл].[All]" allUniqueName="[fArtikliCeni].[Категорија Артикл].[All]" dimensionUniqueName="[fArtikliCeni]" displayFolder="" count="0" memberValueDatatype="130" unbalanced="0"/>
    <cacheHierarchy uniqueName="[fArtikliCeni].[Тип на артикл]" caption="Тип на артикл" attribute="1" defaultMemberUniqueName="[fArtikliCeni].[Тип на артикл].[All]" allUniqueName="[fArtikliCeni].[Тип на артикл].[All]" dimensionUniqueName="[fArtikliCeni]" displayFolder="" count="0" memberValueDatatype="130" unbalanced="0"/>
    <cacheHierarchy uniqueName="[fArtikliCeni].[Единечна мерка]" caption="Единечна мерка" attribute="1" defaultMemberUniqueName="[fArtikliCeni].[Единечна мерка].[All]" allUniqueName="[fArtikliCeni].[Единечна мерка].[All]" dimensionUniqueName="[fArtikliCeni]" displayFolder="" count="0" memberValueDatatype="130" unbalanced="0"/>
    <cacheHierarchy uniqueName="[fArtikliCeni].[Количина]" caption="Количина" attribute="1" defaultMemberUniqueName="[fArtikliCeni].[Количина].[All]" allUniqueName="[fArtikliCeni].[Количина].[All]" dimensionUniqueName="[fArtikliCeni]" displayFolder="" count="0" memberValueDatatype="5" unbalanced="0"/>
    <cacheHierarchy uniqueName="[fArtikliCeni].[Единечна цена]" caption="Единечна цена" attribute="1" defaultMemberUniqueName="[fArtikliCeni].[Единечна цена].[All]" allUniqueName="[fArtikliCeni].[Единечна цена].[All]" dimensionUniqueName="[fArtikliCeni]" displayFolder="" count="0" memberValueDatatype="20" unbalanced="0"/>
    <cacheHierarchy uniqueName="[fArtikliCeni].[Вкупно трошок]" caption="Вкупно трошок" attribute="1" defaultMemberUniqueName="[fArtikliCeni].[Вкупно трошок].[All]" allUniqueName="[fArtikliCeni].[Вкупно трошок].[All]" dimensionUniqueName="[fArtikliCeni]" displayFolder="" count="0" memberValueDatatype="5" unbalanced="0"/>
    <cacheHierarchy uniqueName="[fArtikliCeni].[ДДВ]" caption="ДДВ" attribute="1" defaultMemberUniqueName="[fArtikliCeni].[ДДВ].[All]" allUniqueName="[fArtikliCeni].[ДДВ].[All]" dimensionUniqueName="[fArtikliCeni]" displayFolder="" count="0" memberValueDatatype="5" unbalanced="0"/>
    <cacheHierarchy uniqueName="[fArtikliCeni].[Износ]" caption="Износ" attribute="1" defaultMemberUniqueName="[fArtikliCeni].[Износ].[All]" allUniqueName="[fArtikliCeni].[Износ].[All]" dimensionUniqueName="[fArtikliCeni]" displayFolder="" count="0" memberValueDatatype="5" unbalanced="0"/>
    <cacheHierarchy uniqueName="[fArtikliCeni].[Конто]" caption="Конто" attribute="1" defaultMemberUniqueName="[fArtikliCeni].[Конто].[All]" allUniqueName="[fArtikliCeni].[Конто].[All]" dimensionUniqueName="[fArtikliCeni]" displayFolder="" count="0" memberValueDatatype="130" unbalanced="0"/>
    <cacheHierarchy uniqueName="[fArtikliCeni].[ReportType]" caption="ReportType" attribute="1" defaultMemberUniqueName="[fArtikliCeni].[ReportType].[All]" allUniqueName="[fArtikliCeni].[ReportType].[All]" dimensionUniqueName="[fArtikliCeni]" displayFolder="" count="0" memberValueDatatype="130" unbalanced="0"/>
    <cacheHierarchy uniqueName="[fArtikliCeni].[Период]" caption="Период" attribute="1" time="1" defaultMemberUniqueName="[fArtikliCeni].[Период].[All]" allUniqueName="[fArtikliCeni].[Период].[All]" dimensionUniqueName="[fArtikliCeni]" displayFolder="" count="0" memberValueDatatype="7" unbalanced="0"/>
    <cacheHierarchy uniqueName="[fArtikliCeni].[StavkaImeMK]" caption="StavkaImeMK" attribute="1" defaultMemberUniqueName="[fArtikliCeni].[StavkaImeMK].[All]" allUniqueName="[fArtikliCeni].[StavkaImeMK].[All]" dimensionUniqueName="[fArtikliCeni]" displayFolder="" count="0" memberValueDatatype="130" unbalanced="0"/>
    <cacheHierarchy uniqueName="[fArtikliCeni].[StavkaAOP]" caption="StavkaAOP" attribute="1" defaultMemberUniqueName="[fArtikliCeni].[StavkaAOP].[All]" allUniqueName="[fArtikliCeni].[StavkaAOP].[All]" dimensionUniqueName="[fArtikliCeni]" displayFolder="" count="0" memberValueDatatype="130" unbalanced="0"/>
    <cacheHierarchy uniqueName="[fArtikliCeni].[StavkaGrupa]" caption="StavkaGrupa" attribute="1" defaultMemberUniqueName="[fArtikliCeni].[StavkaGrupa].[All]" allUniqueName="[fArtikliCeni].[StavkaGrupa].[All]" dimensionUniqueName="[fArtikliCeni]" displayFolder="" count="0" memberValueDatatype="130" unbalanced="0"/>
    <cacheHierarchy uniqueName="[fArtikliCeni].[StavkaKategorija]" caption="StavkaKategorija" attribute="1" defaultMemberUniqueName="[fArtikliCeni].[StavkaKategorija].[All]" allUniqueName="[fArtikliCeni].[StavkaKategorija].[All]" dimensionUniqueName="[fArtikliCeni]" displayFolder="" count="0" memberValueDatatype="130" unbalanced="0"/>
    <cacheHierarchy uniqueName="[fArtikliCeni].[ObrazecIme]" caption="ObrazecIme" attribute="1" defaultMemberUniqueName="[fArtikliCeni].[ObrazecIme].[All]" allUniqueName="[fArtikliCeni].[ObrazecIme].[All]" dimensionUniqueName="[fArtikliCeni]" displayFolder="" count="0" memberValueDatatype="130" unbalanced="0"/>
    <cacheHierarchy uniqueName="[fCoveckiResursi].[Ставка]" caption="Ставка" attribute="1" defaultMemberUniqueName="[fCoveckiResursi].[Ставка].[All]" allUniqueName="[fCoveckiResursi].[Ставка].[All]" dimensionUniqueName="[fCoveckiResursi]" displayFolder="" count="0" memberValueDatatype="130" unbalanced="0"/>
    <cacheHierarchy uniqueName="[fCoveckiResursi].[Тип на вработување]" caption="Тип на вработување" attribute="1" defaultMemberUniqueName="[fCoveckiResursi].[Тип на вработување].[All]" allUniqueName="[fCoveckiResursi].[Тип на вработување].[All]" dimensionUniqueName="[fCoveckiResursi]" displayFolder="" count="0" memberValueDatatype="130" unbalanced="0"/>
    <cacheHierarchy uniqueName="[fCoveckiResursi].[Планиран прилив/(одлив)]" caption="Планиран прилив/(одлив)" attribute="1" defaultMemberUniqueName="[fCoveckiResursi].[Планиран прилив/(одлив)].[All]" allUniqueName="[fCoveckiResursi].[Планиран прилив/(одлив)].[All]" dimensionUniqueName="[fCoveckiResursi]" displayFolder="" count="0" memberValueDatatype="20" unbalanced="0"/>
    <cacheHierarchy uniqueName="[fCoveckiResursi].[Период]" caption="Период" attribute="1" time="1" defaultMemberUniqueName="[fCoveckiResursi].[Период].[All]" allUniqueName="[fCoveckiResursi].[Период].[All]" dimensionUniqueName="[fCoveckiResursi]" displayFolder="" count="0" memberValueDatatype="7" unbalanced="0"/>
    <cacheHierarchy uniqueName="[fCoveckiResursi].[Крајна состојба вработени]" caption="Крајна состојба вработени" attribute="1" defaultMemberUniqueName="[fCoveckiResursi].[Крајна состојба вработени].[All]" allUniqueName="[fCoveckiResursi].[Крајна состојба вработени].[All]" dimensionUniqueName="[fCoveckiResursi]" displayFolder="" count="0" memberValueDatatype="20" unbalanced="0"/>
    <cacheHierarchy uniqueName="[fCoveckiResursi].[Износ]" caption="Износ" attribute="1" defaultMemberUniqueName="[fCoveckiResursi].[Износ].[All]" allUniqueName="[fCoveckiResursi].[Износ].[All]" dimensionUniqueName="[fCoveckiResursi]" displayFolder="" count="0" memberValueDatatype="20" unbalanced="0"/>
    <cacheHierarchy uniqueName="[fCoveckiResursi].[Конто]" caption="Конто" attribute="1" defaultMemberUniqueName="[fCoveckiResursi].[Конто].[All]" allUniqueName="[fCoveckiResursi].[Конто].[All]" dimensionUniqueName="[fCoveckiResursi]" displayFolder="" count="0" memberValueDatatype="130" unbalanced="0"/>
    <cacheHierarchy uniqueName="[fCoveckiResursi].[ReportType]" caption="ReportType" attribute="1" defaultMemberUniqueName="[fCoveckiResursi].[ReportType].[All]" allUniqueName="[fCoveckiResursi].[ReportType].[All]" dimensionUniqueName="[fCoveckiResursi]" displayFolder="" count="0" memberValueDatatype="130" unbalanced="0"/>
    <cacheHierarchy uniqueName="[fCoveckiResursi].[Период (Year)]" caption="Период (Year)" attribute="1" defaultMemberUniqueName="[fCoveckiResursi].[Период (Year)].[All]" allUniqueName="[fCoveckiResursi].[Период (Year)].[All]" dimensionUniqueName="[fCoveckiResursi]" displayFolder="" count="0" memberValueDatatype="130" unbalanced="0"/>
    <cacheHierarchy uniqueName="[fCoveckiResursi].[Период (Quarter)]" caption="Период (Quarter)" attribute="1" defaultMemberUniqueName="[fCoveckiResursi].[Период (Quarter)].[All]" allUniqueName="[fCoveckiResursi].[Период (Quarter)].[All]" dimensionUniqueName="[fCoveckiResursi]" displayFolder="" count="0" memberValueDatatype="130" unbalanced="0"/>
    <cacheHierarchy uniqueName="[fCoveckiResursi].[Период (Month)]" caption="Период (Month)" attribute="1" defaultMemberUniqueName="[fCoveckiResursi].[Период (Month)].[All]" allUniqueName="[fCoveckiResursi].[Период (Month)].[All]" dimensionUniqueName="[fCoveckiResursi]" displayFolder="" count="0" memberValueDatatype="130" unbalanced="0"/>
    <cacheHierarchy uniqueName="[fCoveckiResursi].[Период (Year) 1]" caption="Период (Year) 1" attribute="1" defaultMemberUniqueName="[fCoveckiResursi].[Период (Year) 1].[All]" allUniqueName="[fCoveckiResursi].[Период (Year) 1].[All]" dimensionUniqueName="[fCoveckiResursi]" displayFolder="" count="0" memberValueDatatype="130" unbalanced="0"/>
    <cacheHierarchy uniqueName="[fCoveckiResursi].[Период (Quarter) 1]" caption="Период (Quarter) 1" attribute="1" defaultMemberUniqueName="[fCoveckiResursi].[Период (Quarter) 1].[All]" allUniqueName="[fCoveckiResursi].[Период (Quarter) 1].[All]" dimensionUniqueName="[fCoveckiResursi]" displayFolder="" count="0" memberValueDatatype="130" unbalanced="0"/>
    <cacheHierarchy uniqueName="[fCoveckiResursi].[Период (Month) 1]" caption="Период (Month) 1" attribute="1" defaultMemberUniqueName="[fCoveckiResursi].[Период (Month) 1].[All]" allUniqueName="[fCoveckiResursi].[Период (Month) 1].[All]" dimensionUniqueName="[fCoveckiResursi]" displayFolder="" count="0" memberValueDatatype="130" unbalanced="0"/>
    <cacheHierarchy uniqueName="[fCoveckiResursi  2].[Ставка]" caption="Ставка" attribute="1" defaultMemberUniqueName="[fCoveckiResursi  2].[Ставка].[All]" allUniqueName="[fCoveckiResursi  2].[Ставка].[All]" dimensionUniqueName="[fCoveckiResursi  2]" displayFolder="" count="0" memberValueDatatype="130" unbalanced="0"/>
    <cacheHierarchy uniqueName="[fCoveckiResursi  2].[Период]" caption="Период" attribute="1" time="1" defaultMemberUniqueName="[fCoveckiResursi  2].[Период].[All]" allUniqueName="[fCoveckiResursi  2].[Период].[All]" dimensionUniqueName="[fCoveckiResursi  2]" displayFolder="" count="0" memberValueDatatype="7" unbalanced="0"/>
    <cacheHierarchy uniqueName="[fCoveckiResursi  2].[Износ]" caption="Износ" attribute="1" defaultMemberUniqueName="[fCoveckiResursi  2].[Износ].[All]" allUniqueName="[fCoveckiResursi  2].[Износ].[All]" dimensionUniqueName="[fCoveckiResursi  2]" displayFolder="" count="0" memberValueDatatype="20" unbalanced="0"/>
    <cacheHierarchy uniqueName="[fCoveckiResursi  2].[Конто]" caption="Конто" attribute="1" defaultMemberUniqueName="[fCoveckiResursi  2].[Конто].[All]" allUniqueName="[fCoveckiResursi  2].[Конто].[All]" dimensionUniqueName="[fCoveckiResursi  2]" displayFolder="" count="0" memberValueDatatype="130" unbalanced="0"/>
    <cacheHierarchy uniqueName="[fCoveckiResursi  2].[ReportType]" caption="ReportType" attribute="1" defaultMemberUniqueName="[fCoveckiResursi  2].[ReportType].[All]" allUniqueName="[fCoveckiResursi  2].[ReportType].[All]" dimensionUniqueName="[fCoveckiResursi  2]" displayFolder="" count="0" memberValueDatatype="130" unbalanced="0"/>
    <cacheHierarchy uniqueName="[fCoveckiResursi  2].[StavkaImeMK]" caption="StavkaImeMK" attribute="1" defaultMemberUniqueName="[fCoveckiResursi  2].[StavkaImeMK].[All]" allUniqueName="[fCoveckiResursi  2].[StavkaImeMK].[All]" dimensionUniqueName="[fCoveckiResursi  2]" displayFolder="" count="0" memberValueDatatype="130" unbalanced="0"/>
    <cacheHierarchy uniqueName="[fCoveckiResursi  2].[StavkaKategorija]" caption="StavkaKategorija" attribute="1" defaultMemberUniqueName="[fCoveckiResursi  2].[StavkaKategorija].[All]" allUniqueName="[fCoveckiResursi  2].[StavkaKategorija].[All]" dimensionUniqueName="[fCoveckiResursi  2]" displayFolder="" count="0" memberValueDatatype="130" unbalanced="0"/>
    <cacheHierarchy uniqueName="[fCoveckiResursi  2].[ObrazecIme]" caption="ObrazecIme" attribute="1" defaultMemberUniqueName="[fCoveckiResursi  2].[ObrazecIme].[All]" allUniqueName="[fCoveckiResursi  2].[ObrazecIme].[All]" dimensionUniqueName="[fCoveckiResursi  2]" displayFolder="" count="0" memberValueDatatype="130" unbalanced="0"/>
    <cacheHierarchy uniqueName="[fOPEX].[Конто]" caption="Конто" attribute="1" defaultMemberUniqueName="[fOPEX].[Конто].[All]" allUniqueName="[fOPEX].[Конто].[All]" dimensionUniqueName="[fOPEX]" displayFolder="" count="0" memberValueDatatype="130" unbalanced="0"/>
    <cacheHierarchy uniqueName="[fOPEX].[Ставка]" caption="Ставка" attribute="1" defaultMemberUniqueName="[fOPEX].[Ставка].[All]" allUniqueName="[fOPEX].[Ставка].[All]" dimensionUniqueName="[fOPEX]" displayFolder="" count="0" memberValueDatatype="130" unbalanced="0"/>
    <cacheHierarchy uniqueName="[fOPEX].[Период]" caption="Период" attribute="1" time="1" defaultMemberUniqueName="[fOPEX].[Период].[All]" allUniqueName="[fOPEX].[Период].[All]" dimensionUniqueName="[fOPEX]" displayFolder="" count="0" memberValueDatatype="7" unbalanced="0"/>
    <cacheHierarchy uniqueName="[fOPEX].[Износ]" caption="Износ" attribute="1" defaultMemberUniqueName="[fOPEX].[Износ].[All]" allUniqueName="[fOPEX].[Износ].[All]" dimensionUniqueName="[fOPEX]" displayFolder="" count="0" memberValueDatatype="20" unbalanced="0"/>
    <cacheHierarchy uniqueName="[fOPEX].[ReportType]" caption="ReportType" attribute="1" defaultMemberUniqueName="[fOPEX].[ReportType].[All]" allUniqueName="[fOPEX].[ReportType].[All]" dimensionUniqueName="[fOPEX]" displayFolder="" count="0" memberValueDatatype="130" unbalanced="0"/>
    <cacheHierarchy uniqueName="[OPEXAnaliza].[Артикл ИД]" caption="Артикл ИД" attribute="1" defaultMemberUniqueName="[OPEXAnaliza].[Артикл ИД].[All]" allUniqueName="[OPEXAnaliza].[Артикл ИД].[All]" dimensionUniqueName="[OPEXAnaliza]" displayFolder="" count="0" memberValueDatatype="20" unbalanced="0"/>
    <cacheHierarchy uniqueName="[OPEXAnaliza].[Ставка]" caption="Ставка" attribute="1" defaultMemberUniqueName="[OPEXAnaliza].[Ставка].[All]" allUniqueName="[OPEXAnaliza].[Ставка].[All]" dimensionUniqueName="[OPEXAnaliza]" displayFolder="" count="0" memberValueDatatype="130" unbalanced="0"/>
    <cacheHierarchy uniqueName="[OPEXAnaliza].[Категорија Артикл ИД]" caption="Категорија Артикл ИД" attribute="1" defaultMemberUniqueName="[OPEXAnaliza].[Категорија Артикл ИД].[All]" allUniqueName="[OPEXAnaliza].[Категорија Артикл ИД].[All]" dimensionUniqueName="[OPEXAnaliza]" displayFolder="" count="0" memberValueDatatype="20" unbalanced="0"/>
    <cacheHierarchy uniqueName="[OPEXAnaliza].[Категорија Артикл]" caption="Категорија Артикл" attribute="1" defaultMemberUniqueName="[OPEXAnaliza].[Категорија Артикл].[All]" allUniqueName="[OPEXAnaliza].[Категорија Артикл].[All]" dimensionUniqueName="[OPEXAnaliza]" displayFolder="" count="0" memberValueDatatype="130" unbalanced="0"/>
    <cacheHierarchy uniqueName="[OPEXAnaliza].[Тип на артикл]" caption="Тип на артикл" attribute="1" defaultMemberUniqueName="[OPEXAnaliza].[Тип на артикл].[All]" allUniqueName="[OPEXAnaliza].[Тип на артикл].[All]" dimensionUniqueName="[OPEXAnaliza]" displayFolder="" count="0" memberValueDatatype="130" unbalanced="0"/>
    <cacheHierarchy uniqueName="[OPEXAnaliza].[Единечна мерка]" caption="Единечна мерка" attribute="1" defaultMemberUniqueName="[OPEXAnaliza].[Единечна мерка].[All]" allUniqueName="[OPEXAnaliza].[Единечна мерка].[All]" dimensionUniqueName="[OPEXAnaliza]" displayFolder="" count="0" memberValueDatatype="130" unbalanced="0"/>
    <cacheHierarchy uniqueName="[OPEXAnaliza].[Количина]" caption="Количина" attribute="1" defaultMemberUniqueName="[OPEXAnaliza].[Количина].[All]" allUniqueName="[OPEXAnaliza].[Количина].[All]" dimensionUniqueName="[OPEXAnaliza]" displayFolder="" count="0" memberValueDatatype="5" unbalanced="0"/>
    <cacheHierarchy uniqueName="[OPEXAnaliza].[Единечна цена]" caption="Единечна цена" attribute="1" defaultMemberUniqueName="[OPEXAnaliza].[Единечна цена].[All]" allUniqueName="[OPEXAnaliza].[Единечна цена].[All]" dimensionUniqueName="[OPEXAnaliza]" displayFolder="" count="0" memberValueDatatype="20" unbalanced="0"/>
    <cacheHierarchy uniqueName="[OPEXAnaliza].[Износ]" caption="Износ" attribute="1" defaultMemberUniqueName="[OPEXAnaliza].[Износ].[All]" allUniqueName="[OPEXAnaliza].[Износ].[All]" dimensionUniqueName="[OPEXAnaliza]" displayFolder="" count="0" memberValueDatatype="5" unbalanced="0"/>
    <cacheHierarchy uniqueName="[OPEXAnaliza].[ДДВ]" caption="ДДВ" attribute="1" defaultMemberUniqueName="[OPEXAnaliza].[ДДВ].[All]" allUniqueName="[OPEXAnaliza].[ДДВ].[All]" dimensionUniqueName="[OPEXAnaliza]" displayFolder="" count="0" memberValueDatatype="5" unbalanced="0"/>
    <cacheHierarchy uniqueName="[OPEXAnaliza].[Вкупно трошок со ДДВ]" caption="Вкупно трошок со ДДВ" attribute="1" defaultMemberUniqueName="[OPEXAnaliza].[Вкупно трошок со ДДВ].[All]" allUniqueName="[OPEXAnaliza].[Вкупно трошок со ДДВ].[All]" dimensionUniqueName="[OPEXAnaliza]" displayFolder="" count="0" memberValueDatatype="5" unbalanced="0"/>
    <cacheHierarchy uniqueName="[OPEXAnaliza].[Конто]" caption="Конто" attribute="1" defaultMemberUniqueName="[OPEXAnaliza].[Конто].[All]" allUniqueName="[OPEXAnaliza].[Конто].[All]" dimensionUniqueName="[OPEXAnaliza]" displayFolder="" count="0" memberValueDatatype="130" unbalanced="0"/>
    <cacheHierarchy uniqueName="[OPEXAnaliza].[Период]" caption="Период" attribute="1" time="1" defaultMemberUniqueName="[OPEXAnaliza].[Период].[All]" allUniqueName="[OPEXAnaliza].[Период].[All]" dimensionUniqueName="[OPEXAnaliza]" displayFolder="" count="0" memberValueDatatype="7" unbalanced="0"/>
    <cacheHierarchy uniqueName="[OPEXAnaliza].[ReportType]" caption="ReportType" attribute="1" defaultMemberUniqueName="[OPEXAnaliza].[ReportType].[All]" allUniqueName="[OPEXAnaliza].[ReportType].[All]" dimensionUniqueName="[OPEXAnaliza]" displayFolder="" count="0" memberValueDatatype="130" unbalanced="0"/>
    <cacheHierarchy uniqueName="[OPEXAnaliza].[StavkaImeMK]" caption="StavkaImeMK" attribute="1" defaultMemberUniqueName="[OPEXAnaliza].[StavkaImeMK].[All]" allUniqueName="[OPEXAnaliza].[StavkaImeMK].[All]" dimensionUniqueName="[OPEXAnaliza]" displayFolder="" count="0" memberValueDatatype="130" unbalanced="0"/>
    <cacheHierarchy uniqueName="[OPEXAnaliza].[StavkaKategorija]" caption="StavkaKategorija" attribute="1" defaultMemberUniqueName="[OPEXAnaliza].[StavkaKategorija].[All]" allUniqueName="[OPEXAnaliza].[StavkaKategorija].[All]" dimensionUniqueName="[OPEXAnaliza]" displayFolder="" count="0" memberValueDatatype="130" unbalanced="0"/>
    <cacheHierarchy uniqueName="[OPEXAnaliza].[ObrazecIme]" caption="ObrazecIme" attribute="1" defaultMemberUniqueName="[OPEXAnaliza].[ObrazecIme].[All]" allUniqueName="[OPEXAnaliza].[ObrazecIme].[All]" dimensionUniqueName="[OPEXAnaliza]" displayFolder="" count="0" memberValueDatatype="130" unbalanced="0"/>
    <cacheHierarchy uniqueName="[OPEXAnaliza].[StavkaImeAOP]" caption="StavkaImeAOP" attribute="1" defaultMemberUniqueName="[OPEXAnaliza].[StavkaImeAOP].[All]" allUniqueName="[OPEXAnaliza].[StavkaImeAOP].[All]" dimensionUniqueName="[OPEXAnaliza]" displayFolder="" count="0" memberValueDatatype="20" unbalanced="0"/>
    <cacheHierarchy uniqueName="[OPEXAnaliza].[Период (Year)]" caption="Период (Year)" attribute="1" defaultMemberUniqueName="[OPEXAnaliza].[Период (Year)].[All]" allUniqueName="[OPEXAnaliza].[Период (Year)].[All]" dimensionUniqueName="[OPEXAnaliza]" displayFolder="" count="0" memberValueDatatype="130" unbalanced="0"/>
    <cacheHierarchy uniqueName="[OPEXAnaliza].[Период (Quarter)]" caption="Период (Quarter)" attribute="1" defaultMemberUniqueName="[OPEXAnaliza].[Период (Quarter)].[All]" allUniqueName="[OPEXAnaliza].[Период (Quarter)].[All]" dimensionUniqueName="[OPEXAnaliza]" displayFolder="" count="0" memberValueDatatype="130" unbalanced="0"/>
    <cacheHierarchy uniqueName="[OPEXAnaliza].[Период (Month)]" caption="Период (Month)" attribute="1" defaultMemberUniqueName="[OPEXAnaliza].[Период (Month)].[All]" allUniqueName="[OPEXAnaliza].[Период (Month)].[All]" dimensionUniqueName="[OPEXAnaliza]" displayFolder="" count="0" memberValueDatatype="130" unbalanced="0"/>
    <cacheHierarchy uniqueName="[rArtikli_HR_Analiza].[Ставка]" caption="Ставка" attribute="1" defaultMemberUniqueName="[rArtikli_HR_Analiza].[Ставка].[All]" allUniqueName="[rArtikli_HR_Analiza].[Ставка].[All]" dimensionUniqueName="[rArtikli_HR_Analiza]" displayFolder="" count="0" memberValueDatatype="130" unbalanced="0"/>
    <cacheHierarchy uniqueName="[rArtikli_HR_Analiza].[Категорија Артикл]" caption="Категорија Артикл" attribute="1" defaultMemberUniqueName="[rArtikli_HR_Analiza].[Категорија Артикл].[All]" allUniqueName="[rArtikli_HR_Analiza].[Категорија Артикл].[All]" dimensionUniqueName="[rArtikli_HR_Analiza]" displayFolder="" count="0" memberValueDatatype="130" unbalanced="0"/>
    <cacheHierarchy uniqueName="[rArtikli_HR_Analiza].[Тип на артикл]" caption="Тип на артикл" attribute="1" defaultMemberUniqueName="[rArtikli_HR_Analiza].[Тип на артикл].[All]" allUniqueName="[rArtikli_HR_Analiza].[Тип на артикл].[All]" dimensionUniqueName="[rArtikli_HR_Analiza]" displayFolder="" count="0" memberValueDatatype="130" unbalanced="0"/>
    <cacheHierarchy uniqueName="[rArtikli_HR_Analiza].[Единечна мерка]" caption="Единечна мерка" attribute="1" defaultMemberUniqueName="[rArtikli_HR_Analiza].[Единечна мерка].[All]" allUniqueName="[rArtikli_HR_Analiza].[Единечна мерка].[All]" dimensionUniqueName="[rArtikli_HR_Analiza]" displayFolder="" count="0" memberValueDatatype="130" unbalanced="0"/>
    <cacheHierarchy uniqueName="[rArtikli_HR_Analiza].[Количина]" caption="Количина" attribute="1" defaultMemberUniqueName="[rArtikli_HR_Analiza].[Количина].[All]" allUniqueName="[rArtikli_HR_Analiza].[Количина].[All]" dimensionUniqueName="[rArtikli_HR_Analiza]" displayFolder="" count="0" memberValueDatatype="5" unbalanced="0"/>
    <cacheHierarchy uniqueName="[rArtikli_HR_Analiza].[Единечна цена]" caption="Единечна цена" attribute="1" defaultMemberUniqueName="[rArtikli_HR_Analiza].[Единечна цена].[All]" allUniqueName="[rArtikli_HR_Analiza].[Единечна цена].[All]" dimensionUniqueName="[rArtikli_HR_Analiza]" displayFolder="" count="0" memberValueDatatype="20" unbalanced="0"/>
    <cacheHierarchy uniqueName="[rArtikli_HR_Analiza].[Вкупно трошок]" caption="Вкупно трошок" attribute="1" defaultMemberUniqueName="[rArtikli_HR_Analiza].[Вкупно трошок].[All]" allUniqueName="[rArtikli_HR_Analiza].[Вкупно трошок].[All]" dimensionUniqueName="[rArtikli_HR_Analiza]" displayFolder="" count="0" memberValueDatatype="5" unbalanced="0"/>
    <cacheHierarchy uniqueName="[rArtikli_HR_Analiza].[ДДВ]" caption="ДДВ" attribute="1" defaultMemberUniqueName="[rArtikli_HR_Analiza].[ДДВ].[All]" allUniqueName="[rArtikli_HR_Analiza].[ДДВ].[All]" dimensionUniqueName="[rArtikli_HR_Analiza]" displayFolder="" count="0" memberValueDatatype="5" unbalanced="0"/>
    <cacheHierarchy uniqueName="[rArtikli_HR_Analiza].[Износ]" caption="Износ" attribute="1" defaultMemberUniqueName="[rArtikli_HR_Analiza].[Износ].[All]" allUniqueName="[rArtikli_HR_Analiza].[Износ].[All]" dimensionUniqueName="[rArtikli_HR_Analiza]" displayFolder="" count="0" memberValueDatatype="5" unbalanced="0"/>
    <cacheHierarchy uniqueName="[rArtikli_HR_Analiza].[Конто]" caption="Конто" attribute="1" defaultMemberUniqueName="[rArtikli_HR_Analiza].[Конто].[All]" allUniqueName="[rArtikli_HR_Analiza].[Конто].[All]" dimensionUniqueName="[rArtikli_HR_Analiza]" displayFolder="" count="0" memberValueDatatype="130" unbalanced="0"/>
    <cacheHierarchy uniqueName="[rArtikli_HR_Analiza].[ReportType]" caption="ReportType" attribute="1" defaultMemberUniqueName="[rArtikli_HR_Analiza].[ReportType].[All]" allUniqueName="[rArtikli_HR_Analiza].[ReportType].[All]" dimensionUniqueName="[rArtikli_HR_Analiza]" displayFolder="" count="0" memberValueDatatype="130" unbalanced="0"/>
    <cacheHierarchy uniqueName="[rArtikli_HR_Analiza].[Период]" caption="Период" attribute="1" time="1" defaultMemberUniqueName="[rArtikli_HR_Analiza].[Период].[All]" allUniqueName="[rArtikli_HR_Analiza].[Период].[All]" dimensionUniqueName="[rArtikli_HR_Analiza]" displayFolder="" count="0" memberValueDatatype="7" unbalanced="0"/>
    <cacheHierarchy uniqueName="[rArtikli_HR_Analiza].[StavkaImeMK]" caption="StavkaImeMK" attribute="1" defaultMemberUniqueName="[rArtikli_HR_Analiza].[StavkaImeMK].[All]" allUniqueName="[rArtikli_HR_Analiza].[StavkaImeMK].[All]" dimensionUniqueName="[rArtikli_HR_Analiza]" displayFolder="" count="0" memberValueDatatype="130" unbalanced="0"/>
    <cacheHierarchy uniqueName="[rArtikli_HR_Analiza].[StavkaAOP]" caption="StavkaAOP" attribute="1" defaultMemberUniqueName="[rArtikli_HR_Analiza].[StavkaAOP].[All]" allUniqueName="[rArtikli_HR_Analiza].[StavkaAOP].[All]" dimensionUniqueName="[rArtikli_HR_Analiza]" displayFolder="" count="0" memberValueDatatype="130" unbalanced="0"/>
    <cacheHierarchy uniqueName="[rArtikli_HR_Analiza].[StavkaGrupa]" caption="StavkaGrupa" attribute="1" defaultMemberUniqueName="[rArtikli_HR_Analiza].[StavkaGrupa].[All]" allUniqueName="[rArtikli_HR_Analiza].[StavkaGrupa].[All]" dimensionUniqueName="[rArtikli_HR_Analiza]" displayFolder="" count="0" memberValueDatatype="130" unbalanced="0"/>
    <cacheHierarchy uniqueName="[rArtikli_HR_Analiza].[StavkaKategorija]" caption="StavkaKategorija" attribute="1" defaultMemberUniqueName="[rArtikli_HR_Analiza].[StavkaKategorija].[All]" allUniqueName="[rArtikli_HR_Analiza].[StavkaKategorija].[All]" dimensionUniqueName="[rArtikli_HR_Analiza]" displayFolder="" count="0" memberValueDatatype="130" unbalanced="0"/>
    <cacheHierarchy uniqueName="[rArtikli_HR_Analiza].[ObrazecIme]" caption="ObrazecIme" attribute="1" defaultMemberUniqueName="[rArtikli_HR_Analiza].[ObrazecIme].[All]" allUniqueName="[rArtikli_HR_Analiza].[ObrazecIme].[All]" dimensionUniqueName="[rArtikli_HR_Analiza]" displayFolder="" count="0" memberValueDatatype="130" unbalanced="0"/>
    <cacheHierarchy uniqueName="[rArtikli_HR_Analiza].[StavkaKategorija.1]" caption="StavkaKategorija.1" attribute="1" defaultMemberUniqueName="[rArtikli_HR_Analiza].[StavkaKategorija.1].[All]" allUniqueName="[rArtikli_HR_Analiza].[StavkaKategorija.1].[All]" dimensionUniqueName="[rArtikli_HR_Analiza]" displayFolder="" count="0" memberValueDatatype="130" unbalanced="0"/>
    <cacheHierarchy uniqueName="[rArtikliAnaliza].[Артикл ИД]" caption="Артикл ИД" attribute="1" defaultMemberUniqueName="[rArtikliAnaliza].[Артикл ИД].[All]" allUniqueName="[rArtikliAnaliza].[Артикл ИД].[All]" dimensionUniqueName="[rArtikliAnaliza]" displayFolder="" count="0" memberValueDatatype="20" unbalanced="0"/>
    <cacheHierarchy uniqueName="[rArtikliAnaliza].[Ставка]" caption="Ставка" attribute="1" defaultMemberUniqueName="[rArtikliAnaliza].[Ставка].[All]" allUniqueName="[rArtikliAnaliza].[Ставка].[All]" dimensionUniqueName="[rArtikliAnaliza]" displayFolder="" count="0" memberValueDatatype="130" unbalanced="0"/>
    <cacheHierarchy uniqueName="[rArtikliAnaliza].[Категорија Артикл ИД]" caption="Категорија Артикл ИД" attribute="1" defaultMemberUniqueName="[rArtikliAnaliza].[Категорија Артикл ИД].[All]" allUniqueName="[rArtikliAnaliza].[Категорија Артикл ИД].[All]" dimensionUniqueName="[rArtikliAnaliza]" displayFolder="" count="0" memberValueDatatype="20" unbalanced="0"/>
    <cacheHierarchy uniqueName="[rArtikliAnaliza].[Категорија Артикл]" caption="Категорија Артикл" attribute="1" defaultMemberUniqueName="[rArtikliAnaliza].[Категорија Артикл].[All]" allUniqueName="[rArtikliAnaliza].[Категорија Артикл].[All]" dimensionUniqueName="[rArtikliAnaliza]" displayFolder="" count="0" memberValueDatatype="130" unbalanced="0"/>
    <cacheHierarchy uniqueName="[rArtikliAnaliza].[Тип на артикл]" caption="Тип на артикл" attribute="1" defaultMemberUniqueName="[rArtikliAnaliza].[Тип на артикл].[All]" allUniqueName="[rArtikliAnaliza].[Тип на артикл].[All]" dimensionUniqueName="[rArtikliAnaliza]" displayFolder="" count="0" memberValueDatatype="130" unbalanced="0"/>
    <cacheHierarchy uniqueName="[rArtikliAnaliza].[Единечна мерка]" caption="Единечна мерка" attribute="1" defaultMemberUniqueName="[rArtikliAnaliza].[Единечна мерка].[All]" allUniqueName="[rArtikliAnaliza].[Единечна мерка].[All]" dimensionUniqueName="[rArtikliAnaliza]" displayFolder="" count="0" memberValueDatatype="130" unbalanced="0"/>
    <cacheHierarchy uniqueName="[rArtikliAnaliza].[Количина]" caption="Количина" attribute="1" defaultMemberUniqueName="[rArtikliAnaliza].[Количина].[All]" allUniqueName="[rArtikliAnaliza].[Количина].[All]" dimensionUniqueName="[rArtikliAnaliza]" displayFolder="" count="0" memberValueDatatype="5" unbalanced="0"/>
    <cacheHierarchy uniqueName="[rArtikliAnaliza].[Единечна цена]" caption="Единечна цена" attribute="1" defaultMemberUniqueName="[rArtikliAnaliza].[Единечна цена].[All]" allUniqueName="[rArtikliAnaliza].[Единечна цена].[All]" dimensionUniqueName="[rArtikliAnaliza]" displayFolder="" count="0" memberValueDatatype="20" unbalanced="0"/>
    <cacheHierarchy uniqueName="[rArtikliAnaliza].[Износ]" caption="Износ" attribute="1" defaultMemberUniqueName="[rArtikliAnaliza].[Износ].[All]" allUniqueName="[rArtikliAnaliza].[Износ].[All]" dimensionUniqueName="[rArtikliAnaliza]" displayFolder="" count="0" memberValueDatatype="5" unbalanced="0"/>
    <cacheHierarchy uniqueName="[rArtikliAnaliza].[ДДВ]" caption="ДДВ" attribute="1" defaultMemberUniqueName="[rArtikliAnaliza].[ДДВ].[All]" allUniqueName="[rArtikliAnaliza].[ДДВ].[All]" dimensionUniqueName="[rArtikliAnaliza]" displayFolder="" count="0" memberValueDatatype="5" unbalanced="0"/>
    <cacheHierarchy uniqueName="[rArtikliAnaliza].[Вкупно трошок со ДДВ]" caption="Вкупно трошок со ДДВ" attribute="1" defaultMemberUniqueName="[rArtikliAnaliza].[Вкупно трошок со ДДВ].[All]" allUniqueName="[rArtikliAnaliza].[Вкупно трошок со ДДВ].[All]" dimensionUniqueName="[rArtikliAnaliza]" displayFolder="" count="0" memberValueDatatype="5" unbalanced="0"/>
    <cacheHierarchy uniqueName="[rArtikliAnaliza].[Конто]" caption="Конто" attribute="1" defaultMemberUniqueName="[rArtikliAnaliza].[Конто].[All]" allUniqueName="[rArtikliAnaliza].[Конто].[All]" dimensionUniqueName="[rArtikliAnaliza]" displayFolder="" count="0" memberValueDatatype="130" unbalanced="0"/>
    <cacheHierarchy uniqueName="[rArtikliAnaliza].[Период]" caption="Период" attribute="1" time="1" defaultMemberUniqueName="[rArtikliAnaliza].[Период].[All]" allUniqueName="[rArtikliAnaliza].[Период].[All]" dimensionUniqueName="[rArtikliAnaliza]" displayFolder="" count="0" memberValueDatatype="7" unbalanced="0"/>
    <cacheHierarchy uniqueName="[rArtikliAnaliza].[ReportType]" caption="ReportType" attribute="1" defaultMemberUniqueName="[rArtikliAnaliza].[ReportType].[All]" allUniqueName="[rArtikliAnaliza].[ReportType].[All]" dimensionUniqueName="[rArtikliAnaliza]" displayFolder="" count="0" memberValueDatatype="130" unbalanced="0"/>
    <cacheHierarchy uniqueName="[rArtikliAnaliza].[StavkaImeMK]" caption="StavkaImeMK" attribute="1" defaultMemberUniqueName="[rArtikliAnaliza].[StavkaImeMK].[All]" allUniqueName="[rArtikliAnaliza].[StavkaImeMK].[All]" dimensionUniqueName="[rArtikliAnaliza]" displayFolder="" count="0" memberValueDatatype="130" unbalanced="0"/>
    <cacheHierarchy uniqueName="[rArtikliAnaliza].[StavkaKategorija]" caption="StavkaKategorija" attribute="1" defaultMemberUniqueName="[rArtikliAnaliza].[StavkaKategorija].[All]" allUniqueName="[rArtikliAnaliza].[StavkaKategorija].[All]" dimensionUniqueName="[rArtikliAnaliza]" displayFolder="" count="0" memberValueDatatype="130" unbalanced="0"/>
    <cacheHierarchy uniqueName="[rArtikliAnaliza].[Период (Year)]" caption="Период (Year)" attribute="1" defaultMemberUniqueName="[rArtikliAnaliza].[Период (Year)].[All]" allUniqueName="[rArtikliAnaliza].[Период (Year)].[All]" dimensionUniqueName="[rArtikliAnaliza]" displayFolder="" count="0" memberValueDatatype="130" unbalanced="0"/>
    <cacheHierarchy uniqueName="[rArtikliAnaliza].[Период (Quarter)]" caption="Период (Quarter)" attribute="1" defaultMemberUniqueName="[rArtikliAnaliza].[Период (Quarter)].[All]" allUniqueName="[rArtikliAnaliza].[Период (Quarter)].[All]" dimensionUniqueName="[rArtikliAnaliza]" displayFolder="" count="0" memberValueDatatype="130" unbalanced="0"/>
    <cacheHierarchy uniqueName="[rArtikliAnaliza].[Период (Month)]" caption="Период (Month)" attribute="1" defaultMemberUniqueName="[rArtikliAnaliza].[Период (Month)].[All]" allUniqueName="[rArtikliAnaliza].[Период (Month)].[All]" dimensionUniqueName="[rArtikliAnaliza]" displayFolder="" count="0" memberValueDatatype="130" unbalanced="0"/>
    <cacheHierarchy uniqueName="[CAPEX].[Очекуван датум за ставање во употреба (месец) (Month Index)]" caption="Очекуван датум за ставање во употреба (месец) (Month Index)" attribute="1" defaultMemberUniqueName="[CAPEX].[Очекуван датум за ставање во употреба (месец) (Month Index)].[All]" allUniqueName="[CAPEX].[Очекуван датум за ставање во употреба (месец) (Month Index)].[All]" dimensionUniqueName="[CAPEX]" displayFolder="" count="0" memberValueDatatype="20" unbalanced="0" hidden="1"/>
    <cacheHierarchy uniqueName="[CAPEX].[Очекуван датум на плаќање (Month Index)]" caption="Очекуван датум на плаќање (Month Index)" attribute="1" defaultMemberUniqueName="[CAPEX].[Очекуван датум на плаќање (Month Index)].[All]" allUniqueName="[CAPEX].[Очекуван датум на плаќање (Month Index)].[All]" dimensionUniqueName="[CAPEX]" displayFolder="" count="0" memberValueDatatype="20" unbalanced="0" hidden="1"/>
    <cacheHierarchy uniqueName="[fActualAndBudget].[StavkaID]" caption="StavkaID" attribute="1" defaultMemberUniqueName="[fActualAndBudget].[StavkaID].[All]" allUniqueName="[fActualAndBudget].[StavkaID].[All]" dimensionUniqueName="[fActualAndBudget]" displayFolder="" count="0" memberValueDatatype="20" unbalanced="0" hidden="1"/>
    <cacheHierarchy uniqueName="[fCoveckiResursi].[Период (Month Index)]" caption="Период (Month Index)" attribute="1" defaultMemberUniqueName="[fCoveckiResursi].[Период (Month Index)].[All]" allUniqueName="[fCoveckiResursi].[Период (Month Index)].[All]" dimensionUniqueName="[fCoveckiResursi]" displayFolder="" count="0" memberValueDatatype="20" unbalanced="0" hidden="1"/>
    <cacheHierarchy uniqueName="[fCoveckiResursi].[Период (Month Index) 1]" caption="Период (Month Index) 1" attribute="1" defaultMemberUniqueName="[fCoveckiResursi].[Период (Month Index) 1].[All]" allUniqueName="[fCoveckiResursi].[Период (Month Index) 1].[All]" dimensionUniqueName="[fCoveckiResursi]" displayFolder="" count="0" memberValueDatatype="20" unbalanced="0" hidden="1"/>
    <cacheHierarchy uniqueName="[OPEXAnaliza].[Период (Month Index)]" caption="Период (Month Index)" attribute="1" defaultMemberUniqueName="[OPEXAnaliza].[Период (Month Index)].[All]" allUniqueName="[OPEXAnaliza].[Период (Month Index)].[All]" dimensionUniqueName="[OPEXAnaliza]" displayFolder="" count="0" memberValueDatatype="20" unbalanced="0" hidden="1"/>
    <cacheHierarchy uniqueName="[rArtikli_HR_Analiza].[Крајна состојба вработени]" caption="Крајна состојба вработени" attribute="1" defaultMemberUniqueName="[rArtikli_HR_Analiza].[Крајна состојба вработени].[All]" allUniqueName="[rArtikli_HR_Analiza].[Крајна состојба вработени].[All]" dimensionUniqueName="[rArtikli_HR_Analiza]" displayFolder="" count="0" memberValueDatatype="20" unbalanced="0" hidden="1"/>
    <cacheHierarchy uniqueName="[rArtikli_HR_Analiza].[Планиран прилив/(одлив)]" caption="Планиран прилив/(одлив)" attribute="1" defaultMemberUniqueName="[rArtikli_HR_Analiza].[Планиран прилив/(одлив)].[All]" allUniqueName="[rArtikli_HR_Analiza].[Планиран прилив/(одлив)].[All]" dimensionUniqueName="[rArtikli_HR_Analiza]" displayFolder="" count="0" memberValueDatatype="20" unbalanced="0" hidden="1"/>
    <cacheHierarchy uniqueName="[rArtikli_HR_Analiza].[Тип на вработување]" caption="Тип на вработување" attribute="1" defaultMemberUniqueName="[rArtikli_HR_Analiza].[Тип на вработување].[All]" allUniqueName="[rArtikli_HR_Analiza].[Тип на вработување].[All]" dimensionUniqueName="[rArtikli_HR_Analiza]" displayFolder="" count="0" memberValueDatatype="130" unbalanced="0" hidden="1"/>
    <cacheHierarchy uniqueName="[rArtikliAnaliza].[Период (Month Index)]" caption="Период (Month Index)" attribute="1" defaultMemberUniqueName="[rArtikliAnaliza].[Период (Month Index)].[All]" allUniqueName="[rArtikliAnaliza].[Период (Month Index)].[All]" dimensionUniqueName="[rArtikliAnaliza]" displayFolder="" count="0" memberValueDatatype="20" unbalanced="0" hidden="1"/>
    <cacheHierarchy uniqueName="[Measures].[__XL_Count Calendar]" caption="__XL_Count Calendar" measure="1" displayFolder="" measureGroup="Calendar" count="0" hidden="1"/>
    <cacheHierarchy uniqueName="[Measures].[__XL_Count CAPEX]" caption="__XL_Count CAPEX" measure="1" displayFolder="" measureGroup="CAPEX" count="0" hidden="1"/>
    <cacheHierarchy uniqueName="[Measures].[__XL_Count Amortizacija]" caption="__XL_Count Amortizacija" measure="1" displayFolder="" measureGroup="Amortizacija" count="0" hidden="1"/>
    <cacheHierarchy uniqueName="[Measures].[__XL_Count fCoveckiResursi]" caption="__XL_Count fCoveckiResursi" measure="1" displayFolder="" measureGroup="fCoveckiResursi" count="0" hidden="1"/>
    <cacheHierarchy uniqueName="[Measures].[__XL_Count fActualAndBudget]" caption="__XL_Count fActualAndBudget" measure="1" displayFolder="" measureGroup="fActualAndBudget" count="0" hidden="1"/>
    <cacheHierarchy uniqueName="[Measures].[__XL_Count fOPEX]" caption="__XL_Count fOPEX" measure="1" displayFolder="" measureGroup="fOPEX" count="0" hidden="1"/>
    <cacheHierarchy uniqueName="[Measures].[__XL_Count OPEXAnaliza]" caption="__XL_Count OPEXAnaliza" measure="1" displayFolder="" measureGroup="OPEXAnaliza" count="0" hidden="1"/>
    <cacheHierarchy uniqueName="[Measures].[__XL_Count rArtikliAnaliza]" caption="__XL_Count rArtikliAnaliza" measure="1" displayFolder="" measureGroup="rArtikliAnaliza" count="0" hidden="1"/>
    <cacheHierarchy uniqueName="[Measures].[__XL_Count fArtikliCeni]" caption="__XL_Count fArtikliCeni" measure="1" displayFolder="" measureGroup="fArtikliCeni" count="0" hidden="1"/>
    <cacheHierarchy uniqueName="[Measures].[__XL_Count rArtikli_HR_Analiza]" caption="__XL_Count rArtikli_HR_Analiza" measure="1" displayFolder="" measureGroup="rArtikli_HR_Analiza" count="0" hidden="1"/>
    <cacheHierarchy uniqueName="[Measures].[__XL_Count fCoveckiResursi  2]" caption="__XL_Count fCoveckiResursi  2" measure="1" displayFolder="" measureGroup="fCoveckiResursi  2" count="0" hidden="1"/>
    <cacheHierarchy uniqueName="[Measures].[__No measures defined]" caption="__No measures defined" measure="1" displayFolder="" count="0" hidden="1"/>
    <cacheHierarchy uniqueName="[Measures].[Sum of Износ 3]" caption="Sum of Износ 3" measure="1" displayFolder="" measureGroup="fCoveckiResursi" count="0" hidden="1">
      <extLst>
        <ext xmlns:x15="http://schemas.microsoft.com/office/spreadsheetml/2010/11/main" uri="{B97F6D7D-B522-45F9-BDA1-12C45D357490}">
          <x15:cacheHierarchy aggregatedColumn="71"/>
        </ext>
      </extLst>
    </cacheHierarchy>
    <cacheHierarchy uniqueName="[Measures].[Sum of Крајна состојба вработени]" caption="Sum of Крајна состојба вработени" measure="1" displayFolder="" measureGroup="fCoveckiResursi" count="0" hidden="1">
      <extLst>
        <ext xmlns:x15="http://schemas.microsoft.com/office/spreadsheetml/2010/11/main" uri="{B97F6D7D-B522-45F9-BDA1-12C45D357490}">
          <x15:cacheHierarchy aggregatedColumn="70"/>
        </ext>
      </extLst>
    </cacheHierarchy>
    <cacheHierarchy uniqueName="[Measures].[Sum of Планиран прилив/(одлив)]" caption="Sum of Планиран прилив/(одлив)" measure="1" displayFolder="" measureGroup="fCoveckiResursi" count="0" hidden="1">
      <extLst>
        <ext xmlns:x15="http://schemas.microsoft.com/office/spreadsheetml/2010/11/main" uri="{B97F6D7D-B522-45F9-BDA1-12C45D357490}">
          <x15:cacheHierarchy aggregatedColumn="68"/>
        </ext>
      </extLst>
    </cacheHierarchy>
    <cacheHierarchy uniqueName="[Measures].[Sum of Износ]" caption="Sum of Износ" measure="1" displayFolder="" measureGroup="fActualAndBudget" count="0" oneField="1" hidden="1">
      <fieldsUsage count="1">
        <fieldUsage x="5"/>
      </fieldsUsage>
      <extLst>
        <ext xmlns:x15="http://schemas.microsoft.com/office/spreadsheetml/2010/11/main" uri="{B97F6D7D-B522-45F9-BDA1-12C45D357490}">
          <x15:cacheHierarchy aggregatedColumn="45"/>
        </ext>
      </extLst>
    </cacheHierarchy>
    <cacheHierarchy uniqueName="[Measures].[Sum of Износ (илјади)]" caption="Sum of Износ (илјади)" measure="1" displayFolder="" measureGroup="fActualAndBudget" count="0" hidden="1">
      <extLst>
        <ext xmlns:x15="http://schemas.microsoft.com/office/spreadsheetml/2010/11/main" uri="{B97F6D7D-B522-45F9-BDA1-12C45D357490}">
          <x15:cacheHierarchy aggregatedColumn="46"/>
        </ext>
      </extLst>
    </cacheHierarchy>
    <cacheHierarchy uniqueName="[Measures].[Sum of Износ1]" caption="Sum of Износ1" measure="1" displayFolder="" measureGroup="fActualAndBudget" count="0" hidden="1">
      <extLst>
        <ext xmlns:x15="http://schemas.microsoft.com/office/spreadsheetml/2010/11/main" uri="{B97F6D7D-B522-45F9-BDA1-12C45D357490}">
          <x15:cacheHierarchy aggregatedColumn="34"/>
        </ext>
      </extLst>
    </cacheHierarchy>
    <cacheHierarchy uniqueName="[Measures].[Sum of Износ 2]" caption="Sum of Износ 2" measure="1" displayFolder="" measureGroup="Amortizacija" count="0" hidden="1">
      <extLst>
        <ext xmlns:x15="http://schemas.microsoft.com/office/spreadsheetml/2010/11/main" uri="{B97F6D7D-B522-45F9-BDA1-12C45D357490}">
          <x15:cacheHierarchy aggregatedColumn="3"/>
        </ext>
      </extLst>
    </cacheHierarchy>
    <cacheHierarchy uniqueName="[Measures].[Sum of Износ 4]" caption="Sum of Износ 4" measure="1" displayFolder="" measureGroup="OPEXAnaliza" count="0" hidden="1">
      <extLst>
        <ext xmlns:x15="http://schemas.microsoft.com/office/spreadsheetml/2010/11/main" uri="{B97F6D7D-B522-45F9-BDA1-12C45D357490}">
          <x15:cacheHierarchy aggregatedColumn="101"/>
        </ext>
      </extLst>
    </cacheHierarchy>
    <cacheHierarchy uniqueName="[Measures].[Sum of Износ донација]" caption="Sum of Износ донација" measure="1" displayFolder="" measureGroup="CAPEX" count="0" hidden="1">
      <extLst>
        <ext xmlns:x15="http://schemas.microsoft.com/office/spreadsheetml/2010/11/main" uri="{B97F6D7D-B522-45F9-BDA1-12C45D357490}">
          <x15:cacheHierarchy aggregatedColumn="24"/>
        </ext>
      </extLst>
    </cacheHierarchy>
    <cacheHierarchy uniqueName="[Measures].[Sum of Вкупно трошок]" caption="Sum of Вкупно трошок" measure="1" displayFolder="" measureGroup="fArtikliCeni" count="0" hidden="1">
      <extLst>
        <ext xmlns:x15="http://schemas.microsoft.com/office/spreadsheetml/2010/11/main" uri="{B97F6D7D-B522-45F9-BDA1-12C45D357490}">
          <x15:cacheHierarchy aggregatedColumn="55"/>
        </ext>
      </extLst>
    </cacheHierarchy>
    <cacheHierarchy uniqueName="[Measures].[Sum of Количина]" caption="Sum of Количина" measure="1" displayFolder="" measureGroup="fArtikliCeni" count="0" hidden="1">
      <extLst>
        <ext xmlns:x15="http://schemas.microsoft.com/office/spreadsheetml/2010/11/main" uri="{B97F6D7D-B522-45F9-BDA1-12C45D357490}">
          <x15:cacheHierarchy aggregatedColumn="53"/>
        </ext>
      </extLst>
    </cacheHierarchy>
    <cacheHierarchy uniqueName="[Measures].[Sum of Единечна цена]" caption="Sum of Единечна цена" measure="1" displayFolder="" measureGroup="fArtikliCeni" count="0" hidden="1">
      <extLst>
        <ext xmlns:x15="http://schemas.microsoft.com/office/spreadsheetml/2010/11/main" uri="{B97F6D7D-B522-45F9-BDA1-12C45D357490}">
          <x15:cacheHierarchy aggregatedColumn="54"/>
        </ext>
      </extLst>
    </cacheHierarchy>
    <cacheHierarchy uniqueName="[Measures].[Sum of ДДВ]" caption="Sum of ДДВ" measure="1" displayFolder="" measureGroup="fArtikliCeni" count="0" hidden="1">
      <extLst>
        <ext xmlns:x15="http://schemas.microsoft.com/office/spreadsheetml/2010/11/main" uri="{B97F6D7D-B522-45F9-BDA1-12C45D357490}">
          <x15:cacheHierarchy aggregatedColumn="56"/>
        </ext>
      </extLst>
    </cacheHierarchy>
    <cacheHierarchy uniqueName="[Measures].[Sum of Износ 6]" caption="Sum of Износ 6" measure="1" displayFolder="" measureGroup="fArtikliCeni" count="0" hidden="1">
      <extLst>
        <ext xmlns:x15="http://schemas.microsoft.com/office/spreadsheetml/2010/11/main" uri="{B97F6D7D-B522-45F9-BDA1-12C45D357490}">
          <x15:cacheHierarchy aggregatedColumn="57"/>
        </ext>
      </extLst>
    </cacheHierarchy>
    <cacheHierarchy uniqueName="[Measures].[Count of Единечна мерка]" caption="Count of Единечна мерка" measure="1" displayFolder="" measureGroup="fArtikliCeni" count="0" hidden="1">
      <extLst>
        <ext xmlns:x15="http://schemas.microsoft.com/office/spreadsheetml/2010/11/main" uri="{B97F6D7D-B522-45F9-BDA1-12C45D357490}">
          <x15:cacheHierarchy aggregatedColumn="52"/>
        </ext>
      </extLst>
    </cacheHierarchy>
    <cacheHierarchy uniqueName="[Measures].[Sum of Количина 2]" caption="Sum of Количина 2" measure="1" displayFolder="" measureGroup="rArtikli_HR_Analiza" count="0" hidden="1">
      <extLst>
        <ext xmlns:x15="http://schemas.microsoft.com/office/spreadsheetml/2010/11/main" uri="{B97F6D7D-B522-45F9-BDA1-12C45D357490}">
          <x15:cacheHierarchy aggregatedColumn="118"/>
        </ext>
      </extLst>
    </cacheHierarchy>
    <cacheHierarchy uniqueName="[Measures].[Sum of Единечна цена 2]" caption="Sum of Единечна цена 2" measure="1" displayFolder="" measureGroup="rArtikli_HR_Analiza" count="0" hidden="1">
      <extLst>
        <ext xmlns:x15="http://schemas.microsoft.com/office/spreadsheetml/2010/11/main" uri="{B97F6D7D-B522-45F9-BDA1-12C45D357490}">
          <x15:cacheHierarchy aggregatedColumn="119"/>
        </ext>
      </extLst>
    </cacheHierarchy>
    <cacheHierarchy uniqueName="[Measures].[Sum of Вкупно трошок 2]" caption="Sum of Вкупно трошок 2" measure="1" displayFolder="" measureGroup="rArtikli_HR_Analiza" count="0" hidden="1">
      <extLst>
        <ext xmlns:x15="http://schemas.microsoft.com/office/spreadsheetml/2010/11/main" uri="{B97F6D7D-B522-45F9-BDA1-12C45D357490}">
          <x15:cacheHierarchy aggregatedColumn="120"/>
        </ext>
      </extLst>
    </cacheHierarchy>
    <cacheHierarchy uniqueName="[Measures].[Sum of ДДВ 2]" caption="Sum of ДДВ 2" measure="1" displayFolder="" measureGroup="rArtikli_HR_Analiza" count="0" hidden="1">
      <extLst>
        <ext xmlns:x15="http://schemas.microsoft.com/office/spreadsheetml/2010/11/main" uri="{B97F6D7D-B522-45F9-BDA1-12C45D357490}">
          <x15:cacheHierarchy aggregatedColumn="121"/>
        </ext>
      </extLst>
    </cacheHierarchy>
    <cacheHierarchy uniqueName="[Measures].[Sum of Износ 7]" caption="Sum of Износ 7" measure="1" displayFolder="" measureGroup="rArtikli_HR_Analiza" count="0" hidden="1">
      <extLst>
        <ext xmlns:x15="http://schemas.microsoft.com/office/spreadsheetml/2010/11/main" uri="{B97F6D7D-B522-45F9-BDA1-12C45D357490}">
          <x15:cacheHierarchy aggregatedColumn="122"/>
        </ext>
      </extLst>
    </cacheHierarchy>
    <cacheHierarchy uniqueName="[Measures].[Sum of Износ 5]" caption="Sum of Износ 5" measure="1" displayFolder="" measureGroup="fCoveckiResursi  2" count="0" hidden="1">
      <extLst>
        <ext xmlns:x15="http://schemas.microsoft.com/office/spreadsheetml/2010/11/main" uri="{B97F6D7D-B522-45F9-BDA1-12C45D357490}">
          <x15:cacheHierarchy aggregatedColumn="82"/>
        </ext>
      </extLst>
    </cacheHierarchy>
    <cacheHierarchy uniqueName="[Measures].[Sum of Проценета вредност на набавка со ДДВ (денари)]" caption="Sum of Проценета вредност на набавка со ДДВ (денари)" measure="1" displayFolder="" measureGroup="CAPEX" count="0" hidden="1">
      <extLst>
        <ext xmlns:x15="http://schemas.microsoft.com/office/spreadsheetml/2010/11/main" uri="{B97F6D7D-B522-45F9-BDA1-12C45D357490}">
          <x15:cacheHierarchy aggregatedColumn="20"/>
        </ext>
      </extLst>
    </cacheHierarchy>
  </cacheHierarchies>
  <kpis count="0"/>
  <dimensions count="12">
    <dimension name="Amortizacija" uniqueName="[Amortizacija]" caption="Amortizacija"/>
    <dimension name="Calendar" uniqueName="[Calendar]" caption="Calendar"/>
    <dimension name="CAPEX" uniqueName="[CAPEX]" caption="CAPEX"/>
    <dimension name="fActualAndBudget" uniqueName="[fActualAndBudget]" caption="fActualAndBudget"/>
    <dimension name="fArtikliCeni" uniqueName="[fArtikliCeni]" caption="fArtikliCeni"/>
    <dimension name="fCoveckiResursi" uniqueName="[fCoveckiResursi]" caption="fCoveckiResursi"/>
    <dimension name="fCoveckiResursi  2" uniqueName="[fCoveckiResursi  2]" caption="fCoveckiResursi  2"/>
    <dimension name="fOPEX" uniqueName="[fOPEX]" caption="fOPEX"/>
    <dimension measure="1" name="Measures" uniqueName="[Measures]" caption="Measures"/>
    <dimension name="OPEXAnaliza" uniqueName="[OPEXAnaliza]" caption="OPEXAnaliza"/>
    <dimension name="rArtikli_HR_Analiza" uniqueName="[rArtikli_HR_Analiza]" caption="rArtikli_HR_Analiza"/>
    <dimension name="rArtikliAnaliza" uniqueName="[rArtikliAnaliza]" caption="rArtikliAnaliza"/>
  </dimensions>
  <measureGroups count="11">
    <measureGroup name="Amortizacija" caption="Amortizacija"/>
    <measureGroup name="Calendar" caption="Calendar"/>
    <measureGroup name="CAPEX" caption="CAPEX"/>
    <measureGroup name="fActualAndBudget" caption="fActualAndBudget"/>
    <measureGroup name="fArtikliCeni" caption="fArtikliCeni"/>
    <measureGroup name="fCoveckiResursi" caption="fCoveckiResursi"/>
    <measureGroup name="fCoveckiResursi  2" caption="fCoveckiResursi  2"/>
    <measureGroup name="fOPEX" caption="fOPEX"/>
    <measureGroup name="OPEXAnaliza" caption="OPEXAnaliza"/>
    <measureGroup name="rArtikli_HR_Analiza" caption="rArtikli_HR_Analiza"/>
    <measureGroup name="rArtikliAnaliza" caption="rArtikliAnaliza"/>
  </measureGroups>
  <maps count="19">
    <map measureGroup="0" dimension="0"/>
    <map measureGroup="0" dimension="1"/>
    <map measureGroup="1" dimension="1"/>
    <map measureGroup="2" dimension="1"/>
    <map measureGroup="2" dimension="2"/>
    <map measureGroup="3" dimension="1"/>
    <map measureGroup="3" dimension="3"/>
    <map measureGroup="4" dimension="4"/>
    <map measureGroup="5" dimension="1"/>
    <map measureGroup="5" dimension="5"/>
    <map measureGroup="6" dimension="1"/>
    <map measureGroup="6" dimension="6"/>
    <map measureGroup="7" dimension="1"/>
    <map measureGroup="7" dimension="7"/>
    <map measureGroup="8" dimension="1"/>
    <map measureGroup="8" dimension="9"/>
    <map measureGroup="9" dimension="10"/>
    <map measureGroup="10" dimension="1"/>
    <map measureGroup="10" dimension="1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ngela Sazdova - Doneva" refreshedDate="44899.978538657408" createdVersion="6" refreshedVersion="6" minRefreshableVersion="3" recordCount="0" supportSubquery="1" supportAdvancedDrill="1" xr:uid="{00000000-000A-0000-FFFF-FFFF12000000}">
  <cacheSource type="external" connectionId="22"/>
  <cacheFields count="3">
    <cacheField name="[Amortizacija].[Конто].[Конто]" caption="Конто" numFmtId="0" hierarchy="4" level="1">
      <sharedItems count="4">
        <s v="43030"/>
        <s v="431001"/>
        <s v="43134"/>
        <s v="43136"/>
      </sharedItems>
    </cacheField>
    <cacheField name="[Amortizacija].[Период].[Период]" caption="Период" numFmtId="0" hierarchy="2" level="1">
      <sharedItems containsSemiMixedTypes="0" containsNonDate="0" containsDate="1" containsString="0" minDate="2023-01-01T00:00:00" maxDate="2023-12-02T00:00:00" count="12">
        <d v="2023-01-01T00:00:00"/>
        <d v="2023-02-01T00:00:00"/>
        <d v="2023-03-01T00:00:00"/>
        <d v="2023-04-01T00:00:00"/>
        <d v="2023-05-01T00:00:00"/>
        <d v="2023-06-01T00:00:00"/>
        <d v="2023-07-01T00:00:00"/>
        <d v="2023-08-01T00:00:00"/>
        <d v="2023-09-01T00:00:00"/>
        <d v="2023-10-01T00:00:00"/>
        <d v="2023-11-01T00:00:00"/>
        <d v="2023-12-01T00:00:00"/>
      </sharedItems>
    </cacheField>
    <cacheField name="[Measures].[Sum of Износ 2]" caption="Sum of Износ 2" numFmtId="0" hierarchy="179" level="32767"/>
  </cacheFields>
  <cacheHierarchies count="195">
    <cacheHierarchy uniqueName="[Amortizacija].[Број на јавна набавка (план)]" caption="Број на јавна набавка (план)" attribute="1" defaultMemberUniqueName="[Amortizacija].[Број на јавна набавка (план)].[All]" allUniqueName="[Amortizacija].[Број на јавна набавка (план)].[All]" dimensionUniqueName="[Amortizacija]" displayFolder="" count="0" memberValueDatatype="130" unbalanced="0"/>
    <cacheHierarchy uniqueName="[Amortizacija].[Ставка]" caption="Ставка" attribute="1" defaultMemberUniqueName="[Amortizacija].[Ставка].[All]" allUniqueName="[Amortizacija].[Ставка].[All]" dimensionUniqueName="[Amortizacija]" displayFolder="" count="0" memberValueDatatype="130" unbalanced="0"/>
    <cacheHierarchy uniqueName="[Amortizacija].[Период]" caption="Период" attribute="1" time="1" defaultMemberUniqueName="[Amortizacija].[Период].[All]" allUniqueName="[Amortizacija].[Период].[All]" dimensionUniqueName="[Amortizacija]" displayFolder="" count="2" memberValueDatatype="7" unbalanced="0">
      <fieldsUsage count="2">
        <fieldUsage x="-1"/>
        <fieldUsage x="1"/>
      </fieldsUsage>
    </cacheHierarchy>
    <cacheHierarchy uniqueName="[Amortizacija].[Износ]" caption="Износ" attribute="1" defaultMemberUniqueName="[Amortizacija].[Износ].[All]" allUniqueName="[Amortizacija].[Износ].[All]" dimensionUniqueName="[Amortizacija]" displayFolder="" count="0" memberValueDatatype="20" unbalanced="0"/>
    <cacheHierarchy uniqueName="[Amortizacija].[Конто]" caption="Конто" attribute="1" defaultMemberUniqueName="[Amortizacija].[Конто].[All]" allUniqueName="[Amortizacija].[Конто].[All]" dimensionUniqueName="[Amortizacija]" displayFolder="" count="2" memberValueDatatype="130" unbalanced="0">
      <fieldsUsage count="2">
        <fieldUsage x="-1"/>
        <fieldUsage x="0"/>
      </fieldsUsage>
    </cacheHierarchy>
    <cacheHierarchy uniqueName="[Amortizacija].[ReportType]" caption="ReportType" attribute="1" defaultMemberUniqueName="[Amortizacija].[ReportType].[All]" allUniqueName="[Amortizacija].[ReportType].[All]" dimensionUniqueName="[Amortizacija]" displayFolder="" count="0" memberValueDatatype="130" unbalanced="0"/>
    <cacheHierarchy uniqueName="[Calendar].[Date]" caption="Date" attribute="1" time="1" keyAttribute="1" defaultMemberUniqueName="[Calendar].[Date].[All]" allUniqueName="[Calendar].[Date].[All]" dimensionUniqueName="[Calendar]" displayFolder="" count="0" memberValueDatatype="7" unbalanced="0"/>
    <cacheHierarchy uniqueName="[Calendar].[Date Hierarchy]" caption="Date Hierarchy" time="1" defaultMemberUniqueName="[Calendar].[Date Hierarchy].[All]" allUniqueName="[Calendar].[Date Hierarchy].[All]" dimensionUniqueName="[Calendar]" displayFolder="" count="0" unbalanced="0"/>
    <cacheHierarchy uniqueName="[Calendar].[Година]" caption="Година" attribute="1" time="1" defaultMemberUniqueName="[Calendar].[Година].[All]" allUniqueName="[Calendar].[Година].[All]" dimensionUniqueName="[Calendar]" displayFolder="" count="0" memberValueDatatype="20" unbalanced="0"/>
    <cacheHierarchy uniqueName="[Calendar].[Month Number]" caption="Month Number" attribute="1" time="1" defaultMemberUniqueName="[Calendar].[Month Number].[All]" allUniqueName="[Calendar].[Month Number].[All]" dimensionUniqueName="[Calendar]" displayFolder="" count="0" memberValueDatatype="20" unbalanced="0"/>
    <cacheHierarchy uniqueName="[Calendar].[Месец]" caption="Месец" attribute="1" time="1" defaultMemberUniqueName="[Calendar].[Месец].[All]" allUniqueName="[Calendar].[Месец].[All]" dimensionUniqueName="[Calendar]" displayFolder="" count="0" memberValueDatatype="130" unbalanced="0"/>
    <cacheHierarchy uniqueName="[Calendar].[MMM-YYYY]" caption="MMM-YYYY" attribute="1" time="1" defaultMemberUniqueName="[Calendar].[MMM-YYYY].[All]" allUniqueName="[Calendar].[MMM-YYYY].[All]" dimensionUniqueName="[Calendar]" displayFolder="" count="0" memberValueDatatype="130" unbalanced="0"/>
    <cacheHierarchy uniqueName="[Calendar].[Day Of Week Number]" caption="Day Of Week Number" attribute="1" time="1" defaultMemberUniqueName="[Calendar].[Day Of Week Number].[All]" allUniqueName="[Calendar].[Day Of Week Number].[All]" dimensionUniqueName="[Calendar]" displayFolder="" count="0" memberValueDatatype="20" unbalanced="0"/>
    <cacheHierarchy uniqueName="[Calendar].[Day Of Week]" caption="Day Of Week" attribute="1" time="1" defaultMemberUniqueName="[Calendar].[Day Of Week].[All]" allUniqueName="[Calendar].[Day Of Week].[All]" dimensionUniqueName="[Calendar]" displayFolder="" count="0" memberValueDatatype="130" unbalanced="0"/>
    <cacheHierarchy uniqueName="[Calendar].[Квартал]" caption="Квартал" attribute="1" time="1" defaultMemberUniqueName="[Calendar].[Квартал].[All]" allUniqueName="[Calendar].[Квартал].[All]" dimensionUniqueName="[Calendar]" displayFolder="" count="0" memberValueDatatype="7" unbalanced="0"/>
    <cacheHierarchy uniqueName="[CAPEX].[Година за реализација на проект]" caption="Година за реализација на проект" attribute="1" defaultMemberUniqueName="[CAPEX].[Година за реализација на проект].[All]" allUniqueName="[CAPEX].[Година за реализација на проект].[All]" dimensionUniqueName="[CAPEX]" displayFolder="" count="0" memberValueDatatype="20" unbalanced="0"/>
    <cacheHierarchy uniqueName="[CAPEX].[Број на јавна набавка (план)]" caption="Број на јавна набавка (план)" attribute="1" defaultMemberUniqueName="[CAPEX].[Број на јавна набавка (план)].[All]" allUniqueName="[CAPEX].[Број на јавна набавка (план)].[All]" dimensionUniqueName="[CAPEX]" displayFolder="" count="0" memberValueDatatype="130" unbalanced="0"/>
    <cacheHierarchy uniqueName="[CAPEX].[Предмет на договорот за јавна набавка]" caption="Предмет на договорот за јавна набавка" attribute="1" defaultMemberUniqueName="[CAPEX].[Предмет на договорот за јавна набавка].[All]" allUniqueName="[CAPEX].[Предмет на договорот за јавна набавка].[All]" dimensionUniqueName="[CAPEX]" displayFolder="" count="0" memberValueDatatype="130" unbalanced="0"/>
    <cacheHierarchy uniqueName="[CAPEX].[Очекуван датум на плаќање]" caption="Очекуван датум на плаќање" attribute="1" time="1" defaultMemberUniqueName="[CAPEX].[Очекуван датум на плаќање].[All]" allUniqueName="[CAPEX].[Очекуван датум на плаќање].[All]" dimensionUniqueName="[CAPEX]" displayFolder="" count="0" memberValueDatatype="7" unbalanced="0"/>
    <cacheHierarchy uniqueName="[CAPEX].[Очекуван датум за ставање во употреба (месец)]" caption="Очекуван датум за ставање во употреба (месец)" attribute="1" time="1" defaultMemberUniqueName="[CAPEX].[Очекуван датум за ставање во употреба (месец)].[All]" allUniqueName="[CAPEX].[Очекуван датум за ставање во употреба (месец)].[All]" dimensionUniqueName="[CAPEX]" displayFolder="" count="0" memberValueDatatype="7" unbalanced="0"/>
    <cacheHierarchy uniqueName="[CAPEX].[Проценета вредност на набавка со ДДВ (денари)]" caption="Проценета вредност на набавка со ДДВ (денари)" attribute="1" defaultMemberUniqueName="[CAPEX].[Проценета вредност на набавка со ДДВ (денари)].[All]" allUniqueName="[CAPEX].[Проценета вредност на набавка со ДДВ (денари)].[All]" dimensionUniqueName="[CAPEX]" displayFolder="" count="0" memberValueDatatype="20" unbalanced="0"/>
    <cacheHierarchy uniqueName="[CAPEX].[Стапка на амортизација]" caption="Стапка на амортизација" attribute="1" defaultMemberUniqueName="[CAPEX].[Стапка на амортизација].[All]" allUniqueName="[CAPEX].[Стапка на амортизација].[All]" dimensionUniqueName="[CAPEX]" displayFolder="" count="0" memberValueDatatype="5" unbalanced="0"/>
    <cacheHierarchy uniqueName="[CAPEX].[Конто Средства]" caption="Конто Средства" attribute="1" defaultMemberUniqueName="[CAPEX].[Конто Средства].[All]" allUniqueName="[CAPEX].[Конто Средства].[All]" dimensionUniqueName="[CAPEX]" displayFolder="" count="0" memberValueDatatype="130" unbalanced="0"/>
    <cacheHierarchy uniqueName="[CAPEX].[Конто Амортизација]" caption="Конто Амортизација" attribute="1" defaultMemberUniqueName="[CAPEX].[Конто Амортизација].[All]" allUniqueName="[CAPEX].[Конто Амортизација].[All]" dimensionUniqueName="[CAPEX]" displayFolder="" count="0" memberValueDatatype="130" unbalanced="0"/>
    <cacheHierarchy uniqueName="[CAPEX].[Износ донација]" caption="Износ донација" attribute="1" defaultMemberUniqueName="[CAPEX].[Износ донација].[All]" allUniqueName="[CAPEX].[Износ донација].[All]" dimensionUniqueName="[CAPEX]" displayFolder="" count="0" memberValueDatatype="20" unbalanced="0"/>
    <cacheHierarchy uniqueName="[CAPEX].[Очекуван датум на плаќање (Year)]" caption="Очекуван датум на плаќање (Year)" attribute="1" defaultMemberUniqueName="[CAPEX].[Очекуван датум на плаќање (Year)].[All]" allUniqueName="[CAPEX].[Очекуван датум на плаќање (Year)].[All]" dimensionUniqueName="[CAPEX]" displayFolder="" count="0" memberValueDatatype="130" unbalanced="0"/>
    <cacheHierarchy uniqueName="[CAPEX].[Очекуван датум на плаќање (Quarter)]" caption="Очекуван датум на плаќање (Quarter)" attribute="1" defaultMemberUniqueName="[CAPEX].[Очекуван датум на плаќање (Quarter)].[All]" allUniqueName="[CAPEX].[Очекуван датум на плаќање (Quarter)].[All]" dimensionUniqueName="[CAPEX]" displayFolder="" count="0" memberValueDatatype="130" unbalanced="0"/>
    <cacheHierarchy uniqueName="[CAPEX].[Очекуван датум на плаќање (Month)]" caption="Очекуван датум на плаќање (Month)" attribute="1" defaultMemberUniqueName="[CAPEX].[Очекуван датум на плаќање (Month)].[All]" allUniqueName="[CAPEX].[Очекуван датум на плаќање (Month)].[All]" dimensionUniqueName="[CAPEX]" displayFolder="" count="0" memberValueDatatype="130" unbalanced="0"/>
    <cacheHierarchy uniqueName="[CAPEX].[Очекуван датум за ставање во употреба (месец) (Year)]" caption="Очекуван датум за ставање во употреба (месец) (Year)" attribute="1" defaultMemberUniqueName="[CAPEX].[Очекуван датум за ставање во употреба (месец) (Year)].[All]" allUniqueName="[CAPEX].[Очекуван датум за ставање во употреба (месец) (Year)].[All]" dimensionUniqueName="[CAPEX]" displayFolder="" count="0" memberValueDatatype="130" unbalanced="0"/>
    <cacheHierarchy uniqueName="[CAPEX].[Очекуван датум за ставање во употреба (месец) (Quarter)]" caption="Очекуван датум за ставање во употреба (месец) (Quarter)" attribute="1" defaultMemberUniqueName="[CAPEX].[Очекуван датум за ставање во употреба (месец) (Quarter)].[All]" allUniqueName="[CAPEX].[Очекуван датум за ставање во употреба (месец) (Quarter)].[All]" dimensionUniqueName="[CAPEX]" displayFolder="" count="0" memberValueDatatype="130" unbalanced="0"/>
    <cacheHierarchy uniqueName="[CAPEX].[Очекуван датум за ставање во употреба (месец) (Month)]" caption="Очекуван датум за ставање во употреба (месец) (Month)" attribute="1" defaultMemberUniqueName="[CAPEX].[Очекуван датум за ставање во употреба (месец) (Month)].[All]" allUniqueName="[CAPEX].[Очекуван датум за ставање во употреба (месец) (Month)].[All]" dimensionUniqueName="[CAPEX]" displayFolder="" count="0" memberValueDatatype="130" unbalanced="0"/>
    <cacheHierarchy uniqueName="[fActualAndBudget].[Конто]" caption="Конто" attribute="1" defaultMemberUniqueName="[fActualAndBudget].[Конто].[All]" allUniqueName="[fActualAndBudget].[Конто].[All]" dimensionUniqueName="[fActualAndBudget]" displayFolder="" count="0" memberValueDatatype="130" unbalanced="0"/>
    <cacheHierarchy uniqueName="[fActualAndBudget].[Назив на конто]" caption="Назив на конто" attribute="1" defaultMemberUniqueName="[fActualAndBudget].[Назив на конто].[All]" allUniqueName="[fActualAndBudget].[Назив на конто].[All]" dimensionUniqueName="[fActualAndBudget]" displayFolder="" count="0" memberValueDatatype="130" unbalanced="0"/>
    <cacheHierarchy uniqueName="[fActualAndBudget].[Период]" caption="Период" attribute="1" time="1" defaultMemberUniqueName="[fActualAndBudget].[Период].[All]" allUniqueName="[fActualAndBudget].[Период].[All]" dimensionUniqueName="[fActualAndBudget]" displayFolder="" count="0" memberValueDatatype="7" unbalanced="0"/>
    <cacheHierarchy uniqueName="[fActualAndBudget].[Износ1]" caption="Износ1" attribute="1" defaultMemberUniqueName="[fActualAndBudget].[Износ1].[All]" allUniqueName="[fActualAndBudget].[Износ1].[All]" dimensionUniqueName="[fActualAndBudget]" displayFolder="" count="0" memberValueDatatype="20" unbalanced="0"/>
    <cacheHierarchy uniqueName="[fActualAndBudget].[ReportType]" caption="ReportType" attribute="1" defaultMemberUniqueName="[fActualAndBudget].[ReportType].[All]" allUniqueName="[fActualAndBudget].[ReportType].[All]" dimensionUniqueName="[fActualAndBudget]" displayFolder="" count="0" memberValueDatatype="130" unbalanced="0"/>
    <cacheHierarchy uniqueName="[fActualAndBudget].[Ставка]" caption="Ставка" attribute="1" defaultMemberUniqueName="[fActualAndBudget].[Ставка].[All]" allUniqueName="[fActualAndBudget].[Ставка].[All]" dimensionUniqueName="[fActualAndBudget]" displayFolder="" count="0" memberValueDatatype="130" unbalanced="0"/>
    <cacheHierarchy uniqueName="[fActualAndBudget].[Број на јавна набавка (план)]" caption="Број на јавна набавка (план)" attribute="1" defaultMemberUniqueName="[fActualAndBudget].[Број на јавна набавка (план)].[All]" allUniqueName="[fActualAndBudget].[Број на јавна набавка (план)].[All]" dimensionUniqueName="[fActualAndBudget]" displayFolder="" count="0" memberValueDatatype="130" unbalanced="0"/>
    <cacheHierarchy uniqueName="[fActualAndBudget].[StavkaImeMK]" caption="StavkaImeMK" attribute="1" defaultMemberUniqueName="[fActualAndBudget].[StavkaImeMK].[All]" allUniqueName="[fActualAndBudget].[StavkaImeMK].[All]" dimensionUniqueName="[fActualAndBudget]" displayFolder="" count="0" memberValueDatatype="130" unbalanced="0"/>
    <cacheHierarchy uniqueName="[fActualAndBudget].[StavkaGrupa]" caption="StavkaGrupa" attribute="1" defaultMemberUniqueName="[fActualAndBudget].[StavkaGrupa].[All]" allUniqueName="[fActualAndBudget].[StavkaGrupa].[All]" dimensionUniqueName="[fActualAndBudget]" displayFolder="" count="0" memberValueDatatype="130" unbalanced="0"/>
    <cacheHierarchy uniqueName="[fActualAndBudget].[StavkaKategorija]" caption="StavkaKategorija" attribute="1" defaultMemberUniqueName="[fActualAndBudget].[StavkaKategorija].[All]" allUniqueName="[fActualAndBudget].[StavkaKategorija].[All]" dimensionUniqueName="[fActualAndBudget]" displayFolder="" count="0" memberValueDatatype="130" unbalanced="0"/>
    <cacheHierarchy uniqueName="[fActualAndBudget].[ZnakIzvestaj]" caption="ZnakIzvestaj" attribute="1" defaultMemberUniqueName="[fActualAndBudget].[ZnakIzvestaj].[All]" allUniqueName="[fActualAndBudget].[ZnakIzvestaj].[All]" dimensionUniqueName="[fActualAndBudget]" displayFolder="" count="0" memberValueDatatype="20" unbalanced="0"/>
    <cacheHierarchy uniqueName="[fActualAndBudget].[ObrazecID]" caption="ObrazecID" attribute="1" defaultMemberUniqueName="[fActualAndBudget].[ObrazecID].[All]" allUniqueName="[fActualAndBudget].[ObrazecID].[All]" dimensionUniqueName="[fActualAndBudget]" displayFolder="" count="0" memberValueDatatype="20" unbalanced="0"/>
    <cacheHierarchy uniqueName="[fActualAndBudget].[StavkaAOP]" caption="StavkaAOP" attribute="1" defaultMemberUniqueName="[fActualAndBudget].[StavkaAOP].[All]" allUniqueName="[fActualAndBudget].[StavkaAOP].[All]" dimensionUniqueName="[fActualAndBudget]" displayFolder="" count="0" memberValueDatatype="130" unbalanced="0"/>
    <cacheHierarchy uniqueName="[fActualAndBudget].[ObrazecIme]" caption="ObrazecIme" attribute="1" defaultMemberUniqueName="[fActualAndBudget].[ObrazecIme].[All]" allUniqueName="[fActualAndBudget].[ObrazecIme].[All]" dimensionUniqueName="[fActualAndBudget]" displayFolder="" count="0" memberValueDatatype="130" unbalanced="0"/>
    <cacheHierarchy uniqueName="[fActualAndBudget].[Износ]" caption="Износ" attribute="1" defaultMemberUniqueName="[fActualAndBudget].[Износ].[All]" allUniqueName="[fActualAndBudget].[Износ].[All]" dimensionUniqueName="[fActualAndBudget]" displayFolder="" count="0" memberValueDatatype="20" unbalanced="0"/>
    <cacheHierarchy uniqueName="[fActualAndBudget].[Износ (илјади)]" caption="Износ (илјади)" attribute="1" defaultMemberUniqueName="[fActualAndBudget].[Износ (илјади)].[All]" allUniqueName="[fActualAndBudget].[Износ (илјади)].[All]" dimensionUniqueName="[fActualAndBudget]" displayFolder="" count="0" memberValueDatatype="5" unbalanced="0"/>
    <cacheHierarchy uniqueName="[fActualAndBudget].[StavkaImeAOP]" caption="StavkaImeAOP" attribute="1" defaultMemberUniqueName="[fActualAndBudget].[StavkaImeAOP].[All]" allUniqueName="[fActualAndBudget].[StavkaImeAOP].[All]" dimensionUniqueName="[fActualAndBudget]" displayFolder="" count="0" memberValueDatatype="130" unbalanced="0"/>
    <cacheHierarchy uniqueName="[fActualAndBudget].[Конто Ставка]" caption="Конто Ставка" attribute="1" defaultMemberUniqueName="[fActualAndBudget].[Конто Ставка].[All]" allUniqueName="[fActualAndBudget].[Конто Ставка].[All]" dimensionUniqueName="[fActualAndBudget]" displayFolder="" count="0" memberValueDatatype="130" unbalanced="0"/>
    <cacheHierarchy uniqueName="[fArtikliCeni].[Ставка]" caption="Ставка" attribute="1" defaultMemberUniqueName="[fArtikliCeni].[Ставка].[All]" allUniqueName="[fArtikliCeni].[Ставка].[All]" dimensionUniqueName="[fArtikliCeni]" displayFolder="" count="0" memberValueDatatype="130" unbalanced="0"/>
    <cacheHierarchy uniqueName="[fArtikliCeni].[Категорија Артикл]" caption="Категорија Артикл" attribute="1" defaultMemberUniqueName="[fArtikliCeni].[Категорија Артикл].[All]" allUniqueName="[fArtikliCeni].[Категорија Артикл].[All]" dimensionUniqueName="[fArtikliCeni]" displayFolder="" count="0" memberValueDatatype="130" unbalanced="0"/>
    <cacheHierarchy uniqueName="[fArtikliCeni].[Тип на артикл]" caption="Тип на артикл" attribute="1" defaultMemberUniqueName="[fArtikliCeni].[Тип на артикл].[All]" allUniqueName="[fArtikliCeni].[Тип на артикл].[All]" dimensionUniqueName="[fArtikliCeni]" displayFolder="" count="0" memberValueDatatype="130" unbalanced="0"/>
    <cacheHierarchy uniqueName="[fArtikliCeni].[Единечна мерка]" caption="Единечна мерка" attribute="1" defaultMemberUniqueName="[fArtikliCeni].[Единечна мерка].[All]" allUniqueName="[fArtikliCeni].[Единечна мерка].[All]" dimensionUniqueName="[fArtikliCeni]" displayFolder="" count="0" memberValueDatatype="130" unbalanced="0"/>
    <cacheHierarchy uniqueName="[fArtikliCeni].[Количина]" caption="Количина" attribute="1" defaultMemberUniqueName="[fArtikliCeni].[Количина].[All]" allUniqueName="[fArtikliCeni].[Количина].[All]" dimensionUniqueName="[fArtikliCeni]" displayFolder="" count="0" memberValueDatatype="5" unbalanced="0"/>
    <cacheHierarchy uniqueName="[fArtikliCeni].[Единечна цена]" caption="Единечна цена" attribute="1" defaultMemberUniqueName="[fArtikliCeni].[Единечна цена].[All]" allUniqueName="[fArtikliCeni].[Единечна цена].[All]" dimensionUniqueName="[fArtikliCeni]" displayFolder="" count="0" memberValueDatatype="20" unbalanced="0"/>
    <cacheHierarchy uniqueName="[fArtikliCeni].[Вкупно трошок]" caption="Вкупно трошок" attribute="1" defaultMemberUniqueName="[fArtikliCeni].[Вкупно трошок].[All]" allUniqueName="[fArtikliCeni].[Вкупно трошок].[All]" dimensionUniqueName="[fArtikliCeni]" displayFolder="" count="0" memberValueDatatype="5" unbalanced="0"/>
    <cacheHierarchy uniqueName="[fArtikliCeni].[ДДВ]" caption="ДДВ" attribute="1" defaultMemberUniqueName="[fArtikliCeni].[ДДВ].[All]" allUniqueName="[fArtikliCeni].[ДДВ].[All]" dimensionUniqueName="[fArtikliCeni]" displayFolder="" count="0" memberValueDatatype="5" unbalanced="0"/>
    <cacheHierarchy uniqueName="[fArtikliCeni].[Износ]" caption="Износ" attribute="1" defaultMemberUniqueName="[fArtikliCeni].[Износ].[All]" allUniqueName="[fArtikliCeni].[Износ].[All]" dimensionUniqueName="[fArtikliCeni]" displayFolder="" count="0" memberValueDatatype="5" unbalanced="0"/>
    <cacheHierarchy uniqueName="[fArtikliCeni].[Конто]" caption="Конто" attribute="1" defaultMemberUniqueName="[fArtikliCeni].[Конто].[All]" allUniqueName="[fArtikliCeni].[Конто].[All]" dimensionUniqueName="[fArtikliCeni]" displayFolder="" count="0" memberValueDatatype="130" unbalanced="0"/>
    <cacheHierarchy uniqueName="[fArtikliCeni].[ReportType]" caption="ReportType" attribute="1" defaultMemberUniqueName="[fArtikliCeni].[ReportType].[All]" allUniqueName="[fArtikliCeni].[ReportType].[All]" dimensionUniqueName="[fArtikliCeni]" displayFolder="" count="0" memberValueDatatype="130" unbalanced="0"/>
    <cacheHierarchy uniqueName="[fArtikliCeni].[Период]" caption="Период" attribute="1" time="1" defaultMemberUniqueName="[fArtikliCeni].[Период].[All]" allUniqueName="[fArtikliCeni].[Период].[All]" dimensionUniqueName="[fArtikliCeni]" displayFolder="" count="0" memberValueDatatype="7" unbalanced="0"/>
    <cacheHierarchy uniqueName="[fArtikliCeni].[StavkaImeMK]" caption="StavkaImeMK" attribute="1" defaultMemberUniqueName="[fArtikliCeni].[StavkaImeMK].[All]" allUniqueName="[fArtikliCeni].[StavkaImeMK].[All]" dimensionUniqueName="[fArtikliCeni]" displayFolder="" count="0" memberValueDatatype="130" unbalanced="0"/>
    <cacheHierarchy uniqueName="[fArtikliCeni].[StavkaAOP]" caption="StavkaAOP" attribute="1" defaultMemberUniqueName="[fArtikliCeni].[StavkaAOP].[All]" allUniqueName="[fArtikliCeni].[StavkaAOP].[All]" dimensionUniqueName="[fArtikliCeni]" displayFolder="" count="0" memberValueDatatype="130" unbalanced="0"/>
    <cacheHierarchy uniqueName="[fArtikliCeni].[StavkaGrupa]" caption="StavkaGrupa" attribute="1" defaultMemberUniqueName="[fArtikliCeni].[StavkaGrupa].[All]" allUniqueName="[fArtikliCeni].[StavkaGrupa].[All]" dimensionUniqueName="[fArtikliCeni]" displayFolder="" count="0" memberValueDatatype="130" unbalanced="0"/>
    <cacheHierarchy uniqueName="[fArtikliCeni].[StavkaKategorija]" caption="StavkaKategorija" attribute="1" defaultMemberUniqueName="[fArtikliCeni].[StavkaKategorija].[All]" allUniqueName="[fArtikliCeni].[StavkaKategorija].[All]" dimensionUniqueName="[fArtikliCeni]" displayFolder="" count="0" memberValueDatatype="130" unbalanced="0"/>
    <cacheHierarchy uniqueName="[fArtikliCeni].[ObrazecIme]" caption="ObrazecIme" attribute="1" defaultMemberUniqueName="[fArtikliCeni].[ObrazecIme].[All]" allUniqueName="[fArtikliCeni].[ObrazecIme].[All]" dimensionUniqueName="[fArtikliCeni]" displayFolder="" count="0" memberValueDatatype="130" unbalanced="0"/>
    <cacheHierarchy uniqueName="[fCoveckiResursi].[Ставка]" caption="Ставка" attribute="1" defaultMemberUniqueName="[fCoveckiResursi].[Ставка].[All]" allUniqueName="[fCoveckiResursi].[Ставка].[All]" dimensionUniqueName="[fCoveckiResursi]" displayFolder="" count="0" memberValueDatatype="130" unbalanced="0"/>
    <cacheHierarchy uniqueName="[fCoveckiResursi].[Тип на вработување]" caption="Тип на вработување" attribute="1" defaultMemberUniqueName="[fCoveckiResursi].[Тип на вработување].[All]" allUniqueName="[fCoveckiResursi].[Тип на вработување].[All]" dimensionUniqueName="[fCoveckiResursi]" displayFolder="" count="0" memberValueDatatype="130" unbalanced="0"/>
    <cacheHierarchy uniqueName="[fCoveckiResursi].[Планиран прилив/(одлив)]" caption="Планиран прилив/(одлив)" attribute="1" defaultMemberUniqueName="[fCoveckiResursi].[Планиран прилив/(одлив)].[All]" allUniqueName="[fCoveckiResursi].[Планиран прилив/(одлив)].[All]" dimensionUniqueName="[fCoveckiResursi]" displayFolder="" count="0" memberValueDatatype="20" unbalanced="0"/>
    <cacheHierarchy uniqueName="[fCoveckiResursi].[Период]" caption="Период" attribute="1" time="1" defaultMemberUniqueName="[fCoveckiResursi].[Период].[All]" allUniqueName="[fCoveckiResursi].[Период].[All]" dimensionUniqueName="[fCoveckiResursi]" displayFolder="" count="0" memberValueDatatype="7" unbalanced="0"/>
    <cacheHierarchy uniqueName="[fCoveckiResursi].[Крајна состојба вработени]" caption="Крајна состојба вработени" attribute="1" defaultMemberUniqueName="[fCoveckiResursi].[Крајна состојба вработени].[All]" allUniqueName="[fCoveckiResursi].[Крајна состојба вработени].[All]" dimensionUniqueName="[fCoveckiResursi]" displayFolder="" count="0" memberValueDatatype="20" unbalanced="0"/>
    <cacheHierarchy uniqueName="[fCoveckiResursi].[Износ]" caption="Износ" attribute="1" defaultMemberUniqueName="[fCoveckiResursi].[Износ].[All]" allUniqueName="[fCoveckiResursi].[Износ].[All]" dimensionUniqueName="[fCoveckiResursi]" displayFolder="" count="0" memberValueDatatype="20" unbalanced="0"/>
    <cacheHierarchy uniqueName="[fCoveckiResursi].[Конто]" caption="Конто" attribute="1" defaultMemberUniqueName="[fCoveckiResursi].[Конто].[All]" allUniqueName="[fCoveckiResursi].[Конто].[All]" dimensionUniqueName="[fCoveckiResursi]" displayFolder="" count="0" memberValueDatatype="130" unbalanced="0"/>
    <cacheHierarchy uniqueName="[fCoveckiResursi].[ReportType]" caption="ReportType" attribute="1" defaultMemberUniqueName="[fCoveckiResursi].[ReportType].[All]" allUniqueName="[fCoveckiResursi].[ReportType].[All]" dimensionUniqueName="[fCoveckiResursi]" displayFolder="" count="0" memberValueDatatype="130" unbalanced="0"/>
    <cacheHierarchy uniqueName="[fCoveckiResursi].[Период (Year)]" caption="Период (Year)" attribute="1" defaultMemberUniqueName="[fCoveckiResursi].[Период (Year)].[All]" allUniqueName="[fCoveckiResursi].[Период (Year)].[All]" dimensionUniqueName="[fCoveckiResursi]" displayFolder="" count="0" memberValueDatatype="130" unbalanced="0"/>
    <cacheHierarchy uniqueName="[fCoveckiResursi].[Период (Quarter)]" caption="Период (Quarter)" attribute="1" defaultMemberUniqueName="[fCoveckiResursi].[Период (Quarter)].[All]" allUniqueName="[fCoveckiResursi].[Период (Quarter)].[All]" dimensionUniqueName="[fCoveckiResursi]" displayFolder="" count="0" memberValueDatatype="130" unbalanced="0"/>
    <cacheHierarchy uniqueName="[fCoveckiResursi].[Период (Month)]" caption="Период (Month)" attribute="1" defaultMemberUniqueName="[fCoveckiResursi].[Период (Month)].[All]" allUniqueName="[fCoveckiResursi].[Период (Month)].[All]" dimensionUniqueName="[fCoveckiResursi]" displayFolder="" count="0" memberValueDatatype="130" unbalanced="0"/>
    <cacheHierarchy uniqueName="[fCoveckiResursi].[Период (Year) 1]" caption="Период (Year) 1" attribute="1" defaultMemberUniqueName="[fCoveckiResursi].[Период (Year) 1].[All]" allUniqueName="[fCoveckiResursi].[Период (Year) 1].[All]" dimensionUniqueName="[fCoveckiResursi]" displayFolder="" count="0" memberValueDatatype="130" unbalanced="0"/>
    <cacheHierarchy uniqueName="[fCoveckiResursi].[Период (Quarter) 1]" caption="Период (Quarter) 1" attribute="1" defaultMemberUniqueName="[fCoveckiResursi].[Период (Quarter) 1].[All]" allUniqueName="[fCoveckiResursi].[Период (Quarter) 1].[All]" dimensionUniqueName="[fCoveckiResursi]" displayFolder="" count="0" memberValueDatatype="130" unbalanced="0"/>
    <cacheHierarchy uniqueName="[fCoveckiResursi].[Период (Month) 1]" caption="Период (Month) 1" attribute="1" defaultMemberUniqueName="[fCoveckiResursi].[Период (Month) 1].[All]" allUniqueName="[fCoveckiResursi].[Период (Month) 1].[All]" dimensionUniqueName="[fCoveckiResursi]" displayFolder="" count="0" memberValueDatatype="130" unbalanced="0"/>
    <cacheHierarchy uniqueName="[fCoveckiResursi  2].[Ставка]" caption="Ставка" attribute="1" defaultMemberUniqueName="[fCoveckiResursi  2].[Ставка].[All]" allUniqueName="[fCoveckiResursi  2].[Ставка].[All]" dimensionUniqueName="[fCoveckiResursi  2]" displayFolder="" count="0" memberValueDatatype="130" unbalanced="0"/>
    <cacheHierarchy uniqueName="[fCoveckiResursi  2].[Период]" caption="Период" attribute="1" time="1" defaultMemberUniqueName="[fCoveckiResursi  2].[Период].[All]" allUniqueName="[fCoveckiResursi  2].[Период].[All]" dimensionUniqueName="[fCoveckiResursi  2]" displayFolder="" count="0" memberValueDatatype="7" unbalanced="0"/>
    <cacheHierarchy uniqueName="[fCoveckiResursi  2].[Износ]" caption="Износ" attribute="1" defaultMemberUniqueName="[fCoveckiResursi  2].[Износ].[All]" allUniqueName="[fCoveckiResursi  2].[Износ].[All]" dimensionUniqueName="[fCoveckiResursi  2]" displayFolder="" count="0" memberValueDatatype="20" unbalanced="0"/>
    <cacheHierarchy uniqueName="[fCoveckiResursi  2].[Конто]" caption="Конто" attribute="1" defaultMemberUniqueName="[fCoveckiResursi  2].[Конто].[All]" allUniqueName="[fCoveckiResursi  2].[Конто].[All]" dimensionUniqueName="[fCoveckiResursi  2]" displayFolder="" count="0" memberValueDatatype="130" unbalanced="0"/>
    <cacheHierarchy uniqueName="[fCoveckiResursi  2].[ReportType]" caption="ReportType" attribute="1" defaultMemberUniqueName="[fCoveckiResursi  2].[ReportType].[All]" allUniqueName="[fCoveckiResursi  2].[ReportType].[All]" dimensionUniqueName="[fCoveckiResursi  2]" displayFolder="" count="0" memberValueDatatype="130" unbalanced="0"/>
    <cacheHierarchy uniqueName="[fCoveckiResursi  2].[StavkaImeMK]" caption="StavkaImeMK" attribute="1" defaultMemberUniqueName="[fCoveckiResursi  2].[StavkaImeMK].[All]" allUniqueName="[fCoveckiResursi  2].[StavkaImeMK].[All]" dimensionUniqueName="[fCoveckiResursi  2]" displayFolder="" count="0" memberValueDatatype="130" unbalanced="0"/>
    <cacheHierarchy uniqueName="[fCoveckiResursi  2].[StavkaKategorija]" caption="StavkaKategorija" attribute="1" defaultMemberUniqueName="[fCoveckiResursi  2].[StavkaKategorija].[All]" allUniqueName="[fCoveckiResursi  2].[StavkaKategorija].[All]" dimensionUniqueName="[fCoveckiResursi  2]" displayFolder="" count="0" memberValueDatatype="130" unbalanced="0"/>
    <cacheHierarchy uniqueName="[fCoveckiResursi  2].[ObrazecIme]" caption="ObrazecIme" attribute="1" defaultMemberUniqueName="[fCoveckiResursi  2].[ObrazecIme].[All]" allUniqueName="[fCoveckiResursi  2].[ObrazecIme].[All]" dimensionUniqueName="[fCoveckiResursi  2]" displayFolder="" count="0" memberValueDatatype="130" unbalanced="0"/>
    <cacheHierarchy uniqueName="[fOPEX].[Конто]" caption="Конто" attribute="1" defaultMemberUniqueName="[fOPEX].[Конто].[All]" allUniqueName="[fOPEX].[Конто].[All]" dimensionUniqueName="[fOPEX]" displayFolder="" count="0" memberValueDatatype="130" unbalanced="0"/>
    <cacheHierarchy uniqueName="[fOPEX].[Ставка]" caption="Ставка" attribute="1" defaultMemberUniqueName="[fOPEX].[Ставка].[All]" allUniqueName="[fOPEX].[Ставка].[All]" dimensionUniqueName="[fOPEX]" displayFolder="" count="0" memberValueDatatype="130" unbalanced="0"/>
    <cacheHierarchy uniqueName="[fOPEX].[Период]" caption="Период" attribute="1" time="1" defaultMemberUniqueName="[fOPEX].[Период].[All]" allUniqueName="[fOPEX].[Период].[All]" dimensionUniqueName="[fOPEX]" displayFolder="" count="0" memberValueDatatype="7" unbalanced="0"/>
    <cacheHierarchy uniqueName="[fOPEX].[Износ]" caption="Износ" attribute="1" defaultMemberUniqueName="[fOPEX].[Износ].[All]" allUniqueName="[fOPEX].[Износ].[All]" dimensionUniqueName="[fOPEX]" displayFolder="" count="0" memberValueDatatype="20" unbalanced="0"/>
    <cacheHierarchy uniqueName="[fOPEX].[ReportType]" caption="ReportType" attribute="1" defaultMemberUniqueName="[fOPEX].[ReportType].[All]" allUniqueName="[fOPEX].[ReportType].[All]" dimensionUniqueName="[fOPEX]" displayFolder="" count="0" memberValueDatatype="130" unbalanced="0"/>
    <cacheHierarchy uniqueName="[OPEXAnaliza].[Артикл ИД]" caption="Артикл ИД" attribute="1" defaultMemberUniqueName="[OPEXAnaliza].[Артикл ИД].[All]" allUniqueName="[OPEXAnaliza].[Артикл ИД].[All]" dimensionUniqueName="[OPEXAnaliza]" displayFolder="" count="0" memberValueDatatype="20" unbalanced="0"/>
    <cacheHierarchy uniqueName="[OPEXAnaliza].[Ставка]" caption="Ставка" attribute="1" defaultMemberUniqueName="[OPEXAnaliza].[Ставка].[All]" allUniqueName="[OPEXAnaliza].[Ставка].[All]" dimensionUniqueName="[OPEXAnaliza]" displayFolder="" count="0" memberValueDatatype="130" unbalanced="0"/>
    <cacheHierarchy uniqueName="[OPEXAnaliza].[Категорија Артикл ИД]" caption="Категорија Артикл ИД" attribute="1" defaultMemberUniqueName="[OPEXAnaliza].[Категорија Артикл ИД].[All]" allUniqueName="[OPEXAnaliza].[Категорија Артикл ИД].[All]" dimensionUniqueName="[OPEXAnaliza]" displayFolder="" count="0" memberValueDatatype="20" unbalanced="0"/>
    <cacheHierarchy uniqueName="[OPEXAnaliza].[Категорија Артикл]" caption="Категорија Артикл" attribute="1" defaultMemberUniqueName="[OPEXAnaliza].[Категорија Артикл].[All]" allUniqueName="[OPEXAnaliza].[Категорија Артикл].[All]" dimensionUniqueName="[OPEXAnaliza]" displayFolder="" count="0" memberValueDatatype="130" unbalanced="0"/>
    <cacheHierarchy uniqueName="[OPEXAnaliza].[Тип на артикл]" caption="Тип на артикл" attribute="1" defaultMemberUniqueName="[OPEXAnaliza].[Тип на артикл].[All]" allUniqueName="[OPEXAnaliza].[Тип на артикл].[All]" dimensionUniqueName="[OPEXAnaliza]" displayFolder="" count="0" memberValueDatatype="130" unbalanced="0"/>
    <cacheHierarchy uniqueName="[OPEXAnaliza].[Единечна мерка]" caption="Единечна мерка" attribute="1" defaultMemberUniqueName="[OPEXAnaliza].[Единечна мерка].[All]" allUniqueName="[OPEXAnaliza].[Единечна мерка].[All]" dimensionUniqueName="[OPEXAnaliza]" displayFolder="" count="0" memberValueDatatype="130" unbalanced="0"/>
    <cacheHierarchy uniqueName="[OPEXAnaliza].[Количина]" caption="Количина" attribute="1" defaultMemberUniqueName="[OPEXAnaliza].[Количина].[All]" allUniqueName="[OPEXAnaliza].[Количина].[All]" dimensionUniqueName="[OPEXAnaliza]" displayFolder="" count="0" memberValueDatatype="5" unbalanced="0"/>
    <cacheHierarchy uniqueName="[OPEXAnaliza].[Единечна цена]" caption="Единечна цена" attribute="1" defaultMemberUniqueName="[OPEXAnaliza].[Единечна цена].[All]" allUniqueName="[OPEXAnaliza].[Единечна цена].[All]" dimensionUniqueName="[OPEXAnaliza]" displayFolder="" count="0" memberValueDatatype="20" unbalanced="0"/>
    <cacheHierarchy uniqueName="[OPEXAnaliza].[Износ]" caption="Износ" attribute="1" defaultMemberUniqueName="[OPEXAnaliza].[Износ].[All]" allUniqueName="[OPEXAnaliza].[Износ].[All]" dimensionUniqueName="[OPEXAnaliza]" displayFolder="" count="0" memberValueDatatype="5" unbalanced="0"/>
    <cacheHierarchy uniqueName="[OPEXAnaliza].[ДДВ]" caption="ДДВ" attribute="1" defaultMemberUniqueName="[OPEXAnaliza].[ДДВ].[All]" allUniqueName="[OPEXAnaliza].[ДДВ].[All]" dimensionUniqueName="[OPEXAnaliza]" displayFolder="" count="0" memberValueDatatype="5" unbalanced="0"/>
    <cacheHierarchy uniqueName="[OPEXAnaliza].[Вкупно трошок со ДДВ]" caption="Вкупно трошок со ДДВ" attribute="1" defaultMemberUniqueName="[OPEXAnaliza].[Вкупно трошок со ДДВ].[All]" allUniqueName="[OPEXAnaliza].[Вкупно трошок со ДДВ].[All]" dimensionUniqueName="[OPEXAnaliza]" displayFolder="" count="0" memberValueDatatype="5" unbalanced="0"/>
    <cacheHierarchy uniqueName="[OPEXAnaliza].[Конто]" caption="Конто" attribute="1" defaultMemberUniqueName="[OPEXAnaliza].[Конто].[All]" allUniqueName="[OPEXAnaliza].[Конто].[All]" dimensionUniqueName="[OPEXAnaliza]" displayFolder="" count="0" memberValueDatatype="130" unbalanced="0"/>
    <cacheHierarchy uniqueName="[OPEXAnaliza].[Период]" caption="Период" attribute="1" time="1" defaultMemberUniqueName="[OPEXAnaliza].[Период].[All]" allUniqueName="[OPEXAnaliza].[Период].[All]" dimensionUniqueName="[OPEXAnaliza]" displayFolder="" count="0" memberValueDatatype="7" unbalanced="0"/>
    <cacheHierarchy uniqueName="[OPEXAnaliza].[ReportType]" caption="ReportType" attribute="1" defaultMemberUniqueName="[OPEXAnaliza].[ReportType].[All]" allUniqueName="[OPEXAnaliza].[ReportType].[All]" dimensionUniqueName="[OPEXAnaliza]" displayFolder="" count="0" memberValueDatatype="130" unbalanced="0"/>
    <cacheHierarchy uniqueName="[OPEXAnaliza].[StavkaImeMK]" caption="StavkaImeMK" attribute="1" defaultMemberUniqueName="[OPEXAnaliza].[StavkaImeMK].[All]" allUniqueName="[OPEXAnaliza].[StavkaImeMK].[All]" dimensionUniqueName="[OPEXAnaliza]" displayFolder="" count="0" memberValueDatatype="130" unbalanced="0"/>
    <cacheHierarchy uniqueName="[OPEXAnaliza].[StavkaKategorija]" caption="StavkaKategorija" attribute="1" defaultMemberUniqueName="[OPEXAnaliza].[StavkaKategorija].[All]" allUniqueName="[OPEXAnaliza].[StavkaKategorija].[All]" dimensionUniqueName="[OPEXAnaliza]" displayFolder="" count="0" memberValueDatatype="130" unbalanced="0"/>
    <cacheHierarchy uniqueName="[OPEXAnaliza].[ObrazecIme]" caption="ObrazecIme" attribute="1" defaultMemberUniqueName="[OPEXAnaliza].[ObrazecIme].[All]" allUniqueName="[OPEXAnaliza].[ObrazecIme].[All]" dimensionUniqueName="[OPEXAnaliza]" displayFolder="" count="0" memberValueDatatype="130" unbalanced="0"/>
    <cacheHierarchy uniqueName="[OPEXAnaliza].[StavkaImeAOP]" caption="StavkaImeAOP" attribute="1" defaultMemberUniqueName="[OPEXAnaliza].[StavkaImeAOP].[All]" allUniqueName="[OPEXAnaliza].[StavkaImeAOP].[All]" dimensionUniqueName="[OPEXAnaliza]" displayFolder="" count="0" memberValueDatatype="20" unbalanced="0"/>
    <cacheHierarchy uniqueName="[OPEXAnaliza].[Период (Year)]" caption="Период (Year)" attribute="1" defaultMemberUniqueName="[OPEXAnaliza].[Период (Year)].[All]" allUniqueName="[OPEXAnaliza].[Период (Year)].[All]" dimensionUniqueName="[OPEXAnaliza]" displayFolder="" count="0" memberValueDatatype="130" unbalanced="0"/>
    <cacheHierarchy uniqueName="[OPEXAnaliza].[Период (Quarter)]" caption="Период (Quarter)" attribute="1" defaultMemberUniqueName="[OPEXAnaliza].[Период (Quarter)].[All]" allUniqueName="[OPEXAnaliza].[Период (Quarter)].[All]" dimensionUniqueName="[OPEXAnaliza]" displayFolder="" count="0" memberValueDatatype="130" unbalanced="0"/>
    <cacheHierarchy uniqueName="[OPEXAnaliza].[Период (Month)]" caption="Период (Month)" attribute="1" defaultMemberUniqueName="[OPEXAnaliza].[Период (Month)].[All]" allUniqueName="[OPEXAnaliza].[Период (Month)].[All]" dimensionUniqueName="[OPEXAnaliza]" displayFolder="" count="0" memberValueDatatype="130" unbalanced="0"/>
    <cacheHierarchy uniqueName="[rArtikli_HR_Analiza].[Ставка]" caption="Ставка" attribute="1" defaultMemberUniqueName="[rArtikli_HR_Analiza].[Ставка].[All]" allUniqueName="[rArtikli_HR_Analiza].[Ставка].[All]" dimensionUniqueName="[rArtikli_HR_Analiza]" displayFolder="" count="0" memberValueDatatype="130" unbalanced="0"/>
    <cacheHierarchy uniqueName="[rArtikli_HR_Analiza].[Категорија Артикл]" caption="Категорија Артикл" attribute="1" defaultMemberUniqueName="[rArtikli_HR_Analiza].[Категорија Артикл].[All]" allUniqueName="[rArtikli_HR_Analiza].[Категорија Артикл].[All]" dimensionUniqueName="[rArtikli_HR_Analiza]" displayFolder="" count="0" memberValueDatatype="130" unbalanced="0"/>
    <cacheHierarchy uniqueName="[rArtikli_HR_Analiza].[Тип на артикл]" caption="Тип на артикл" attribute="1" defaultMemberUniqueName="[rArtikli_HR_Analiza].[Тип на артикл].[All]" allUniqueName="[rArtikli_HR_Analiza].[Тип на артикл].[All]" dimensionUniqueName="[rArtikli_HR_Analiza]" displayFolder="" count="0" memberValueDatatype="130" unbalanced="0"/>
    <cacheHierarchy uniqueName="[rArtikli_HR_Analiza].[Единечна мерка]" caption="Единечна мерка" attribute="1" defaultMemberUniqueName="[rArtikli_HR_Analiza].[Единечна мерка].[All]" allUniqueName="[rArtikli_HR_Analiza].[Единечна мерка].[All]" dimensionUniqueName="[rArtikli_HR_Analiza]" displayFolder="" count="0" memberValueDatatype="130" unbalanced="0"/>
    <cacheHierarchy uniqueName="[rArtikli_HR_Analiza].[Количина]" caption="Количина" attribute="1" defaultMemberUniqueName="[rArtikli_HR_Analiza].[Количина].[All]" allUniqueName="[rArtikli_HR_Analiza].[Количина].[All]" dimensionUniqueName="[rArtikli_HR_Analiza]" displayFolder="" count="0" memberValueDatatype="5" unbalanced="0"/>
    <cacheHierarchy uniqueName="[rArtikli_HR_Analiza].[Единечна цена]" caption="Единечна цена" attribute="1" defaultMemberUniqueName="[rArtikli_HR_Analiza].[Единечна цена].[All]" allUniqueName="[rArtikli_HR_Analiza].[Единечна цена].[All]" dimensionUniqueName="[rArtikli_HR_Analiza]" displayFolder="" count="0" memberValueDatatype="20" unbalanced="0"/>
    <cacheHierarchy uniqueName="[rArtikli_HR_Analiza].[Вкупно трошок]" caption="Вкупно трошок" attribute="1" defaultMemberUniqueName="[rArtikli_HR_Analiza].[Вкупно трошок].[All]" allUniqueName="[rArtikli_HR_Analiza].[Вкупно трошок].[All]" dimensionUniqueName="[rArtikli_HR_Analiza]" displayFolder="" count="0" memberValueDatatype="5" unbalanced="0"/>
    <cacheHierarchy uniqueName="[rArtikli_HR_Analiza].[ДДВ]" caption="ДДВ" attribute="1" defaultMemberUniqueName="[rArtikli_HR_Analiza].[ДДВ].[All]" allUniqueName="[rArtikli_HR_Analiza].[ДДВ].[All]" dimensionUniqueName="[rArtikli_HR_Analiza]" displayFolder="" count="0" memberValueDatatype="5" unbalanced="0"/>
    <cacheHierarchy uniqueName="[rArtikli_HR_Analiza].[Износ]" caption="Износ" attribute="1" defaultMemberUniqueName="[rArtikli_HR_Analiza].[Износ].[All]" allUniqueName="[rArtikli_HR_Analiza].[Износ].[All]" dimensionUniqueName="[rArtikli_HR_Analiza]" displayFolder="" count="0" memberValueDatatype="5" unbalanced="0"/>
    <cacheHierarchy uniqueName="[rArtikli_HR_Analiza].[Конто]" caption="Конто" attribute="1" defaultMemberUniqueName="[rArtikli_HR_Analiza].[Конто].[All]" allUniqueName="[rArtikli_HR_Analiza].[Конто].[All]" dimensionUniqueName="[rArtikli_HR_Analiza]" displayFolder="" count="0" memberValueDatatype="130" unbalanced="0"/>
    <cacheHierarchy uniqueName="[rArtikli_HR_Analiza].[ReportType]" caption="ReportType" attribute="1" defaultMemberUniqueName="[rArtikli_HR_Analiza].[ReportType].[All]" allUniqueName="[rArtikli_HR_Analiza].[ReportType].[All]" dimensionUniqueName="[rArtikli_HR_Analiza]" displayFolder="" count="0" memberValueDatatype="130" unbalanced="0"/>
    <cacheHierarchy uniqueName="[rArtikli_HR_Analiza].[Период]" caption="Период" attribute="1" time="1" defaultMemberUniqueName="[rArtikli_HR_Analiza].[Период].[All]" allUniqueName="[rArtikli_HR_Analiza].[Период].[All]" dimensionUniqueName="[rArtikli_HR_Analiza]" displayFolder="" count="0" memberValueDatatype="7" unbalanced="0"/>
    <cacheHierarchy uniqueName="[rArtikli_HR_Analiza].[StavkaImeMK]" caption="StavkaImeMK" attribute="1" defaultMemberUniqueName="[rArtikli_HR_Analiza].[StavkaImeMK].[All]" allUniqueName="[rArtikli_HR_Analiza].[StavkaImeMK].[All]" dimensionUniqueName="[rArtikli_HR_Analiza]" displayFolder="" count="0" memberValueDatatype="130" unbalanced="0"/>
    <cacheHierarchy uniqueName="[rArtikli_HR_Analiza].[StavkaAOP]" caption="StavkaAOP" attribute="1" defaultMemberUniqueName="[rArtikli_HR_Analiza].[StavkaAOP].[All]" allUniqueName="[rArtikli_HR_Analiza].[StavkaAOP].[All]" dimensionUniqueName="[rArtikli_HR_Analiza]" displayFolder="" count="0" memberValueDatatype="130" unbalanced="0"/>
    <cacheHierarchy uniqueName="[rArtikli_HR_Analiza].[StavkaGrupa]" caption="StavkaGrupa" attribute="1" defaultMemberUniqueName="[rArtikli_HR_Analiza].[StavkaGrupa].[All]" allUniqueName="[rArtikli_HR_Analiza].[StavkaGrupa].[All]" dimensionUniqueName="[rArtikli_HR_Analiza]" displayFolder="" count="0" memberValueDatatype="130" unbalanced="0"/>
    <cacheHierarchy uniqueName="[rArtikli_HR_Analiza].[StavkaKategorija]" caption="StavkaKategorija" attribute="1" defaultMemberUniqueName="[rArtikli_HR_Analiza].[StavkaKategorija].[All]" allUniqueName="[rArtikli_HR_Analiza].[StavkaKategorija].[All]" dimensionUniqueName="[rArtikli_HR_Analiza]" displayFolder="" count="0" memberValueDatatype="130" unbalanced="0"/>
    <cacheHierarchy uniqueName="[rArtikli_HR_Analiza].[ObrazecIme]" caption="ObrazecIme" attribute="1" defaultMemberUniqueName="[rArtikli_HR_Analiza].[ObrazecIme].[All]" allUniqueName="[rArtikli_HR_Analiza].[ObrazecIme].[All]" dimensionUniqueName="[rArtikli_HR_Analiza]" displayFolder="" count="0" memberValueDatatype="130" unbalanced="0"/>
    <cacheHierarchy uniqueName="[rArtikli_HR_Analiza].[StavkaKategorija.1]" caption="StavkaKategorija.1" attribute="1" defaultMemberUniqueName="[rArtikli_HR_Analiza].[StavkaKategorija.1].[All]" allUniqueName="[rArtikli_HR_Analiza].[StavkaKategorija.1].[All]" dimensionUniqueName="[rArtikli_HR_Analiza]" displayFolder="" count="0" memberValueDatatype="130" unbalanced="0"/>
    <cacheHierarchy uniqueName="[rArtikliAnaliza].[Артикл ИД]" caption="Артикл ИД" attribute="1" defaultMemberUniqueName="[rArtikliAnaliza].[Артикл ИД].[All]" allUniqueName="[rArtikliAnaliza].[Артикл ИД].[All]" dimensionUniqueName="[rArtikliAnaliza]" displayFolder="" count="0" memberValueDatatype="20" unbalanced="0"/>
    <cacheHierarchy uniqueName="[rArtikliAnaliza].[Ставка]" caption="Ставка" attribute="1" defaultMemberUniqueName="[rArtikliAnaliza].[Ставка].[All]" allUniqueName="[rArtikliAnaliza].[Ставка].[All]" dimensionUniqueName="[rArtikliAnaliza]" displayFolder="" count="0" memberValueDatatype="130" unbalanced="0"/>
    <cacheHierarchy uniqueName="[rArtikliAnaliza].[Категорија Артикл ИД]" caption="Категорија Артикл ИД" attribute="1" defaultMemberUniqueName="[rArtikliAnaliza].[Категорија Артикл ИД].[All]" allUniqueName="[rArtikliAnaliza].[Категорија Артикл ИД].[All]" dimensionUniqueName="[rArtikliAnaliza]" displayFolder="" count="0" memberValueDatatype="20" unbalanced="0"/>
    <cacheHierarchy uniqueName="[rArtikliAnaliza].[Категорија Артикл]" caption="Категорија Артикл" attribute="1" defaultMemberUniqueName="[rArtikliAnaliza].[Категорија Артикл].[All]" allUniqueName="[rArtikliAnaliza].[Категорија Артикл].[All]" dimensionUniqueName="[rArtikliAnaliza]" displayFolder="" count="0" memberValueDatatype="130" unbalanced="0"/>
    <cacheHierarchy uniqueName="[rArtikliAnaliza].[Тип на артикл]" caption="Тип на артикл" attribute="1" defaultMemberUniqueName="[rArtikliAnaliza].[Тип на артикл].[All]" allUniqueName="[rArtikliAnaliza].[Тип на артикл].[All]" dimensionUniqueName="[rArtikliAnaliza]" displayFolder="" count="0" memberValueDatatype="130" unbalanced="0"/>
    <cacheHierarchy uniqueName="[rArtikliAnaliza].[Единечна мерка]" caption="Единечна мерка" attribute="1" defaultMemberUniqueName="[rArtikliAnaliza].[Единечна мерка].[All]" allUniqueName="[rArtikliAnaliza].[Единечна мерка].[All]" dimensionUniqueName="[rArtikliAnaliza]" displayFolder="" count="0" memberValueDatatype="130" unbalanced="0"/>
    <cacheHierarchy uniqueName="[rArtikliAnaliza].[Количина]" caption="Количина" attribute="1" defaultMemberUniqueName="[rArtikliAnaliza].[Количина].[All]" allUniqueName="[rArtikliAnaliza].[Количина].[All]" dimensionUniqueName="[rArtikliAnaliza]" displayFolder="" count="0" memberValueDatatype="5" unbalanced="0"/>
    <cacheHierarchy uniqueName="[rArtikliAnaliza].[Единечна цена]" caption="Единечна цена" attribute="1" defaultMemberUniqueName="[rArtikliAnaliza].[Единечна цена].[All]" allUniqueName="[rArtikliAnaliza].[Единечна цена].[All]" dimensionUniqueName="[rArtikliAnaliza]" displayFolder="" count="0" memberValueDatatype="20" unbalanced="0"/>
    <cacheHierarchy uniqueName="[rArtikliAnaliza].[Износ]" caption="Износ" attribute="1" defaultMemberUniqueName="[rArtikliAnaliza].[Износ].[All]" allUniqueName="[rArtikliAnaliza].[Износ].[All]" dimensionUniqueName="[rArtikliAnaliza]" displayFolder="" count="0" memberValueDatatype="5" unbalanced="0"/>
    <cacheHierarchy uniqueName="[rArtikliAnaliza].[ДДВ]" caption="ДДВ" attribute="1" defaultMemberUniqueName="[rArtikliAnaliza].[ДДВ].[All]" allUniqueName="[rArtikliAnaliza].[ДДВ].[All]" dimensionUniqueName="[rArtikliAnaliza]" displayFolder="" count="0" memberValueDatatype="5" unbalanced="0"/>
    <cacheHierarchy uniqueName="[rArtikliAnaliza].[Вкупно трошок со ДДВ]" caption="Вкупно трошок со ДДВ" attribute="1" defaultMemberUniqueName="[rArtikliAnaliza].[Вкупно трошок со ДДВ].[All]" allUniqueName="[rArtikliAnaliza].[Вкупно трошок со ДДВ].[All]" dimensionUniqueName="[rArtikliAnaliza]" displayFolder="" count="0" memberValueDatatype="5" unbalanced="0"/>
    <cacheHierarchy uniqueName="[rArtikliAnaliza].[Конто]" caption="Конто" attribute="1" defaultMemberUniqueName="[rArtikliAnaliza].[Конто].[All]" allUniqueName="[rArtikliAnaliza].[Конто].[All]" dimensionUniqueName="[rArtikliAnaliza]" displayFolder="" count="0" memberValueDatatype="130" unbalanced="0"/>
    <cacheHierarchy uniqueName="[rArtikliAnaliza].[Период]" caption="Период" attribute="1" time="1" defaultMemberUniqueName="[rArtikliAnaliza].[Период].[All]" allUniqueName="[rArtikliAnaliza].[Период].[All]" dimensionUniqueName="[rArtikliAnaliza]" displayFolder="" count="0" memberValueDatatype="7" unbalanced="0"/>
    <cacheHierarchy uniqueName="[rArtikliAnaliza].[ReportType]" caption="ReportType" attribute="1" defaultMemberUniqueName="[rArtikliAnaliza].[ReportType].[All]" allUniqueName="[rArtikliAnaliza].[ReportType].[All]" dimensionUniqueName="[rArtikliAnaliza]" displayFolder="" count="0" memberValueDatatype="130" unbalanced="0"/>
    <cacheHierarchy uniqueName="[rArtikliAnaliza].[StavkaImeMK]" caption="StavkaImeMK" attribute="1" defaultMemberUniqueName="[rArtikliAnaliza].[StavkaImeMK].[All]" allUniqueName="[rArtikliAnaliza].[StavkaImeMK].[All]" dimensionUniqueName="[rArtikliAnaliza]" displayFolder="" count="0" memberValueDatatype="130" unbalanced="0"/>
    <cacheHierarchy uniqueName="[rArtikliAnaliza].[StavkaKategorija]" caption="StavkaKategorija" attribute="1" defaultMemberUniqueName="[rArtikliAnaliza].[StavkaKategorija].[All]" allUniqueName="[rArtikliAnaliza].[StavkaKategorija].[All]" dimensionUniqueName="[rArtikliAnaliza]" displayFolder="" count="0" memberValueDatatype="130" unbalanced="0"/>
    <cacheHierarchy uniqueName="[rArtikliAnaliza].[Период (Year)]" caption="Период (Year)" attribute="1" defaultMemberUniqueName="[rArtikliAnaliza].[Период (Year)].[All]" allUniqueName="[rArtikliAnaliza].[Период (Year)].[All]" dimensionUniqueName="[rArtikliAnaliza]" displayFolder="" count="0" memberValueDatatype="130" unbalanced="0"/>
    <cacheHierarchy uniqueName="[rArtikliAnaliza].[Период (Quarter)]" caption="Период (Quarter)" attribute="1" defaultMemberUniqueName="[rArtikliAnaliza].[Период (Quarter)].[All]" allUniqueName="[rArtikliAnaliza].[Период (Quarter)].[All]" dimensionUniqueName="[rArtikliAnaliza]" displayFolder="" count="0" memberValueDatatype="130" unbalanced="0"/>
    <cacheHierarchy uniqueName="[rArtikliAnaliza].[Период (Month)]" caption="Период (Month)" attribute="1" defaultMemberUniqueName="[rArtikliAnaliza].[Период (Month)].[All]" allUniqueName="[rArtikliAnaliza].[Период (Month)].[All]" dimensionUniqueName="[rArtikliAnaliza]" displayFolder="" count="0" memberValueDatatype="130" unbalanced="0"/>
    <cacheHierarchy uniqueName="[CAPEX].[Очекуван датум за ставање во употреба (месец) (Month Index)]" caption="Очекуван датум за ставање во употреба (месец) (Month Index)" attribute="1" defaultMemberUniqueName="[CAPEX].[Очекуван датум за ставање во употреба (месец) (Month Index)].[All]" allUniqueName="[CAPEX].[Очекуван датум за ставање во употреба (месец) (Month Index)].[All]" dimensionUniqueName="[CAPEX]" displayFolder="" count="0" memberValueDatatype="20" unbalanced="0" hidden="1"/>
    <cacheHierarchy uniqueName="[CAPEX].[Очекуван датум на плаќање (Month Index)]" caption="Очекуван датум на плаќање (Month Index)" attribute="1" defaultMemberUniqueName="[CAPEX].[Очекуван датум на плаќање (Month Index)].[All]" allUniqueName="[CAPEX].[Очекуван датум на плаќање (Month Index)].[All]" dimensionUniqueName="[CAPEX]" displayFolder="" count="0" memberValueDatatype="20" unbalanced="0" hidden="1"/>
    <cacheHierarchy uniqueName="[fActualAndBudget].[StavkaID]" caption="StavkaID" attribute="1" defaultMemberUniqueName="[fActualAndBudget].[StavkaID].[All]" allUniqueName="[fActualAndBudget].[StavkaID].[All]" dimensionUniqueName="[fActualAndBudget]" displayFolder="" count="0" memberValueDatatype="20" unbalanced="0" hidden="1"/>
    <cacheHierarchy uniqueName="[fCoveckiResursi].[Период (Month Index)]" caption="Период (Month Index)" attribute="1" defaultMemberUniqueName="[fCoveckiResursi].[Период (Month Index)].[All]" allUniqueName="[fCoveckiResursi].[Период (Month Index)].[All]" dimensionUniqueName="[fCoveckiResursi]" displayFolder="" count="0" memberValueDatatype="20" unbalanced="0" hidden="1"/>
    <cacheHierarchy uniqueName="[fCoveckiResursi].[Период (Month Index) 1]" caption="Период (Month Index) 1" attribute="1" defaultMemberUniqueName="[fCoveckiResursi].[Период (Month Index) 1].[All]" allUniqueName="[fCoveckiResursi].[Период (Month Index) 1].[All]" dimensionUniqueName="[fCoveckiResursi]" displayFolder="" count="0" memberValueDatatype="20" unbalanced="0" hidden="1"/>
    <cacheHierarchy uniqueName="[OPEXAnaliza].[Период (Month Index)]" caption="Период (Month Index)" attribute="1" defaultMemberUniqueName="[OPEXAnaliza].[Период (Month Index)].[All]" allUniqueName="[OPEXAnaliza].[Период (Month Index)].[All]" dimensionUniqueName="[OPEXAnaliza]" displayFolder="" count="0" memberValueDatatype="20" unbalanced="0" hidden="1"/>
    <cacheHierarchy uniqueName="[rArtikli_HR_Analiza].[Крајна состојба вработени]" caption="Крајна состојба вработени" attribute="1" defaultMemberUniqueName="[rArtikli_HR_Analiza].[Крајна состојба вработени].[All]" allUniqueName="[rArtikli_HR_Analiza].[Крајна состојба вработени].[All]" dimensionUniqueName="[rArtikli_HR_Analiza]" displayFolder="" count="0" memberValueDatatype="20" unbalanced="0" hidden="1"/>
    <cacheHierarchy uniqueName="[rArtikli_HR_Analiza].[Планиран прилив/(одлив)]" caption="Планиран прилив/(одлив)" attribute="1" defaultMemberUniqueName="[rArtikli_HR_Analiza].[Планиран прилив/(одлив)].[All]" allUniqueName="[rArtikli_HR_Analiza].[Планиран прилив/(одлив)].[All]" dimensionUniqueName="[rArtikli_HR_Analiza]" displayFolder="" count="0" memberValueDatatype="20" unbalanced="0" hidden="1"/>
    <cacheHierarchy uniqueName="[rArtikli_HR_Analiza].[Тип на вработување]" caption="Тип на вработување" attribute="1" defaultMemberUniqueName="[rArtikli_HR_Analiza].[Тип на вработување].[All]" allUniqueName="[rArtikli_HR_Analiza].[Тип на вработување].[All]" dimensionUniqueName="[rArtikli_HR_Analiza]" displayFolder="" count="0" memberValueDatatype="130" unbalanced="0" hidden="1"/>
    <cacheHierarchy uniqueName="[rArtikliAnaliza].[Период (Month Index)]" caption="Период (Month Index)" attribute="1" defaultMemberUniqueName="[rArtikliAnaliza].[Период (Month Index)].[All]" allUniqueName="[rArtikliAnaliza].[Период (Month Index)].[All]" dimensionUniqueName="[rArtikliAnaliza]" displayFolder="" count="0" memberValueDatatype="20" unbalanced="0" hidden="1"/>
    <cacheHierarchy uniqueName="[Measures].[__XL_Count Calendar]" caption="__XL_Count Calendar" measure="1" displayFolder="" measureGroup="Calendar" count="0" hidden="1"/>
    <cacheHierarchy uniqueName="[Measures].[__XL_Count CAPEX]" caption="__XL_Count CAPEX" measure="1" displayFolder="" measureGroup="CAPEX" count="0" hidden="1"/>
    <cacheHierarchy uniqueName="[Measures].[__XL_Count Amortizacija]" caption="__XL_Count Amortizacija" measure="1" displayFolder="" measureGroup="Amortizacija" count="0" hidden="1"/>
    <cacheHierarchy uniqueName="[Measures].[__XL_Count fCoveckiResursi]" caption="__XL_Count fCoveckiResursi" measure="1" displayFolder="" measureGroup="fCoveckiResursi" count="0" hidden="1"/>
    <cacheHierarchy uniqueName="[Measures].[__XL_Count fActualAndBudget]" caption="__XL_Count fActualAndBudget" measure="1" displayFolder="" measureGroup="fActualAndBudget" count="0" hidden="1"/>
    <cacheHierarchy uniqueName="[Measures].[__XL_Count fOPEX]" caption="__XL_Count fOPEX" measure="1" displayFolder="" measureGroup="fOPEX" count="0" hidden="1"/>
    <cacheHierarchy uniqueName="[Measures].[__XL_Count OPEXAnaliza]" caption="__XL_Count OPEXAnaliza" measure="1" displayFolder="" measureGroup="OPEXAnaliza" count="0" hidden="1"/>
    <cacheHierarchy uniqueName="[Measures].[__XL_Count rArtikliAnaliza]" caption="__XL_Count rArtikliAnaliza" measure="1" displayFolder="" measureGroup="rArtikliAnaliza" count="0" hidden="1"/>
    <cacheHierarchy uniqueName="[Measures].[__XL_Count fArtikliCeni]" caption="__XL_Count fArtikliCeni" measure="1" displayFolder="" measureGroup="fArtikliCeni" count="0" hidden="1"/>
    <cacheHierarchy uniqueName="[Measures].[__XL_Count rArtikli_HR_Analiza]" caption="__XL_Count rArtikli_HR_Analiza" measure="1" displayFolder="" measureGroup="rArtikli_HR_Analiza" count="0" hidden="1"/>
    <cacheHierarchy uniqueName="[Measures].[__XL_Count fCoveckiResursi  2]" caption="__XL_Count fCoveckiResursi  2" measure="1" displayFolder="" measureGroup="fCoveckiResursi  2" count="0" hidden="1"/>
    <cacheHierarchy uniqueName="[Measures].[__No measures defined]" caption="__No measures defined" measure="1" displayFolder="" count="0" hidden="1"/>
    <cacheHierarchy uniqueName="[Measures].[Sum of Износ 3]" caption="Sum of Износ 3" measure="1" displayFolder="" measureGroup="fCoveckiResursi" count="0" hidden="1">
      <extLst>
        <ext xmlns:x15="http://schemas.microsoft.com/office/spreadsheetml/2010/11/main" uri="{B97F6D7D-B522-45F9-BDA1-12C45D357490}">
          <x15:cacheHierarchy aggregatedColumn="71"/>
        </ext>
      </extLst>
    </cacheHierarchy>
    <cacheHierarchy uniqueName="[Measures].[Sum of Крајна состојба вработени]" caption="Sum of Крајна состојба вработени" measure="1" displayFolder="" measureGroup="fCoveckiResursi" count="0" hidden="1">
      <extLst>
        <ext xmlns:x15="http://schemas.microsoft.com/office/spreadsheetml/2010/11/main" uri="{B97F6D7D-B522-45F9-BDA1-12C45D357490}">
          <x15:cacheHierarchy aggregatedColumn="70"/>
        </ext>
      </extLst>
    </cacheHierarchy>
    <cacheHierarchy uniqueName="[Measures].[Sum of Планиран прилив/(одлив)]" caption="Sum of Планиран прилив/(одлив)" measure="1" displayFolder="" measureGroup="fCoveckiResursi" count="0" hidden="1">
      <extLst>
        <ext xmlns:x15="http://schemas.microsoft.com/office/spreadsheetml/2010/11/main" uri="{B97F6D7D-B522-45F9-BDA1-12C45D357490}">
          <x15:cacheHierarchy aggregatedColumn="68"/>
        </ext>
      </extLst>
    </cacheHierarchy>
    <cacheHierarchy uniqueName="[Measures].[Sum of Износ]" caption="Sum of Износ" measure="1" displayFolder="" measureGroup="fActualAndBudget" count="0" hidden="1">
      <extLst>
        <ext xmlns:x15="http://schemas.microsoft.com/office/spreadsheetml/2010/11/main" uri="{B97F6D7D-B522-45F9-BDA1-12C45D357490}">
          <x15:cacheHierarchy aggregatedColumn="45"/>
        </ext>
      </extLst>
    </cacheHierarchy>
    <cacheHierarchy uniqueName="[Measures].[Sum of Износ (илјади)]" caption="Sum of Износ (илјади)" measure="1" displayFolder="" measureGroup="fActualAndBudget" count="0" hidden="1">
      <extLst>
        <ext xmlns:x15="http://schemas.microsoft.com/office/spreadsheetml/2010/11/main" uri="{B97F6D7D-B522-45F9-BDA1-12C45D357490}">
          <x15:cacheHierarchy aggregatedColumn="46"/>
        </ext>
      </extLst>
    </cacheHierarchy>
    <cacheHierarchy uniqueName="[Measures].[Sum of Износ1]" caption="Sum of Износ1" measure="1" displayFolder="" measureGroup="fActualAndBudget" count="0" hidden="1">
      <extLst>
        <ext xmlns:x15="http://schemas.microsoft.com/office/spreadsheetml/2010/11/main" uri="{B97F6D7D-B522-45F9-BDA1-12C45D357490}">
          <x15:cacheHierarchy aggregatedColumn="34"/>
        </ext>
      </extLst>
    </cacheHierarchy>
    <cacheHierarchy uniqueName="[Measures].[Sum of Износ 2]" caption="Sum of Износ 2" measure="1" displayFolder="" measureGroup="Amortizacija" count="0" oneField="1" hidden="1">
      <fieldsUsage count="1">
        <fieldUsage x="2"/>
      </fieldsUsage>
      <extLst>
        <ext xmlns:x15="http://schemas.microsoft.com/office/spreadsheetml/2010/11/main" uri="{B97F6D7D-B522-45F9-BDA1-12C45D357490}">
          <x15:cacheHierarchy aggregatedColumn="3"/>
        </ext>
      </extLst>
    </cacheHierarchy>
    <cacheHierarchy uniqueName="[Measures].[Sum of Износ 4]" caption="Sum of Износ 4" measure="1" displayFolder="" measureGroup="OPEXAnaliza" count="0" hidden="1">
      <extLst>
        <ext xmlns:x15="http://schemas.microsoft.com/office/spreadsheetml/2010/11/main" uri="{B97F6D7D-B522-45F9-BDA1-12C45D357490}">
          <x15:cacheHierarchy aggregatedColumn="101"/>
        </ext>
      </extLst>
    </cacheHierarchy>
    <cacheHierarchy uniqueName="[Measures].[Sum of Износ донација]" caption="Sum of Износ донација" measure="1" displayFolder="" measureGroup="CAPEX" count="0" hidden="1">
      <extLst>
        <ext xmlns:x15="http://schemas.microsoft.com/office/spreadsheetml/2010/11/main" uri="{B97F6D7D-B522-45F9-BDA1-12C45D357490}">
          <x15:cacheHierarchy aggregatedColumn="24"/>
        </ext>
      </extLst>
    </cacheHierarchy>
    <cacheHierarchy uniqueName="[Measures].[Sum of Вкупно трошок]" caption="Sum of Вкупно трошок" measure="1" displayFolder="" measureGroup="fArtikliCeni" count="0" hidden="1">
      <extLst>
        <ext xmlns:x15="http://schemas.microsoft.com/office/spreadsheetml/2010/11/main" uri="{B97F6D7D-B522-45F9-BDA1-12C45D357490}">
          <x15:cacheHierarchy aggregatedColumn="55"/>
        </ext>
      </extLst>
    </cacheHierarchy>
    <cacheHierarchy uniqueName="[Measures].[Sum of Количина]" caption="Sum of Количина" measure="1" displayFolder="" measureGroup="fArtikliCeni" count="0" hidden="1">
      <extLst>
        <ext xmlns:x15="http://schemas.microsoft.com/office/spreadsheetml/2010/11/main" uri="{B97F6D7D-B522-45F9-BDA1-12C45D357490}">
          <x15:cacheHierarchy aggregatedColumn="53"/>
        </ext>
      </extLst>
    </cacheHierarchy>
    <cacheHierarchy uniqueName="[Measures].[Sum of Единечна цена]" caption="Sum of Единечна цена" measure="1" displayFolder="" measureGroup="fArtikliCeni" count="0" hidden="1">
      <extLst>
        <ext xmlns:x15="http://schemas.microsoft.com/office/spreadsheetml/2010/11/main" uri="{B97F6D7D-B522-45F9-BDA1-12C45D357490}">
          <x15:cacheHierarchy aggregatedColumn="54"/>
        </ext>
      </extLst>
    </cacheHierarchy>
    <cacheHierarchy uniqueName="[Measures].[Sum of ДДВ]" caption="Sum of ДДВ" measure="1" displayFolder="" measureGroup="fArtikliCeni" count="0" hidden="1">
      <extLst>
        <ext xmlns:x15="http://schemas.microsoft.com/office/spreadsheetml/2010/11/main" uri="{B97F6D7D-B522-45F9-BDA1-12C45D357490}">
          <x15:cacheHierarchy aggregatedColumn="56"/>
        </ext>
      </extLst>
    </cacheHierarchy>
    <cacheHierarchy uniqueName="[Measures].[Sum of Износ 6]" caption="Sum of Износ 6" measure="1" displayFolder="" measureGroup="fArtikliCeni" count="0" hidden="1">
      <extLst>
        <ext xmlns:x15="http://schemas.microsoft.com/office/spreadsheetml/2010/11/main" uri="{B97F6D7D-B522-45F9-BDA1-12C45D357490}">
          <x15:cacheHierarchy aggregatedColumn="57"/>
        </ext>
      </extLst>
    </cacheHierarchy>
    <cacheHierarchy uniqueName="[Measures].[Count of Единечна мерка]" caption="Count of Единечна мерка" measure="1" displayFolder="" measureGroup="fArtikliCeni" count="0" hidden="1">
      <extLst>
        <ext xmlns:x15="http://schemas.microsoft.com/office/spreadsheetml/2010/11/main" uri="{B97F6D7D-B522-45F9-BDA1-12C45D357490}">
          <x15:cacheHierarchy aggregatedColumn="52"/>
        </ext>
      </extLst>
    </cacheHierarchy>
    <cacheHierarchy uniqueName="[Measures].[Sum of Количина 2]" caption="Sum of Количина 2" measure="1" displayFolder="" measureGroup="rArtikli_HR_Analiza" count="0" hidden="1">
      <extLst>
        <ext xmlns:x15="http://schemas.microsoft.com/office/spreadsheetml/2010/11/main" uri="{B97F6D7D-B522-45F9-BDA1-12C45D357490}">
          <x15:cacheHierarchy aggregatedColumn="118"/>
        </ext>
      </extLst>
    </cacheHierarchy>
    <cacheHierarchy uniqueName="[Measures].[Sum of Единечна цена 2]" caption="Sum of Единечна цена 2" measure="1" displayFolder="" measureGroup="rArtikli_HR_Analiza" count="0" hidden="1">
      <extLst>
        <ext xmlns:x15="http://schemas.microsoft.com/office/spreadsheetml/2010/11/main" uri="{B97F6D7D-B522-45F9-BDA1-12C45D357490}">
          <x15:cacheHierarchy aggregatedColumn="119"/>
        </ext>
      </extLst>
    </cacheHierarchy>
    <cacheHierarchy uniqueName="[Measures].[Sum of Вкупно трошок 2]" caption="Sum of Вкупно трошок 2" measure="1" displayFolder="" measureGroup="rArtikli_HR_Analiza" count="0" hidden="1">
      <extLst>
        <ext xmlns:x15="http://schemas.microsoft.com/office/spreadsheetml/2010/11/main" uri="{B97F6D7D-B522-45F9-BDA1-12C45D357490}">
          <x15:cacheHierarchy aggregatedColumn="120"/>
        </ext>
      </extLst>
    </cacheHierarchy>
    <cacheHierarchy uniqueName="[Measures].[Sum of ДДВ 2]" caption="Sum of ДДВ 2" measure="1" displayFolder="" measureGroup="rArtikli_HR_Analiza" count="0" hidden="1">
      <extLst>
        <ext xmlns:x15="http://schemas.microsoft.com/office/spreadsheetml/2010/11/main" uri="{B97F6D7D-B522-45F9-BDA1-12C45D357490}">
          <x15:cacheHierarchy aggregatedColumn="121"/>
        </ext>
      </extLst>
    </cacheHierarchy>
    <cacheHierarchy uniqueName="[Measures].[Sum of Износ 7]" caption="Sum of Износ 7" measure="1" displayFolder="" measureGroup="rArtikli_HR_Analiza" count="0" hidden="1">
      <extLst>
        <ext xmlns:x15="http://schemas.microsoft.com/office/spreadsheetml/2010/11/main" uri="{B97F6D7D-B522-45F9-BDA1-12C45D357490}">
          <x15:cacheHierarchy aggregatedColumn="122"/>
        </ext>
      </extLst>
    </cacheHierarchy>
    <cacheHierarchy uniqueName="[Measures].[Sum of Износ 5]" caption="Sum of Износ 5" measure="1" displayFolder="" measureGroup="fCoveckiResursi  2" count="0" hidden="1">
      <extLst>
        <ext xmlns:x15="http://schemas.microsoft.com/office/spreadsheetml/2010/11/main" uri="{B97F6D7D-B522-45F9-BDA1-12C45D357490}">
          <x15:cacheHierarchy aggregatedColumn="82"/>
        </ext>
      </extLst>
    </cacheHierarchy>
    <cacheHierarchy uniqueName="[Measures].[Sum of Проценета вредност на набавка со ДДВ (денари)]" caption="Sum of Проценета вредност на набавка со ДДВ (денари)" measure="1" displayFolder="" measureGroup="CAPEX" count="0" hidden="1">
      <extLst>
        <ext xmlns:x15="http://schemas.microsoft.com/office/spreadsheetml/2010/11/main" uri="{B97F6D7D-B522-45F9-BDA1-12C45D357490}">
          <x15:cacheHierarchy aggregatedColumn="20"/>
        </ext>
      </extLst>
    </cacheHierarchy>
  </cacheHierarchies>
  <kpis count="0"/>
  <dimensions count="12">
    <dimension name="Amortizacija" uniqueName="[Amortizacija]" caption="Amortizacija"/>
    <dimension name="Calendar" uniqueName="[Calendar]" caption="Calendar"/>
    <dimension name="CAPEX" uniqueName="[CAPEX]" caption="CAPEX"/>
    <dimension name="fActualAndBudget" uniqueName="[fActualAndBudget]" caption="fActualAndBudget"/>
    <dimension name="fArtikliCeni" uniqueName="[fArtikliCeni]" caption="fArtikliCeni"/>
    <dimension name="fCoveckiResursi" uniqueName="[fCoveckiResursi]" caption="fCoveckiResursi"/>
    <dimension name="fCoveckiResursi  2" uniqueName="[fCoveckiResursi  2]" caption="fCoveckiResursi  2"/>
    <dimension name="fOPEX" uniqueName="[fOPEX]" caption="fOPEX"/>
    <dimension measure="1" name="Measures" uniqueName="[Measures]" caption="Measures"/>
    <dimension name="OPEXAnaliza" uniqueName="[OPEXAnaliza]" caption="OPEXAnaliza"/>
    <dimension name="rArtikli_HR_Analiza" uniqueName="[rArtikli_HR_Analiza]" caption="rArtikli_HR_Analiza"/>
    <dimension name="rArtikliAnaliza" uniqueName="[rArtikliAnaliza]" caption="rArtikliAnaliza"/>
  </dimensions>
  <measureGroups count="11">
    <measureGroup name="Amortizacija" caption="Amortizacija"/>
    <measureGroup name="Calendar" caption="Calendar"/>
    <measureGroup name="CAPEX" caption="CAPEX"/>
    <measureGroup name="fActualAndBudget" caption="fActualAndBudget"/>
    <measureGroup name="fArtikliCeni" caption="fArtikliCeni"/>
    <measureGroup name="fCoveckiResursi" caption="fCoveckiResursi"/>
    <measureGroup name="fCoveckiResursi  2" caption="fCoveckiResursi  2"/>
    <measureGroup name="fOPEX" caption="fOPEX"/>
    <measureGroup name="OPEXAnaliza" caption="OPEXAnaliza"/>
    <measureGroup name="rArtikli_HR_Analiza" caption="rArtikli_HR_Analiza"/>
    <measureGroup name="rArtikliAnaliza" caption="rArtikliAnaliza"/>
  </measureGroups>
  <maps count="19">
    <map measureGroup="0" dimension="0"/>
    <map measureGroup="0" dimension="1"/>
    <map measureGroup="1" dimension="1"/>
    <map measureGroup="2" dimension="1"/>
    <map measureGroup="2" dimension="2"/>
    <map measureGroup="3" dimension="1"/>
    <map measureGroup="3" dimension="3"/>
    <map measureGroup="4" dimension="4"/>
    <map measureGroup="5" dimension="1"/>
    <map measureGroup="5" dimension="5"/>
    <map measureGroup="6" dimension="1"/>
    <map measureGroup="6" dimension="6"/>
    <map measureGroup="7" dimension="1"/>
    <map measureGroup="7" dimension="7"/>
    <map measureGroup="8" dimension="1"/>
    <map measureGroup="8" dimension="9"/>
    <map measureGroup="9" dimension="10"/>
    <map measureGroup="10" dimension="1"/>
    <map measureGroup="10" dimension="1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8.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ngela Sazdova - Doneva" refreshedDate="44899.978540856479" createdVersion="6" refreshedVersion="6" minRefreshableVersion="3" recordCount="0" supportSubquery="1" supportAdvancedDrill="1" xr:uid="{00000000-000A-0000-FFFF-FFFF13000000}">
  <cacheSource type="external" connectionId="22"/>
  <cacheFields count="5">
    <cacheField name="[fActualAndBudget].[Конто].[Конто]" caption="Конто" numFmtId="0" hierarchy="31" level="1">
      <sharedItems containsSemiMixedTypes="0" containsNonDate="0" containsString="0"/>
    </cacheField>
    <cacheField name="[Measures].[Sum of Износ]" caption="Sum of Износ" numFmtId="0" hierarchy="176" level="32767"/>
    <cacheField name="[Calendar].[Месец].[Месец]" caption="Месец" numFmtId="0" hierarchy="10" level="1">
      <sharedItems count="12">
        <s v="Jan"/>
        <s v="Feb"/>
        <s v="Mar"/>
        <s v="Apr"/>
        <s v="May"/>
        <s v="Jun"/>
        <s v="Jul"/>
        <s v="Aug"/>
        <s v="Sep"/>
        <s v="Oct"/>
        <s v="Nov"/>
        <s v="Dec"/>
      </sharedItems>
    </cacheField>
    <cacheField name="[Calendar].[Година].[Година]" caption="Година" numFmtId="0" hierarchy="8" level="1">
      <sharedItems containsSemiMixedTypes="0" containsNonDate="0" containsString="0"/>
    </cacheField>
    <cacheField name="[fActualAndBudget].[ReportType].[ReportType]" caption="ReportType" numFmtId="0" hierarchy="35" level="1">
      <sharedItems containsSemiMixedTypes="0" containsNonDate="0" containsString="0"/>
    </cacheField>
  </cacheFields>
  <cacheHierarchies count="195">
    <cacheHierarchy uniqueName="[Amortizacija].[Број на јавна набавка (план)]" caption="Број на јавна набавка (план)" attribute="1" defaultMemberUniqueName="[Amortizacija].[Број на јавна набавка (план)].[All]" allUniqueName="[Amortizacija].[Број на јавна набавка (план)].[All]" dimensionUniqueName="[Amortizacija]" displayFolder="" count="0" memberValueDatatype="130" unbalanced="0"/>
    <cacheHierarchy uniqueName="[Amortizacija].[Ставка]" caption="Ставка" attribute="1" defaultMemberUniqueName="[Amortizacija].[Ставка].[All]" allUniqueName="[Amortizacija].[Ставка].[All]" dimensionUniqueName="[Amortizacija]" displayFolder="" count="0" memberValueDatatype="130" unbalanced="0"/>
    <cacheHierarchy uniqueName="[Amortizacija].[Период]" caption="Период" attribute="1" time="1" defaultMemberUniqueName="[Amortizacija].[Период].[All]" allUniqueName="[Amortizacija].[Период].[All]" dimensionUniqueName="[Amortizacija]" displayFolder="" count="0" memberValueDatatype="7" unbalanced="0"/>
    <cacheHierarchy uniqueName="[Amortizacija].[Износ]" caption="Износ" attribute="1" defaultMemberUniqueName="[Amortizacija].[Износ].[All]" allUniqueName="[Amortizacija].[Износ].[All]" dimensionUniqueName="[Amortizacija]" displayFolder="" count="0" memberValueDatatype="20" unbalanced="0"/>
    <cacheHierarchy uniqueName="[Amortizacija].[Конто]" caption="Конто" attribute="1" defaultMemberUniqueName="[Amortizacija].[Конто].[All]" allUniqueName="[Amortizacija].[Конто].[All]" dimensionUniqueName="[Amortizacija]" displayFolder="" count="0" memberValueDatatype="130" unbalanced="0"/>
    <cacheHierarchy uniqueName="[Amortizacija].[ReportType]" caption="ReportType" attribute="1" defaultMemberUniqueName="[Amortizacija].[ReportType].[All]" allUniqueName="[Amortizacija].[ReportType].[All]" dimensionUniqueName="[Amortizacija]" displayFolder="" count="0" memberValueDatatype="130" unbalanced="0"/>
    <cacheHierarchy uniqueName="[Calendar].[Date]" caption="Date" attribute="1" time="1" keyAttribute="1" defaultMemberUniqueName="[Calendar].[Date].[All]" allUniqueName="[Calendar].[Date].[All]" dimensionUniqueName="[Calendar]" displayFolder="" count="0" memberValueDatatype="7" unbalanced="0"/>
    <cacheHierarchy uniqueName="[Calendar].[Date Hierarchy]" caption="Date Hierarchy" time="1" defaultMemberUniqueName="[Calendar].[Date Hierarchy].[All]" allUniqueName="[Calendar].[Date Hierarchy].[All]" dimensionUniqueName="[Calendar]" displayFolder="" count="0" unbalanced="0"/>
    <cacheHierarchy uniqueName="[Calendar].[Година]" caption="Година" attribute="1" time="1" defaultMemberUniqueName="[Calendar].[Година].[All]" allUniqueName="[Calendar].[Година].[All]" dimensionUniqueName="[Calendar]" displayFolder="" count="2" memberValueDatatype="20" unbalanced="0">
      <fieldsUsage count="2">
        <fieldUsage x="-1"/>
        <fieldUsage x="3"/>
      </fieldsUsage>
    </cacheHierarchy>
    <cacheHierarchy uniqueName="[Calendar].[Month Number]" caption="Month Number" attribute="1" time="1" defaultMemberUniqueName="[Calendar].[Month Number].[All]" allUniqueName="[Calendar].[Month Number].[All]" dimensionUniqueName="[Calendar]" displayFolder="" count="0" memberValueDatatype="20" unbalanced="0"/>
    <cacheHierarchy uniqueName="[Calendar].[Месец]" caption="Месец" attribute="1" time="1" defaultMemberUniqueName="[Calendar].[Месец].[All]" allUniqueName="[Calendar].[Месец].[All]" dimensionUniqueName="[Calendar]" displayFolder="" count="2" memberValueDatatype="130" unbalanced="0">
      <fieldsUsage count="2">
        <fieldUsage x="-1"/>
        <fieldUsage x="2"/>
      </fieldsUsage>
    </cacheHierarchy>
    <cacheHierarchy uniqueName="[Calendar].[MMM-YYYY]" caption="MMM-YYYY" attribute="1" time="1" defaultMemberUniqueName="[Calendar].[MMM-YYYY].[All]" allUniqueName="[Calendar].[MMM-YYYY].[All]" dimensionUniqueName="[Calendar]" displayFolder="" count="0" memberValueDatatype="130" unbalanced="0"/>
    <cacheHierarchy uniqueName="[Calendar].[Day Of Week Number]" caption="Day Of Week Number" attribute="1" time="1" defaultMemberUniqueName="[Calendar].[Day Of Week Number].[All]" allUniqueName="[Calendar].[Day Of Week Number].[All]" dimensionUniqueName="[Calendar]" displayFolder="" count="0" memberValueDatatype="20" unbalanced="0"/>
    <cacheHierarchy uniqueName="[Calendar].[Day Of Week]" caption="Day Of Week" attribute="1" time="1" defaultMemberUniqueName="[Calendar].[Day Of Week].[All]" allUniqueName="[Calendar].[Day Of Week].[All]" dimensionUniqueName="[Calendar]" displayFolder="" count="0" memberValueDatatype="130" unbalanced="0"/>
    <cacheHierarchy uniqueName="[Calendar].[Квартал]" caption="Квартал" attribute="1" time="1" defaultMemberUniqueName="[Calendar].[Квартал].[All]" allUniqueName="[Calendar].[Квартал].[All]" dimensionUniqueName="[Calendar]" displayFolder="" count="0" memberValueDatatype="7" unbalanced="0"/>
    <cacheHierarchy uniqueName="[CAPEX].[Година за реализација на проект]" caption="Година за реализација на проект" attribute="1" defaultMemberUniqueName="[CAPEX].[Година за реализација на проект].[All]" allUniqueName="[CAPEX].[Година за реализација на проект].[All]" dimensionUniqueName="[CAPEX]" displayFolder="" count="0" memberValueDatatype="20" unbalanced="0"/>
    <cacheHierarchy uniqueName="[CAPEX].[Број на јавна набавка (план)]" caption="Број на јавна набавка (план)" attribute="1" defaultMemberUniqueName="[CAPEX].[Број на јавна набавка (план)].[All]" allUniqueName="[CAPEX].[Број на јавна набавка (план)].[All]" dimensionUniqueName="[CAPEX]" displayFolder="" count="0" memberValueDatatype="130" unbalanced="0"/>
    <cacheHierarchy uniqueName="[CAPEX].[Предмет на договорот за јавна набавка]" caption="Предмет на договорот за јавна набавка" attribute="1" defaultMemberUniqueName="[CAPEX].[Предмет на договорот за јавна набавка].[All]" allUniqueName="[CAPEX].[Предмет на договорот за јавна набавка].[All]" dimensionUniqueName="[CAPEX]" displayFolder="" count="0" memberValueDatatype="130" unbalanced="0"/>
    <cacheHierarchy uniqueName="[CAPEX].[Очекуван датум на плаќање]" caption="Очекуван датум на плаќање" attribute="1" time="1" defaultMemberUniqueName="[CAPEX].[Очекуван датум на плаќање].[All]" allUniqueName="[CAPEX].[Очекуван датум на плаќање].[All]" dimensionUniqueName="[CAPEX]" displayFolder="" count="0" memberValueDatatype="7" unbalanced="0"/>
    <cacheHierarchy uniqueName="[CAPEX].[Очекуван датум за ставање во употреба (месец)]" caption="Очекуван датум за ставање во употреба (месец)" attribute="1" time="1" defaultMemberUniqueName="[CAPEX].[Очекуван датум за ставање во употреба (месец)].[All]" allUniqueName="[CAPEX].[Очекуван датум за ставање во употреба (месец)].[All]" dimensionUniqueName="[CAPEX]" displayFolder="" count="0" memberValueDatatype="7" unbalanced="0"/>
    <cacheHierarchy uniqueName="[CAPEX].[Проценета вредност на набавка со ДДВ (денари)]" caption="Проценета вредност на набавка со ДДВ (денари)" attribute="1" defaultMemberUniqueName="[CAPEX].[Проценета вредност на набавка со ДДВ (денари)].[All]" allUniqueName="[CAPEX].[Проценета вредност на набавка со ДДВ (денари)].[All]" dimensionUniqueName="[CAPEX]" displayFolder="" count="0" memberValueDatatype="20" unbalanced="0"/>
    <cacheHierarchy uniqueName="[CAPEX].[Стапка на амортизација]" caption="Стапка на амортизација" attribute="1" defaultMemberUniqueName="[CAPEX].[Стапка на амортизација].[All]" allUniqueName="[CAPEX].[Стапка на амортизација].[All]" dimensionUniqueName="[CAPEX]" displayFolder="" count="0" memberValueDatatype="5" unbalanced="0"/>
    <cacheHierarchy uniqueName="[CAPEX].[Конто Средства]" caption="Конто Средства" attribute="1" defaultMemberUniqueName="[CAPEX].[Конто Средства].[All]" allUniqueName="[CAPEX].[Конто Средства].[All]" dimensionUniqueName="[CAPEX]" displayFolder="" count="0" memberValueDatatype="130" unbalanced="0"/>
    <cacheHierarchy uniqueName="[CAPEX].[Конто Амортизација]" caption="Конто Амортизација" attribute="1" defaultMemberUniqueName="[CAPEX].[Конто Амортизација].[All]" allUniqueName="[CAPEX].[Конто Амортизација].[All]" dimensionUniqueName="[CAPEX]" displayFolder="" count="0" memberValueDatatype="130" unbalanced="0"/>
    <cacheHierarchy uniqueName="[CAPEX].[Износ донација]" caption="Износ донација" attribute="1" defaultMemberUniqueName="[CAPEX].[Износ донација].[All]" allUniqueName="[CAPEX].[Износ донација].[All]" dimensionUniqueName="[CAPEX]" displayFolder="" count="0" memberValueDatatype="20" unbalanced="0"/>
    <cacheHierarchy uniqueName="[CAPEX].[Очекуван датум на плаќање (Year)]" caption="Очекуван датум на плаќање (Year)" attribute="1" defaultMemberUniqueName="[CAPEX].[Очекуван датум на плаќање (Year)].[All]" allUniqueName="[CAPEX].[Очекуван датум на плаќање (Year)].[All]" dimensionUniqueName="[CAPEX]" displayFolder="" count="0" memberValueDatatype="130" unbalanced="0"/>
    <cacheHierarchy uniqueName="[CAPEX].[Очекуван датум на плаќање (Quarter)]" caption="Очекуван датум на плаќање (Quarter)" attribute="1" defaultMemberUniqueName="[CAPEX].[Очекуван датум на плаќање (Quarter)].[All]" allUniqueName="[CAPEX].[Очекуван датум на плаќање (Quarter)].[All]" dimensionUniqueName="[CAPEX]" displayFolder="" count="0" memberValueDatatype="130" unbalanced="0"/>
    <cacheHierarchy uniqueName="[CAPEX].[Очекуван датум на плаќање (Month)]" caption="Очекуван датум на плаќање (Month)" attribute="1" defaultMemberUniqueName="[CAPEX].[Очекуван датум на плаќање (Month)].[All]" allUniqueName="[CAPEX].[Очекуван датум на плаќање (Month)].[All]" dimensionUniqueName="[CAPEX]" displayFolder="" count="0" memberValueDatatype="130" unbalanced="0"/>
    <cacheHierarchy uniqueName="[CAPEX].[Очекуван датум за ставање во употреба (месец) (Year)]" caption="Очекуван датум за ставање во употреба (месец) (Year)" attribute="1" defaultMemberUniqueName="[CAPEX].[Очекуван датум за ставање во употреба (месец) (Year)].[All]" allUniqueName="[CAPEX].[Очекуван датум за ставање во употреба (месец) (Year)].[All]" dimensionUniqueName="[CAPEX]" displayFolder="" count="0" memberValueDatatype="130" unbalanced="0"/>
    <cacheHierarchy uniqueName="[CAPEX].[Очекуван датум за ставање во употреба (месец) (Quarter)]" caption="Очекуван датум за ставање во употреба (месец) (Quarter)" attribute="1" defaultMemberUniqueName="[CAPEX].[Очекуван датум за ставање во употреба (месец) (Quarter)].[All]" allUniqueName="[CAPEX].[Очекуван датум за ставање во употреба (месец) (Quarter)].[All]" dimensionUniqueName="[CAPEX]" displayFolder="" count="0" memberValueDatatype="130" unbalanced="0"/>
    <cacheHierarchy uniqueName="[CAPEX].[Очекуван датум за ставање во употреба (месец) (Month)]" caption="Очекуван датум за ставање во употреба (месец) (Month)" attribute="1" defaultMemberUniqueName="[CAPEX].[Очекуван датум за ставање во употреба (месец) (Month)].[All]" allUniqueName="[CAPEX].[Очекуван датум за ставање во употреба (месец) (Month)].[All]" dimensionUniqueName="[CAPEX]" displayFolder="" count="0" memberValueDatatype="130" unbalanced="0"/>
    <cacheHierarchy uniqueName="[fActualAndBudget].[Конто]" caption="Конто" attribute="1" defaultMemberUniqueName="[fActualAndBudget].[Конто].[All]" allUniqueName="[fActualAndBudget].[Конто].[All]" dimensionUniqueName="[fActualAndBudget]" displayFolder="" count="2" memberValueDatatype="130" unbalanced="0">
      <fieldsUsage count="2">
        <fieldUsage x="-1"/>
        <fieldUsage x="0"/>
      </fieldsUsage>
    </cacheHierarchy>
    <cacheHierarchy uniqueName="[fActualAndBudget].[Назив на конто]" caption="Назив на конто" attribute="1" defaultMemberUniqueName="[fActualAndBudget].[Назив на конто].[All]" allUniqueName="[fActualAndBudget].[Назив на конто].[All]" dimensionUniqueName="[fActualAndBudget]" displayFolder="" count="0" memberValueDatatype="130" unbalanced="0"/>
    <cacheHierarchy uniqueName="[fActualAndBudget].[Период]" caption="Период" attribute="1" time="1" defaultMemberUniqueName="[fActualAndBudget].[Период].[All]" allUniqueName="[fActualAndBudget].[Период].[All]" dimensionUniqueName="[fActualAndBudget]" displayFolder="" count="0" memberValueDatatype="7" unbalanced="0"/>
    <cacheHierarchy uniqueName="[fActualAndBudget].[Износ1]" caption="Износ1" attribute="1" defaultMemberUniqueName="[fActualAndBudget].[Износ1].[All]" allUniqueName="[fActualAndBudget].[Износ1].[All]" dimensionUniqueName="[fActualAndBudget]" displayFolder="" count="0" memberValueDatatype="20" unbalanced="0"/>
    <cacheHierarchy uniqueName="[fActualAndBudget].[ReportType]" caption="ReportType" attribute="1" defaultMemberUniqueName="[fActualAndBudget].[ReportType].[All]" allUniqueName="[fActualAndBudget].[ReportType].[All]" dimensionUniqueName="[fActualAndBudget]" displayFolder="" count="2" memberValueDatatype="130" unbalanced="0">
      <fieldsUsage count="2">
        <fieldUsage x="-1"/>
        <fieldUsage x="4"/>
      </fieldsUsage>
    </cacheHierarchy>
    <cacheHierarchy uniqueName="[fActualAndBudget].[Ставка]" caption="Ставка" attribute="1" defaultMemberUniqueName="[fActualAndBudget].[Ставка].[All]" allUniqueName="[fActualAndBudget].[Ставка].[All]" dimensionUniqueName="[fActualAndBudget]" displayFolder="" count="0" memberValueDatatype="130" unbalanced="0"/>
    <cacheHierarchy uniqueName="[fActualAndBudget].[Број на јавна набавка (план)]" caption="Број на јавна набавка (план)" attribute="1" defaultMemberUniqueName="[fActualAndBudget].[Број на јавна набавка (план)].[All]" allUniqueName="[fActualAndBudget].[Број на јавна набавка (план)].[All]" dimensionUniqueName="[fActualAndBudget]" displayFolder="" count="0" memberValueDatatype="130" unbalanced="0"/>
    <cacheHierarchy uniqueName="[fActualAndBudget].[StavkaImeMK]" caption="StavkaImeMK" attribute="1" defaultMemberUniqueName="[fActualAndBudget].[StavkaImeMK].[All]" allUniqueName="[fActualAndBudget].[StavkaImeMK].[All]" dimensionUniqueName="[fActualAndBudget]" displayFolder="" count="0" memberValueDatatype="130" unbalanced="0"/>
    <cacheHierarchy uniqueName="[fActualAndBudget].[StavkaGrupa]" caption="StavkaGrupa" attribute="1" defaultMemberUniqueName="[fActualAndBudget].[StavkaGrupa].[All]" allUniqueName="[fActualAndBudget].[StavkaGrupa].[All]" dimensionUniqueName="[fActualAndBudget]" displayFolder="" count="0" memberValueDatatype="130" unbalanced="0"/>
    <cacheHierarchy uniqueName="[fActualAndBudget].[StavkaKategorija]" caption="StavkaKategorija" attribute="1" defaultMemberUniqueName="[fActualAndBudget].[StavkaKategorija].[All]" allUniqueName="[fActualAndBudget].[StavkaKategorija].[All]" dimensionUniqueName="[fActualAndBudget]" displayFolder="" count="0" memberValueDatatype="130" unbalanced="0"/>
    <cacheHierarchy uniqueName="[fActualAndBudget].[ZnakIzvestaj]" caption="ZnakIzvestaj" attribute="1" defaultMemberUniqueName="[fActualAndBudget].[ZnakIzvestaj].[All]" allUniqueName="[fActualAndBudget].[ZnakIzvestaj].[All]" dimensionUniqueName="[fActualAndBudget]" displayFolder="" count="0" memberValueDatatype="20" unbalanced="0"/>
    <cacheHierarchy uniqueName="[fActualAndBudget].[ObrazecID]" caption="ObrazecID" attribute="1" defaultMemberUniqueName="[fActualAndBudget].[ObrazecID].[All]" allUniqueName="[fActualAndBudget].[ObrazecID].[All]" dimensionUniqueName="[fActualAndBudget]" displayFolder="" count="0" memberValueDatatype="20" unbalanced="0"/>
    <cacheHierarchy uniqueName="[fActualAndBudget].[StavkaAOP]" caption="StavkaAOP" attribute="1" defaultMemberUniqueName="[fActualAndBudget].[StavkaAOP].[All]" allUniqueName="[fActualAndBudget].[StavkaAOP].[All]" dimensionUniqueName="[fActualAndBudget]" displayFolder="" count="0" memberValueDatatype="130" unbalanced="0"/>
    <cacheHierarchy uniqueName="[fActualAndBudget].[ObrazecIme]" caption="ObrazecIme" attribute="1" defaultMemberUniqueName="[fActualAndBudget].[ObrazecIme].[All]" allUniqueName="[fActualAndBudget].[ObrazecIme].[All]" dimensionUniqueName="[fActualAndBudget]" displayFolder="" count="0" memberValueDatatype="130" unbalanced="0"/>
    <cacheHierarchy uniqueName="[fActualAndBudget].[Износ]" caption="Износ" attribute="1" defaultMemberUniqueName="[fActualAndBudget].[Износ].[All]" allUniqueName="[fActualAndBudget].[Износ].[All]" dimensionUniqueName="[fActualAndBudget]" displayFolder="" count="0" memberValueDatatype="20" unbalanced="0"/>
    <cacheHierarchy uniqueName="[fActualAndBudget].[Износ (илјади)]" caption="Износ (илјади)" attribute="1" defaultMemberUniqueName="[fActualAndBudget].[Износ (илјади)].[All]" allUniqueName="[fActualAndBudget].[Износ (илјади)].[All]" dimensionUniqueName="[fActualAndBudget]" displayFolder="" count="0" memberValueDatatype="5" unbalanced="0"/>
    <cacheHierarchy uniqueName="[fActualAndBudget].[StavkaImeAOP]" caption="StavkaImeAOP" attribute="1" defaultMemberUniqueName="[fActualAndBudget].[StavkaImeAOP].[All]" allUniqueName="[fActualAndBudget].[StavkaImeAOP].[All]" dimensionUniqueName="[fActualAndBudget]" displayFolder="" count="0" memberValueDatatype="130" unbalanced="0"/>
    <cacheHierarchy uniqueName="[fActualAndBudget].[Конто Ставка]" caption="Конто Ставка" attribute="1" defaultMemberUniqueName="[fActualAndBudget].[Конто Ставка].[All]" allUniqueName="[fActualAndBudget].[Конто Ставка].[All]" dimensionUniqueName="[fActualAndBudget]" displayFolder="" count="0" memberValueDatatype="130" unbalanced="0"/>
    <cacheHierarchy uniqueName="[fArtikliCeni].[Ставка]" caption="Ставка" attribute="1" defaultMemberUniqueName="[fArtikliCeni].[Ставка].[All]" allUniqueName="[fArtikliCeni].[Ставка].[All]" dimensionUniqueName="[fArtikliCeni]" displayFolder="" count="0" memberValueDatatype="130" unbalanced="0"/>
    <cacheHierarchy uniqueName="[fArtikliCeni].[Категорија Артикл]" caption="Категорија Артикл" attribute="1" defaultMemberUniqueName="[fArtikliCeni].[Категорија Артикл].[All]" allUniqueName="[fArtikliCeni].[Категорија Артикл].[All]" dimensionUniqueName="[fArtikliCeni]" displayFolder="" count="0" memberValueDatatype="130" unbalanced="0"/>
    <cacheHierarchy uniqueName="[fArtikliCeni].[Тип на артикл]" caption="Тип на артикл" attribute="1" defaultMemberUniqueName="[fArtikliCeni].[Тип на артикл].[All]" allUniqueName="[fArtikliCeni].[Тип на артикл].[All]" dimensionUniqueName="[fArtikliCeni]" displayFolder="" count="0" memberValueDatatype="130" unbalanced="0"/>
    <cacheHierarchy uniqueName="[fArtikliCeni].[Единечна мерка]" caption="Единечна мерка" attribute="1" defaultMemberUniqueName="[fArtikliCeni].[Единечна мерка].[All]" allUniqueName="[fArtikliCeni].[Единечна мерка].[All]" dimensionUniqueName="[fArtikliCeni]" displayFolder="" count="0" memberValueDatatype="130" unbalanced="0"/>
    <cacheHierarchy uniqueName="[fArtikliCeni].[Количина]" caption="Количина" attribute="1" defaultMemberUniqueName="[fArtikliCeni].[Количина].[All]" allUniqueName="[fArtikliCeni].[Количина].[All]" dimensionUniqueName="[fArtikliCeni]" displayFolder="" count="0" memberValueDatatype="5" unbalanced="0"/>
    <cacheHierarchy uniqueName="[fArtikliCeni].[Единечна цена]" caption="Единечна цена" attribute="1" defaultMemberUniqueName="[fArtikliCeni].[Единечна цена].[All]" allUniqueName="[fArtikliCeni].[Единечна цена].[All]" dimensionUniqueName="[fArtikliCeni]" displayFolder="" count="0" memberValueDatatype="20" unbalanced="0"/>
    <cacheHierarchy uniqueName="[fArtikliCeni].[Вкупно трошок]" caption="Вкупно трошок" attribute="1" defaultMemberUniqueName="[fArtikliCeni].[Вкупно трошок].[All]" allUniqueName="[fArtikliCeni].[Вкупно трошок].[All]" dimensionUniqueName="[fArtikliCeni]" displayFolder="" count="0" memberValueDatatype="5" unbalanced="0"/>
    <cacheHierarchy uniqueName="[fArtikliCeni].[ДДВ]" caption="ДДВ" attribute="1" defaultMemberUniqueName="[fArtikliCeni].[ДДВ].[All]" allUniqueName="[fArtikliCeni].[ДДВ].[All]" dimensionUniqueName="[fArtikliCeni]" displayFolder="" count="0" memberValueDatatype="5" unbalanced="0"/>
    <cacheHierarchy uniqueName="[fArtikliCeni].[Износ]" caption="Износ" attribute="1" defaultMemberUniqueName="[fArtikliCeni].[Износ].[All]" allUniqueName="[fArtikliCeni].[Износ].[All]" dimensionUniqueName="[fArtikliCeni]" displayFolder="" count="0" memberValueDatatype="5" unbalanced="0"/>
    <cacheHierarchy uniqueName="[fArtikliCeni].[Конто]" caption="Конто" attribute="1" defaultMemberUniqueName="[fArtikliCeni].[Конто].[All]" allUniqueName="[fArtikliCeni].[Конто].[All]" dimensionUniqueName="[fArtikliCeni]" displayFolder="" count="0" memberValueDatatype="130" unbalanced="0"/>
    <cacheHierarchy uniqueName="[fArtikliCeni].[ReportType]" caption="ReportType" attribute="1" defaultMemberUniqueName="[fArtikliCeni].[ReportType].[All]" allUniqueName="[fArtikliCeni].[ReportType].[All]" dimensionUniqueName="[fArtikliCeni]" displayFolder="" count="0" memberValueDatatype="130" unbalanced="0"/>
    <cacheHierarchy uniqueName="[fArtikliCeni].[Период]" caption="Период" attribute="1" time="1" defaultMemberUniqueName="[fArtikliCeni].[Период].[All]" allUniqueName="[fArtikliCeni].[Период].[All]" dimensionUniqueName="[fArtikliCeni]" displayFolder="" count="0" memberValueDatatype="7" unbalanced="0"/>
    <cacheHierarchy uniqueName="[fArtikliCeni].[StavkaImeMK]" caption="StavkaImeMK" attribute="1" defaultMemberUniqueName="[fArtikliCeni].[StavkaImeMK].[All]" allUniqueName="[fArtikliCeni].[StavkaImeMK].[All]" dimensionUniqueName="[fArtikliCeni]" displayFolder="" count="0" memberValueDatatype="130" unbalanced="0"/>
    <cacheHierarchy uniqueName="[fArtikliCeni].[StavkaAOP]" caption="StavkaAOP" attribute="1" defaultMemberUniqueName="[fArtikliCeni].[StavkaAOP].[All]" allUniqueName="[fArtikliCeni].[StavkaAOP].[All]" dimensionUniqueName="[fArtikliCeni]" displayFolder="" count="0" memberValueDatatype="130" unbalanced="0"/>
    <cacheHierarchy uniqueName="[fArtikliCeni].[StavkaGrupa]" caption="StavkaGrupa" attribute="1" defaultMemberUniqueName="[fArtikliCeni].[StavkaGrupa].[All]" allUniqueName="[fArtikliCeni].[StavkaGrupa].[All]" dimensionUniqueName="[fArtikliCeni]" displayFolder="" count="0" memberValueDatatype="130" unbalanced="0"/>
    <cacheHierarchy uniqueName="[fArtikliCeni].[StavkaKategorija]" caption="StavkaKategorija" attribute="1" defaultMemberUniqueName="[fArtikliCeni].[StavkaKategorija].[All]" allUniqueName="[fArtikliCeni].[StavkaKategorija].[All]" dimensionUniqueName="[fArtikliCeni]" displayFolder="" count="0" memberValueDatatype="130" unbalanced="0"/>
    <cacheHierarchy uniqueName="[fArtikliCeni].[ObrazecIme]" caption="ObrazecIme" attribute="1" defaultMemberUniqueName="[fArtikliCeni].[ObrazecIme].[All]" allUniqueName="[fArtikliCeni].[ObrazecIme].[All]" dimensionUniqueName="[fArtikliCeni]" displayFolder="" count="0" memberValueDatatype="130" unbalanced="0"/>
    <cacheHierarchy uniqueName="[fCoveckiResursi].[Ставка]" caption="Ставка" attribute="1" defaultMemberUniqueName="[fCoveckiResursi].[Ставка].[All]" allUniqueName="[fCoveckiResursi].[Ставка].[All]" dimensionUniqueName="[fCoveckiResursi]" displayFolder="" count="0" memberValueDatatype="130" unbalanced="0"/>
    <cacheHierarchy uniqueName="[fCoveckiResursi].[Тип на вработување]" caption="Тип на вработување" attribute="1" defaultMemberUniqueName="[fCoveckiResursi].[Тип на вработување].[All]" allUniqueName="[fCoveckiResursi].[Тип на вработување].[All]" dimensionUniqueName="[fCoveckiResursi]" displayFolder="" count="0" memberValueDatatype="130" unbalanced="0"/>
    <cacheHierarchy uniqueName="[fCoveckiResursi].[Планиран прилив/(одлив)]" caption="Планиран прилив/(одлив)" attribute="1" defaultMemberUniqueName="[fCoveckiResursi].[Планиран прилив/(одлив)].[All]" allUniqueName="[fCoveckiResursi].[Планиран прилив/(одлив)].[All]" dimensionUniqueName="[fCoveckiResursi]" displayFolder="" count="0" memberValueDatatype="20" unbalanced="0"/>
    <cacheHierarchy uniqueName="[fCoveckiResursi].[Период]" caption="Период" attribute="1" time="1" defaultMemberUniqueName="[fCoveckiResursi].[Период].[All]" allUniqueName="[fCoveckiResursi].[Период].[All]" dimensionUniqueName="[fCoveckiResursi]" displayFolder="" count="0" memberValueDatatype="7" unbalanced="0"/>
    <cacheHierarchy uniqueName="[fCoveckiResursi].[Крајна состојба вработени]" caption="Крајна состојба вработени" attribute="1" defaultMemberUniqueName="[fCoveckiResursi].[Крајна состојба вработени].[All]" allUniqueName="[fCoveckiResursi].[Крајна состојба вработени].[All]" dimensionUniqueName="[fCoveckiResursi]" displayFolder="" count="0" memberValueDatatype="20" unbalanced="0"/>
    <cacheHierarchy uniqueName="[fCoveckiResursi].[Износ]" caption="Износ" attribute="1" defaultMemberUniqueName="[fCoveckiResursi].[Износ].[All]" allUniqueName="[fCoveckiResursi].[Износ].[All]" dimensionUniqueName="[fCoveckiResursi]" displayFolder="" count="0" memberValueDatatype="20" unbalanced="0"/>
    <cacheHierarchy uniqueName="[fCoveckiResursi].[Конто]" caption="Конто" attribute="1" defaultMemberUniqueName="[fCoveckiResursi].[Конто].[All]" allUniqueName="[fCoveckiResursi].[Конто].[All]" dimensionUniqueName="[fCoveckiResursi]" displayFolder="" count="0" memberValueDatatype="130" unbalanced="0"/>
    <cacheHierarchy uniqueName="[fCoveckiResursi].[ReportType]" caption="ReportType" attribute="1" defaultMemberUniqueName="[fCoveckiResursi].[ReportType].[All]" allUniqueName="[fCoveckiResursi].[ReportType].[All]" dimensionUniqueName="[fCoveckiResursi]" displayFolder="" count="0" memberValueDatatype="130" unbalanced="0"/>
    <cacheHierarchy uniqueName="[fCoveckiResursi].[Период (Year)]" caption="Период (Year)" attribute="1" defaultMemberUniqueName="[fCoveckiResursi].[Период (Year)].[All]" allUniqueName="[fCoveckiResursi].[Период (Year)].[All]" dimensionUniqueName="[fCoveckiResursi]" displayFolder="" count="0" memberValueDatatype="130" unbalanced="0"/>
    <cacheHierarchy uniqueName="[fCoveckiResursi].[Период (Quarter)]" caption="Период (Quarter)" attribute="1" defaultMemberUniqueName="[fCoveckiResursi].[Период (Quarter)].[All]" allUniqueName="[fCoveckiResursi].[Период (Quarter)].[All]" dimensionUniqueName="[fCoveckiResursi]" displayFolder="" count="0" memberValueDatatype="130" unbalanced="0"/>
    <cacheHierarchy uniqueName="[fCoveckiResursi].[Период (Month)]" caption="Период (Month)" attribute="1" defaultMemberUniqueName="[fCoveckiResursi].[Период (Month)].[All]" allUniqueName="[fCoveckiResursi].[Период (Month)].[All]" dimensionUniqueName="[fCoveckiResursi]" displayFolder="" count="0" memberValueDatatype="130" unbalanced="0"/>
    <cacheHierarchy uniqueName="[fCoveckiResursi].[Период (Year) 1]" caption="Период (Year) 1" attribute="1" defaultMemberUniqueName="[fCoveckiResursi].[Период (Year) 1].[All]" allUniqueName="[fCoveckiResursi].[Период (Year) 1].[All]" dimensionUniqueName="[fCoveckiResursi]" displayFolder="" count="0" memberValueDatatype="130" unbalanced="0"/>
    <cacheHierarchy uniqueName="[fCoveckiResursi].[Период (Quarter) 1]" caption="Период (Quarter) 1" attribute="1" defaultMemberUniqueName="[fCoveckiResursi].[Период (Quarter) 1].[All]" allUniqueName="[fCoveckiResursi].[Период (Quarter) 1].[All]" dimensionUniqueName="[fCoveckiResursi]" displayFolder="" count="0" memberValueDatatype="130" unbalanced="0"/>
    <cacheHierarchy uniqueName="[fCoveckiResursi].[Период (Month) 1]" caption="Период (Month) 1" attribute="1" defaultMemberUniqueName="[fCoveckiResursi].[Период (Month) 1].[All]" allUniqueName="[fCoveckiResursi].[Период (Month) 1].[All]" dimensionUniqueName="[fCoveckiResursi]" displayFolder="" count="0" memberValueDatatype="130" unbalanced="0"/>
    <cacheHierarchy uniqueName="[fCoveckiResursi  2].[Ставка]" caption="Ставка" attribute="1" defaultMemberUniqueName="[fCoveckiResursi  2].[Ставка].[All]" allUniqueName="[fCoveckiResursi  2].[Ставка].[All]" dimensionUniqueName="[fCoveckiResursi  2]" displayFolder="" count="0" memberValueDatatype="130" unbalanced="0"/>
    <cacheHierarchy uniqueName="[fCoveckiResursi  2].[Период]" caption="Период" attribute="1" time="1" defaultMemberUniqueName="[fCoveckiResursi  2].[Период].[All]" allUniqueName="[fCoveckiResursi  2].[Период].[All]" dimensionUniqueName="[fCoveckiResursi  2]" displayFolder="" count="0" memberValueDatatype="7" unbalanced="0"/>
    <cacheHierarchy uniqueName="[fCoveckiResursi  2].[Износ]" caption="Износ" attribute="1" defaultMemberUniqueName="[fCoveckiResursi  2].[Износ].[All]" allUniqueName="[fCoveckiResursi  2].[Износ].[All]" dimensionUniqueName="[fCoveckiResursi  2]" displayFolder="" count="0" memberValueDatatype="20" unbalanced="0"/>
    <cacheHierarchy uniqueName="[fCoveckiResursi  2].[Конто]" caption="Конто" attribute="1" defaultMemberUniqueName="[fCoveckiResursi  2].[Конто].[All]" allUniqueName="[fCoveckiResursi  2].[Конто].[All]" dimensionUniqueName="[fCoveckiResursi  2]" displayFolder="" count="0" memberValueDatatype="130" unbalanced="0"/>
    <cacheHierarchy uniqueName="[fCoveckiResursi  2].[ReportType]" caption="ReportType" attribute="1" defaultMemberUniqueName="[fCoveckiResursi  2].[ReportType].[All]" allUniqueName="[fCoveckiResursi  2].[ReportType].[All]" dimensionUniqueName="[fCoveckiResursi  2]" displayFolder="" count="0" memberValueDatatype="130" unbalanced="0"/>
    <cacheHierarchy uniqueName="[fCoveckiResursi  2].[StavkaImeMK]" caption="StavkaImeMK" attribute="1" defaultMemberUniqueName="[fCoveckiResursi  2].[StavkaImeMK].[All]" allUniqueName="[fCoveckiResursi  2].[StavkaImeMK].[All]" dimensionUniqueName="[fCoveckiResursi  2]" displayFolder="" count="0" memberValueDatatype="130" unbalanced="0"/>
    <cacheHierarchy uniqueName="[fCoveckiResursi  2].[StavkaKategorija]" caption="StavkaKategorija" attribute="1" defaultMemberUniqueName="[fCoveckiResursi  2].[StavkaKategorija].[All]" allUniqueName="[fCoveckiResursi  2].[StavkaKategorija].[All]" dimensionUniqueName="[fCoveckiResursi  2]" displayFolder="" count="0" memberValueDatatype="130" unbalanced="0"/>
    <cacheHierarchy uniqueName="[fCoveckiResursi  2].[ObrazecIme]" caption="ObrazecIme" attribute="1" defaultMemberUniqueName="[fCoveckiResursi  2].[ObrazecIme].[All]" allUniqueName="[fCoveckiResursi  2].[ObrazecIme].[All]" dimensionUniqueName="[fCoveckiResursi  2]" displayFolder="" count="0" memberValueDatatype="130" unbalanced="0"/>
    <cacheHierarchy uniqueName="[fOPEX].[Конто]" caption="Конто" attribute="1" defaultMemberUniqueName="[fOPEX].[Конто].[All]" allUniqueName="[fOPEX].[Конто].[All]" dimensionUniqueName="[fOPEX]" displayFolder="" count="0" memberValueDatatype="130" unbalanced="0"/>
    <cacheHierarchy uniqueName="[fOPEX].[Ставка]" caption="Ставка" attribute="1" defaultMemberUniqueName="[fOPEX].[Ставка].[All]" allUniqueName="[fOPEX].[Ставка].[All]" dimensionUniqueName="[fOPEX]" displayFolder="" count="0" memberValueDatatype="130" unbalanced="0"/>
    <cacheHierarchy uniqueName="[fOPEX].[Период]" caption="Период" attribute="1" time="1" defaultMemberUniqueName="[fOPEX].[Период].[All]" allUniqueName="[fOPEX].[Период].[All]" dimensionUniqueName="[fOPEX]" displayFolder="" count="0" memberValueDatatype="7" unbalanced="0"/>
    <cacheHierarchy uniqueName="[fOPEX].[Износ]" caption="Износ" attribute="1" defaultMemberUniqueName="[fOPEX].[Износ].[All]" allUniqueName="[fOPEX].[Износ].[All]" dimensionUniqueName="[fOPEX]" displayFolder="" count="0" memberValueDatatype="20" unbalanced="0"/>
    <cacheHierarchy uniqueName="[fOPEX].[ReportType]" caption="ReportType" attribute="1" defaultMemberUniqueName="[fOPEX].[ReportType].[All]" allUniqueName="[fOPEX].[ReportType].[All]" dimensionUniqueName="[fOPEX]" displayFolder="" count="0" memberValueDatatype="130" unbalanced="0"/>
    <cacheHierarchy uniqueName="[OPEXAnaliza].[Артикл ИД]" caption="Артикл ИД" attribute="1" defaultMemberUniqueName="[OPEXAnaliza].[Артикл ИД].[All]" allUniqueName="[OPEXAnaliza].[Артикл ИД].[All]" dimensionUniqueName="[OPEXAnaliza]" displayFolder="" count="0" memberValueDatatype="20" unbalanced="0"/>
    <cacheHierarchy uniqueName="[OPEXAnaliza].[Ставка]" caption="Ставка" attribute="1" defaultMemberUniqueName="[OPEXAnaliza].[Ставка].[All]" allUniqueName="[OPEXAnaliza].[Ставка].[All]" dimensionUniqueName="[OPEXAnaliza]" displayFolder="" count="0" memberValueDatatype="130" unbalanced="0"/>
    <cacheHierarchy uniqueName="[OPEXAnaliza].[Категорија Артикл ИД]" caption="Категорија Артикл ИД" attribute="1" defaultMemberUniqueName="[OPEXAnaliza].[Категорија Артикл ИД].[All]" allUniqueName="[OPEXAnaliza].[Категорија Артикл ИД].[All]" dimensionUniqueName="[OPEXAnaliza]" displayFolder="" count="0" memberValueDatatype="20" unbalanced="0"/>
    <cacheHierarchy uniqueName="[OPEXAnaliza].[Категорија Артикл]" caption="Категорија Артикл" attribute="1" defaultMemberUniqueName="[OPEXAnaliza].[Категорија Артикл].[All]" allUniqueName="[OPEXAnaliza].[Категорија Артикл].[All]" dimensionUniqueName="[OPEXAnaliza]" displayFolder="" count="0" memberValueDatatype="130" unbalanced="0"/>
    <cacheHierarchy uniqueName="[OPEXAnaliza].[Тип на артикл]" caption="Тип на артикл" attribute="1" defaultMemberUniqueName="[OPEXAnaliza].[Тип на артикл].[All]" allUniqueName="[OPEXAnaliza].[Тип на артикл].[All]" dimensionUniqueName="[OPEXAnaliza]" displayFolder="" count="0" memberValueDatatype="130" unbalanced="0"/>
    <cacheHierarchy uniqueName="[OPEXAnaliza].[Единечна мерка]" caption="Единечна мерка" attribute="1" defaultMemberUniqueName="[OPEXAnaliza].[Единечна мерка].[All]" allUniqueName="[OPEXAnaliza].[Единечна мерка].[All]" dimensionUniqueName="[OPEXAnaliza]" displayFolder="" count="0" memberValueDatatype="130" unbalanced="0"/>
    <cacheHierarchy uniqueName="[OPEXAnaliza].[Количина]" caption="Количина" attribute="1" defaultMemberUniqueName="[OPEXAnaliza].[Количина].[All]" allUniqueName="[OPEXAnaliza].[Количина].[All]" dimensionUniqueName="[OPEXAnaliza]" displayFolder="" count="0" memberValueDatatype="5" unbalanced="0"/>
    <cacheHierarchy uniqueName="[OPEXAnaliza].[Единечна цена]" caption="Единечна цена" attribute="1" defaultMemberUniqueName="[OPEXAnaliza].[Единечна цена].[All]" allUniqueName="[OPEXAnaliza].[Единечна цена].[All]" dimensionUniqueName="[OPEXAnaliza]" displayFolder="" count="0" memberValueDatatype="20" unbalanced="0"/>
    <cacheHierarchy uniqueName="[OPEXAnaliza].[Износ]" caption="Износ" attribute="1" defaultMemberUniqueName="[OPEXAnaliza].[Износ].[All]" allUniqueName="[OPEXAnaliza].[Износ].[All]" dimensionUniqueName="[OPEXAnaliza]" displayFolder="" count="0" memberValueDatatype="5" unbalanced="0"/>
    <cacheHierarchy uniqueName="[OPEXAnaliza].[ДДВ]" caption="ДДВ" attribute="1" defaultMemberUniqueName="[OPEXAnaliza].[ДДВ].[All]" allUniqueName="[OPEXAnaliza].[ДДВ].[All]" dimensionUniqueName="[OPEXAnaliza]" displayFolder="" count="0" memberValueDatatype="5" unbalanced="0"/>
    <cacheHierarchy uniqueName="[OPEXAnaliza].[Вкупно трошок со ДДВ]" caption="Вкупно трошок со ДДВ" attribute="1" defaultMemberUniqueName="[OPEXAnaliza].[Вкупно трошок со ДДВ].[All]" allUniqueName="[OPEXAnaliza].[Вкупно трошок со ДДВ].[All]" dimensionUniqueName="[OPEXAnaliza]" displayFolder="" count="0" memberValueDatatype="5" unbalanced="0"/>
    <cacheHierarchy uniqueName="[OPEXAnaliza].[Конто]" caption="Конто" attribute="1" defaultMemberUniqueName="[OPEXAnaliza].[Конто].[All]" allUniqueName="[OPEXAnaliza].[Конто].[All]" dimensionUniqueName="[OPEXAnaliza]" displayFolder="" count="0" memberValueDatatype="130" unbalanced="0"/>
    <cacheHierarchy uniqueName="[OPEXAnaliza].[Период]" caption="Период" attribute="1" time="1" defaultMemberUniqueName="[OPEXAnaliza].[Период].[All]" allUniqueName="[OPEXAnaliza].[Период].[All]" dimensionUniqueName="[OPEXAnaliza]" displayFolder="" count="0" memberValueDatatype="7" unbalanced="0"/>
    <cacheHierarchy uniqueName="[OPEXAnaliza].[ReportType]" caption="ReportType" attribute="1" defaultMemberUniqueName="[OPEXAnaliza].[ReportType].[All]" allUniqueName="[OPEXAnaliza].[ReportType].[All]" dimensionUniqueName="[OPEXAnaliza]" displayFolder="" count="0" memberValueDatatype="130" unbalanced="0"/>
    <cacheHierarchy uniqueName="[OPEXAnaliza].[StavkaImeMK]" caption="StavkaImeMK" attribute="1" defaultMemberUniqueName="[OPEXAnaliza].[StavkaImeMK].[All]" allUniqueName="[OPEXAnaliza].[StavkaImeMK].[All]" dimensionUniqueName="[OPEXAnaliza]" displayFolder="" count="0" memberValueDatatype="130" unbalanced="0"/>
    <cacheHierarchy uniqueName="[OPEXAnaliza].[StavkaKategorija]" caption="StavkaKategorija" attribute="1" defaultMemberUniqueName="[OPEXAnaliza].[StavkaKategorija].[All]" allUniqueName="[OPEXAnaliza].[StavkaKategorija].[All]" dimensionUniqueName="[OPEXAnaliza]" displayFolder="" count="0" memberValueDatatype="130" unbalanced="0"/>
    <cacheHierarchy uniqueName="[OPEXAnaliza].[ObrazecIme]" caption="ObrazecIme" attribute="1" defaultMemberUniqueName="[OPEXAnaliza].[ObrazecIme].[All]" allUniqueName="[OPEXAnaliza].[ObrazecIme].[All]" dimensionUniqueName="[OPEXAnaliza]" displayFolder="" count="0" memberValueDatatype="130" unbalanced="0"/>
    <cacheHierarchy uniqueName="[OPEXAnaliza].[StavkaImeAOP]" caption="StavkaImeAOP" attribute="1" defaultMemberUniqueName="[OPEXAnaliza].[StavkaImeAOP].[All]" allUniqueName="[OPEXAnaliza].[StavkaImeAOP].[All]" dimensionUniqueName="[OPEXAnaliza]" displayFolder="" count="0" memberValueDatatype="20" unbalanced="0"/>
    <cacheHierarchy uniqueName="[OPEXAnaliza].[Период (Year)]" caption="Период (Year)" attribute="1" defaultMemberUniqueName="[OPEXAnaliza].[Период (Year)].[All]" allUniqueName="[OPEXAnaliza].[Период (Year)].[All]" dimensionUniqueName="[OPEXAnaliza]" displayFolder="" count="0" memberValueDatatype="130" unbalanced="0"/>
    <cacheHierarchy uniqueName="[OPEXAnaliza].[Период (Quarter)]" caption="Период (Quarter)" attribute="1" defaultMemberUniqueName="[OPEXAnaliza].[Период (Quarter)].[All]" allUniqueName="[OPEXAnaliza].[Период (Quarter)].[All]" dimensionUniqueName="[OPEXAnaliza]" displayFolder="" count="0" memberValueDatatype="130" unbalanced="0"/>
    <cacheHierarchy uniqueName="[OPEXAnaliza].[Период (Month)]" caption="Период (Month)" attribute="1" defaultMemberUniqueName="[OPEXAnaliza].[Период (Month)].[All]" allUniqueName="[OPEXAnaliza].[Период (Month)].[All]" dimensionUniqueName="[OPEXAnaliza]" displayFolder="" count="0" memberValueDatatype="130" unbalanced="0"/>
    <cacheHierarchy uniqueName="[rArtikli_HR_Analiza].[Ставка]" caption="Ставка" attribute="1" defaultMemberUniqueName="[rArtikli_HR_Analiza].[Ставка].[All]" allUniqueName="[rArtikli_HR_Analiza].[Ставка].[All]" dimensionUniqueName="[rArtikli_HR_Analiza]" displayFolder="" count="0" memberValueDatatype="130" unbalanced="0"/>
    <cacheHierarchy uniqueName="[rArtikli_HR_Analiza].[Категорија Артикл]" caption="Категорија Артикл" attribute="1" defaultMemberUniqueName="[rArtikli_HR_Analiza].[Категорија Артикл].[All]" allUniqueName="[rArtikli_HR_Analiza].[Категорија Артикл].[All]" dimensionUniqueName="[rArtikli_HR_Analiza]" displayFolder="" count="0" memberValueDatatype="130" unbalanced="0"/>
    <cacheHierarchy uniqueName="[rArtikli_HR_Analiza].[Тип на артикл]" caption="Тип на артикл" attribute="1" defaultMemberUniqueName="[rArtikli_HR_Analiza].[Тип на артикл].[All]" allUniqueName="[rArtikli_HR_Analiza].[Тип на артикл].[All]" dimensionUniqueName="[rArtikli_HR_Analiza]" displayFolder="" count="0" memberValueDatatype="130" unbalanced="0"/>
    <cacheHierarchy uniqueName="[rArtikli_HR_Analiza].[Единечна мерка]" caption="Единечна мерка" attribute="1" defaultMemberUniqueName="[rArtikli_HR_Analiza].[Единечна мерка].[All]" allUniqueName="[rArtikli_HR_Analiza].[Единечна мерка].[All]" dimensionUniqueName="[rArtikli_HR_Analiza]" displayFolder="" count="0" memberValueDatatype="130" unbalanced="0"/>
    <cacheHierarchy uniqueName="[rArtikli_HR_Analiza].[Количина]" caption="Количина" attribute="1" defaultMemberUniqueName="[rArtikli_HR_Analiza].[Количина].[All]" allUniqueName="[rArtikli_HR_Analiza].[Количина].[All]" dimensionUniqueName="[rArtikli_HR_Analiza]" displayFolder="" count="0" memberValueDatatype="5" unbalanced="0"/>
    <cacheHierarchy uniqueName="[rArtikli_HR_Analiza].[Единечна цена]" caption="Единечна цена" attribute="1" defaultMemberUniqueName="[rArtikli_HR_Analiza].[Единечна цена].[All]" allUniqueName="[rArtikli_HR_Analiza].[Единечна цена].[All]" dimensionUniqueName="[rArtikli_HR_Analiza]" displayFolder="" count="0" memberValueDatatype="20" unbalanced="0"/>
    <cacheHierarchy uniqueName="[rArtikli_HR_Analiza].[Вкупно трошок]" caption="Вкупно трошок" attribute="1" defaultMemberUniqueName="[rArtikli_HR_Analiza].[Вкупно трошок].[All]" allUniqueName="[rArtikli_HR_Analiza].[Вкупно трошок].[All]" dimensionUniqueName="[rArtikli_HR_Analiza]" displayFolder="" count="0" memberValueDatatype="5" unbalanced="0"/>
    <cacheHierarchy uniqueName="[rArtikli_HR_Analiza].[ДДВ]" caption="ДДВ" attribute="1" defaultMemberUniqueName="[rArtikli_HR_Analiza].[ДДВ].[All]" allUniqueName="[rArtikli_HR_Analiza].[ДДВ].[All]" dimensionUniqueName="[rArtikli_HR_Analiza]" displayFolder="" count="0" memberValueDatatype="5" unbalanced="0"/>
    <cacheHierarchy uniqueName="[rArtikli_HR_Analiza].[Износ]" caption="Износ" attribute="1" defaultMemberUniqueName="[rArtikli_HR_Analiza].[Износ].[All]" allUniqueName="[rArtikli_HR_Analiza].[Износ].[All]" dimensionUniqueName="[rArtikli_HR_Analiza]" displayFolder="" count="0" memberValueDatatype="5" unbalanced="0"/>
    <cacheHierarchy uniqueName="[rArtikli_HR_Analiza].[Конто]" caption="Конто" attribute="1" defaultMemberUniqueName="[rArtikli_HR_Analiza].[Конто].[All]" allUniqueName="[rArtikli_HR_Analiza].[Конто].[All]" dimensionUniqueName="[rArtikli_HR_Analiza]" displayFolder="" count="0" memberValueDatatype="130" unbalanced="0"/>
    <cacheHierarchy uniqueName="[rArtikli_HR_Analiza].[ReportType]" caption="ReportType" attribute="1" defaultMemberUniqueName="[rArtikli_HR_Analiza].[ReportType].[All]" allUniqueName="[rArtikli_HR_Analiza].[ReportType].[All]" dimensionUniqueName="[rArtikli_HR_Analiza]" displayFolder="" count="0" memberValueDatatype="130" unbalanced="0"/>
    <cacheHierarchy uniqueName="[rArtikli_HR_Analiza].[Период]" caption="Период" attribute="1" time="1" defaultMemberUniqueName="[rArtikli_HR_Analiza].[Период].[All]" allUniqueName="[rArtikli_HR_Analiza].[Период].[All]" dimensionUniqueName="[rArtikli_HR_Analiza]" displayFolder="" count="0" memberValueDatatype="7" unbalanced="0"/>
    <cacheHierarchy uniqueName="[rArtikli_HR_Analiza].[StavkaImeMK]" caption="StavkaImeMK" attribute="1" defaultMemberUniqueName="[rArtikli_HR_Analiza].[StavkaImeMK].[All]" allUniqueName="[rArtikli_HR_Analiza].[StavkaImeMK].[All]" dimensionUniqueName="[rArtikli_HR_Analiza]" displayFolder="" count="0" memberValueDatatype="130" unbalanced="0"/>
    <cacheHierarchy uniqueName="[rArtikli_HR_Analiza].[StavkaAOP]" caption="StavkaAOP" attribute="1" defaultMemberUniqueName="[rArtikli_HR_Analiza].[StavkaAOP].[All]" allUniqueName="[rArtikli_HR_Analiza].[StavkaAOP].[All]" dimensionUniqueName="[rArtikli_HR_Analiza]" displayFolder="" count="0" memberValueDatatype="130" unbalanced="0"/>
    <cacheHierarchy uniqueName="[rArtikli_HR_Analiza].[StavkaGrupa]" caption="StavkaGrupa" attribute="1" defaultMemberUniqueName="[rArtikli_HR_Analiza].[StavkaGrupa].[All]" allUniqueName="[rArtikli_HR_Analiza].[StavkaGrupa].[All]" dimensionUniqueName="[rArtikli_HR_Analiza]" displayFolder="" count="0" memberValueDatatype="130" unbalanced="0"/>
    <cacheHierarchy uniqueName="[rArtikli_HR_Analiza].[StavkaKategorija]" caption="StavkaKategorija" attribute="1" defaultMemberUniqueName="[rArtikli_HR_Analiza].[StavkaKategorija].[All]" allUniqueName="[rArtikli_HR_Analiza].[StavkaKategorija].[All]" dimensionUniqueName="[rArtikli_HR_Analiza]" displayFolder="" count="0" memberValueDatatype="130" unbalanced="0"/>
    <cacheHierarchy uniqueName="[rArtikli_HR_Analiza].[ObrazecIme]" caption="ObrazecIme" attribute="1" defaultMemberUniqueName="[rArtikli_HR_Analiza].[ObrazecIme].[All]" allUniqueName="[rArtikli_HR_Analiza].[ObrazecIme].[All]" dimensionUniqueName="[rArtikli_HR_Analiza]" displayFolder="" count="0" memberValueDatatype="130" unbalanced="0"/>
    <cacheHierarchy uniqueName="[rArtikli_HR_Analiza].[StavkaKategorija.1]" caption="StavkaKategorija.1" attribute="1" defaultMemberUniqueName="[rArtikli_HR_Analiza].[StavkaKategorija.1].[All]" allUniqueName="[rArtikli_HR_Analiza].[StavkaKategorija.1].[All]" dimensionUniqueName="[rArtikli_HR_Analiza]" displayFolder="" count="0" memberValueDatatype="130" unbalanced="0"/>
    <cacheHierarchy uniqueName="[rArtikliAnaliza].[Артикл ИД]" caption="Артикл ИД" attribute="1" defaultMemberUniqueName="[rArtikliAnaliza].[Артикл ИД].[All]" allUniqueName="[rArtikliAnaliza].[Артикл ИД].[All]" dimensionUniqueName="[rArtikliAnaliza]" displayFolder="" count="0" memberValueDatatype="20" unbalanced="0"/>
    <cacheHierarchy uniqueName="[rArtikliAnaliza].[Ставка]" caption="Ставка" attribute="1" defaultMemberUniqueName="[rArtikliAnaliza].[Ставка].[All]" allUniqueName="[rArtikliAnaliza].[Ставка].[All]" dimensionUniqueName="[rArtikliAnaliza]" displayFolder="" count="0" memberValueDatatype="130" unbalanced="0"/>
    <cacheHierarchy uniqueName="[rArtikliAnaliza].[Категорија Артикл ИД]" caption="Категорија Артикл ИД" attribute="1" defaultMemberUniqueName="[rArtikliAnaliza].[Категорија Артикл ИД].[All]" allUniqueName="[rArtikliAnaliza].[Категорија Артикл ИД].[All]" dimensionUniqueName="[rArtikliAnaliza]" displayFolder="" count="0" memberValueDatatype="20" unbalanced="0"/>
    <cacheHierarchy uniqueName="[rArtikliAnaliza].[Категорија Артикл]" caption="Категорија Артикл" attribute="1" defaultMemberUniqueName="[rArtikliAnaliza].[Категорија Артикл].[All]" allUniqueName="[rArtikliAnaliza].[Категорија Артикл].[All]" dimensionUniqueName="[rArtikliAnaliza]" displayFolder="" count="0" memberValueDatatype="130" unbalanced="0"/>
    <cacheHierarchy uniqueName="[rArtikliAnaliza].[Тип на артикл]" caption="Тип на артикл" attribute="1" defaultMemberUniqueName="[rArtikliAnaliza].[Тип на артикл].[All]" allUniqueName="[rArtikliAnaliza].[Тип на артикл].[All]" dimensionUniqueName="[rArtikliAnaliza]" displayFolder="" count="0" memberValueDatatype="130" unbalanced="0"/>
    <cacheHierarchy uniqueName="[rArtikliAnaliza].[Единечна мерка]" caption="Единечна мерка" attribute="1" defaultMemberUniqueName="[rArtikliAnaliza].[Единечна мерка].[All]" allUniqueName="[rArtikliAnaliza].[Единечна мерка].[All]" dimensionUniqueName="[rArtikliAnaliza]" displayFolder="" count="0" memberValueDatatype="130" unbalanced="0"/>
    <cacheHierarchy uniqueName="[rArtikliAnaliza].[Количина]" caption="Количина" attribute="1" defaultMemberUniqueName="[rArtikliAnaliza].[Количина].[All]" allUniqueName="[rArtikliAnaliza].[Количина].[All]" dimensionUniqueName="[rArtikliAnaliza]" displayFolder="" count="0" memberValueDatatype="5" unbalanced="0"/>
    <cacheHierarchy uniqueName="[rArtikliAnaliza].[Единечна цена]" caption="Единечна цена" attribute="1" defaultMemberUniqueName="[rArtikliAnaliza].[Единечна цена].[All]" allUniqueName="[rArtikliAnaliza].[Единечна цена].[All]" dimensionUniqueName="[rArtikliAnaliza]" displayFolder="" count="0" memberValueDatatype="20" unbalanced="0"/>
    <cacheHierarchy uniqueName="[rArtikliAnaliza].[Износ]" caption="Износ" attribute="1" defaultMemberUniqueName="[rArtikliAnaliza].[Износ].[All]" allUniqueName="[rArtikliAnaliza].[Износ].[All]" dimensionUniqueName="[rArtikliAnaliza]" displayFolder="" count="0" memberValueDatatype="5" unbalanced="0"/>
    <cacheHierarchy uniqueName="[rArtikliAnaliza].[ДДВ]" caption="ДДВ" attribute="1" defaultMemberUniqueName="[rArtikliAnaliza].[ДДВ].[All]" allUniqueName="[rArtikliAnaliza].[ДДВ].[All]" dimensionUniqueName="[rArtikliAnaliza]" displayFolder="" count="0" memberValueDatatype="5" unbalanced="0"/>
    <cacheHierarchy uniqueName="[rArtikliAnaliza].[Вкупно трошок со ДДВ]" caption="Вкупно трошок со ДДВ" attribute="1" defaultMemberUniqueName="[rArtikliAnaliza].[Вкупно трошок со ДДВ].[All]" allUniqueName="[rArtikliAnaliza].[Вкупно трошок со ДДВ].[All]" dimensionUniqueName="[rArtikliAnaliza]" displayFolder="" count="0" memberValueDatatype="5" unbalanced="0"/>
    <cacheHierarchy uniqueName="[rArtikliAnaliza].[Конто]" caption="Конто" attribute="1" defaultMemberUniqueName="[rArtikliAnaliza].[Конто].[All]" allUniqueName="[rArtikliAnaliza].[Конто].[All]" dimensionUniqueName="[rArtikliAnaliza]" displayFolder="" count="0" memberValueDatatype="130" unbalanced="0"/>
    <cacheHierarchy uniqueName="[rArtikliAnaliza].[Период]" caption="Период" attribute="1" time="1" defaultMemberUniqueName="[rArtikliAnaliza].[Период].[All]" allUniqueName="[rArtikliAnaliza].[Период].[All]" dimensionUniqueName="[rArtikliAnaliza]" displayFolder="" count="0" memberValueDatatype="7" unbalanced="0"/>
    <cacheHierarchy uniqueName="[rArtikliAnaliza].[ReportType]" caption="ReportType" attribute="1" defaultMemberUniqueName="[rArtikliAnaliza].[ReportType].[All]" allUniqueName="[rArtikliAnaliza].[ReportType].[All]" dimensionUniqueName="[rArtikliAnaliza]" displayFolder="" count="0" memberValueDatatype="130" unbalanced="0"/>
    <cacheHierarchy uniqueName="[rArtikliAnaliza].[StavkaImeMK]" caption="StavkaImeMK" attribute="1" defaultMemberUniqueName="[rArtikliAnaliza].[StavkaImeMK].[All]" allUniqueName="[rArtikliAnaliza].[StavkaImeMK].[All]" dimensionUniqueName="[rArtikliAnaliza]" displayFolder="" count="0" memberValueDatatype="130" unbalanced="0"/>
    <cacheHierarchy uniqueName="[rArtikliAnaliza].[StavkaKategorija]" caption="StavkaKategorija" attribute="1" defaultMemberUniqueName="[rArtikliAnaliza].[StavkaKategorija].[All]" allUniqueName="[rArtikliAnaliza].[StavkaKategorija].[All]" dimensionUniqueName="[rArtikliAnaliza]" displayFolder="" count="0" memberValueDatatype="130" unbalanced="0"/>
    <cacheHierarchy uniqueName="[rArtikliAnaliza].[Период (Year)]" caption="Период (Year)" attribute="1" defaultMemberUniqueName="[rArtikliAnaliza].[Период (Year)].[All]" allUniqueName="[rArtikliAnaliza].[Период (Year)].[All]" dimensionUniqueName="[rArtikliAnaliza]" displayFolder="" count="0" memberValueDatatype="130" unbalanced="0"/>
    <cacheHierarchy uniqueName="[rArtikliAnaliza].[Период (Quarter)]" caption="Период (Quarter)" attribute="1" defaultMemberUniqueName="[rArtikliAnaliza].[Период (Quarter)].[All]" allUniqueName="[rArtikliAnaliza].[Период (Quarter)].[All]" dimensionUniqueName="[rArtikliAnaliza]" displayFolder="" count="0" memberValueDatatype="130" unbalanced="0"/>
    <cacheHierarchy uniqueName="[rArtikliAnaliza].[Период (Month)]" caption="Период (Month)" attribute="1" defaultMemberUniqueName="[rArtikliAnaliza].[Период (Month)].[All]" allUniqueName="[rArtikliAnaliza].[Период (Month)].[All]" dimensionUniqueName="[rArtikliAnaliza]" displayFolder="" count="0" memberValueDatatype="130" unbalanced="0"/>
    <cacheHierarchy uniqueName="[CAPEX].[Очекуван датум за ставање во употреба (месец) (Month Index)]" caption="Очекуван датум за ставање во употреба (месец) (Month Index)" attribute="1" defaultMemberUniqueName="[CAPEX].[Очекуван датум за ставање во употреба (месец) (Month Index)].[All]" allUniqueName="[CAPEX].[Очекуван датум за ставање во употреба (месец) (Month Index)].[All]" dimensionUniqueName="[CAPEX]" displayFolder="" count="0" memberValueDatatype="20" unbalanced="0" hidden="1"/>
    <cacheHierarchy uniqueName="[CAPEX].[Очекуван датум на плаќање (Month Index)]" caption="Очекуван датум на плаќање (Month Index)" attribute="1" defaultMemberUniqueName="[CAPEX].[Очекуван датум на плаќање (Month Index)].[All]" allUniqueName="[CAPEX].[Очекуван датум на плаќање (Month Index)].[All]" dimensionUniqueName="[CAPEX]" displayFolder="" count="0" memberValueDatatype="20" unbalanced="0" hidden="1"/>
    <cacheHierarchy uniqueName="[fActualAndBudget].[StavkaID]" caption="StavkaID" attribute="1" defaultMemberUniqueName="[fActualAndBudget].[StavkaID].[All]" allUniqueName="[fActualAndBudget].[StavkaID].[All]" dimensionUniqueName="[fActualAndBudget]" displayFolder="" count="0" memberValueDatatype="20" unbalanced="0" hidden="1"/>
    <cacheHierarchy uniqueName="[fCoveckiResursi].[Период (Month Index)]" caption="Период (Month Index)" attribute="1" defaultMemberUniqueName="[fCoveckiResursi].[Период (Month Index)].[All]" allUniqueName="[fCoveckiResursi].[Период (Month Index)].[All]" dimensionUniqueName="[fCoveckiResursi]" displayFolder="" count="0" memberValueDatatype="20" unbalanced="0" hidden="1"/>
    <cacheHierarchy uniqueName="[fCoveckiResursi].[Период (Month Index) 1]" caption="Период (Month Index) 1" attribute="1" defaultMemberUniqueName="[fCoveckiResursi].[Период (Month Index) 1].[All]" allUniqueName="[fCoveckiResursi].[Период (Month Index) 1].[All]" dimensionUniqueName="[fCoveckiResursi]" displayFolder="" count="0" memberValueDatatype="20" unbalanced="0" hidden="1"/>
    <cacheHierarchy uniqueName="[OPEXAnaliza].[Период (Month Index)]" caption="Период (Month Index)" attribute="1" defaultMemberUniqueName="[OPEXAnaliza].[Период (Month Index)].[All]" allUniqueName="[OPEXAnaliza].[Период (Month Index)].[All]" dimensionUniqueName="[OPEXAnaliza]" displayFolder="" count="0" memberValueDatatype="20" unbalanced="0" hidden="1"/>
    <cacheHierarchy uniqueName="[rArtikli_HR_Analiza].[Крајна состојба вработени]" caption="Крајна состојба вработени" attribute="1" defaultMemberUniqueName="[rArtikli_HR_Analiza].[Крајна состојба вработени].[All]" allUniqueName="[rArtikli_HR_Analiza].[Крајна состојба вработени].[All]" dimensionUniqueName="[rArtikli_HR_Analiza]" displayFolder="" count="0" memberValueDatatype="20" unbalanced="0" hidden="1"/>
    <cacheHierarchy uniqueName="[rArtikli_HR_Analiza].[Планиран прилив/(одлив)]" caption="Планиран прилив/(одлив)" attribute="1" defaultMemberUniqueName="[rArtikli_HR_Analiza].[Планиран прилив/(одлив)].[All]" allUniqueName="[rArtikli_HR_Analiza].[Планиран прилив/(одлив)].[All]" dimensionUniqueName="[rArtikli_HR_Analiza]" displayFolder="" count="0" memberValueDatatype="20" unbalanced="0" hidden="1"/>
    <cacheHierarchy uniqueName="[rArtikli_HR_Analiza].[Тип на вработување]" caption="Тип на вработување" attribute="1" defaultMemberUniqueName="[rArtikli_HR_Analiza].[Тип на вработување].[All]" allUniqueName="[rArtikli_HR_Analiza].[Тип на вработување].[All]" dimensionUniqueName="[rArtikli_HR_Analiza]" displayFolder="" count="0" memberValueDatatype="130" unbalanced="0" hidden="1"/>
    <cacheHierarchy uniqueName="[rArtikliAnaliza].[Период (Month Index)]" caption="Период (Month Index)" attribute="1" defaultMemberUniqueName="[rArtikliAnaliza].[Период (Month Index)].[All]" allUniqueName="[rArtikliAnaliza].[Период (Month Index)].[All]" dimensionUniqueName="[rArtikliAnaliza]" displayFolder="" count="0" memberValueDatatype="20" unbalanced="0" hidden="1"/>
    <cacheHierarchy uniqueName="[Measures].[__XL_Count Calendar]" caption="__XL_Count Calendar" measure="1" displayFolder="" measureGroup="Calendar" count="0" hidden="1"/>
    <cacheHierarchy uniqueName="[Measures].[__XL_Count CAPEX]" caption="__XL_Count CAPEX" measure="1" displayFolder="" measureGroup="CAPEX" count="0" hidden="1"/>
    <cacheHierarchy uniqueName="[Measures].[__XL_Count Amortizacija]" caption="__XL_Count Amortizacija" measure="1" displayFolder="" measureGroup="Amortizacija" count="0" hidden="1"/>
    <cacheHierarchy uniqueName="[Measures].[__XL_Count fCoveckiResursi]" caption="__XL_Count fCoveckiResursi" measure="1" displayFolder="" measureGroup="fCoveckiResursi" count="0" hidden="1"/>
    <cacheHierarchy uniqueName="[Measures].[__XL_Count fActualAndBudget]" caption="__XL_Count fActualAndBudget" measure="1" displayFolder="" measureGroup="fActualAndBudget" count="0" hidden="1"/>
    <cacheHierarchy uniqueName="[Measures].[__XL_Count fOPEX]" caption="__XL_Count fOPEX" measure="1" displayFolder="" measureGroup="fOPEX" count="0" hidden="1"/>
    <cacheHierarchy uniqueName="[Measures].[__XL_Count OPEXAnaliza]" caption="__XL_Count OPEXAnaliza" measure="1" displayFolder="" measureGroup="OPEXAnaliza" count="0" hidden="1"/>
    <cacheHierarchy uniqueName="[Measures].[__XL_Count rArtikliAnaliza]" caption="__XL_Count rArtikliAnaliza" measure="1" displayFolder="" measureGroup="rArtikliAnaliza" count="0" hidden="1"/>
    <cacheHierarchy uniqueName="[Measures].[__XL_Count fArtikliCeni]" caption="__XL_Count fArtikliCeni" measure="1" displayFolder="" measureGroup="fArtikliCeni" count="0" hidden="1"/>
    <cacheHierarchy uniqueName="[Measures].[__XL_Count rArtikli_HR_Analiza]" caption="__XL_Count rArtikli_HR_Analiza" measure="1" displayFolder="" measureGroup="rArtikli_HR_Analiza" count="0" hidden="1"/>
    <cacheHierarchy uniqueName="[Measures].[__XL_Count fCoveckiResursi  2]" caption="__XL_Count fCoveckiResursi  2" measure="1" displayFolder="" measureGroup="fCoveckiResursi  2" count="0" hidden="1"/>
    <cacheHierarchy uniqueName="[Measures].[__No measures defined]" caption="__No measures defined" measure="1" displayFolder="" count="0" hidden="1"/>
    <cacheHierarchy uniqueName="[Measures].[Sum of Износ 3]" caption="Sum of Износ 3" measure="1" displayFolder="" measureGroup="fCoveckiResursi" count="0" hidden="1">
      <extLst>
        <ext xmlns:x15="http://schemas.microsoft.com/office/spreadsheetml/2010/11/main" uri="{B97F6D7D-B522-45F9-BDA1-12C45D357490}">
          <x15:cacheHierarchy aggregatedColumn="71"/>
        </ext>
      </extLst>
    </cacheHierarchy>
    <cacheHierarchy uniqueName="[Measures].[Sum of Крајна состојба вработени]" caption="Sum of Крајна состојба вработени" measure="1" displayFolder="" measureGroup="fCoveckiResursi" count="0" hidden="1">
      <extLst>
        <ext xmlns:x15="http://schemas.microsoft.com/office/spreadsheetml/2010/11/main" uri="{B97F6D7D-B522-45F9-BDA1-12C45D357490}">
          <x15:cacheHierarchy aggregatedColumn="70"/>
        </ext>
      </extLst>
    </cacheHierarchy>
    <cacheHierarchy uniqueName="[Measures].[Sum of Планиран прилив/(одлив)]" caption="Sum of Планиран прилив/(одлив)" measure="1" displayFolder="" measureGroup="fCoveckiResursi" count="0" hidden="1">
      <extLst>
        <ext xmlns:x15="http://schemas.microsoft.com/office/spreadsheetml/2010/11/main" uri="{B97F6D7D-B522-45F9-BDA1-12C45D357490}">
          <x15:cacheHierarchy aggregatedColumn="68"/>
        </ext>
      </extLst>
    </cacheHierarchy>
    <cacheHierarchy uniqueName="[Measures].[Sum of Износ]" caption="Sum of Износ" measure="1" displayFolder="" measureGroup="fActualAndBudget" count="0" oneField="1" hidden="1">
      <fieldsUsage count="1">
        <fieldUsage x="1"/>
      </fieldsUsage>
      <extLst>
        <ext xmlns:x15="http://schemas.microsoft.com/office/spreadsheetml/2010/11/main" uri="{B97F6D7D-B522-45F9-BDA1-12C45D357490}">
          <x15:cacheHierarchy aggregatedColumn="45"/>
        </ext>
      </extLst>
    </cacheHierarchy>
    <cacheHierarchy uniqueName="[Measures].[Sum of Износ (илјади)]" caption="Sum of Износ (илјади)" measure="1" displayFolder="" measureGroup="fActualAndBudget" count="0" hidden="1">
      <extLst>
        <ext xmlns:x15="http://schemas.microsoft.com/office/spreadsheetml/2010/11/main" uri="{B97F6D7D-B522-45F9-BDA1-12C45D357490}">
          <x15:cacheHierarchy aggregatedColumn="46"/>
        </ext>
      </extLst>
    </cacheHierarchy>
    <cacheHierarchy uniqueName="[Measures].[Sum of Износ1]" caption="Sum of Износ1" measure="1" displayFolder="" measureGroup="fActualAndBudget" count="0" hidden="1">
      <extLst>
        <ext xmlns:x15="http://schemas.microsoft.com/office/spreadsheetml/2010/11/main" uri="{B97F6D7D-B522-45F9-BDA1-12C45D357490}">
          <x15:cacheHierarchy aggregatedColumn="34"/>
        </ext>
      </extLst>
    </cacheHierarchy>
    <cacheHierarchy uniqueName="[Measures].[Sum of Износ 2]" caption="Sum of Износ 2" measure="1" displayFolder="" measureGroup="Amortizacija" count="0" hidden="1">
      <extLst>
        <ext xmlns:x15="http://schemas.microsoft.com/office/spreadsheetml/2010/11/main" uri="{B97F6D7D-B522-45F9-BDA1-12C45D357490}">
          <x15:cacheHierarchy aggregatedColumn="3"/>
        </ext>
      </extLst>
    </cacheHierarchy>
    <cacheHierarchy uniqueName="[Measures].[Sum of Износ 4]" caption="Sum of Износ 4" measure="1" displayFolder="" measureGroup="OPEXAnaliza" count="0" hidden="1">
      <extLst>
        <ext xmlns:x15="http://schemas.microsoft.com/office/spreadsheetml/2010/11/main" uri="{B97F6D7D-B522-45F9-BDA1-12C45D357490}">
          <x15:cacheHierarchy aggregatedColumn="101"/>
        </ext>
      </extLst>
    </cacheHierarchy>
    <cacheHierarchy uniqueName="[Measures].[Sum of Износ донација]" caption="Sum of Износ донација" measure="1" displayFolder="" measureGroup="CAPEX" count="0" hidden="1">
      <extLst>
        <ext xmlns:x15="http://schemas.microsoft.com/office/spreadsheetml/2010/11/main" uri="{B97F6D7D-B522-45F9-BDA1-12C45D357490}">
          <x15:cacheHierarchy aggregatedColumn="24"/>
        </ext>
      </extLst>
    </cacheHierarchy>
    <cacheHierarchy uniqueName="[Measures].[Sum of Вкупно трошок]" caption="Sum of Вкупно трошок" measure="1" displayFolder="" measureGroup="fArtikliCeni" count="0" hidden="1">
      <extLst>
        <ext xmlns:x15="http://schemas.microsoft.com/office/spreadsheetml/2010/11/main" uri="{B97F6D7D-B522-45F9-BDA1-12C45D357490}">
          <x15:cacheHierarchy aggregatedColumn="55"/>
        </ext>
      </extLst>
    </cacheHierarchy>
    <cacheHierarchy uniqueName="[Measures].[Sum of Количина]" caption="Sum of Количина" measure="1" displayFolder="" measureGroup="fArtikliCeni" count="0" hidden="1">
      <extLst>
        <ext xmlns:x15="http://schemas.microsoft.com/office/spreadsheetml/2010/11/main" uri="{B97F6D7D-B522-45F9-BDA1-12C45D357490}">
          <x15:cacheHierarchy aggregatedColumn="53"/>
        </ext>
      </extLst>
    </cacheHierarchy>
    <cacheHierarchy uniqueName="[Measures].[Sum of Единечна цена]" caption="Sum of Единечна цена" measure="1" displayFolder="" measureGroup="fArtikliCeni" count="0" hidden="1">
      <extLst>
        <ext xmlns:x15="http://schemas.microsoft.com/office/spreadsheetml/2010/11/main" uri="{B97F6D7D-B522-45F9-BDA1-12C45D357490}">
          <x15:cacheHierarchy aggregatedColumn="54"/>
        </ext>
      </extLst>
    </cacheHierarchy>
    <cacheHierarchy uniqueName="[Measures].[Sum of ДДВ]" caption="Sum of ДДВ" measure="1" displayFolder="" measureGroup="fArtikliCeni" count="0" hidden="1">
      <extLst>
        <ext xmlns:x15="http://schemas.microsoft.com/office/spreadsheetml/2010/11/main" uri="{B97F6D7D-B522-45F9-BDA1-12C45D357490}">
          <x15:cacheHierarchy aggregatedColumn="56"/>
        </ext>
      </extLst>
    </cacheHierarchy>
    <cacheHierarchy uniqueName="[Measures].[Sum of Износ 6]" caption="Sum of Износ 6" measure="1" displayFolder="" measureGroup="fArtikliCeni" count="0" hidden="1">
      <extLst>
        <ext xmlns:x15="http://schemas.microsoft.com/office/spreadsheetml/2010/11/main" uri="{B97F6D7D-B522-45F9-BDA1-12C45D357490}">
          <x15:cacheHierarchy aggregatedColumn="57"/>
        </ext>
      </extLst>
    </cacheHierarchy>
    <cacheHierarchy uniqueName="[Measures].[Count of Единечна мерка]" caption="Count of Единечна мерка" measure="1" displayFolder="" measureGroup="fArtikliCeni" count="0" hidden="1">
      <extLst>
        <ext xmlns:x15="http://schemas.microsoft.com/office/spreadsheetml/2010/11/main" uri="{B97F6D7D-B522-45F9-BDA1-12C45D357490}">
          <x15:cacheHierarchy aggregatedColumn="52"/>
        </ext>
      </extLst>
    </cacheHierarchy>
    <cacheHierarchy uniqueName="[Measures].[Sum of Количина 2]" caption="Sum of Количина 2" measure="1" displayFolder="" measureGroup="rArtikli_HR_Analiza" count="0" hidden="1">
      <extLst>
        <ext xmlns:x15="http://schemas.microsoft.com/office/spreadsheetml/2010/11/main" uri="{B97F6D7D-B522-45F9-BDA1-12C45D357490}">
          <x15:cacheHierarchy aggregatedColumn="118"/>
        </ext>
      </extLst>
    </cacheHierarchy>
    <cacheHierarchy uniqueName="[Measures].[Sum of Единечна цена 2]" caption="Sum of Единечна цена 2" measure="1" displayFolder="" measureGroup="rArtikli_HR_Analiza" count="0" hidden="1">
      <extLst>
        <ext xmlns:x15="http://schemas.microsoft.com/office/spreadsheetml/2010/11/main" uri="{B97F6D7D-B522-45F9-BDA1-12C45D357490}">
          <x15:cacheHierarchy aggregatedColumn="119"/>
        </ext>
      </extLst>
    </cacheHierarchy>
    <cacheHierarchy uniqueName="[Measures].[Sum of Вкупно трошок 2]" caption="Sum of Вкупно трошок 2" measure="1" displayFolder="" measureGroup="rArtikli_HR_Analiza" count="0" hidden="1">
      <extLst>
        <ext xmlns:x15="http://schemas.microsoft.com/office/spreadsheetml/2010/11/main" uri="{B97F6D7D-B522-45F9-BDA1-12C45D357490}">
          <x15:cacheHierarchy aggregatedColumn="120"/>
        </ext>
      </extLst>
    </cacheHierarchy>
    <cacheHierarchy uniqueName="[Measures].[Sum of ДДВ 2]" caption="Sum of ДДВ 2" measure="1" displayFolder="" measureGroup="rArtikli_HR_Analiza" count="0" hidden="1">
      <extLst>
        <ext xmlns:x15="http://schemas.microsoft.com/office/spreadsheetml/2010/11/main" uri="{B97F6D7D-B522-45F9-BDA1-12C45D357490}">
          <x15:cacheHierarchy aggregatedColumn="121"/>
        </ext>
      </extLst>
    </cacheHierarchy>
    <cacheHierarchy uniqueName="[Measures].[Sum of Износ 7]" caption="Sum of Износ 7" measure="1" displayFolder="" measureGroup="rArtikli_HR_Analiza" count="0" hidden="1">
      <extLst>
        <ext xmlns:x15="http://schemas.microsoft.com/office/spreadsheetml/2010/11/main" uri="{B97F6D7D-B522-45F9-BDA1-12C45D357490}">
          <x15:cacheHierarchy aggregatedColumn="122"/>
        </ext>
      </extLst>
    </cacheHierarchy>
    <cacheHierarchy uniqueName="[Measures].[Sum of Износ 5]" caption="Sum of Износ 5" measure="1" displayFolder="" measureGroup="fCoveckiResursi  2" count="0" hidden="1">
      <extLst>
        <ext xmlns:x15="http://schemas.microsoft.com/office/spreadsheetml/2010/11/main" uri="{B97F6D7D-B522-45F9-BDA1-12C45D357490}">
          <x15:cacheHierarchy aggregatedColumn="82"/>
        </ext>
      </extLst>
    </cacheHierarchy>
    <cacheHierarchy uniqueName="[Measures].[Sum of Проценета вредност на набавка со ДДВ (денари)]" caption="Sum of Проценета вредност на набавка со ДДВ (денари)" measure="1" displayFolder="" measureGroup="CAPEX" count="0" hidden="1">
      <extLst>
        <ext xmlns:x15="http://schemas.microsoft.com/office/spreadsheetml/2010/11/main" uri="{B97F6D7D-B522-45F9-BDA1-12C45D357490}">
          <x15:cacheHierarchy aggregatedColumn="20"/>
        </ext>
      </extLst>
    </cacheHierarchy>
  </cacheHierarchies>
  <kpis count="0"/>
  <dimensions count="12">
    <dimension name="Amortizacija" uniqueName="[Amortizacija]" caption="Amortizacija"/>
    <dimension name="Calendar" uniqueName="[Calendar]" caption="Calendar"/>
    <dimension name="CAPEX" uniqueName="[CAPEX]" caption="CAPEX"/>
    <dimension name="fActualAndBudget" uniqueName="[fActualAndBudget]" caption="fActualAndBudget"/>
    <dimension name="fArtikliCeni" uniqueName="[fArtikliCeni]" caption="fArtikliCeni"/>
    <dimension name="fCoveckiResursi" uniqueName="[fCoveckiResursi]" caption="fCoveckiResursi"/>
    <dimension name="fCoveckiResursi  2" uniqueName="[fCoveckiResursi  2]" caption="fCoveckiResursi  2"/>
    <dimension name="fOPEX" uniqueName="[fOPEX]" caption="fOPEX"/>
    <dimension measure="1" name="Measures" uniqueName="[Measures]" caption="Measures"/>
    <dimension name="OPEXAnaliza" uniqueName="[OPEXAnaliza]" caption="OPEXAnaliza"/>
    <dimension name="rArtikli_HR_Analiza" uniqueName="[rArtikli_HR_Analiza]" caption="rArtikli_HR_Analiza"/>
    <dimension name="rArtikliAnaliza" uniqueName="[rArtikliAnaliza]" caption="rArtikliAnaliza"/>
  </dimensions>
  <measureGroups count="11">
    <measureGroup name="Amortizacija" caption="Amortizacija"/>
    <measureGroup name="Calendar" caption="Calendar"/>
    <measureGroup name="CAPEX" caption="CAPEX"/>
    <measureGroup name="fActualAndBudget" caption="fActualAndBudget"/>
    <measureGroup name="fArtikliCeni" caption="fArtikliCeni"/>
    <measureGroup name="fCoveckiResursi" caption="fCoveckiResursi"/>
    <measureGroup name="fCoveckiResursi  2" caption="fCoveckiResursi  2"/>
    <measureGroup name="fOPEX" caption="fOPEX"/>
    <measureGroup name="OPEXAnaliza" caption="OPEXAnaliza"/>
    <measureGroup name="rArtikli_HR_Analiza" caption="rArtikli_HR_Analiza"/>
    <measureGroup name="rArtikliAnaliza" caption="rArtikliAnaliza"/>
  </measureGroups>
  <maps count="19">
    <map measureGroup="0" dimension="0"/>
    <map measureGroup="0" dimension="1"/>
    <map measureGroup="1" dimension="1"/>
    <map measureGroup="2" dimension="1"/>
    <map measureGroup="2" dimension="2"/>
    <map measureGroup="3" dimension="1"/>
    <map measureGroup="3" dimension="3"/>
    <map measureGroup="4" dimension="4"/>
    <map measureGroup="5" dimension="1"/>
    <map measureGroup="5" dimension="5"/>
    <map measureGroup="6" dimension="1"/>
    <map measureGroup="6" dimension="6"/>
    <map measureGroup="7" dimension="1"/>
    <map measureGroup="7" dimension="7"/>
    <map measureGroup="8" dimension="1"/>
    <map measureGroup="8" dimension="9"/>
    <map measureGroup="9" dimension="10"/>
    <map measureGroup="10" dimension="1"/>
    <map measureGroup="10" dimension="1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9.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ngela Sazdova - Doneva" refreshedDate="44899.978543287034" createdVersion="5" refreshedVersion="6" minRefreshableVersion="3" recordCount="0" supportSubquery="1" supportAdvancedDrill="1" xr:uid="{00000000-000A-0000-FFFF-FFFF14000000}">
  <cacheSource type="external" connectionId="22"/>
  <cacheFields count="11">
    <cacheField name="[Calendar].[Date Hierarchy].[Year]" caption="Year" numFmtId="0" hierarchy="7" level="1">
      <sharedItems containsSemiMixedTypes="0" containsNonDate="0" containsString="0"/>
    </cacheField>
    <cacheField name="[Calendar].[Date Hierarchy].[Month]" caption="Month" numFmtId="0" hierarchy="7" level="2">
      <sharedItems containsSemiMixedTypes="0" containsNonDate="0" containsString="0"/>
    </cacheField>
    <cacheField name="[Calendar].[Date Hierarchy].[DateColumn]" caption="DateColumn" numFmtId="0" hierarchy="7" level="3">
      <sharedItems containsSemiMixedTypes="0" containsNonDate="0" containsString="0"/>
    </cacheField>
    <cacheField name="[fActualAndBudget].[Конто].[Конто]" caption="Конто" numFmtId="0" hierarchy="31" level="1">
      <sharedItems containsNonDate="0" count="25">
        <s v="0161"/>
        <s v="01690"/>
        <s v="0270"/>
        <s v="0135"/>
        <s v="019363"/>
        <s v="01212"/>
        <s v="01213"/>
        <s v="01218"/>
        <s v="01349"/>
        <s v="01933"/>
        <s v="019341"/>
        <s v="019391"/>
        <s v="011001"/>
        <s v="011002"/>
        <s v="0191001"/>
        <s v="0191002"/>
        <s v="0150"/>
        <s v="01590"/>
        <s v="01955"/>
        <s v="0132"/>
        <s v="01932"/>
        <s v="0171"/>
        <s v="0172"/>
        <s v="3000" u="1"/>
        <s v="403105" u="1"/>
      </sharedItems>
    </cacheField>
    <cacheField name="[fActualAndBudget].[ReportType].[ReportType]" caption="ReportType" numFmtId="0" hierarchy="35" level="1">
      <sharedItems containsSemiMixedTypes="0" containsNonDate="0" containsString="0"/>
    </cacheField>
    <cacheField name="[Measures].[Sum of Износ]" caption="Sum of Износ" numFmtId="0" hierarchy="176" level="32767"/>
    <cacheField name="[fActualAndBudget].[StavkaKategorija].[StavkaKategorija]" caption="StavkaKategorija" numFmtId="0" hierarchy="40" level="1">
      <sharedItems count="15">
        <s v="1.1. Парични средства"/>
        <s v="1.13. Вонбилансна актива"/>
        <s v="1.14. Краткорочни обврски"/>
        <s v="1.15. Одложено плаќање на трошоци и приходи (ПВР)"/>
        <s v="1.17. Долгорочни обврски"/>
        <s v="1.2. Побарувања"/>
        <s v="1.21. Капитал"/>
        <s v="1.22. Акумулирана добивка"/>
        <s v="1.23. Резерви"/>
        <s v="1.25. Добивка / Загуба за деловната година"/>
        <s v="1.28. Вонбилансна пасива"/>
        <s v="1.3. Залихи"/>
        <s v="1.7. Материјални средства и вложувања во недвижности"/>
        <s v="1.9. Нематеријални средства"/>
        <s v="2.32. Потрошени суровини и материјали" u="1"/>
      </sharedItems>
    </cacheField>
    <cacheField name="[Calendar].[Година].[Година]" caption="Година" numFmtId="0" hierarchy="8" level="1">
      <sharedItems containsSemiMixedTypes="0" containsString="0" containsNumber="1" containsInteger="1" minValue="2019" maxValue="2020" count="2">
        <n v="2019"/>
        <n v="2020" u="1"/>
      </sharedItems>
      <extLst>
        <ext xmlns:x15="http://schemas.microsoft.com/office/spreadsheetml/2010/11/main" uri="{4F2E5C28-24EA-4eb8-9CBF-B6C8F9C3D259}">
          <x15:cachedUniqueNames>
            <x15:cachedUniqueName index="0" name="[Calendar].[Година].&amp;[2019]"/>
            <x15:cachedUniqueName index="1" name="[Calendar].[Година].&amp;[2020]"/>
          </x15:cachedUniqueNames>
        </ext>
      </extLst>
    </cacheField>
    <cacheField name="[fActualAndBudget].[ObrazecIme].[ObrazecIme]" caption="ObrazecIme" numFmtId="0" hierarchy="44" level="1">
      <sharedItems containsSemiMixedTypes="0" containsNonDate="0" containsString="0"/>
    </cacheField>
    <cacheField name="[fActualAndBudget].[StavkaImeMK].[StavkaImeMK]" caption="StavkaImeMK" numFmtId="0" hierarchy="38" level="1">
      <sharedItems containsNonDate="0" count="9">
        <s v="Инвестиции во тек - недвижности"/>
        <s v="Канцелариски мебел"/>
        <s v="Компјутерска и останата опрема"/>
        <s v="Недвижности"/>
        <s v="Останати материјални основни средства"/>
        <s v="Патнички автомобили"/>
        <s v="Побарувања за аванси за материјални исредства"/>
        <s v="Залихи на резервни делови" u="1"/>
        <s v="Потрoшена енергија и гориво за возила" u="1"/>
      </sharedItems>
    </cacheField>
    <cacheField name="[Calendar].[Month Number].[Month Number]" caption="Month Number" numFmtId="0" hierarchy="9" level="1">
      <sharedItems containsSemiMixedTypes="0" containsString="0" containsNumber="1" containsInteger="1" minValue="1" maxValue="10" count="10">
        <n v="1"/>
        <n v="2"/>
        <n v="3"/>
        <n v="4"/>
        <n v="5"/>
        <n v="6"/>
        <n v="7"/>
        <n v="8"/>
        <n v="9"/>
        <n v="10"/>
      </sharedItems>
      <extLst>
        <ext xmlns:x15="http://schemas.microsoft.com/office/spreadsheetml/2010/11/main" uri="{4F2E5C28-24EA-4eb8-9CBF-B6C8F9C3D259}">
          <x15:cachedUniqueNames>
            <x15:cachedUniqueName index="0" name="[Calendar].[Month Number].&amp;[1]"/>
            <x15:cachedUniqueName index="1" name="[Calendar].[Month Number].&amp;[2]"/>
            <x15:cachedUniqueName index="2" name="[Calendar].[Month Number].&amp;[3]"/>
            <x15:cachedUniqueName index="3" name="[Calendar].[Month Number].&amp;[4]"/>
            <x15:cachedUniqueName index="4" name="[Calendar].[Month Number].&amp;[5]"/>
            <x15:cachedUniqueName index="5" name="[Calendar].[Month Number].&amp;[6]"/>
            <x15:cachedUniqueName index="6" name="[Calendar].[Month Number].&amp;[7]"/>
            <x15:cachedUniqueName index="7" name="[Calendar].[Month Number].&amp;[8]"/>
            <x15:cachedUniqueName index="8" name="[Calendar].[Month Number].&amp;[9]"/>
            <x15:cachedUniqueName index="9" name="[Calendar].[Month Number].&amp;[10]"/>
          </x15:cachedUniqueNames>
        </ext>
      </extLst>
    </cacheField>
  </cacheFields>
  <cacheHierarchies count="195">
    <cacheHierarchy uniqueName="[Amortizacija].[Број на јавна набавка (план)]" caption="Број на јавна набавка (план)" attribute="1" defaultMemberUniqueName="[Amortizacija].[Број на јавна набавка (план)].[All]" allUniqueName="[Amortizacija].[Број на јавна набавка (план)].[All]" dimensionUniqueName="[Amortizacija]" displayFolder="" count="0" memberValueDatatype="130" unbalanced="0"/>
    <cacheHierarchy uniqueName="[Amortizacija].[Ставка]" caption="Ставка" attribute="1" defaultMemberUniqueName="[Amortizacija].[Ставка].[All]" allUniqueName="[Amortizacija].[Ставка].[All]" dimensionUniqueName="[Amortizacija]" displayFolder="" count="0" memberValueDatatype="130" unbalanced="0"/>
    <cacheHierarchy uniqueName="[Amortizacija].[Период]" caption="Период" attribute="1" time="1" defaultMemberUniqueName="[Amortizacija].[Период].[All]" allUniqueName="[Amortizacija].[Период].[All]" dimensionUniqueName="[Amortizacija]" displayFolder="" count="0" memberValueDatatype="7" unbalanced="0"/>
    <cacheHierarchy uniqueName="[Amortizacija].[Износ]" caption="Износ" attribute="1" defaultMemberUniqueName="[Amortizacija].[Износ].[All]" allUniqueName="[Amortizacija].[Износ].[All]" dimensionUniqueName="[Amortizacija]" displayFolder="" count="0" memberValueDatatype="20" unbalanced="0"/>
    <cacheHierarchy uniqueName="[Amortizacija].[Конто]" caption="Конто" attribute="1" defaultMemberUniqueName="[Amortizacija].[Конто].[All]" allUniqueName="[Amortizacija].[Конто].[All]" dimensionUniqueName="[Amortizacija]" displayFolder="" count="0" memberValueDatatype="130" unbalanced="0"/>
    <cacheHierarchy uniqueName="[Amortizacija].[ReportType]" caption="ReportType" attribute="1" defaultMemberUniqueName="[Amortizacija].[ReportType].[All]" allUniqueName="[Amortizacija].[ReportType].[All]" dimensionUniqueName="[Amortizacija]" displayFolder="" count="0" memberValueDatatype="130" unbalanced="0"/>
    <cacheHierarchy uniqueName="[Calendar].[Date]" caption="Date" attribute="1" time="1" keyAttribute="1" defaultMemberUniqueName="[Calendar].[Date].[All]" allUniqueName="[Calendar].[Date].[All]" dimensionUniqueName="[Calendar]" displayFolder="" count="0" memberValueDatatype="7" unbalanced="0"/>
    <cacheHierarchy uniqueName="[Calendar].[Date Hierarchy]" caption="Date Hierarchy" time="1" defaultMemberUniqueName="[Calendar].[Date Hierarchy].[All]" allUniqueName="[Calendar].[Date Hierarchy].[All]" dimensionUniqueName="[Calendar]" displayFolder="" count="4" unbalanced="0">
      <fieldsUsage count="4">
        <fieldUsage x="-1"/>
        <fieldUsage x="0"/>
        <fieldUsage x="1"/>
        <fieldUsage x="2"/>
      </fieldsUsage>
    </cacheHierarchy>
    <cacheHierarchy uniqueName="[Calendar].[Година]" caption="Година" attribute="1" time="1" defaultMemberUniqueName="[Calendar].[Година].[All]" allUniqueName="[Calendar].[Година].[All]" dimensionUniqueName="[Calendar]" displayFolder="" count="2" memberValueDatatype="20" unbalanced="0">
      <fieldsUsage count="2">
        <fieldUsage x="-1"/>
        <fieldUsage x="7"/>
      </fieldsUsage>
    </cacheHierarchy>
    <cacheHierarchy uniqueName="[Calendar].[Month Number]" caption="Month Number" attribute="1" time="1" defaultMemberUniqueName="[Calendar].[Month Number].[All]" allUniqueName="[Calendar].[Month Number].[All]" dimensionUniqueName="[Calendar]" displayFolder="" count="2" memberValueDatatype="20" unbalanced="0">
      <fieldsUsage count="2">
        <fieldUsage x="-1"/>
        <fieldUsage x="10"/>
      </fieldsUsage>
    </cacheHierarchy>
    <cacheHierarchy uniqueName="[Calendar].[Месец]" caption="Месец" attribute="1" time="1" defaultMemberUniqueName="[Calendar].[Месец].[All]" allUniqueName="[Calendar].[Месец].[All]" dimensionUniqueName="[Calendar]" displayFolder="" count="0" memberValueDatatype="130" unbalanced="0"/>
    <cacheHierarchy uniqueName="[Calendar].[MMM-YYYY]" caption="MMM-YYYY" attribute="1" time="1" defaultMemberUniqueName="[Calendar].[MMM-YYYY].[All]" allUniqueName="[Calendar].[MMM-YYYY].[All]" dimensionUniqueName="[Calendar]" displayFolder="" count="0" memberValueDatatype="130" unbalanced="0"/>
    <cacheHierarchy uniqueName="[Calendar].[Day Of Week Number]" caption="Day Of Week Number" attribute="1" time="1" defaultMemberUniqueName="[Calendar].[Day Of Week Number].[All]" allUniqueName="[Calendar].[Day Of Week Number].[All]" dimensionUniqueName="[Calendar]" displayFolder="" count="0" memberValueDatatype="20" unbalanced="0"/>
    <cacheHierarchy uniqueName="[Calendar].[Day Of Week]" caption="Day Of Week" attribute="1" time="1" defaultMemberUniqueName="[Calendar].[Day Of Week].[All]" allUniqueName="[Calendar].[Day Of Week].[All]" dimensionUniqueName="[Calendar]" displayFolder="" count="0" memberValueDatatype="130" unbalanced="0"/>
    <cacheHierarchy uniqueName="[Calendar].[Квартал]" caption="Квартал" attribute="1" time="1" defaultMemberUniqueName="[Calendar].[Квартал].[All]" allUniqueName="[Calendar].[Квартал].[All]" dimensionUniqueName="[Calendar]" displayFolder="" count="0" memberValueDatatype="7" unbalanced="0"/>
    <cacheHierarchy uniqueName="[CAPEX].[Година за реализација на проект]" caption="Година за реализација на проект" attribute="1" defaultMemberUniqueName="[CAPEX].[Година за реализација на проект].[All]" allUniqueName="[CAPEX].[Година за реализација на проект].[All]" dimensionUniqueName="[CAPEX]" displayFolder="" count="0" memberValueDatatype="20" unbalanced="0"/>
    <cacheHierarchy uniqueName="[CAPEX].[Број на јавна набавка (план)]" caption="Број на јавна набавка (план)" attribute="1" defaultMemberUniqueName="[CAPEX].[Број на јавна набавка (план)].[All]" allUniqueName="[CAPEX].[Број на јавна набавка (план)].[All]" dimensionUniqueName="[CAPEX]" displayFolder="" count="0" memberValueDatatype="130" unbalanced="0"/>
    <cacheHierarchy uniqueName="[CAPEX].[Предмет на договорот за јавна набавка]" caption="Предмет на договорот за јавна набавка" attribute="1" defaultMemberUniqueName="[CAPEX].[Предмет на договорот за јавна набавка].[All]" allUniqueName="[CAPEX].[Предмет на договорот за јавна набавка].[All]" dimensionUniqueName="[CAPEX]" displayFolder="" count="0" memberValueDatatype="130" unbalanced="0"/>
    <cacheHierarchy uniqueName="[CAPEX].[Очекуван датум на плаќање]" caption="Очекуван датум на плаќање" attribute="1" time="1" defaultMemberUniqueName="[CAPEX].[Очекуван датум на плаќање].[All]" allUniqueName="[CAPEX].[Очекуван датум на плаќање].[All]" dimensionUniqueName="[CAPEX]" displayFolder="" count="0" memberValueDatatype="7" unbalanced="0"/>
    <cacheHierarchy uniqueName="[CAPEX].[Очекуван датум за ставање во употреба (месец)]" caption="Очекуван датум за ставање во употреба (месец)" attribute="1" time="1" defaultMemberUniqueName="[CAPEX].[Очекуван датум за ставање во употреба (месец)].[All]" allUniqueName="[CAPEX].[Очекуван датум за ставање во употреба (месец)].[All]" dimensionUniqueName="[CAPEX]" displayFolder="" count="0" memberValueDatatype="7" unbalanced="0"/>
    <cacheHierarchy uniqueName="[CAPEX].[Проценета вредност на набавка со ДДВ (денари)]" caption="Проценета вредност на набавка со ДДВ (денари)" attribute="1" defaultMemberUniqueName="[CAPEX].[Проценета вредност на набавка со ДДВ (денари)].[All]" allUniqueName="[CAPEX].[Проценета вредност на набавка со ДДВ (денари)].[All]" dimensionUniqueName="[CAPEX]" displayFolder="" count="0" memberValueDatatype="20" unbalanced="0"/>
    <cacheHierarchy uniqueName="[CAPEX].[Стапка на амортизација]" caption="Стапка на амортизација" attribute="1" defaultMemberUniqueName="[CAPEX].[Стапка на амортизација].[All]" allUniqueName="[CAPEX].[Стапка на амортизација].[All]" dimensionUniqueName="[CAPEX]" displayFolder="" count="0" memberValueDatatype="5" unbalanced="0"/>
    <cacheHierarchy uniqueName="[CAPEX].[Конто Средства]" caption="Конто Средства" attribute="1" defaultMemberUniqueName="[CAPEX].[Конто Средства].[All]" allUniqueName="[CAPEX].[Конто Средства].[All]" dimensionUniqueName="[CAPEX]" displayFolder="" count="0" memberValueDatatype="130" unbalanced="0"/>
    <cacheHierarchy uniqueName="[CAPEX].[Конто Амортизација]" caption="Конто Амортизација" attribute="1" defaultMemberUniqueName="[CAPEX].[Конто Амортизација].[All]" allUniqueName="[CAPEX].[Конто Амортизација].[All]" dimensionUniqueName="[CAPEX]" displayFolder="" count="0" memberValueDatatype="130" unbalanced="0"/>
    <cacheHierarchy uniqueName="[CAPEX].[Износ донација]" caption="Износ донација" attribute="1" defaultMemberUniqueName="[CAPEX].[Износ донација].[All]" allUniqueName="[CAPEX].[Износ донација].[All]" dimensionUniqueName="[CAPEX]" displayFolder="" count="0" memberValueDatatype="20" unbalanced="0"/>
    <cacheHierarchy uniqueName="[CAPEX].[Очекуван датум на плаќање (Year)]" caption="Очекуван датум на плаќање (Year)" attribute="1" defaultMemberUniqueName="[CAPEX].[Очекуван датум на плаќање (Year)].[All]" allUniqueName="[CAPEX].[Очекуван датум на плаќање (Year)].[All]" dimensionUniqueName="[CAPEX]" displayFolder="" count="0" memberValueDatatype="130" unbalanced="0"/>
    <cacheHierarchy uniqueName="[CAPEX].[Очекуван датум на плаќање (Quarter)]" caption="Очекуван датум на плаќање (Quarter)" attribute="1" defaultMemberUniqueName="[CAPEX].[Очекуван датум на плаќање (Quarter)].[All]" allUniqueName="[CAPEX].[Очекуван датум на плаќање (Quarter)].[All]" dimensionUniqueName="[CAPEX]" displayFolder="" count="0" memberValueDatatype="130" unbalanced="0"/>
    <cacheHierarchy uniqueName="[CAPEX].[Очекуван датум на плаќање (Month)]" caption="Очекуван датум на плаќање (Month)" attribute="1" defaultMemberUniqueName="[CAPEX].[Очекуван датум на плаќање (Month)].[All]" allUniqueName="[CAPEX].[Очекуван датум на плаќање (Month)].[All]" dimensionUniqueName="[CAPEX]" displayFolder="" count="0" memberValueDatatype="130" unbalanced="0"/>
    <cacheHierarchy uniqueName="[CAPEX].[Очекуван датум за ставање во употреба (месец) (Year)]" caption="Очекуван датум за ставање во употреба (месец) (Year)" attribute="1" defaultMemberUniqueName="[CAPEX].[Очекуван датум за ставање во употреба (месец) (Year)].[All]" allUniqueName="[CAPEX].[Очекуван датум за ставање во употреба (месец) (Year)].[All]" dimensionUniqueName="[CAPEX]" displayFolder="" count="0" memberValueDatatype="130" unbalanced="0"/>
    <cacheHierarchy uniqueName="[CAPEX].[Очекуван датум за ставање во употреба (месец) (Quarter)]" caption="Очекуван датум за ставање во употреба (месец) (Quarter)" attribute="1" defaultMemberUniqueName="[CAPEX].[Очекуван датум за ставање во употреба (месец) (Quarter)].[All]" allUniqueName="[CAPEX].[Очекуван датум за ставање во употреба (месец) (Quarter)].[All]" dimensionUniqueName="[CAPEX]" displayFolder="" count="0" memberValueDatatype="130" unbalanced="0"/>
    <cacheHierarchy uniqueName="[CAPEX].[Очекуван датум за ставање во употреба (месец) (Month)]" caption="Очекуван датум за ставање во употреба (месец) (Month)" attribute="1" defaultMemberUniqueName="[CAPEX].[Очекуван датум за ставање во употреба (месец) (Month)].[All]" allUniqueName="[CAPEX].[Очекуван датум за ставање во употреба (месец) (Month)].[All]" dimensionUniqueName="[CAPEX]" displayFolder="" count="0" memberValueDatatype="130" unbalanced="0"/>
    <cacheHierarchy uniqueName="[fActualAndBudget].[Конто]" caption="Конто" attribute="1" defaultMemberUniqueName="[fActualAndBudget].[Конто].[All]" allUniqueName="[fActualAndBudget].[Конто].[All]" dimensionUniqueName="[fActualAndBudget]" displayFolder="" count="2" memberValueDatatype="130" unbalanced="0">
      <fieldsUsage count="2">
        <fieldUsage x="-1"/>
        <fieldUsage x="3"/>
      </fieldsUsage>
    </cacheHierarchy>
    <cacheHierarchy uniqueName="[fActualAndBudget].[Назив на конто]" caption="Назив на конто" attribute="1" defaultMemberUniqueName="[fActualAndBudget].[Назив на конто].[All]" allUniqueName="[fActualAndBudget].[Назив на конто].[All]" dimensionUniqueName="[fActualAndBudget]" displayFolder="" count="0" memberValueDatatype="130" unbalanced="0"/>
    <cacheHierarchy uniqueName="[fActualAndBudget].[Период]" caption="Период" attribute="1" time="1" defaultMemberUniqueName="[fActualAndBudget].[Период].[All]" allUniqueName="[fActualAndBudget].[Период].[All]" dimensionUniqueName="[fActualAndBudget]" displayFolder="" count="0" memberValueDatatype="7" unbalanced="0"/>
    <cacheHierarchy uniqueName="[fActualAndBudget].[Износ1]" caption="Износ1" attribute="1" defaultMemberUniqueName="[fActualAndBudget].[Износ1].[All]" allUniqueName="[fActualAndBudget].[Износ1].[All]" dimensionUniqueName="[fActualAndBudget]" displayFolder="" count="0" memberValueDatatype="20" unbalanced="0"/>
    <cacheHierarchy uniqueName="[fActualAndBudget].[ReportType]" caption="ReportType" attribute="1" defaultMemberUniqueName="[fActualAndBudget].[ReportType].[All]" allUniqueName="[fActualAndBudget].[ReportType].[All]" dimensionUniqueName="[fActualAndBudget]" displayFolder="" count="2" memberValueDatatype="130" unbalanced="0">
      <fieldsUsage count="2">
        <fieldUsage x="-1"/>
        <fieldUsage x="4"/>
      </fieldsUsage>
    </cacheHierarchy>
    <cacheHierarchy uniqueName="[fActualAndBudget].[Ставка]" caption="Ставка" attribute="1" defaultMemberUniqueName="[fActualAndBudget].[Ставка].[All]" allUniqueName="[fActualAndBudget].[Ставка].[All]" dimensionUniqueName="[fActualAndBudget]" displayFolder="" count="0" memberValueDatatype="130" unbalanced="0"/>
    <cacheHierarchy uniqueName="[fActualAndBudget].[Број на јавна набавка (план)]" caption="Број на јавна набавка (план)" attribute="1" defaultMemberUniqueName="[fActualAndBudget].[Број на јавна набавка (план)].[All]" allUniqueName="[fActualAndBudget].[Број на јавна набавка (план)].[All]" dimensionUniqueName="[fActualAndBudget]" displayFolder="" count="0" memberValueDatatype="130" unbalanced="0"/>
    <cacheHierarchy uniqueName="[fActualAndBudget].[StavkaImeMK]" caption="StavkaImeMK" attribute="1" defaultMemberUniqueName="[fActualAndBudget].[StavkaImeMK].[All]" allUniqueName="[fActualAndBudget].[StavkaImeMK].[All]" dimensionUniqueName="[fActualAndBudget]" displayFolder="" count="2" memberValueDatatype="130" unbalanced="0">
      <fieldsUsage count="2">
        <fieldUsage x="-1"/>
        <fieldUsage x="9"/>
      </fieldsUsage>
    </cacheHierarchy>
    <cacheHierarchy uniqueName="[fActualAndBudget].[StavkaGrupa]" caption="StavkaGrupa" attribute="1" defaultMemberUniqueName="[fActualAndBudget].[StavkaGrupa].[All]" allUniqueName="[fActualAndBudget].[StavkaGrupa].[All]" dimensionUniqueName="[fActualAndBudget]" displayFolder="" count="0" memberValueDatatype="130" unbalanced="0"/>
    <cacheHierarchy uniqueName="[fActualAndBudget].[StavkaKategorija]" caption="StavkaKategorija" attribute="1" defaultMemberUniqueName="[fActualAndBudget].[StavkaKategorija].[All]" allUniqueName="[fActualAndBudget].[StavkaKategorija].[All]" dimensionUniqueName="[fActualAndBudget]" displayFolder="" count="2" memberValueDatatype="130" unbalanced="0">
      <fieldsUsage count="2">
        <fieldUsage x="-1"/>
        <fieldUsage x="6"/>
      </fieldsUsage>
    </cacheHierarchy>
    <cacheHierarchy uniqueName="[fActualAndBudget].[ZnakIzvestaj]" caption="ZnakIzvestaj" attribute="1" defaultMemberUniqueName="[fActualAndBudget].[ZnakIzvestaj].[All]" allUniqueName="[fActualAndBudget].[ZnakIzvestaj].[All]" dimensionUniqueName="[fActualAndBudget]" displayFolder="" count="0" memberValueDatatype="20" unbalanced="0"/>
    <cacheHierarchy uniqueName="[fActualAndBudget].[ObrazecID]" caption="ObrazecID" attribute="1" defaultMemberUniqueName="[fActualAndBudget].[ObrazecID].[All]" allUniqueName="[fActualAndBudget].[ObrazecID].[All]" dimensionUniqueName="[fActualAndBudget]" displayFolder="" count="0" memberValueDatatype="20" unbalanced="0"/>
    <cacheHierarchy uniqueName="[fActualAndBudget].[StavkaAOP]" caption="StavkaAOP" attribute="1" defaultMemberUniqueName="[fActualAndBudget].[StavkaAOP].[All]" allUniqueName="[fActualAndBudget].[StavkaAOP].[All]" dimensionUniqueName="[fActualAndBudget]" displayFolder="" count="0" memberValueDatatype="130" unbalanced="0"/>
    <cacheHierarchy uniqueName="[fActualAndBudget].[ObrazecIme]" caption="ObrazecIme" attribute="1" defaultMemberUniqueName="[fActualAndBudget].[ObrazecIme].[All]" allUniqueName="[fActualAndBudget].[ObrazecIme].[All]" dimensionUniqueName="[fActualAndBudget]" displayFolder="" count="2" memberValueDatatype="130" unbalanced="0">
      <fieldsUsage count="2">
        <fieldUsage x="-1"/>
        <fieldUsage x="8"/>
      </fieldsUsage>
    </cacheHierarchy>
    <cacheHierarchy uniqueName="[fActualAndBudget].[Износ]" caption="Износ" attribute="1" defaultMemberUniqueName="[fActualAndBudget].[Износ].[All]" allUniqueName="[fActualAndBudget].[Износ].[All]" dimensionUniqueName="[fActualAndBudget]" displayFolder="" count="0" memberValueDatatype="20" unbalanced="0"/>
    <cacheHierarchy uniqueName="[fActualAndBudget].[Износ (илјади)]" caption="Износ (илјади)" attribute="1" defaultMemberUniqueName="[fActualAndBudget].[Износ (илјади)].[All]" allUniqueName="[fActualAndBudget].[Износ (илјади)].[All]" dimensionUniqueName="[fActualAndBudget]" displayFolder="" count="0" memberValueDatatype="5" unbalanced="0"/>
    <cacheHierarchy uniqueName="[fActualAndBudget].[StavkaImeAOP]" caption="StavkaImeAOP" attribute="1" defaultMemberUniqueName="[fActualAndBudget].[StavkaImeAOP].[All]" allUniqueName="[fActualAndBudget].[StavkaImeAOP].[All]" dimensionUniqueName="[fActualAndBudget]" displayFolder="" count="0" memberValueDatatype="130" unbalanced="0"/>
    <cacheHierarchy uniqueName="[fActualAndBudget].[Конто Ставка]" caption="Конто Ставка" attribute="1" defaultMemberUniqueName="[fActualAndBudget].[Конто Ставка].[All]" allUniqueName="[fActualAndBudget].[Конто Ставка].[All]" dimensionUniqueName="[fActualAndBudget]" displayFolder="" count="0" memberValueDatatype="130" unbalanced="0"/>
    <cacheHierarchy uniqueName="[fArtikliCeni].[Ставка]" caption="Ставка" attribute="1" defaultMemberUniqueName="[fArtikliCeni].[Ставка].[All]" allUniqueName="[fArtikliCeni].[Ставка].[All]" dimensionUniqueName="[fArtikliCeni]" displayFolder="" count="0" memberValueDatatype="130" unbalanced="0"/>
    <cacheHierarchy uniqueName="[fArtikliCeni].[Категорија Артикл]" caption="Категорија Артикл" attribute="1" defaultMemberUniqueName="[fArtikliCeni].[Категорија Артикл].[All]" allUniqueName="[fArtikliCeni].[Категорија Артикл].[All]" dimensionUniqueName="[fArtikliCeni]" displayFolder="" count="0" memberValueDatatype="130" unbalanced="0"/>
    <cacheHierarchy uniqueName="[fArtikliCeni].[Тип на артикл]" caption="Тип на артикл" attribute="1" defaultMemberUniqueName="[fArtikliCeni].[Тип на артикл].[All]" allUniqueName="[fArtikliCeni].[Тип на артикл].[All]" dimensionUniqueName="[fArtikliCeni]" displayFolder="" count="0" memberValueDatatype="130" unbalanced="0"/>
    <cacheHierarchy uniqueName="[fArtikliCeni].[Единечна мерка]" caption="Единечна мерка" attribute="1" defaultMemberUniqueName="[fArtikliCeni].[Единечна мерка].[All]" allUniqueName="[fArtikliCeni].[Единечна мерка].[All]" dimensionUniqueName="[fArtikliCeni]" displayFolder="" count="0" memberValueDatatype="130" unbalanced="0"/>
    <cacheHierarchy uniqueName="[fArtikliCeni].[Количина]" caption="Количина" attribute="1" defaultMemberUniqueName="[fArtikliCeni].[Количина].[All]" allUniqueName="[fArtikliCeni].[Количина].[All]" dimensionUniqueName="[fArtikliCeni]" displayFolder="" count="0" memberValueDatatype="5" unbalanced="0"/>
    <cacheHierarchy uniqueName="[fArtikliCeni].[Единечна цена]" caption="Единечна цена" attribute="1" defaultMemberUniqueName="[fArtikliCeni].[Единечна цена].[All]" allUniqueName="[fArtikliCeni].[Единечна цена].[All]" dimensionUniqueName="[fArtikliCeni]" displayFolder="" count="0" memberValueDatatype="20" unbalanced="0"/>
    <cacheHierarchy uniqueName="[fArtikliCeni].[Вкупно трошок]" caption="Вкупно трошок" attribute="1" defaultMemberUniqueName="[fArtikliCeni].[Вкупно трошок].[All]" allUniqueName="[fArtikliCeni].[Вкупно трошок].[All]" dimensionUniqueName="[fArtikliCeni]" displayFolder="" count="0" memberValueDatatype="5" unbalanced="0"/>
    <cacheHierarchy uniqueName="[fArtikliCeni].[ДДВ]" caption="ДДВ" attribute="1" defaultMemberUniqueName="[fArtikliCeni].[ДДВ].[All]" allUniqueName="[fArtikliCeni].[ДДВ].[All]" dimensionUniqueName="[fArtikliCeni]" displayFolder="" count="0" memberValueDatatype="5" unbalanced="0"/>
    <cacheHierarchy uniqueName="[fArtikliCeni].[Износ]" caption="Износ" attribute="1" defaultMemberUniqueName="[fArtikliCeni].[Износ].[All]" allUniqueName="[fArtikliCeni].[Износ].[All]" dimensionUniqueName="[fArtikliCeni]" displayFolder="" count="0" memberValueDatatype="5" unbalanced="0"/>
    <cacheHierarchy uniqueName="[fArtikliCeni].[Конто]" caption="Конто" attribute="1" defaultMemberUniqueName="[fArtikliCeni].[Конто].[All]" allUniqueName="[fArtikliCeni].[Конто].[All]" dimensionUniqueName="[fArtikliCeni]" displayFolder="" count="0" memberValueDatatype="130" unbalanced="0"/>
    <cacheHierarchy uniqueName="[fArtikliCeni].[ReportType]" caption="ReportType" attribute="1" defaultMemberUniqueName="[fArtikliCeni].[ReportType].[All]" allUniqueName="[fArtikliCeni].[ReportType].[All]" dimensionUniqueName="[fArtikliCeni]" displayFolder="" count="0" memberValueDatatype="130" unbalanced="0"/>
    <cacheHierarchy uniqueName="[fArtikliCeni].[Период]" caption="Период" attribute="1" time="1" defaultMemberUniqueName="[fArtikliCeni].[Период].[All]" allUniqueName="[fArtikliCeni].[Период].[All]" dimensionUniqueName="[fArtikliCeni]" displayFolder="" count="0" memberValueDatatype="7" unbalanced="0"/>
    <cacheHierarchy uniqueName="[fArtikliCeni].[StavkaImeMK]" caption="StavkaImeMK" attribute="1" defaultMemberUniqueName="[fArtikliCeni].[StavkaImeMK].[All]" allUniqueName="[fArtikliCeni].[StavkaImeMK].[All]" dimensionUniqueName="[fArtikliCeni]" displayFolder="" count="0" memberValueDatatype="130" unbalanced="0"/>
    <cacheHierarchy uniqueName="[fArtikliCeni].[StavkaAOP]" caption="StavkaAOP" attribute="1" defaultMemberUniqueName="[fArtikliCeni].[StavkaAOP].[All]" allUniqueName="[fArtikliCeni].[StavkaAOP].[All]" dimensionUniqueName="[fArtikliCeni]" displayFolder="" count="0" memberValueDatatype="130" unbalanced="0"/>
    <cacheHierarchy uniqueName="[fArtikliCeni].[StavkaGrupa]" caption="StavkaGrupa" attribute="1" defaultMemberUniqueName="[fArtikliCeni].[StavkaGrupa].[All]" allUniqueName="[fArtikliCeni].[StavkaGrupa].[All]" dimensionUniqueName="[fArtikliCeni]" displayFolder="" count="0" memberValueDatatype="130" unbalanced="0"/>
    <cacheHierarchy uniqueName="[fArtikliCeni].[StavkaKategorija]" caption="StavkaKategorija" attribute="1" defaultMemberUniqueName="[fArtikliCeni].[StavkaKategorija].[All]" allUniqueName="[fArtikliCeni].[StavkaKategorija].[All]" dimensionUniqueName="[fArtikliCeni]" displayFolder="" count="0" memberValueDatatype="130" unbalanced="0"/>
    <cacheHierarchy uniqueName="[fArtikliCeni].[ObrazecIme]" caption="ObrazecIme" attribute="1" defaultMemberUniqueName="[fArtikliCeni].[ObrazecIme].[All]" allUniqueName="[fArtikliCeni].[ObrazecIme].[All]" dimensionUniqueName="[fArtikliCeni]" displayFolder="" count="0" memberValueDatatype="130" unbalanced="0"/>
    <cacheHierarchy uniqueName="[fCoveckiResursi].[Ставка]" caption="Ставка" attribute="1" defaultMemberUniqueName="[fCoveckiResursi].[Ставка].[All]" allUniqueName="[fCoveckiResursi].[Ставка].[All]" dimensionUniqueName="[fCoveckiResursi]" displayFolder="" count="0" memberValueDatatype="130" unbalanced="0"/>
    <cacheHierarchy uniqueName="[fCoveckiResursi].[Тип на вработување]" caption="Тип на вработување" attribute="1" defaultMemberUniqueName="[fCoveckiResursi].[Тип на вработување].[All]" allUniqueName="[fCoveckiResursi].[Тип на вработување].[All]" dimensionUniqueName="[fCoveckiResursi]" displayFolder="" count="0" memberValueDatatype="130" unbalanced="0"/>
    <cacheHierarchy uniqueName="[fCoveckiResursi].[Планиран прилив/(одлив)]" caption="Планиран прилив/(одлив)" attribute="1" defaultMemberUniqueName="[fCoveckiResursi].[Планиран прилив/(одлив)].[All]" allUniqueName="[fCoveckiResursi].[Планиран прилив/(одлив)].[All]" dimensionUniqueName="[fCoveckiResursi]" displayFolder="" count="0" memberValueDatatype="20" unbalanced="0"/>
    <cacheHierarchy uniqueName="[fCoveckiResursi].[Период]" caption="Период" attribute="1" time="1" defaultMemberUniqueName="[fCoveckiResursi].[Период].[All]" allUniqueName="[fCoveckiResursi].[Период].[All]" dimensionUniqueName="[fCoveckiResursi]" displayFolder="" count="0" memberValueDatatype="7" unbalanced="0"/>
    <cacheHierarchy uniqueName="[fCoveckiResursi].[Крајна состојба вработени]" caption="Крајна состојба вработени" attribute="1" defaultMemberUniqueName="[fCoveckiResursi].[Крајна состојба вработени].[All]" allUniqueName="[fCoveckiResursi].[Крајна состојба вработени].[All]" dimensionUniqueName="[fCoveckiResursi]" displayFolder="" count="0" memberValueDatatype="20" unbalanced="0"/>
    <cacheHierarchy uniqueName="[fCoveckiResursi].[Износ]" caption="Износ" attribute="1" defaultMemberUniqueName="[fCoveckiResursi].[Износ].[All]" allUniqueName="[fCoveckiResursi].[Износ].[All]" dimensionUniqueName="[fCoveckiResursi]" displayFolder="" count="0" memberValueDatatype="20" unbalanced="0"/>
    <cacheHierarchy uniqueName="[fCoveckiResursi].[Конто]" caption="Конто" attribute="1" defaultMemberUniqueName="[fCoveckiResursi].[Конто].[All]" allUniqueName="[fCoveckiResursi].[Конто].[All]" dimensionUniqueName="[fCoveckiResursi]" displayFolder="" count="0" memberValueDatatype="130" unbalanced="0"/>
    <cacheHierarchy uniqueName="[fCoveckiResursi].[ReportType]" caption="ReportType" attribute="1" defaultMemberUniqueName="[fCoveckiResursi].[ReportType].[All]" allUniqueName="[fCoveckiResursi].[ReportType].[All]" dimensionUniqueName="[fCoveckiResursi]" displayFolder="" count="0" memberValueDatatype="130" unbalanced="0"/>
    <cacheHierarchy uniqueName="[fCoveckiResursi].[Период (Year)]" caption="Период (Year)" attribute="1" defaultMemberUniqueName="[fCoveckiResursi].[Период (Year)].[All]" allUniqueName="[fCoveckiResursi].[Период (Year)].[All]" dimensionUniqueName="[fCoveckiResursi]" displayFolder="" count="0" memberValueDatatype="130" unbalanced="0"/>
    <cacheHierarchy uniqueName="[fCoveckiResursi].[Период (Quarter)]" caption="Период (Quarter)" attribute="1" defaultMemberUniqueName="[fCoveckiResursi].[Период (Quarter)].[All]" allUniqueName="[fCoveckiResursi].[Период (Quarter)].[All]" dimensionUniqueName="[fCoveckiResursi]" displayFolder="" count="0" memberValueDatatype="130" unbalanced="0"/>
    <cacheHierarchy uniqueName="[fCoveckiResursi].[Период (Month)]" caption="Период (Month)" attribute="1" defaultMemberUniqueName="[fCoveckiResursi].[Период (Month)].[All]" allUniqueName="[fCoveckiResursi].[Период (Month)].[All]" dimensionUniqueName="[fCoveckiResursi]" displayFolder="" count="0" memberValueDatatype="130" unbalanced="0"/>
    <cacheHierarchy uniqueName="[fCoveckiResursi].[Период (Year) 1]" caption="Период (Year) 1" attribute="1" defaultMemberUniqueName="[fCoveckiResursi].[Период (Year) 1].[All]" allUniqueName="[fCoveckiResursi].[Период (Year) 1].[All]" dimensionUniqueName="[fCoveckiResursi]" displayFolder="" count="0" memberValueDatatype="130" unbalanced="0"/>
    <cacheHierarchy uniqueName="[fCoveckiResursi].[Период (Quarter) 1]" caption="Период (Quarter) 1" attribute="1" defaultMemberUniqueName="[fCoveckiResursi].[Период (Quarter) 1].[All]" allUniqueName="[fCoveckiResursi].[Период (Quarter) 1].[All]" dimensionUniqueName="[fCoveckiResursi]" displayFolder="" count="0" memberValueDatatype="130" unbalanced="0"/>
    <cacheHierarchy uniqueName="[fCoveckiResursi].[Период (Month) 1]" caption="Период (Month) 1" attribute="1" defaultMemberUniqueName="[fCoveckiResursi].[Период (Month) 1].[All]" allUniqueName="[fCoveckiResursi].[Период (Month) 1].[All]" dimensionUniqueName="[fCoveckiResursi]" displayFolder="" count="0" memberValueDatatype="130" unbalanced="0"/>
    <cacheHierarchy uniqueName="[fCoveckiResursi  2].[Ставка]" caption="Ставка" attribute="1" defaultMemberUniqueName="[fCoveckiResursi  2].[Ставка].[All]" allUniqueName="[fCoveckiResursi  2].[Ставка].[All]" dimensionUniqueName="[fCoveckiResursi  2]" displayFolder="" count="0" memberValueDatatype="130" unbalanced="0"/>
    <cacheHierarchy uniqueName="[fCoveckiResursi  2].[Период]" caption="Период" attribute="1" time="1" defaultMemberUniqueName="[fCoveckiResursi  2].[Период].[All]" allUniqueName="[fCoveckiResursi  2].[Период].[All]" dimensionUniqueName="[fCoveckiResursi  2]" displayFolder="" count="0" memberValueDatatype="7" unbalanced="0"/>
    <cacheHierarchy uniqueName="[fCoveckiResursi  2].[Износ]" caption="Износ" attribute="1" defaultMemberUniqueName="[fCoveckiResursi  2].[Износ].[All]" allUniqueName="[fCoveckiResursi  2].[Износ].[All]" dimensionUniqueName="[fCoveckiResursi  2]" displayFolder="" count="0" memberValueDatatype="20" unbalanced="0"/>
    <cacheHierarchy uniqueName="[fCoveckiResursi  2].[Конто]" caption="Конто" attribute="1" defaultMemberUniqueName="[fCoveckiResursi  2].[Конто].[All]" allUniqueName="[fCoveckiResursi  2].[Конто].[All]" dimensionUniqueName="[fCoveckiResursi  2]" displayFolder="" count="0" memberValueDatatype="130" unbalanced="0"/>
    <cacheHierarchy uniqueName="[fCoveckiResursi  2].[ReportType]" caption="ReportType" attribute="1" defaultMemberUniqueName="[fCoveckiResursi  2].[ReportType].[All]" allUniqueName="[fCoveckiResursi  2].[ReportType].[All]" dimensionUniqueName="[fCoveckiResursi  2]" displayFolder="" count="0" memberValueDatatype="130" unbalanced="0"/>
    <cacheHierarchy uniqueName="[fCoveckiResursi  2].[StavkaImeMK]" caption="StavkaImeMK" attribute="1" defaultMemberUniqueName="[fCoveckiResursi  2].[StavkaImeMK].[All]" allUniqueName="[fCoveckiResursi  2].[StavkaImeMK].[All]" dimensionUniqueName="[fCoveckiResursi  2]" displayFolder="" count="0" memberValueDatatype="130" unbalanced="0"/>
    <cacheHierarchy uniqueName="[fCoveckiResursi  2].[StavkaKategorija]" caption="StavkaKategorija" attribute="1" defaultMemberUniqueName="[fCoveckiResursi  2].[StavkaKategorija].[All]" allUniqueName="[fCoveckiResursi  2].[StavkaKategorija].[All]" dimensionUniqueName="[fCoveckiResursi  2]" displayFolder="" count="0" memberValueDatatype="130" unbalanced="0"/>
    <cacheHierarchy uniqueName="[fCoveckiResursi  2].[ObrazecIme]" caption="ObrazecIme" attribute="1" defaultMemberUniqueName="[fCoveckiResursi  2].[ObrazecIme].[All]" allUniqueName="[fCoveckiResursi  2].[ObrazecIme].[All]" dimensionUniqueName="[fCoveckiResursi  2]" displayFolder="" count="0" memberValueDatatype="130" unbalanced="0"/>
    <cacheHierarchy uniqueName="[fOPEX].[Конто]" caption="Конто" attribute="1" defaultMemberUniqueName="[fOPEX].[Конто].[All]" allUniqueName="[fOPEX].[Конто].[All]" dimensionUniqueName="[fOPEX]" displayFolder="" count="0" memberValueDatatype="130" unbalanced="0"/>
    <cacheHierarchy uniqueName="[fOPEX].[Ставка]" caption="Ставка" attribute="1" defaultMemberUniqueName="[fOPEX].[Ставка].[All]" allUniqueName="[fOPEX].[Ставка].[All]" dimensionUniqueName="[fOPEX]" displayFolder="" count="0" memberValueDatatype="130" unbalanced="0"/>
    <cacheHierarchy uniqueName="[fOPEX].[Период]" caption="Период" attribute="1" time="1" defaultMemberUniqueName="[fOPEX].[Период].[All]" allUniqueName="[fOPEX].[Период].[All]" dimensionUniqueName="[fOPEX]" displayFolder="" count="0" memberValueDatatype="7" unbalanced="0"/>
    <cacheHierarchy uniqueName="[fOPEX].[Износ]" caption="Износ" attribute="1" defaultMemberUniqueName="[fOPEX].[Износ].[All]" allUniqueName="[fOPEX].[Износ].[All]" dimensionUniqueName="[fOPEX]" displayFolder="" count="0" memberValueDatatype="20" unbalanced="0"/>
    <cacheHierarchy uniqueName="[fOPEX].[ReportType]" caption="ReportType" attribute="1" defaultMemberUniqueName="[fOPEX].[ReportType].[All]" allUniqueName="[fOPEX].[ReportType].[All]" dimensionUniqueName="[fOPEX]" displayFolder="" count="0" memberValueDatatype="130" unbalanced="0"/>
    <cacheHierarchy uniqueName="[OPEXAnaliza].[Артикл ИД]" caption="Артикл ИД" attribute="1" defaultMemberUniqueName="[OPEXAnaliza].[Артикл ИД].[All]" allUniqueName="[OPEXAnaliza].[Артикл ИД].[All]" dimensionUniqueName="[OPEXAnaliza]" displayFolder="" count="0" memberValueDatatype="20" unbalanced="0"/>
    <cacheHierarchy uniqueName="[OPEXAnaliza].[Ставка]" caption="Ставка" attribute="1" defaultMemberUniqueName="[OPEXAnaliza].[Ставка].[All]" allUniqueName="[OPEXAnaliza].[Ставка].[All]" dimensionUniqueName="[OPEXAnaliza]" displayFolder="" count="0" memberValueDatatype="130" unbalanced="0"/>
    <cacheHierarchy uniqueName="[OPEXAnaliza].[Категорија Артикл ИД]" caption="Категорија Артикл ИД" attribute="1" defaultMemberUniqueName="[OPEXAnaliza].[Категорија Артикл ИД].[All]" allUniqueName="[OPEXAnaliza].[Категорија Артикл ИД].[All]" dimensionUniqueName="[OPEXAnaliza]" displayFolder="" count="0" memberValueDatatype="20" unbalanced="0"/>
    <cacheHierarchy uniqueName="[OPEXAnaliza].[Категорија Артикл]" caption="Категорија Артикл" attribute="1" defaultMemberUniqueName="[OPEXAnaliza].[Категорија Артикл].[All]" allUniqueName="[OPEXAnaliza].[Категорија Артикл].[All]" dimensionUniqueName="[OPEXAnaliza]" displayFolder="" count="0" memberValueDatatype="130" unbalanced="0"/>
    <cacheHierarchy uniqueName="[OPEXAnaliza].[Тип на артикл]" caption="Тип на артикл" attribute="1" defaultMemberUniqueName="[OPEXAnaliza].[Тип на артикл].[All]" allUniqueName="[OPEXAnaliza].[Тип на артикл].[All]" dimensionUniqueName="[OPEXAnaliza]" displayFolder="" count="0" memberValueDatatype="130" unbalanced="0"/>
    <cacheHierarchy uniqueName="[OPEXAnaliza].[Единечна мерка]" caption="Единечна мерка" attribute="1" defaultMemberUniqueName="[OPEXAnaliza].[Единечна мерка].[All]" allUniqueName="[OPEXAnaliza].[Единечна мерка].[All]" dimensionUniqueName="[OPEXAnaliza]" displayFolder="" count="0" memberValueDatatype="130" unbalanced="0"/>
    <cacheHierarchy uniqueName="[OPEXAnaliza].[Количина]" caption="Количина" attribute="1" defaultMemberUniqueName="[OPEXAnaliza].[Количина].[All]" allUniqueName="[OPEXAnaliza].[Количина].[All]" dimensionUniqueName="[OPEXAnaliza]" displayFolder="" count="0" memberValueDatatype="5" unbalanced="0"/>
    <cacheHierarchy uniqueName="[OPEXAnaliza].[Единечна цена]" caption="Единечна цена" attribute="1" defaultMemberUniqueName="[OPEXAnaliza].[Единечна цена].[All]" allUniqueName="[OPEXAnaliza].[Единечна цена].[All]" dimensionUniqueName="[OPEXAnaliza]" displayFolder="" count="0" memberValueDatatype="20" unbalanced="0"/>
    <cacheHierarchy uniqueName="[OPEXAnaliza].[Износ]" caption="Износ" attribute="1" defaultMemberUniqueName="[OPEXAnaliza].[Износ].[All]" allUniqueName="[OPEXAnaliza].[Износ].[All]" dimensionUniqueName="[OPEXAnaliza]" displayFolder="" count="0" memberValueDatatype="5" unbalanced="0"/>
    <cacheHierarchy uniqueName="[OPEXAnaliza].[ДДВ]" caption="ДДВ" attribute="1" defaultMemberUniqueName="[OPEXAnaliza].[ДДВ].[All]" allUniqueName="[OPEXAnaliza].[ДДВ].[All]" dimensionUniqueName="[OPEXAnaliza]" displayFolder="" count="0" memberValueDatatype="5" unbalanced="0"/>
    <cacheHierarchy uniqueName="[OPEXAnaliza].[Вкупно трошок со ДДВ]" caption="Вкупно трошок со ДДВ" attribute="1" defaultMemberUniqueName="[OPEXAnaliza].[Вкупно трошок со ДДВ].[All]" allUniqueName="[OPEXAnaliza].[Вкупно трошок со ДДВ].[All]" dimensionUniqueName="[OPEXAnaliza]" displayFolder="" count="0" memberValueDatatype="5" unbalanced="0"/>
    <cacheHierarchy uniqueName="[OPEXAnaliza].[Конто]" caption="Конто" attribute="1" defaultMemberUniqueName="[OPEXAnaliza].[Конто].[All]" allUniqueName="[OPEXAnaliza].[Конто].[All]" dimensionUniqueName="[OPEXAnaliza]" displayFolder="" count="0" memberValueDatatype="130" unbalanced="0"/>
    <cacheHierarchy uniqueName="[OPEXAnaliza].[Период]" caption="Период" attribute="1" time="1" defaultMemberUniqueName="[OPEXAnaliza].[Период].[All]" allUniqueName="[OPEXAnaliza].[Период].[All]" dimensionUniqueName="[OPEXAnaliza]" displayFolder="" count="0" memberValueDatatype="7" unbalanced="0"/>
    <cacheHierarchy uniqueName="[OPEXAnaliza].[ReportType]" caption="ReportType" attribute="1" defaultMemberUniqueName="[OPEXAnaliza].[ReportType].[All]" allUniqueName="[OPEXAnaliza].[ReportType].[All]" dimensionUniqueName="[OPEXAnaliza]" displayFolder="" count="0" memberValueDatatype="130" unbalanced="0"/>
    <cacheHierarchy uniqueName="[OPEXAnaliza].[StavkaImeMK]" caption="StavkaImeMK" attribute="1" defaultMemberUniqueName="[OPEXAnaliza].[StavkaImeMK].[All]" allUniqueName="[OPEXAnaliza].[StavkaImeMK].[All]" dimensionUniqueName="[OPEXAnaliza]" displayFolder="" count="0" memberValueDatatype="130" unbalanced="0"/>
    <cacheHierarchy uniqueName="[OPEXAnaliza].[StavkaKategorija]" caption="StavkaKategorija" attribute="1" defaultMemberUniqueName="[OPEXAnaliza].[StavkaKategorija].[All]" allUniqueName="[OPEXAnaliza].[StavkaKategorija].[All]" dimensionUniqueName="[OPEXAnaliza]" displayFolder="" count="0" memberValueDatatype="130" unbalanced="0"/>
    <cacheHierarchy uniqueName="[OPEXAnaliza].[ObrazecIme]" caption="ObrazecIme" attribute="1" defaultMemberUniqueName="[OPEXAnaliza].[ObrazecIme].[All]" allUniqueName="[OPEXAnaliza].[ObrazecIme].[All]" dimensionUniqueName="[OPEXAnaliza]" displayFolder="" count="0" memberValueDatatype="130" unbalanced="0"/>
    <cacheHierarchy uniqueName="[OPEXAnaliza].[StavkaImeAOP]" caption="StavkaImeAOP" attribute="1" defaultMemberUniqueName="[OPEXAnaliza].[StavkaImeAOP].[All]" allUniqueName="[OPEXAnaliza].[StavkaImeAOP].[All]" dimensionUniqueName="[OPEXAnaliza]" displayFolder="" count="0" memberValueDatatype="20" unbalanced="0"/>
    <cacheHierarchy uniqueName="[OPEXAnaliza].[Период (Year)]" caption="Период (Year)" attribute="1" defaultMemberUniqueName="[OPEXAnaliza].[Период (Year)].[All]" allUniqueName="[OPEXAnaliza].[Период (Year)].[All]" dimensionUniqueName="[OPEXAnaliza]" displayFolder="" count="0" memberValueDatatype="130" unbalanced="0"/>
    <cacheHierarchy uniqueName="[OPEXAnaliza].[Период (Quarter)]" caption="Период (Quarter)" attribute="1" defaultMemberUniqueName="[OPEXAnaliza].[Период (Quarter)].[All]" allUniqueName="[OPEXAnaliza].[Период (Quarter)].[All]" dimensionUniqueName="[OPEXAnaliza]" displayFolder="" count="0" memberValueDatatype="130" unbalanced="0"/>
    <cacheHierarchy uniqueName="[OPEXAnaliza].[Период (Month)]" caption="Период (Month)" attribute="1" defaultMemberUniqueName="[OPEXAnaliza].[Период (Month)].[All]" allUniqueName="[OPEXAnaliza].[Период (Month)].[All]" dimensionUniqueName="[OPEXAnaliza]" displayFolder="" count="0" memberValueDatatype="130" unbalanced="0"/>
    <cacheHierarchy uniqueName="[rArtikli_HR_Analiza].[Ставка]" caption="Ставка" attribute="1" defaultMemberUniqueName="[rArtikli_HR_Analiza].[Ставка].[All]" allUniqueName="[rArtikli_HR_Analiza].[Ставка].[All]" dimensionUniqueName="[rArtikli_HR_Analiza]" displayFolder="" count="0" memberValueDatatype="130" unbalanced="0"/>
    <cacheHierarchy uniqueName="[rArtikli_HR_Analiza].[Категорија Артикл]" caption="Категорија Артикл" attribute="1" defaultMemberUniqueName="[rArtikli_HR_Analiza].[Категорија Артикл].[All]" allUniqueName="[rArtikli_HR_Analiza].[Категорија Артикл].[All]" dimensionUniqueName="[rArtikli_HR_Analiza]" displayFolder="" count="0" memberValueDatatype="130" unbalanced="0"/>
    <cacheHierarchy uniqueName="[rArtikli_HR_Analiza].[Тип на артикл]" caption="Тип на артикл" attribute="1" defaultMemberUniqueName="[rArtikli_HR_Analiza].[Тип на артикл].[All]" allUniqueName="[rArtikli_HR_Analiza].[Тип на артикл].[All]" dimensionUniqueName="[rArtikli_HR_Analiza]" displayFolder="" count="0" memberValueDatatype="130" unbalanced="0"/>
    <cacheHierarchy uniqueName="[rArtikli_HR_Analiza].[Единечна мерка]" caption="Единечна мерка" attribute="1" defaultMemberUniqueName="[rArtikli_HR_Analiza].[Единечна мерка].[All]" allUniqueName="[rArtikli_HR_Analiza].[Единечна мерка].[All]" dimensionUniqueName="[rArtikli_HR_Analiza]" displayFolder="" count="0" memberValueDatatype="130" unbalanced="0"/>
    <cacheHierarchy uniqueName="[rArtikli_HR_Analiza].[Количина]" caption="Количина" attribute="1" defaultMemberUniqueName="[rArtikli_HR_Analiza].[Количина].[All]" allUniqueName="[rArtikli_HR_Analiza].[Количина].[All]" dimensionUniqueName="[rArtikli_HR_Analiza]" displayFolder="" count="0" memberValueDatatype="5" unbalanced="0"/>
    <cacheHierarchy uniqueName="[rArtikli_HR_Analiza].[Единечна цена]" caption="Единечна цена" attribute="1" defaultMemberUniqueName="[rArtikli_HR_Analiza].[Единечна цена].[All]" allUniqueName="[rArtikli_HR_Analiza].[Единечна цена].[All]" dimensionUniqueName="[rArtikli_HR_Analiza]" displayFolder="" count="0" memberValueDatatype="20" unbalanced="0"/>
    <cacheHierarchy uniqueName="[rArtikli_HR_Analiza].[Вкупно трошок]" caption="Вкупно трошок" attribute="1" defaultMemberUniqueName="[rArtikli_HR_Analiza].[Вкупно трошок].[All]" allUniqueName="[rArtikli_HR_Analiza].[Вкупно трошок].[All]" dimensionUniqueName="[rArtikli_HR_Analiza]" displayFolder="" count="0" memberValueDatatype="5" unbalanced="0"/>
    <cacheHierarchy uniqueName="[rArtikli_HR_Analiza].[ДДВ]" caption="ДДВ" attribute="1" defaultMemberUniqueName="[rArtikli_HR_Analiza].[ДДВ].[All]" allUniqueName="[rArtikli_HR_Analiza].[ДДВ].[All]" dimensionUniqueName="[rArtikli_HR_Analiza]" displayFolder="" count="0" memberValueDatatype="5" unbalanced="0"/>
    <cacheHierarchy uniqueName="[rArtikli_HR_Analiza].[Износ]" caption="Износ" attribute="1" defaultMemberUniqueName="[rArtikli_HR_Analiza].[Износ].[All]" allUniqueName="[rArtikli_HR_Analiza].[Износ].[All]" dimensionUniqueName="[rArtikli_HR_Analiza]" displayFolder="" count="0" memberValueDatatype="5" unbalanced="0"/>
    <cacheHierarchy uniqueName="[rArtikli_HR_Analiza].[Конто]" caption="Конто" attribute="1" defaultMemberUniqueName="[rArtikli_HR_Analiza].[Конто].[All]" allUniqueName="[rArtikli_HR_Analiza].[Конто].[All]" dimensionUniqueName="[rArtikli_HR_Analiza]" displayFolder="" count="0" memberValueDatatype="130" unbalanced="0"/>
    <cacheHierarchy uniqueName="[rArtikli_HR_Analiza].[ReportType]" caption="ReportType" attribute="1" defaultMemberUniqueName="[rArtikli_HR_Analiza].[ReportType].[All]" allUniqueName="[rArtikli_HR_Analiza].[ReportType].[All]" dimensionUniqueName="[rArtikli_HR_Analiza]" displayFolder="" count="0" memberValueDatatype="130" unbalanced="0"/>
    <cacheHierarchy uniqueName="[rArtikli_HR_Analiza].[Период]" caption="Период" attribute="1" time="1" defaultMemberUniqueName="[rArtikli_HR_Analiza].[Период].[All]" allUniqueName="[rArtikli_HR_Analiza].[Период].[All]" dimensionUniqueName="[rArtikli_HR_Analiza]" displayFolder="" count="0" memberValueDatatype="7" unbalanced="0"/>
    <cacheHierarchy uniqueName="[rArtikli_HR_Analiza].[StavkaImeMK]" caption="StavkaImeMK" attribute="1" defaultMemberUniqueName="[rArtikli_HR_Analiza].[StavkaImeMK].[All]" allUniqueName="[rArtikli_HR_Analiza].[StavkaImeMK].[All]" dimensionUniqueName="[rArtikli_HR_Analiza]" displayFolder="" count="0" memberValueDatatype="130" unbalanced="0"/>
    <cacheHierarchy uniqueName="[rArtikli_HR_Analiza].[StavkaAOP]" caption="StavkaAOP" attribute="1" defaultMemberUniqueName="[rArtikli_HR_Analiza].[StavkaAOP].[All]" allUniqueName="[rArtikli_HR_Analiza].[StavkaAOP].[All]" dimensionUniqueName="[rArtikli_HR_Analiza]" displayFolder="" count="0" memberValueDatatype="130" unbalanced="0"/>
    <cacheHierarchy uniqueName="[rArtikli_HR_Analiza].[StavkaGrupa]" caption="StavkaGrupa" attribute="1" defaultMemberUniqueName="[rArtikli_HR_Analiza].[StavkaGrupa].[All]" allUniqueName="[rArtikli_HR_Analiza].[StavkaGrupa].[All]" dimensionUniqueName="[rArtikli_HR_Analiza]" displayFolder="" count="0" memberValueDatatype="130" unbalanced="0"/>
    <cacheHierarchy uniqueName="[rArtikli_HR_Analiza].[StavkaKategorija]" caption="StavkaKategorija" attribute="1" defaultMemberUniqueName="[rArtikli_HR_Analiza].[StavkaKategorija].[All]" allUniqueName="[rArtikli_HR_Analiza].[StavkaKategorija].[All]" dimensionUniqueName="[rArtikli_HR_Analiza]" displayFolder="" count="0" memberValueDatatype="130" unbalanced="0"/>
    <cacheHierarchy uniqueName="[rArtikli_HR_Analiza].[ObrazecIme]" caption="ObrazecIme" attribute="1" defaultMemberUniqueName="[rArtikli_HR_Analiza].[ObrazecIme].[All]" allUniqueName="[rArtikli_HR_Analiza].[ObrazecIme].[All]" dimensionUniqueName="[rArtikli_HR_Analiza]" displayFolder="" count="0" memberValueDatatype="130" unbalanced="0"/>
    <cacheHierarchy uniqueName="[rArtikli_HR_Analiza].[StavkaKategorija.1]" caption="StavkaKategorija.1" attribute="1" defaultMemberUniqueName="[rArtikli_HR_Analiza].[StavkaKategorija.1].[All]" allUniqueName="[rArtikli_HR_Analiza].[StavkaKategorija.1].[All]" dimensionUniqueName="[rArtikli_HR_Analiza]" displayFolder="" count="0" memberValueDatatype="130" unbalanced="0"/>
    <cacheHierarchy uniqueName="[rArtikliAnaliza].[Артикл ИД]" caption="Артикл ИД" attribute="1" defaultMemberUniqueName="[rArtikliAnaliza].[Артикл ИД].[All]" allUniqueName="[rArtikliAnaliza].[Артикл ИД].[All]" dimensionUniqueName="[rArtikliAnaliza]" displayFolder="" count="0" memberValueDatatype="20" unbalanced="0"/>
    <cacheHierarchy uniqueName="[rArtikliAnaliza].[Ставка]" caption="Ставка" attribute="1" defaultMemberUniqueName="[rArtikliAnaliza].[Ставка].[All]" allUniqueName="[rArtikliAnaliza].[Ставка].[All]" dimensionUniqueName="[rArtikliAnaliza]" displayFolder="" count="0" memberValueDatatype="130" unbalanced="0"/>
    <cacheHierarchy uniqueName="[rArtikliAnaliza].[Категорија Артикл ИД]" caption="Категорија Артикл ИД" attribute="1" defaultMemberUniqueName="[rArtikliAnaliza].[Категорија Артикл ИД].[All]" allUniqueName="[rArtikliAnaliza].[Категорија Артикл ИД].[All]" dimensionUniqueName="[rArtikliAnaliza]" displayFolder="" count="0" memberValueDatatype="20" unbalanced="0"/>
    <cacheHierarchy uniqueName="[rArtikliAnaliza].[Категорија Артикл]" caption="Категорија Артикл" attribute="1" defaultMemberUniqueName="[rArtikliAnaliza].[Категорија Артикл].[All]" allUniqueName="[rArtikliAnaliza].[Категорија Артикл].[All]" dimensionUniqueName="[rArtikliAnaliza]" displayFolder="" count="0" memberValueDatatype="130" unbalanced="0"/>
    <cacheHierarchy uniqueName="[rArtikliAnaliza].[Тип на артикл]" caption="Тип на артикл" attribute="1" defaultMemberUniqueName="[rArtikliAnaliza].[Тип на артикл].[All]" allUniqueName="[rArtikliAnaliza].[Тип на артикл].[All]" dimensionUniqueName="[rArtikliAnaliza]" displayFolder="" count="0" memberValueDatatype="130" unbalanced="0"/>
    <cacheHierarchy uniqueName="[rArtikliAnaliza].[Единечна мерка]" caption="Единечна мерка" attribute="1" defaultMemberUniqueName="[rArtikliAnaliza].[Единечна мерка].[All]" allUniqueName="[rArtikliAnaliza].[Единечна мерка].[All]" dimensionUniqueName="[rArtikliAnaliza]" displayFolder="" count="0" memberValueDatatype="130" unbalanced="0"/>
    <cacheHierarchy uniqueName="[rArtikliAnaliza].[Количина]" caption="Количина" attribute="1" defaultMemberUniqueName="[rArtikliAnaliza].[Количина].[All]" allUniqueName="[rArtikliAnaliza].[Количина].[All]" dimensionUniqueName="[rArtikliAnaliza]" displayFolder="" count="0" memberValueDatatype="5" unbalanced="0"/>
    <cacheHierarchy uniqueName="[rArtikliAnaliza].[Единечна цена]" caption="Единечна цена" attribute="1" defaultMemberUniqueName="[rArtikliAnaliza].[Единечна цена].[All]" allUniqueName="[rArtikliAnaliza].[Единечна цена].[All]" dimensionUniqueName="[rArtikliAnaliza]" displayFolder="" count="0" memberValueDatatype="20" unbalanced="0"/>
    <cacheHierarchy uniqueName="[rArtikliAnaliza].[Износ]" caption="Износ" attribute="1" defaultMemberUniqueName="[rArtikliAnaliza].[Износ].[All]" allUniqueName="[rArtikliAnaliza].[Износ].[All]" dimensionUniqueName="[rArtikliAnaliza]" displayFolder="" count="0" memberValueDatatype="5" unbalanced="0"/>
    <cacheHierarchy uniqueName="[rArtikliAnaliza].[ДДВ]" caption="ДДВ" attribute="1" defaultMemberUniqueName="[rArtikliAnaliza].[ДДВ].[All]" allUniqueName="[rArtikliAnaliza].[ДДВ].[All]" dimensionUniqueName="[rArtikliAnaliza]" displayFolder="" count="0" memberValueDatatype="5" unbalanced="0"/>
    <cacheHierarchy uniqueName="[rArtikliAnaliza].[Вкупно трошок со ДДВ]" caption="Вкупно трошок со ДДВ" attribute="1" defaultMemberUniqueName="[rArtikliAnaliza].[Вкупно трошок со ДДВ].[All]" allUniqueName="[rArtikliAnaliza].[Вкупно трошок со ДДВ].[All]" dimensionUniqueName="[rArtikliAnaliza]" displayFolder="" count="0" memberValueDatatype="5" unbalanced="0"/>
    <cacheHierarchy uniqueName="[rArtikliAnaliza].[Конто]" caption="Конто" attribute="1" defaultMemberUniqueName="[rArtikliAnaliza].[Конто].[All]" allUniqueName="[rArtikliAnaliza].[Конто].[All]" dimensionUniqueName="[rArtikliAnaliza]" displayFolder="" count="0" memberValueDatatype="130" unbalanced="0"/>
    <cacheHierarchy uniqueName="[rArtikliAnaliza].[Период]" caption="Период" attribute="1" time="1" defaultMemberUniqueName="[rArtikliAnaliza].[Период].[All]" allUniqueName="[rArtikliAnaliza].[Период].[All]" dimensionUniqueName="[rArtikliAnaliza]" displayFolder="" count="0" memberValueDatatype="7" unbalanced="0"/>
    <cacheHierarchy uniqueName="[rArtikliAnaliza].[ReportType]" caption="ReportType" attribute="1" defaultMemberUniqueName="[rArtikliAnaliza].[ReportType].[All]" allUniqueName="[rArtikliAnaliza].[ReportType].[All]" dimensionUniqueName="[rArtikliAnaliza]" displayFolder="" count="0" memberValueDatatype="130" unbalanced="0"/>
    <cacheHierarchy uniqueName="[rArtikliAnaliza].[StavkaImeMK]" caption="StavkaImeMK" attribute="1" defaultMemberUniqueName="[rArtikliAnaliza].[StavkaImeMK].[All]" allUniqueName="[rArtikliAnaliza].[StavkaImeMK].[All]" dimensionUniqueName="[rArtikliAnaliza]" displayFolder="" count="0" memberValueDatatype="130" unbalanced="0"/>
    <cacheHierarchy uniqueName="[rArtikliAnaliza].[StavkaKategorija]" caption="StavkaKategorija" attribute="1" defaultMemberUniqueName="[rArtikliAnaliza].[StavkaKategorija].[All]" allUniqueName="[rArtikliAnaliza].[StavkaKategorija].[All]" dimensionUniqueName="[rArtikliAnaliza]" displayFolder="" count="0" memberValueDatatype="130" unbalanced="0"/>
    <cacheHierarchy uniqueName="[rArtikliAnaliza].[Период (Year)]" caption="Период (Year)" attribute="1" defaultMemberUniqueName="[rArtikliAnaliza].[Период (Year)].[All]" allUniqueName="[rArtikliAnaliza].[Период (Year)].[All]" dimensionUniqueName="[rArtikliAnaliza]" displayFolder="" count="0" memberValueDatatype="130" unbalanced="0"/>
    <cacheHierarchy uniqueName="[rArtikliAnaliza].[Период (Quarter)]" caption="Период (Quarter)" attribute="1" defaultMemberUniqueName="[rArtikliAnaliza].[Период (Quarter)].[All]" allUniqueName="[rArtikliAnaliza].[Период (Quarter)].[All]" dimensionUniqueName="[rArtikliAnaliza]" displayFolder="" count="0" memberValueDatatype="130" unbalanced="0"/>
    <cacheHierarchy uniqueName="[rArtikliAnaliza].[Период (Month)]" caption="Период (Month)" attribute="1" defaultMemberUniqueName="[rArtikliAnaliza].[Период (Month)].[All]" allUniqueName="[rArtikliAnaliza].[Период (Month)].[All]" dimensionUniqueName="[rArtikliAnaliza]" displayFolder="" count="0" memberValueDatatype="130" unbalanced="0"/>
    <cacheHierarchy uniqueName="[CAPEX].[Очекуван датум за ставање во употреба (месец) (Month Index)]" caption="Очекуван датум за ставање во употреба (месец) (Month Index)" attribute="1" defaultMemberUniqueName="[CAPEX].[Очекуван датум за ставање во употреба (месец) (Month Index)].[All]" allUniqueName="[CAPEX].[Очекуван датум за ставање во употреба (месец) (Month Index)].[All]" dimensionUniqueName="[CAPEX]" displayFolder="" count="0" memberValueDatatype="20" unbalanced="0" hidden="1"/>
    <cacheHierarchy uniqueName="[CAPEX].[Очекуван датум на плаќање (Month Index)]" caption="Очекуван датум на плаќање (Month Index)" attribute="1" defaultMemberUniqueName="[CAPEX].[Очекуван датум на плаќање (Month Index)].[All]" allUniqueName="[CAPEX].[Очекуван датум на плаќање (Month Index)].[All]" dimensionUniqueName="[CAPEX]" displayFolder="" count="0" memberValueDatatype="20" unbalanced="0" hidden="1"/>
    <cacheHierarchy uniqueName="[fActualAndBudget].[StavkaID]" caption="StavkaID" attribute="1" defaultMemberUniqueName="[fActualAndBudget].[StavkaID].[All]" allUniqueName="[fActualAndBudget].[StavkaID].[All]" dimensionUniqueName="[fActualAndBudget]" displayFolder="" count="0" memberValueDatatype="20" unbalanced="0" hidden="1"/>
    <cacheHierarchy uniqueName="[fCoveckiResursi].[Период (Month Index)]" caption="Период (Month Index)" attribute="1" defaultMemberUniqueName="[fCoveckiResursi].[Период (Month Index)].[All]" allUniqueName="[fCoveckiResursi].[Период (Month Index)].[All]" dimensionUniqueName="[fCoveckiResursi]" displayFolder="" count="0" memberValueDatatype="20" unbalanced="0" hidden="1"/>
    <cacheHierarchy uniqueName="[fCoveckiResursi].[Период (Month Index) 1]" caption="Период (Month Index) 1" attribute="1" defaultMemberUniqueName="[fCoveckiResursi].[Период (Month Index) 1].[All]" allUniqueName="[fCoveckiResursi].[Период (Month Index) 1].[All]" dimensionUniqueName="[fCoveckiResursi]" displayFolder="" count="0" memberValueDatatype="20" unbalanced="0" hidden="1"/>
    <cacheHierarchy uniqueName="[OPEXAnaliza].[Период (Month Index)]" caption="Период (Month Index)" attribute="1" defaultMemberUniqueName="[OPEXAnaliza].[Период (Month Index)].[All]" allUniqueName="[OPEXAnaliza].[Период (Month Index)].[All]" dimensionUniqueName="[OPEXAnaliza]" displayFolder="" count="0" memberValueDatatype="20" unbalanced="0" hidden="1"/>
    <cacheHierarchy uniqueName="[rArtikli_HR_Analiza].[Крајна состојба вработени]" caption="Крајна состојба вработени" attribute="1" defaultMemberUniqueName="[rArtikli_HR_Analiza].[Крајна состојба вработени].[All]" allUniqueName="[rArtikli_HR_Analiza].[Крајна состојба вработени].[All]" dimensionUniqueName="[rArtikli_HR_Analiza]" displayFolder="" count="0" memberValueDatatype="20" unbalanced="0" hidden="1"/>
    <cacheHierarchy uniqueName="[rArtikli_HR_Analiza].[Планиран прилив/(одлив)]" caption="Планиран прилив/(одлив)" attribute="1" defaultMemberUniqueName="[rArtikli_HR_Analiza].[Планиран прилив/(одлив)].[All]" allUniqueName="[rArtikli_HR_Analiza].[Планиран прилив/(одлив)].[All]" dimensionUniqueName="[rArtikli_HR_Analiza]" displayFolder="" count="0" memberValueDatatype="20" unbalanced="0" hidden="1"/>
    <cacheHierarchy uniqueName="[rArtikli_HR_Analiza].[Тип на вработување]" caption="Тип на вработување" attribute="1" defaultMemberUniqueName="[rArtikli_HR_Analiza].[Тип на вработување].[All]" allUniqueName="[rArtikli_HR_Analiza].[Тип на вработување].[All]" dimensionUniqueName="[rArtikli_HR_Analiza]" displayFolder="" count="0" memberValueDatatype="130" unbalanced="0" hidden="1"/>
    <cacheHierarchy uniqueName="[rArtikliAnaliza].[Период (Month Index)]" caption="Период (Month Index)" attribute="1" defaultMemberUniqueName="[rArtikliAnaliza].[Период (Month Index)].[All]" allUniqueName="[rArtikliAnaliza].[Период (Month Index)].[All]" dimensionUniqueName="[rArtikliAnaliza]" displayFolder="" count="0" memberValueDatatype="20" unbalanced="0" hidden="1"/>
    <cacheHierarchy uniqueName="[Measures].[__XL_Count Calendar]" caption="__XL_Count Calendar" measure="1" displayFolder="" measureGroup="Calendar" count="0" hidden="1"/>
    <cacheHierarchy uniqueName="[Measures].[__XL_Count CAPEX]" caption="__XL_Count CAPEX" measure="1" displayFolder="" measureGroup="CAPEX" count="0" hidden="1"/>
    <cacheHierarchy uniqueName="[Measures].[__XL_Count Amortizacija]" caption="__XL_Count Amortizacija" measure="1" displayFolder="" measureGroup="Amortizacija" count="0" hidden="1"/>
    <cacheHierarchy uniqueName="[Measures].[__XL_Count fCoveckiResursi]" caption="__XL_Count fCoveckiResursi" measure="1" displayFolder="" measureGroup="fCoveckiResursi" count="0" hidden="1"/>
    <cacheHierarchy uniqueName="[Measures].[__XL_Count fActualAndBudget]" caption="__XL_Count fActualAndBudget" measure="1" displayFolder="" measureGroup="fActualAndBudget" count="0" hidden="1"/>
    <cacheHierarchy uniqueName="[Measures].[__XL_Count fOPEX]" caption="__XL_Count fOPEX" measure="1" displayFolder="" measureGroup="fOPEX" count="0" hidden="1"/>
    <cacheHierarchy uniqueName="[Measures].[__XL_Count OPEXAnaliza]" caption="__XL_Count OPEXAnaliza" measure="1" displayFolder="" measureGroup="OPEXAnaliza" count="0" hidden="1"/>
    <cacheHierarchy uniqueName="[Measures].[__XL_Count rArtikliAnaliza]" caption="__XL_Count rArtikliAnaliza" measure="1" displayFolder="" measureGroup="rArtikliAnaliza" count="0" hidden="1"/>
    <cacheHierarchy uniqueName="[Measures].[__XL_Count fArtikliCeni]" caption="__XL_Count fArtikliCeni" measure="1" displayFolder="" measureGroup="fArtikliCeni" count="0" hidden="1"/>
    <cacheHierarchy uniqueName="[Measures].[__XL_Count rArtikli_HR_Analiza]" caption="__XL_Count rArtikli_HR_Analiza" measure="1" displayFolder="" measureGroup="rArtikli_HR_Analiza" count="0" hidden="1"/>
    <cacheHierarchy uniqueName="[Measures].[__XL_Count fCoveckiResursi  2]" caption="__XL_Count fCoveckiResursi  2" measure="1" displayFolder="" measureGroup="fCoveckiResursi  2" count="0" hidden="1"/>
    <cacheHierarchy uniqueName="[Measures].[__No measures defined]" caption="__No measures defined" measure="1" displayFolder="" count="0" hidden="1"/>
    <cacheHierarchy uniqueName="[Measures].[Sum of Износ 3]" caption="Sum of Износ 3" measure="1" displayFolder="" measureGroup="fCoveckiResursi" count="0" hidden="1">
      <extLst>
        <ext xmlns:x15="http://schemas.microsoft.com/office/spreadsheetml/2010/11/main" uri="{B97F6D7D-B522-45F9-BDA1-12C45D357490}">
          <x15:cacheHierarchy aggregatedColumn="71"/>
        </ext>
      </extLst>
    </cacheHierarchy>
    <cacheHierarchy uniqueName="[Measures].[Sum of Крајна состојба вработени]" caption="Sum of Крајна состојба вработени" measure="1" displayFolder="" measureGroup="fCoveckiResursi" count="0" hidden="1">
      <extLst>
        <ext xmlns:x15="http://schemas.microsoft.com/office/spreadsheetml/2010/11/main" uri="{B97F6D7D-B522-45F9-BDA1-12C45D357490}">
          <x15:cacheHierarchy aggregatedColumn="70"/>
        </ext>
      </extLst>
    </cacheHierarchy>
    <cacheHierarchy uniqueName="[Measures].[Sum of Планиран прилив/(одлив)]" caption="Sum of Планиран прилив/(одлив)" measure="1" displayFolder="" measureGroup="fCoveckiResursi" count="0" hidden="1">
      <extLst>
        <ext xmlns:x15="http://schemas.microsoft.com/office/spreadsheetml/2010/11/main" uri="{B97F6D7D-B522-45F9-BDA1-12C45D357490}">
          <x15:cacheHierarchy aggregatedColumn="68"/>
        </ext>
      </extLst>
    </cacheHierarchy>
    <cacheHierarchy uniqueName="[Measures].[Sum of Износ]" caption="Sum of Износ" measure="1" displayFolder="" measureGroup="fActualAndBudget" count="0" oneField="1" hidden="1">
      <fieldsUsage count="1">
        <fieldUsage x="5"/>
      </fieldsUsage>
      <extLst>
        <ext xmlns:x15="http://schemas.microsoft.com/office/spreadsheetml/2010/11/main" uri="{B97F6D7D-B522-45F9-BDA1-12C45D357490}">
          <x15:cacheHierarchy aggregatedColumn="45"/>
        </ext>
      </extLst>
    </cacheHierarchy>
    <cacheHierarchy uniqueName="[Measures].[Sum of Износ (илјади)]" caption="Sum of Износ (илјади)" measure="1" displayFolder="" measureGroup="fActualAndBudget" count="0" hidden="1">
      <extLst>
        <ext xmlns:x15="http://schemas.microsoft.com/office/spreadsheetml/2010/11/main" uri="{B97F6D7D-B522-45F9-BDA1-12C45D357490}">
          <x15:cacheHierarchy aggregatedColumn="46"/>
        </ext>
      </extLst>
    </cacheHierarchy>
    <cacheHierarchy uniqueName="[Measures].[Sum of Износ1]" caption="Sum of Износ1" measure="1" displayFolder="" measureGroup="fActualAndBudget" count="0" hidden="1">
      <extLst>
        <ext xmlns:x15="http://schemas.microsoft.com/office/spreadsheetml/2010/11/main" uri="{B97F6D7D-B522-45F9-BDA1-12C45D357490}">
          <x15:cacheHierarchy aggregatedColumn="34"/>
        </ext>
      </extLst>
    </cacheHierarchy>
    <cacheHierarchy uniqueName="[Measures].[Sum of Износ 2]" caption="Sum of Износ 2" measure="1" displayFolder="" measureGroup="Amortizacija" count="0" hidden="1">
      <extLst>
        <ext xmlns:x15="http://schemas.microsoft.com/office/spreadsheetml/2010/11/main" uri="{B97F6D7D-B522-45F9-BDA1-12C45D357490}">
          <x15:cacheHierarchy aggregatedColumn="3"/>
        </ext>
      </extLst>
    </cacheHierarchy>
    <cacheHierarchy uniqueName="[Measures].[Sum of Износ 4]" caption="Sum of Износ 4" measure="1" displayFolder="" measureGroup="OPEXAnaliza" count="0" hidden="1">
      <extLst>
        <ext xmlns:x15="http://schemas.microsoft.com/office/spreadsheetml/2010/11/main" uri="{B97F6D7D-B522-45F9-BDA1-12C45D357490}">
          <x15:cacheHierarchy aggregatedColumn="101"/>
        </ext>
      </extLst>
    </cacheHierarchy>
    <cacheHierarchy uniqueName="[Measures].[Sum of Износ донација]" caption="Sum of Износ донација" measure="1" displayFolder="" measureGroup="CAPEX" count="0" hidden="1">
      <extLst>
        <ext xmlns:x15="http://schemas.microsoft.com/office/spreadsheetml/2010/11/main" uri="{B97F6D7D-B522-45F9-BDA1-12C45D357490}">
          <x15:cacheHierarchy aggregatedColumn="24"/>
        </ext>
      </extLst>
    </cacheHierarchy>
    <cacheHierarchy uniqueName="[Measures].[Sum of Вкупно трошок]" caption="Sum of Вкупно трошок" measure="1" displayFolder="" measureGroup="fArtikliCeni" count="0" hidden="1">
      <extLst>
        <ext xmlns:x15="http://schemas.microsoft.com/office/spreadsheetml/2010/11/main" uri="{B97F6D7D-B522-45F9-BDA1-12C45D357490}">
          <x15:cacheHierarchy aggregatedColumn="55"/>
        </ext>
      </extLst>
    </cacheHierarchy>
    <cacheHierarchy uniqueName="[Measures].[Sum of Количина]" caption="Sum of Количина" measure="1" displayFolder="" measureGroup="fArtikliCeni" count="0" hidden="1">
      <extLst>
        <ext xmlns:x15="http://schemas.microsoft.com/office/spreadsheetml/2010/11/main" uri="{B97F6D7D-B522-45F9-BDA1-12C45D357490}">
          <x15:cacheHierarchy aggregatedColumn="53"/>
        </ext>
      </extLst>
    </cacheHierarchy>
    <cacheHierarchy uniqueName="[Measures].[Sum of Единечна цена]" caption="Sum of Единечна цена" measure="1" displayFolder="" measureGroup="fArtikliCeni" count="0" hidden="1">
      <extLst>
        <ext xmlns:x15="http://schemas.microsoft.com/office/spreadsheetml/2010/11/main" uri="{B97F6D7D-B522-45F9-BDA1-12C45D357490}">
          <x15:cacheHierarchy aggregatedColumn="54"/>
        </ext>
      </extLst>
    </cacheHierarchy>
    <cacheHierarchy uniqueName="[Measures].[Sum of ДДВ]" caption="Sum of ДДВ" measure="1" displayFolder="" measureGroup="fArtikliCeni" count="0" hidden="1">
      <extLst>
        <ext xmlns:x15="http://schemas.microsoft.com/office/spreadsheetml/2010/11/main" uri="{B97F6D7D-B522-45F9-BDA1-12C45D357490}">
          <x15:cacheHierarchy aggregatedColumn="56"/>
        </ext>
      </extLst>
    </cacheHierarchy>
    <cacheHierarchy uniqueName="[Measures].[Sum of Износ 6]" caption="Sum of Износ 6" measure="1" displayFolder="" measureGroup="fArtikliCeni" count="0" hidden="1">
      <extLst>
        <ext xmlns:x15="http://schemas.microsoft.com/office/spreadsheetml/2010/11/main" uri="{B97F6D7D-B522-45F9-BDA1-12C45D357490}">
          <x15:cacheHierarchy aggregatedColumn="57"/>
        </ext>
      </extLst>
    </cacheHierarchy>
    <cacheHierarchy uniqueName="[Measures].[Count of Единечна мерка]" caption="Count of Единечна мерка" measure="1" displayFolder="" measureGroup="fArtikliCeni" count="0" hidden="1">
      <extLst>
        <ext xmlns:x15="http://schemas.microsoft.com/office/spreadsheetml/2010/11/main" uri="{B97F6D7D-B522-45F9-BDA1-12C45D357490}">
          <x15:cacheHierarchy aggregatedColumn="52"/>
        </ext>
      </extLst>
    </cacheHierarchy>
    <cacheHierarchy uniqueName="[Measures].[Sum of Количина 2]" caption="Sum of Количина 2" measure="1" displayFolder="" measureGroup="rArtikli_HR_Analiza" count="0" hidden="1">
      <extLst>
        <ext xmlns:x15="http://schemas.microsoft.com/office/spreadsheetml/2010/11/main" uri="{B97F6D7D-B522-45F9-BDA1-12C45D357490}">
          <x15:cacheHierarchy aggregatedColumn="118"/>
        </ext>
      </extLst>
    </cacheHierarchy>
    <cacheHierarchy uniqueName="[Measures].[Sum of Единечна цена 2]" caption="Sum of Единечна цена 2" measure="1" displayFolder="" measureGroup="rArtikli_HR_Analiza" count="0" hidden="1">
      <extLst>
        <ext xmlns:x15="http://schemas.microsoft.com/office/spreadsheetml/2010/11/main" uri="{B97F6D7D-B522-45F9-BDA1-12C45D357490}">
          <x15:cacheHierarchy aggregatedColumn="119"/>
        </ext>
      </extLst>
    </cacheHierarchy>
    <cacheHierarchy uniqueName="[Measures].[Sum of Вкупно трошок 2]" caption="Sum of Вкупно трошок 2" measure="1" displayFolder="" measureGroup="rArtikli_HR_Analiza" count="0" hidden="1">
      <extLst>
        <ext xmlns:x15="http://schemas.microsoft.com/office/spreadsheetml/2010/11/main" uri="{B97F6D7D-B522-45F9-BDA1-12C45D357490}">
          <x15:cacheHierarchy aggregatedColumn="120"/>
        </ext>
      </extLst>
    </cacheHierarchy>
    <cacheHierarchy uniqueName="[Measures].[Sum of ДДВ 2]" caption="Sum of ДДВ 2" measure="1" displayFolder="" measureGroup="rArtikli_HR_Analiza" count="0" hidden="1">
      <extLst>
        <ext xmlns:x15="http://schemas.microsoft.com/office/spreadsheetml/2010/11/main" uri="{B97F6D7D-B522-45F9-BDA1-12C45D357490}">
          <x15:cacheHierarchy aggregatedColumn="121"/>
        </ext>
      </extLst>
    </cacheHierarchy>
    <cacheHierarchy uniqueName="[Measures].[Sum of Износ 7]" caption="Sum of Износ 7" measure="1" displayFolder="" measureGroup="rArtikli_HR_Analiza" count="0" hidden="1">
      <extLst>
        <ext xmlns:x15="http://schemas.microsoft.com/office/spreadsheetml/2010/11/main" uri="{B97F6D7D-B522-45F9-BDA1-12C45D357490}">
          <x15:cacheHierarchy aggregatedColumn="122"/>
        </ext>
      </extLst>
    </cacheHierarchy>
    <cacheHierarchy uniqueName="[Measures].[Sum of Износ 5]" caption="Sum of Износ 5" measure="1" displayFolder="" measureGroup="fCoveckiResursi  2" count="0" hidden="1">
      <extLst>
        <ext xmlns:x15="http://schemas.microsoft.com/office/spreadsheetml/2010/11/main" uri="{B97F6D7D-B522-45F9-BDA1-12C45D357490}">
          <x15:cacheHierarchy aggregatedColumn="82"/>
        </ext>
      </extLst>
    </cacheHierarchy>
    <cacheHierarchy uniqueName="[Measures].[Sum of Проценета вредност на набавка со ДДВ (денари)]" caption="Sum of Проценета вредност на набавка со ДДВ (денари)" measure="1" displayFolder="" measureGroup="CAPEX" count="0" hidden="1">
      <extLst>
        <ext xmlns:x15="http://schemas.microsoft.com/office/spreadsheetml/2010/11/main" uri="{B97F6D7D-B522-45F9-BDA1-12C45D357490}">
          <x15:cacheHierarchy aggregatedColumn="20"/>
        </ext>
      </extLst>
    </cacheHierarchy>
  </cacheHierarchies>
  <kpis count="0"/>
  <dimensions count="12">
    <dimension name="Amortizacija" uniqueName="[Amortizacija]" caption="Amortizacija"/>
    <dimension name="Calendar" uniqueName="[Calendar]" caption="Calendar"/>
    <dimension name="CAPEX" uniqueName="[CAPEX]" caption="CAPEX"/>
    <dimension name="fActualAndBudget" uniqueName="[fActualAndBudget]" caption="fActualAndBudget"/>
    <dimension name="fArtikliCeni" uniqueName="[fArtikliCeni]" caption="fArtikliCeni"/>
    <dimension name="fCoveckiResursi" uniqueName="[fCoveckiResursi]" caption="fCoveckiResursi"/>
    <dimension name="fCoveckiResursi  2" uniqueName="[fCoveckiResursi  2]" caption="fCoveckiResursi  2"/>
    <dimension name="fOPEX" uniqueName="[fOPEX]" caption="fOPEX"/>
    <dimension measure="1" name="Measures" uniqueName="[Measures]" caption="Measures"/>
    <dimension name="OPEXAnaliza" uniqueName="[OPEXAnaliza]" caption="OPEXAnaliza"/>
    <dimension name="rArtikli_HR_Analiza" uniqueName="[rArtikli_HR_Analiza]" caption="rArtikli_HR_Analiza"/>
    <dimension name="rArtikliAnaliza" uniqueName="[rArtikliAnaliza]" caption="rArtikliAnaliza"/>
  </dimensions>
  <measureGroups count="11">
    <measureGroup name="Amortizacija" caption="Amortizacija"/>
    <measureGroup name="Calendar" caption="Calendar"/>
    <measureGroup name="CAPEX" caption="CAPEX"/>
    <measureGroup name="fActualAndBudget" caption="fActualAndBudget"/>
    <measureGroup name="fArtikliCeni" caption="fArtikliCeni"/>
    <measureGroup name="fCoveckiResursi" caption="fCoveckiResursi"/>
    <measureGroup name="fCoveckiResursi  2" caption="fCoveckiResursi  2"/>
    <measureGroup name="fOPEX" caption="fOPEX"/>
    <measureGroup name="OPEXAnaliza" caption="OPEXAnaliza"/>
    <measureGroup name="rArtikli_HR_Analiza" caption="rArtikli_HR_Analiza"/>
    <measureGroup name="rArtikliAnaliza" caption="rArtikliAnaliza"/>
  </measureGroups>
  <maps count="19">
    <map measureGroup="0" dimension="0"/>
    <map measureGroup="0" dimension="1"/>
    <map measureGroup="1" dimension="1"/>
    <map measureGroup="2" dimension="1"/>
    <map measureGroup="2" dimension="2"/>
    <map measureGroup="3" dimension="1"/>
    <map measureGroup="3" dimension="3"/>
    <map measureGroup="4" dimension="4"/>
    <map measureGroup="5" dimension="1"/>
    <map measureGroup="5" dimension="5"/>
    <map measureGroup="6" dimension="1"/>
    <map measureGroup="6" dimension="6"/>
    <map measureGroup="7" dimension="1"/>
    <map measureGroup="7" dimension="7"/>
    <map measureGroup="8" dimension="1"/>
    <map measureGroup="8" dimension="9"/>
    <map measureGroup="9" dimension="10"/>
    <map measureGroup="10" dimension="1"/>
    <map measureGroup="10" dimension="1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ngela Sazdova - Doneva" refreshedDate="44899.978480324076" createdVersion="5" refreshedVersion="6" minRefreshableVersion="3" recordCount="0" supportSubquery="1" supportAdvancedDrill="1" xr:uid="{00000000-000A-0000-FFFF-FFFF01000000}">
  <cacheSource type="external" connectionId="22"/>
  <cacheFields count="8">
    <cacheField name="[fActualAndBudget].[ReportType].[ReportType]" caption="ReportType" numFmtId="0" hierarchy="35" level="1">
      <sharedItems count="3">
        <s v="Остварено"/>
        <s v="План"/>
        <s v="Предвидување"/>
      </sharedItems>
    </cacheField>
    <cacheField name="[Calendar].[Година].[Година]" caption="Година" numFmtId="0" hierarchy="8" level="1">
      <sharedItems containsString="0" containsBlank="1" containsNumber="1" containsInteger="1" minValue="2020" maxValue="2024" count="6">
        <n v="2020"/>
        <n v="2021"/>
        <n v="2022"/>
        <n v="2023"/>
        <n v="2024" u="1"/>
        <m u="1"/>
      </sharedItems>
      <extLst>
        <ext xmlns:x15="http://schemas.microsoft.com/office/spreadsheetml/2010/11/main" uri="{4F2E5C28-24EA-4eb8-9CBF-B6C8F9C3D259}">
          <x15:cachedUniqueNames>
            <x15:cachedUniqueName index="0" name="[Calendar].[Година].&amp;[2020]"/>
            <x15:cachedUniqueName index="1" name="[Calendar].[Година].&amp;[2021]"/>
            <x15:cachedUniqueName index="2" name="[Calendar].[Година].&amp;[2022]"/>
            <x15:cachedUniqueName index="3" name="[Calendar].[Година].&amp;[2023]"/>
            <x15:cachedUniqueName index="4" name="[Calendar].[Година].&amp;[2024]"/>
          </x15:cachedUniqueNames>
        </ext>
      </extLst>
    </cacheField>
    <cacheField name="[fActualAndBudget].[ObrazecIme].[ObrazecIme]" caption="ObrazecIme" numFmtId="0" hierarchy="44" level="1">
      <sharedItems containsSemiMixedTypes="0" containsNonDate="0" containsString="0"/>
    </cacheField>
    <cacheField name="[fActualAndBudget].[StavkaKategorija].[StavkaKategorija]" caption="StavkaKategorija" numFmtId="0" hierarchy="40" level="1">
      <sharedItems count="9">
        <s v="2.29. Приходи од продажба"/>
        <s v="2.30. Останати оперативни приходи"/>
        <s v="2.32. Потрошени суровини и материјали"/>
        <s v="2.33. Трошоци за вработените"/>
        <s v="2.34. Амортизација на материјални средства"/>
        <s v="2.35. Вредносно усогласување на тековни средства"/>
        <s v="2.37. Останати оперативни расходи"/>
        <s v="2.40. Приходи од финансирање"/>
        <s v="2.41. Расходи од финансирање"/>
      </sharedItems>
    </cacheField>
    <cacheField name="[fActualAndBudget].[Ставка].[Ставка]" caption="Ставка" numFmtId="0" hierarchy="36" level="1">
      <sharedItems containsBlank="1" count="31">
        <m/>
        <s v="POTR.ELEKT.ENERGIJA"/>
        <s v="POTRO[.NAFTA"/>
        <s v="POTRO[ENO GORIVO SK 0601 АС"/>
        <s v="POTRO[ENO GORIVO SK 0602 АС"/>
        <s v="POTRO[ENO GORIVO SK 0603 АС"/>
        <s v="POTRO[ENO GORIVO SK 0604 АС"/>
        <s v="POTRO[ENO GORIVO SK 0605 АС"/>
        <s v="POTRO[ENO GORIVO SK 0606 АС"/>
        <s v="POTRO[ENO GORIVO SK 0607 АС"/>
        <s v="POTRO[ENO GORIVO SK 0608 АС"/>
        <s v="POTRO[ENO GORIVO SK 0609 АС"/>
        <s v="POTRO[ENO GORIVO SK 0610 АС"/>
        <s v="POTRO[ENO GORIVO SK 0611 АС"/>
        <s v="POTRO[ENO GORIVO SK 2083 AI"/>
        <s v="POTRO[ENO GORIVO SK 2084 AI"/>
        <s v="POTRO[ENO GORIVO SK 2085 AI"/>
        <s v="POTRO[ENO GORVO SK 2082 AI"/>
        <s v="POTR.REZERVNI DELOVI ZA TEKOVNO ODR@UV."/>
        <s v="NADOMEST ZA ODVOEN @IVOT" u="1"/>
        <s v="INTELEKTUALNI USLUGI" u="1"/>
        <s v="PRAVNI,ADVOKATSKI I NOTARSKI USLUGI" u="1"/>
        <s v="USLUGI ZA REVIZIJA I PROCENKA" u="1"/>
        <s v="USLUGI ZA PREPISI I PREVODI" u="1"/>
        <s v="DRUGI DOGOVORNI USLUGI" u="1"/>
        <s v="ZAEDN.TRO[OCI SO NBR" u="1"/>
        <s v="KOPIRAWE,PE^ATEWE,POVRZUV.I IZDAVAWE" u="1"/>
        <s v="TRO[.ZA REGISTR.NA VOZILO" u="1"/>
        <s v="SERVISIRAWE I POPRAVKA NA VOZILO" u="1"/>
        <s v="DR.TRO[OCI NA VOZILO" u="1"/>
        <s v="TRO[OCI ZA PATARINA" u="1"/>
      </sharedItems>
    </cacheField>
    <cacheField name="[Measures].[Sum of Износ1]" caption="Sum of Износ1" numFmtId="0" hierarchy="178" level="32767"/>
    <cacheField name="[fActualAndBudget].[StavkaImeMK].[StavkaImeMK]" caption="StavkaImeMK" numFmtId="0" hierarchy="38" level="1">
      <sharedItems count="4">
        <s v="Потрoшена енергија и гориво за возила"/>
        <s v="Потрошени резервни делови"/>
        <s v="Потрошени суровини и материјали"/>
        <s v="Потрошок на ситен инвентар и автогуми"/>
      </sharedItems>
    </cacheField>
    <cacheField name="[fActualAndBudget].[StavkaGrupa].[StavkaGrupa]" caption="StavkaGrupa" numFmtId="0" hierarchy="39" level="1">
      <sharedItems count="1">
        <s v="4.1. Расходи од дејноста"/>
      </sharedItems>
    </cacheField>
  </cacheFields>
  <cacheHierarchies count="195">
    <cacheHierarchy uniqueName="[Amortizacija].[Број на јавна набавка (план)]" caption="Број на јавна набавка (план)" attribute="1" defaultMemberUniqueName="[Amortizacija].[Број на јавна набавка (план)].[All]" allUniqueName="[Amortizacija].[Број на јавна набавка (план)].[All]" dimensionUniqueName="[Amortizacija]" displayFolder="" count="0" memberValueDatatype="130" unbalanced="0"/>
    <cacheHierarchy uniqueName="[Amortizacija].[Ставка]" caption="Ставка" attribute="1" defaultMemberUniqueName="[Amortizacija].[Ставка].[All]" allUniqueName="[Amortizacija].[Ставка].[All]" dimensionUniqueName="[Amortizacija]" displayFolder="" count="0" memberValueDatatype="130" unbalanced="0"/>
    <cacheHierarchy uniqueName="[Amortizacija].[Период]" caption="Период" attribute="1" time="1" defaultMemberUniqueName="[Amortizacija].[Период].[All]" allUniqueName="[Amortizacija].[Период].[All]" dimensionUniqueName="[Amortizacija]" displayFolder="" count="0" memberValueDatatype="7" unbalanced="0"/>
    <cacheHierarchy uniqueName="[Amortizacija].[Износ]" caption="Износ" attribute="1" defaultMemberUniqueName="[Amortizacija].[Износ].[All]" allUniqueName="[Amortizacija].[Износ].[All]" dimensionUniqueName="[Amortizacija]" displayFolder="" count="0" memberValueDatatype="20" unbalanced="0"/>
    <cacheHierarchy uniqueName="[Amortizacija].[Конто]" caption="Конто" attribute="1" defaultMemberUniqueName="[Amortizacija].[Конто].[All]" allUniqueName="[Amortizacija].[Конто].[All]" dimensionUniqueName="[Amortizacija]" displayFolder="" count="0" memberValueDatatype="130" unbalanced="0"/>
    <cacheHierarchy uniqueName="[Amortizacija].[ReportType]" caption="ReportType" attribute="1" defaultMemberUniqueName="[Amortizacija].[ReportType].[All]" allUniqueName="[Amortizacija].[ReportType].[All]" dimensionUniqueName="[Amortizacija]" displayFolder="" count="0" memberValueDatatype="130" unbalanced="0"/>
    <cacheHierarchy uniqueName="[Calendar].[Date]" caption="Date" attribute="1" time="1" keyAttribute="1" defaultMemberUniqueName="[Calendar].[Date].[All]" allUniqueName="[Calendar].[Date].[All]" dimensionUniqueName="[Calendar]" displayFolder="" count="0" memberValueDatatype="7" unbalanced="0"/>
    <cacheHierarchy uniqueName="[Calendar].[Date Hierarchy]" caption="Date Hierarchy" time="1" defaultMemberUniqueName="[Calendar].[Date Hierarchy].[All]" allUniqueName="[Calendar].[Date Hierarchy].[All]" dimensionUniqueName="[Calendar]" displayFolder="" count="0" unbalanced="0"/>
    <cacheHierarchy uniqueName="[Calendar].[Година]" caption="Година" attribute="1" time="1" defaultMemberUniqueName="[Calendar].[Година].[All]" allUniqueName="[Calendar].[Година].[All]" dimensionUniqueName="[Calendar]" displayFolder="" count="2" memberValueDatatype="20" unbalanced="0">
      <fieldsUsage count="2">
        <fieldUsage x="-1"/>
        <fieldUsage x="1"/>
      </fieldsUsage>
    </cacheHierarchy>
    <cacheHierarchy uniqueName="[Calendar].[Month Number]" caption="Month Number" attribute="1" time="1" defaultMemberUniqueName="[Calendar].[Month Number].[All]" allUniqueName="[Calendar].[Month Number].[All]" dimensionUniqueName="[Calendar]" displayFolder="" count="0" memberValueDatatype="20" unbalanced="0"/>
    <cacheHierarchy uniqueName="[Calendar].[Месец]" caption="Месец" attribute="1" time="1" defaultMemberUniqueName="[Calendar].[Месец].[All]" allUniqueName="[Calendar].[Месец].[All]" dimensionUniqueName="[Calendar]" displayFolder="" count="0" memberValueDatatype="130" unbalanced="0"/>
    <cacheHierarchy uniqueName="[Calendar].[MMM-YYYY]" caption="MMM-YYYY" attribute="1" time="1" defaultMemberUniqueName="[Calendar].[MMM-YYYY].[All]" allUniqueName="[Calendar].[MMM-YYYY].[All]" dimensionUniqueName="[Calendar]" displayFolder="" count="0" memberValueDatatype="130" unbalanced="0"/>
    <cacheHierarchy uniqueName="[Calendar].[Day Of Week Number]" caption="Day Of Week Number" attribute="1" time="1" defaultMemberUniqueName="[Calendar].[Day Of Week Number].[All]" allUniqueName="[Calendar].[Day Of Week Number].[All]" dimensionUniqueName="[Calendar]" displayFolder="" count="0" memberValueDatatype="20" unbalanced="0"/>
    <cacheHierarchy uniqueName="[Calendar].[Day Of Week]" caption="Day Of Week" attribute="1" time="1" defaultMemberUniqueName="[Calendar].[Day Of Week].[All]" allUniqueName="[Calendar].[Day Of Week].[All]" dimensionUniqueName="[Calendar]" displayFolder="" count="0" memberValueDatatype="130" unbalanced="0"/>
    <cacheHierarchy uniqueName="[Calendar].[Квартал]" caption="Квартал" attribute="1" time="1" defaultMemberUniqueName="[Calendar].[Квартал].[All]" allUniqueName="[Calendar].[Квартал].[All]" dimensionUniqueName="[Calendar]" displayFolder="" count="0" memberValueDatatype="7" unbalanced="0"/>
    <cacheHierarchy uniqueName="[CAPEX].[Година за реализација на проект]" caption="Година за реализација на проект" attribute="1" defaultMemberUniqueName="[CAPEX].[Година за реализација на проект].[All]" allUniqueName="[CAPEX].[Година за реализација на проект].[All]" dimensionUniqueName="[CAPEX]" displayFolder="" count="0" memberValueDatatype="20" unbalanced="0"/>
    <cacheHierarchy uniqueName="[CAPEX].[Број на јавна набавка (план)]" caption="Број на јавна набавка (план)" attribute="1" defaultMemberUniqueName="[CAPEX].[Број на јавна набавка (план)].[All]" allUniqueName="[CAPEX].[Број на јавна набавка (план)].[All]" dimensionUniqueName="[CAPEX]" displayFolder="" count="0" memberValueDatatype="130" unbalanced="0"/>
    <cacheHierarchy uniqueName="[CAPEX].[Предмет на договорот за јавна набавка]" caption="Предмет на договорот за јавна набавка" attribute="1" defaultMemberUniqueName="[CAPEX].[Предмет на договорот за јавна набавка].[All]" allUniqueName="[CAPEX].[Предмет на договорот за јавна набавка].[All]" dimensionUniqueName="[CAPEX]" displayFolder="" count="0" memberValueDatatype="130" unbalanced="0"/>
    <cacheHierarchy uniqueName="[CAPEX].[Очекуван датум на плаќање]" caption="Очекуван датум на плаќање" attribute="1" time="1" defaultMemberUniqueName="[CAPEX].[Очекуван датум на плаќање].[All]" allUniqueName="[CAPEX].[Очекуван датум на плаќање].[All]" dimensionUniqueName="[CAPEX]" displayFolder="" count="0" memberValueDatatype="7" unbalanced="0"/>
    <cacheHierarchy uniqueName="[CAPEX].[Очекуван датум за ставање во употреба (месец)]" caption="Очекуван датум за ставање во употреба (месец)" attribute="1" time="1" defaultMemberUniqueName="[CAPEX].[Очекуван датум за ставање во употреба (месец)].[All]" allUniqueName="[CAPEX].[Очекуван датум за ставање во употреба (месец)].[All]" dimensionUniqueName="[CAPEX]" displayFolder="" count="0" memberValueDatatype="7" unbalanced="0"/>
    <cacheHierarchy uniqueName="[CAPEX].[Проценета вредност на набавка со ДДВ (денари)]" caption="Проценета вредност на набавка со ДДВ (денари)" attribute="1" defaultMemberUniqueName="[CAPEX].[Проценета вредност на набавка со ДДВ (денари)].[All]" allUniqueName="[CAPEX].[Проценета вредност на набавка со ДДВ (денари)].[All]" dimensionUniqueName="[CAPEX]" displayFolder="" count="0" memberValueDatatype="20" unbalanced="0"/>
    <cacheHierarchy uniqueName="[CAPEX].[Стапка на амортизација]" caption="Стапка на амортизација" attribute="1" defaultMemberUniqueName="[CAPEX].[Стапка на амортизација].[All]" allUniqueName="[CAPEX].[Стапка на амортизација].[All]" dimensionUniqueName="[CAPEX]" displayFolder="" count="0" memberValueDatatype="5" unbalanced="0"/>
    <cacheHierarchy uniqueName="[CAPEX].[Конто Средства]" caption="Конто Средства" attribute="1" defaultMemberUniqueName="[CAPEX].[Конто Средства].[All]" allUniqueName="[CAPEX].[Конто Средства].[All]" dimensionUniqueName="[CAPEX]" displayFolder="" count="0" memberValueDatatype="130" unbalanced="0"/>
    <cacheHierarchy uniqueName="[CAPEX].[Конто Амортизација]" caption="Конто Амортизација" attribute="1" defaultMemberUniqueName="[CAPEX].[Конто Амортизација].[All]" allUniqueName="[CAPEX].[Конто Амортизација].[All]" dimensionUniqueName="[CAPEX]" displayFolder="" count="0" memberValueDatatype="130" unbalanced="0"/>
    <cacheHierarchy uniqueName="[CAPEX].[Износ донација]" caption="Износ донација" attribute="1" defaultMemberUniqueName="[CAPEX].[Износ донација].[All]" allUniqueName="[CAPEX].[Износ донација].[All]" dimensionUniqueName="[CAPEX]" displayFolder="" count="0" memberValueDatatype="20" unbalanced="0"/>
    <cacheHierarchy uniqueName="[CAPEX].[Очекуван датум на плаќање (Year)]" caption="Очекуван датум на плаќање (Year)" attribute="1" defaultMemberUniqueName="[CAPEX].[Очекуван датум на плаќање (Year)].[All]" allUniqueName="[CAPEX].[Очекуван датум на плаќање (Year)].[All]" dimensionUniqueName="[CAPEX]" displayFolder="" count="0" memberValueDatatype="130" unbalanced="0"/>
    <cacheHierarchy uniqueName="[CAPEX].[Очекуван датум на плаќање (Quarter)]" caption="Очекуван датум на плаќање (Quarter)" attribute="1" defaultMemberUniqueName="[CAPEX].[Очекуван датум на плаќање (Quarter)].[All]" allUniqueName="[CAPEX].[Очекуван датум на плаќање (Quarter)].[All]" dimensionUniqueName="[CAPEX]" displayFolder="" count="0" memberValueDatatype="130" unbalanced="0"/>
    <cacheHierarchy uniqueName="[CAPEX].[Очекуван датум на плаќање (Month)]" caption="Очекуван датум на плаќање (Month)" attribute="1" defaultMemberUniqueName="[CAPEX].[Очекуван датум на плаќање (Month)].[All]" allUniqueName="[CAPEX].[Очекуван датум на плаќање (Month)].[All]" dimensionUniqueName="[CAPEX]" displayFolder="" count="0" memberValueDatatype="130" unbalanced="0"/>
    <cacheHierarchy uniqueName="[CAPEX].[Очекуван датум за ставање во употреба (месец) (Year)]" caption="Очекуван датум за ставање во употреба (месец) (Year)" attribute="1" defaultMemberUniqueName="[CAPEX].[Очекуван датум за ставање во употреба (месец) (Year)].[All]" allUniqueName="[CAPEX].[Очекуван датум за ставање во употреба (месец) (Year)].[All]" dimensionUniqueName="[CAPEX]" displayFolder="" count="0" memberValueDatatype="130" unbalanced="0"/>
    <cacheHierarchy uniqueName="[CAPEX].[Очекуван датум за ставање во употреба (месец) (Quarter)]" caption="Очекуван датум за ставање во употреба (месец) (Quarter)" attribute="1" defaultMemberUniqueName="[CAPEX].[Очекуван датум за ставање во употреба (месец) (Quarter)].[All]" allUniqueName="[CAPEX].[Очекуван датум за ставање во употреба (месец) (Quarter)].[All]" dimensionUniqueName="[CAPEX]" displayFolder="" count="0" memberValueDatatype="130" unbalanced="0"/>
    <cacheHierarchy uniqueName="[CAPEX].[Очекуван датум за ставање во употреба (месец) (Month)]" caption="Очекуван датум за ставање во употреба (месец) (Month)" attribute="1" defaultMemberUniqueName="[CAPEX].[Очекуван датум за ставање во употреба (месец) (Month)].[All]" allUniqueName="[CAPEX].[Очекуван датум за ставање во употреба (месец) (Month)].[All]" dimensionUniqueName="[CAPEX]" displayFolder="" count="0" memberValueDatatype="130" unbalanced="0"/>
    <cacheHierarchy uniqueName="[fActualAndBudget].[Конто]" caption="Конто" attribute="1" defaultMemberUniqueName="[fActualAndBudget].[Конто].[All]" allUniqueName="[fActualAndBudget].[Конто].[All]" dimensionUniqueName="[fActualAndBudget]" displayFolder="" count="0" memberValueDatatype="130" unbalanced="0"/>
    <cacheHierarchy uniqueName="[fActualAndBudget].[Назив на конто]" caption="Назив на конто" attribute="1" defaultMemberUniqueName="[fActualAndBudget].[Назив на конто].[All]" allUniqueName="[fActualAndBudget].[Назив на конто].[All]" dimensionUniqueName="[fActualAndBudget]" displayFolder="" count="0" memberValueDatatype="130" unbalanced="0"/>
    <cacheHierarchy uniqueName="[fActualAndBudget].[Период]" caption="Период" attribute="1" time="1" defaultMemberUniqueName="[fActualAndBudget].[Период].[All]" allUniqueName="[fActualAndBudget].[Период].[All]" dimensionUniqueName="[fActualAndBudget]" displayFolder="" count="0" memberValueDatatype="7" unbalanced="0"/>
    <cacheHierarchy uniqueName="[fActualAndBudget].[Износ1]" caption="Износ1" attribute="1" defaultMemberUniqueName="[fActualAndBudget].[Износ1].[All]" allUniqueName="[fActualAndBudget].[Износ1].[All]" dimensionUniqueName="[fActualAndBudget]" displayFolder="" count="0" memberValueDatatype="20" unbalanced="0"/>
    <cacheHierarchy uniqueName="[fActualAndBudget].[ReportType]" caption="ReportType" attribute="1" defaultMemberUniqueName="[fActualAndBudget].[ReportType].[All]" allUniqueName="[fActualAndBudget].[ReportType].[All]" dimensionUniqueName="[fActualAndBudget]" displayFolder="" count="2" memberValueDatatype="130" unbalanced="0">
      <fieldsUsage count="2">
        <fieldUsage x="-1"/>
        <fieldUsage x="0"/>
      </fieldsUsage>
    </cacheHierarchy>
    <cacheHierarchy uniqueName="[fActualAndBudget].[Ставка]" caption="Ставка" attribute="1" defaultMemberUniqueName="[fActualAndBudget].[Ставка].[All]" allUniqueName="[fActualAndBudget].[Ставка].[All]" dimensionUniqueName="[fActualAndBudget]" displayFolder="" count="2" memberValueDatatype="130" unbalanced="0">
      <fieldsUsage count="2">
        <fieldUsage x="-1"/>
        <fieldUsage x="4"/>
      </fieldsUsage>
    </cacheHierarchy>
    <cacheHierarchy uniqueName="[fActualAndBudget].[Број на јавна набавка (план)]" caption="Број на јавна набавка (план)" attribute="1" defaultMemberUniqueName="[fActualAndBudget].[Број на јавна набавка (план)].[All]" allUniqueName="[fActualAndBudget].[Број на јавна набавка (план)].[All]" dimensionUniqueName="[fActualAndBudget]" displayFolder="" count="0" memberValueDatatype="130" unbalanced="0"/>
    <cacheHierarchy uniqueName="[fActualAndBudget].[StavkaImeMK]" caption="StavkaImeMK" attribute="1" defaultMemberUniqueName="[fActualAndBudget].[StavkaImeMK].[All]" allUniqueName="[fActualAndBudget].[StavkaImeMK].[All]" dimensionUniqueName="[fActualAndBudget]" displayFolder="" count="2" memberValueDatatype="130" unbalanced="0">
      <fieldsUsage count="2">
        <fieldUsage x="-1"/>
        <fieldUsage x="6"/>
      </fieldsUsage>
    </cacheHierarchy>
    <cacheHierarchy uniqueName="[fActualAndBudget].[StavkaGrupa]" caption="StavkaGrupa" attribute="1" defaultMemberUniqueName="[fActualAndBudget].[StavkaGrupa].[All]" allUniqueName="[fActualAndBudget].[StavkaGrupa].[All]" dimensionUniqueName="[fActualAndBudget]" displayFolder="" count="2" memberValueDatatype="130" unbalanced="0">
      <fieldsUsage count="2">
        <fieldUsage x="-1"/>
        <fieldUsage x="7"/>
      </fieldsUsage>
    </cacheHierarchy>
    <cacheHierarchy uniqueName="[fActualAndBudget].[StavkaKategorija]" caption="StavkaKategorija" attribute="1" defaultMemberUniqueName="[fActualAndBudget].[StavkaKategorija].[All]" allUniqueName="[fActualAndBudget].[StavkaKategorija].[All]" dimensionUniqueName="[fActualAndBudget]" displayFolder="" count="2" memberValueDatatype="130" unbalanced="0">
      <fieldsUsage count="2">
        <fieldUsage x="-1"/>
        <fieldUsage x="3"/>
      </fieldsUsage>
    </cacheHierarchy>
    <cacheHierarchy uniqueName="[fActualAndBudget].[ZnakIzvestaj]" caption="ZnakIzvestaj" attribute="1" defaultMemberUniqueName="[fActualAndBudget].[ZnakIzvestaj].[All]" allUniqueName="[fActualAndBudget].[ZnakIzvestaj].[All]" dimensionUniqueName="[fActualAndBudget]" displayFolder="" count="0" memberValueDatatype="20" unbalanced="0"/>
    <cacheHierarchy uniqueName="[fActualAndBudget].[ObrazecID]" caption="ObrazecID" attribute="1" defaultMemberUniqueName="[fActualAndBudget].[ObrazecID].[All]" allUniqueName="[fActualAndBudget].[ObrazecID].[All]" dimensionUniqueName="[fActualAndBudget]" displayFolder="" count="0" memberValueDatatype="20" unbalanced="0"/>
    <cacheHierarchy uniqueName="[fActualAndBudget].[StavkaAOP]" caption="StavkaAOP" attribute="1" defaultMemberUniqueName="[fActualAndBudget].[StavkaAOP].[All]" allUniqueName="[fActualAndBudget].[StavkaAOP].[All]" dimensionUniqueName="[fActualAndBudget]" displayFolder="" count="0" memberValueDatatype="130" unbalanced="0"/>
    <cacheHierarchy uniqueName="[fActualAndBudget].[ObrazecIme]" caption="ObrazecIme" attribute="1" defaultMemberUniqueName="[fActualAndBudget].[ObrazecIme].[All]" allUniqueName="[fActualAndBudget].[ObrazecIme].[All]" dimensionUniqueName="[fActualAndBudget]" displayFolder="" count="2" memberValueDatatype="130" unbalanced="0">
      <fieldsUsage count="2">
        <fieldUsage x="-1"/>
        <fieldUsage x="2"/>
      </fieldsUsage>
    </cacheHierarchy>
    <cacheHierarchy uniqueName="[fActualAndBudget].[Износ]" caption="Износ" attribute="1" defaultMemberUniqueName="[fActualAndBudget].[Износ].[All]" allUniqueName="[fActualAndBudget].[Износ].[All]" dimensionUniqueName="[fActualAndBudget]" displayFolder="" count="0" memberValueDatatype="20" unbalanced="0"/>
    <cacheHierarchy uniqueName="[fActualAndBudget].[Износ (илјади)]" caption="Износ (илјади)" attribute="1" defaultMemberUniqueName="[fActualAndBudget].[Износ (илјади)].[All]" allUniqueName="[fActualAndBudget].[Износ (илјади)].[All]" dimensionUniqueName="[fActualAndBudget]" displayFolder="" count="0" memberValueDatatype="5" unbalanced="0"/>
    <cacheHierarchy uniqueName="[fActualAndBudget].[StavkaImeAOP]" caption="StavkaImeAOP" attribute="1" defaultMemberUniqueName="[fActualAndBudget].[StavkaImeAOP].[All]" allUniqueName="[fActualAndBudget].[StavkaImeAOP].[All]" dimensionUniqueName="[fActualAndBudget]" displayFolder="" count="0" memberValueDatatype="130" unbalanced="0"/>
    <cacheHierarchy uniqueName="[fActualAndBudget].[Конто Ставка]" caption="Конто Ставка" attribute="1" defaultMemberUniqueName="[fActualAndBudget].[Конто Ставка].[All]" allUniqueName="[fActualAndBudget].[Конто Ставка].[All]" dimensionUniqueName="[fActualAndBudget]" displayFolder="" count="0" memberValueDatatype="130" unbalanced="0"/>
    <cacheHierarchy uniqueName="[fArtikliCeni].[Ставка]" caption="Ставка" attribute="1" defaultMemberUniqueName="[fArtikliCeni].[Ставка].[All]" allUniqueName="[fArtikliCeni].[Ставка].[All]" dimensionUniqueName="[fArtikliCeni]" displayFolder="" count="0" memberValueDatatype="130" unbalanced="0"/>
    <cacheHierarchy uniqueName="[fArtikliCeni].[Категорија Артикл]" caption="Категорија Артикл" attribute="1" defaultMemberUniqueName="[fArtikliCeni].[Категорија Артикл].[All]" allUniqueName="[fArtikliCeni].[Категорија Артикл].[All]" dimensionUniqueName="[fArtikliCeni]" displayFolder="" count="0" memberValueDatatype="130" unbalanced="0"/>
    <cacheHierarchy uniqueName="[fArtikliCeni].[Тип на артикл]" caption="Тип на артикл" attribute="1" defaultMemberUniqueName="[fArtikliCeni].[Тип на артикл].[All]" allUniqueName="[fArtikliCeni].[Тип на артикл].[All]" dimensionUniqueName="[fArtikliCeni]" displayFolder="" count="0" memberValueDatatype="130" unbalanced="0"/>
    <cacheHierarchy uniqueName="[fArtikliCeni].[Единечна мерка]" caption="Единечна мерка" attribute="1" defaultMemberUniqueName="[fArtikliCeni].[Единечна мерка].[All]" allUniqueName="[fArtikliCeni].[Единечна мерка].[All]" dimensionUniqueName="[fArtikliCeni]" displayFolder="" count="0" memberValueDatatype="130" unbalanced="0"/>
    <cacheHierarchy uniqueName="[fArtikliCeni].[Количина]" caption="Количина" attribute="1" defaultMemberUniqueName="[fArtikliCeni].[Количина].[All]" allUniqueName="[fArtikliCeni].[Количина].[All]" dimensionUniqueName="[fArtikliCeni]" displayFolder="" count="0" memberValueDatatype="5" unbalanced="0"/>
    <cacheHierarchy uniqueName="[fArtikliCeni].[Единечна цена]" caption="Единечна цена" attribute="1" defaultMemberUniqueName="[fArtikliCeni].[Единечна цена].[All]" allUniqueName="[fArtikliCeni].[Единечна цена].[All]" dimensionUniqueName="[fArtikliCeni]" displayFolder="" count="0" memberValueDatatype="20" unbalanced="0"/>
    <cacheHierarchy uniqueName="[fArtikliCeni].[Вкупно трошок]" caption="Вкупно трошок" attribute="1" defaultMemberUniqueName="[fArtikliCeni].[Вкупно трошок].[All]" allUniqueName="[fArtikliCeni].[Вкупно трошок].[All]" dimensionUniqueName="[fArtikliCeni]" displayFolder="" count="0" memberValueDatatype="5" unbalanced="0"/>
    <cacheHierarchy uniqueName="[fArtikliCeni].[ДДВ]" caption="ДДВ" attribute="1" defaultMemberUniqueName="[fArtikliCeni].[ДДВ].[All]" allUniqueName="[fArtikliCeni].[ДДВ].[All]" dimensionUniqueName="[fArtikliCeni]" displayFolder="" count="0" memberValueDatatype="5" unbalanced="0"/>
    <cacheHierarchy uniqueName="[fArtikliCeni].[Износ]" caption="Износ" attribute="1" defaultMemberUniqueName="[fArtikliCeni].[Износ].[All]" allUniqueName="[fArtikliCeni].[Износ].[All]" dimensionUniqueName="[fArtikliCeni]" displayFolder="" count="0" memberValueDatatype="5" unbalanced="0"/>
    <cacheHierarchy uniqueName="[fArtikliCeni].[Конто]" caption="Конто" attribute="1" defaultMemberUniqueName="[fArtikliCeni].[Конто].[All]" allUniqueName="[fArtikliCeni].[Конто].[All]" dimensionUniqueName="[fArtikliCeni]" displayFolder="" count="0" memberValueDatatype="130" unbalanced="0"/>
    <cacheHierarchy uniqueName="[fArtikliCeni].[ReportType]" caption="ReportType" attribute="1" defaultMemberUniqueName="[fArtikliCeni].[ReportType].[All]" allUniqueName="[fArtikliCeni].[ReportType].[All]" dimensionUniqueName="[fArtikliCeni]" displayFolder="" count="0" memberValueDatatype="130" unbalanced="0"/>
    <cacheHierarchy uniqueName="[fArtikliCeni].[Период]" caption="Период" attribute="1" time="1" defaultMemberUniqueName="[fArtikliCeni].[Период].[All]" allUniqueName="[fArtikliCeni].[Период].[All]" dimensionUniqueName="[fArtikliCeni]" displayFolder="" count="0" memberValueDatatype="7" unbalanced="0"/>
    <cacheHierarchy uniqueName="[fArtikliCeni].[StavkaImeMK]" caption="StavkaImeMK" attribute="1" defaultMemberUniqueName="[fArtikliCeni].[StavkaImeMK].[All]" allUniqueName="[fArtikliCeni].[StavkaImeMK].[All]" dimensionUniqueName="[fArtikliCeni]" displayFolder="" count="0" memberValueDatatype="130" unbalanced="0"/>
    <cacheHierarchy uniqueName="[fArtikliCeni].[StavkaAOP]" caption="StavkaAOP" attribute="1" defaultMemberUniqueName="[fArtikliCeni].[StavkaAOP].[All]" allUniqueName="[fArtikliCeni].[StavkaAOP].[All]" dimensionUniqueName="[fArtikliCeni]" displayFolder="" count="0" memberValueDatatype="130" unbalanced="0"/>
    <cacheHierarchy uniqueName="[fArtikliCeni].[StavkaGrupa]" caption="StavkaGrupa" attribute="1" defaultMemberUniqueName="[fArtikliCeni].[StavkaGrupa].[All]" allUniqueName="[fArtikliCeni].[StavkaGrupa].[All]" dimensionUniqueName="[fArtikliCeni]" displayFolder="" count="0" memberValueDatatype="130" unbalanced="0"/>
    <cacheHierarchy uniqueName="[fArtikliCeni].[StavkaKategorija]" caption="StavkaKategorija" attribute="1" defaultMemberUniqueName="[fArtikliCeni].[StavkaKategorija].[All]" allUniqueName="[fArtikliCeni].[StavkaKategorija].[All]" dimensionUniqueName="[fArtikliCeni]" displayFolder="" count="0" memberValueDatatype="130" unbalanced="0"/>
    <cacheHierarchy uniqueName="[fArtikliCeni].[ObrazecIme]" caption="ObrazecIme" attribute="1" defaultMemberUniqueName="[fArtikliCeni].[ObrazecIme].[All]" allUniqueName="[fArtikliCeni].[ObrazecIme].[All]" dimensionUniqueName="[fArtikliCeni]" displayFolder="" count="0" memberValueDatatype="130" unbalanced="0"/>
    <cacheHierarchy uniqueName="[fCoveckiResursi].[Ставка]" caption="Ставка" attribute="1" defaultMemberUniqueName="[fCoveckiResursi].[Ставка].[All]" allUniqueName="[fCoveckiResursi].[Ставка].[All]" dimensionUniqueName="[fCoveckiResursi]" displayFolder="" count="0" memberValueDatatype="130" unbalanced="0"/>
    <cacheHierarchy uniqueName="[fCoveckiResursi].[Тип на вработување]" caption="Тип на вработување" attribute="1" defaultMemberUniqueName="[fCoveckiResursi].[Тип на вработување].[All]" allUniqueName="[fCoveckiResursi].[Тип на вработување].[All]" dimensionUniqueName="[fCoveckiResursi]" displayFolder="" count="0" memberValueDatatype="130" unbalanced="0"/>
    <cacheHierarchy uniqueName="[fCoveckiResursi].[Планиран прилив/(одлив)]" caption="Планиран прилив/(одлив)" attribute="1" defaultMemberUniqueName="[fCoveckiResursi].[Планиран прилив/(одлив)].[All]" allUniqueName="[fCoveckiResursi].[Планиран прилив/(одлив)].[All]" dimensionUniqueName="[fCoveckiResursi]" displayFolder="" count="0" memberValueDatatype="20" unbalanced="0"/>
    <cacheHierarchy uniqueName="[fCoveckiResursi].[Период]" caption="Период" attribute="1" time="1" defaultMemberUniqueName="[fCoveckiResursi].[Период].[All]" allUniqueName="[fCoveckiResursi].[Период].[All]" dimensionUniqueName="[fCoveckiResursi]" displayFolder="" count="0" memberValueDatatype="7" unbalanced="0"/>
    <cacheHierarchy uniqueName="[fCoveckiResursi].[Крајна состојба вработени]" caption="Крајна состојба вработени" attribute="1" defaultMemberUniqueName="[fCoveckiResursi].[Крајна состојба вработени].[All]" allUniqueName="[fCoveckiResursi].[Крајна состојба вработени].[All]" dimensionUniqueName="[fCoveckiResursi]" displayFolder="" count="0" memberValueDatatype="20" unbalanced="0"/>
    <cacheHierarchy uniqueName="[fCoveckiResursi].[Износ]" caption="Износ" attribute="1" defaultMemberUniqueName="[fCoveckiResursi].[Износ].[All]" allUniqueName="[fCoveckiResursi].[Износ].[All]" dimensionUniqueName="[fCoveckiResursi]" displayFolder="" count="0" memberValueDatatype="20" unbalanced="0"/>
    <cacheHierarchy uniqueName="[fCoveckiResursi].[Конто]" caption="Конто" attribute="1" defaultMemberUniqueName="[fCoveckiResursi].[Конто].[All]" allUniqueName="[fCoveckiResursi].[Конто].[All]" dimensionUniqueName="[fCoveckiResursi]" displayFolder="" count="0" memberValueDatatype="130" unbalanced="0"/>
    <cacheHierarchy uniqueName="[fCoveckiResursi].[ReportType]" caption="ReportType" attribute="1" defaultMemberUniqueName="[fCoveckiResursi].[ReportType].[All]" allUniqueName="[fCoveckiResursi].[ReportType].[All]" dimensionUniqueName="[fCoveckiResursi]" displayFolder="" count="0" memberValueDatatype="130" unbalanced="0"/>
    <cacheHierarchy uniqueName="[fCoveckiResursi].[Период (Year)]" caption="Период (Year)" attribute="1" defaultMemberUniqueName="[fCoveckiResursi].[Период (Year)].[All]" allUniqueName="[fCoveckiResursi].[Период (Year)].[All]" dimensionUniqueName="[fCoveckiResursi]" displayFolder="" count="0" memberValueDatatype="130" unbalanced="0"/>
    <cacheHierarchy uniqueName="[fCoveckiResursi].[Период (Quarter)]" caption="Период (Quarter)" attribute="1" defaultMemberUniqueName="[fCoveckiResursi].[Период (Quarter)].[All]" allUniqueName="[fCoveckiResursi].[Период (Quarter)].[All]" dimensionUniqueName="[fCoveckiResursi]" displayFolder="" count="0" memberValueDatatype="130" unbalanced="0"/>
    <cacheHierarchy uniqueName="[fCoveckiResursi].[Период (Month)]" caption="Период (Month)" attribute="1" defaultMemberUniqueName="[fCoveckiResursi].[Период (Month)].[All]" allUniqueName="[fCoveckiResursi].[Период (Month)].[All]" dimensionUniqueName="[fCoveckiResursi]" displayFolder="" count="0" memberValueDatatype="130" unbalanced="0"/>
    <cacheHierarchy uniqueName="[fCoveckiResursi].[Период (Year) 1]" caption="Период (Year) 1" attribute="1" defaultMemberUniqueName="[fCoveckiResursi].[Период (Year) 1].[All]" allUniqueName="[fCoveckiResursi].[Период (Year) 1].[All]" dimensionUniqueName="[fCoveckiResursi]" displayFolder="" count="0" memberValueDatatype="130" unbalanced="0"/>
    <cacheHierarchy uniqueName="[fCoveckiResursi].[Период (Quarter) 1]" caption="Период (Quarter) 1" attribute="1" defaultMemberUniqueName="[fCoveckiResursi].[Период (Quarter) 1].[All]" allUniqueName="[fCoveckiResursi].[Период (Quarter) 1].[All]" dimensionUniqueName="[fCoveckiResursi]" displayFolder="" count="0" memberValueDatatype="130" unbalanced="0"/>
    <cacheHierarchy uniqueName="[fCoveckiResursi].[Период (Month) 1]" caption="Период (Month) 1" attribute="1" defaultMemberUniqueName="[fCoveckiResursi].[Период (Month) 1].[All]" allUniqueName="[fCoveckiResursi].[Период (Month) 1].[All]" dimensionUniqueName="[fCoveckiResursi]" displayFolder="" count="0" memberValueDatatype="130" unbalanced="0"/>
    <cacheHierarchy uniqueName="[fCoveckiResursi  2].[Ставка]" caption="Ставка" attribute="1" defaultMemberUniqueName="[fCoveckiResursi  2].[Ставка].[All]" allUniqueName="[fCoveckiResursi  2].[Ставка].[All]" dimensionUniqueName="[fCoveckiResursi  2]" displayFolder="" count="0" memberValueDatatype="130" unbalanced="0"/>
    <cacheHierarchy uniqueName="[fCoveckiResursi  2].[Период]" caption="Период" attribute="1" time="1" defaultMemberUniqueName="[fCoveckiResursi  2].[Период].[All]" allUniqueName="[fCoveckiResursi  2].[Период].[All]" dimensionUniqueName="[fCoveckiResursi  2]" displayFolder="" count="0" memberValueDatatype="7" unbalanced="0"/>
    <cacheHierarchy uniqueName="[fCoveckiResursi  2].[Износ]" caption="Износ" attribute="1" defaultMemberUniqueName="[fCoveckiResursi  2].[Износ].[All]" allUniqueName="[fCoveckiResursi  2].[Износ].[All]" dimensionUniqueName="[fCoveckiResursi  2]" displayFolder="" count="0" memberValueDatatype="20" unbalanced="0"/>
    <cacheHierarchy uniqueName="[fCoveckiResursi  2].[Конто]" caption="Конто" attribute="1" defaultMemberUniqueName="[fCoveckiResursi  2].[Конто].[All]" allUniqueName="[fCoveckiResursi  2].[Конто].[All]" dimensionUniqueName="[fCoveckiResursi  2]" displayFolder="" count="0" memberValueDatatype="130" unbalanced="0"/>
    <cacheHierarchy uniqueName="[fCoveckiResursi  2].[ReportType]" caption="ReportType" attribute="1" defaultMemberUniqueName="[fCoveckiResursi  2].[ReportType].[All]" allUniqueName="[fCoveckiResursi  2].[ReportType].[All]" dimensionUniqueName="[fCoveckiResursi  2]" displayFolder="" count="0" memberValueDatatype="130" unbalanced="0"/>
    <cacheHierarchy uniqueName="[fCoveckiResursi  2].[StavkaImeMK]" caption="StavkaImeMK" attribute="1" defaultMemberUniqueName="[fCoveckiResursi  2].[StavkaImeMK].[All]" allUniqueName="[fCoveckiResursi  2].[StavkaImeMK].[All]" dimensionUniqueName="[fCoveckiResursi  2]" displayFolder="" count="0" memberValueDatatype="130" unbalanced="0"/>
    <cacheHierarchy uniqueName="[fCoveckiResursi  2].[StavkaKategorija]" caption="StavkaKategorija" attribute="1" defaultMemberUniqueName="[fCoveckiResursi  2].[StavkaKategorija].[All]" allUniqueName="[fCoveckiResursi  2].[StavkaKategorija].[All]" dimensionUniqueName="[fCoveckiResursi  2]" displayFolder="" count="0" memberValueDatatype="130" unbalanced="0"/>
    <cacheHierarchy uniqueName="[fCoveckiResursi  2].[ObrazecIme]" caption="ObrazecIme" attribute="1" defaultMemberUniqueName="[fCoveckiResursi  2].[ObrazecIme].[All]" allUniqueName="[fCoveckiResursi  2].[ObrazecIme].[All]" dimensionUniqueName="[fCoveckiResursi  2]" displayFolder="" count="0" memberValueDatatype="130" unbalanced="0"/>
    <cacheHierarchy uniqueName="[fOPEX].[Конто]" caption="Конто" attribute="1" defaultMemberUniqueName="[fOPEX].[Конто].[All]" allUniqueName="[fOPEX].[Конто].[All]" dimensionUniqueName="[fOPEX]" displayFolder="" count="0" memberValueDatatype="130" unbalanced="0"/>
    <cacheHierarchy uniqueName="[fOPEX].[Ставка]" caption="Ставка" attribute="1" defaultMemberUniqueName="[fOPEX].[Ставка].[All]" allUniqueName="[fOPEX].[Ставка].[All]" dimensionUniqueName="[fOPEX]" displayFolder="" count="0" memberValueDatatype="130" unbalanced="0"/>
    <cacheHierarchy uniqueName="[fOPEX].[Период]" caption="Период" attribute="1" time="1" defaultMemberUniqueName="[fOPEX].[Период].[All]" allUniqueName="[fOPEX].[Период].[All]" dimensionUniqueName="[fOPEX]" displayFolder="" count="0" memberValueDatatype="7" unbalanced="0"/>
    <cacheHierarchy uniqueName="[fOPEX].[Износ]" caption="Износ" attribute="1" defaultMemberUniqueName="[fOPEX].[Износ].[All]" allUniqueName="[fOPEX].[Износ].[All]" dimensionUniqueName="[fOPEX]" displayFolder="" count="0" memberValueDatatype="20" unbalanced="0"/>
    <cacheHierarchy uniqueName="[fOPEX].[ReportType]" caption="ReportType" attribute="1" defaultMemberUniqueName="[fOPEX].[ReportType].[All]" allUniqueName="[fOPEX].[ReportType].[All]" dimensionUniqueName="[fOPEX]" displayFolder="" count="0" memberValueDatatype="130" unbalanced="0"/>
    <cacheHierarchy uniqueName="[OPEXAnaliza].[Артикл ИД]" caption="Артикл ИД" attribute="1" defaultMemberUniqueName="[OPEXAnaliza].[Артикл ИД].[All]" allUniqueName="[OPEXAnaliza].[Артикл ИД].[All]" dimensionUniqueName="[OPEXAnaliza]" displayFolder="" count="0" memberValueDatatype="20" unbalanced="0"/>
    <cacheHierarchy uniqueName="[OPEXAnaliza].[Ставка]" caption="Ставка" attribute="1" defaultMemberUniqueName="[OPEXAnaliza].[Ставка].[All]" allUniqueName="[OPEXAnaliza].[Ставка].[All]" dimensionUniqueName="[OPEXAnaliza]" displayFolder="" count="0" memberValueDatatype="130" unbalanced="0"/>
    <cacheHierarchy uniqueName="[OPEXAnaliza].[Категорија Артикл ИД]" caption="Категорија Артикл ИД" attribute="1" defaultMemberUniqueName="[OPEXAnaliza].[Категорија Артикл ИД].[All]" allUniqueName="[OPEXAnaliza].[Категорија Артикл ИД].[All]" dimensionUniqueName="[OPEXAnaliza]" displayFolder="" count="0" memberValueDatatype="20" unbalanced="0"/>
    <cacheHierarchy uniqueName="[OPEXAnaliza].[Категорија Артикл]" caption="Категорија Артикл" attribute="1" defaultMemberUniqueName="[OPEXAnaliza].[Категорија Артикл].[All]" allUniqueName="[OPEXAnaliza].[Категорија Артикл].[All]" dimensionUniqueName="[OPEXAnaliza]" displayFolder="" count="0" memberValueDatatype="130" unbalanced="0"/>
    <cacheHierarchy uniqueName="[OPEXAnaliza].[Тип на артикл]" caption="Тип на артикл" attribute="1" defaultMemberUniqueName="[OPEXAnaliza].[Тип на артикл].[All]" allUniqueName="[OPEXAnaliza].[Тип на артикл].[All]" dimensionUniqueName="[OPEXAnaliza]" displayFolder="" count="0" memberValueDatatype="130" unbalanced="0"/>
    <cacheHierarchy uniqueName="[OPEXAnaliza].[Единечна мерка]" caption="Единечна мерка" attribute="1" defaultMemberUniqueName="[OPEXAnaliza].[Единечна мерка].[All]" allUniqueName="[OPEXAnaliza].[Единечна мерка].[All]" dimensionUniqueName="[OPEXAnaliza]" displayFolder="" count="0" memberValueDatatype="130" unbalanced="0"/>
    <cacheHierarchy uniqueName="[OPEXAnaliza].[Количина]" caption="Количина" attribute="1" defaultMemberUniqueName="[OPEXAnaliza].[Количина].[All]" allUniqueName="[OPEXAnaliza].[Количина].[All]" dimensionUniqueName="[OPEXAnaliza]" displayFolder="" count="0" memberValueDatatype="5" unbalanced="0"/>
    <cacheHierarchy uniqueName="[OPEXAnaliza].[Единечна цена]" caption="Единечна цена" attribute="1" defaultMemberUniqueName="[OPEXAnaliza].[Единечна цена].[All]" allUniqueName="[OPEXAnaliza].[Единечна цена].[All]" dimensionUniqueName="[OPEXAnaliza]" displayFolder="" count="0" memberValueDatatype="20" unbalanced="0"/>
    <cacheHierarchy uniqueName="[OPEXAnaliza].[Износ]" caption="Износ" attribute="1" defaultMemberUniqueName="[OPEXAnaliza].[Износ].[All]" allUniqueName="[OPEXAnaliza].[Износ].[All]" dimensionUniqueName="[OPEXAnaliza]" displayFolder="" count="0" memberValueDatatype="5" unbalanced="0"/>
    <cacheHierarchy uniqueName="[OPEXAnaliza].[ДДВ]" caption="ДДВ" attribute="1" defaultMemberUniqueName="[OPEXAnaliza].[ДДВ].[All]" allUniqueName="[OPEXAnaliza].[ДДВ].[All]" dimensionUniqueName="[OPEXAnaliza]" displayFolder="" count="0" memberValueDatatype="5" unbalanced="0"/>
    <cacheHierarchy uniqueName="[OPEXAnaliza].[Вкупно трошок со ДДВ]" caption="Вкупно трошок со ДДВ" attribute="1" defaultMemberUniqueName="[OPEXAnaliza].[Вкупно трошок со ДДВ].[All]" allUniqueName="[OPEXAnaliza].[Вкупно трошок со ДДВ].[All]" dimensionUniqueName="[OPEXAnaliza]" displayFolder="" count="0" memberValueDatatype="5" unbalanced="0"/>
    <cacheHierarchy uniqueName="[OPEXAnaliza].[Конто]" caption="Конто" attribute="1" defaultMemberUniqueName="[OPEXAnaliza].[Конто].[All]" allUniqueName="[OPEXAnaliza].[Конто].[All]" dimensionUniqueName="[OPEXAnaliza]" displayFolder="" count="0" memberValueDatatype="130" unbalanced="0"/>
    <cacheHierarchy uniqueName="[OPEXAnaliza].[Период]" caption="Период" attribute="1" time="1" defaultMemberUniqueName="[OPEXAnaliza].[Период].[All]" allUniqueName="[OPEXAnaliza].[Период].[All]" dimensionUniqueName="[OPEXAnaliza]" displayFolder="" count="0" memberValueDatatype="7" unbalanced="0"/>
    <cacheHierarchy uniqueName="[OPEXAnaliza].[ReportType]" caption="ReportType" attribute="1" defaultMemberUniqueName="[OPEXAnaliza].[ReportType].[All]" allUniqueName="[OPEXAnaliza].[ReportType].[All]" dimensionUniqueName="[OPEXAnaliza]" displayFolder="" count="0" memberValueDatatype="130" unbalanced="0"/>
    <cacheHierarchy uniqueName="[OPEXAnaliza].[StavkaImeMK]" caption="StavkaImeMK" attribute="1" defaultMemberUniqueName="[OPEXAnaliza].[StavkaImeMK].[All]" allUniqueName="[OPEXAnaliza].[StavkaImeMK].[All]" dimensionUniqueName="[OPEXAnaliza]" displayFolder="" count="0" memberValueDatatype="130" unbalanced="0"/>
    <cacheHierarchy uniqueName="[OPEXAnaliza].[StavkaKategorija]" caption="StavkaKategorija" attribute="1" defaultMemberUniqueName="[OPEXAnaliza].[StavkaKategorija].[All]" allUniqueName="[OPEXAnaliza].[StavkaKategorija].[All]" dimensionUniqueName="[OPEXAnaliza]" displayFolder="" count="0" memberValueDatatype="130" unbalanced="0"/>
    <cacheHierarchy uniqueName="[OPEXAnaliza].[ObrazecIme]" caption="ObrazecIme" attribute="1" defaultMemberUniqueName="[OPEXAnaliza].[ObrazecIme].[All]" allUniqueName="[OPEXAnaliza].[ObrazecIme].[All]" dimensionUniqueName="[OPEXAnaliza]" displayFolder="" count="0" memberValueDatatype="130" unbalanced="0"/>
    <cacheHierarchy uniqueName="[OPEXAnaliza].[StavkaImeAOP]" caption="StavkaImeAOP" attribute="1" defaultMemberUniqueName="[OPEXAnaliza].[StavkaImeAOP].[All]" allUniqueName="[OPEXAnaliza].[StavkaImeAOP].[All]" dimensionUniqueName="[OPEXAnaliza]" displayFolder="" count="0" memberValueDatatype="20" unbalanced="0"/>
    <cacheHierarchy uniqueName="[OPEXAnaliza].[Период (Year)]" caption="Период (Year)" attribute="1" defaultMemberUniqueName="[OPEXAnaliza].[Период (Year)].[All]" allUniqueName="[OPEXAnaliza].[Период (Year)].[All]" dimensionUniqueName="[OPEXAnaliza]" displayFolder="" count="0" memberValueDatatype="130" unbalanced="0"/>
    <cacheHierarchy uniqueName="[OPEXAnaliza].[Период (Quarter)]" caption="Период (Quarter)" attribute="1" defaultMemberUniqueName="[OPEXAnaliza].[Период (Quarter)].[All]" allUniqueName="[OPEXAnaliza].[Период (Quarter)].[All]" dimensionUniqueName="[OPEXAnaliza]" displayFolder="" count="0" memberValueDatatype="130" unbalanced="0"/>
    <cacheHierarchy uniqueName="[OPEXAnaliza].[Период (Month)]" caption="Период (Month)" attribute="1" defaultMemberUniqueName="[OPEXAnaliza].[Период (Month)].[All]" allUniqueName="[OPEXAnaliza].[Период (Month)].[All]" dimensionUniqueName="[OPEXAnaliza]" displayFolder="" count="0" memberValueDatatype="130" unbalanced="0"/>
    <cacheHierarchy uniqueName="[rArtikli_HR_Analiza].[Ставка]" caption="Ставка" attribute="1" defaultMemberUniqueName="[rArtikli_HR_Analiza].[Ставка].[All]" allUniqueName="[rArtikli_HR_Analiza].[Ставка].[All]" dimensionUniqueName="[rArtikli_HR_Analiza]" displayFolder="" count="0" memberValueDatatype="130" unbalanced="0"/>
    <cacheHierarchy uniqueName="[rArtikli_HR_Analiza].[Категорија Артикл]" caption="Категорија Артикл" attribute="1" defaultMemberUniqueName="[rArtikli_HR_Analiza].[Категорија Артикл].[All]" allUniqueName="[rArtikli_HR_Analiza].[Категорија Артикл].[All]" dimensionUniqueName="[rArtikli_HR_Analiza]" displayFolder="" count="0" memberValueDatatype="130" unbalanced="0"/>
    <cacheHierarchy uniqueName="[rArtikli_HR_Analiza].[Тип на артикл]" caption="Тип на артикл" attribute="1" defaultMemberUniqueName="[rArtikli_HR_Analiza].[Тип на артикл].[All]" allUniqueName="[rArtikli_HR_Analiza].[Тип на артикл].[All]" dimensionUniqueName="[rArtikli_HR_Analiza]" displayFolder="" count="0" memberValueDatatype="130" unbalanced="0"/>
    <cacheHierarchy uniqueName="[rArtikli_HR_Analiza].[Единечна мерка]" caption="Единечна мерка" attribute="1" defaultMemberUniqueName="[rArtikli_HR_Analiza].[Единечна мерка].[All]" allUniqueName="[rArtikli_HR_Analiza].[Единечна мерка].[All]" dimensionUniqueName="[rArtikli_HR_Analiza]" displayFolder="" count="0" memberValueDatatype="130" unbalanced="0"/>
    <cacheHierarchy uniqueName="[rArtikli_HR_Analiza].[Количина]" caption="Количина" attribute="1" defaultMemberUniqueName="[rArtikli_HR_Analiza].[Количина].[All]" allUniqueName="[rArtikli_HR_Analiza].[Количина].[All]" dimensionUniqueName="[rArtikli_HR_Analiza]" displayFolder="" count="0" memberValueDatatype="5" unbalanced="0"/>
    <cacheHierarchy uniqueName="[rArtikli_HR_Analiza].[Единечна цена]" caption="Единечна цена" attribute="1" defaultMemberUniqueName="[rArtikli_HR_Analiza].[Единечна цена].[All]" allUniqueName="[rArtikli_HR_Analiza].[Единечна цена].[All]" dimensionUniqueName="[rArtikli_HR_Analiza]" displayFolder="" count="0" memberValueDatatype="20" unbalanced="0"/>
    <cacheHierarchy uniqueName="[rArtikli_HR_Analiza].[Вкупно трошок]" caption="Вкупно трошок" attribute="1" defaultMemberUniqueName="[rArtikli_HR_Analiza].[Вкупно трошок].[All]" allUniqueName="[rArtikli_HR_Analiza].[Вкупно трошок].[All]" dimensionUniqueName="[rArtikli_HR_Analiza]" displayFolder="" count="0" memberValueDatatype="5" unbalanced="0"/>
    <cacheHierarchy uniqueName="[rArtikli_HR_Analiza].[ДДВ]" caption="ДДВ" attribute="1" defaultMemberUniqueName="[rArtikli_HR_Analiza].[ДДВ].[All]" allUniqueName="[rArtikli_HR_Analiza].[ДДВ].[All]" dimensionUniqueName="[rArtikli_HR_Analiza]" displayFolder="" count="0" memberValueDatatype="5" unbalanced="0"/>
    <cacheHierarchy uniqueName="[rArtikli_HR_Analiza].[Износ]" caption="Износ" attribute="1" defaultMemberUniqueName="[rArtikli_HR_Analiza].[Износ].[All]" allUniqueName="[rArtikli_HR_Analiza].[Износ].[All]" dimensionUniqueName="[rArtikli_HR_Analiza]" displayFolder="" count="0" memberValueDatatype="5" unbalanced="0"/>
    <cacheHierarchy uniqueName="[rArtikli_HR_Analiza].[Конто]" caption="Конто" attribute="1" defaultMemberUniqueName="[rArtikli_HR_Analiza].[Конто].[All]" allUniqueName="[rArtikli_HR_Analiza].[Конто].[All]" dimensionUniqueName="[rArtikli_HR_Analiza]" displayFolder="" count="0" memberValueDatatype="130" unbalanced="0"/>
    <cacheHierarchy uniqueName="[rArtikli_HR_Analiza].[ReportType]" caption="ReportType" attribute="1" defaultMemberUniqueName="[rArtikli_HR_Analiza].[ReportType].[All]" allUniqueName="[rArtikli_HR_Analiza].[ReportType].[All]" dimensionUniqueName="[rArtikli_HR_Analiza]" displayFolder="" count="0" memberValueDatatype="130" unbalanced="0"/>
    <cacheHierarchy uniqueName="[rArtikli_HR_Analiza].[Период]" caption="Период" attribute="1" time="1" defaultMemberUniqueName="[rArtikli_HR_Analiza].[Период].[All]" allUniqueName="[rArtikli_HR_Analiza].[Период].[All]" dimensionUniqueName="[rArtikli_HR_Analiza]" displayFolder="" count="0" memberValueDatatype="7" unbalanced="0"/>
    <cacheHierarchy uniqueName="[rArtikli_HR_Analiza].[StavkaImeMK]" caption="StavkaImeMK" attribute="1" defaultMemberUniqueName="[rArtikli_HR_Analiza].[StavkaImeMK].[All]" allUniqueName="[rArtikli_HR_Analiza].[StavkaImeMK].[All]" dimensionUniqueName="[rArtikli_HR_Analiza]" displayFolder="" count="0" memberValueDatatype="130" unbalanced="0"/>
    <cacheHierarchy uniqueName="[rArtikli_HR_Analiza].[StavkaAOP]" caption="StavkaAOP" attribute="1" defaultMemberUniqueName="[rArtikli_HR_Analiza].[StavkaAOP].[All]" allUniqueName="[rArtikli_HR_Analiza].[StavkaAOP].[All]" dimensionUniqueName="[rArtikli_HR_Analiza]" displayFolder="" count="0" memberValueDatatype="130" unbalanced="0"/>
    <cacheHierarchy uniqueName="[rArtikli_HR_Analiza].[StavkaGrupa]" caption="StavkaGrupa" attribute="1" defaultMemberUniqueName="[rArtikli_HR_Analiza].[StavkaGrupa].[All]" allUniqueName="[rArtikli_HR_Analiza].[StavkaGrupa].[All]" dimensionUniqueName="[rArtikli_HR_Analiza]" displayFolder="" count="0" memberValueDatatype="130" unbalanced="0"/>
    <cacheHierarchy uniqueName="[rArtikli_HR_Analiza].[StavkaKategorija]" caption="StavkaKategorija" attribute="1" defaultMemberUniqueName="[rArtikli_HR_Analiza].[StavkaKategorija].[All]" allUniqueName="[rArtikli_HR_Analiza].[StavkaKategorija].[All]" dimensionUniqueName="[rArtikli_HR_Analiza]" displayFolder="" count="0" memberValueDatatype="130" unbalanced="0"/>
    <cacheHierarchy uniqueName="[rArtikli_HR_Analiza].[ObrazecIme]" caption="ObrazecIme" attribute="1" defaultMemberUniqueName="[rArtikli_HR_Analiza].[ObrazecIme].[All]" allUniqueName="[rArtikli_HR_Analiza].[ObrazecIme].[All]" dimensionUniqueName="[rArtikli_HR_Analiza]" displayFolder="" count="0" memberValueDatatype="130" unbalanced="0"/>
    <cacheHierarchy uniqueName="[rArtikli_HR_Analiza].[StavkaKategorija.1]" caption="StavkaKategorija.1" attribute="1" defaultMemberUniqueName="[rArtikli_HR_Analiza].[StavkaKategorija.1].[All]" allUniqueName="[rArtikli_HR_Analiza].[StavkaKategorija.1].[All]" dimensionUniqueName="[rArtikli_HR_Analiza]" displayFolder="" count="0" memberValueDatatype="130" unbalanced="0"/>
    <cacheHierarchy uniqueName="[rArtikliAnaliza].[Артикл ИД]" caption="Артикл ИД" attribute="1" defaultMemberUniqueName="[rArtikliAnaliza].[Артикл ИД].[All]" allUniqueName="[rArtikliAnaliza].[Артикл ИД].[All]" dimensionUniqueName="[rArtikliAnaliza]" displayFolder="" count="0" memberValueDatatype="20" unbalanced="0"/>
    <cacheHierarchy uniqueName="[rArtikliAnaliza].[Ставка]" caption="Ставка" attribute="1" defaultMemberUniqueName="[rArtikliAnaliza].[Ставка].[All]" allUniqueName="[rArtikliAnaliza].[Ставка].[All]" dimensionUniqueName="[rArtikliAnaliza]" displayFolder="" count="0" memberValueDatatype="130" unbalanced="0"/>
    <cacheHierarchy uniqueName="[rArtikliAnaliza].[Категорија Артикл ИД]" caption="Категорија Артикл ИД" attribute="1" defaultMemberUniqueName="[rArtikliAnaliza].[Категорија Артикл ИД].[All]" allUniqueName="[rArtikliAnaliza].[Категорија Артикл ИД].[All]" dimensionUniqueName="[rArtikliAnaliza]" displayFolder="" count="0" memberValueDatatype="20" unbalanced="0"/>
    <cacheHierarchy uniqueName="[rArtikliAnaliza].[Категорија Артикл]" caption="Категорија Артикл" attribute="1" defaultMemberUniqueName="[rArtikliAnaliza].[Категорија Артикл].[All]" allUniqueName="[rArtikliAnaliza].[Категорија Артикл].[All]" dimensionUniqueName="[rArtikliAnaliza]" displayFolder="" count="0" memberValueDatatype="130" unbalanced="0"/>
    <cacheHierarchy uniqueName="[rArtikliAnaliza].[Тип на артикл]" caption="Тип на артикл" attribute="1" defaultMemberUniqueName="[rArtikliAnaliza].[Тип на артикл].[All]" allUniqueName="[rArtikliAnaliza].[Тип на артикл].[All]" dimensionUniqueName="[rArtikliAnaliza]" displayFolder="" count="0" memberValueDatatype="130" unbalanced="0"/>
    <cacheHierarchy uniqueName="[rArtikliAnaliza].[Единечна мерка]" caption="Единечна мерка" attribute="1" defaultMemberUniqueName="[rArtikliAnaliza].[Единечна мерка].[All]" allUniqueName="[rArtikliAnaliza].[Единечна мерка].[All]" dimensionUniqueName="[rArtikliAnaliza]" displayFolder="" count="0" memberValueDatatype="130" unbalanced="0"/>
    <cacheHierarchy uniqueName="[rArtikliAnaliza].[Количина]" caption="Количина" attribute="1" defaultMemberUniqueName="[rArtikliAnaliza].[Количина].[All]" allUniqueName="[rArtikliAnaliza].[Количина].[All]" dimensionUniqueName="[rArtikliAnaliza]" displayFolder="" count="0" memberValueDatatype="5" unbalanced="0"/>
    <cacheHierarchy uniqueName="[rArtikliAnaliza].[Единечна цена]" caption="Единечна цена" attribute="1" defaultMemberUniqueName="[rArtikliAnaliza].[Единечна цена].[All]" allUniqueName="[rArtikliAnaliza].[Единечна цена].[All]" dimensionUniqueName="[rArtikliAnaliza]" displayFolder="" count="0" memberValueDatatype="20" unbalanced="0"/>
    <cacheHierarchy uniqueName="[rArtikliAnaliza].[Износ]" caption="Износ" attribute="1" defaultMemberUniqueName="[rArtikliAnaliza].[Износ].[All]" allUniqueName="[rArtikliAnaliza].[Износ].[All]" dimensionUniqueName="[rArtikliAnaliza]" displayFolder="" count="0" memberValueDatatype="5" unbalanced="0"/>
    <cacheHierarchy uniqueName="[rArtikliAnaliza].[ДДВ]" caption="ДДВ" attribute="1" defaultMemberUniqueName="[rArtikliAnaliza].[ДДВ].[All]" allUniqueName="[rArtikliAnaliza].[ДДВ].[All]" dimensionUniqueName="[rArtikliAnaliza]" displayFolder="" count="0" memberValueDatatype="5" unbalanced="0"/>
    <cacheHierarchy uniqueName="[rArtikliAnaliza].[Вкупно трошок со ДДВ]" caption="Вкупно трошок со ДДВ" attribute="1" defaultMemberUniqueName="[rArtikliAnaliza].[Вкупно трошок со ДДВ].[All]" allUniqueName="[rArtikliAnaliza].[Вкупно трошок со ДДВ].[All]" dimensionUniqueName="[rArtikliAnaliza]" displayFolder="" count="0" memberValueDatatype="5" unbalanced="0"/>
    <cacheHierarchy uniqueName="[rArtikliAnaliza].[Конто]" caption="Конто" attribute="1" defaultMemberUniqueName="[rArtikliAnaliza].[Конто].[All]" allUniqueName="[rArtikliAnaliza].[Конто].[All]" dimensionUniqueName="[rArtikliAnaliza]" displayFolder="" count="0" memberValueDatatype="130" unbalanced="0"/>
    <cacheHierarchy uniqueName="[rArtikliAnaliza].[Период]" caption="Период" attribute="1" time="1" defaultMemberUniqueName="[rArtikliAnaliza].[Период].[All]" allUniqueName="[rArtikliAnaliza].[Период].[All]" dimensionUniqueName="[rArtikliAnaliza]" displayFolder="" count="0" memberValueDatatype="7" unbalanced="0"/>
    <cacheHierarchy uniqueName="[rArtikliAnaliza].[ReportType]" caption="ReportType" attribute="1" defaultMemberUniqueName="[rArtikliAnaliza].[ReportType].[All]" allUniqueName="[rArtikliAnaliza].[ReportType].[All]" dimensionUniqueName="[rArtikliAnaliza]" displayFolder="" count="0" memberValueDatatype="130" unbalanced="0"/>
    <cacheHierarchy uniqueName="[rArtikliAnaliza].[StavkaImeMK]" caption="StavkaImeMK" attribute="1" defaultMemberUniqueName="[rArtikliAnaliza].[StavkaImeMK].[All]" allUniqueName="[rArtikliAnaliza].[StavkaImeMK].[All]" dimensionUniqueName="[rArtikliAnaliza]" displayFolder="" count="0" memberValueDatatype="130" unbalanced="0"/>
    <cacheHierarchy uniqueName="[rArtikliAnaliza].[StavkaKategorija]" caption="StavkaKategorija" attribute="1" defaultMemberUniqueName="[rArtikliAnaliza].[StavkaKategorija].[All]" allUniqueName="[rArtikliAnaliza].[StavkaKategorija].[All]" dimensionUniqueName="[rArtikliAnaliza]" displayFolder="" count="0" memberValueDatatype="130" unbalanced="0"/>
    <cacheHierarchy uniqueName="[rArtikliAnaliza].[Период (Year)]" caption="Период (Year)" attribute="1" defaultMemberUniqueName="[rArtikliAnaliza].[Период (Year)].[All]" allUniqueName="[rArtikliAnaliza].[Период (Year)].[All]" dimensionUniqueName="[rArtikliAnaliza]" displayFolder="" count="0" memberValueDatatype="130" unbalanced="0"/>
    <cacheHierarchy uniqueName="[rArtikliAnaliza].[Период (Quarter)]" caption="Период (Quarter)" attribute="1" defaultMemberUniqueName="[rArtikliAnaliza].[Период (Quarter)].[All]" allUniqueName="[rArtikliAnaliza].[Период (Quarter)].[All]" dimensionUniqueName="[rArtikliAnaliza]" displayFolder="" count="0" memberValueDatatype="130" unbalanced="0"/>
    <cacheHierarchy uniqueName="[rArtikliAnaliza].[Период (Month)]" caption="Период (Month)" attribute="1" defaultMemberUniqueName="[rArtikliAnaliza].[Период (Month)].[All]" allUniqueName="[rArtikliAnaliza].[Период (Month)].[All]" dimensionUniqueName="[rArtikliAnaliza]" displayFolder="" count="0" memberValueDatatype="130" unbalanced="0"/>
    <cacheHierarchy uniqueName="[CAPEX].[Очекуван датум за ставање во употреба (месец) (Month Index)]" caption="Очекуван датум за ставање во употреба (месец) (Month Index)" attribute="1" defaultMemberUniqueName="[CAPEX].[Очекуван датум за ставање во употреба (месец) (Month Index)].[All]" allUniqueName="[CAPEX].[Очекуван датум за ставање во употреба (месец) (Month Index)].[All]" dimensionUniqueName="[CAPEX]" displayFolder="" count="0" memberValueDatatype="20" unbalanced="0" hidden="1"/>
    <cacheHierarchy uniqueName="[CAPEX].[Очекуван датум на плаќање (Month Index)]" caption="Очекуван датум на плаќање (Month Index)" attribute="1" defaultMemberUniqueName="[CAPEX].[Очекуван датум на плаќање (Month Index)].[All]" allUniqueName="[CAPEX].[Очекуван датум на плаќање (Month Index)].[All]" dimensionUniqueName="[CAPEX]" displayFolder="" count="0" memberValueDatatype="20" unbalanced="0" hidden="1"/>
    <cacheHierarchy uniqueName="[fActualAndBudget].[StavkaID]" caption="StavkaID" attribute="1" defaultMemberUniqueName="[fActualAndBudget].[StavkaID].[All]" allUniqueName="[fActualAndBudget].[StavkaID].[All]" dimensionUniqueName="[fActualAndBudget]" displayFolder="" count="0" memberValueDatatype="20" unbalanced="0" hidden="1"/>
    <cacheHierarchy uniqueName="[fCoveckiResursi].[Период (Month Index)]" caption="Период (Month Index)" attribute="1" defaultMemberUniqueName="[fCoveckiResursi].[Период (Month Index)].[All]" allUniqueName="[fCoveckiResursi].[Период (Month Index)].[All]" dimensionUniqueName="[fCoveckiResursi]" displayFolder="" count="0" memberValueDatatype="20" unbalanced="0" hidden="1"/>
    <cacheHierarchy uniqueName="[fCoveckiResursi].[Период (Month Index) 1]" caption="Период (Month Index) 1" attribute="1" defaultMemberUniqueName="[fCoveckiResursi].[Период (Month Index) 1].[All]" allUniqueName="[fCoveckiResursi].[Период (Month Index) 1].[All]" dimensionUniqueName="[fCoveckiResursi]" displayFolder="" count="0" memberValueDatatype="20" unbalanced="0" hidden="1"/>
    <cacheHierarchy uniqueName="[OPEXAnaliza].[Период (Month Index)]" caption="Период (Month Index)" attribute="1" defaultMemberUniqueName="[OPEXAnaliza].[Период (Month Index)].[All]" allUniqueName="[OPEXAnaliza].[Период (Month Index)].[All]" dimensionUniqueName="[OPEXAnaliza]" displayFolder="" count="0" memberValueDatatype="20" unbalanced="0" hidden="1"/>
    <cacheHierarchy uniqueName="[rArtikli_HR_Analiza].[Крајна состојба вработени]" caption="Крајна состојба вработени" attribute="1" defaultMemberUniqueName="[rArtikli_HR_Analiza].[Крајна состојба вработени].[All]" allUniqueName="[rArtikli_HR_Analiza].[Крајна состојба вработени].[All]" dimensionUniqueName="[rArtikli_HR_Analiza]" displayFolder="" count="0" memberValueDatatype="20" unbalanced="0" hidden="1"/>
    <cacheHierarchy uniqueName="[rArtikli_HR_Analiza].[Планиран прилив/(одлив)]" caption="Планиран прилив/(одлив)" attribute="1" defaultMemberUniqueName="[rArtikli_HR_Analiza].[Планиран прилив/(одлив)].[All]" allUniqueName="[rArtikli_HR_Analiza].[Планиран прилив/(одлив)].[All]" dimensionUniqueName="[rArtikli_HR_Analiza]" displayFolder="" count="0" memberValueDatatype="20" unbalanced="0" hidden="1"/>
    <cacheHierarchy uniqueName="[rArtikli_HR_Analiza].[Тип на вработување]" caption="Тип на вработување" attribute="1" defaultMemberUniqueName="[rArtikli_HR_Analiza].[Тип на вработување].[All]" allUniqueName="[rArtikli_HR_Analiza].[Тип на вработување].[All]" dimensionUniqueName="[rArtikli_HR_Analiza]" displayFolder="" count="0" memberValueDatatype="130" unbalanced="0" hidden="1"/>
    <cacheHierarchy uniqueName="[rArtikliAnaliza].[Период (Month Index)]" caption="Период (Month Index)" attribute="1" defaultMemberUniqueName="[rArtikliAnaliza].[Период (Month Index)].[All]" allUniqueName="[rArtikliAnaliza].[Период (Month Index)].[All]" dimensionUniqueName="[rArtikliAnaliza]" displayFolder="" count="0" memberValueDatatype="20" unbalanced="0" hidden="1"/>
    <cacheHierarchy uniqueName="[Measures].[__XL_Count Calendar]" caption="__XL_Count Calendar" measure="1" displayFolder="" measureGroup="Calendar" count="0" hidden="1"/>
    <cacheHierarchy uniqueName="[Measures].[__XL_Count CAPEX]" caption="__XL_Count CAPEX" measure="1" displayFolder="" measureGroup="CAPEX" count="0" hidden="1"/>
    <cacheHierarchy uniqueName="[Measures].[__XL_Count Amortizacija]" caption="__XL_Count Amortizacija" measure="1" displayFolder="" measureGroup="Amortizacija" count="0" hidden="1"/>
    <cacheHierarchy uniqueName="[Measures].[__XL_Count fCoveckiResursi]" caption="__XL_Count fCoveckiResursi" measure="1" displayFolder="" measureGroup="fCoveckiResursi" count="0" hidden="1"/>
    <cacheHierarchy uniqueName="[Measures].[__XL_Count fActualAndBudget]" caption="__XL_Count fActualAndBudget" measure="1" displayFolder="" measureGroup="fActualAndBudget" count="0" hidden="1"/>
    <cacheHierarchy uniqueName="[Measures].[__XL_Count fOPEX]" caption="__XL_Count fOPEX" measure="1" displayFolder="" measureGroup="fOPEX" count="0" hidden="1"/>
    <cacheHierarchy uniqueName="[Measures].[__XL_Count OPEXAnaliza]" caption="__XL_Count OPEXAnaliza" measure="1" displayFolder="" measureGroup="OPEXAnaliza" count="0" hidden="1"/>
    <cacheHierarchy uniqueName="[Measures].[__XL_Count rArtikliAnaliza]" caption="__XL_Count rArtikliAnaliza" measure="1" displayFolder="" measureGroup="rArtikliAnaliza" count="0" hidden="1"/>
    <cacheHierarchy uniqueName="[Measures].[__XL_Count fArtikliCeni]" caption="__XL_Count fArtikliCeni" measure="1" displayFolder="" measureGroup="fArtikliCeni" count="0" hidden="1"/>
    <cacheHierarchy uniqueName="[Measures].[__XL_Count rArtikli_HR_Analiza]" caption="__XL_Count rArtikli_HR_Analiza" measure="1" displayFolder="" measureGroup="rArtikli_HR_Analiza" count="0" hidden="1"/>
    <cacheHierarchy uniqueName="[Measures].[__XL_Count fCoveckiResursi  2]" caption="__XL_Count fCoveckiResursi  2" measure="1" displayFolder="" measureGroup="fCoveckiResursi  2" count="0" hidden="1"/>
    <cacheHierarchy uniqueName="[Measures].[__No measures defined]" caption="__No measures defined" measure="1" displayFolder="" count="0" hidden="1"/>
    <cacheHierarchy uniqueName="[Measures].[Sum of Износ 3]" caption="Sum of Износ 3" measure="1" displayFolder="" measureGroup="fCoveckiResursi" count="0" hidden="1">
      <extLst>
        <ext xmlns:x15="http://schemas.microsoft.com/office/spreadsheetml/2010/11/main" uri="{B97F6D7D-B522-45F9-BDA1-12C45D357490}">
          <x15:cacheHierarchy aggregatedColumn="71"/>
        </ext>
      </extLst>
    </cacheHierarchy>
    <cacheHierarchy uniqueName="[Measures].[Sum of Крајна состојба вработени]" caption="Sum of Крајна состојба вработени" measure="1" displayFolder="" measureGroup="fCoveckiResursi" count="0" hidden="1">
      <extLst>
        <ext xmlns:x15="http://schemas.microsoft.com/office/spreadsheetml/2010/11/main" uri="{B97F6D7D-B522-45F9-BDA1-12C45D357490}">
          <x15:cacheHierarchy aggregatedColumn="70"/>
        </ext>
      </extLst>
    </cacheHierarchy>
    <cacheHierarchy uniqueName="[Measures].[Sum of Планиран прилив/(одлив)]" caption="Sum of Планиран прилив/(одлив)" measure="1" displayFolder="" measureGroup="fCoveckiResursi" count="0" hidden="1">
      <extLst>
        <ext xmlns:x15="http://schemas.microsoft.com/office/spreadsheetml/2010/11/main" uri="{B97F6D7D-B522-45F9-BDA1-12C45D357490}">
          <x15:cacheHierarchy aggregatedColumn="68"/>
        </ext>
      </extLst>
    </cacheHierarchy>
    <cacheHierarchy uniqueName="[Measures].[Sum of Износ]" caption="Sum of Износ" measure="1" displayFolder="" measureGroup="fActualAndBudget" count="0" hidden="1">
      <extLst>
        <ext xmlns:x15="http://schemas.microsoft.com/office/spreadsheetml/2010/11/main" uri="{B97F6D7D-B522-45F9-BDA1-12C45D357490}">
          <x15:cacheHierarchy aggregatedColumn="45"/>
        </ext>
      </extLst>
    </cacheHierarchy>
    <cacheHierarchy uniqueName="[Measures].[Sum of Износ (илјади)]" caption="Sum of Износ (илјади)" measure="1" displayFolder="" measureGroup="fActualAndBudget" count="0" hidden="1">
      <extLst>
        <ext xmlns:x15="http://schemas.microsoft.com/office/spreadsheetml/2010/11/main" uri="{B97F6D7D-B522-45F9-BDA1-12C45D357490}">
          <x15:cacheHierarchy aggregatedColumn="46"/>
        </ext>
      </extLst>
    </cacheHierarchy>
    <cacheHierarchy uniqueName="[Measures].[Sum of Износ1]" caption="Sum of Износ1" measure="1" displayFolder="" measureGroup="fActualAndBudget" count="0" oneField="1" hidden="1">
      <fieldsUsage count="1">
        <fieldUsage x="5"/>
      </fieldsUsage>
      <extLst>
        <ext xmlns:x15="http://schemas.microsoft.com/office/spreadsheetml/2010/11/main" uri="{B97F6D7D-B522-45F9-BDA1-12C45D357490}">
          <x15:cacheHierarchy aggregatedColumn="34"/>
        </ext>
      </extLst>
    </cacheHierarchy>
    <cacheHierarchy uniqueName="[Measures].[Sum of Износ 2]" caption="Sum of Износ 2" measure="1" displayFolder="" measureGroup="Amortizacija" count="0" hidden="1">
      <extLst>
        <ext xmlns:x15="http://schemas.microsoft.com/office/spreadsheetml/2010/11/main" uri="{B97F6D7D-B522-45F9-BDA1-12C45D357490}">
          <x15:cacheHierarchy aggregatedColumn="3"/>
        </ext>
      </extLst>
    </cacheHierarchy>
    <cacheHierarchy uniqueName="[Measures].[Sum of Износ 4]" caption="Sum of Износ 4" measure="1" displayFolder="" measureGroup="OPEXAnaliza" count="0" hidden="1">
      <extLst>
        <ext xmlns:x15="http://schemas.microsoft.com/office/spreadsheetml/2010/11/main" uri="{B97F6D7D-B522-45F9-BDA1-12C45D357490}">
          <x15:cacheHierarchy aggregatedColumn="101"/>
        </ext>
      </extLst>
    </cacheHierarchy>
    <cacheHierarchy uniqueName="[Measures].[Sum of Износ донација]" caption="Sum of Износ донација" measure="1" displayFolder="" measureGroup="CAPEX" count="0" hidden="1">
      <extLst>
        <ext xmlns:x15="http://schemas.microsoft.com/office/spreadsheetml/2010/11/main" uri="{B97F6D7D-B522-45F9-BDA1-12C45D357490}">
          <x15:cacheHierarchy aggregatedColumn="24"/>
        </ext>
      </extLst>
    </cacheHierarchy>
    <cacheHierarchy uniqueName="[Measures].[Sum of Вкупно трошок]" caption="Sum of Вкупно трошок" measure="1" displayFolder="" measureGroup="fArtikliCeni" count="0" hidden="1">
      <extLst>
        <ext xmlns:x15="http://schemas.microsoft.com/office/spreadsheetml/2010/11/main" uri="{B97F6D7D-B522-45F9-BDA1-12C45D357490}">
          <x15:cacheHierarchy aggregatedColumn="55"/>
        </ext>
      </extLst>
    </cacheHierarchy>
    <cacheHierarchy uniqueName="[Measures].[Sum of Количина]" caption="Sum of Количина" measure="1" displayFolder="" measureGroup="fArtikliCeni" count="0" hidden="1">
      <extLst>
        <ext xmlns:x15="http://schemas.microsoft.com/office/spreadsheetml/2010/11/main" uri="{B97F6D7D-B522-45F9-BDA1-12C45D357490}">
          <x15:cacheHierarchy aggregatedColumn="53"/>
        </ext>
      </extLst>
    </cacheHierarchy>
    <cacheHierarchy uniqueName="[Measures].[Sum of Единечна цена]" caption="Sum of Единечна цена" measure="1" displayFolder="" measureGroup="fArtikliCeni" count="0" hidden="1">
      <extLst>
        <ext xmlns:x15="http://schemas.microsoft.com/office/spreadsheetml/2010/11/main" uri="{B97F6D7D-B522-45F9-BDA1-12C45D357490}">
          <x15:cacheHierarchy aggregatedColumn="54"/>
        </ext>
      </extLst>
    </cacheHierarchy>
    <cacheHierarchy uniqueName="[Measures].[Sum of ДДВ]" caption="Sum of ДДВ" measure="1" displayFolder="" measureGroup="fArtikliCeni" count="0" hidden="1">
      <extLst>
        <ext xmlns:x15="http://schemas.microsoft.com/office/spreadsheetml/2010/11/main" uri="{B97F6D7D-B522-45F9-BDA1-12C45D357490}">
          <x15:cacheHierarchy aggregatedColumn="56"/>
        </ext>
      </extLst>
    </cacheHierarchy>
    <cacheHierarchy uniqueName="[Measures].[Sum of Износ 6]" caption="Sum of Износ 6" measure="1" displayFolder="" measureGroup="fArtikliCeni" count="0" hidden="1">
      <extLst>
        <ext xmlns:x15="http://schemas.microsoft.com/office/spreadsheetml/2010/11/main" uri="{B97F6D7D-B522-45F9-BDA1-12C45D357490}">
          <x15:cacheHierarchy aggregatedColumn="57"/>
        </ext>
      </extLst>
    </cacheHierarchy>
    <cacheHierarchy uniqueName="[Measures].[Count of Единечна мерка]" caption="Count of Единечна мерка" measure="1" displayFolder="" measureGroup="fArtikliCeni" count="0" hidden="1">
      <extLst>
        <ext xmlns:x15="http://schemas.microsoft.com/office/spreadsheetml/2010/11/main" uri="{B97F6D7D-B522-45F9-BDA1-12C45D357490}">
          <x15:cacheHierarchy aggregatedColumn="52"/>
        </ext>
      </extLst>
    </cacheHierarchy>
    <cacheHierarchy uniqueName="[Measures].[Sum of Количина 2]" caption="Sum of Количина 2" measure="1" displayFolder="" measureGroup="rArtikli_HR_Analiza" count="0" hidden="1">
      <extLst>
        <ext xmlns:x15="http://schemas.microsoft.com/office/spreadsheetml/2010/11/main" uri="{B97F6D7D-B522-45F9-BDA1-12C45D357490}">
          <x15:cacheHierarchy aggregatedColumn="118"/>
        </ext>
      </extLst>
    </cacheHierarchy>
    <cacheHierarchy uniqueName="[Measures].[Sum of Единечна цена 2]" caption="Sum of Единечна цена 2" measure="1" displayFolder="" measureGroup="rArtikli_HR_Analiza" count="0" hidden="1">
      <extLst>
        <ext xmlns:x15="http://schemas.microsoft.com/office/spreadsheetml/2010/11/main" uri="{B97F6D7D-B522-45F9-BDA1-12C45D357490}">
          <x15:cacheHierarchy aggregatedColumn="119"/>
        </ext>
      </extLst>
    </cacheHierarchy>
    <cacheHierarchy uniqueName="[Measures].[Sum of Вкупно трошок 2]" caption="Sum of Вкупно трошок 2" measure="1" displayFolder="" measureGroup="rArtikli_HR_Analiza" count="0" hidden="1">
      <extLst>
        <ext xmlns:x15="http://schemas.microsoft.com/office/spreadsheetml/2010/11/main" uri="{B97F6D7D-B522-45F9-BDA1-12C45D357490}">
          <x15:cacheHierarchy aggregatedColumn="120"/>
        </ext>
      </extLst>
    </cacheHierarchy>
    <cacheHierarchy uniqueName="[Measures].[Sum of ДДВ 2]" caption="Sum of ДДВ 2" measure="1" displayFolder="" measureGroup="rArtikli_HR_Analiza" count="0" hidden="1">
      <extLst>
        <ext xmlns:x15="http://schemas.microsoft.com/office/spreadsheetml/2010/11/main" uri="{B97F6D7D-B522-45F9-BDA1-12C45D357490}">
          <x15:cacheHierarchy aggregatedColumn="121"/>
        </ext>
      </extLst>
    </cacheHierarchy>
    <cacheHierarchy uniqueName="[Measures].[Sum of Износ 7]" caption="Sum of Износ 7" measure="1" displayFolder="" measureGroup="rArtikli_HR_Analiza" count="0" hidden="1">
      <extLst>
        <ext xmlns:x15="http://schemas.microsoft.com/office/spreadsheetml/2010/11/main" uri="{B97F6D7D-B522-45F9-BDA1-12C45D357490}">
          <x15:cacheHierarchy aggregatedColumn="122"/>
        </ext>
      </extLst>
    </cacheHierarchy>
    <cacheHierarchy uniqueName="[Measures].[Sum of Износ 5]" caption="Sum of Износ 5" measure="1" displayFolder="" measureGroup="fCoveckiResursi  2" count="0" hidden="1">
      <extLst>
        <ext xmlns:x15="http://schemas.microsoft.com/office/spreadsheetml/2010/11/main" uri="{B97F6D7D-B522-45F9-BDA1-12C45D357490}">
          <x15:cacheHierarchy aggregatedColumn="82"/>
        </ext>
      </extLst>
    </cacheHierarchy>
    <cacheHierarchy uniqueName="[Measures].[Sum of Проценета вредност на набавка со ДДВ (денари)]" caption="Sum of Проценета вредност на набавка со ДДВ (денари)" measure="1" displayFolder="" measureGroup="CAPEX" count="0" hidden="1">
      <extLst>
        <ext xmlns:x15="http://schemas.microsoft.com/office/spreadsheetml/2010/11/main" uri="{B97F6D7D-B522-45F9-BDA1-12C45D357490}">
          <x15:cacheHierarchy aggregatedColumn="20"/>
        </ext>
      </extLst>
    </cacheHierarchy>
  </cacheHierarchies>
  <kpis count="0"/>
  <dimensions count="12">
    <dimension name="Amortizacija" uniqueName="[Amortizacija]" caption="Amortizacija"/>
    <dimension name="Calendar" uniqueName="[Calendar]" caption="Calendar"/>
    <dimension name="CAPEX" uniqueName="[CAPEX]" caption="CAPEX"/>
    <dimension name="fActualAndBudget" uniqueName="[fActualAndBudget]" caption="fActualAndBudget"/>
    <dimension name="fArtikliCeni" uniqueName="[fArtikliCeni]" caption="fArtikliCeni"/>
    <dimension name="fCoveckiResursi" uniqueName="[fCoveckiResursi]" caption="fCoveckiResursi"/>
    <dimension name="fCoveckiResursi  2" uniqueName="[fCoveckiResursi  2]" caption="fCoveckiResursi  2"/>
    <dimension name="fOPEX" uniqueName="[fOPEX]" caption="fOPEX"/>
    <dimension measure="1" name="Measures" uniqueName="[Measures]" caption="Measures"/>
    <dimension name="OPEXAnaliza" uniqueName="[OPEXAnaliza]" caption="OPEXAnaliza"/>
    <dimension name="rArtikli_HR_Analiza" uniqueName="[rArtikli_HR_Analiza]" caption="rArtikli_HR_Analiza"/>
    <dimension name="rArtikliAnaliza" uniqueName="[rArtikliAnaliza]" caption="rArtikliAnaliza"/>
  </dimensions>
  <measureGroups count="11">
    <measureGroup name="Amortizacija" caption="Amortizacija"/>
    <measureGroup name="Calendar" caption="Calendar"/>
    <measureGroup name="CAPEX" caption="CAPEX"/>
    <measureGroup name="fActualAndBudget" caption="fActualAndBudget"/>
    <measureGroup name="fArtikliCeni" caption="fArtikliCeni"/>
    <measureGroup name="fCoveckiResursi" caption="fCoveckiResursi"/>
    <measureGroup name="fCoveckiResursi  2" caption="fCoveckiResursi  2"/>
    <measureGroup name="fOPEX" caption="fOPEX"/>
    <measureGroup name="OPEXAnaliza" caption="OPEXAnaliza"/>
    <measureGroup name="rArtikli_HR_Analiza" caption="rArtikli_HR_Analiza"/>
    <measureGroup name="rArtikliAnaliza" caption="rArtikliAnaliza"/>
  </measureGroups>
  <maps count="19">
    <map measureGroup="0" dimension="0"/>
    <map measureGroup="0" dimension="1"/>
    <map measureGroup="1" dimension="1"/>
    <map measureGroup="2" dimension="1"/>
    <map measureGroup="2" dimension="2"/>
    <map measureGroup="3" dimension="1"/>
    <map measureGroup="3" dimension="3"/>
    <map measureGroup="4" dimension="4"/>
    <map measureGroup="5" dimension="1"/>
    <map measureGroup="5" dimension="5"/>
    <map measureGroup="6" dimension="1"/>
    <map measureGroup="6" dimension="6"/>
    <map measureGroup="7" dimension="1"/>
    <map measureGroup="7" dimension="7"/>
    <map measureGroup="8" dimension="1"/>
    <map measureGroup="8" dimension="9"/>
    <map measureGroup="9" dimension="10"/>
    <map measureGroup="10" dimension="1"/>
    <map measureGroup="10" dimension="1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0.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ngela Sazdova - Doneva" refreshedDate="44899.978548611114" createdVersion="5" refreshedVersion="6" minRefreshableVersion="3" recordCount="0" supportSubquery="1" supportAdvancedDrill="1" xr:uid="{00000000-000A-0000-FFFF-FFFF15000000}">
  <cacheSource type="external" connectionId="22"/>
  <cacheFields count="11">
    <cacheField name="[fActualAndBudget].[StavkaImeMK].[StavkaImeMK]" caption="StavkaImeMK" numFmtId="0" hierarchy="38" level="1">
      <sharedItems count="17">
        <s v="Приходи од годишни сметки"/>
        <s v="Приходи од заложен регистар"/>
        <s v="Приходи од интернет дистрибутивен систем"/>
        <s v="Приходи од регистар на вистински сопственици"/>
        <s v="Приходи од регистар на директни странски инвестиции"/>
        <s v="Приходи од регистар на задолжница"/>
        <s v="Приходи од Регистар на лизинг"/>
        <s v="Приходи од регистар на недвижности"/>
        <s v="Приходи од Регистар на резиденти и нерезиденти"/>
        <s v="Приходи од регистрите за кривични санкции, пресуди и др."/>
        <s v="Приходи од странство"/>
        <s v="Приходи од трговски регистар"/>
        <s v="Потрoшена енергија и гориво за возила"/>
        <s v="Потрошени резервни делови"/>
        <s v="Потрошени суровини и материјали"/>
        <s v="Потрошок на ситен инвентар и автогуми"/>
        <s v="Амортизација по минимални стапки"/>
      </sharedItems>
    </cacheField>
    <cacheField name="[fActualAndBudget].[ReportType].[ReportType]" caption="ReportType" numFmtId="0" hierarchy="35" level="1">
      <sharedItems containsSemiMixedTypes="0" containsNonDate="0" containsString="0"/>
    </cacheField>
    <cacheField name="[Measures].[Sum of Износ]" caption="Sum of Износ" numFmtId="0" hierarchy="176" level="32767"/>
    <cacheField name="[fActualAndBudget].[StavkaKategorija].[StavkaKategorija]" caption="StavkaKategorija" numFmtId="0" hierarchy="40" level="1">
      <sharedItems count="9">
        <s v="2.29. Приходи од продажба"/>
        <s v="2.30. Останати оперативни приходи"/>
        <s v="2.32. Потрошени суровини и материјали"/>
        <s v="2.33. Трошоци за вработените"/>
        <s v="2.34. Амортизација на материјални средства"/>
        <s v="2.35. Вредносно усогласување на тековни средства"/>
        <s v="2.37. Останати оперативни расходи"/>
        <s v="2.40. Приходи од финансирање"/>
        <s v="2.41. Расходи од финансирање"/>
      </sharedItems>
    </cacheField>
    <cacheField name="[Calendar].[Година].[Година]" caption="Година" numFmtId="0" hierarchy="8" level="1">
      <sharedItems containsSemiMixedTypes="0" containsNonDate="0" containsString="0"/>
    </cacheField>
    <cacheField name="[Calendar].[Месец].[Месец]" caption="Месец" numFmtId="0" hierarchy="10" level="1">
      <sharedItems count="12">
        <s v="Jan"/>
        <s v="Feb"/>
        <s v="Mar"/>
        <s v="Apr"/>
        <s v="May"/>
        <s v="Jun"/>
        <s v="Jul"/>
        <s v="Aug"/>
        <s v="Sep"/>
        <s v="Oct"/>
        <s v="Nov"/>
        <s v="Dec"/>
      </sharedItems>
    </cacheField>
    <cacheField name="[fActualAndBudget].[ObrazecIme].[ObrazecIme]" caption="ObrazecIme" numFmtId="0" hierarchy="44" level="1">
      <sharedItems containsSemiMixedTypes="0" containsNonDate="0" containsString="0"/>
    </cacheField>
    <cacheField name="[Calendar].[Date Hierarchy].[Year]" caption="Year" numFmtId="0" hierarchy="7" level="1">
      <sharedItems containsSemiMixedTypes="0" containsNonDate="0" containsString="0"/>
    </cacheField>
    <cacheField name="[Calendar].[Date Hierarchy].[Month]" caption="Month" numFmtId="0" hierarchy="7" level="2">
      <sharedItems containsSemiMixedTypes="0" containsNonDate="0" containsString="0"/>
    </cacheField>
    <cacheField name="[Calendar].[Date Hierarchy].[DateColumn]" caption="DateColumn" numFmtId="0" hierarchy="7" level="3">
      <sharedItems containsSemiMixedTypes="0" containsNonDate="0" containsString="0"/>
    </cacheField>
    <cacheField name="[fActualAndBudget].[Ставка].[Ставка]" caption="Ставка" numFmtId="0" hierarchy="36" level="1">
      <sharedItems containsNonDate="0" count="30" longText="1">
        <s v="AMORTIZACIJA NA KANCELARISKI MEBEL 01363"/>
        <s v="AMORTIZACIJA NA KOMPJUTERSKA OPREMA 01341"/>
        <s v="AMORTIZACIJA NA MED.UREDI - DEFIBR. 01391"/>
        <s v="AMORTIZACIJA NA PATENTI I LICENCI 0020"/>
        <s v="AMORTIZACIJA NA SOFTVER 0030"/>
        <s v="AMORTIZACIJA NA SOFTVER 0031"/>
        <s v="AMORTIZACIJA NA TELEKOMUNIKACISKI UREDI"/>
        <s v="AMORTIZACIJA NA TRANSPORTNI SREDSTVA"/>
        <s v="AMORTIZACIJA NA VLO@UVAWE VO TU\I NEDVI@NOSTI"/>
        <s v="DEPRECIJACIJA NA GRAD. OBJEKTI SO PRAVO NA KORISTE"/>
        <s v="DEPRECIJACIJA NA GRAD. OBJEKTI SOPSTVENI"/>
        <s v="Microsoft софтверски лиценци и обуки Износот е даден за една година"/>
        <s v="Градежно занатски работи во деловниот простор (СИТ) - во тек, ќе се плаќа во 2023"/>
        <s v="ЕРТС"/>
        <s v="МЕБЕЛ - КЛИМИ"/>
        <s v="МЕБЕЛ - РАФТОВИ И ПЛАКАРИ ЗА РК И РРК"/>
        <s v="Мрежно каблирање"/>
        <s v="Надградба и интеграција на Системот за централизирано управување на корисници (ЦМК) со Националниот систем за единствена најава (ССО)"/>
        <s v="Надградба на дистрибутивниот систем, системот за е-потврди и системот за електронско плаќање, со нов модерен интерфејс  согласно дизајнот на новиот портал и можност за динамично формирање на пакети на услуги и можност за нивно користење во определен временски период, со задржување на постојните функционалности, вклучувајќи и нарачка и плаќање на било која услуга, испорака на домашна адреса и нови производи"/>
        <s v="Надградба на Едношалтерскиот систем, заедничката платформа за отпочнување со бизнис, вклучувајќи го системот за размена на податоци со институциите, со нови услуги: интеграција со УЈП и Царинска управа за автоматско добивање на податоци од Потврди за платени даноци и царнски давачки, банките размена на договор и други документи за отворање на сметка) и технолошка надградба на сите постојни сервиси за размена на податоци (со УЈП и банките) - спецификации функционална и бизнис околина"/>
        <s v="Надградба на системите за водењето на регистри"/>
        <s v="Надградба на софтверско решение за водење на Регистарот на вистински сопственици"/>
        <s v="Надградба на Софтверско решение за управување со IT процеси"/>
        <s v="Периферна компјутерска опрема проект од 2021"/>
        <s v="Серверска инфраструктура"/>
        <s v="Систем за заштита и архивирање на податоци"/>
        <s v="Систем за складирање на податоци"/>
        <s v="Системи за мрежна безбедност"/>
        <s v="Софтверско решение за водење на порамнувања во регистар на годишни сметки за неподнесена завршна сметка - I фаза бизнис анализа и  функционална  спецификација"/>
        <s v="Софтверско решение за генерирање извештаи"/>
      </sharedItems>
    </cacheField>
  </cacheFields>
  <cacheHierarchies count="195">
    <cacheHierarchy uniqueName="[Amortizacija].[Број на јавна набавка (план)]" caption="Број на јавна набавка (план)" attribute="1" defaultMemberUniqueName="[Amortizacija].[Број на јавна набавка (план)].[All]" allUniqueName="[Amortizacija].[Број на јавна набавка (план)].[All]" dimensionUniqueName="[Amortizacija]" displayFolder="" count="0" memberValueDatatype="130" unbalanced="0"/>
    <cacheHierarchy uniqueName="[Amortizacija].[Ставка]" caption="Ставка" attribute="1" defaultMemberUniqueName="[Amortizacija].[Ставка].[All]" allUniqueName="[Amortizacija].[Ставка].[All]" dimensionUniqueName="[Amortizacija]" displayFolder="" count="0" memberValueDatatype="130" unbalanced="0"/>
    <cacheHierarchy uniqueName="[Amortizacija].[Период]" caption="Период" attribute="1" time="1" defaultMemberUniqueName="[Amortizacija].[Период].[All]" allUniqueName="[Amortizacija].[Период].[All]" dimensionUniqueName="[Amortizacija]" displayFolder="" count="0" memberValueDatatype="7" unbalanced="0"/>
    <cacheHierarchy uniqueName="[Amortizacija].[Износ]" caption="Износ" attribute="1" defaultMemberUniqueName="[Amortizacija].[Износ].[All]" allUniqueName="[Amortizacija].[Износ].[All]" dimensionUniqueName="[Amortizacija]" displayFolder="" count="0" memberValueDatatype="20" unbalanced="0"/>
    <cacheHierarchy uniqueName="[Amortizacija].[Конто]" caption="Конто" attribute="1" defaultMemberUniqueName="[Amortizacija].[Конто].[All]" allUniqueName="[Amortizacija].[Конто].[All]" dimensionUniqueName="[Amortizacija]" displayFolder="" count="0" memberValueDatatype="130" unbalanced="0"/>
    <cacheHierarchy uniqueName="[Amortizacija].[ReportType]" caption="ReportType" attribute="1" defaultMemberUniqueName="[Amortizacija].[ReportType].[All]" allUniqueName="[Amortizacija].[ReportType].[All]" dimensionUniqueName="[Amortizacija]" displayFolder="" count="0" memberValueDatatype="130" unbalanced="0"/>
    <cacheHierarchy uniqueName="[Calendar].[Date]" caption="Date" attribute="1" time="1" keyAttribute="1" defaultMemberUniqueName="[Calendar].[Date].[All]" allUniqueName="[Calendar].[Date].[All]" dimensionUniqueName="[Calendar]" displayFolder="" count="0" memberValueDatatype="7" unbalanced="0"/>
    <cacheHierarchy uniqueName="[Calendar].[Date Hierarchy]" caption="Date Hierarchy" time="1" defaultMemberUniqueName="[Calendar].[Date Hierarchy].[All]" allUniqueName="[Calendar].[Date Hierarchy].[All]" dimensionUniqueName="[Calendar]" displayFolder="" count="4" unbalanced="0">
      <fieldsUsage count="4">
        <fieldUsage x="-1"/>
        <fieldUsage x="7"/>
        <fieldUsage x="8"/>
        <fieldUsage x="9"/>
      </fieldsUsage>
    </cacheHierarchy>
    <cacheHierarchy uniqueName="[Calendar].[Година]" caption="Година" attribute="1" time="1" defaultMemberUniqueName="[Calendar].[Година].[All]" allUniqueName="[Calendar].[Година].[All]" dimensionUniqueName="[Calendar]" displayFolder="" count="2" memberValueDatatype="20" unbalanced="0">
      <fieldsUsage count="2">
        <fieldUsage x="-1"/>
        <fieldUsage x="4"/>
      </fieldsUsage>
    </cacheHierarchy>
    <cacheHierarchy uniqueName="[Calendar].[Month Number]" caption="Month Number" attribute="1" time="1" defaultMemberUniqueName="[Calendar].[Month Number].[All]" allUniqueName="[Calendar].[Month Number].[All]" dimensionUniqueName="[Calendar]" displayFolder="" count="0" memberValueDatatype="20" unbalanced="0"/>
    <cacheHierarchy uniqueName="[Calendar].[Месец]" caption="Месец" attribute="1" time="1" defaultMemberUniqueName="[Calendar].[Месец].[All]" allUniqueName="[Calendar].[Месец].[All]" dimensionUniqueName="[Calendar]" displayFolder="" count="2" memberValueDatatype="130" unbalanced="0">
      <fieldsUsage count="2">
        <fieldUsage x="-1"/>
        <fieldUsage x="5"/>
      </fieldsUsage>
    </cacheHierarchy>
    <cacheHierarchy uniqueName="[Calendar].[MMM-YYYY]" caption="MMM-YYYY" attribute="1" time="1" defaultMemberUniqueName="[Calendar].[MMM-YYYY].[All]" allUniqueName="[Calendar].[MMM-YYYY].[All]" dimensionUniqueName="[Calendar]" displayFolder="" count="0" memberValueDatatype="130" unbalanced="0"/>
    <cacheHierarchy uniqueName="[Calendar].[Day Of Week Number]" caption="Day Of Week Number" attribute="1" time="1" defaultMemberUniqueName="[Calendar].[Day Of Week Number].[All]" allUniqueName="[Calendar].[Day Of Week Number].[All]" dimensionUniqueName="[Calendar]" displayFolder="" count="0" memberValueDatatype="20" unbalanced="0"/>
    <cacheHierarchy uniqueName="[Calendar].[Day Of Week]" caption="Day Of Week" attribute="1" time="1" defaultMemberUniqueName="[Calendar].[Day Of Week].[All]" allUniqueName="[Calendar].[Day Of Week].[All]" dimensionUniqueName="[Calendar]" displayFolder="" count="0" memberValueDatatype="130" unbalanced="0"/>
    <cacheHierarchy uniqueName="[Calendar].[Квартал]" caption="Квартал" attribute="1" time="1" defaultMemberUniqueName="[Calendar].[Квартал].[All]" allUniqueName="[Calendar].[Квартал].[All]" dimensionUniqueName="[Calendar]" displayFolder="" count="0" memberValueDatatype="7" unbalanced="0"/>
    <cacheHierarchy uniqueName="[CAPEX].[Година за реализација на проект]" caption="Година за реализација на проект" attribute="1" defaultMemberUniqueName="[CAPEX].[Година за реализација на проект].[All]" allUniqueName="[CAPEX].[Година за реализација на проект].[All]" dimensionUniqueName="[CAPEX]" displayFolder="" count="0" memberValueDatatype="20" unbalanced="0"/>
    <cacheHierarchy uniqueName="[CAPEX].[Број на јавна набавка (план)]" caption="Број на јавна набавка (план)" attribute="1" defaultMemberUniqueName="[CAPEX].[Број на јавна набавка (план)].[All]" allUniqueName="[CAPEX].[Број на јавна набавка (план)].[All]" dimensionUniqueName="[CAPEX]" displayFolder="" count="0" memberValueDatatype="130" unbalanced="0"/>
    <cacheHierarchy uniqueName="[CAPEX].[Предмет на договорот за јавна набавка]" caption="Предмет на договорот за јавна набавка" attribute="1" defaultMemberUniqueName="[CAPEX].[Предмет на договорот за јавна набавка].[All]" allUniqueName="[CAPEX].[Предмет на договорот за јавна набавка].[All]" dimensionUniqueName="[CAPEX]" displayFolder="" count="0" memberValueDatatype="130" unbalanced="0"/>
    <cacheHierarchy uniqueName="[CAPEX].[Очекуван датум на плаќање]" caption="Очекуван датум на плаќање" attribute="1" time="1" defaultMemberUniqueName="[CAPEX].[Очекуван датум на плаќање].[All]" allUniqueName="[CAPEX].[Очекуван датум на плаќање].[All]" dimensionUniqueName="[CAPEX]" displayFolder="" count="0" memberValueDatatype="7" unbalanced="0"/>
    <cacheHierarchy uniqueName="[CAPEX].[Очекуван датум за ставање во употреба (месец)]" caption="Очекуван датум за ставање во употреба (месец)" attribute="1" time="1" defaultMemberUniqueName="[CAPEX].[Очекуван датум за ставање во употреба (месец)].[All]" allUniqueName="[CAPEX].[Очекуван датум за ставање во употреба (месец)].[All]" dimensionUniqueName="[CAPEX]" displayFolder="" count="0" memberValueDatatype="7" unbalanced="0"/>
    <cacheHierarchy uniqueName="[CAPEX].[Проценета вредност на набавка со ДДВ (денари)]" caption="Проценета вредност на набавка со ДДВ (денари)" attribute="1" defaultMemberUniqueName="[CAPEX].[Проценета вредност на набавка со ДДВ (денари)].[All]" allUniqueName="[CAPEX].[Проценета вредност на набавка со ДДВ (денари)].[All]" dimensionUniqueName="[CAPEX]" displayFolder="" count="0" memberValueDatatype="20" unbalanced="0"/>
    <cacheHierarchy uniqueName="[CAPEX].[Стапка на амортизација]" caption="Стапка на амортизација" attribute="1" defaultMemberUniqueName="[CAPEX].[Стапка на амортизација].[All]" allUniqueName="[CAPEX].[Стапка на амортизација].[All]" dimensionUniqueName="[CAPEX]" displayFolder="" count="0" memberValueDatatype="5" unbalanced="0"/>
    <cacheHierarchy uniqueName="[CAPEX].[Конто Средства]" caption="Конто Средства" attribute="1" defaultMemberUniqueName="[CAPEX].[Конто Средства].[All]" allUniqueName="[CAPEX].[Конто Средства].[All]" dimensionUniqueName="[CAPEX]" displayFolder="" count="0" memberValueDatatype="130" unbalanced="0"/>
    <cacheHierarchy uniqueName="[CAPEX].[Конто Амортизација]" caption="Конто Амортизација" attribute="1" defaultMemberUniqueName="[CAPEX].[Конто Амортизација].[All]" allUniqueName="[CAPEX].[Конто Амортизација].[All]" dimensionUniqueName="[CAPEX]" displayFolder="" count="0" memberValueDatatype="130" unbalanced="0"/>
    <cacheHierarchy uniqueName="[CAPEX].[Износ донација]" caption="Износ донација" attribute="1" defaultMemberUniqueName="[CAPEX].[Износ донација].[All]" allUniqueName="[CAPEX].[Износ донација].[All]" dimensionUniqueName="[CAPEX]" displayFolder="" count="0" memberValueDatatype="20" unbalanced="0"/>
    <cacheHierarchy uniqueName="[CAPEX].[Очекуван датум на плаќање (Year)]" caption="Очекуван датум на плаќање (Year)" attribute="1" defaultMemberUniqueName="[CAPEX].[Очекуван датум на плаќање (Year)].[All]" allUniqueName="[CAPEX].[Очекуван датум на плаќање (Year)].[All]" dimensionUniqueName="[CAPEX]" displayFolder="" count="0" memberValueDatatype="130" unbalanced="0"/>
    <cacheHierarchy uniqueName="[CAPEX].[Очекуван датум на плаќање (Quarter)]" caption="Очекуван датум на плаќање (Quarter)" attribute="1" defaultMemberUniqueName="[CAPEX].[Очекуван датум на плаќање (Quarter)].[All]" allUniqueName="[CAPEX].[Очекуван датум на плаќање (Quarter)].[All]" dimensionUniqueName="[CAPEX]" displayFolder="" count="0" memberValueDatatype="130" unbalanced="0"/>
    <cacheHierarchy uniqueName="[CAPEX].[Очекуван датум на плаќање (Month)]" caption="Очекуван датум на плаќање (Month)" attribute="1" defaultMemberUniqueName="[CAPEX].[Очекуван датум на плаќање (Month)].[All]" allUniqueName="[CAPEX].[Очекуван датум на плаќање (Month)].[All]" dimensionUniqueName="[CAPEX]" displayFolder="" count="0" memberValueDatatype="130" unbalanced="0"/>
    <cacheHierarchy uniqueName="[CAPEX].[Очекуван датум за ставање во употреба (месец) (Year)]" caption="Очекуван датум за ставање во употреба (месец) (Year)" attribute="1" defaultMemberUniqueName="[CAPEX].[Очекуван датум за ставање во употреба (месец) (Year)].[All]" allUniqueName="[CAPEX].[Очекуван датум за ставање во употреба (месец) (Year)].[All]" dimensionUniqueName="[CAPEX]" displayFolder="" count="0" memberValueDatatype="130" unbalanced="0"/>
    <cacheHierarchy uniqueName="[CAPEX].[Очекуван датум за ставање во употреба (месец) (Quarter)]" caption="Очекуван датум за ставање во употреба (месец) (Quarter)" attribute="1" defaultMemberUniqueName="[CAPEX].[Очекуван датум за ставање во употреба (месец) (Quarter)].[All]" allUniqueName="[CAPEX].[Очекуван датум за ставање во употреба (месец) (Quarter)].[All]" dimensionUniqueName="[CAPEX]" displayFolder="" count="0" memberValueDatatype="130" unbalanced="0"/>
    <cacheHierarchy uniqueName="[CAPEX].[Очекуван датум за ставање во употреба (месец) (Month)]" caption="Очекуван датум за ставање во употреба (месец) (Month)" attribute="1" defaultMemberUniqueName="[CAPEX].[Очекуван датум за ставање во употреба (месец) (Month)].[All]" allUniqueName="[CAPEX].[Очекуван датум за ставање во употреба (месец) (Month)].[All]" dimensionUniqueName="[CAPEX]" displayFolder="" count="0" memberValueDatatype="130" unbalanced="0"/>
    <cacheHierarchy uniqueName="[fActualAndBudget].[Конто]" caption="Конто" attribute="1" defaultMemberUniqueName="[fActualAndBudget].[Конто].[All]" allUniqueName="[fActualAndBudget].[Конто].[All]" dimensionUniqueName="[fActualAndBudget]" displayFolder="" count="0" memberValueDatatype="130" unbalanced="0"/>
    <cacheHierarchy uniqueName="[fActualAndBudget].[Назив на конто]" caption="Назив на конто" attribute="1" defaultMemberUniqueName="[fActualAndBudget].[Назив на конто].[All]" allUniqueName="[fActualAndBudget].[Назив на конто].[All]" dimensionUniqueName="[fActualAndBudget]" displayFolder="" count="0" memberValueDatatype="130" unbalanced="0"/>
    <cacheHierarchy uniqueName="[fActualAndBudget].[Период]" caption="Период" attribute="1" time="1" defaultMemberUniqueName="[fActualAndBudget].[Период].[All]" allUniqueName="[fActualAndBudget].[Период].[All]" dimensionUniqueName="[fActualAndBudget]" displayFolder="" count="0" memberValueDatatype="7" unbalanced="0"/>
    <cacheHierarchy uniqueName="[fActualAndBudget].[Износ1]" caption="Износ1" attribute="1" defaultMemberUniqueName="[fActualAndBudget].[Износ1].[All]" allUniqueName="[fActualAndBudget].[Износ1].[All]" dimensionUniqueName="[fActualAndBudget]" displayFolder="" count="0" memberValueDatatype="20" unbalanced="0"/>
    <cacheHierarchy uniqueName="[fActualAndBudget].[ReportType]" caption="ReportType" attribute="1" defaultMemberUniqueName="[fActualAndBudget].[ReportType].[All]" allUniqueName="[fActualAndBudget].[ReportType].[All]" dimensionUniqueName="[fActualAndBudget]" displayFolder="" count="2" memberValueDatatype="130" unbalanced="0">
      <fieldsUsage count="2">
        <fieldUsage x="-1"/>
        <fieldUsage x="1"/>
      </fieldsUsage>
    </cacheHierarchy>
    <cacheHierarchy uniqueName="[fActualAndBudget].[Ставка]" caption="Ставка" attribute="1" defaultMemberUniqueName="[fActualAndBudget].[Ставка].[All]" allUniqueName="[fActualAndBudget].[Ставка].[All]" dimensionUniqueName="[fActualAndBudget]" displayFolder="" count="2" memberValueDatatype="130" unbalanced="0">
      <fieldsUsage count="2">
        <fieldUsage x="-1"/>
        <fieldUsage x="10"/>
      </fieldsUsage>
    </cacheHierarchy>
    <cacheHierarchy uniqueName="[fActualAndBudget].[Број на јавна набавка (план)]" caption="Број на јавна набавка (план)" attribute="1" defaultMemberUniqueName="[fActualAndBudget].[Број на јавна набавка (план)].[All]" allUniqueName="[fActualAndBudget].[Број на јавна набавка (план)].[All]" dimensionUniqueName="[fActualAndBudget]" displayFolder="" count="0" memberValueDatatype="130" unbalanced="0"/>
    <cacheHierarchy uniqueName="[fActualAndBudget].[StavkaImeMK]" caption="StavkaImeMK" attribute="1" defaultMemberUniqueName="[fActualAndBudget].[StavkaImeMK].[All]" allUniqueName="[fActualAndBudget].[StavkaImeMK].[All]" dimensionUniqueName="[fActualAndBudget]" displayFolder="" count="2" memberValueDatatype="130" unbalanced="0">
      <fieldsUsage count="2">
        <fieldUsage x="-1"/>
        <fieldUsage x="0"/>
      </fieldsUsage>
    </cacheHierarchy>
    <cacheHierarchy uniqueName="[fActualAndBudget].[StavkaGrupa]" caption="StavkaGrupa" attribute="1" defaultMemberUniqueName="[fActualAndBudget].[StavkaGrupa].[All]" allUniqueName="[fActualAndBudget].[StavkaGrupa].[All]" dimensionUniqueName="[fActualAndBudget]" displayFolder="" count="0" memberValueDatatype="130" unbalanced="0"/>
    <cacheHierarchy uniqueName="[fActualAndBudget].[StavkaKategorija]" caption="StavkaKategorija" attribute="1" defaultMemberUniqueName="[fActualAndBudget].[StavkaKategorija].[All]" allUniqueName="[fActualAndBudget].[StavkaKategorija].[All]" dimensionUniqueName="[fActualAndBudget]" displayFolder="" count="2" memberValueDatatype="130" unbalanced="0">
      <fieldsUsage count="2">
        <fieldUsage x="-1"/>
        <fieldUsage x="3"/>
      </fieldsUsage>
    </cacheHierarchy>
    <cacheHierarchy uniqueName="[fActualAndBudget].[ZnakIzvestaj]" caption="ZnakIzvestaj" attribute="1" defaultMemberUniqueName="[fActualAndBudget].[ZnakIzvestaj].[All]" allUniqueName="[fActualAndBudget].[ZnakIzvestaj].[All]" dimensionUniqueName="[fActualAndBudget]" displayFolder="" count="0" memberValueDatatype="20" unbalanced="0"/>
    <cacheHierarchy uniqueName="[fActualAndBudget].[ObrazecID]" caption="ObrazecID" attribute="1" defaultMemberUniqueName="[fActualAndBudget].[ObrazecID].[All]" allUniqueName="[fActualAndBudget].[ObrazecID].[All]" dimensionUniqueName="[fActualAndBudget]" displayFolder="" count="0" memberValueDatatype="20" unbalanced="0"/>
    <cacheHierarchy uniqueName="[fActualAndBudget].[StavkaAOP]" caption="StavkaAOP" attribute="1" defaultMemberUniqueName="[fActualAndBudget].[StavkaAOP].[All]" allUniqueName="[fActualAndBudget].[StavkaAOP].[All]" dimensionUniqueName="[fActualAndBudget]" displayFolder="" count="0" memberValueDatatype="130" unbalanced="0"/>
    <cacheHierarchy uniqueName="[fActualAndBudget].[ObrazecIme]" caption="ObrazecIme" attribute="1" defaultMemberUniqueName="[fActualAndBudget].[ObrazecIme].[All]" allUniqueName="[fActualAndBudget].[ObrazecIme].[All]" dimensionUniqueName="[fActualAndBudget]" displayFolder="" count="2" memberValueDatatype="130" unbalanced="0">
      <fieldsUsage count="2">
        <fieldUsage x="-1"/>
        <fieldUsage x="6"/>
      </fieldsUsage>
    </cacheHierarchy>
    <cacheHierarchy uniqueName="[fActualAndBudget].[Износ]" caption="Износ" attribute="1" defaultMemberUniqueName="[fActualAndBudget].[Износ].[All]" allUniqueName="[fActualAndBudget].[Износ].[All]" dimensionUniqueName="[fActualAndBudget]" displayFolder="" count="0" memberValueDatatype="20" unbalanced="0"/>
    <cacheHierarchy uniqueName="[fActualAndBudget].[Износ (илјади)]" caption="Износ (илјади)" attribute="1" defaultMemberUniqueName="[fActualAndBudget].[Износ (илјади)].[All]" allUniqueName="[fActualAndBudget].[Износ (илјади)].[All]" dimensionUniqueName="[fActualAndBudget]" displayFolder="" count="0" memberValueDatatype="5" unbalanced="0"/>
    <cacheHierarchy uniqueName="[fActualAndBudget].[StavkaImeAOP]" caption="StavkaImeAOP" attribute="1" defaultMemberUniqueName="[fActualAndBudget].[StavkaImeAOP].[All]" allUniqueName="[fActualAndBudget].[StavkaImeAOP].[All]" dimensionUniqueName="[fActualAndBudget]" displayFolder="" count="0" memberValueDatatype="130" unbalanced="0"/>
    <cacheHierarchy uniqueName="[fActualAndBudget].[Конто Ставка]" caption="Конто Ставка" attribute="1" defaultMemberUniqueName="[fActualAndBudget].[Конто Ставка].[All]" allUniqueName="[fActualAndBudget].[Конто Ставка].[All]" dimensionUniqueName="[fActualAndBudget]" displayFolder="" count="0" memberValueDatatype="130" unbalanced="0"/>
    <cacheHierarchy uniqueName="[fArtikliCeni].[Ставка]" caption="Ставка" attribute="1" defaultMemberUniqueName="[fArtikliCeni].[Ставка].[All]" allUniqueName="[fArtikliCeni].[Ставка].[All]" dimensionUniqueName="[fArtikliCeni]" displayFolder="" count="0" memberValueDatatype="130" unbalanced="0"/>
    <cacheHierarchy uniqueName="[fArtikliCeni].[Категорија Артикл]" caption="Категорија Артикл" attribute="1" defaultMemberUniqueName="[fArtikliCeni].[Категорија Артикл].[All]" allUniqueName="[fArtikliCeni].[Категорија Артикл].[All]" dimensionUniqueName="[fArtikliCeni]" displayFolder="" count="0" memberValueDatatype="130" unbalanced="0"/>
    <cacheHierarchy uniqueName="[fArtikliCeni].[Тип на артикл]" caption="Тип на артикл" attribute="1" defaultMemberUniqueName="[fArtikliCeni].[Тип на артикл].[All]" allUniqueName="[fArtikliCeni].[Тип на артикл].[All]" dimensionUniqueName="[fArtikliCeni]" displayFolder="" count="0" memberValueDatatype="130" unbalanced="0"/>
    <cacheHierarchy uniqueName="[fArtikliCeni].[Единечна мерка]" caption="Единечна мерка" attribute="1" defaultMemberUniqueName="[fArtikliCeni].[Единечна мерка].[All]" allUniqueName="[fArtikliCeni].[Единечна мерка].[All]" dimensionUniqueName="[fArtikliCeni]" displayFolder="" count="0" memberValueDatatype="130" unbalanced="0"/>
    <cacheHierarchy uniqueName="[fArtikliCeni].[Количина]" caption="Количина" attribute="1" defaultMemberUniqueName="[fArtikliCeni].[Количина].[All]" allUniqueName="[fArtikliCeni].[Количина].[All]" dimensionUniqueName="[fArtikliCeni]" displayFolder="" count="0" memberValueDatatype="5" unbalanced="0"/>
    <cacheHierarchy uniqueName="[fArtikliCeni].[Единечна цена]" caption="Единечна цена" attribute="1" defaultMemberUniqueName="[fArtikliCeni].[Единечна цена].[All]" allUniqueName="[fArtikliCeni].[Единечна цена].[All]" dimensionUniqueName="[fArtikliCeni]" displayFolder="" count="0" memberValueDatatype="20" unbalanced="0"/>
    <cacheHierarchy uniqueName="[fArtikliCeni].[Вкупно трошок]" caption="Вкупно трошок" attribute="1" defaultMemberUniqueName="[fArtikliCeni].[Вкупно трошок].[All]" allUniqueName="[fArtikliCeni].[Вкупно трошок].[All]" dimensionUniqueName="[fArtikliCeni]" displayFolder="" count="0" memberValueDatatype="5" unbalanced="0"/>
    <cacheHierarchy uniqueName="[fArtikliCeni].[ДДВ]" caption="ДДВ" attribute="1" defaultMemberUniqueName="[fArtikliCeni].[ДДВ].[All]" allUniqueName="[fArtikliCeni].[ДДВ].[All]" dimensionUniqueName="[fArtikliCeni]" displayFolder="" count="0" memberValueDatatype="5" unbalanced="0"/>
    <cacheHierarchy uniqueName="[fArtikliCeni].[Износ]" caption="Износ" attribute="1" defaultMemberUniqueName="[fArtikliCeni].[Износ].[All]" allUniqueName="[fArtikliCeni].[Износ].[All]" dimensionUniqueName="[fArtikliCeni]" displayFolder="" count="0" memberValueDatatype="5" unbalanced="0"/>
    <cacheHierarchy uniqueName="[fArtikliCeni].[Конто]" caption="Конто" attribute="1" defaultMemberUniqueName="[fArtikliCeni].[Конто].[All]" allUniqueName="[fArtikliCeni].[Конто].[All]" dimensionUniqueName="[fArtikliCeni]" displayFolder="" count="0" memberValueDatatype="130" unbalanced="0"/>
    <cacheHierarchy uniqueName="[fArtikliCeni].[ReportType]" caption="ReportType" attribute="1" defaultMemberUniqueName="[fArtikliCeni].[ReportType].[All]" allUniqueName="[fArtikliCeni].[ReportType].[All]" dimensionUniqueName="[fArtikliCeni]" displayFolder="" count="0" memberValueDatatype="130" unbalanced="0"/>
    <cacheHierarchy uniqueName="[fArtikliCeni].[Период]" caption="Период" attribute="1" time="1" defaultMemberUniqueName="[fArtikliCeni].[Период].[All]" allUniqueName="[fArtikliCeni].[Период].[All]" dimensionUniqueName="[fArtikliCeni]" displayFolder="" count="0" memberValueDatatype="7" unbalanced="0"/>
    <cacheHierarchy uniqueName="[fArtikliCeni].[StavkaImeMK]" caption="StavkaImeMK" attribute="1" defaultMemberUniqueName="[fArtikliCeni].[StavkaImeMK].[All]" allUniqueName="[fArtikliCeni].[StavkaImeMK].[All]" dimensionUniqueName="[fArtikliCeni]" displayFolder="" count="0" memberValueDatatype="130" unbalanced="0"/>
    <cacheHierarchy uniqueName="[fArtikliCeni].[StavkaAOP]" caption="StavkaAOP" attribute="1" defaultMemberUniqueName="[fArtikliCeni].[StavkaAOP].[All]" allUniqueName="[fArtikliCeni].[StavkaAOP].[All]" dimensionUniqueName="[fArtikliCeni]" displayFolder="" count="0" memberValueDatatype="130" unbalanced="0"/>
    <cacheHierarchy uniqueName="[fArtikliCeni].[StavkaGrupa]" caption="StavkaGrupa" attribute="1" defaultMemberUniqueName="[fArtikliCeni].[StavkaGrupa].[All]" allUniqueName="[fArtikliCeni].[StavkaGrupa].[All]" dimensionUniqueName="[fArtikliCeni]" displayFolder="" count="0" memberValueDatatype="130" unbalanced="0"/>
    <cacheHierarchy uniqueName="[fArtikliCeni].[StavkaKategorija]" caption="StavkaKategorija" attribute="1" defaultMemberUniqueName="[fArtikliCeni].[StavkaKategorija].[All]" allUniqueName="[fArtikliCeni].[StavkaKategorija].[All]" dimensionUniqueName="[fArtikliCeni]" displayFolder="" count="0" memberValueDatatype="130" unbalanced="0"/>
    <cacheHierarchy uniqueName="[fArtikliCeni].[ObrazecIme]" caption="ObrazecIme" attribute="1" defaultMemberUniqueName="[fArtikliCeni].[ObrazecIme].[All]" allUniqueName="[fArtikliCeni].[ObrazecIme].[All]" dimensionUniqueName="[fArtikliCeni]" displayFolder="" count="0" memberValueDatatype="130" unbalanced="0"/>
    <cacheHierarchy uniqueName="[fCoveckiResursi].[Ставка]" caption="Ставка" attribute="1" defaultMemberUniqueName="[fCoveckiResursi].[Ставка].[All]" allUniqueName="[fCoveckiResursi].[Ставка].[All]" dimensionUniqueName="[fCoveckiResursi]" displayFolder="" count="0" memberValueDatatype="130" unbalanced="0"/>
    <cacheHierarchy uniqueName="[fCoveckiResursi].[Тип на вработување]" caption="Тип на вработување" attribute="1" defaultMemberUniqueName="[fCoveckiResursi].[Тип на вработување].[All]" allUniqueName="[fCoveckiResursi].[Тип на вработување].[All]" dimensionUniqueName="[fCoveckiResursi]" displayFolder="" count="0" memberValueDatatype="130" unbalanced="0"/>
    <cacheHierarchy uniqueName="[fCoveckiResursi].[Планиран прилив/(одлив)]" caption="Планиран прилив/(одлив)" attribute="1" defaultMemberUniqueName="[fCoveckiResursi].[Планиран прилив/(одлив)].[All]" allUniqueName="[fCoveckiResursi].[Планиран прилив/(одлив)].[All]" dimensionUniqueName="[fCoveckiResursi]" displayFolder="" count="0" memberValueDatatype="20" unbalanced="0"/>
    <cacheHierarchy uniqueName="[fCoveckiResursi].[Период]" caption="Период" attribute="1" time="1" defaultMemberUniqueName="[fCoveckiResursi].[Период].[All]" allUniqueName="[fCoveckiResursi].[Период].[All]" dimensionUniqueName="[fCoveckiResursi]" displayFolder="" count="0" memberValueDatatype="7" unbalanced="0"/>
    <cacheHierarchy uniqueName="[fCoveckiResursi].[Крајна состојба вработени]" caption="Крајна состојба вработени" attribute="1" defaultMemberUniqueName="[fCoveckiResursi].[Крајна состојба вработени].[All]" allUniqueName="[fCoveckiResursi].[Крајна состојба вработени].[All]" dimensionUniqueName="[fCoveckiResursi]" displayFolder="" count="0" memberValueDatatype="20" unbalanced="0"/>
    <cacheHierarchy uniqueName="[fCoveckiResursi].[Износ]" caption="Износ" attribute="1" defaultMemberUniqueName="[fCoveckiResursi].[Износ].[All]" allUniqueName="[fCoveckiResursi].[Износ].[All]" dimensionUniqueName="[fCoveckiResursi]" displayFolder="" count="0" memberValueDatatype="20" unbalanced="0"/>
    <cacheHierarchy uniqueName="[fCoveckiResursi].[Конто]" caption="Конто" attribute="1" defaultMemberUniqueName="[fCoveckiResursi].[Конто].[All]" allUniqueName="[fCoveckiResursi].[Конто].[All]" dimensionUniqueName="[fCoveckiResursi]" displayFolder="" count="0" memberValueDatatype="130" unbalanced="0"/>
    <cacheHierarchy uniqueName="[fCoveckiResursi].[ReportType]" caption="ReportType" attribute="1" defaultMemberUniqueName="[fCoveckiResursi].[ReportType].[All]" allUniqueName="[fCoveckiResursi].[ReportType].[All]" dimensionUniqueName="[fCoveckiResursi]" displayFolder="" count="0" memberValueDatatype="130" unbalanced="0"/>
    <cacheHierarchy uniqueName="[fCoveckiResursi].[Период (Year)]" caption="Период (Year)" attribute="1" defaultMemberUniqueName="[fCoveckiResursi].[Период (Year)].[All]" allUniqueName="[fCoveckiResursi].[Период (Year)].[All]" dimensionUniqueName="[fCoveckiResursi]" displayFolder="" count="0" memberValueDatatype="130" unbalanced="0"/>
    <cacheHierarchy uniqueName="[fCoveckiResursi].[Период (Quarter)]" caption="Период (Quarter)" attribute="1" defaultMemberUniqueName="[fCoveckiResursi].[Период (Quarter)].[All]" allUniqueName="[fCoveckiResursi].[Период (Quarter)].[All]" dimensionUniqueName="[fCoveckiResursi]" displayFolder="" count="0" memberValueDatatype="130" unbalanced="0"/>
    <cacheHierarchy uniqueName="[fCoveckiResursi].[Период (Month)]" caption="Период (Month)" attribute="1" defaultMemberUniqueName="[fCoveckiResursi].[Период (Month)].[All]" allUniqueName="[fCoveckiResursi].[Период (Month)].[All]" dimensionUniqueName="[fCoveckiResursi]" displayFolder="" count="0" memberValueDatatype="130" unbalanced="0"/>
    <cacheHierarchy uniqueName="[fCoveckiResursi].[Период (Year) 1]" caption="Период (Year) 1" attribute="1" defaultMemberUniqueName="[fCoveckiResursi].[Период (Year) 1].[All]" allUniqueName="[fCoveckiResursi].[Период (Year) 1].[All]" dimensionUniqueName="[fCoveckiResursi]" displayFolder="" count="0" memberValueDatatype="130" unbalanced="0"/>
    <cacheHierarchy uniqueName="[fCoveckiResursi].[Период (Quarter) 1]" caption="Период (Quarter) 1" attribute="1" defaultMemberUniqueName="[fCoveckiResursi].[Период (Quarter) 1].[All]" allUniqueName="[fCoveckiResursi].[Период (Quarter) 1].[All]" dimensionUniqueName="[fCoveckiResursi]" displayFolder="" count="0" memberValueDatatype="130" unbalanced="0"/>
    <cacheHierarchy uniqueName="[fCoveckiResursi].[Период (Month) 1]" caption="Период (Month) 1" attribute="1" defaultMemberUniqueName="[fCoveckiResursi].[Период (Month) 1].[All]" allUniqueName="[fCoveckiResursi].[Период (Month) 1].[All]" dimensionUniqueName="[fCoveckiResursi]" displayFolder="" count="0" memberValueDatatype="130" unbalanced="0"/>
    <cacheHierarchy uniqueName="[fCoveckiResursi  2].[Ставка]" caption="Ставка" attribute="1" defaultMemberUniqueName="[fCoveckiResursi  2].[Ставка].[All]" allUniqueName="[fCoveckiResursi  2].[Ставка].[All]" dimensionUniqueName="[fCoveckiResursi  2]" displayFolder="" count="0" memberValueDatatype="130" unbalanced="0"/>
    <cacheHierarchy uniqueName="[fCoveckiResursi  2].[Период]" caption="Период" attribute="1" time="1" defaultMemberUniqueName="[fCoveckiResursi  2].[Период].[All]" allUniqueName="[fCoveckiResursi  2].[Период].[All]" dimensionUniqueName="[fCoveckiResursi  2]" displayFolder="" count="0" memberValueDatatype="7" unbalanced="0"/>
    <cacheHierarchy uniqueName="[fCoveckiResursi  2].[Износ]" caption="Износ" attribute="1" defaultMemberUniqueName="[fCoveckiResursi  2].[Износ].[All]" allUniqueName="[fCoveckiResursi  2].[Износ].[All]" dimensionUniqueName="[fCoveckiResursi  2]" displayFolder="" count="0" memberValueDatatype="20" unbalanced="0"/>
    <cacheHierarchy uniqueName="[fCoveckiResursi  2].[Конто]" caption="Конто" attribute="1" defaultMemberUniqueName="[fCoveckiResursi  2].[Конто].[All]" allUniqueName="[fCoveckiResursi  2].[Конто].[All]" dimensionUniqueName="[fCoveckiResursi  2]" displayFolder="" count="0" memberValueDatatype="130" unbalanced="0"/>
    <cacheHierarchy uniqueName="[fCoveckiResursi  2].[ReportType]" caption="ReportType" attribute="1" defaultMemberUniqueName="[fCoveckiResursi  2].[ReportType].[All]" allUniqueName="[fCoveckiResursi  2].[ReportType].[All]" dimensionUniqueName="[fCoveckiResursi  2]" displayFolder="" count="0" memberValueDatatype="130" unbalanced="0"/>
    <cacheHierarchy uniqueName="[fCoveckiResursi  2].[StavkaImeMK]" caption="StavkaImeMK" attribute="1" defaultMemberUniqueName="[fCoveckiResursi  2].[StavkaImeMK].[All]" allUniqueName="[fCoveckiResursi  2].[StavkaImeMK].[All]" dimensionUniqueName="[fCoveckiResursi  2]" displayFolder="" count="0" memberValueDatatype="130" unbalanced="0"/>
    <cacheHierarchy uniqueName="[fCoveckiResursi  2].[StavkaKategorija]" caption="StavkaKategorija" attribute="1" defaultMemberUniqueName="[fCoveckiResursi  2].[StavkaKategorija].[All]" allUniqueName="[fCoveckiResursi  2].[StavkaKategorija].[All]" dimensionUniqueName="[fCoveckiResursi  2]" displayFolder="" count="0" memberValueDatatype="130" unbalanced="0"/>
    <cacheHierarchy uniqueName="[fCoveckiResursi  2].[ObrazecIme]" caption="ObrazecIme" attribute="1" defaultMemberUniqueName="[fCoveckiResursi  2].[ObrazecIme].[All]" allUniqueName="[fCoveckiResursi  2].[ObrazecIme].[All]" dimensionUniqueName="[fCoveckiResursi  2]" displayFolder="" count="0" memberValueDatatype="130" unbalanced="0"/>
    <cacheHierarchy uniqueName="[fOPEX].[Конто]" caption="Конто" attribute="1" defaultMemberUniqueName="[fOPEX].[Конто].[All]" allUniqueName="[fOPEX].[Конто].[All]" dimensionUniqueName="[fOPEX]" displayFolder="" count="0" memberValueDatatype="130" unbalanced="0"/>
    <cacheHierarchy uniqueName="[fOPEX].[Ставка]" caption="Ставка" attribute="1" defaultMemberUniqueName="[fOPEX].[Ставка].[All]" allUniqueName="[fOPEX].[Ставка].[All]" dimensionUniqueName="[fOPEX]" displayFolder="" count="0" memberValueDatatype="130" unbalanced="0"/>
    <cacheHierarchy uniqueName="[fOPEX].[Период]" caption="Период" attribute="1" time="1" defaultMemberUniqueName="[fOPEX].[Период].[All]" allUniqueName="[fOPEX].[Период].[All]" dimensionUniqueName="[fOPEX]" displayFolder="" count="0" memberValueDatatype="7" unbalanced="0"/>
    <cacheHierarchy uniqueName="[fOPEX].[Износ]" caption="Износ" attribute="1" defaultMemberUniqueName="[fOPEX].[Износ].[All]" allUniqueName="[fOPEX].[Износ].[All]" dimensionUniqueName="[fOPEX]" displayFolder="" count="0" memberValueDatatype="20" unbalanced="0"/>
    <cacheHierarchy uniqueName="[fOPEX].[ReportType]" caption="ReportType" attribute="1" defaultMemberUniqueName="[fOPEX].[ReportType].[All]" allUniqueName="[fOPEX].[ReportType].[All]" dimensionUniqueName="[fOPEX]" displayFolder="" count="0" memberValueDatatype="130" unbalanced="0"/>
    <cacheHierarchy uniqueName="[OPEXAnaliza].[Артикл ИД]" caption="Артикл ИД" attribute="1" defaultMemberUniqueName="[OPEXAnaliza].[Артикл ИД].[All]" allUniqueName="[OPEXAnaliza].[Артикл ИД].[All]" dimensionUniqueName="[OPEXAnaliza]" displayFolder="" count="0" memberValueDatatype="20" unbalanced="0"/>
    <cacheHierarchy uniqueName="[OPEXAnaliza].[Ставка]" caption="Ставка" attribute="1" defaultMemberUniqueName="[OPEXAnaliza].[Ставка].[All]" allUniqueName="[OPEXAnaliza].[Ставка].[All]" dimensionUniqueName="[OPEXAnaliza]" displayFolder="" count="0" memberValueDatatype="130" unbalanced="0"/>
    <cacheHierarchy uniqueName="[OPEXAnaliza].[Категорија Артикл ИД]" caption="Категорија Артикл ИД" attribute="1" defaultMemberUniqueName="[OPEXAnaliza].[Категорија Артикл ИД].[All]" allUniqueName="[OPEXAnaliza].[Категорија Артикл ИД].[All]" dimensionUniqueName="[OPEXAnaliza]" displayFolder="" count="0" memberValueDatatype="20" unbalanced="0"/>
    <cacheHierarchy uniqueName="[OPEXAnaliza].[Категорија Артикл]" caption="Категорија Артикл" attribute="1" defaultMemberUniqueName="[OPEXAnaliza].[Категорија Артикл].[All]" allUniqueName="[OPEXAnaliza].[Категорија Артикл].[All]" dimensionUniqueName="[OPEXAnaliza]" displayFolder="" count="0" memberValueDatatype="130" unbalanced="0"/>
    <cacheHierarchy uniqueName="[OPEXAnaliza].[Тип на артикл]" caption="Тип на артикл" attribute="1" defaultMemberUniqueName="[OPEXAnaliza].[Тип на артикл].[All]" allUniqueName="[OPEXAnaliza].[Тип на артикл].[All]" dimensionUniqueName="[OPEXAnaliza]" displayFolder="" count="0" memberValueDatatype="130" unbalanced="0"/>
    <cacheHierarchy uniqueName="[OPEXAnaliza].[Единечна мерка]" caption="Единечна мерка" attribute="1" defaultMemberUniqueName="[OPEXAnaliza].[Единечна мерка].[All]" allUniqueName="[OPEXAnaliza].[Единечна мерка].[All]" dimensionUniqueName="[OPEXAnaliza]" displayFolder="" count="0" memberValueDatatype="130" unbalanced="0"/>
    <cacheHierarchy uniqueName="[OPEXAnaliza].[Количина]" caption="Количина" attribute="1" defaultMemberUniqueName="[OPEXAnaliza].[Количина].[All]" allUniqueName="[OPEXAnaliza].[Количина].[All]" dimensionUniqueName="[OPEXAnaliza]" displayFolder="" count="0" memberValueDatatype="5" unbalanced="0"/>
    <cacheHierarchy uniqueName="[OPEXAnaliza].[Единечна цена]" caption="Единечна цена" attribute="1" defaultMemberUniqueName="[OPEXAnaliza].[Единечна цена].[All]" allUniqueName="[OPEXAnaliza].[Единечна цена].[All]" dimensionUniqueName="[OPEXAnaliza]" displayFolder="" count="0" memberValueDatatype="20" unbalanced="0"/>
    <cacheHierarchy uniqueName="[OPEXAnaliza].[Износ]" caption="Износ" attribute="1" defaultMemberUniqueName="[OPEXAnaliza].[Износ].[All]" allUniqueName="[OPEXAnaliza].[Износ].[All]" dimensionUniqueName="[OPEXAnaliza]" displayFolder="" count="0" memberValueDatatype="5" unbalanced="0"/>
    <cacheHierarchy uniqueName="[OPEXAnaliza].[ДДВ]" caption="ДДВ" attribute="1" defaultMemberUniqueName="[OPEXAnaliza].[ДДВ].[All]" allUniqueName="[OPEXAnaliza].[ДДВ].[All]" dimensionUniqueName="[OPEXAnaliza]" displayFolder="" count="0" memberValueDatatype="5" unbalanced="0"/>
    <cacheHierarchy uniqueName="[OPEXAnaliza].[Вкупно трошок со ДДВ]" caption="Вкупно трошок со ДДВ" attribute="1" defaultMemberUniqueName="[OPEXAnaliza].[Вкупно трошок со ДДВ].[All]" allUniqueName="[OPEXAnaliza].[Вкупно трошок со ДДВ].[All]" dimensionUniqueName="[OPEXAnaliza]" displayFolder="" count="0" memberValueDatatype="5" unbalanced="0"/>
    <cacheHierarchy uniqueName="[OPEXAnaliza].[Конто]" caption="Конто" attribute="1" defaultMemberUniqueName="[OPEXAnaliza].[Конто].[All]" allUniqueName="[OPEXAnaliza].[Конто].[All]" dimensionUniqueName="[OPEXAnaliza]" displayFolder="" count="0" memberValueDatatype="130" unbalanced="0"/>
    <cacheHierarchy uniqueName="[OPEXAnaliza].[Период]" caption="Период" attribute="1" time="1" defaultMemberUniqueName="[OPEXAnaliza].[Период].[All]" allUniqueName="[OPEXAnaliza].[Период].[All]" dimensionUniqueName="[OPEXAnaliza]" displayFolder="" count="0" memberValueDatatype="7" unbalanced="0"/>
    <cacheHierarchy uniqueName="[OPEXAnaliza].[ReportType]" caption="ReportType" attribute="1" defaultMemberUniqueName="[OPEXAnaliza].[ReportType].[All]" allUniqueName="[OPEXAnaliza].[ReportType].[All]" dimensionUniqueName="[OPEXAnaliza]" displayFolder="" count="0" memberValueDatatype="130" unbalanced="0"/>
    <cacheHierarchy uniqueName="[OPEXAnaliza].[StavkaImeMK]" caption="StavkaImeMK" attribute="1" defaultMemberUniqueName="[OPEXAnaliza].[StavkaImeMK].[All]" allUniqueName="[OPEXAnaliza].[StavkaImeMK].[All]" dimensionUniqueName="[OPEXAnaliza]" displayFolder="" count="0" memberValueDatatype="130" unbalanced="0"/>
    <cacheHierarchy uniqueName="[OPEXAnaliza].[StavkaKategorija]" caption="StavkaKategorija" attribute="1" defaultMemberUniqueName="[OPEXAnaliza].[StavkaKategorija].[All]" allUniqueName="[OPEXAnaliza].[StavkaKategorija].[All]" dimensionUniqueName="[OPEXAnaliza]" displayFolder="" count="0" memberValueDatatype="130" unbalanced="0"/>
    <cacheHierarchy uniqueName="[OPEXAnaliza].[ObrazecIme]" caption="ObrazecIme" attribute="1" defaultMemberUniqueName="[OPEXAnaliza].[ObrazecIme].[All]" allUniqueName="[OPEXAnaliza].[ObrazecIme].[All]" dimensionUniqueName="[OPEXAnaliza]" displayFolder="" count="0" memberValueDatatype="130" unbalanced="0"/>
    <cacheHierarchy uniqueName="[OPEXAnaliza].[StavkaImeAOP]" caption="StavkaImeAOP" attribute="1" defaultMemberUniqueName="[OPEXAnaliza].[StavkaImeAOP].[All]" allUniqueName="[OPEXAnaliza].[StavkaImeAOP].[All]" dimensionUniqueName="[OPEXAnaliza]" displayFolder="" count="0" memberValueDatatype="20" unbalanced="0"/>
    <cacheHierarchy uniqueName="[OPEXAnaliza].[Период (Year)]" caption="Период (Year)" attribute="1" defaultMemberUniqueName="[OPEXAnaliza].[Период (Year)].[All]" allUniqueName="[OPEXAnaliza].[Период (Year)].[All]" dimensionUniqueName="[OPEXAnaliza]" displayFolder="" count="0" memberValueDatatype="130" unbalanced="0"/>
    <cacheHierarchy uniqueName="[OPEXAnaliza].[Период (Quarter)]" caption="Период (Quarter)" attribute="1" defaultMemberUniqueName="[OPEXAnaliza].[Период (Quarter)].[All]" allUniqueName="[OPEXAnaliza].[Период (Quarter)].[All]" dimensionUniqueName="[OPEXAnaliza]" displayFolder="" count="0" memberValueDatatype="130" unbalanced="0"/>
    <cacheHierarchy uniqueName="[OPEXAnaliza].[Период (Month)]" caption="Период (Month)" attribute="1" defaultMemberUniqueName="[OPEXAnaliza].[Период (Month)].[All]" allUniqueName="[OPEXAnaliza].[Период (Month)].[All]" dimensionUniqueName="[OPEXAnaliza]" displayFolder="" count="0" memberValueDatatype="130" unbalanced="0"/>
    <cacheHierarchy uniqueName="[rArtikli_HR_Analiza].[Ставка]" caption="Ставка" attribute="1" defaultMemberUniqueName="[rArtikli_HR_Analiza].[Ставка].[All]" allUniqueName="[rArtikli_HR_Analiza].[Ставка].[All]" dimensionUniqueName="[rArtikli_HR_Analiza]" displayFolder="" count="0" memberValueDatatype="130" unbalanced="0"/>
    <cacheHierarchy uniqueName="[rArtikli_HR_Analiza].[Категорија Артикл]" caption="Категорија Артикл" attribute="1" defaultMemberUniqueName="[rArtikli_HR_Analiza].[Категорија Артикл].[All]" allUniqueName="[rArtikli_HR_Analiza].[Категорија Артикл].[All]" dimensionUniqueName="[rArtikli_HR_Analiza]" displayFolder="" count="0" memberValueDatatype="130" unbalanced="0"/>
    <cacheHierarchy uniqueName="[rArtikli_HR_Analiza].[Тип на артикл]" caption="Тип на артикл" attribute="1" defaultMemberUniqueName="[rArtikli_HR_Analiza].[Тип на артикл].[All]" allUniqueName="[rArtikli_HR_Analiza].[Тип на артикл].[All]" dimensionUniqueName="[rArtikli_HR_Analiza]" displayFolder="" count="0" memberValueDatatype="130" unbalanced="0"/>
    <cacheHierarchy uniqueName="[rArtikli_HR_Analiza].[Единечна мерка]" caption="Единечна мерка" attribute="1" defaultMemberUniqueName="[rArtikli_HR_Analiza].[Единечна мерка].[All]" allUniqueName="[rArtikli_HR_Analiza].[Единечна мерка].[All]" dimensionUniqueName="[rArtikli_HR_Analiza]" displayFolder="" count="0" memberValueDatatype="130" unbalanced="0"/>
    <cacheHierarchy uniqueName="[rArtikli_HR_Analiza].[Количина]" caption="Количина" attribute="1" defaultMemberUniqueName="[rArtikli_HR_Analiza].[Количина].[All]" allUniqueName="[rArtikli_HR_Analiza].[Количина].[All]" dimensionUniqueName="[rArtikli_HR_Analiza]" displayFolder="" count="0" memberValueDatatype="5" unbalanced="0"/>
    <cacheHierarchy uniqueName="[rArtikli_HR_Analiza].[Единечна цена]" caption="Единечна цена" attribute="1" defaultMemberUniqueName="[rArtikli_HR_Analiza].[Единечна цена].[All]" allUniqueName="[rArtikli_HR_Analiza].[Единечна цена].[All]" dimensionUniqueName="[rArtikli_HR_Analiza]" displayFolder="" count="0" memberValueDatatype="20" unbalanced="0"/>
    <cacheHierarchy uniqueName="[rArtikli_HR_Analiza].[Вкупно трошок]" caption="Вкупно трошок" attribute="1" defaultMemberUniqueName="[rArtikli_HR_Analiza].[Вкупно трошок].[All]" allUniqueName="[rArtikli_HR_Analiza].[Вкупно трошок].[All]" dimensionUniqueName="[rArtikli_HR_Analiza]" displayFolder="" count="0" memberValueDatatype="5" unbalanced="0"/>
    <cacheHierarchy uniqueName="[rArtikli_HR_Analiza].[ДДВ]" caption="ДДВ" attribute="1" defaultMemberUniqueName="[rArtikli_HR_Analiza].[ДДВ].[All]" allUniqueName="[rArtikli_HR_Analiza].[ДДВ].[All]" dimensionUniqueName="[rArtikli_HR_Analiza]" displayFolder="" count="0" memberValueDatatype="5" unbalanced="0"/>
    <cacheHierarchy uniqueName="[rArtikli_HR_Analiza].[Износ]" caption="Износ" attribute="1" defaultMemberUniqueName="[rArtikli_HR_Analiza].[Износ].[All]" allUniqueName="[rArtikli_HR_Analiza].[Износ].[All]" dimensionUniqueName="[rArtikli_HR_Analiza]" displayFolder="" count="0" memberValueDatatype="5" unbalanced="0"/>
    <cacheHierarchy uniqueName="[rArtikli_HR_Analiza].[Конто]" caption="Конто" attribute="1" defaultMemberUniqueName="[rArtikli_HR_Analiza].[Конто].[All]" allUniqueName="[rArtikli_HR_Analiza].[Конто].[All]" dimensionUniqueName="[rArtikli_HR_Analiza]" displayFolder="" count="0" memberValueDatatype="130" unbalanced="0"/>
    <cacheHierarchy uniqueName="[rArtikli_HR_Analiza].[ReportType]" caption="ReportType" attribute="1" defaultMemberUniqueName="[rArtikli_HR_Analiza].[ReportType].[All]" allUniqueName="[rArtikli_HR_Analiza].[ReportType].[All]" dimensionUniqueName="[rArtikli_HR_Analiza]" displayFolder="" count="0" memberValueDatatype="130" unbalanced="0"/>
    <cacheHierarchy uniqueName="[rArtikli_HR_Analiza].[Период]" caption="Период" attribute="1" time="1" defaultMemberUniqueName="[rArtikli_HR_Analiza].[Период].[All]" allUniqueName="[rArtikli_HR_Analiza].[Период].[All]" dimensionUniqueName="[rArtikli_HR_Analiza]" displayFolder="" count="0" memberValueDatatype="7" unbalanced="0"/>
    <cacheHierarchy uniqueName="[rArtikli_HR_Analiza].[StavkaImeMK]" caption="StavkaImeMK" attribute="1" defaultMemberUniqueName="[rArtikli_HR_Analiza].[StavkaImeMK].[All]" allUniqueName="[rArtikli_HR_Analiza].[StavkaImeMK].[All]" dimensionUniqueName="[rArtikli_HR_Analiza]" displayFolder="" count="0" memberValueDatatype="130" unbalanced="0"/>
    <cacheHierarchy uniqueName="[rArtikli_HR_Analiza].[StavkaAOP]" caption="StavkaAOP" attribute="1" defaultMemberUniqueName="[rArtikli_HR_Analiza].[StavkaAOP].[All]" allUniqueName="[rArtikli_HR_Analiza].[StavkaAOP].[All]" dimensionUniqueName="[rArtikli_HR_Analiza]" displayFolder="" count="0" memberValueDatatype="130" unbalanced="0"/>
    <cacheHierarchy uniqueName="[rArtikli_HR_Analiza].[StavkaGrupa]" caption="StavkaGrupa" attribute="1" defaultMemberUniqueName="[rArtikli_HR_Analiza].[StavkaGrupa].[All]" allUniqueName="[rArtikli_HR_Analiza].[StavkaGrupa].[All]" dimensionUniqueName="[rArtikli_HR_Analiza]" displayFolder="" count="0" memberValueDatatype="130" unbalanced="0"/>
    <cacheHierarchy uniqueName="[rArtikli_HR_Analiza].[StavkaKategorija]" caption="StavkaKategorija" attribute="1" defaultMemberUniqueName="[rArtikli_HR_Analiza].[StavkaKategorija].[All]" allUniqueName="[rArtikli_HR_Analiza].[StavkaKategorija].[All]" dimensionUniqueName="[rArtikli_HR_Analiza]" displayFolder="" count="0" memberValueDatatype="130" unbalanced="0"/>
    <cacheHierarchy uniqueName="[rArtikli_HR_Analiza].[ObrazecIme]" caption="ObrazecIme" attribute="1" defaultMemberUniqueName="[rArtikli_HR_Analiza].[ObrazecIme].[All]" allUniqueName="[rArtikli_HR_Analiza].[ObrazecIme].[All]" dimensionUniqueName="[rArtikli_HR_Analiza]" displayFolder="" count="0" memberValueDatatype="130" unbalanced="0"/>
    <cacheHierarchy uniqueName="[rArtikli_HR_Analiza].[StavkaKategorija.1]" caption="StavkaKategorija.1" attribute="1" defaultMemberUniqueName="[rArtikli_HR_Analiza].[StavkaKategorija.1].[All]" allUniqueName="[rArtikli_HR_Analiza].[StavkaKategorija.1].[All]" dimensionUniqueName="[rArtikli_HR_Analiza]" displayFolder="" count="0" memberValueDatatype="130" unbalanced="0"/>
    <cacheHierarchy uniqueName="[rArtikliAnaliza].[Артикл ИД]" caption="Артикл ИД" attribute="1" defaultMemberUniqueName="[rArtikliAnaliza].[Артикл ИД].[All]" allUniqueName="[rArtikliAnaliza].[Артикл ИД].[All]" dimensionUniqueName="[rArtikliAnaliza]" displayFolder="" count="0" memberValueDatatype="20" unbalanced="0"/>
    <cacheHierarchy uniqueName="[rArtikliAnaliza].[Ставка]" caption="Ставка" attribute="1" defaultMemberUniqueName="[rArtikliAnaliza].[Ставка].[All]" allUniqueName="[rArtikliAnaliza].[Ставка].[All]" dimensionUniqueName="[rArtikliAnaliza]" displayFolder="" count="0" memberValueDatatype="130" unbalanced="0"/>
    <cacheHierarchy uniqueName="[rArtikliAnaliza].[Категорија Артикл ИД]" caption="Категорија Артикл ИД" attribute="1" defaultMemberUniqueName="[rArtikliAnaliza].[Категорија Артикл ИД].[All]" allUniqueName="[rArtikliAnaliza].[Категорија Артикл ИД].[All]" dimensionUniqueName="[rArtikliAnaliza]" displayFolder="" count="0" memberValueDatatype="20" unbalanced="0"/>
    <cacheHierarchy uniqueName="[rArtikliAnaliza].[Категорија Артикл]" caption="Категорија Артикл" attribute="1" defaultMemberUniqueName="[rArtikliAnaliza].[Категорија Артикл].[All]" allUniqueName="[rArtikliAnaliza].[Категорија Артикл].[All]" dimensionUniqueName="[rArtikliAnaliza]" displayFolder="" count="0" memberValueDatatype="130" unbalanced="0"/>
    <cacheHierarchy uniqueName="[rArtikliAnaliza].[Тип на артикл]" caption="Тип на артикл" attribute="1" defaultMemberUniqueName="[rArtikliAnaliza].[Тип на артикл].[All]" allUniqueName="[rArtikliAnaliza].[Тип на артикл].[All]" dimensionUniqueName="[rArtikliAnaliza]" displayFolder="" count="0" memberValueDatatype="130" unbalanced="0"/>
    <cacheHierarchy uniqueName="[rArtikliAnaliza].[Единечна мерка]" caption="Единечна мерка" attribute="1" defaultMemberUniqueName="[rArtikliAnaliza].[Единечна мерка].[All]" allUniqueName="[rArtikliAnaliza].[Единечна мерка].[All]" dimensionUniqueName="[rArtikliAnaliza]" displayFolder="" count="0" memberValueDatatype="130" unbalanced="0"/>
    <cacheHierarchy uniqueName="[rArtikliAnaliza].[Количина]" caption="Количина" attribute="1" defaultMemberUniqueName="[rArtikliAnaliza].[Количина].[All]" allUniqueName="[rArtikliAnaliza].[Количина].[All]" dimensionUniqueName="[rArtikliAnaliza]" displayFolder="" count="0" memberValueDatatype="5" unbalanced="0"/>
    <cacheHierarchy uniqueName="[rArtikliAnaliza].[Единечна цена]" caption="Единечна цена" attribute="1" defaultMemberUniqueName="[rArtikliAnaliza].[Единечна цена].[All]" allUniqueName="[rArtikliAnaliza].[Единечна цена].[All]" dimensionUniqueName="[rArtikliAnaliza]" displayFolder="" count="0" memberValueDatatype="20" unbalanced="0"/>
    <cacheHierarchy uniqueName="[rArtikliAnaliza].[Износ]" caption="Износ" attribute="1" defaultMemberUniqueName="[rArtikliAnaliza].[Износ].[All]" allUniqueName="[rArtikliAnaliza].[Износ].[All]" dimensionUniqueName="[rArtikliAnaliza]" displayFolder="" count="0" memberValueDatatype="5" unbalanced="0"/>
    <cacheHierarchy uniqueName="[rArtikliAnaliza].[ДДВ]" caption="ДДВ" attribute="1" defaultMemberUniqueName="[rArtikliAnaliza].[ДДВ].[All]" allUniqueName="[rArtikliAnaliza].[ДДВ].[All]" dimensionUniqueName="[rArtikliAnaliza]" displayFolder="" count="0" memberValueDatatype="5" unbalanced="0"/>
    <cacheHierarchy uniqueName="[rArtikliAnaliza].[Вкупно трошок со ДДВ]" caption="Вкупно трошок со ДДВ" attribute="1" defaultMemberUniqueName="[rArtikliAnaliza].[Вкупно трошок со ДДВ].[All]" allUniqueName="[rArtikliAnaliza].[Вкупно трошок со ДДВ].[All]" dimensionUniqueName="[rArtikliAnaliza]" displayFolder="" count="0" memberValueDatatype="5" unbalanced="0"/>
    <cacheHierarchy uniqueName="[rArtikliAnaliza].[Конто]" caption="Конто" attribute="1" defaultMemberUniqueName="[rArtikliAnaliza].[Конто].[All]" allUniqueName="[rArtikliAnaliza].[Конто].[All]" dimensionUniqueName="[rArtikliAnaliza]" displayFolder="" count="0" memberValueDatatype="130" unbalanced="0"/>
    <cacheHierarchy uniqueName="[rArtikliAnaliza].[Период]" caption="Период" attribute="1" time="1" defaultMemberUniqueName="[rArtikliAnaliza].[Период].[All]" allUniqueName="[rArtikliAnaliza].[Период].[All]" dimensionUniqueName="[rArtikliAnaliza]" displayFolder="" count="0" memberValueDatatype="7" unbalanced="0"/>
    <cacheHierarchy uniqueName="[rArtikliAnaliza].[ReportType]" caption="ReportType" attribute="1" defaultMemberUniqueName="[rArtikliAnaliza].[ReportType].[All]" allUniqueName="[rArtikliAnaliza].[ReportType].[All]" dimensionUniqueName="[rArtikliAnaliza]" displayFolder="" count="0" memberValueDatatype="130" unbalanced="0"/>
    <cacheHierarchy uniqueName="[rArtikliAnaliza].[StavkaImeMK]" caption="StavkaImeMK" attribute="1" defaultMemberUniqueName="[rArtikliAnaliza].[StavkaImeMK].[All]" allUniqueName="[rArtikliAnaliza].[StavkaImeMK].[All]" dimensionUniqueName="[rArtikliAnaliza]" displayFolder="" count="0" memberValueDatatype="130" unbalanced="0"/>
    <cacheHierarchy uniqueName="[rArtikliAnaliza].[StavkaKategorija]" caption="StavkaKategorija" attribute="1" defaultMemberUniqueName="[rArtikliAnaliza].[StavkaKategorija].[All]" allUniqueName="[rArtikliAnaliza].[StavkaKategorija].[All]" dimensionUniqueName="[rArtikliAnaliza]" displayFolder="" count="0" memberValueDatatype="130" unbalanced="0"/>
    <cacheHierarchy uniqueName="[rArtikliAnaliza].[Период (Year)]" caption="Период (Year)" attribute="1" defaultMemberUniqueName="[rArtikliAnaliza].[Период (Year)].[All]" allUniqueName="[rArtikliAnaliza].[Период (Year)].[All]" dimensionUniqueName="[rArtikliAnaliza]" displayFolder="" count="0" memberValueDatatype="130" unbalanced="0"/>
    <cacheHierarchy uniqueName="[rArtikliAnaliza].[Период (Quarter)]" caption="Период (Quarter)" attribute="1" defaultMemberUniqueName="[rArtikliAnaliza].[Период (Quarter)].[All]" allUniqueName="[rArtikliAnaliza].[Период (Quarter)].[All]" dimensionUniqueName="[rArtikliAnaliza]" displayFolder="" count="0" memberValueDatatype="130" unbalanced="0"/>
    <cacheHierarchy uniqueName="[rArtikliAnaliza].[Период (Month)]" caption="Период (Month)" attribute="1" defaultMemberUniqueName="[rArtikliAnaliza].[Период (Month)].[All]" allUniqueName="[rArtikliAnaliza].[Период (Month)].[All]" dimensionUniqueName="[rArtikliAnaliza]" displayFolder="" count="0" memberValueDatatype="130" unbalanced="0"/>
    <cacheHierarchy uniqueName="[CAPEX].[Очекуван датум за ставање во употреба (месец) (Month Index)]" caption="Очекуван датум за ставање во употреба (месец) (Month Index)" attribute="1" defaultMemberUniqueName="[CAPEX].[Очекуван датум за ставање во употреба (месец) (Month Index)].[All]" allUniqueName="[CAPEX].[Очекуван датум за ставање во употреба (месец) (Month Index)].[All]" dimensionUniqueName="[CAPEX]" displayFolder="" count="0" memberValueDatatype="20" unbalanced="0" hidden="1"/>
    <cacheHierarchy uniqueName="[CAPEX].[Очекуван датум на плаќање (Month Index)]" caption="Очекуван датум на плаќање (Month Index)" attribute="1" defaultMemberUniqueName="[CAPEX].[Очекуван датум на плаќање (Month Index)].[All]" allUniqueName="[CAPEX].[Очекуван датум на плаќање (Month Index)].[All]" dimensionUniqueName="[CAPEX]" displayFolder="" count="0" memberValueDatatype="20" unbalanced="0" hidden="1"/>
    <cacheHierarchy uniqueName="[fActualAndBudget].[StavkaID]" caption="StavkaID" attribute="1" defaultMemberUniqueName="[fActualAndBudget].[StavkaID].[All]" allUniqueName="[fActualAndBudget].[StavkaID].[All]" dimensionUniqueName="[fActualAndBudget]" displayFolder="" count="0" memberValueDatatype="20" unbalanced="0" hidden="1"/>
    <cacheHierarchy uniqueName="[fCoveckiResursi].[Период (Month Index)]" caption="Период (Month Index)" attribute="1" defaultMemberUniqueName="[fCoveckiResursi].[Период (Month Index)].[All]" allUniqueName="[fCoveckiResursi].[Период (Month Index)].[All]" dimensionUniqueName="[fCoveckiResursi]" displayFolder="" count="0" memberValueDatatype="20" unbalanced="0" hidden="1"/>
    <cacheHierarchy uniqueName="[fCoveckiResursi].[Период (Month Index) 1]" caption="Период (Month Index) 1" attribute="1" defaultMemberUniqueName="[fCoveckiResursi].[Период (Month Index) 1].[All]" allUniqueName="[fCoveckiResursi].[Период (Month Index) 1].[All]" dimensionUniqueName="[fCoveckiResursi]" displayFolder="" count="0" memberValueDatatype="20" unbalanced="0" hidden="1"/>
    <cacheHierarchy uniqueName="[OPEXAnaliza].[Период (Month Index)]" caption="Период (Month Index)" attribute="1" defaultMemberUniqueName="[OPEXAnaliza].[Период (Month Index)].[All]" allUniqueName="[OPEXAnaliza].[Период (Month Index)].[All]" dimensionUniqueName="[OPEXAnaliza]" displayFolder="" count="0" memberValueDatatype="20" unbalanced="0" hidden="1"/>
    <cacheHierarchy uniqueName="[rArtikli_HR_Analiza].[Крајна состојба вработени]" caption="Крајна состојба вработени" attribute="1" defaultMemberUniqueName="[rArtikli_HR_Analiza].[Крајна состојба вработени].[All]" allUniqueName="[rArtikli_HR_Analiza].[Крајна состојба вработени].[All]" dimensionUniqueName="[rArtikli_HR_Analiza]" displayFolder="" count="0" memberValueDatatype="20" unbalanced="0" hidden="1"/>
    <cacheHierarchy uniqueName="[rArtikli_HR_Analiza].[Планиран прилив/(одлив)]" caption="Планиран прилив/(одлив)" attribute="1" defaultMemberUniqueName="[rArtikli_HR_Analiza].[Планиран прилив/(одлив)].[All]" allUniqueName="[rArtikli_HR_Analiza].[Планиран прилив/(одлив)].[All]" dimensionUniqueName="[rArtikli_HR_Analiza]" displayFolder="" count="0" memberValueDatatype="20" unbalanced="0" hidden="1"/>
    <cacheHierarchy uniqueName="[rArtikli_HR_Analiza].[Тип на вработување]" caption="Тип на вработување" attribute="1" defaultMemberUniqueName="[rArtikli_HR_Analiza].[Тип на вработување].[All]" allUniqueName="[rArtikli_HR_Analiza].[Тип на вработување].[All]" dimensionUniqueName="[rArtikli_HR_Analiza]" displayFolder="" count="0" memberValueDatatype="130" unbalanced="0" hidden="1"/>
    <cacheHierarchy uniqueName="[rArtikliAnaliza].[Период (Month Index)]" caption="Период (Month Index)" attribute="1" defaultMemberUniqueName="[rArtikliAnaliza].[Период (Month Index)].[All]" allUniqueName="[rArtikliAnaliza].[Период (Month Index)].[All]" dimensionUniqueName="[rArtikliAnaliza]" displayFolder="" count="0" memberValueDatatype="20" unbalanced="0" hidden="1"/>
    <cacheHierarchy uniqueName="[Measures].[__XL_Count Calendar]" caption="__XL_Count Calendar" measure="1" displayFolder="" measureGroup="Calendar" count="0" hidden="1"/>
    <cacheHierarchy uniqueName="[Measures].[__XL_Count CAPEX]" caption="__XL_Count CAPEX" measure="1" displayFolder="" measureGroup="CAPEX" count="0" hidden="1"/>
    <cacheHierarchy uniqueName="[Measures].[__XL_Count Amortizacija]" caption="__XL_Count Amortizacija" measure="1" displayFolder="" measureGroup="Amortizacija" count="0" hidden="1"/>
    <cacheHierarchy uniqueName="[Measures].[__XL_Count fCoveckiResursi]" caption="__XL_Count fCoveckiResursi" measure="1" displayFolder="" measureGroup="fCoveckiResursi" count="0" hidden="1"/>
    <cacheHierarchy uniqueName="[Measures].[__XL_Count fActualAndBudget]" caption="__XL_Count fActualAndBudget" measure="1" displayFolder="" measureGroup="fActualAndBudget" count="0" hidden="1"/>
    <cacheHierarchy uniqueName="[Measures].[__XL_Count fOPEX]" caption="__XL_Count fOPEX" measure="1" displayFolder="" measureGroup="fOPEX" count="0" hidden="1"/>
    <cacheHierarchy uniqueName="[Measures].[__XL_Count OPEXAnaliza]" caption="__XL_Count OPEXAnaliza" measure="1" displayFolder="" measureGroup="OPEXAnaliza" count="0" hidden="1"/>
    <cacheHierarchy uniqueName="[Measures].[__XL_Count rArtikliAnaliza]" caption="__XL_Count rArtikliAnaliza" measure="1" displayFolder="" measureGroup="rArtikliAnaliza" count="0" hidden="1"/>
    <cacheHierarchy uniqueName="[Measures].[__XL_Count fArtikliCeni]" caption="__XL_Count fArtikliCeni" measure="1" displayFolder="" measureGroup="fArtikliCeni" count="0" hidden="1"/>
    <cacheHierarchy uniqueName="[Measures].[__XL_Count rArtikli_HR_Analiza]" caption="__XL_Count rArtikli_HR_Analiza" measure="1" displayFolder="" measureGroup="rArtikli_HR_Analiza" count="0" hidden="1"/>
    <cacheHierarchy uniqueName="[Measures].[__XL_Count fCoveckiResursi  2]" caption="__XL_Count fCoveckiResursi  2" measure="1" displayFolder="" measureGroup="fCoveckiResursi  2" count="0" hidden="1"/>
    <cacheHierarchy uniqueName="[Measures].[__No measures defined]" caption="__No measures defined" measure="1" displayFolder="" count="0" hidden="1"/>
    <cacheHierarchy uniqueName="[Measures].[Sum of Износ 3]" caption="Sum of Износ 3" measure="1" displayFolder="" measureGroup="fCoveckiResursi" count="0" hidden="1">
      <extLst>
        <ext xmlns:x15="http://schemas.microsoft.com/office/spreadsheetml/2010/11/main" uri="{B97F6D7D-B522-45F9-BDA1-12C45D357490}">
          <x15:cacheHierarchy aggregatedColumn="71"/>
        </ext>
      </extLst>
    </cacheHierarchy>
    <cacheHierarchy uniqueName="[Measures].[Sum of Крајна состојба вработени]" caption="Sum of Крајна состојба вработени" measure="1" displayFolder="" measureGroup="fCoveckiResursi" count="0" hidden="1">
      <extLst>
        <ext xmlns:x15="http://schemas.microsoft.com/office/spreadsheetml/2010/11/main" uri="{B97F6D7D-B522-45F9-BDA1-12C45D357490}">
          <x15:cacheHierarchy aggregatedColumn="70"/>
        </ext>
      </extLst>
    </cacheHierarchy>
    <cacheHierarchy uniqueName="[Measures].[Sum of Планиран прилив/(одлив)]" caption="Sum of Планиран прилив/(одлив)" measure="1" displayFolder="" measureGroup="fCoveckiResursi" count="0" hidden="1">
      <extLst>
        <ext xmlns:x15="http://schemas.microsoft.com/office/spreadsheetml/2010/11/main" uri="{B97F6D7D-B522-45F9-BDA1-12C45D357490}">
          <x15:cacheHierarchy aggregatedColumn="68"/>
        </ext>
      </extLst>
    </cacheHierarchy>
    <cacheHierarchy uniqueName="[Measures].[Sum of Износ]" caption="Sum of Износ" measure="1" displayFolder="" measureGroup="fActualAndBudget" count="0" oneField="1" hidden="1">
      <fieldsUsage count="1">
        <fieldUsage x="2"/>
      </fieldsUsage>
      <extLst>
        <ext xmlns:x15="http://schemas.microsoft.com/office/spreadsheetml/2010/11/main" uri="{B97F6D7D-B522-45F9-BDA1-12C45D357490}">
          <x15:cacheHierarchy aggregatedColumn="45"/>
        </ext>
      </extLst>
    </cacheHierarchy>
    <cacheHierarchy uniqueName="[Measures].[Sum of Износ (илјади)]" caption="Sum of Износ (илјади)" measure="1" displayFolder="" measureGroup="fActualAndBudget" count="0" hidden="1">
      <extLst>
        <ext xmlns:x15="http://schemas.microsoft.com/office/spreadsheetml/2010/11/main" uri="{B97F6D7D-B522-45F9-BDA1-12C45D357490}">
          <x15:cacheHierarchy aggregatedColumn="46"/>
        </ext>
      </extLst>
    </cacheHierarchy>
    <cacheHierarchy uniqueName="[Measures].[Sum of Износ1]" caption="Sum of Износ1" measure="1" displayFolder="" measureGroup="fActualAndBudget" count="0" hidden="1">
      <extLst>
        <ext xmlns:x15="http://schemas.microsoft.com/office/spreadsheetml/2010/11/main" uri="{B97F6D7D-B522-45F9-BDA1-12C45D357490}">
          <x15:cacheHierarchy aggregatedColumn="34"/>
        </ext>
      </extLst>
    </cacheHierarchy>
    <cacheHierarchy uniqueName="[Measures].[Sum of Износ 2]" caption="Sum of Износ 2" measure="1" displayFolder="" measureGroup="Amortizacija" count="0" hidden="1">
      <extLst>
        <ext xmlns:x15="http://schemas.microsoft.com/office/spreadsheetml/2010/11/main" uri="{B97F6D7D-B522-45F9-BDA1-12C45D357490}">
          <x15:cacheHierarchy aggregatedColumn="3"/>
        </ext>
      </extLst>
    </cacheHierarchy>
    <cacheHierarchy uniqueName="[Measures].[Sum of Износ 4]" caption="Sum of Износ 4" measure="1" displayFolder="" measureGroup="OPEXAnaliza" count="0" hidden="1">
      <extLst>
        <ext xmlns:x15="http://schemas.microsoft.com/office/spreadsheetml/2010/11/main" uri="{B97F6D7D-B522-45F9-BDA1-12C45D357490}">
          <x15:cacheHierarchy aggregatedColumn="101"/>
        </ext>
      </extLst>
    </cacheHierarchy>
    <cacheHierarchy uniqueName="[Measures].[Sum of Износ донација]" caption="Sum of Износ донација" measure="1" displayFolder="" measureGroup="CAPEX" count="0" hidden="1">
      <extLst>
        <ext xmlns:x15="http://schemas.microsoft.com/office/spreadsheetml/2010/11/main" uri="{B97F6D7D-B522-45F9-BDA1-12C45D357490}">
          <x15:cacheHierarchy aggregatedColumn="24"/>
        </ext>
      </extLst>
    </cacheHierarchy>
    <cacheHierarchy uniqueName="[Measures].[Sum of Вкупно трошок]" caption="Sum of Вкупно трошок" measure="1" displayFolder="" measureGroup="fArtikliCeni" count="0" hidden="1">
      <extLst>
        <ext xmlns:x15="http://schemas.microsoft.com/office/spreadsheetml/2010/11/main" uri="{B97F6D7D-B522-45F9-BDA1-12C45D357490}">
          <x15:cacheHierarchy aggregatedColumn="55"/>
        </ext>
      </extLst>
    </cacheHierarchy>
    <cacheHierarchy uniqueName="[Measures].[Sum of Количина]" caption="Sum of Количина" measure="1" displayFolder="" measureGroup="fArtikliCeni" count="0" hidden="1">
      <extLst>
        <ext xmlns:x15="http://schemas.microsoft.com/office/spreadsheetml/2010/11/main" uri="{B97F6D7D-B522-45F9-BDA1-12C45D357490}">
          <x15:cacheHierarchy aggregatedColumn="53"/>
        </ext>
      </extLst>
    </cacheHierarchy>
    <cacheHierarchy uniqueName="[Measures].[Sum of Единечна цена]" caption="Sum of Единечна цена" measure="1" displayFolder="" measureGroup="fArtikliCeni" count="0" hidden="1">
      <extLst>
        <ext xmlns:x15="http://schemas.microsoft.com/office/spreadsheetml/2010/11/main" uri="{B97F6D7D-B522-45F9-BDA1-12C45D357490}">
          <x15:cacheHierarchy aggregatedColumn="54"/>
        </ext>
      </extLst>
    </cacheHierarchy>
    <cacheHierarchy uniqueName="[Measures].[Sum of ДДВ]" caption="Sum of ДДВ" measure="1" displayFolder="" measureGroup="fArtikliCeni" count="0" hidden="1">
      <extLst>
        <ext xmlns:x15="http://schemas.microsoft.com/office/spreadsheetml/2010/11/main" uri="{B97F6D7D-B522-45F9-BDA1-12C45D357490}">
          <x15:cacheHierarchy aggregatedColumn="56"/>
        </ext>
      </extLst>
    </cacheHierarchy>
    <cacheHierarchy uniqueName="[Measures].[Sum of Износ 6]" caption="Sum of Износ 6" measure="1" displayFolder="" measureGroup="fArtikliCeni" count="0" hidden="1">
      <extLst>
        <ext xmlns:x15="http://schemas.microsoft.com/office/spreadsheetml/2010/11/main" uri="{B97F6D7D-B522-45F9-BDA1-12C45D357490}">
          <x15:cacheHierarchy aggregatedColumn="57"/>
        </ext>
      </extLst>
    </cacheHierarchy>
    <cacheHierarchy uniqueName="[Measures].[Count of Единечна мерка]" caption="Count of Единечна мерка" measure="1" displayFolder="" measureGroup="fArtikliCeni" count="0" hidden="1">
      <extLst>
        <ext xmlns:x15="http://schemas.microsoft.com/office/spreadsheetml/2010/11/main" uri="{B97F6D7D-B522-45F9-BDA1-12C45D357490}">
          <x15:cacheHierarchy aggregatedColumn="52"/>
        </ext>
      </extLst>
    </cacheHierarchy>
    <cacheHierarchy uniqueName="[Measures].[Sum of Количина 2]" caption="Sum of Количина 2" measure="1" displayFolder="" measureGroup="rArtikli_HR_Analiza" count="0" hidden="1">
      <extLst>
        <ext xmlns:x15="http://schemas.microsoft.com/office/spreadsheetml/2010/11/main" uri="{B97F6D7D-B522-45F9-BDA1-12C45D357490}">
          <x15:cacheHierarchy aggregatedColumn="118"/>
        </ext>
      </extLst>
    </cacheHierarchy>
    <cacheHierarchy uniqueName="[Measures].[Sum of Единечна цена 2]" caption="Sum of Единечна цена 2" measure="1" displayFolder="" measureGroup="rArtikli_HR_Analiza" count="0" hidden="1">
      <extLst>
        <ext xmlns:x15="http://schemas.microsoft.com/office/spreadsheetml/2010/11/main" uri="{B97F6D7D-B522-45F9-BDA1-12C45D357490}">
          <x15:cacheHierarchy aggregatedColumn="119"/>
        </ext>
      </extLst>
    </cacheHierarchy>
    <cacheHierarchy uniqueName="[Measures].[Sum of Вкупно трошок 2]" caption="Sum of Вкупно трошок 2" measure="1" displayFolder="" measureGroup="rArtikli_HR_Analiza" count="0" hidden="1">
      <extLst>
        <ext xmlns:x15="http://schemas.microsoft.com/office/spreadsheetml/2010/11/main" uri="{B97F6D7D-B522-45F9-BDA1-12C45D357490}">
          <x15:cacheHierarchy aggregatedColumn="120"/>
        </ext>
      </extLst>
    </cacheHierarchy>
    <cacheHierarchy uniqueName="[Measures].[Sum of ДДВ 2]" caption="Sum of ДДВ 2" measure="1" displayFolder="" measureGroup="rArtikli_HR_Analiza" count="0" hidden="1">
      <extLst>
        <ext xmlns:x15="http://schemas.microsoft.com/office/spreadsheetml/2010/11/main" uri="{B97F6D7D-B522-45F9-BDA1-12C45D357490}">
          <x15:cacheHierarchy aggregatedColumn="121"/>
        </ext>
      </extLst>
    </cacheHierarchy>
    <cacheHierarchy uniqueName="[Measures].[Sum of Износ 7]" caption="Sum of Износ 7" measure="1" displayFolder="" measureGroup="rArtikli_HR_Analiza" count="0" hidden="1">
      <extLst>
        <ext xmlns:x15="http://schemas.microsoft.com/office/spreadsheetml/2010/11/main" uri="{B97F6D7D-B522-45F9-BDA1-12C45D357490}">
          <x15:cacheHierarchy aggregatedColumn="122"/>
        </ext>
      </extLst>
    </cacheHierarchy>
    <cacheHierarchy uniqueName="[Measures].[Sum of Износ 5]" caption="Sum of Износ 5" measure="1" displayFolder="" measureGroup="fCoveckiResursi  2" count="0" hidden="1">
      <extLst>
        <ext xmlns:x15="http://schemas.microsoft.com/office/spreadsheetml/2010/11/main" uri="{B97F6D7D-B522-45F9-BDA1-12C45D357490}">
          <x15:cacheHierarchy aggregatedColumn="82"/>
        </ext>
      </extLst>
    </cacheHierarchy>
    <cacheHierarchy uniqueName="[Measures].[Sum of Проценета вредност на набавка со ДДВ (денари)]" caption="Sum of Проценета вредност на набавка со ДДВ (денари)" measure="1" displayFolder="" measureGroup="CAPEX" count="0" hidden="1">
      <extLst>
        <ext xmlns:x15="http://schemas.microsoft.com/office/spreadsheetml/2010/11/main" uri="{B97F6D7D-B522-45F9-BDA1-12C45D357490}">
          <x15:cacheHierarchy aggregatedColumn="20"/>
        </ext>
      </extLst>
    </cacheHierarchy>
  </cacheHierarchies>
  <kpis count="0"/>
  <dimensions count="12">
    <dimension name="Amortizacija" uniqueName="[Amortizacija]" caption="Amortizacija"/>
    <dimension name="Calendar" uniqueName="[Calendar]" caption="Calendar"/>
    <dimension name="CAPEX" uniqueName="[CAPEX]" caption="CAPEX"/>
    <dimension name="fActualAndBudget" uniqueName="[fActualAndBudget]" caption="fActualAndBudget"/>
    <dimension name="fArtikliCeni" uniqueName="[fArtikliCeni]" caption="fArtikliCeni"/>
    <dimension name="fCoveckiResursi" uniqueName="[fCoveckiResursi]" caption="fCoveckiResursi"/>
    <dimension name="fCoveckiResursi  2" uniqueName="[fCoveckiResursi  2]" caption="fCoveckiResursi  2"/>
    <dimension name="fOPEX" uniqueName="[fOPEX]" caption="fOPEX"/>
    <dimension measure="1" name="Measures" uniqueName="[Measures]" caption="Measures"/>
    <dimension name="OPEXAnaliza" uniqueName="[OPEXAnaliza]" caption="OPEXAnaliza"/>
    <dimension name="rArtikli_HR_Analiza" uniqueName="[rArtikli_HR_Analiza]" caption="rArtikli_HR_Analiza"/>
    <dimension name="rArtikliAnaliza" uniqueName="[rArtikliAnaliza]" caption="rArtikliAnaliza"/>
  </dimensions>
  <measureGroups count="11">
    <measureGroup name="Amortizacija" caption="Amortizacija"/>
    <measureGroup name="Calendar" caption="Calendar"/>
    <measureGroup name="CAPEX" caption="CAPEX"/>
    <measureGroup name="fActualAndBudget" caption="fActualAndBudget"/>
    <measureGroup name="fArtikliCeni" caption="fArtikliCeni"/>
    <measureGroup name="fCoveckiResursi" caption="fCoveckiResursi"/>
    <measureGroup name="fCoveckiResursi  2" caption="fCoveckiResursi  2"/>
    <measureGroup name="fOPEX" caption="fOPEX"/>
    <measureGroup name="OPEXAnaliza" caption="OPEXAnaliza"/>
    <measureGroup name="rArtikli_HR_Analiza" caption="rArtikli_HR_Analiza"/>
    <measureGroup name="rArtikliAnaliza" caption="rArtikliAnaliza"/>
  </measureGroups>
  <maps count="19">
    <map measureGroup="0" dimension="0"/>
    <map measureGroup="0" dimension="1"/>
    <map measureGroup="1" dimension="1"/>
    <map measureGroup="2" dimension="1"/>
    <map measureGroup="2" dimension="2"/>
    <map measureGroup="3" dimension="1"/>
    <map measureGroup="3" dimension="3"/>
    <map measureGroup="4" dimension="4"/>
    <map measureGroup="5" dimension="1"/>
    <map measureGroup="5" dimension="5"/>
    <map measureGroup="6" dimension="1"/>
    <map measureGroup="6" dimension="6"/>
    <map measureGroup="7" dimension="1"/>
    <map measureGroup="7" dimension="7"/>
    <map measureGroup="8" dimension="1"/>
    <map measureGroup="8" dimension="9"/>
    <map measureGroup="9" dimension="10"/>
    <map measureGroup="10" dimension="1"/>
    <map measureGroup="10" dimension="1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ngela Sazdova - Doneva" refreshedDate="44899.978555092595" createdVersion="5" refreshedVersion="6" minRefreshableVersion="3" recordCount="0" supportSubquery="1" supportAdvancedDrill="1" xr:uid="{00000000-000A-0000-FFFF-FFFF16000000}">
  <cacheSource type="external" connectionId="22"/>
  <cacheFields count="6">
    <cacheField name="[Calendar].[Date Hierarchy].[Year]" caption="Year" numFmtId="0" hierarchy="7" level="1">
      <sharedItems containsSemiMixedTypes="0" containsNonDate="0" containsString="0"/>
    </cacheField>
    <cacheField name="[Calendar].[Date Hierarchy].[Month]" caption="Month" numFmtId="0" hierarchy="7" level="2">
      <sharedItems containsSemiMixedTypes="0" containsNonDate="0" containsString="0"/>
    </cacheField>
    <cacheField name="[Calendar].[Date Hierarchy].[DateColumn]" caption="DateColumn" numFmtId="0" hierarchy="7" level="3">
      <sharedItems containsSemiMixedTypes="0" containsNonDate="0" containsString="0"/>
    </cacheField>
    <cacheField name="[fActualAndBudget].[ReportType].[ReportType]" caption="ReportType" numFmtId="0" hierarchy="35" level="1">
      <sharedItems containsSemiMixedTypes="0" containsNonDate="0" containsString="0"/>
    </cacheField>
    <cacheField name="[Calendar].[Година].[Година]" caption="Година" numFmtId="0" hierarchy="8" level="1">
      <sharedItems containsSemiMixedTypes="0" containsNonDate="0" containsString="0"/>
    </cacheField>
    <cacheField name="[fActualAndBudget].[ObrazecIme].[ObrazecIme]" caption="ObrazecIme" numFmtId="0" hierarchy="44" level="1">
      <sharedItems containsSemiMixedTypes="0" containsNonDate="0" containsString="0"/>
    </cacheField>
  </cacheFields>
  <cacheHierarchies count="195">
    <cacheHierarchy uniqueName="[Amortizacija].[Број на јавна набавка (план)]" caption="Број на јавна набавка (план)" attribute="1" defaultMemberUniqueName="[Amortizacija].[Број на јавна набавка (план)].[All]" allUniqueName="[Amortizacija].[Број на јавна набавка (план)].[All]" dimensionUniqueName="[Amortizacija]" displayFolder="" count="0" memberValueDatatype="130" unbalanced="0"/>
    <cacheHierarchy uniqueName="[Amortizacija].[Ставка]" caption="Ставка" attribute="1" defaultMemberUniqueName="[Amortizacija].[Ставка].[All]" allUniqueName="[Amortizacija].[Ставка].[All]" dimensionUniqueName="[Amortizacija]" displayFolder="" count="0" memberValueDatatype="130" unbalanced="0"/>
    <cacheHierarchy uniqueName="[Amortizacija].[Период]" caption="Период" attribute="1" time="1" defaultMemberUniqueName="[Amortizacija].[Период].[All]" allUniqueName="[Amortizacija].[Период].[All]" dimensionUniqueName="[Amortizacija]" displayFolder="" count="0" memberValueDatatype="7" unbalanced="0"/>
    <cacheHierarchy uniqueName="[Amortizacija].[Износ]" caption="Износ" attribute="1" defaultMemberUniqueName="[Amortizacija].[Износ].[All]" allUniqueName="[Amortizacija].[Износ].[All]" dimensionUniqueName="[Amortizacija]" displayFolder="" count="0" memberValueDatatype="20" unbalanced="0"/>
    <cacheHierarchy uniqueName="[Amortizacija].[Конто]" caption="Конто" attribute="1" defaultMemberUniqueName="[Amortizacija].[Конто].[All]" allUniqueName="[Amortizacija].[Конто].[All]" dimensionUniqueName="[Amortizacija]" displayFolder="" count="0" memberValueDatatype="130" unbalanced="0"/>
    <cacheHierarchy uniqueName="[Amortizacija].[ReportType]" caption="ReportType" attribute="1" defaultMemberUniqueName="[Amortizacija].[ReportType].[All]" allUniqueName="[Amortizacija].[ReportType].[All]" dimensionUniqueName="[Amortizacija]" displayFolder="" count="0" memberValueDatatype="130" unbalanced="0"/>
    <cacheHierarchy uniqueName="[Calendar].[Date]" caption="Date" attribute="1" time="1" keyAttribute="1" defaultMemberUniqueName="[Calendar].[Date].[All]" allUniqueName="[Calendar].[Date].[All]" dimensionUniqueName="[Calendar]" displayFolder="" count="0" memberValueDatatype="7" unbalanced="0"/>
    <cacheHierarchy uniqueName="[Calendar].[Date Hierarchy]" caption="Date Hierarchy" time="1" defaultMemberUniqueName="[Calendar].[Date Hierarchy].[All]" allUniqueName="[Calendar].[Date Hierarchy].[All]" dimensionUniqueName="[Calendar]" displayFolder="" count="4" unbalanced="0">
      <fieldsUsage count="4">
        <fieldUsage x="-1"/>
        <fieldUsage x="0"/>
        <fieldUsage x="1"/>
        <fieldUsage x="2"/>
      </fieldsUsage>
    </cacheHierarchy>
    <cacheHierarchy uniqueName="[Calendar].[Година]" caption="Година" attribute="1" time="1" defaultMemberUniqueName="[Calendar].[Година].[All]" allUniqueName="[Calendar].[Година].[All]" dimensionUniqueName="[Calendar]" displayFolder="" count="2" memberValueDatatype="20" unbalanced="0">
      <fieldsUsage count="2">
        <fieldUsage x="-1"/>
        <fieldUsage x="4"/>
      </fieldsUsage>
    </cacheHierarchy>
    <cacheHierarchy uniqueName="[Calendar].[Month Number]" caption="Month Number" attribute="1" time="1" defaultMemberUniqueName="[Calendar].[Month Number].[All]" allUniqueName="[Calendar].[Month Number].[All]" dimensionUniqueName="[Calendar]" displayFolder="" count="0" memberValueDatatype="20" unbalanced="0"/>
    <cacheHierarchy uniqueName="[Calendar].[Месец]" caption="Месец" attribute="1" time="1" defaultMemberUniqueName="[Calendar].[Месец].[All]" allUniqueName="[Calendar].[Месец].[All]" dimensionUniqueName="[Calendar]" displayFolder="" count="0" memberValueDatatype="130" unbalanced="0"/>
    <cacheHierarchy uniqueName="[Calendar].[MMM-YYYY]" caption="MMM-YYYY" attribute="1" time="1" defaultMemberUniqueName="[Calendar].[MMM-YYYY].[All]" allUniqueName="[Calendar].[MMM-YYYY].[All]" dimensionUniqueName="[Calendar]" displayFolder="" count="0" memberValueDatatype="130" unbalanced="0"/>
    <cacheHierarchy uniqueName="[Calendar].[Day Of Week Number]" caption="Day Of Week Number" attribute="1" time="1" defaultMemberUniqueName="[Calendar].[Day Of Week Number].[All]" allUniqueName="[Calendar].[Day Of Week Number].[All]" dimensionUniqueName="[Calendar]" displayFolder="" count="0" memberValueDatatype="20" unbalanced="0"/>
    <cacheHierarchy uniqueName="[Calendar].[Day Of Week]" caption="Day Of Week" attribute="1" time="1" defaultMemberUniqueName="[Calendar].[Day Of Week].[All]" allUniqueName="[Calendar].[Day Of Week].[All]" dimensionUniqueName="[Calendar]" displayFolder="" count="0" memberValueDatatype="130" unbalanced="0"/>
    <cacheHierarchy uniqueName="[Calendar].[Квартал]" caption="Квартал" attribute="1" time="1" defaultMemberUniqueName="[Calendar].[Квартал].[All]" allUniqueName="[Calendar].[Квартал].[All]" dimensionUniqueName="[Calendar]" displayFolder="" count="0" memberValueDatatype="7" unbalanced="0"/>
    <cacheHierarchy uniqueName="[CAPEX].[Година за реализација на проект]" caption="Година за реализација на проект" attribute="1" defaultMemberUniqueName="[CAPEX].[Година за реализација на проект].[All]" allUniqueName="[CAPEX].[Година за реализација на проект].[All]" dimensionUniqueName="[CAPEX]" displayFolder="" count="0" memberValueDatatype="20" unbalanced="0"/>
    <cacheHierarchy uniqueName="[CAPEX].[Број на јавна набавка (план)]" caption="Број на јавна набавка (план)" attribute="1" defaultMemberUniqueName="[CAPEX].[Број на јавна набавка (план)].[All]" allUniqueName="[CAPEX].[Број на јавна набавка (план)].[All]" dimensionUniqueName="[CAPEX]" displayFolder="" count="0" memberValueDatatype="130" unbalanced="0"/>
    <cacheHierarchy uniqueName="[CAPEX].[Предмет на договорот за јавна набавка]" caption="Предмет на договорот за јавна набавка" attribute="1" defaultMemberUniqueName="[CAPEX].[Предмет на договорот за јавна набавка].[All]" allUniqueName="[CAPEX].[Предмет на договорот за јавна набавка].[All]" dimensionUniqueName="[CAPEX]" displayFolder="" count="0" memberValueDatatype="130" unbalanced="0"/>
    <cacheHierarchy uniqueName="[CAPEX].[Очекуван датум на плаќање]" caption="Очекуван датум на плаќање" attribute="1" time="1" defaultMemberUniqueName="[CAPEX].[Очекуван датум на плаќање].[All]" allUniqueName="[CAPEX].[Очекуван датум на плаќање].[All]" dimensionUniqueName="[CAPEX]" displayFolder="" count="0" memberValueDatatype="7" unbalanced="0"/>
    <cacheHierarchy uniqueName="[CAPEX].[Очекуван датум за ставање во употреба (месец)]" caption="Очекуван датум за ставање во употреба (месец)" attribute="1" time="1" defaultMemberUniqueName="[CAPEX].[Очекуван датум за ставање во употреба (месец)].[All]" allUniqueName="[CAPEX].[Очекуван датум за ставање во употреба (месец)].[All]" dimensionUniqueName="[CAPEX]" displayFolder="" count="0" memberValueDatatype="7" unbalanced="0"/>
    <cacheHierarchy uniqueName="[CAPEX].[Проценета вредност на набавка со ДДВ (денари)]" caption="Проценета вредност на набавка со ДДВ (денари)" attribute="1" defaultMemberUniqueName="[CAPEX].[Проценета вредност на набавка со ДДВ (денари)].[All]" allUniqueName="[CAPEX].[Проценета вредност на набавка со ДДВ (денари)].[All]" dimensionUniqueName="[CAPEX]" displayFolder="" count="0" memberValueDatatype="20" unbalanced="0"/>
    <cacheHierarchy uniqueName="[CAPEX].[Стапка на амортизација]" caption="Стапка на амортизација" attribute="1" defaultMemberUniqueName="[CAPEX].[Стапка на амортизација].[All]" allUniqueName="[CAPEX].[Стапка на амортизација].[All]" dimensionUniqueName="[CAPEX]" displayFolder="" count="0" memberValueDatatype="5" unbalanced="0"/>
    <cacheHierarchy uniqueName="[CAPEX].[Конто Средства]" caption="Конто Средства" attribute="1" defaultMemberUniqueName="[CAPEX].[Конто Средства].[All]" allUniqueName="[CAPEX].[Конто Средства].[All]" dimensionUniqueName="[CAPEX]" displayFolder="" count="0" memberValueDatatype="130" unbalanced="0"/>
    <cacheHierarchy uniqueName="[CAPEX].[Конто Амортизација]" caption="Конто Амортизација" attribute="1" defaultMemberUniqueName="[CAPEX].[Конто Амортизација].[All]" allUniqueName="[CAPEX].[Конто Амортизација].[All]" dimensionUniqueName="[CAPEX]" displayFolder="" count="0" memberValueDatatype="130" unbalanced="0"/>
    <cacheHierarchy uniqueName="[CAPEX].[Износ донација]" caption="Износ донација" attribute="1" defaultMemberUniqueName="[CAPEX].[Износ донација].[All]" allUniqueName="[CAPEX].[Износ донација].[All]" dimensionUniqueName="[CAPEX]" displayFolder="" count="0" memberValueDatatype="20" unbalanced="0"/>
    <cacheHierarchy uniqueName="[CAPEX].[Очекуван датум на плаќање (Year)]" caption="Очекуван датум на плаќање (Year)" attribute="1" defaultMemberUniqueName="[CAPEX].[Очекуван датум на плаќање (Year)].[All]" allUniqueName="[CAPEX].[Очекуван датум на плаќање (Year)].[All]" dimensionUniqueName="[CAPEX]" displayFolder="" count="0" memberValueDatatype="130" unbalanced="0"/>
    <cacheHierarchy uniqueName="[CAPEX].[Очекуван датум на плаќање (Quarter)]" caption="Очекуван датум на плаќање (Quarter)" attribute="1" defaultMemberUniqueName="[CAPEX].[Очекуван датум на плаќање (Quarter)].[All]" allUniqueName="[CAPEX].[Очекуван датум на плаќање (Quarter)].[All]" dimensionUniqueName="[CAPEX]" displayFolder="" count="0" memberValueDatatype="130" unbalanced="0"/>
    <cacheHierarchy uniqueName="[CAPEX].[Очекуван датум на плаќање (Month)]" caption="Очекуван датум на плаќање (Month)" attribute="1" defaultMemberUniqueName="[CAPEX].[Очекуван датум на плаќање (Month)].[All]" allUniqueName="[CAPEX].[Очекуван датум на плаќање (Month)].[All]" dimensionUniqueName="[CAPEX]" displayFolder="" count="0" memberValueDatatype="130" unbalanced="0"/>
    <cacheHierarchy uniqueName="[CAPEX].[Очекуван датум за ставање во употреба (месец) (Year)]" caption="Очекуван датум за ставање во употреба (месец) (Year)" attribute="1" defaultMemberUniqueName="[CAPEX].[Очекуван датум за ставање во употреба (месец) (Year)].[All]" allUniqueName="[CAPEX].[Очекуван датум за ставање во употреба (месец) (Year)].[All]" dimensionUniqueName="[CAPEX]" displayFolder="" count="0" memberValueDatatype="130" unbalanced="0"/>
    <cacheHierarchy uniqueName="[CAPEX].[Очекуван датум за ставање во употреба (месец) (Quarter)]" caption="Очекуван датум за ставање во употреба (месец) (Quarter)" attribute="1" defaultMemberUniqueName="[CAPEX].[Очекуван датум за ставање во употреба (месец) (Quarter)].[All]" allUniqueName="[CAPEX].[Очекуван датум за ставање во употреба (месец) (Quarter)].[All]" dimensionUniqueName="[CAPEX]" displayFolder="" count="0" memberValueDatatype="130" unbalanced="0"/>
    <cacheHierarchy uniqueName="[CAPEX].[Очекуван датум за ставање во употреба (месец) (Month)]" caption="Очекуван датум за ставање во употреба (месец) (Month)" attribute="1" defaultMemberUniqueName="[CAPEX].[Очекуван датум за ставање во употреба (месец) (Month)].[All]" allUniqueName="[CAPEX].[Очекуван датум за ставање во употреба (месец) (Month)].[All]" dimensionUniqueName="[CAPEX]" displayFolder="" count="0" memberValueDatatype="130" unbalanced="0"/>
    <cacheHierarchy uniqueName="[fActualAndBudget].[Конто]" caption="Конто" attribute="1" defaultMemberUniqueName="[fActualAndBudget].[Конто].[All]" allUniqueName="[fActualAndBudget].[Конто].[All]" dimensionUniqueName="[fActualAndBudget]" displayFolder="" count="0" memberValueDatatype="130" unbalanced="0"/>
    <cacheHierarchy uniqueName="[fActualAndBudget].[Назив на конто]" caption="Назив на конто" attribute="1" defaultMemberUniqueName="[fActualAndBudget].[Назив на конто].[All]" allUniqueName="[fActualAndBudget].[Назив на конто].[All]" dimensionUniqueName="[fActualAndBudget]" displayFolder="" count="0" memberValueDatatype="130" unbalanced="0"/>
    <cacheHierarchy uniqueName="[fActualAndBudget].[Период]" caption="Период" attribute="1" time="1" defaultMemberUniqueName="[fActualAndBudget].[Период].[All]" allUniqueName="[fActualAndBudget].[Период].[All]" dimensionUniqueName="[fActualAndBudget]" displayFolder="" count="0" memberValueDatatype="7" unbalanced="0"/>
    <cacheHierarchy uniqueName="[fActualAndBudget].[Износ1]" caption="Износ1" attribute="1" defaultMemberUniqueName="[fActualAndBudget].[Износ1].[All]" allUniqueName="[fActualAndBudget].[Износ1].[All]" dimensionUniqueName="[fActualAndBudget]" displayFolder="" count="0" memberValueDatatype="20" unbalanced="0"/>
    <cacheHierarchy uniqueName="[fActualAndBudget].[ReportType]" caption="ReportType" attribute="1" defaultMemberUniqueName="[fActualAndBudget].[ReportType].[All]" allUniqueName="[fActualAndBudget].[ReportType].[All]" dimensionUniqueName="[fActualAndBudget]" displayFolder="" count="2" memberValueDatatype="130" unbalanced="0">
      <fieldsUsage count="2">
        <fieldUsage x="-1"/>
        <fieldUsage x="3"/>
      </fieldsUsage>
    </cacheHierarchy>
    <cacheHierarchy uniqueName="[fActualAndBudget].[Ставка]" caption="Ставка" attribute="1" defaultMemberUniqueName="[fActualAndBudget].[Ставка].[All]" allUniqueName="[fActualAndBudget].[Ставка].[All]" dimensionUniqueName="[fActualAndBudget]" displayFolder="" count="0" memberValueDatatype="130" unbalanced="0"/>
    <cacheHierarchy uniqueName="[fActualAndBudget].[Број на јавна набавка (план)]" caption="Број на јавна набавка (план)" attribute="1" defaultMemberUniqueName="[fActualAndBudget].[Број на јавна набавка (план)].[All]" allUniqueName="[fActualAndBudget].[Број на јавна набавка (план)].[All]" dimensionUniqueName="[fActualAndBudget]" displayFolder="" count="0" memberValueDatatype="130" unbalanced="0"/>
    <cacheHierarchy uniqueName="[fActualAndBudget].[StavkaImeMK]" caption="StavkaImeMK" attribute="1" defaultMemberUniqueName="[fActualAndBudget].[StavkaImeMK].[All]" allUniqueName="[fActualAndBudget].[StavkaImeMK].[All]" dimensionUniqueName="[fActualAndBudget]" displayFolder="" count="0" memberValueDatatype="130" unbalanced="0"/>
    <cacheHierarchy uniqueName="[fActualAndBudget].[StavkaGrupa]" caption="StavkaGrupa" attribute="1" defaultMemberUniqueName="[fActualAndBudget].[StavkaGrupa].[All]" allUniqueName="[fActualAndBudget].[StavkaGrupa].[All]" dimensionUniqueName="[fActualAndBudget]" displayFolder="" count="0" memberValueDatatype="130" unbalanced="0"/>
    <cacheHierarchy uniqueName="[fActualAndBudget].[StavkaKategorija]" caption="StavkaKategorija" attribute="1" defaultMemberUniqueName="[fActualAndBudget].[StavkaKategorija].[All]" allUniqueName="[fActualAndBudget].[StavkaKategorija].[All]" dimensionUniqueName="[fActualAndBudget]" displayFolder="" count="0" memberValueDatatype="130" unbalanced="0"/>
    <cacheHierarchy uniqueName="[fActualAndBudget].[ZnakIzvestaj]" caption="ZnakIzvestaj" attribute="1" defaultMemberUniqueName="[fActualAndBudget].[ZnakIzvestaj].[All]" allUniqueName="[fActualAndBudget].[ZnakIzvestaj].[All]" dimensionUniqueName="[fActualAndBudget]" displayFolder="" count="0" memberValueDatatype="20" unbalanced="0"/>
    <cacheHierarchy uniqueName="[fActualAndBudget].[ObrazecID]" caption="ObrazecID" attribute="1" defaultMemberUniqueName="[fActualAndBudget].[ObrazecID].[All]" allUniqueName="[fActualAndBudget].[ObrazecID].[All]" dimensionUniqueName="[fActualAndBudget]" displayFolder="" count="0" memberValueDatatype="20" unbalanced="0"/>
    <cacheHierarchy uniqueName="[fActualAndBudget].[StavkaAOP]" caption="StavkaAOP" attribute="1" defaultMemberUniqueName="[fActualAndBudget].[StavkaAOP].[All]" allUniqueName="[fActualAndBudget].[StavkaAOP].[All]" dimensionUniqueName="[fActualAndBudget]" displayFolder="" count="0" memberValueDatatype="130" unbalanced="0"/>
    <cacheHierarchy uniqueName="[fActualAndBudget].[ObrazecIme]" caption="ObrazecIme" attribute="1" defaultMemberUniqueName="[fActualAndBudget].[ObrazecIme].[All]" allUniqueName="[fActualAndBudget].[ObrazecIme].[All]" dimensionUniqueName="[fActualAndBudget]" displayFolder="" count="2" memberValueDatatype="130" unbalanced="0">
      <fieldsUsage count="2">
        <fieldUsage x="-1"/>
        <fieldUsage x="5"/>
      </fieldsUsage>
    </cacheHierarchy>
    <cacheHierarchy uniqueName="[fActualAndBudget].[Износ]" caption="Износ" attribute="1" defaultMemberUniqueName="[fActualAndBudget].[Износ].[All]" allUniqueName="[fActualAndBudget].[Износ].[All]" dimensionUniqueName="[fActualAndBudget]" displayFolder="" count="0" memberValueDatatype="20" unbalanced="0"/>
    <cacheHierarchy uniqueName="[fActualAndBudget].[Износ (илјади)]" caption="Износ (илјади)" attribute="1" defaultMemberUniqueName="[fActualAndBudget].[Износ (илјади)].[All]" allUniqueName="[fActualAndBudget].[Износ (илјади)].[All]" dimensionUniqueName="[fActualAndBudget]" displayFolder="" count="0" memberValueDatatype="5" unbalanced="0"/>
    <cacheHierarchy uniqueName="[fActualAndBudget].[StavkaImeAOP]" caption="StavkaImeAOP" attribute="1" defaultMemberUniqueName="[fActualAndBudget].[StavkaImeAOP].[All]" allUniqueName="[fActualAndBudget].[StavkaImeAOP].[All]" dimensionUniqueName="[fActualAndBudget]" displayFolder="" count="0" memberValueDatatype="130" unbalanced="0"/>
    <cacheHierarchy uniqueName="[fActualAndBudget].[Конто Ставка]" caption="Конто Ставка" attribute="1" defaultMemberUniqueName="[fActualAndBudget].[Конто Ставка].[All]" allUniqueName="[fActualAndBudget].[Конто Ставка].[All]" dimensionUniqueName="[fActualAndBudget]" displayFolder="" count="0" memberValueDatatype="130" unbalanced="0"/>
    <cacheHierarchy uniqueName="[fArtikliCeni].[Ставка]" caption="Ставка" attribute="1" defaultMemberUniqueName="[fArtikliCeni].[Ставка].[All]" allUniqueName="[fArtikliCeni].[Ставка].[All]" dimensionUniqueName="[fArtikliCeni]" displayFolder="" count="0" memberValueDatatype="130" unbalanced="0"/>
    <cacheHierarchy uniqueName="[fArtikliCeni].[Категорија Артикл]" caption="Категорија Артикл" attribute="1" defaultMemberUniqueName="[fArtikliCeni].[Категорија Артикл].[All]" allUniqueName="[fArtikliCeni].[Категорија Артикл].[All]" dimensionUniqueName="[fArtikliCeni]" displayFolder="" count="0" memberValueDatatype="130" unbalanced="0"/>
    <cacheHierarchy uniqueName="[fArtikliCeni].[Тип на артикл]" caption="Тип на артикл" attribute="1" defaultMemberUniqueName="[fArtikliCeni].[Тип на артикл].[All]" allUniqueName="[fArtikliCeni].[Тип на артикл].[All]" dimensionUniqueName="[fArtikliCeni]" displayFolder="" count="0" memberValueDatatype="130" unbalanced="0"/>
    <cacheHierarchy uniqueName="[fArtikliCeni].[Единечна мерка]" caption="Единечна мерка" attribute="1" defaultMemberUniqueName="[fArtikliCeni].[Единечна мерка].[All]" allUniqueName="[fArtikliCeni].[Единечна мерка].[All]" dimensionUniqueName="[fArtikliCeni]" displayFolder="" count="0" memberValueDatatype="130" unbalanced="0"/>
    <cacheHierarchy uniqueName="[fArtikliCeni].[Количина]" caption="Количина" attribute="1" defaultMemberUniqueName="[fArtikliCeni].[Количина].[All]" allUniqueName="[fArtikliCeni].[Количина].[All]" dimensionUniqueName="[fArtikliCeni]" displayFolder="" count="0" memberValueDatatype="5" unbalanced="0"/>
    <cacheHierarchy uniqueName="[fArtikliCeni].[Единечна цена]" caption="Единечна цена" attribute="1" defaultMemberUniqueName="[fArtikliCeni].[Единечна цена].[All]" allUniqueName="[fArtikliCeni].[Единечна цена].[All]" dimensionUniqueName="[fArtikliCeni]" displayFolder="" count="0" memberValueDatatype="20" unbalanced="0"/>
    <cacheHierarchy uniqueName="[fArtikliCeni].[Вкупно трошок]" caption="Вкупно трошок" attribute="1" defaultMemberUniqueName="[fArtikliCeni].[Вкупно трошок].[All]" allUniqueName="[fArtikliCeni].[Вкупно трошок].[All]" dimensionUniqueName="[fArtikliCeni]" displayFolder="" count="0" memberValueDatatype="5" unbalanced="0"/>
    <cacheHierarchy uniqueName="[fArtikliCeni].[ДДВ]" caption="ДДВ" attribute="1" defaultMemberUniqueName="[fArtikliCeni].[ДДВ].[All]" allUniqueName="[fArtikliCeni].[ДДВ].[All]" dimensionUniqueName="[fArtikliCeni]" displayFolder="" count="0" memberValueDatatype="5" unbalanced="0"/>
    <cacheHierarchy uniqueName="[fArtikliCeni].[Износ]" caption="Износ" attribute="1" defaultMemberUniqueName="[fArtikliCeni].[Износ].[All]" allUniqueName="[fArtikliCeni].[Износ].[All]" dimensionUniqueName="[fArtikliCeni]" displayFolder="" count="0" memberValueDatatype="5" unbalanced="0"/>
    <cacheHierarchy uniqueName="[fArtikliCeni].[Конто]" caption="Конто" attribute="1" defaultMemberUniqueName="[fArtikliCeni].[Конто].[All]" allUniqueName="[fArtikliCeni].[Конто].[All]" dimensionUniqueName="[fArtikliCeni]" displayFolder="" count="0" memberValueDatatype="130" unbalanced="0"/>
    <cacheHierarchy uniqueName="[fArtikliCeni].[ReportType]" caption="ReportType" attribute="1" defaultMemberUniqueName="[fArtikliCeni].[ReportType].[All]" allUniqueName="[fArtikliCeni].[ReportType].[All]" dimensionUniqueName="[fArtikliCeni]" displayFolder="" count="0" memberValueDatatype="130" unbalanced="0"/>
    <cacheHierarchy uniqueName="[fArtikliCeni].[Период]" caption="Период" attribute="1" time="1" defaultMemberUniqueName="[fArtikliCeni].[Период].[All]" allUniqueName="[fArtikliCeni].[Период].[All]" dimensionUniqueName="[fArtikliCeni]" displayFolder="" count="0" memberValueDatatype="7" unbalanced="0"/>
    <cacheHierarchy uniqueName="[fArtikliCeni].[StavkaImeMK]" caption="StavkaImeMK" attribute="1" defaultMemberUniqueName="[fArtikliCeni].[StavkaImeMK].[All]" allUniqueName="[fArtikliCeni].[StavkaImeMK].[All]" dimensionUniqueName="[fArtikliCeni]" displayFolder="" count="0" memberValueDatatype="130" unbalanced="0"/>
    <cacheHierarchy uniqueName="[fArtikliCeni].[StavkaAOP]" caption="StavkaAOP" attribute="1" defaultMemberUniqueName="[fArtikliCeni].[StavkaAOP].[All]" allUniqueName="[fArtikliCeni].[StavkaAOP].[All]" dimensionUniqueName="[fArtikliCeni]" displayFolder="" count="0" memberValueDatatype="130" unbalanced="0"/>
    <cacheHierarchy uniqueName="[fArtikliCeni].[StavkaGrupa]" caption="StavkaGrupa" attribute="1" defaultMemberUniqueName="[fArtikliCeni].[StavkaGrupa].[All]" allUniqueName="[fArtikliCeni].[StavkaGrupa].[All]" dimensionUniqueName="[fArtikliCeni]" displayFolder="" count="0" memberValueDatatype="130" unbalanced="0"/>
    <cacheHierarchy uniqueName="[fArtikliCeni].[StavkaKategorija]" caption="StavkaKategorija" attribute="1" defaultMemberUniqueName="[fArtikliCeni].[StavkaKategorija].[All]" allUniqueName="[fArtikliCeni].[StavkaKategorija].[All]" dimensionUniqueName="[fArtikliCeni]" displayFolder="" count="0" memberValueDatatype="130" unbalanced="0"/>
    <cacheHierarchy uniqueName="[fArtikliCeni].[ObrazecIme]" caption="ObrazecIme" attribute="1" defaultMemberUniqueName="[fArtikliCeni].[ObrazecIme].[All]" allUniqueName="[fArtikliCeni].[ObrazecIme].[All]" dimensionUniqueName="[fArtikliCeni]" displayFolder="" count="0" memberValueDatatype="130" unbalanced="0"/>
    <cacheHierarchy uniqueName="[fCoveckiResursi].[Ставка]" caption="Ставка" attribute="1" defaultMemberUniqueName="[fCoveckiResursi].[Ставка].[All]" allUniqueName="[fCoveckiResursi].[Ставка].[All]" dimensionUniqueName="[fCoveckiResursi]" displayFolder="" count="0" memberValueDatatype="130" unbalanced="0"/>
    <cacheHierarchy uniqueName="[fCoveckiResursi].[Тип на вработување]" caption="Тип на вработување" attribute="1" defaultMemberUniqueName="[fCoveckiResursi].[Тип на вработување].[All]" allUniqueName="[fCoveckiResursi].[Тип на вработување].[All]" dimensionUniqueName="[fCoveckiResursi]" displayFolder="" count="0" memberValueDatatype="130" unbalanced="0"/>
    <cacheHierarchy uniqueName="[fCoveckiResursi].[Планиран прилив/(одлив)]" caption="Планиран прилив/(одлив)" attribute="1" defaultMemberUniqueName="[fCoveckiResursi].[Планиран прилив/(одлив)].[All]" allUniqueName="[fCoveckiResursi].[Планиран прилив/(одлив)].[All]" dimensionUniqueName="[fCoveckiResursi]" displayFolder="" count="0" memberValueDatatype="20" unbalanced="0"/>
    <cacheHierarchy uniqueName="[fCoveckiResursi].[Период]" caption="Период" attribute="1" time="1" defaultMemberUniqueName="[fCoveckiResursi].[Период].[All]" allUniqueName="[fCoveckiResursi].[Период].[All]" dimensionUniqueName="[fCoveckiResursi]" displayFolder="" count="0" memberValueDatatype="7" unbalanced="0"/>
    <cacheHierarchy uniqueName="[fCoveckiResursi].[Крајна состојба вработени]" caption="Крајна состојба вработени" attribute="1" defaultMemberUniqueName="[fCoveckiResursi].[Крајна состојба вработени].[All]" allUniqueName="[fCoveckiResursi].[Крајна состојба вработени].[All]" dimensionUniqueName="[fCoveckiResursi]" displayFolder="" count="0" memberValueDatatype="20" unbalanced="0"/>
    <cacheHierarchy uniqueName="[fCoveckiResursi].[Износ]" caption="Износ" attribute="1" defaultMemberUniqueName="[fCoveckiResursi].[Износ].[All]" allUniqueName="[fCoveckiResursi].[Износ].[All]" dimensionUniqueName="[fCoveckiResursi]" displayFolder="" count="0" memberValueDatatype="20" unbalanced="0"/>
    <cacheHierarchy uniqueName="[fCoveckiResursi].[Конто]" caption="Конто" attribute="1" defaultMemberUniqueName="[fCoveckiResursi].[Конто].[All]" allUniqueName="[fCoveckiResursi].[Конто].[All]" dimensionUniqueName="[fCoveckiResursi]" displayFolder="" count="0" memberValueDatatype="130" unbalanced="0"/>
    <cacheHierarchy uniqueName="[fCoveckiResursi].[ReportType]" caption="ReportType" attribute="1" defaultMemberUniqueName="[fCoveckiResursi].[ReportType].[All]" allUniqueName="[fCoveckiResursi].[ReportType].[All]" dimensionUniqueName="[fCoveckiResursi]" displayFolder="" count="0" memberValueDatatype="130" unbalanced="0"/>
    <cacheHierarchy uniqueName="[fCoveckiResursi].[Период (Year)]" caption="Период (Year)" attribute="1" defaultMemberUniqueName="[fCoveckiResursi].[Период (Year)].[All]" allUniqueName="[fCoveckiResursi].[Период (Year)].[All]" dimensionUniqueName="[fCoveckiResursi]" displayFolder="" count="0" memberValueDatatype="130" unbalanced="0"/>
    <cacheHierarchy uniqueName="[fCoveckiResursi].[Период (Quarter)]" caption="Период (Quarter)" attribute="1" defaultMemberUniqueName="[fCoveckiResursi].[Период (Quarter)].[All]" allUniqueName="[fCoveckiResursi].[Период (Quarter)].[All]" dimensionUniqueName="[fCoveckiResursi]" displayFolder="" count="0" memberValueDatatype="130" unbalanced="0"/>
    <cacheHierarchy uniqueName="[fCoveckiResursi].[Период (Month)]" caption="Период (Month)" attribute="1" defaultMemberUniqueName="[fCoveckiResursi].[Период (Month)].[All]" allUniqueName="[fCoveckiResursi].[Период (Month)].[All]" dimensionUniqueName="[fCoveckiResursi]" displayFolder="" count="0" memberValueDatatype="130" unbalanced="0"/>
    <cacheHierarchy uniqueName="[fCoveckiResursi].[Период (Year) 1]" caption="Период (Year) 1" attribute="1" defaultMemberUniqueName="[fCoveckiResursi].[Период (Year) 1].[All]" allUniqueName="[fCoveckiResursi].[Период (Year) 1].[All]" dimensionUniqueName="[fCoveckiResursi]" displayFolder="" count="0" memberValueDatatype="130" unbalanced="0"/>
    <cacheHierarchy uniqueName="[fCoveckiResursi].[Период (Quarter) 1]" caption="Период (Quarter) 1" attribute="1" defaultMemberUniqueName="[fCoveckiResursi].[Период (Quarter) 1].[All]" allUniqueName="[fCoveckiResursi].[Период (Quarter) 1].[All]" dimensionUniqueName="[fCoveckiResursi]" displayFolder="" count="0" memberValueDatatype="130" unbalanced="0"/>
    <cacheHierarchy uniqueName="[fCoveckiResursi].[Период (Month) 1]" caption="Период (Month) 1" attribute="1" defaultMemberUniqueName="[fCoveckiResursi].[Период (Month) 1].[All]" allUniqueName="[fCoveckiResursi].[Период (Month) 1].[All]" dimensionUniqueName="[fCoveckiResursi]" displayFolder="" count="0" memberValueDatatype="130" unbalanced="0"/>
    <cacheHierarchy uniqueName="[fCoveckiResursi  2].[Ставка]" caption="Ставка" attribute="1" defaultMemberUniqueName="[fCoveckiResursi  2].[Ставка].[All]" allUniqueName="[fCoveckiResursi  2].[Ставка].[All]" dimensionUniqueName="[fCoveckiResursi  2]" displayFolder="" count="0" memberValueDatatype="130" unbalanced="0"/>
    <cacheHierarchy uniqueName="[fCoveckiResursi  2].[Период]" caption="Период" attribute="1" time="1" defaultMemberUniqueName="[fCoveckiResursi  2].[Период].[All]" allUniqueName="[fCoveckiResursi  2].[Период].[All]" dimensionUniqueName="[fCoveckiResursi  2]" displayFolder="" count="0" memberValueDatatype="7" unbalanced="0"/>
    <cacheHierarchy uniqueName="[fCoveckiResursi  2].[Износ]" caption="Износ" attribute="1" defaultMemberUniqueName="[fCoveckiResursi  2].[Износ].[All]" allUniqueName="[fCoveckiResursi  2].[Износ].[All]" dimensionUniqueName="[fCoveckiResursi  2]" displayFolder="" count="0" memberValueDatatype="20" unbalanced="0"/>
    <cacheHierarchy uniqueName="[fCoveckiResursi  2].[Конто]" caption="Конто" attribute="1" defaultMemberUniqueName="[fCoveckiResursi  2].[Конто].[All]" allUniqueName="[fCoveckiResursi  2].[Конто].[All]" dimensionUniqueName="[fCoveckiResursi  2]" displayFolder="" count="0" memberValueDatatype="130" unbalanced="0"/>
    <cacheHierarchy uniqueName="[fCoveckiResursi  2].[ReportType]" caption="ReportType" attribute="1" defaultMemberUniqueName="[fCoveckiResursi  2].[ReportType].[All]" allUniqueName="[fCoveckiResursi  2].[ReportType].[All]" dimensionUniqueName="[fCoveckiResursi  2]" displayFolder="" count="0" memberValueDatatype="130" unbalanced="0"/>
    <cacheHierarchy uniqueName="[fCoveckiResursi  2].[StavkaImeMK]" caption="StavkaImeMK" attribute="1" defaultMemberUniqueName="[fCoveckiResursi  2].[StavkaImeMK].[All]" allUniqueName="[fCoveckiResursi  2].[StavkaImeMK].[All]" dimensionUniqueName="[fCoveckiResursi  2]" displayFolder="" count="0" memberValueDatatype="130" unbalanced="0"/>
    <cacheHierarchy uniqueName="[fCoveckiResursi  2].[StavkaKategorija]" caption="StavkaKategorija" attribute="1" defaultMemberUniqueName="[fCoveckiResursi  2].[StavkaKategorija].[All]" allUniqueName="[fCoveckiResursi  2].[StavkaKategorija].[All]" dimensionUniqueName="[fCoveckiResursi  2]" displayFolder="" count="0" memberValueDatatype="130" unbalanced="0"/>
    <cacheHierarchy uniqueName="[fCoveckiResursi  2].[ObrazecIme]" caption="ObrazecIme" attribute="1" defaultMemberUniqueName="[fCoveckiResursi  2].[ObrazecIme].[All]" allUniqueName="[fCoveckiResursi  2].[ObrazecIme].[All]" dimensionUniqueName="[fCoveckiResursi  2]" displayFolder="" count="0" memberValueDatatype="130" unbalanced="0"/>
    <cacheHierarchy uniqueName="[fOPEX].[Конто]" caption="Конто" attribute="1" defaultMemberUniqueName="[fOPEX].[Конто].[All]" allUniqueName="[fOPEX].[Конто].[All]" dimensionUniqueName="[fOPEX]" displayFolder="" count="0" memberValueDatatype="130" unbalanced="0"/>
    <cacheHierarchy uniqueName="[fOPEX].[Ставка]" caption="Ставка" attribute="1" defaultMemberUniqueName="[fOPEX].[Ставка].[All]" allUniqueName="[fOPEX].[Ставка].[All]" dimensionUniqueName="[fOPEX]" displayFolder="" count="0" memberValueDatatype="130" unbalanced="0"/>
    <cacheHierarchy uniqueName="[fOPEX].[Период]" caption="Период" attribute="1" time="1" defaultMemberUniqueName="[fOPEX].[Период].[All]" allUniqueName="[fOPEX].[Период].[All]" dimensionUniqueName="[fOPEX]" displayFolder="" count="0" memberValueDatatype="7" unbalanced="0"/>
    <cacheHierarchy uniqueName="[fOPEX].[Износ]" caption="Износ" attribute="1" defaultMemberUniqueName="[fOPEX].[Износ].[All]" allUniqueName="[fOPEX].[Износ].[All]" dimensionUniqueName="[fOPEX]" displayFolder="" count="0" memberValueDatatype="20" unbalanced="0"/>
    <cacheHierarchy uniqueName="[fOPEX].[ReportType]" caption="ReportType" attribute="1" defaultMemberUniqueName="[fOPEX].[ReportType].[All]" allUniqueName="[fOPEX].[ReportType].[All]" dimensionUniqueName="[fOPEX]" displayFolder="" count="0" memberValueDatatype="130" unbalanced="0"/>
    <cacheHierarchy uniqueName="[OPEXAnaliza].[Артикл ИД]" caption="Артикл ИД" attribute="1" defaultMemberUniqueName="[OPEXAnaliza].[Артикл ИД].[All]" allUniqueName="[OPEXAnaliza].[Артикл ИД].[All]" dimensionUniqueName="[OPEXAnaliza]" displayFolder="" count="0" memberValueDatatype="20" unbalanced="0"/>
    <cacheHierarchy uniqueName="[OPEXAnaliza].[Ставка]" caption="Ставка" attribute="1" defaultMemberUniqueName="[OPEXAnaliza].[Ставка].[All]" allUniqueName="[OPEXAnaliza].[Ставка].[All]" dimensionUniqueName="[OPEXAnaliza]" displayFolder="" count="0" memberValueDatatype="130" unbalanced="0"/>
    <cacheHierarchy uniqueName="[OPEXAnaliza].[Категорија Артикл ИД]" caption="Категорија Артикл ИД" attribute="1" defaultMemberUniqueName="[OPEXAnaliza].[Категорија Артикл ИД].[All]" allUniqueName="[OPEXAnaliza].[Категорија Артикл ИД].[All]" dimensionUniqueName="[OPEXAnaliza]" displayFolder="" count="0" memberValueDatatype="20" unbalanced="0"/>
    <cacheHierarchy uniqueName="[OPEXAnaliza].[Категорија Артикл]" caption="Категорија Артикл" attribute="1" defaultMemberUniqueName="[OPEXAnaliza].[Категорија Артикл].[All]" allUniqueName="[OPEXAnaliza].[Категорија Артикл].[All]" dimensionUniqueName="[OPEXAnaliza]" displayFolder="" count="0" memberValueDatatype="130" unbalanced="0"/>
    <cacheHierarchy uniqueName="[OPEXAnaliza].[Тип на артикл]" caption="Тип на артикл" attribute="1" defaultMemberUniqueName="[OPEXAnaliza].[Тип на артикл].[All]" allUniqueName="[OPEXAnaliza].[Тип на артикл].[All]" dimensionUniqueName="[OPEXAnaliza]" displayFolder="" count="0" memberValueDatatype="130" unbalanced="0"/>
    <cacheHierarchy uniqueName="[OPEXAnaliza].[Единечна мерка]" caption="Единечна мерка" attribute="1" defaultMemberUniqueName="[OPEXAnaliza].[Единечна мерка].[All]" allUniqueName="[OPEXAnaliza].[Единечна мерка].[All]" dimensionUniqueName="[OPEXAnaliza]" displayFolder="" count="0" memberValueDatatype="130" unbalanced="0"/>
    <cacheHierarchy uniqueName="[OPEXAnaliza].[Количина]" caption="Количина" attribute="1" defaultMemberUniqueName="[OPEXAnaliza].[Количина].[All]" allUniqueName="[OPEXAnaliza].[Количина].[All]" dimensionUniqueName="[OPEXAnaliza]" displayFolder="" count="0" memberValueDatatype="5" unbalanced="0"/>
    <cacheHierarchy uniqueName="[OPEXAnaliza].[Единечна цена]" caption="Единечна цена" attribute="1" defaultMemberUniqueName="[OPEXAnaliza].[Единечна цена].[All]" allUniqueName="[OPEXAnaliza].[Единечна цена].[All]" dimensionUniqueName="[OPEXAnaliza]" displayFolder="" count="0" memberValueDatatype="20" unbalanced="0"/>
    <cacheHierarchy uniqueName="[OPEXAnaliza].[Износ]" caption="Износ" attribute="1" defaultMemberUniqueName="[OPEXAnaliza].[Износ].[All]" allUniqueName="[OPEXAnaliza].[Износ].[All]" dimensionUniqueName="[OPEXAnaliza]" displayFolder="" count="0" memberValueDatatype="5" unbalanced="0"/>
    <cacheHierarchy uniqueName="[OPEXAnaliza].[ДДВ]" caption="ДДВ" attribute="1" defaultMemberUniqueName="[OPEXAnaliza].[ДДВ].[All]" allUniqueName="[OPEXAnaliza].[ДДВ].[All]" dimensionUniqueName="[OPEXAnaliza]" displayFolder="" count="0" memberValueDatatype="5" unbalanced="0"/>
    <cacheHierarchy uniqueName="[OPEXAnaliza].[Вкупно трошок со ДДВ]" caption="Вкупно трошок со ДДВ" attribute="1" defaultMemberUniqueName="[OPEXAnaliza].[Вкупно трошок со ДДВ].[All]" allUniqueName="[OPEXAnaliza].[Вкупно трошок со ДДВ].[All]" dimensionUniqueName="[OPEXAnaliza]" displayFolder="" count="0" memberValueDatatype="5" unbalanced="0"/>
    <cacheHierarchy uniqueName="[OPEXAnaliza].[Конто]" caption="Конто" attribute="1" defaultMemberUniqueName="[OPEXAnaliza].[Конто].[All]" allUniqueName="[OPEXAnaliza].[Конто].[All]" dimensionUniqueName="[OPEXAnaliza]" displayFolder="" count="0" memberValueDatatype="130" unbalanced="0"/>
    <cacheHierarchy uniqueName="[OPEXAnaliza].[Период]" caption="Период" attribute="1" time="1" defaultMemberUniqueName="[OPEXAnaliza].[Период].[All]" allUniqueName="[OPEXAnaliza].[Период].[All]" dimensionUniqueName="[OPEXAnaliza]" displayFolder="" count="0" memberValueDatatype="7" unbalanced="0"/>
    <cacheHierarchy uniqueName="[OPEXAnaliza].[ReportType]" caption="ReportType" attribute="1" defaultMemberUniqueName="[OPEXAnaliza].[ReportType].[All]" allUniqueName="[OPEXAnaliza].[ReportType].[All]" dimensionUniqueName="[OPEXAnaliza]" displayFolder="" count="0" memberValueDatatype="130" unbalanced="0"/>
    <cacheHierarchy uniqueName="[OPEXAnaliza].[StavkaImeMK]" caption="StavkaImeMK" attribute="1" defaultMemberUniqueName="[OPEXAnaliza].[StavkaImeMK].[All]" allUniqueName="[OPEXAnaliza].[StavkaImeMK].[All]" dimensionUniqueName="[OPEXAnaliza]" displayFolder="" count="0" memberValueDatatype="130" unbalanced="0"/>
    <cacheHierarchy uniqueName="[OPEXAnaliza].[StavkaKategorija]" caption="StavkaKategorija" attribute="1" defaultMemberUniqueName="[OPEXAnaliza].[StavkaKategorija].[All]" allUniqueName="[OPEXAnaliza].[StavkaKategorija].[All]" dimensionUniqueName="[OPEXAnaliza]" displayFolder="" count="0" memberValueDatatype="130" unbalanced="0"/>
    <cacheHierarchy uniqueName="[OPEXAnaliza].[ObrazecIme]" caption="ObrazecIme" attribute="1" defaultMemberUniqueName="[OPEXAnaliza].[ObrazecIme].[All]" allUniqueName="[OPEXAnaliza].[ObrazecIme].[All]" dimensionUniqueName="[OPEXAnaliza]" displayFolder="" count="0" memberValueDatatype="130" unbalanced="0"/>
    <cacheHierarchy uniqueName="[OPEXAnaliza].[StavkaImeAOP]" caption="StavkaImeAOP" attribute="1" defaultMemberUniqueName="[OPEXAnaliza].[StavkaImeAOP].[All]" allUniqueName="[OPEXAnaliza].[StavkaImeAOP].[All]" dimensionUniqueName="[OPEXAnaliza]" displayFolder="" count="0" memberValueDatatype="20" unbalanced="0"/>
    <cacheHierarchy uniqueName="[OPEXAnaliza].[Период (Year)]" caption="Период (Year)" attribute="1" defaultMemberUniqueName="[OPEXAnaliza].[Период (Year)].[All]" allUniqueName="[OPEXAnaliza].[Период (Year)].[All]" dimensionUniqueName="[OPEXAnaliza]" displayFolder="" count="0" memberValueDatatype="130" unbalanced="0"/>
    <cacheHierarchy uniqueName="[OPEXAnaliza].[Период (Quarter)]" caption="Период (Quarter)" attribute="1" defaultMemberUniqueName="[OPEXAnaliza].[Период (Quarter)].[All]" allUniqueName="[OPEXAnaliza].[Период (Quarter)].[All]" dimensionUniqueName="[OPEXAnaliza]" displayFolder="" count="0" memberValueDatatype="130" unbalanced="0"/>
    <cacheHierarchy uniqueName="[OPEXAnaliza].[Период (Month)]" caption="Период (Month)" attribute="1" defaultMemberUniqueName="[OPEXAnaliza].[Период (Month)].[All]" allUniqueName="[OPEXAnaliza].[Период (Month)].[All]" dimensionUniqueName="[OPEXAnaliza]" displayFolder="" count="0" memberValueDatatype="130" unbalanced="0"/>
    <cacheHierarchy uniqueName="[rArtikli_HR_Analiza].[Ставка]" caption="Ставка" attribute="1" defaultMemberUniqueName="[rArtikli_HR_Analiza].[Ставка].[All]" allUniqueName="[rArtikli_HR_Analiza].[Ставка].[All]" dimensionUniqueName="[rArtikli_HR_Analiza]" displayFolder="" count="0" memberValueDatatype="130" unbalanced="0"/>
    <cacheHierarchy uniqueName="[rArtikli_HR_Analiza].[Категорија Артикл]" caption="Категорија Артикл" attribute="1" defaultMemberUniqueName="[rArtikli_HR_Analiza].[Категорија Артикл].[All]" allUniqueName="[rArtikli_HR_Analiza].[Категорија Артикл].[All]" dimensionUniqueName="[rArtikli_HR_Analiza]" displayFolder="" count="0" memberValueDatatype="130" unbalanced="0"/>
    <cacheHierarchy uniqueName="[rArtikli_HR_Analiza].[Тип на артикл]" caption="Тип на артикл" attribute="1" defaultMemberUniqueName="[rArtikli_HR_Analiza].[Тип на артикл].[All]" allUniqueName="[rArtikli_HR_Analiza].[Тип на артикл].[All]" dimensionUniqueName="[rArtikli_HR_Analiza]" displayFolder="" count="0" memberValueDatatype="130" unbalanced="0"/>
    <cacheHierarchy uniqueName="[rArtikli_HR_Analiza].[Единечна мерка]" caption="Единечна мерка" attribute="1" defaultMemberUniqueName="[rArtikli_HR_Analiza].[Единечна мерка].[All]" allUniqueName="[rArtikli_HR_Analiza].[Единечна мерка].[All]" dimensionUniqueName="[rArtikli_HR_Analiza]" displayFolder="" count="0" memberValueDatatype="130" unbalanced="0"/>
    <cacheHierarchy uniqueName="[rArtikli_HR_Analiza].[Количина]" caption="Количина" attribute="1" defaultMemberUniqueName="[rArtikli_HR_Analiza].[Количина].[All]" allUniqueName="[rArtikli_HR_Analiza].[Количина].[All]" dimensionUniqueName="[rArtikli_HR_Analiza]" displayFolder="" count="0" memberValueDatatype="5" unbalanced="0"/>
    <cacheHierarchy uniqueName="[rArtikli_HR_Analiza].[Единечна цена]" caption="Единечна цена" attribute="1" defaultMemberUniqueName="[rArtikli_HR_Analiza].[Единечна цена].[All]" allUniqueName="[rArtikli_HR_Analiza].[Единечна цена].[All]" dimensionUniqueName="[rArtikli_HR_Analiza]" displayFolder="" count="0" memberValueDatatype="20" unbalanced="0"/>
    <cacheHierarchy uniqueName="[rArtikli_HR_Analiza].[Вкупно трошок]" caption="Вкупно трошок" attribute="1" defaultMemberUniqueName="[rArtikli_HR_Analiza].[Вкупно трошок].[All]" allUniqueName="[rArtikli_HR_Analiza].[Вкупно трошок].[All]" dimensionUniqueName="[rArtikli_HR_Analiza]" displayFolder="" count="0" memberValueDatatype="5" unbalanced="0"/>
    <cacheHierarchy uniqueName="[rArtikli_HR_Analiza].[ДДВ]" caption="ДДВ" attribute="1" defaultMemberUniqueName="[rArtikli_HR_Analiza].[ДДВ].[All]" allUniqueName="[rArtikli_HR_Analiza].[ДДВ].[All]" dimensionUniqueName="[rArtikli_HR_Analiza]" displayFolder="" count="0" memberValueDatatype="5" unbalanced="0"/>
    <cacheHierarchy uniqueName="[rArtikli_HR_Analiza].[Износ]" caption="Износ" attribute="1" defaultMemberUniqueName="[rArtikli_HR_Analiza].[Износ].[All]" allUniqueName="[rArtikli_HR_Analiza].[Износ].[All]" dimensionUniqueName="[rArtikli_HR_Analiza]" displayFolder="" count="0" memberValueDatatype="5" unbalanced="0"/>
    <cacheHierarchy uniqueName="[rArtikli_HR_Analiza].[Конто]" caption="Конто" attribute="1" defaultMemberUniqueName="[rArtikli_HR_Analiza].[Конто].[All]" allUniqueName="[rArtikli_HR_Analiza].[Конто].[All]" dimensionUniqueName="[rArtikli_HR_Analiza]" displayFolder="" count="0" memberValueDatatype="130" unbalanced="0"/>
    <cacheHierarchy uniqueName="[rArtikli_HR_Analiza].[ReportType]" caption="ReportType" attribute="1" defaultMemberUniqueName="[rArtikli_HR_Analiza].[ReportType].[All]" allUniqueName="[rArtikli_HR_Analiza].[ReportType].[All]" dimensionUniqueName="[rArtikli_HR_Analiza]" displayFolder="" count="0" memberValueDatatype="130" unbalanced="0"/>
    <cacheHierarchy uniqueName="[rArtikli_HR_Analiza].[Период]" caption="Период" attribute="1" time="1" defaultMemberUniqueName="[rArtikli_HR_Analiza].[Период].[All]" allUniqueName="[rArtikli_HR_Analiza].[Период].[All]" dimensionUniqueName="[rArtikli_HR_Analiza]" displayFolder="" count="0" memberValueDatatype="7" unbalanced="0"/>
    <cacheHierarchy uniqueName="[rArtikli_HR_Analiza].[StavkaImeMK]" caption="StavkaImeMK" attribute="1" defaultMemberUniqueName="[rArtikli_HR_Analiza].[StavkaImeMK].[All]" allUniqueName="[rArtikli_HR_Analiza].[StavkaImeMK].[All]" dimensionUniqueName="[rArtikli_HR_Analiza]" displayFolder="" count="0" memberValueDatatype="130" unbalanced="0"/>
    <cacheHierarchy uniqueName="[rArtikli_HR_Analiza].[StavkaAOP]" caption="StavkaAOP" attribute="1" defaultMemberUniqueName="[rArtikli_HR_Analiza].[StavkaAOP].[All]" allUniqueName="[rArtikli_HR_Analiza].[StavkaAOP].[All]" dimensionUniqueName="[rArtikli_HR_Analiza]" displayFolder="" count="0" memberValueDatatype="130" unbalanced="0"/>
    <cacheHierarchy uniqueName="[rArtikli_HR_Analiza].[StavkaGrupa]" caption="StavkaGrupa" attribute="1" defaultMemberUniqueName="[rArtikli_HR_Analiza].[StavkaGrupa].[All]" allUniqueName="[rArtikli_HR_Analiza].[StavkaGrupa].[All]" dimensionUniqueName="[rArtikli_HR_Analiza]" displayFolder="" count="0" memberValueDatatype="130" unbalanced="0"/>
    <cacheHierarchy uniqueName="[rArtikli_HR_Analiza].[StavkaKategorija]" caption="StavkaKategorija" attribute="1" defaultMemberUniqueName="[rArtikli_HR_Analiza].[StavkaKategorija].[All]" allUniqueName="[rArtikli_HR_Analiza].[StavkaKategorija].[All]" dimensionUniqueName="[rArtikli_HR_Analiza]" displayFolder="" count="0" memberValueDatatype="130" unbalanced="0"/>
    <cacheHierarchy uniqueName="[rArtikli_HR_Analiza].[ObrazecIme]" caption="ObrazecIme" attribute="1" defaultMemberUniqueName="[rArtikli_HR_Analiza].[ObrazecIme].[All]" allUniqueName="[rArtikli_HR_Analiza].[ObrazecIme].[All]" dimensionUniqueName="[rArtikli_HR_Analiza]" displayFolder="" count="0" memberValueDatatype="130" unbalanced="0"/>
    <cacheHierarchy uniqueName="[rArtikli_HR_Analiza].[StavkaKategorija.1]" caption="StavkaKategorija.1" attribute="1" defaultMemberUniqueName="[rArtikli_HR_Analiza].[StavkaKategorija.1].[All]" allUniqueName="[rArtikli_HR_Analiza].[StavkaKategorija.1].[All]" dimensionUniqueName="[rArtikli_HR_Analiza]" displayFolder="" count="0" memberValueDatatype="130" unbalanced="0"/>
    <cacheHierarchy uniqueName="[rArtikliAnaliza].[Артикл ИД]" caption="Артикл ИД" attribute="1" defaultMemberUniqueName="[rArtikliAnaliza].[Артикл ИД].[All]" allUniqueName="[rArtikliAnaliza].[Артикл ИД].[All]" dimensionUniqueName="[rArtikliAnaliza]" displayFolder="" count="0" memberValueDatatype="20" unbalanced="0"/>
    <cacheHierarchy uniqueName="[rArtikliAnaliza].[Ставка]" caption="Ставка" attribute="1" defaultMemberUniqueName="[rArtikliAnaliza].[Ставка].[All]" allUniqueName="[rArtikliAnaliza].[Ставка].[All]" dimensionUniqueName="[rArtikliAnaliza]" displayFolder="" count="0" memberValueDatatype="130" unbalanced="0"/>
    <cacheHierarchy uniqueName="[rArtikliAnaliza].[Категорија Артикл ИД]" caption="Категорија Артикл ИД" attribute="1" defaultMemberUniqueName="[rArtikliAnaliza].[Категорија Артикл ИД].[All]" allUniqueName="[rArtikliAnaliza].[Категорија Артикл ИД].[All]" dimensionUniqueName="[rArtikliAnaliza]" displayFolder="" count="0" memberValueDatatype="20" unbalanced="0"/>
    <cacheHierarchy uniqueName="[rArtikliAnaliza].[Категорија Артикл]" caption="Категорија Артикл" attribute="1" defaultMemberUniqueName="[rArtikliAnaliza].[Категорија Артикл].[All]" allUniqueName="[rArtikliAnaliza].[Категорија Артикл].[All]" dimensionUniqueName="[rArtikliAnaliza]" displayFolder="" count="0" memberValueDatatype="130" unbalanced="0"/>
    <cacheHierarchy uniqueName="[rArtikliAnaliza].[Тип на артикл]" caption="Тип на артикл" attribute="1" defaultMemberUniqueName="[rArtikliAnaliza].[Тип на артикл].[All]" allUniqueName="[rArtikliAnaliza].[Тип на артикл].[All]" dimensionUniqueName="[rArtikliAnaliza]" displayFolder="" count="0" memberValueDatatype="130" unbalanced="0"/>
    <cacheHierarchy uniqueName="[rArtikliAnaliza].[Единечна мерка]" caption="Единечна мерка" attribute="1" defaultMemberUniqueName="[rArtikliAnaliza].[Единечна мерка].[All]" allUniqueName="[rArtikliAnaliza].[Единечна мерка].[All]" dimensionUniqueName="[rArtikliAnaliza]" displayFolder="" count="0" memberValueDatatype="130" unbalanced="0"/>
    <cacheHierarchy uniqueName="[rArtikliAnaliza].[Количина]" caption="Количина" attribute="1" defaultMemberUniqueName="[rArtikliAnaliza].[Количина].[All]" allUniqueName="[rArtikliAnaliza].[Количина].[All]" dimensionUniqueName="[rArtikliAnaliza]" displayFolder="" count="0" memberValueDatatype="5" unbalanced="0"/>
    <cacheHierarchy uniqueName="[rArtikliAnaliza].[Единечна цена]" caption="Единечна цена" attribute="1" defaultMemberUniqueName="[rArtikliAnaliza].[Единечна цена].[All]" allUniqueName="[rArtikliAnaliza].[Единечна цена].[All]" dimensionUniqueName="[rArtikliAnaliza]" displayFolder="" count="0" memberValueDatatype="20" unbalanced="0"/>
    <cacheHierarchy uniqueName="[rArtikliAnaliza].[Износ]" caption="Износ" attribute="1" defaultMemberUniqueName="[rArtikliAnaliza].[Износ].[All]" allUniqueName="[rArtikliAnaliza].[Износ].[All]" dimensionUniqueName="[rArtikliAnaliza]" displayFolder="" count="0" memberValueDatatype="5" unbalanced="0"/>
    <cacheHierarchy uniqueName="[rArtikliAnaliza].[ДДВ]" caption="ДДВ" attribute="1" defaultMemberUniqueName="[rArtikliAnaliza].[ДДВ].[All]" allUniqueName="[rArtikliAnaliza].[ДДВ].[All]" dimensionUniqueName="[rArtikliAnaliza]" displayFolder="" count="0" memberValueDatatype="5" unbalanced="0"/>
    <cacheHierarchy uniqueName="[rArtikliAnaliza].[Вкупно трошок со ДДВ]" caption="Вкупно трошок со ДДВ" attribute="1" defaultMemberUniqueName="[rArtikliAnaliza].[Вкупно трошок со ДДВ].[All]" allUniqueName="[rArtikliAnaliza].[Вкупно трошок со ДДВ].[All]" dimensionUniqueName="[rArtikliAnaliza]" displayFolder="" count="0" memberValueDatatype="5" unbalanced="0"/>
    <cacheHierarchy uniqueName="[rArtikliAnaliza].[Конто]" caption="Конто" attribute="1" defaultMemberUniqueName="[rArtikliAnaliza].[Конто].[All]" allUniqueName="[rArtikliAnaliza].[Конто].[All]" dimensionUniqueName="[rArtikliAnaliza]" displayFolder="" count="0" memberValueDatatype="130" unbalanced="0"/>
    <cacheHierarchy uniqueName="[rArtikliAnaliza].[Период]" caption="Период" attribute="1" time="1" defaultMemberUniqueName="[rArtikliAnaliza].[Период].[All]" allUniqueName="[rArtikliAnaliza].[Период].[All]" dimensionUniqueName="[rArtikliAnaliza]" displayFolder="" count="0" memberValueDatatype="7" unbalanced="0"/>
    <cacheHierarchy uniqueName="[rArtikliAnaliza].[ReportType]" caption="ReportType" attribute="1" defaultMemberUniqueName="[rArtikliAnaliza].[ReportType].[All]" allUniqueName="[rArtikliAnaliza].[ReportType].[All]" dimensionUniqueName="[rArtikliAnaliza]" displayFolder="" count="0" memberValueDatatype="130" unbalanced="0"/>
    <cacheHierarchy uniqueName="[rArtikliAnaliza].[StavkaImeMK]" caption="StavkaImeMK" attribute="1" defaultMemberUniqueName="[rArtikliAnaliza].[StavkaImeMK].[All]" allUniqueName="[rArtikliAnaliza].[StavkaImeMK].[All]" dimensionUniqueName="[rArtikliAnaliza]" displayFolder="" count="0" memberValueDatatype="130" unbalanced="0"/>
    <cacheHierarchy uniqueName="[rArtikliAnaliza].[StavkaKategorija]" caption="StavkaKategorija" attribute="1" defaultMemberUniqueName="[rArtikliAnaliza].[StavkaKategorija].[All]" allUniqueName="[rArtikliAnaliza].[StavkaKategorija].[All]" dimensionUniqueName="[rArtikliAnaliza]" displayFolder="" count="0" memberValueDatatype="130" unbalanced="0"/>
    <cacheHierarchy uniqueName="[rArtikliAnaliza].[Период (Year)]" caption="Период (Year)" attribute="1" defaultMemberUniqueName="[rArtikliAnaliza].[Период (Year)].[All]" allUniqueName="[rArtikliAnaliza].[Период (Year)].[All]" dimensionUniqueName="[rArtikliAnaliza]" displayFolder="" count="0" memberValueDatatype="130" unbalanced="0"/>
    <cacheHierarchy uniqueName="[rArtikliAnaliza].[Период (Quarter)]" caption="Период (Quarter)" attribute="1" defaultMemberUniqueName="[rArtikliAnaliza].[Период (Quarter)].[All]" allUniqueName="[rArtikliAnaliza].[Период (Quarter)].[All]" dimensionUniqueName="[rArtikliAnaliza]" displayFolder="" count="0" memberValueDatatype="130" unbalanced="0"/>
    <cacheHierarchy uniqueName="[rArtikliAnaliza].[Период (Month)]" caption="Период (Month)" attribute="1" defaultMemberUniqueName="[rArtikliAnaliza].[Период (Month)].[All]" allUniqueName="[rArtikliAnaliza].[Период (Month)].[All]" dimensionUniqueName="[rArtikliAnaliza]" displayFolder="" count="0" memberValueDatatype="130" unbalanced="0"/>
    <cacheHierarchy uniqueName="[CAPEX].[Очекуван датум за ставање во употреба (месец) (Month Index)]" caption="Очекуван датум за ставање во употреба (месец) (Month Index)" attribute="1" defaultMemberUniqueName="[CAPEX].[Очекуван датум за ставање во употреба (месец) (Month Index)].[All]" allUniqueName="[CAPEX].[Очекуван датум за ставање во употреба (месец) (Month Index)].[All]" dimensionUniqueName="[CAPEX]" displayFolder="" count="0" memberValueDatatype="20" unbalanced="0" hidden="1"/>
    <cacheHierarchy uniqueName="[CAPEX].[Очекуван датум на плаќање (Month Index)]" caption="Очекуван датум на плаќање (Month Index)" attribute="1" defaultMemberUniqueName="[CAPEX].[Очекуван датум на плаќање (Month Index)].[All]" allUniqueName="[CAPEX].[Очекуван датум на плаќање (Month Index)].[All]" dimensionUniqueName="[CAPEX]" displayFolder="" count="0" memberValueDatatype="20" unbalanced="0" hidden="1"/>
    <cacheHierarchy uniqueName="[fActualAndBudget].[StavkaID]" caption="StavkaID" attribute="1" defaultMemberUniqueName="[fActualAndBudget].[StavkaID].[All]" allUniqueName="[fActualAndBudget].[StavkaID].[All]" dimensionUniqueName="[fActualAndBudget]" displayFolder="" count="0" memberValueDatatype="20" unbalanced="0" hidden="1"/>
    <cacheHierarchy uniqueName="[fCoveckiResursi].[Период (Month Index)]" caption="Период (Month Index)" attribute="1" defaultMemberUniqueName="[fCoveckiResursi].[Период (Month Index)].[All]" allUniqueName="[fCoveckiResursi].[Период (Month Index)].[All]" dimensionUniqueName="[fCoveckiResursi]" displayFolder="" count="0" memberValueDatatype="20" unbalanced="0" hidden="1"/>
    <cacheHierarchy uniqueName="[fCoveckiResursi].[Период (Month Index) 1]" caption="Период (Month Index) 1" attribute="1" defaultMemberUniqueName="[fCoveckiResursi].[Период (Month Index) 1].[All]" allUniqueName="[fCoveckiResursi].[Период (Month Index) 1].[All]" dimensionUniqueName="[fCoveckiResursi]" displayFolder="" count="0" memberValueDatatype="20" unbalanced="0" hidden="1"/>
    <cacheHierarchy uniqueName="[OPEXAnaliza].[Период (Month Index)]" caption="Период (Month Index)" attribute="1" defaultMemberUniqueName="[OPEXAnaliza].[Период (Month Index)].[All]" allUniqueName="[OPEXAnaliza].[Период (Month Index)].[All]" dimensionUniqueName="[OPEXAnaliza]" displayFolder="" count="0" memberValueDatatype="20" unbalanced="0" hidden="1"/>
    <cacheHierarchy uniqueName="[rArtikli_HR_Analiza].[Крајна состојба вработени]" caption="Крајна состојба вработени" attribute="1" defaultMemberUniqueName="[rArtikli_HR_Analiza].[Крајна состојба вработени].[All]" allUniqueName="[rArtikli_HR_Analiza].[Крајна состојба вработени].[All]" dimensionUniqueName="[rArtikli_HR_Analiza]" displayFolder="" count="0" memberValueDatatype="20" unbalanced="0" hidden="1"/>
    <cacheHierarchy uniqueName="[rArtikli_HR_Analiza].[Планиран прилив/(одлив)]" caption="Планиран прилив/(одлив)" attribute="1" defaultMemberUniqueName="[rArtikli_HR_Analiza].[Планиран прилив/(одлив)].[All]" allUniqueName="[rArtikli_HR_Analiza].[Планиран прилив/(одлив)].[All]" dimensionUniqueName="[rArtikli_HR_Analiza]" displayFolder="" count="0" memberValueDatatype="20" unbalanced="0" hidden="1"/>
    <cacheHierarchy uniqueName="[rArtikli_HR_Analiza].[Тип на вработување]" caption="Тип на вработување" attribute="1" defaultMemberUniqueName="[rArtikli_HR_Analiza].[Тип на вработување].[All]" allUniqueName="[rArtikli_HR_Analiza].[Тип на вработување].[All]" dimensionUniqueName="[rArtikli_HR_Analiza]" displayFolder="" count="0" memberValueDatatype="130" unbalanced="0" hidden="1"/>
    <cacheHierarchy uniqueName="[rArtikliAnaliza].[Период (Month Index)]" caption="Период (Month Index)" attribute="1" defaultMemberUniqueName="[rArtikliAnaliza].[Период (Month Index)].[All]" allUniqueName="[rArtikliAnaliza].[Период (Month Index)].[All]" dimensionUniqueName="[rArtikliAnaliza]" displayFolder="" count="0" memberValueDatatype="20" unbalanced="0" hidden="1"/>
    <cacheHierarchy uniqueName="[Measures].[__XL_Count Calendar]" caption="__XL_Count Calendar" measure="1" displayFolder="" measureGroup="Calendar" count="0" hidden="1"/>
    <cacheHierarchy uniqueName="[Measures].[__XL_Count CAPEX]" caption="__XL_Count CAPEX" measure="1" displayFolder="" measureGroup="CAPEX" count="0" hidden="1"/>
    <cacheHierarchy uniqueName="[Measures].[__XL_Count Amortizacija]" caption="__XL_Count Amortizacija" measure="1" displayFolder="" measureGroup="Amortizacija" count="0" hidden="1"/>
    <cacheHierarchy uniqueName="[Measures].[__XL_Count fCoveckiResursi]" caption="__XL_Count fCoveckiResursi" measure="1" displayFolder="" measureGroup="fCoveckiResursi" count="0" hidden="1"/>
    <cacheHierarchy uniqueName="[Measures].[__XL_Count fActualAndBudget]" caption="__XL_Count fActualAndBudget" measure="1" displayFolder="" measureGroup="fActualAndBudget" count="0" hidden="1"/>
    <cacheHierarchy uniqueName="[Measures].[__XL_Count fOPEX]" caption="__XL_Count fOPEX" measure="1" displayFolder="" measureGroup="fOPEX" count="0" hidden="1"/>
    <cacheHierarchy uniqueName="[Measures].[__XL_Count OPEXAnaliza]" caption="__XL_Count OPEXAnaliza" measure="1" displayFolder="" measureGroup="OPEXAnaliza" count="0" hidden="1"/>
    <cacheHierarchy uniqueName="[Measures].[__XL_Count rArtikliAnaliza]" caption="__XL_Count rArtikliAnaliza" measure="1" displayFolder="" measureGroup="rArtikliAnaliza" count="0" hidden="1"/>
    <cacheHierarchy uniqueName="[Measures].[__XL_Count fArtikliCeni]" caption="__XL_Count fArtikliCeni" measure="1" displayFolder="" measureGroup="fArtikliCeni" count="0" hidden="1"/>
    <cacheHierarchy uniqueName="[Measures].[__XL_Count rArtikli_HR_Analiza]" caption="__XL_Count rArtikli_HR_Analiza" measure="1" displayFolder="" measureGroup="rArtikli_HR_Analiza" count="0" hidden="1"/>
    <cacheHierarchy uniqueName="[Measures].[__XL_Count fCoveckiResursi  2]" caption="__XL_Count fCoveckiResursi  2" measure="1" displayFolder="" measureGroup="fCoveckiResursi  2" count="0" hidden="1"/>
    <cacheHierarchy uniqueName="[Measures].[__No measures defined]" caption="__No measures defined" measure="1" displayFolder="" count="0" hidden="1"/>
    <cacheHierarchy uniqueName="[Measures].[Sum of Износ 3]" caption="Sum of Износ 3" measure="1" displayFolder="" measureGroup="fCoveckiResursi" count="0" hidden="1">
      <extLst>
        <ext xmlns:x15="http://schemas.microsoft.com/office/spreadsheetml/2010/11/main" uri="{B97F6D7D-B522-45F9-BDA1-12C45D357490}">
          <x15:cacheHierarchy aggregatedColumn="71"/>
        </ext>
      </extLst>
    </cacheHierarchy>
    <cacheHierarchy uniqueName="[Measures].[Sum of Крајна состојба вработени]" caption="Sum of Крајна состојба вработени" measure="1" displayFolder="" measureGroup="fCoveckiResursi" count="0" hidden="1">
      <extLst>
        <ext xmlns:x15="http://schemas.microsoft.com/office/spreadsheetml/2010/11/main" uri="{B97F6D7D-B522-45F9-BDA1-12C45D357490}">
          <x15:cacheHierarchy aggregatedColumn="70"/>
        </ext>
      </extLst>
    </cacheHierarchy>
    <cacheHierarchy uniqueName="[Measures].[Sum of Планиран прилив/(одлив)]" caption="Sum of Планиран прилив/(одлив)" measure="1" displayFolder="" measureGroup="fCoveckiResursi" count="0" hidden="1">
      <extLst>
        <ext xmlns:x15="http://schemas.microsoft.com/office/spreadsheetml/2010/11/main" uri="{B97F6D7D-B522-45F9-BDA1-12C45D357490}">
          <x15:cacheHierarchy aggregatedColumn="68"/>
        </ext>
      </extLst>
    </cacheHierarchy>
    <cacheHierarchy uniqueName="[Measures].[Sum of Износ]" caption="Sum of Износ" measure="1" displayFolder="" measureGroup="fActualAndBudget" count="0" hidden="1">
      <extLst>
        <ext xmlns:x15="http://schemas.microsoft.com/office/spreadsheetml/2010/11/main" uri="{B97F6D7D-B522-45F9-BDA1-12C45D357490}">
          <x15:cacheHierarchy aggregatedColumn="45"/>
        </ext>
      </extLst>
    </cacheHierarchy>
    <cacheHierarchy uniqueName="[Measures].[Sum of Износ (илјади)]" caption="Sum of Износ (илјади)" measure="1" displayFolder="" measureGroup="fActualAndBudget" count="0" hidden="1">
      <extLst>
        <ext xmlns:x15="http://schemas.microsoft.com/office/spreadsheetml/2010/11/main" uri="{B97F6D7D-B522-45F9-BDA1-12C45D357490}">
          <x15:cacheHierarchy aggregatedColumn="46"/>
        </ext>
      </extLst>
    </cacheHierarchy>
    <cacheHierarchy uniqueName="[Measures].[Sum of Износ1]" caption="Sum of Износ1" measure="1" displayFolder="" measureGroup="fActualAndBudget" count="0" hidden="1">
      <extLst>
        <ext xmlns:x15="http://schemas.microsoft.com/office/spreadsheetml/2010/11/main" uri="{B97F6D7D-B522-45F9-BDA1-12C45D357490}">
          <x15:cacheHierarchy aggregatedColumn="34"/>
        </ext>
      </extLst>
    </cacheHierarchy>
    <cacheHierarchy uniqueName="[Measures].[Sum of Износ 2]" caption="Sum of Износ 2" measure="1" displayFolder="" measureGroup="Amortizacija" count="0" hidden="1">
      <extLst>
        <ext xmlns:x15="http://schemas.microsoft.com/office/spreadsheetml/2010/11/main" uri="{B97F6D7D-B522-45F9-BDA1-12C45D357490}">
          <x15:cacheHierarchy aggregatedColumn="3"/>
        </ext>
      </extLst>
    </cacheHierarchy>
    <cacheHierarchy uniqueName="[Measures].[Sum of Износ 4]" caption="Sum of Износ 4" measure="1" displayFolder="" measureGroup="OPEXAnaliza" count="0" hidden="1">
      <extLst>
        <ext xmlns:x15="http://schemas.microsoft.com/office/spreadsheetml/2010/11/main" uri="{B97F6D7D-B522-45F9-BDA1-12C45D357490}">
          <x15:cacheHierarchy aggregatedColumn="101"/>
        </ext>
      </extLst>
    </cacheHierarchy>
    <cacheHierarchy uniqueName="[Measures].[Sum of Износ донација]" caption="Sum of Износ донација" measure="1" displayFolder="" measureGroup="CAPEX" count="0" hidden="1">
      <extLst>
        <ext xmlns:x15="http://schemas.microsoft.com/office/spreadsheetml/2010/11/main" uri="{B97F6D7D-B522-45F9-BDA1-12C45D357490}">
          <x15:cacheHierarchy aggregatedColumn="24"/>
        </ext>
      </extLst>
    </cacheHierarchy>
    <cacheHierarchy uniqueName="[Measures].[Sum of Вкупно трошок]" caption="Sum of Вкупно трошок" measure="1" displayFolder="" measureGroup="fArtikliCeni" count="0" hidden="1">
      <extLst>
        <ext xmlns:x15="http://schemas.microsoft.com/office/spreadsheetml/2010/11/main" uri="{B97F6D7D-B522-45F9-BDA1-12C45D357490}">
          <x15:cacheHierarchy aggregatedColumn="55"/>
        </ext>
      </extLst>
    </cacheHierarchy>
    <cacheHierarchy uniqueName="[Measures].[Sum of Количина]" caption="Sum of Количина" measure="1" displayFolder="" measureGroup="fArtikliCeni" count="0" hidden="1">
      <extLst>
        <ext xmlns:x15="http://schemas.microsoft.com/office/spreadsheetml/2010/11/main" uri="{B97F6D7D-B522-45F9-BDA1-12C45D357490}">
          <x15:cacheHierarchy aggregatedColumn="53"/>
        </ext>
      </extLst>
    </cacheHierarchy>
    <cacheHierarchy uniqueName="[Measures].[Sum of Единечна цена]" caption="Sum of Единечна цена" measure="1" displayFolder="" measureGroup="fArtikliCeni" count="0" hidden="1">
      <extLst>
        <ext xmlns:x15="http://schemas.microsoft.com/office/spreadsheetml/2010/11/main" uri="{B97F6D7D-B522-45F9-BDA1-12C45D357490}">
          <x15:cacheHierarchy aggregatedColumn="54"/>
        </ext>
      </extLst>
    </cacheHierarchy>
    <cacheHierarchy uniqueName="[Measures].[Sum of ДДВ]" caption="Sum of ДДВ" measure="1" displayFolder="" measureGroup="fArtikliCeni" count="0" hidden="1">
      <extLst>
        <ext xmlns:x15="http://schemas.microsoft.com/office/spreadsheetml/2010/11/main" uri="{B97F6D7D-B522-45F9-BDA1-12C45D357490}">
          <x15:cacheHierarchy aggregatedColumn="56"/>
        </ext>
      </extLst>
    </cacheHierarchy>
    <cacheHierarchy uniqueName="[Measures].[Sum of Износ 6]" caption="Sum of Износ 6" measure="1" displayFolder="" measureGroup="fArtikliCeni" count="0" hidden="1">
      <extLst>
        <ext xmlns:x15="http://schemas.microsoft.com/office/spreadsheetml/2010/11/main" uri="{B97F6D7D-B522-45F9-BDA1-12C45D357490}">
          <x15:cacheHierarchy aggregatedColumn="57"/>
        </ext>
      </extLst>
    </cacheHierarchy>
    <cacheHierarchy uniqueName="[Measures].[Count of Единечна мерка]" caption="Count of Единечна мерка" measure="1" displayFolder="" measureGroup="fArtikliCeni" count="0" hidden="1">
      <extLst>
        <ext xmlns:x15="http://schemas.microsoft.com/office/spreadsheetml/2010/11/main" uri="{B97F6D7D-B522-45F9-BDA1-12C45D357490}">
          <x15:cacheHierarchy aggregatedColumn="52"/>
        </ext>
      </extLst>
    </cacheHierarchy>
    <cacheHierarchy uniqueName="[Measures].[Sum of Количина 2]" caption="Sum of Количина 2" measure="1" displayFolder="" measureGroup="rArtikli_HR_Analiza" count="0" hidden="1">
      <extLst>
        <ext xmlns:x15="http://schemas.microsoft.com/office/spreadsheetml/2010/11/main" uri="{B97F6D7D-B522-45F9-BDA1-12C45D357490}">
          <x15:cacheHierarchy aggregatedColumn="118"/>
        </ext>
      </extLst>
    </cacheHierarchy>
    <cacheHierarchy uniqueName="[Measures].[Sum of Единечна цена 2]" caption="Sum of Единечна цена 2" measure="1" displayFolder="" measureGroup="rArtikli_HR_Analiza" count="0" hidden="1">
      <extLst>
        <ext xmlns:x15="http://schemas.microsoft.com/office/spreadsheetml/2010/11/main" uri="{B97F6D7D-B522-45F9-BDA1-12C45D357490}">
          <x15:cacheHierarchy aggregatedColumn="119"/>
        </ext>
      </extLst>
    </cacheHierarchy>
    <cacheHierarchy uniqueName="[Measures].[Sum of Вкупно трошок 2]" caption="Sum of Вкупно трошок 2" measure="1" displayFolder="" measureGroup="rArtikli_HR_Analiza" count="0" hidden="1">
      <extLst>
        <ext xmlns:x15="http://schemas.microsoft.com/office/spreadsheetml/2010/11/main" uri="{B97F6D7D-B522-45F9-BDA1-12C45D357490}">
          <x15:cacheHierarchy aggregatedColumn="120"/>
        </ext>
      </extLst>
    </cacheHierarchy>
    <cacheHierarchy uniqueName="[Measures].[Sum of ДДВ 2]" caption="Sum of ДДВ 2" measure="1" displayFolder="" measureGroup="rArtikli_HR_Analiza" count="0" hidden="1">
      <extLst>
        <ext xmlns:x15="http://schemas.microsoft.com/office/spreadsheetml/2010/11/main" uri="{B97F6D7D-B522-45F9-BDA1-12C45D357490}">
          <x15:cacheHierarchy aggregatedColumn="121"/>
        </ext>
      </extLst>
    </cacheHierarchy>
    <cacheHierarchy uniqueName="[Measures].[Sum of Износ 7]" caption="Sum of Износ 7" measure="1" displayFolder="" measureGroup="rArtikli_HR_Analiza" count="0" hidden="1">
      <extLst>
        <ext xmlns:x15="http://schemas.microsoft.com/office/spreadsheetml/2010/11/main" uri="{B97F6D7D-B522-45F9-BDA1-12C45D357490}">
          <x15:cacheHierarchy aggregatedColumn="122"/>
        </ext>
      </extLst>
    </cacheHierarchy>
    <cacheHierarchy uniqueName="[Measures].[Sum of Износ 5]" caption="Sum of Износ 5" measure="1" displayFolder="" measureGroup="fCoveckiResursi  2" count="0" hidden="1">
      <extLst>
        <ext xmlns:x15="http://schemas.microsoft.com/office/spreadsheetml/2010/11/main" uri="{B97F6D7D-B522-45F9-BDA1-12C45D357490}">
          <x15:cacheHierarchy aggregatedColumn="82"/>
        </ext>
      </extLst>
    </cacheHierarchy>
    <cacheHierarchy uniqueName="[Measures].[Sum of Проценета вредност на набавка со ДДВ (денари)]" caption="Sum of Проценета вредност на набавка со ДДВ (денари)" measure="1" displayFolder="" measureGroup="CAPEX" count="0" hidden="1">
      <extLst>
        <ext xmlns:x15="http://schemas.microsoft.com/office/spreadsheetml/2010/11/main" uri="{B97F6D7D-B522-45F9-BDA1-12C45D357490}">
          <x15:cacheHierarchy aggregatedColumn="20"/>
        </ext>
      </extLst>
    </cacheHierarchy>
  </cacheHierarchies>
  <kpis count="0"/>
  <dimensions count="12">
    <dimension name="Amortizacija" uniqueName="[Amortizacija]" caption="Amortizacija"/>
    <dimension name="Calendar" uniqueName="[Calendar]" caption="Calendar"/>
    <dimension name="CAPEX" uniqueName="[CAPEX]" caption="CAPEX"/>
    <dimension name="fActualAndBudget" uniqueName="[fActualAndBudget]" caption="fActualAndBudget"/>
    <dimension name="fArtikliCeni" uniqueName="[fArtikliCeni]" caption="fArtikliCeni"/>
    <dimension name="fCoveckiResursi" uniqueName="[fCoveckiResursi]" caption="fCoveckiResursi"/>
    <dimension name="fCoveckiResursi  2" uniqueName="[fCoveckiResursi  2]" caption="fCoveckiResursi  2"/>
    <dimension name="fOPEX" uniqueName="[fOPEX]" caption="fOPEX"/>
    <dimension measure="1" name="Measures" uniqueName="[Measures]" caption="Measures"/>
    <dimension name="OPEXAnaliza" uniqueName="[OPEXAnaliza]" caption="OPEXAnaliza"/>
    <dimension name="rArtikli_HR_Analiza" uniqueName="[rArtikli_HR_Analiza]" caption="rArtikli_HR_Analiza"/>
    <dimension name="rArtikliAnaliza" uniqueName="[rArtikliAnaliza]" caption="rArtikliAnaliza"/>
  </dimensions>
  <measureGroups count="11">
    <measureGroup name="Amortizacija" caption="Amortizacija"/>
    <measureGroup name="Calendar" caption="Calendar"/>
    <measureGroup name="CAPEX" caption="CAPEX"/>
    <measureGroup name="fActualAndBudget" caption="fActualAndBudget"/>
    <measureGroup name="fArtikliCeni" caption="fArtikliCeni"/>
    <measureGroup name="fCoveckiResursi" caption="fCoveckiResursi"/>
    <measureGroup name="fCoveckiResursi  2" caption="fCoveckiResursi  2"/>
    <measureGroup name="fOPEX" caption="fOPEX"/>
    <measureGroup name="OPEXAnaliza" caption="OPEXAnaliza"/>
    <measureGroup name="rArtikli_HR_Analiza" caption="rArtikli_HR_Analiza"/>
    <measureGroup name="rArtikliAnaliza" caption="rArtikliAnaliza"/>
  </measureGroups>
  <maps count="19">
    <map measureGroup="0" dimension="0"/>
    <map measureGroup="0" dimension="1"/>
    <map measureGroup="1" dimension="1"/>
    <map measureGroup="2" dimension="1"/>
    <map measureGroup="2" dimension="2"/>
    <map measureGroup="3" dimension="1"/>
    <map measureGroup="3" dimension="3"/>
    <map measureGroup="4" dimension="4"/>
    <map measureGroup="5" dimension="1"/>
    <map measureGroup="5" dimension="5"/>
    <map measureGroup="6" dimension="1"/>
    <map measureGroup="6" dimension="6"/>
    <map measureGroup="7" dimension="1"/>
    <map measureGroup="7" dimension="7"/>
    <map measureGroup="8" dimension="1"/>
    <map measureGroup="8" dimension="9"/>
    <map measureGroup="9" dimension="10"/>
    <map measureGroup="10" dimension="1"/>
    <map measureGroup="10" dimension="1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ngela Sazdova - Doneva" refreshedDate="44899.978557754628" createdVersion="5" refreshedVersion="6" minRefreshableVersion="3" recordCount="0" supportSubquery="1" supportAdvancedDrill="1" xr:uid="{00000000-000A-0000-FFFF-FFFF17000000}">
  <cacheSource type="external" connectionId="22"/>
  <cacheFields count="6">
    <cacheField name="[Calendar].[Date Hierarchy].[Year]" caption="Year" numFmtId="0" hierarchy="7" level="1">
      <sharedItems containsSemiMixedTypes="0" containsNonDate="0" containsString="0"/>
    </cacheField>
    <cacheField name="[Calendar].[Date Hierarchy].[Month]" caption="Month" numFmtId="0" hierarchy="7" level="2">
      <sharedItems containsSemiMixedTypes="0" containsNonDate="0" containsString="0"/>
    </cacheField>
    <cacheField name="[Calendar].[Date Hierarchy].[DateColumn]" caption="DateColumn" numFmtId="0" hierarchy="7" level="3">
      <sharedItems containsSemiMixedTypes="0" containsNonDate="0" containsString="0"/>
    </cacheField>
    <cacheField name="[fActualAndBudget].[ReportType].[ReportType]" caption="ReportType" numFmtId="0" hierarchy="35" level="1">
      <sharedItems containsSemiMixedTypes="0" containsNonDate="0" containsString="0"/>
    </cacheField>
    <cacheField name="[Calendar].[Година].[Година]" caption="Година" numFmtId="0" hierarchy="8" level="1">
      <sharedItems containsSemiMixedTypes="0" containsNonDate="0" containsString="0"/>
    </cacheField>
    <cacheField name="[fActualAndBudget].[ObrazecIme].[ObrazecIme]" caption="ObrazecIme" numFmtId="0" hierarchy="44" level="1">
      <sharedItems containsSemiMixedTypes="0" containsNonDate="0" containsString="0"/>
    </cacheField>
  </cacheFields>
  <cacheHierarchies count="195">
    <cacheHierarchy uniqueName="[Amortizacija].[Број на јавна набавка (план)]" caption="Број на јавна набавка (план)" attribute="1" defaultMemberUniqueName="[Amortizacija].[Број на јавна набавка (план)].[All]" allUniqueName="[Amortizacija].[Број на јавна набавка (план)].[All]" dimensionUniqueName="[Amortizacija]" displayFolder="" count="0" memberValueDatatype="130" unbalanced="0"/>
    <cacheHierarchy uniqueName="[Amortizacija].[Ставка]" caption="Ставка" attribute="1" defaultMemberUniqueName="[Amortizacija].[Ставка].[All]" allUniqueName="[Amortizacija].[Ставка].[All]" dimensionUniqueName="[Amortizacija]" displayFolder="" count="0" memberValueDatatype="130" unbalanced="0"/>
    <cacheHierarchy uniqueName="[Amortizacija].[Период]" caption="Период" attribute="1" time="1" defaultMemberUniqueName="[Amortizacija].[Период].[All]" allUniqueName="[Amortizacija].[Период].[All]" dimensionUniqueName="[Amortizacija]" displayFolder="" count="0" memberValueDatatype="7" unbalanced="0"/>
    <cacheHierarchy uniqueName="[Amortizacija].[Износ]" caption="Износ" attribute="1" defaultMemberUniqueName="[Amortizacija].[Износ].[All]" allUniqueName="[Amortizacija].[Износ].[All]" dimensionUniqueName="[Amortizacija]" displayFolder="" count="0" memberValueDatatype="20" unbalanced="0"/>
    <cacheHierarchy uniqueName="[Amortizacija].[Конто]" caption="Конто" attribute="1" defaultMemberUniqueName="[Amortizacija].[Конто].[All]" allUniqueName="[Amortizacija].[Конто].[All]" dimensionUniqueName="[Amortizacija]" displayFolder="" count="0" memberValueDatatype="130" unbalanced="0"/>
    <cacheHierarchy uniqueName="[Amortizacija].[ReportType]" caption="ReportType" attribute="1" defaultMemberUniqueName="[Amortizacija].[ReportType].[All]" allUniqueName="[Amortizacija].[ReportType].[All]" dimensionUniqueName="[Amortizacija]" displayFolder="" count="0" memberValueDatatype="130" unbalanced="0"/>
    <cacheHierarchy uniqueName="[Calendar].[Date]" caption="Date" attribute="1" time="1" keyAttribute="1" defaultMemberUniqueName="[Calendar].[Date].[All]" allUniqueName="[Calendar].[Date].[All]" dimensionUniqueName="[Calendar]" displayFolder="" count="0" memberValueDatatype="7" unbalanced="0"/>
    <cacheHierarchy uniqueName="[Calendar].[Date Hierarchy]" caption="Date Hierarchy" time="1" defaultMemberUniqueName="[Calendar].[Date Hierarchy].[All]" allUniqueName="[Calendar].[Date Hierarchy].[All]" dimensionUniqueName="[Calendar]" displayFolder="" count="4" unbalanced="0">
      <fieldsUsage count="4">
        <fieldUsage x="-1"/>
        <fieldUsage x="0"/>
        <fieldUsage x="1"/>
        <fieldUsage x="2"/>
      </fieldsUsage>
    </cacheHierarchy>
    <cacheHierarchy uniqueName="[Calendar].[Година]" caption="Година" attribute="1" time="1" defaultMemberUniqueName="[Calendar].[Година].[All]" allUniqueName="[Calendar].[Година].[All]" dimensionUniqueName="[Calendar]" displayFolder="" count="2" memberValueDatatype="20" unbalanced="0">
      <fieldsUsage count="2">
        <fieldUsage x="-1"/>
        <fieldUsage x="4"/>
      </fieldsUsage>
    </cacheHierarchy>
    <cacheHierarchy uniqueName="[Calendar].[Month Number]" caption="Month Number" attribute="1" time="1" defaultMemberUniqueName="[Calendar].[Month Number].[All]" allUniqueName="[Calendar].[Month Number].[All]" dimensionUniqueName="[Calendar]" displayFolder="" count="0" memberValueDatatype="20" unbalanced="0"/>
    <cacheHierarchy uniqueName="[Calendar].[Месец]" caption="Месец" attribute="1" time="1" defaultMemberUniqueName="[Calendar].[Месец].[All]" allUniqueName="[Calendar].[Месец].[All]" dimensionUniqueName="[Calendar]" displayFolder="" count="0" memberValueDatatype="130" unbalanced="0"/>
    <cacheHierarchy uniqueName="[Calendar].[MMM-YYYY]" caption="MMM-YYYY" attribute="1" time="1" defaultMemberUniqueName="[Calendar].[MMM-YYYY].[All]" allUniqueName="[Calendar].[MMM-YYYY].[All]" dimensionUniqueName="[Calendar]" displayFolder="" count="0" memberValueDatatype="130" unbalanced="0"/>
    <cacheHierarchy uniqueName="[Calendar].[Day Of Week Number]" caption="Day Of Week Number" attribute="1" time="1" defaultMemberUniqueName="[Calendar].[Day Of Week Number].[All]" allUniqueName="[Calendar].[Day Of Week Number].[All]" dimensionUniqueName="[Calendar]" displayFolder="" count="0" memberValueDatatype="20" unbalanced="0"/>
    <cacheHierarchy uniqueName="[Calendar].[Day Of Week]" caption="Day Of Week" attribute="1" time="1" defaultMemberUniqueName="[Calendar].[Day Of Week].[All]" allUniqueName="[Calendar].[Day Of Week].[All]" dimensionUniqueName="[Calendar]" displayFolder="" count="0" memberValueDatatype="130" unbalanced="0"/>
    <cacheHierarchy uniqueName="[Calendar].[Квартал]" caption="Квартал" attribute="1" time="1" defaultMemberUniqueName="[Calendar].[Квартал].[All]" allUniqueName="[Calendar].[Квартал].[All]" dimensionUniqueName="[Calendar]" displayFolder="" count="0" memberValueDatatype="7" unbalanced="0"/>
    <cacheHierarchy uniqueName="[CAPEX].[Година за реализација на проект]" caption="Година за реализација на проект" attribute="1" defaultMemberUniqueName="[CAPEX].[Година за реализација на проект].[All]" allUniqueName="[CAPEX].[Година за реализација на проект].[All]" dimensionUniqueName="[CAPEX]" displayFolder="" count="0" memberValueDatatype="20" unbalanced="0"/>
    <cacheHierarchy uniqueName="[CAPEX].[Број на јавна набавка (план)]" caption="Број на јавна набавка (план)" attribute="1" defaultMemberUniqueName="[CAPEX].[Број на јавна набавка (план)].[All]" allUniqueName="[CAPEX].[Број на јавна набавка (план)].[All]" dimensionUniqueName="[CAPEX]" displayFolder="" count="0" memberValueDatatype="130" unbalanced="0"/>
    <cacheHierarchy uniqueName="[CAPEX].[Предмет на договорот за јавна набавка]" caption="Предмет на договорот за јавна набавка" attribute="1" defaultMemberUniqueName="[CAPEX].[Предмет на договорот за јавна набавка].[All]" allUniqueName="[CAPEX].[Предмет на договорот за јавна набавка].[All]" dimensionUniqueName="[CAPEX]" displayFolder="" count="0" memberValueDatatype="130" unbalanced="0"/>
    <cacheHierarchy uniqueName="[CAPEX].[Очекуван датум на плаќање]" caption="Очекуван датум на плаќање" attribute="1" time="1" defaultMemberUniqueName="[CAPEX].[Очекуван датум на плаќање].[All]" allUniqueName="[CAPEX].[Очекуван датум на плаќање].[All]" dimensionUniqueName="[CAPEX]" displayFolder="" count="0" memberValueDatatype="7" unbalanced="0"/>
    <cacheHierarchy uniqueName="[CAPEX].[Очекуван датум за ставање во употреба (месец)]" caption="Очекуван датум за ставање во употреба (месец)" attribute="1" time="1" defaultMemberUniqueName="[CAPEX].[Очекуван датум за ставање во употреба (месец)].[All]" allUniqueName="[CAPEX].[Очекуван датум за ставање во употреба (месец)].[All]" dimensionUniqueName="[CAPEX]" displayFolder="" count="0" memberValueDatatype="7" unbalanced="0"/>
    <cacheHierarchy uniqueName="[CAPEX].[Проценета вредност на набавка со ДДВ (денари)]" caption="Проценета вредност на набавка со ДДВ (денари)" attribute="1" defaultMemberUniqueName="[CAPEX].[Проценета вредност на набавка со ДДВ (денари)].[All]" allUniqueName="[CAPEX].[Проценета вредност на набавка со ДДВ (денари)].[All]" dimensionUniqueName="[CAPEX]" displayFolder="" count="0" memberValueDatatype="20" unbalanced="0"/>
    <cacheHierarchy uniqueName="[CAPEX].[Стапка на амортизација]" caption="Стапка на амортизација" attribute="1" defaultMemberUniqueName="[CAPEX].[Стапка на амортизација].[All]" allUniqueName="[CAPEX].[Стапка на амортизација].[All]" dimensionUniqueName="[CAPEX]" displayFolder="" count="0" memberValueDatatype="5" unbalanced="0"/>
    <cacheHierarchy uniqueName="[CAPEX].[Конто Средства]" caption="Конто Средства" attribute="1" defaultMemberUniqueName="[CAPEX].[Конто Средства].[All]" allUniqueName="[CAPEX].[Конто Средства].[All]" dimensionUniqueName="[CAPEX]" displayFolder="" count="0" memberValueDatatype="130" unbalanced="0"/>
    <cacheHierarchy uniqueName="[CAPEX].[Конто Амортизација]" caption="Конто Амортизација" attribute="1" defaultMemberUniqueName="[CAPEX].[Конто Амортизација].[All]" allUniqueName="[CAPEX].[Конто Амортизација].[All]" dimensionUniqueName="[CAPEX]" displayFolder="" count="0" memberValueDatatype="130" unbalanced="0"/>
    <cacheHierarchy uniqueName="[CAPEX].[Износ донација]" caption="Износ донација" attribute="1" defaultMemberUniqueName="[CAPEX].[Износ донација].[All]" allUniqueName="[CAPEX].[Износ донација].[All]" dimensionUniqueName="[CAPEX]" displayFolder="" count="0" memberValueDatatype="20" unbalanced="0"/>
    <cacheHierarchy uniqueName="[CAPEX].[Очекуван датум на плаќање (Year)]" caption="Очекуван датум на плаќање (Year)" attribute="1" defaultMemberUniqueName="[CAPEX].[Очекуван датум на плаќање (Year)].[All]" allUniqueName="[CAPEX].[Очекуван датум на плаќање (Year)].[All]" dimensionUniqueName="[CAPEX]" displayFolder="" count="0" memberValueDatatype="130" unbalanced="0"/>
    <cacheHierarchy uniqueName="[CAPEX].[Очекуван датум на плаќање (Quarter)]" caption="Очекуван датум на плаќање (Quarter)" attribute="1" defaultMemberUniqueName="[CAPEX].[Очекуван датум на плаќање (Quarter)].[All]" allUniqueName="[CAPEX].[Очекуван датум на плаќање (Quarter)].[All]" dimensionUniqueName="[CAPEX]" displayFolder="" count="0" memberValueDatatype="130" unbalanced="0"/>
    <cacheHierarchy uniqueName="[CAPEX].[Очекуван датум на плаќање (Month)]" caption="Очекуван датум на плаќање (Month)" attribute="1" defaultMemberUniqueName="[CAPEX].[Очекуван датум на плаќање (Month)].[All]" allUniqueName="[CAPEX].[Очекуван датум на плаќање (Month)].[All]" dimensionUniqueName="[CAPEX]" displayFolder="" count="0" memberValueDatatype="130" unbalanced="0"/>
    <cacheHierarchy uniqueName="[CAPEX].[Очекуван датум за ставање во употреба (месец) (Year)]" caption="Очекуван датум за ставање во употреба (месец) (Year)" attribute="1" defaultMemberUniqueName="[CAPEX].[Очекуван датум за ставање во употреба (месец) (Year)].[All]" allUniqueName="[CAPEX].[Очекуван датум за ставање во употреба (месец) (Year)].[All]" dimensionUniqueName="[CAPEX]" displayFolder="" count="0" memberValueDatatype="130" unbalanced="0"/>
    <cacheHierarchy uniqueName="[CAPEX].[Очекуван датум за ставање во употреба (месец) (Quarter)]" caption="Очекуван датум за ставање во употреба (месец) (Quarter)" attribute="1" defaultMemberUniqueName="[CAPEX].[Очекуван датум за ставање во употреба (месец) (Quarter)].[All]" allUniqueName="[CAPEX].[Очекуван датум за ставање во употреба (месец) (Quarter)].[All]" dimensionUniqueName="[CAPEX]" displayFolder="" count="0" memberValueDatatype="130" unbalanced="0"/>
    <cacheHierarchy uniqueName="[CAPEX].[Очекуван датум за ставање во употреба (месец) (Month)]" caption="Очекуван датум за ставање во употреба (месец) (Month)" attribute="1" defaultMemberUniqueName="[CAPEX].[Очекуван датум за ставање во употреба (месец) (Month)].[All]" allUniqueName="[CAPEX].[Очекуван датум за ставање во употреба (месец) (Month)].[All]" dimensionUniqueName="[CAPEX]" displayFolder="" count="0" memberValueDatatype="130" unbalanced="0"/>
    <cacheHierarchy uniqueName="[fActualAndBudget].[Конто]" caption="Конто" attribute="1" defaultMemberUniqueName="[fActualAndBudget].[Конто].[All]" allUniqueName="[fActualAndBudget].[Конто].[All]" dimensionUniqueName="[fActualAndBudget]" displayFolder="" count="0" memberValueDatatype="130" unbalanced="0"/>
    <cacheHierarchy uniqueName="[fActualAndBudget].[Назив на конто]" caption="Назив на конто" attribute="1" defaultMemberUniqueName="[fActualAndBudget].[Назив на конто].[All]" allUniqueName="[fActualAndBudget].[Назив на конто].[All]" dimensionUniqueName="[fActualAndBudget]" displayFolder="" count="0" memberValueDatatype="130" unbalanced="0"/>
    <cacheHierarchy uniqueName="[fActualAndBudget].[Период]" caption="Период" attribute="1" time="1" defaultMemberUniqueName="[fActualAndBudget].[Период].[All]" allUniqueName="[fActualAndBudget].[Период].[All]" dimensionUniqueName="[fActualAndBudget]" displayFolder="" count="0" memberValueDatatype="7" unbalanced="0"/>
    <cacheHierarchy uniqueName="[fActualAndBudget].[Износ1]" caption="Износ1" attribute="1" defaultMemberUniqueName="[fActualAndBudget].[Износ1].[All]" allUniqueName="[fActualAndBudget].[Износ1].[All]" dimensionUniqueName="[fActualAndBudget]" displayFolder="" count="0" memberValueDatatype="20" unbalanced="0"/>
    <cacheHierarchy uniqueName="[fActualAndBudget].[ReportType]" caption="ReportType" attribute="1" defaultMemberUniqueName="[fActualAndBudget].[ReportType].[All]" allUniqueName="[fActualAndBudget].[ReportType].[All]" dimensionUniqueName="[fActualAndBudget]" displayFolder="" count="2" memberValueDatatype="130" unbalanced="0">
      <fieldsUsage count="2">
        <fieldUsage x="-1"/>
        <fieldUsage x="3"/>
      </fieldsUsage>
    </cacheHierarchy>
    <cacheHierarchy uniqueName="[fActualAndBudget].[Ставка]" caption="Ставка" attribute="1" defaultMemberUniqueName="[fActualAndBudget].[Ставка].[All]" allUniqueName="[fActualAndBudget].[Ставка].[All]" dimensionUniqueName="[fActualAndBudget]" displayFolder="" count="0" memberValueDatatype="130" unbalanced="0"/>
    <cacheHierarchy uniqueName="[fActualAndBudget].[Број на јавна набавка (план)]" caption="Број на јавна набавка (план)" attribute="1" defaultMemberUniqueName="[fActualAndBudget].[Број на јавна набавка (план)].[All]" allUniqueName="[fActualAndBudget].[Број на јавна набавка (план)].[All]" dimensionUniqueName="[fActualAndBudget]" displayFolder="" count="0" memberValueDatatype="130" unbalanced="0"/>
    <cacheHierarchy uniqueName="[fActualAndBudget].[StavkaImeMK]" caption="StavkaImeMK" attribute="1" defaultMemberUniqueName="[fActualAndBudget].[StavkaImeMK].[All]" allUniqueName="[fActualAndBudget].[StavkaImeMK].[All]" dimensionUniqueName="[fActualAndBudget]" displayFolder="" count="0" memberValueDatatype="130" unbalanced="0"/>
    <cacheHierarchy uniqueName="[fActualAndBudget].[StavkaGrupa]" caption="StavkaGrupa" attribute="1" defaultMemberUniqueName="[fActualAndBudget].[StavkaGrupa].[All]" allUniqueName="[fActualAndBudget].[StavkaGrupa].[All]" dimensionUniqueName="[fActualAndBudget]" displayFolder="" count="0" memberValueDatatype="130" unbalanced="0"/>
    <cacheHierarchy uniqueName="[fActualAndBudget].[StavkaKategorija]" caption="StavkaKategorija" attribute="1" defaultMemberUniqueName="[fActualAndBudget].[StavkaKategorija].[All]" allUniqueName="[fActualAndBudget].[StavkaKategorija].[All]" dimensionUniqueName="[fActualAndBudget]" displayFolder="" count="0" memberValueDatatype="130" unbalanced="0"/>
    <cacheHierarchy uniqueName="[fActualAndBudget].[ZnakIzvestaj]" caption="ZnakIzvestaj" attribute="1" defaultMemberUniqueName="[fActualAndBudget].[ZnakIzvestaj].[All]" allUniqueName="[fActualAndBudget].[ZnakIzvestaj].[All]" dimensionUniqueName="[fActualAndBudget]" displayFolder="" count="0" memberValueDatatype="20" unbalanced="0"/>
    <cacheHierarchy uniqueName="[fActualAndBudget].[ObrazecID]" caption="ObrazecID" attribute="1" defaultMemberUniqueName="[fActualAndBudget].[ObrazecID].[All]" allUniqueName="[fActualAndBudget].[ObrazecID].[All]" dimensionUniqueName="[fActualAndBudget]" displayFolder="" count="0" memberValueDatatype="20" unbalanced="0"/>
    <cacheHierarchy uniqueName="[fActualAndBudget].[StavkaAOP]" caption="StavkaAOP" attribute="1" defaultMemberUniqueName="[fActualAndBudget].[StavkaAOP].[All]" allUniqueName="[fActualAndBudget].[StavkaAOP].[All]" dimensionUniqueName="[fActualAndBudget]" displayFolder="" count="0" memberValueDatatype="130" unbalanced="0"/>
    <cacheHierarchy uniqueName="[fActualAndBudget].[ObrazecIme]" caption="ObrazecIme" attribute="1" defaultMemberUniqueName="[fActualAndBudget].[ObrazecIme].[All]" allUniqueName="[fActualAndBudget].[ObrazecIme].[All]" dimensionUniqueName="[fActualAndBudget]" displayFolder="" count="2" memberValueDatatype="130" unbalanced="0">
      <fieldsUsage count="2">
        <fieldUsage x="-1"/>
        <fieldUsage x="5"/>
      </fieldsUsage>
    </cacheHierarchy>
    <cacheHierarchy uniqueName="[fActualAndBudget].[Износ]" caption="Износ" attribute="1" defaultMemberUniqueName="[fActualAndBudget].[Износ].[All]" allUniqueName="[fActualAndBudget].[Износ].[All]" dimensionUniqueName="[fActualAndBudget]" displayFolder="" count="0" memberValueDatatype="20" unbalanced="0"/>
    <cacheHierarchy uniqueName="[fActualAndBudget].[Износ (илјади)]" caption="Износ (илјади)" attribute="1" defaultMemberUniqueName="[fActualAndBudget].[Износ (илјади)].[All]" allUniqueName="[fActualAndBudget].[Износ (илјади)].[All]" dimensionUniqueName="[fActualAndBudget]" displayFolder="" count="0" memberValueDatatype="5" unbalanced="0"/>
    <cacheHierarchy uniqueName="[fActualAndBudget].[StavkaImeAOP]" caption="StavkaImeAOP" attribute="1" defaultMemberUniqueName="[fActualAndBudget].[StavkaImeAOP].[All]" allUniqueName="[fActualAndBudget].[StavkaImeAOP].[All]" dimensionUniqueName="[fActualAndBudget]" displayFolder="" count="0" memberValueDatatype="130" unbalanced="0"/>
    <cacheHierarchy uniqueName="[fActualAndBudget].[Конто Ставка]" caption="Конто Ставка" attribute="1" defaultMemberUniqueName="[fActualAndBudget].[Конто Ставка].[All]" allUniqueName="[fActualAndBudget].[Конто Ставка].[All]" dimensionUniqueName="[fActualAndBudget]" displayFolder="" count="0" memberValueDatatype="130" unbalanced="0"/>
    <cacheHierarchy uniqueName="[fArtikliCeni].[Ставка]" caption="Ставка" attribute="1" defaultMemberUniqueName="[fArtikliCeni].[Ставка].[All]" allUniqueName="[fArtikliCeni].[Ставка].[All]" dimensionUniqueName="[fArtikliCeni]" displayFolder="" count="0" memberValueDatatype="130" unbalanced="0"/>
    <cacheHierarchy uniqueName="[fArtikliCeni].[Категорија Артикл]" caption="Категорија Артикл" attribute="1" defaultMemberUniqueName="[fArtikliCeni].[Категорија Артикл].[All]" allUniqueName="[fArtikliCeni].[Категорија Артикл].[All]" dimensionUniqueName="[fArtikliCeni]" displayFolder="" count="0" memberValueDatatype="130" unbalanced="0"/>
    <cacheHierarchy uniqueName="[fArtikliCeni].[Тип на артикл]" caption="Тип на артикл" attribute="1" defaultMemberUniqueName="[fArtikliCeni].[Тип на артикл].[All]" allUniqueName="[fArtikliCeni].[Тип на артикл].[All]" dimensionUniqueName="[fArtikliCeni]" displayFolder="" count="0" memberValueDatatype="130" unbalanced="0"/>
    <cacheHierarchy uniqueName="[fArtikliCeni].[Единечна мерка]" caption="Единечна мерка" attribute="1" defaultMemberUniqueName="[fArtikliCeni].[Единечна мерка].[All]" allUniqueName="[fArtikliCeni].[Единечна мерка].[All]" dimensionUniqueName="[fArtikliCeni]" displayFolder="" count="0" memberValueDatatype="130" unbalanced="0"/>
    <cacheHierarchy uniqueName="[fArtikliCeni].[Количина]" caption="Количина" attribute="1" defaultMemberUniqueName="[fArtikliCeni].[Количина].[All]" allUniqueName="[fArtikliCeni].[Количина].[All]" dimensionUniqueName="[fArtikliCeni]" displayFolder="" count="0" memberValueDatatype="5" unbalanced="0"/>
    <cacheHierarchy uniqueName="[fArtikliCeni].[Единечна цена]" caption="Единечна цена" attribute="1" defaultMemberUniqueName="[fArtikliCeni].[Единечна цена].[All]" allUniqueName="[fArtikliCeni].[Единечна цена].[All]" dimensionUniqueName="[fArtikliCeni]" displayFolder="" count="0" memberValueDatatype="20" unbalanced="0"/>
    <cacheHierarchy uniqueName="[fArtikliCeni].[Вкупно трошок]" caption="Вкупно трошок" attribute="1" defaultMemberUniqueName="[fArtikliCeni].[Вкупно трошок].[All]" allUniqueName="[fArtikliCeni].[Вкупно трошок].[All]" dimensionUniqueName="[fArtikliCeni]" displayFolder="" count="0" memberValueDatatype="5" unbalanced="0"/>
    <cacheHierarchy uniqueName="[fArtikliCeni].[ДДВ]" caption="ДДВ" attribute="1" defaultMemberUniqueName="[fArtikliCeni].[ДДВ].[All]" allUniqueName="[fArtikliCeni].[ДДВ].[All]" dimensionUniqueName="[fArtikliCeni]" displayFolder="" count="0" memberValueDatatype="5" unbalanced="0"/>
    <cacheHierarchy uniqueName="[fArtikliCeni].[Износ]" caption="Износ" attribute="1" defaultMemberUniqueName="[fArtikliCeni].[Износ].[All]" allUniqueName="[fArtikliCeni].[Износ].[All]" dimensionUniqueName="[fArtikliCeni]" displayFolder="" count="0" memberValueDatatype="5" unbalanced="0"/>
    <cacheHierarchy uniqueName="[fArtikliCeni].[Конто]" caption="Конто" attribute="1" defaultMemberUniqueName="[fArtikliCeni].[Конто].[All]" allUniqueName="[fArtikliCeni].[Конто].[All]" dimensionUniqueName="[fArtikliCeni]" displayFolder="" count="0" memberValueDatatype="130" unbalanced="0"/>
    <cacheHierarchy uniqueName="[fArtikliCeni].[ReportType]" caption="ReportType" attribute="1" defaultMemberUniqueName="[fArtikliCeni].[ReportType].[All]" allUniqueName="[fArtikliCeni].[ReportType].[All]" dimensionUniqueName="[fArtikliCeni]" displayFolder="" count="0" memberValueDatatype="130" unbalanced="0"/>
    <cacheHierarchy uniqueName="[fArtikliCeni].[Период]" caption="Период" attribute="1" time="1" defaultMemberUniqueName="[fArtikliCeni].[Период].[All]" allUniqueName="[fArtikliCeni].[Период].[All]" dimensionUniqueName="[fArtikliCeni]" displayFolder="" count="0" memberValueDatatype="7" unbalanced="0"/>
    <cacheHierarchy uniqueName="[fArtikliCeni].[StavkaImeMK]" caption="StavkaImeMK" attribute="1" defaultMemberUniqueName="[fArtikliCeni].[StavkaImeMK].[All]" allUniqueName="[fArtikliCeni].[StavkaImeMK].[All]" dimensionUniqueName="[fArtikliCeni]" displayFolder="" count="0" memberValueDatatype="130" unbalanced="0"/>
    <cacheHierarchy uniqueName="[fArtikliCeni].[StavkaAOP]" caption="StavkaAOP" attribute="1" defaultMemberUniqueName="[fArtikliCeni].[StavkaAOP].[All]" allUniqueName="[fArtikliCeni].[StavkaAOP].[All]" dimensionUniqueName="[fArtikliCeni]" displayFolder="" count="0" memberValueDatatype="130" unbalanced="0"/>
    <cacheHierarchy uniqueName="[fArtikliCeni].[StavkaGrupa]" caption="StavkaGrupa" attribute="1" defaultMemberUniqueName="[fArtikliCeni].[StavkaGrupa].[All]" allUniqueName="[fArtikliCeni].[StavkaGrupa].[All]" dimensionUniqueName="[fArtikliCeni]" displayFolder="" count="0" memberValueDatatype="130" unbalanced="0"/>
    <cacheHierarchy uniqueName="[fArtikliCeni].[StavkaKategorija]" caption="StavkaKategorija" attribute="1" defaultMemberUniqueName="[fArtikliCeni].[StavkaKategorija].[All]" allUniqueName="[fArtikliCeni].[StavkaKategorija].[All]" dimensionUniqueName="[fArtikliCeni]" displayFolder="" count="0" memberValueDatatype="130" unbalanced="0"/>
    <cacheHierarchy uniqueName="[fArtikliCeni].[ObrazecIme]" caption="ObrazecIme" attribute="1" defaultMemberUniqueName="[fArtikliCeni].[ObrazecIme].[All]" allUniqueName="[fArtikliCeni].[ObrazecIme].[All]" dimensionUniqueName="[fArtikliCeni]" displayFolder="" count="0" memberValueDatatype="130" unbalanced="0"/>
    <cacheHierarchy uniqueName="[fCoveckiResursi].[Ставка]" caption="Ставка" attribute="1" defaultMemberUniqueName="[fCoveckiResursi].[Ставка].[All]" allUniqueName="[fCoveckiResursi].[Ставка].[All]" dimensionUniqueName="[fCoveckiResursi]" displayFolder="" count="0" memberValueDatatype="130" unbalanced="0"/>
    <cacheHierarchy uniqueName="[fCoveckiResursi].[Тип на вработување]" caption="Тип на вработување" attribute="1" defaultMemberUniqueName="[fCoveckiResursi].[Тип на вработување].[All]" allUniqueName="[fCoveckiResursi].[Тип на вработување].[All]" dimensionUniqueName="[fCoveckiResursi]" displayFolder="" count="0" memberValueDatatype="130" unbalanced="0"/>
    <cacheHierarchy uniqueName="[fCoveckiResursi].[Планиран прилив/(одлив)]" caption="Планиран прилив/(одлив)" attribute="1" defaultMemberUniqueName="[fCoveckiResursi].[Планиран прилив/(одлив)].[All]" allUniqueName="[fCoveckiResursi].[Планиран прилив/(одлив)].[All]" dimensionUniqueName="[fCoveckiResursi]" displayFolder="" count="0" memberValueDatatype="20" unbalanced="0"/>
    <cacheHierarchy uniqueName="[fCoveckiResursi].[Период]" caption="Период" attribute="1" time="1" defaultMemberUniqueName="[fCoveckiResursi].[Период].[All]" allUniqueName="[fCoveckiResursi].[Период].[All]" dimensionUniqueName="[fCoveckiResursi]" displayFolder="" count="0" memberValueDatatype="7" unbalanced="0"/>
    <cacheHierarchy uniqueName="[fCoveckiResursi].[Крајна состојба вработени]" caption="Крајна состојба вработени" attribute="1" defaultMemberUniqueName="[fCoveckiResursi].[Крајна состојба вработени].[All]" allUniqueName="[fCoveckiResursi].[Крајна состојба вработени].[All]" dimensionUniqueName="[fCoveckiResursi]" displayFolder="" count="0" memberValueDatatype="20" unbalanced="0"/>
    <cacheHierarchy uniqueName="[fCoveckiResursi].[Износ]" caption="Износ" attribute="1" defaultMemberUniqueName="[fCoveckiResursi].[Износ].[All]" allUniqueName="[fCoveckiResursi].[Износ].[All]" dimensionUniqueName="[fCoveckiResursi]" displayFolder="" count="0" memberValueDatatype="20" unbalanced="0"/>
    <cacheHierarchy uniqueName="[fCoveckiResursi].[Конто]" caption="Конто" attribute="1" defaultMemberUniqueName="[fCoveckiResursi].[Конто].[All]" allUniqueName="[fCoveckiResursi].[Конто].[All]" dimensionUniqueName="[fCoveckiResursi]" displayFolder="" count="0" memberValueDatatype="130" unbalanced="0"/>
    <cacheHierarchy uniqueName="[fCoveckiResursi].[ReportType]" caption="ReportType" attribute="1" defaultMemberUniqueName="[fCoveckiResursi].[ReportType].[All]" allUniqueName="[fCoveckiResursi].[ReportType].[All]" dimensionUniqueName="[fCoveckiResursi]" displayFolder="" count="0" memberValueDatatype="130" unbalanced="0"/>
    <cacheHierarchy uniqueName="[fCoveckiResursi].[Период (Year)]" caption="Период (Year)" attribute="1" defaultMemberUniqueName="[fCoveckiResursi].[Период (Year)].[All]" allUniqueName="[fCoveckiResursi].[Период (Year)].[All]" dimensionUniqueName="[fCoveckiResursi]" displayFolder="" count="0" memberValueDatatype="130" unbalanced="0"/>
    <cacheHierarchy uniqueName="[fCoveckiResursi].[Период (Quarter)]" caption="Период (Quarter)" attribute="1" defaultMemberUniqueName="[fCoveckiResursi].[Период (Quarter)].[All]" allUniqueName="[fCoveckiResursi].[Период (Quarter)].[All]" dimensionUniqueName="[fCoveckiResursi]" displayFolder="" count="0" memberValueDatatype="130" unbalanced="0"/>
    <cacheHierarchy uniqueName="[fCoveckiResursi].[Период (Month)]" caption="Период (Month)" attribute="1" defaultMemberUniqueName="[fCoveckiResursi].[Период (Month)].[All]" allUniqueName="[fCoveckiResursi].[Период (Month)].[All]" dimensionUniqueName="[fCoveckiResursi]" displayFolder="" count="0" memberValueDatatype="130" unbalanced="0"/>
    <cacheHierarchy uniqueName="[fCoveckiResursi].[Период (Year) 1]" caption="Период (Year) 1" attribute="1" defaultMemberUniqueName="[fCoveckiResursi].[Период (Year) 1].[All]" allUniqueName="[fCoveckiResursi].[Период (Year) 1].[All]" dimensionUniqueName="[fCoveckiResursi]" displayFolder="" count="0" memberValueDatatype="130" unbalanced="0"/>
    <cacheHierarchy uniqueName="[fCoveckiResursi].[Период (Quarter) 1]" caption="Период (Quarter) 1" attribute="1" defaultMemberUniqueName="[fCoveckiResursi].[Период (Quarter) 1].[All]" allUniqueName="[fCoveckiResursi].[Период (Quarter) 1].[All]" dimensionUniqueName="[fCoveckiResursi]" displayFolder="" count="0" memberValueDatatype="130" unbalanced="0"/>
    <cacheHierarchy uniqueName="[fCoveckiResursi].[Период (Month) 1]" caption="Период (Month) 1" attribute="1" defaultMemberUniqueName="[fCoveckiResursi].[Период (Month) 1].[All]" allUniqueName="[fCoveckiResursi].[Период (Month) 1].[All]" dimensionUniqueName="[fCoveckiResursi]" displayFolder="" count="0" memberValueDatatype="130" unbalanced="0"/>
    <cacheHierarchy uniqueName="[fCoveckiResursi  2].[Ставка]" caption="Ставка" attribute="1" defaultMemberUniqueName="[fCoveckiResursi  2].[Ставка].[All]" allUniqueName="[fCoveckiResursi  2].[Ставка].[All]" dimensionUniqueName="[fCoveckiResursi  2]" displayFolder="" count="0" memberValueDatatype="130" unbalanced="0"/>
    <cacheHierarchy uniqueName="[fCoveckiResursi  2].[Период]" caption="Период" attribute="1" time="1" defaultMemberUniqueName="[fCoveckiResursi  2].[Период].[All]" allUniqueName="[fCoveckiResursi  2].[Период].[All]" dimensionUniqueName="[fCoveckiResursi  2]" displayFolder="" count="0" memberValueDatatype="7" unbalanced="0"/>
    <cacheHierarchy uniqueName="[fCoveckiResursi  2].[Износ]" caption="Износ" attribute="1" defaultMemberUniqueName="[fCoveckiResursi  2].[Износ].[All]" allUniqueName="[fCoveckiResursi  2].[Износ].[All]" dimensionUniqueName="[fCoveckiResursi  2]" displayFolder="" count="0" memberValueDatatype="20" unbalanced="0"/>
    <cacheHierarchy uniqueName="[fCoveckiResursi  2].[Конто]" caption="Конто" attribute="1" defaultMemberUniqueName="[fCoveckiResursi  2].[Конто].[All]" allUniqueName="[fCoveckiResursi  2].[Конто].[All]" dimensionUniqueName="[fCoveckiResursi  2]" displayFolder="" count="0" memberValueDatatype="130" unbalanced="0"/>
    <cacheHierarchy uniqueName="[fCoveckiResursi  2].[ReportType]" caption="ReportType" attribute="1" defaultMemberUniqueName="[fCoveckiResursi  2].[ReportType].[All]" allUniqueName="[fCoveckiResursi  2].[ReportType].[All]" dimensionUniqueName="[fCoveckiResursi  2]" displayFolder="" count="0" memberValueDatatype="130" unbalanced="0"/>
    <cacheHierarchy uniqueName="[fCoveckiResursi  2].[StavkaImeMK]" caption="StavkaImeMK" attribute="1" defaultMemberUniqueName="[fCoveckiResursi  2].[StavkaImeMK].[All]" allUniqueName="[fCoveckiResursi  2].[StavkaImeMK].[All]" dimensionUniqueName="[fCoveckiResursi  2]" displayFolder="" count="0" memberValueDatatype="130" unbalanced="0"/>
    <cacheHierarchy uniqueName="[fCoveckiResursi  2].[StavkaKategorija]" caption="StavkaKategorija" attribute="1" defaultMemberUniqueName="[fCoveckiResursi  2].[StavkaKategorija].[All]" allUniqueName="[fCoveckiResursi  2].[StavkaKategorija].[All]" dimensionUniqueName="[fCoveckiResursi  2]" displayFolder="" count="0" memberValueDatatype="130" unbalanced="0"/>
    <cacheHierarchy uniqueName="[fCoveckiResursi  2].[ObrazecIme]" caption="ObrazecIme" attribute="1" defaultMemberUniqueName="[fCoveckiResursi  2].[ObrazecIme].[All]" allUniqueName="[fCoveckiResursi  2].[ObrazecIme].[All]" dimensionUniqueName="[fCoveckiResursi  2]" displayFolder="" count="0" memberValueDatatype="130" unbalanced="0"/>
    <cacheHierarchy uniqueName="[fOPEX].[Конто]" caption="Конто" attribute="1" defaultMemberUniqueName="[fOPEX].[Конто].[All]" allUniqueName="[fOPEX].[Конто].[All]" dimensionUniqueName="[fOPEX]" displayFolder="" count="0" memberValueDatatype="130" unbalanced="0"/>
    <cacheHierarchy uniqueName="[fOPEX].[Ставка]" caption="Ставка" attribute="1" defaultMemberUniqueName="[fOPEX].[Ставка].[All]" allUniqueName="[fOPEX].[Ставка].[All]" dimensionUniqueName="[fOPEX]" displayFolder="" count="0" memberValueDatatype="130" unbalanced="0"/>
    <cacheHierarchy uniqueName="[fOPEX].[Период]" caption="Период" attribute="1" time="1" defaultMemberUniqueName="[fOPEX].[Период].[All]" allUniqueName="[fOPEX].[Период].[All]" dimensionUniqueName="[fOPEX]" displayFolder="" count="0" memberValueDatatype="7" unbalanced="0"/>
    <cacheHierarchy uniqueName="[fOPEX].[Износ]" caption="Износ" attribute="1" defaultMemberUniqueName="[fOPEX].[Износ].[All]" allUniqueName="[fOPEX].[Износ].[All]" dimensionUniqueName="[fOPEX]" displayFolder="" count="0" memberValueDatatype="20" unbalanced="0"/>
    <cacheHierarchy uniqueName="[fOPEX].[ReportType]" caption="ReportType" attribute="1" defaultMemberUniqueName="[fOPEX].[ReportType].[All]" allUniqueName="[fOPEX].[ReportType].[All]" dimensionUniqueName="[fOPEX]" displayFolder="" count="0" memberValueDatatype="130" unbalanced="0"/>
    <cacheHierarchy uniqueName="[OPEXAnaliza].[Артикл ИД]" caption="Артикл ИД" attribute="1" defaultMemberUniqueName="[OPEXAnaliza].[Артикл ИД].[All]" allUniqueName="[OPEXAnaliza].[Артикл ИД].[All]" dimensionUniqueName="[OPEXAnaliza]" displayFolder="" count="0" memberValueDatatype="20" unbalanced="0"/>
    <cacheHierarchy uniqueName="[OPEXAnaliza].[Ставка]" caption="Ставка" attribute="1" defaultMemberUniqueName="[OPEXAnaliza].[Ставка].[All]" allUniqueName="[OPEXAnaliza].[Ставка].[All]" dimensionUniqueName="[OPEXAnaliza]" displayFolder="" count="0" memberValueDatatype="130" unbalanced="0"/>
    <cacheHierarchy uniqueName="[OPEXAnaliza].[Категорија Артикл ИД]" caption="Категорија Артикл ИД" attribute="1" defaultMemberUniqueName="[OPEXAnaliza].[Категорија Артикл ИД].[All]" allUniqueName="[OPEXAnaliza].[Категорија Артикл ИД].[All]" dimensionUniqueName="[OPEXAnaliza]" displayFolder="" count="0" memberValueDatatype="20" unbalanced="0"/>
    <cacheHierarchy uniqueName="[OPEXAnaliza].[Категорија Артикл]" caption="Категорија Артикл" attribute="1" defaultMemberUniqueName="[OPEXAnaliza].[Категорија Артикл].[All]" allUniqueName="[OPEXAnaliza].[Категорија Артикл].[All]" dimensionUniqueName="[OPEXAnaliza]" displayFolder="" count="0" memberValueDatatype="130" unbalanced="0"/>
    <cacheHierarchy uniqueName="[OPEXAnaliza].[Тип на артикл]" caption="Тип на артикл" attribute="1" defaultMemberUniqueName="[OPEXAnaliza].[Тип на артикл].[All]" allUniqueName="[OPEXAnaliza].[Тип на артикл].[All]" dimensionUniqueName="[OPEXAnaliza]" displayFolder="" count="0" memberValueDatatype="130" unbalanced="0"/>
    <cacheHierarchy uniqueName="[OPEXAnaliza].[Единечна мерка]" caption="Единечна мерка" attribute="1" defaultMemberUniqueName="[OPEXAnaliza].[Единечна мерка].[All]" allUniqueName="[OPEXAnaliza].[Единечна мерка].[All]" dimensionUniqueName="[OPEXAnaliza]" displayFolder="" count="0" memberValueDatatype="130" unbalanced="0"/>
    <cacheHierarchy uniqueName="[OPEXAnaliza].[Количина]" caption="Количина" attribute="1" defaultMemberUniqueName="[OPEXAnaliza].[Количина].[All]" allUniqueName="[OPEXAnaliza].[Количина].[All]" dimensionUniqueName="[OPEXAnaliza]" displayFolder="" count="0" memberValueDatatype="5" unbalanced="0"/>
    <cacheHierarchy uniqueName="[OPEXAnaliza].[Единечна цена]" caption="Единечна цена" attribute="1" defaultMemberUniqueName="[OPEXAnaliza].[Единечна цена].[All]" allUniqueName="[OPEXAnaliza].[Единечна цена].[All]" dimensionUniqueName="[OPEXAnaliza]" displayFolder="" count="0" memberValueDatatype="20" unbalanced="0"/>
    <cacheHierarchy uniqueName="[OPEXAnaliza].[Износ]" caption="Износ" attribute="1" defaultMemberUniqueName="[OPEXAnaliza].[Износ].[All]" allUniqueName="[OPEXAnaliza].[Износ].[All]" dimensionUniqueName="[OPEXAnaliza]" displayFolder="" count="0" memberValueDatatype="5" unbalanced="0"/>
    <cacheHierarchy uniqueName="[OPEXAnaliza].[ДДВ]" caption="ДДВ" attribute="1" defaultMemberUniqueName="[OPEXAnaliza].[ДДВ].[All]" allUniqueName="[OPEXAnaliza].[ДДВ].[All]" dimensionUniqueName="[OPEXAnaliza]" displayFolder="" count="0" memberValueDatatype="5" unbalanced="0"/>
    <cacheHierarchy uniqueName="[OPEXAnaliza].[Вкупно трошок со ДДВ]" caption="Вкупно трошок со ДДВ" attribute="1" defaultMemberUniqueName="[OPEXAnaliza].[Вкупно трошок со ДДВ].[All]" allUniqueName="[OPEXAnaliza].[Вкупно трошок со ДДВ].[All]" dimensionUniqueName="[OPEXAnaliza]" displayFolder="" count="0" memberValueDatatype="5" unbalanced="0"/>
    <cacheHierarchy uniqueName="[OPEXAnaliza].[Конто]" caption="Конто" attribute="1" defaultMemberUniqueName="[OPEXAnaliza].[Конто].[All]" allUniqueName="[OPEXAnaliza].[Конто].[All]" dimensionUniqueName="[OPEXAnaliza]" displayFolder="" count="0" memberValueDatatype="130" unbalanced="0"/>
    <cacheHierarchy uniqueName="[OPEXAnaliza].[Период]" caption="Период" attribute="1" time="1" defaultMemberUniqueName="[OPEXAnaliza].[Период].[All]" allUniqueName="[OPEXAnaliza].[Период].[All]" dimensionUniqueName="[OPEXAnaliza]" displayFolder="" count="0" memberValueDatatype="7" unbalanced="0"/>
    <cacheHierarchy uniqueName="[OPEXAnaliza].[ReportType]" caption="ReportType" attribute="1" defaultMemberUniqueName="[OPEXAnaliza].[ReportType].[All]" allUniqueName="[OPEXAnaliza].[ReportType].[All]" dimensionUniqueName="[OPEXAnaliza]" displayFolder="" count="0" memberValueDatatype="130" unbalanced="0"/>
    <cacheHierarchy uniqueName="[OPEXAnaliza].[StavkaImeMK]" caption="StavkaImeMK" attribute="1" defaultMemberUniqueName="[OPEXAnaliza].[StavkaImeMK].[All]" allUniqueName="[OPEXAnaliza].[StavkaImeMK].[All]" dimensionUniqueName="[OPEXAnaliza]" displayFolder="" count="0" memberValueDatatype="130" unbalanced="0"/>
    <cacheHierarchy uniqueName="[OPEXAnaliza].[StavkaKategorija]" caption="StavkaKategorija" attribute="1" defaultMemberUniqueName="[OPEXAnaliza].[StavkaKategorija].[All]" allUniqueName="[OPEXAnaliza].[StavkaKategorija].[All]" dimensionUniqueName="[OPEXAnaliza]" displayFolder="" count="0" memberValueDatatype="130" unbalanced="0"/>
    <cacheHierarchy uniqueName="[OPEXAnaliza].[ObrazecIme]" caption="ObrazecIme" attribute="1" defaultMemberUniqueName="[OPEXAnaliza].[ObrazecIme].[All]" allUniqueName="[OPEXAnaliza].[ObrazecIme].[All]" dimensionUniqueName="[OPEXAnaliza]" displayFolder="" count="0" memberValueDatatype="130" unbalanced="0"/>
    <cacheHierarchy uniqueName="[OPEXAnaliza].[StavkaImeAOP]" caption="StavkaImeAOP" attribute="1" defaultMemberUniqueName="[OPEXAnaliza].[StavkaImeAOP].[All]" allUniqueName="[OPEXAnaliza].[StavkaImeAOP].[All]" dimensionUniqueName="[OPEXAnaliza]" displayFolder="" count="0" memberValueDatatype="20" unbalanced="0"/>
    <cacheHierarchy uniqueName="[OPEXAnaliza].[Период (Year)]" caption="Период (Year)" attribute="1" defaultMemberUniqueName="[OPEXAnaliza].[Период (Year)].[All]" allUniqueName="[OPEXAnaliza].[Период (Year)].[All]" dimensionUniqueName="[OPEXAnaliza]" displayFolder="" count="0" memberValueDatatype="130" unbalanced="0"/>
    <cacheHierarchy uniqueName="[OPEXAnaliza].[Период (Quarter)]" caption="Период (Quarter)" attribute="1" defaultMemberUniqueName="[OPEXAnaliza].[Период (Quarter)].[All]" allUniqueName="[OPEXAnaliza].[Период (Quarter)].[All]" dimensionUniqueName="[OPEXAnaliza]" displayFolder="" count="0" memberValueDatatype="130" unbalanced="0"/>
    <cacheHierarchy uniqueName="[OPEXAnaliza].[Период (Month)]" caption="Период (Month)" attribute="1" defaultMemberUniqueName="[OPEXAnaliza].[Период (Month)].[All]" allUniqueName="[OPEXAnaliza].[Период (Month)].[All]" dimensionUniqueName="[OPEXAnaliza]" displayFolder="" count="0" memberValueDatatype="130" unbalanced="0"/>
    <cacheHierarchy uniqueName="[rArtikli_HR_Analiza].[Ставка]" caption="Ставка" attribute="1" defaultMemberUniqueName="[rArtikli_HR_Analiza].[Ставка].[All]" allUniqueName="[rArtikli_HR_Analiza].[Ставка].[All]" dimensionUniqueName="[rArtikli_HR_Analiza]" displayFolder="" count="0" memberValueDatatype="130" unbalanced="0"/>
    <cacheHierarchy uniqueName="[rArtikli_HR_Analiza].[Категорија Артикл]" caption="Категорија Артикл" attribute="1" defaultMemberUniqueName="[rArtikli_HR_Analiza].[Категорија Артикл].[All]" allUniqueName="[rArtikli_HR_Analiza].[Категорија Артикл].[All]" dimensionUniqueName="[rArtikli_HR_Analiza]" displayFolder="" count="0" memberValueDatatype="130" unbalanced="0"/>
    <cacheHierarchy uniqueName="[rArtikli_HR_Analiza].[Тип на артикл]" caption="Тип на артикл" attribute="1" defaultMemberUniqueName="[rArtikli_HR_Analiza].[Тип на артикл].[All]" allUniqueName="[rArtikli_HR_Analiza].[Тип на артикл].[All]" dimensionUniqueName="[rArtikli_HR_Analiza]" displayFolder="" count="0" memberValueDatatype="130" unbalanced="0"/>
    <cacheHierarchy uniqueName="[rArtikli_HR_Analiza].[Единечна мерка]" caption="Единечна мерка" attribute="1" defaultMemberUniqueName="[rArtikli_HR_Analiza].[Единечна мерка].[All]" allUniqueName="[rArtikli_HR_Analiza].[Единечна мерка].[All]" dimensionUniqueName="[rArtikli_HR_Analiza]" displayFolder="" count="0" memberValueDatatype="130" unbalanced="0"/>
    <cacheHierarchy uniqueName="[rArtikli_HR_Analiza].[Количина]" caption="Количина" attribute="1" defaultMemberUniqueName="[rArtikli_HR_Analiza].[Количина].[All]" allUniqueName="[rArtikli_HR_Analiza].[Количина].[All]" dimensionUniqueName="[rArtikli_HR_Analiza]" displayFolder="" count="0" memberValueDatatype="5" unbalanced="0"/>
    <cacheHierarchy uniqueName="[rArtikli_HR_Analiza].[Единечна цена]" caption="Единечна цена" attribute="1" defaultMemberUniqueName="[rArtikli_HR_Analiza].[Единечна цена].[All]" allUniqueName="[rArtikli_HR_Analiza].[Единечна цена].[All]" dimensionUniqueName="[rArtikli_HR_Analiza]" displayFolder="" count="0" memberValueDatatype="20" unbalanced="0"/>
    <cacheHierarchy uniqueName="[rArtikli_HR_Analiza].[Вкупно трошок]" caption="Вкупно трошок" attribute="1" defaultMemberUniqueName="[rArtikli_HR_Analiza].[Вкупно трошок].[All]" allUniqueName="[rArtikli_HR_Analiza].[Вкупно трошок].[All]" dimensionUniqueName="[rArtikli_HR_Analiza]" displayFolder="" count="0" memberValueDatatype="5" unbalanced="0"/>
    <cacheHierarchy uniqueName="[rArtikli_HR_Analiza].[ДДВ]" caption="ДДВ" attribute="1" defaultMemberUniqueName="[rArtikli_HR_Analiza].[ДДВ].[All]" allUniqueName="[rArtikli_HR_Analiza].[ДДВ].[All]" dimensionUniqueName="[rArtikli_HR_Analiza]" displayFolder="" count="0" memberValueDatatype="5" unbalanced="0"/>
    <cacheHierarchy uniqueName="[rArtikli_HR_Analiza].[Износ]" caption="Износ" attribute="1" defaultMemberUniqueName="[rArtikli_HR_Analiza].[Износ].[All]" allUniqueName="[rArtikli_HR_Analiza].[Износ].[All]" dimensionUniqueName="[rArtikli_HR_Analiza]" displayFolder="" count="0" memberValueDatatype="5" unbalanced="0"/>
    <cacheHierarchy uniqueName="[rArtikli_HR_Analiza].[Конто]" caption="Конто" attribute="1" defaultMemberUniqueName="[rArtikli_HR_Analiza].[Конто].[All]" allUniqueName="[rArtikli_HR_Analiza].[Конто].[All]" dimensionUniqueName="[rArtikli_HR_Analiza]" displayFolder="" count="0" memberValueDatatype="130" unbalanced="0"/>
    <cacheHierarchy uniqueName="[rArtikli_HR_Analiza].[ReportType]" caption="ReportType" attribute="1" defaultMemberUniqueName="[rArtikli_HR_Analiza].[ReportType].[All]" allUniqueName="[rArtikli_HR_Analiza].[ReportType].[All]" dimensionUniqueName="[rArtikli_HR_Analiza]" displayFolder="" count="0" memberValueDatatype="130" unbalanced="0"/>
    <cacheHierarchy uniqueName="[rArtikli_HR_Analiza].[Период]" caption="Период" attribute="1" time="1" defaultMemberUniqueName="[rArtikli_HR_Analiza].[Период].[All]" allUniqueName="[rArtikli_HR_Analiza].[Период].[All]" dimensionUniqueName="[rArtikli_HR_Analiza]" displayFolder="" count="0" memberValueDatatype="7" unbalanced="0"/>
    <cacheHierarchy uniqueName="[rArtikli_HR_Analiza].[StavkaImeMK]" caption="StavkaImeMK" attribute="1" defaultMemberUniqueName="[rArtikli_HR_Analiza].[StavkaImeMK].[All]" allUniqueName="[rArtikli_HR_Analiza].[StavkaImeMK].[All]" dimensionUniqueName="[rArtikli_HR_Analiza]" displayFolder="" count="0" memberValueDatatype="130" unbalanced="0"/>
    <cacheHierarchy uniqueName="[rArtikli_HR_Analiza].[StavkaAOP]" caption="StavkaAOP" attribute="1" defaultMemberUniqueName="[rArtikli_HR_Analiza].[StavkaAOP].[All]" allUniqueName="[rArtikli_HR_Analiza].[StavkaAOP].[All]" dimensionUniqueName="[rArtikli_HR_Analiza]" displayFolder="" count="0" memberValueDatatype="130" unbalanced="0"/>
    <cacheHierarchy uniqueName="[rArtikli_HR_Analiza].[StavkaGrupa]" caption="StavkaGrupa" attribute="1" defaultMemberUniqueName="[rArtikli_HR_Analiza].[StavkaGrupa].[All]" allUniqueName="[rArtikli_HR_Analiza].[StavkaGrupa].[All]" dimensionUniqueName="[rArtikli_HR_Analiza]" displayFolder="" count="0" memberValueDatatype="130" unbalanced="0"/>
    <cacheHierarchy uniqueName="[rArtikli_HR_Analiza].[StavkaKategorija]" caption="StavkaKategorija" attribute="1" defaultMemberUniqueName="[rArtikli_HR_Analiza].[StavkaKategorija].[All]" allUniqueName="[rArtikli_HR_Analiza].[StavkaKategorija].[All]" dimensionUniqueName="[rArtikli_HR_Analiza]" displayFolder="" count="0" memberValueDatatype="130" unbalanced="0"/>
    <cacheHierarchy uniqueName="[rArtikli_HR_Analiza].[ObrazecIme]" caption="ObrazecIme" attribute="1" defaultMemberUniqueName="[rArtikli_HR_Analiza].[ObrazecIme].[All]" allUniqueName="[rArtikli_HR_Analiza].[ObrazecIme].[All]" dimensionUniqueName="[rArtikli_HR_Analiza]" displayFolder="" count="0" memberValueDatatype="130" unbalanced="0"/>
    <cacheHierarchy uniqueName="[rArtikli_HR_Analiza].[StavkaKategorija.1]" caption="StavkaKategorija.1" attribute="1" defaultMemberUniqueName="[rArtikli_HR_Analiza].[StavkaKategorija.1].[All]" allUniqueName="[rArtikli_HR_Analiza].[StavkaKategorija.1].[All]" dimensionUniqueName="[rArtikli_HR_Analiza]" displayFolder="" count="0" memberValueDatatype="130" unbalanced="0"/>
    <cacheHierarchy uniqueName="[rArtikliAnaliza].[Артикл ИД]" caption="Артикл ИД" attribute="1" defaultMemberUniqueName="[rArtikliAnaliza].[Артикл ИД].[All]" allUniqueName="[rArtikliAnaliza].[Артикл ИД].[All]" dimensionUniqueName="[rArtikliAnaliza]" displayFolder="" count="0" memberValueDatatype="20" unbalanced="0"/>
    <cacheHierarchy uniqueName="[rArtikliAnaliza].[Ставка]" caption="Ставка" attribute="1" defaultMemberUniqueName="[rArtikliAnaliza].[Ставка].[All]" allUniqueName="[rArtikliAnaliza].[Ставка].[All]" dimensionUniqueName="[rArtikliAnaliza]" displayFolder="" count="0" memberValueDatatype="130" unbalanced="0"/>
    <cacheHierarchy uniqueName="[rArtikliAnaliza].[Категорија Артикл ИД]" caption="Категорија Артикл ИД" attribute="1" defaultMemberUniqueName="[rArtikliAnaliza].[Категорија Артикл ИД].[All]" allUniqueName="[rArtikliAnaliza].[Категорија Артикл ИД].[All]" dimensionUniqueName="[rArtikliAnaliza]" displayFolder="" count="0" memberValueDatatype="20" unbalanced="0"/>
    <cacheHierarchy uniqueName="[rArtikliAnaliza].[Категорија Артикл]" caption="Категорија Артикл" attribute="1" defaultMemberUniqueName="[rArtikliAnaliza].[Категорија Артикл].[All]" allUniqueName="[rArtikliAnaliza].[Категорија Артикл].[All]" dimensionUniqueName="[rArtikliAnaliza]" displayFolder="" count="0" memberValueDatatype="130" unbalanced="0"/>
    <cacheHierarchy uniqueName="[rArtikliAnaliza].[Тип на артикл]" caption="Тип на артикл" attribute="1" defaultMemberUniqueName="[rArtikliAnaliza].[Тип на артикл].[All]" allUniqueName="[rArtikliAnaliza].[Тип на артикл].[All]" dimensionUniqueName="[rArtikliAnaliza]" displayFolder="" count="0" memberValueDatatype="130" unbalanced="0"/>
    <cacheHierarchy uniqueName="[rArtikliAnaliza].[Единечна мерка]" caption="Единечна мерка" attribute="1" defaultMemberUniqueName="[rArtikliAnaliza].[Единечна мерка].[All]" allUniqueName="[rArtikliAnaliza].[Единечна мерка].[All]" dimensionUniqueName="[rArtikliAnaliza]" displayFolder="" count="0" memberValueDatatype="130" unbalanced="0"/>
    <cacheHierarchy uniqueName="[rArtikliAnaliza].[Количина]" caption="Количина" attribute="1" defaultMemberUniqueName="[rArtikliAnaliza].[Количина].[All]" allUniqueName="[rArtikliAnaliza].[Количина].[All]" dimensionUniqueName="[rArtikliAnaliza]" displayFolder="" count="0" memberValueDatatype="5" unbalanced="0"/>
    <cacheHierarchy uniqueName="[rArtikliAnaliza].[Единечна цена]" caption="Единечна цена" attribute="1" defaultMemberUniqueName="[rArtikliAnaliza].[Единечна цена].[All]" allUniqueName="[rArtikliAnaliza].[Единечна цена].[All]" dimensionUniqueName="[rArtikliAnaliza]" displayFolder="" count="0" memberValueDatatype="20" unbalanced="0"/>
    <cacheHierarchy uniqueName="[rArtikliAnaliza].[Износ]" caption="Износ" attribute="1" defaultMemberUniqueName="[rArtikliAnaliza].[Износ].[All]" allUniqueName="[rArtikliAnaliza].[Износ].[All]" dimensionUniqueName="[rArtikliAnaliza]" displayFolder="" count="0" memberValueDatatype="5" unbalanced="0"/>
    <cacheHierarchy uniqueName="[rArtikliAnaliza].[ДДВ]" caption="ДДВ" attribute="1" defaultMemberUniqueName="[rArtikliAnaliza].[ДДВ].[All]" allUniqueName="[rArtikliAnaliza].[ДДВ].[All]" dimensionUniqueName="[rArtikliAnaliza]" displayFolder="" count="0" memberValueDatatype="5" unbalanced="0"/>
    <cacheHierarchy uniqueName="[rArtikliAnaliza].[Вкупно трошок со ДДВ]" caption="Вкупно трошок со ДДВ" attribute="1" defaultMemberUniqueName="[rArtikliAnaliza].[Вкупно трошок со ДДВ].[All]" allUniqueName="[rArtikliAnaliza].[Вкупно трошок со ДДВ].[All]" dimensionUniqueName="[rArtikliAnaliza]" displayFolder="" count="0" memberValueDatatype="5" unbalanced="0"/>
    <cacheHierarchy uniqueName="[rArtikliAnaliza].[Конто]" caption="Конто" attribute="1" defaultMemberUniqueName="[rArtikliAnaliza].[Конто].[All]" allUniqueName="[rArtikliAnaliza].[Конто].[All]" dimensionUniqueName="[rArtikliAnaliza]" displayFolder="" count="0" memberValueDatatype="130" unbalanced="0"/>
    <cacheHierarchy uniqueName="[rArtikliAnaliza].[Период]" caption="Период" attribute="1" time="1" defaultMemberUniqueName="[rArtikliAnaliza].[Период].[All]" allUniqueName="[rArtikliAnaliza].[Период].[All]" dimensionUniqueName="[rArtikliAnaliza]" displayFolder="" count="0" memberValueDatatype="7" unbalanced="0"/>
    <cacheHierarchy uniqueName="[rArtikliAnaliza].[ReportType]" caption="ReportType" attribute="1" defaultMemberUniqueName="[rArtikliAnaliza].[ReportType].[All]" allUniqueName="[rArtikliAnaliza].[ReportType].[All]" dimensionUniqueName="[rArtikliAnaliza]" displayFolder="" count="0" memberValueDatatype="130" unbalanced="0"/>
    <cacheHierarchy uniqueName="[rArtikliAnaliza].[StavkaImeMK]" caption="StavkaImeMK" attribute="1" defaultMemberUniqueName="[rArtikliAnaliza].[StavkaImeMK].[All]" allUniqueName="[rArtikliAnaliza].[StavkaImeMK].[All]" dimensionUniqueName="[rArtikliAnaliza]" displayFolder="" count="0" memberValueDatatype="130" unbalanced="0"/>
    <cacheHierarchy uniqueName="[rArtikliAnaliza].[StavkaKategorija]" caption="StavkaKategorija" attribute="1" defaultMemberUniqueName="[rArtikliAnaliza].[StavkaKategorija].[All]" allUniqueName="[rArtikliAnaliza].[StavkaKategorija].[All]" dimensionUniqueName="[rArtikliAnaliza]" displayFolder="" count="0" memberValueDatatype="130" unbalanced="0"/>
    <cacheHierarchy uniqueName="[rArtikliAnaliza].[Период (Year)]" caption="Период (Year)" attribute="1" defaultMemberUniqueName="[rArtikliAnaliza].[Период (Year)].[All]" allUniqueName="[rArtikliAnaliza].[Период (Year)].[All]" dimensionUniqueName="[rArtikliAnaliza]" displayFolder="" count="0" memberValueDatatype="130" unbalanced="0"/>
    <cacheHierarchy uniqueName="[rArtikliAnaliza].[Период (Quarter)]" caption="Период (Quarter)" attribute="1" defaultMemberUniqueName="[rArtikliAnaliza].[Период (Quarter)].[All]" allUniqueName="[rArtikliAnaliza].[Период (Quarter)].[All]" dimensionUniqueName="[rArtikliAnaliza]" displayFolder="" count="0" memberValueDatatype="130" unbalanced="0"/>
    <cacheHierarchy uniqueName="[rArtikliAnaliza].[Период (Month)]" caption="Период (Month)" attribute="1" defaultMemberUniqueName="[rArtikliAnaliza].[Период (Month)].[All]" allUniqueName="[rArtikliAnaliza].[Период (Month)].[All]" dimensionUniqueName="[rArtikliAnaliza]" displayFolder="" count="0" memberValueDatatype="130" unbalanced="0"/>
    <cacheHierarchy uniqueName="[CAPEX].[Очекуван датум за ставање во употреба (месец) (Month Index)]" caption="Очекуван датум за ставање во употреба (месец) (Month Index)" attribute="1" defaultMemberUniqueName="[CAPEX].[Очекуван датум за ставање во употреба (месец) (Month Index)].[All]" allUniqueName="[CAPEX].[Очекуван датум за ставање во употреба (месец) (Month Index)].[All]" dimensionUniqueName="[CAPEX]" displayFolder="" count="0" memberValueDatatype="20" unbalanced="0" hidden="1"/>
    <cacheHierarchy uniqueName="[CAPEX].[Очекуван датум на плаќање (Month Index)]" caption="Очекуван датум на плаќање (Month Index)" attribute="1" defaultMemberUniqueName="[CAPEX].[Очекуван датум на плаќање (Month Index)].[All]" allUniqueName="[CAPEX].[Очекуван датум на плаќање (Month Index)].[All]" dimensionUniqueName="[CAPEX]" displayFolder="" count="0" memberValueDatatype="20" unbalanced="0" hidden="1"/>
    <cacheHierarchy uniqueName="[fActualAndBudget].[StavkaID]" caption="StavkaID" attribute="1" defaultMemberUniqueName="[fActualAndBudget].[StavkaID].[All]" allUniqueName="[fActualAndBudget].[StavkaID].[All]" dimensionUniqueName="[fActualAndBudget]" displayFolder="" count="0" memberValueDatatype="20" unbalanced="0" hidden="1"/>
    <cacheHierarchy uniqueName="[fCoveckiResursi].[Период (Month Index)]" caption="Период (Month Index)" attribute="1" defaultMemberUniqueName="[fCoveckiResursi].[Период (Month Index)].[All]" allUniqueName="[fCoveckiResursi].[Период (Month Index)].[All]" dimensionUniqueName="[fCoveckiResursi]" displayFolder="" count="0" memberValueDatatype="20" unbalanced="0" hidden="1"/>
    <cacheHierarchy uniqueName="[fCoveckiResursi].[Период (Month Index) 1]" caption="Период (Month Index) 1" attribute="1" defaultMemberUniqueName="[fCoveckiResursi].[Период (Month Index) 1].[All]" allUniqueName="[fCoveckiResursi].[Период (Month Index) 1].[All]" dimensionUniqueName="[fCoveckiResursi]" displayFolder="" count="0" memberValueDatatype="20" unbalanced="0" hidden="1"/>
    <cacheHierarchy uniqueName="[OPEXAnaliza].[Период (Month Index)]" caption="Период (Month Index)" attribute="1" defaultMemberUniqueName="[OPEXAnaliza].[Период (Month Index)].[All]" allUniqueName="[OPEXAnaliza].[Период (Month Index)].[All]" dimensionUniqueName="[OPEXAnaliza]" displayFolder="" count="0" memberValueDatatype="20" unbalanced="0" hidden="1"/>
    <cacheHierarchy uniqueName="[rArtikli_HR_Analiza].[Крајна состојба вработени]" caption="Крајна состојба вработени" attribute="1" defaultMemberUniqueName="[rArtikli_HR_Analiza].[Крајна состојба вработени].[All]" allUniqueName="[rArtikli_HR_Analiza].[Крајна состојба вработени].[All]" dimensionUniqueName="[rArtikli_HR_Analiza]" displayFolder="" count="0" memberValueDatatype="20" unbalanced="0" hidden="1"/>
    <cacheHierarchy uniqueName="[rArtikli_HR_Analiza].[Планиран прилив/(одлив)]" caption="Планиран прилив/(одлив)" attribute="1" defaultMemberUniqueName="[rArtikli_HR_Analiza].[Планиран прилив/(одлив)].[All]" allUniqueName="[rArtikli_HR_Analiza].[Планиран прилив/(одлив)].[All]" dimensionUniqueName="[rArtikli_HR_Analiza]" displayFolder="" count="0" memberValueDatatype="20" unbalanced="0" hidden="1"/>
    <cacheHierarchy uniqueName="[rArtikli_HR_Analiza].[Тип на вработување]" caption="Тип на вработување" attribute="1" defaultMemberUniqueName="[rArtikli_HR_Analiza].[Тип на вработување].[All]" allUniqueName="[rArtikli_HR_Analiza].[Тип на вработување].[All]" dimensionUniqueName="[rArtikli_HR_Analiza]" displayFolder="" count="0" memberValueDatatype="130" unbalanced="0" hidden="1"/>
    <cacheHierarchy uniqueName="[rArtikliAnaliza].[Период (Month Index)]" caption="Период (Month Index)" attribute="1" defaultMemberUniqueName="[rArtikliAnaliza].[Период (Month Index)].[All]" allUniqueName="[rArtikliAnaliza].[Период (Month Index)].[All]" dimensionUniqueName="[rArtikliAnaliza]" displayFolder="" count="0" memberValueDatatype="20" unbalanced="0" hidden="1"/>
    <cacheHierarchy uniqueName="[Measures].[__XL_Count Calendar]" caption="__XL_Count Calendar" measure="1" displayFolder="" measureGroup="Calendar" count="0" hidden="1"/>
    <cacheHierarchy uniqueName="[Measures].[__XL_Count CAPEX]" caption="__XL_Count CAPEX" measure="1" displayFolder="" measureGroup="CAPEX" count="0" hidden="1"/>
    <cacheHierarchy uniqueName="[Measures].[__XL_Count Amortizacija]" caption="__XL_Count Amortizacija" measure="1" displayFolder="" measureGroup="Amortizacija" count="0" hidden="1"/>
    <cacheHierarchy uniqueName="[Measures].[__XL_Count fCoveckiResursi]" caption="__XL_Count fCoveckiResursi" measure="1" displayFolder="" measureGroup="fCoveckiResursi" count="0" hidden="1"/>
    <cacheHierarchy uniqueName="[Measures].[__XL_Count fActualAndBudget]" caption="__XL_Count fActualAndBudget" measure="1" displayFolder="" measureGroup="fActualAndBudget" count="0" hidden="1"/>
    <cacheHierarchy uniqueName="[Measures].[__XL_Count fOPEX]" caption="__XL_Count fOPEX" measure="1" displayFolder="" measureGroup="fOPEX" count="0" hidden="1"/>
    <cacheHierarchy uniqueName="[Measures].[__XL_Count OPEXAnaliza]" caption="__XL_Count OPEXAnaliza" measure="1" displayFolder="" measureGroup="OPEXAnaliza" count="0" hidden="1"/>
    <cacheHierarchy uniqueName="[Measures].[__XL_Count rArtikliAnaliza]" caption="__XL_Count rArtikliAnaliza" measure="1" displayFolder="" measureGroup="rArtikliAnaliza" count="0" hidden="1"/>
    <cacheHierarchy uniqueName="[Measures].[__XL_Count fArtikliCeni]" caption="__XL_Count fArtikliCeni" measure="1" displayFolder="" measureGroup="fArtikliCeni" count="0" hidden="1"/>
    <cacheHierarchy uniqueName="[Measures].[__XL_Count rArtikli_HR_Analiza]" caption="__XL_Count rArtikli_HR_Analiza" measure="1" displayFolder="" measureGroup="rArtikli_HR_Analiza" count="0" hidden="1"/>
    <cacheHierarchy uniqueName="[Measures].[__XL_Count fCoveckiResursi  2]" caption="__XL_Count fCoveckiResursi  2" measure="1" displayFolder="" measureGroup="fCoveckiResursi  2" count="0" hidden="1"/>
    <cacheHierarchy uniqueName="[Measures].[__No measures defined]" caption="__No measures defined" measure="1" displayFolder="" count="0" hidden="1"/>
    <cacheHierarchy uniqueName="[Measures].[Sum of Износ 3]" caption="Sum of Износ 3" measure="1" displayFolder="" measureGroup="fCoveckiResursi" count="0" hidden="1">
      <extLst>
        <ext xmlns:x15="http://schemas.microsoft.com/office/spreadsheetml/2010/11/main" uri="{B97F6D7D-B522-45F9-BDA1-12C45D357490}">
          <x15:cacheHierarchy aggregatedColumn="71"/>
        </ext>
      </extLst>
    </cacheHierarchy>
    <cacheHierarchy uniqueName="[Measures].[Sum of Крајна состојба вработени]" caption="Sum of Крајна состојба вработени" measure="1" displayFolder="" measureGroup="fCoveckiResursi" count="0" hidden="1">
      <extLst>
        <ext xmlns:x15="http://schemas.microsoft.com/office/spreadsheetml/2010/11/main" uri="{B97F6D7D-B522-45F9-BDA1-12C45D357490}">
          <x15:cacheHierarchy aggregatedColumn="70"/>
        </ext>
      </extLst>
    </cacheHierarchy>
    <cacheHierarchy uniqueName="[Measures].[Sum of Планиран прилив/(одлив)]" caption="Sum of Планиран прилив/(одлив)" measure="1" displayFolder="" measureGroup="fCoveckiResursi" count="0" hidden="1">
      <extLst>
        <ext xmlns:x15="http://schemas.microsoft.com/office/spreadsheetml/2010/11/main" uri="{B97F6D7D-B522-45F9-BDA1-12C45D357490}">
          <x15:cacheHierarchy aggregatedColumn="68"/>
        </ext>
      </extLst>
    </cacheHierarchy>
    <cacheHierarchy uniqueName="[Measures].[Sum of Износ]" caption="Sum of Износ" measure="1" displayFolder="" measureGroup="fActualAndBudget" count="0" hidden="1">
      <extLst>
        <ext xmlns:x15="http://schemas.microsoft.com/office/spreadsheetml/2010/11/main" uri="{B97F6D7D-B522-45F9-BDA1-12C45D357490}">
          <x15:cacheHierarchy aggregatedColumn="45"/>
        </ext>
      </extLst>
    </cacheHierarchy>
    <cacheHierarchy uniqueName="[Measures].[Sum of Износ (илјади)]" caption="Sum of Износ (илјади)" measure="1" displayFolder="" measureGroup="fActualAndBudget" count="0" hidden="1">
      <extLst>
        <ext xmlns:x15="http://schemas.microsoft.com/office/spreadsheetml/2010/11/main" uri="{B97F6D7D-B522-45F9-BDA1-12C45D357490}">
          <x15:cacheHierarchy aggregatedColumn="46"/>
        </ext>
      </extLst>
    </cacheHierarchy>
    <cacheHierarchy uniqueName="[Measures].[Sum of Износ1]" caption="Sum of Износ1" measure="1" displayFolder="" measureGroup="fActualAndBudget" count="0" hidden="1">
      <extLst>
        <ext xmlns:x15="http://schemas.microsoft.com/office/spreadsheetml/2010/11/main" uri="{B97F6D7D-B522-45F9-BDA1-12C45D357490}">
          <x15:cacheHierarchy aggregatedColumn="34"/>
        </ext>
      </extLst>
    </cacheHierarchy>
    <cacheHierarchy uniqueName="[Measures].[Sum of Износ 2]" caption="Sum of Износ 2" measure="1" displayFolder="" measureGroup="Amortizacija" count="0" hidden="1">
      <extLst>
        <ext xmlns:x15="http://schemas.microsoft.com/office/spreadsheetml/2010/11/main" uri="{B97F6D7D-B522-45F9-BDA1-12C45D357490}">
          <x15:cacheHierarchy aggregatedColumn="3"/>
        </ext>
      </extLst>
    </cacheHierarchy>
    <cacheHierarchy uniqueName="[Measures].[Sum of Износ 4]" caption="Sum of Износ 4" measure="1" displayFolder="" measureGroup="OPEXAnaliza" count="0" hidden="1">
      <extLst>
        <ext xmlns:x15="http://schemas.microsoft.com/office/spreadsheetml/2010/11/main" uri="{B97F6D7D-B522-45F9-BDA1-12C45D357490}">
          <x15:cacheHierarchy aggregatedColumn="101"/>
        </ext>
      </extLst>
    </cacheHierarchy>
    <cacheHierarchy uniqueName="[Measures].[Sum of Износ донација]" caption="Sum of Износ донација" measure="1" displayFolder="" measureGroup="CAPEX" count="0" hidden="1">
      <extLst>
        <ext xmlns:x15="http://schemas.microsoft.com/office/spreadsheetml/2010/11/main" uri="{B97F6D7D-B522-45F9-BDA1-12C45D357490}">
          <x15:cacheHierarchy aggregatedColumn="24"/>
        </ext>
      </extLst>
    </cacheHierarchy>
    <cacheHierarchy uniqueName="[Measures].[Sum of Вкупно трошок]" caption="Sum of Вкупно трошок" measure="1" displayFolder="" measureGroup="fArtikliCeni" count="0" hidden="1">
      <extLst>
        <ext xmlns:x15="http://schemas.microsoft.com/office/spreadsheetml/2010/11/main" uri="{B97F6D7D-B522-45F9-BDA1-12C45D357490}">
          <x15:cacheHierarchy aggregatedColumn="55"/>
        </ext>
      </extLst>
    </cacheHierarchy>
    <cacheHierarchy uniqueName="[Measures].[Sum of Количина]" caption="Sum of Количина" measure="1" displayFolder="" measureGroup="fArtikliCeni" count="0" hidden="1">
      <extLst>
        <ext xmlns:x15="http://schemas.microsoft.com/office/spreadsheetml/2010/11/main" uri="{B97F6D7D-B522-45F9-BDA1-12C45D357490}">
          <x15:cacheHierarchy aggregatedColumn="53"/>
        </ext>
      </extLst>
    </cacheHierarchy>
    <cacheHierarchy uniqueName="[Measures].[Sum of Единечна цена]" caption="Sum of Единечна цена" measure="1" displayFolder="" measureGroup="fArtikliCeni" count="0" hidden="1">
      <extLst>
        <ext xmlns:x15="http://schemas.microsoft.com/office/spreadsheetml/2010/11/main" uri="{B97F6D7D-B522-45F9-BDA1-12C45D357490}">
          <x15:cacheHierarchy aggregatedColumn="54"/>
        </ext>
      </extLst>
    </cacheHierarchy>
    <cacheHierarchy uniqueName="[Measures].[Sum of ДДВ]" caption="Sum of ДДВ" measure="1" displayFolder="" measureGroup="fArtikliCeni" count="0" hidden="1">
      <extLst>
        <ext xmlns:x15="http://schemas.microsoft.com/office/spreadsheetml/2010/11/main" uri="{B97F6D7D-B522-45F9-BDA1-12C45D357490}">
          <x15:cacheHierarchy aggregatedColumn="56"/>
        </ext>
      </extLst>
    </cacheHierarchy>
    <cacheHierarchy uniqueName="[Measures].[Sum of Износ 6]" caption="Sum of Износ 6" measure="1" displayFolder="" measureGroup="fArtikliCeni" count="0" hidden="1">
      <extLst>
        <ext xmlns:x15="http://schemas.microsoft.com/office/spreadsheetml/2010/11/main" uri="{B97F6D7D-B522-45F9-BDA1-12C45D357490}">
          <x15:cacheHierarchy aggregatedColumn="57"/>
        </ext>
      </extLst>
    </cacheHierarchy>
    <cacheHierarchy uniqueName="[Measures].[Count of Единечна мерка]" caption="Count of Единечна мерка" measure="1" displayFolder="" measureGroup="fArtikliCeni" count="0" hidden="1">
      <extLst>
        <ext xmlns:x15="http://schemas.microsoft.com/office/spreadsheetml/2010/11/main" uri="{B97F6D7D-B522-45F9-BDA1-12C45D357490}">
          <x15:cacheHierarchy aggregatedColumn="52"/>
        </ext>
      </extLst>
    </cacheHierarchy>
    <cacheHierarchy uniqueName="[Measures].[Sum of Количина 2]" caption="Sum of Количина 2" measure="1" displayFolder="" measureGroup="rArtikli_HR_Analiza" count="0" hidden="1">
      <extLst>
        <ext xmlns:x15="http://schemas.microsoft.com/office/spreadsheetml/2010/11/main" uri="{B97F6D7D-B522-45F9-BDA1-12C45D357490}">
          <x15:cacheHierarchy aggregatedColumn="118"/>
        </ext>
      </extLst>
    </cacheHierarchy>
    <cacheHierarchy uniqueName="[Measures].[Sum of Единечна цена 2]" caption="Sum of Единечна цена 2" measure="1" displayFolder="" measureGroup="rArtikli_HR_Analiza" count="0" hidden="1">
      <extLst>
        <ext xmlns:x15="http://schemas.microsoft.com/office/spreadsheetml/2010/11/main" uri="{B97F6D7D-B522-45F9-BDA1-12C45D357490}">
          <x15:cacheHierarchy aggregatedColumn="119"/>
        </ext>
      </extLst>
    </cacheHierarchy>
    <cacheHierarchy uniqueName="[Measures].[Sum of Вкупно трошок 2]" caption="Sum of Вкупно трошок 2" measure="1" displayFolder="" measureGroup="rArtikli_HR_Analiza" count="0" hidden="1">
      <extLst>
        <ext xmlns:x15="http://schemas.microsoft.com/office/spreadsheetml/2010/11/main" uri="{B97F6D7D-B522-45F9-BDA1-12C45D357490}">
          <x15:cacheHierarchy aggregatedColumn="120"/>
        </ext>
      </extLst>
    </cacheHierarchy>
    <cacheHierarchy uniqueName="[Measures].[Sum of ДДВ 2]" caption="Sum of ДДВ 2" measure="1" displayFolder="" measureGroup="rArtikli_HR_Analiza" count="0" hidden="1">
      <extLst>
        <ext xmlns:x15="http://schemas.microsoft.com/office/spreadsheetml/2010/11/main" uri="{B97F6D7D-B522-45F9-BDA1-12C45D357490}">
          <x15:cacheHierarchy aggregatedColumn="121"/>
        </ext>
      </extLst>
    </cacheHierarchy>
    <cacheHierarchy uniqueName="[Measures].[Sum of Износ 7]" caption="Sum of Износ 7" measure="1" displayFolder="" measureGroup="rArtikli_HR_Analiza" count="0" hidden="1">
      <extLst>
        <ext xmlns:x15="http://schemas.microsoft.com/office/spreadsheetml/2010/11/main" uri="{B97F6D7D-B522-45F9-BDA1-12C45D357490}">
          <x15:cacheHierarchy aggregatedColumn="122"/>
        </ext>
      </extLst>
    </cacheHierarchy>
    <cacheHierarchy uniqueName="[Measures].[Sum of Износ 5]" caption="Sum of Износ 5" measure="1" displayFolder="" measureGroup="fCoveckiResursi  2" count="0" hidden="1">
      <extLst>
        <ext xmlns:x15="http://schemas.microsoft.com/office/spreadsheetml/2010/11/main" uri="{B97F6D7D-B522-45F9-BDA1-12C45D357490}">
          <x15:cacheHierarchy aggregatedColumn="82"/>
        </ext>
      </extLst>
    </cacheHierarchy>
    <cacheHierarchy uniqueName="[Measures].[Sum of Проценета вредност на набавка со ДДВ (денари)]" caption="Sum of Проценета вредност на набавка со ДДВ (денари)" measure="1" displayFolder="" measureGroup="CAPEX" count="0" hidden="1">
      <extLst>
        <ext xmlns:x15="http://schemas.microsoft.com/office/spreadsheetml/2010/11/main" uri="{B97F6D7D-B522-45F9-BDA1-12C45D357490}">
          <x15:cacheHierarchy aggregatedColumn="20"/>
        </ext>
      </extLst>
    </cacheHierarchy>
  </cacheHierarchies>
  <kpis count="0"/>
  <dimensions count="12">
    <dimension name="Amortizacija" uniqueName="[Amortizacija]" caption="Amortizacija"/>
    <dimension name="Calendar" uniqueName="[Calendar]" caption="Calendar"/>
    <dimension name="CAPEX" uniqueName="[CAPEX]" caption="CAPEX"/>
    <dimension name="fActualAndBudget" uniqueName="[fActualAndBudget]" caption="fActualAndBudget"/>
    <dimension name="fArtikliCeni" uniqueName="[fArtikliCeni]" caption="fArtikliCeni"/>
    <dimension name="fCoveckiResursi" uniqueName="[fCoveckiResursi]" caption="fCoveckiResursi"/>
    <dimension name="fCoveckiResursi  2" uniqueName="[fCoveckiResursi  2]" caption="fCoveckiResursi  2"/>
    <dimension name="fOPEX" uniqueName="[fOPEX]" caption="fOPEX"/>
    <dimension measure="1" name="Measures" uniqueName="[Measures]" caption="Measures"/>
    <dimension name="OPEXAnaliza" uniqueName="[OPEXAnaliza]" caption="OPEXAnaliza"/>
    <dimension name="rArtikli_HR_Analiza" uniqueName="[rArtikli_HR_Analiza]" caption="rArtikli_HR_Analiza"/>
    <dimension name="rArtikliAnaliza" uniqueName="[rArtikliAnaliza]" caption="rArtikliAnaliza"/>
  </dimensions>
  <measureGroups count="11">
    <measureGroup name="Amortizacija" caption="Amortizacija"/>
    <measureGroup name="Calendar" caption="Calendar"/>
    <measureGroup name="CAPEX" caption="CAPEX"/>
    <measureGroup name="fActualAndBudget" caption="fActualAndBudget"/>
    <measureGroup name="fArtikliCeni" caption="fArtikliCeni"/>
    <measureGroup name="fCoveckiResursi" caption="fCoveckiResursi"/>
    <measureGroup name="fCoveckiResursi  2" caption="fCoveckiResursi  2"/>
    <measureGroup name="fOPEX" caption="fOPEX"/>
    <measureGroup name="OPEXAnaliza" caption="OPEXAnaliza"/>
    <measureGroup name="rArtikli_HR_Analiza" caption="rArtikli_HR_Analiza"/>
    <measureGroup name="rArtikliAnaliza" caption="rArtikliAnaliza"/>
  </measureGroups>
  <maps count="19">
    <map measureGroup="0" dimension="0"/>
    <map measureGroup="0" dimension="1"/>
    <map measureGroup="1" dimension="1"/>
    <map measureGroup="2" dimension="1"/>
    <map measureGroup="2" dimension="2"/>
    <map measureGroup="3" dimension="1"/>
    <map measureGroup="3" dimension="3"/>
    <map measureGroup="4" dimension="4"/>
    <map measureGroup="5" dimension="1"/>
    <map measureGroup="5" dimension="5"/>
    <map measureGroup="6" dimension="1"/>
    <map measureGroup="6" dimension="6"/>
    <map measureGroup="7" dimension="1"/>
    <map measureGroup="7" dimension="7"/>
    <map measureGroup="8" dimension="1"/>
    <map measureGroup="8" dimension="9"/>
    <map measureGroup="9" dimension="10"/>
    <map measureGroup="10" dimension="1"/>
    <map measureGroup="10" dimension="1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ngela Sazdova - Doneva" refreshedDate="44899.978561805554" createdVersion="5" refreshedVersion="6" minRefreshableVersion="3" recordCount="0" supportSubquery="1" supportAdvancedDrill="1" xr:uid="{00000000-000A-0000-FFFF-FFFF18000000}">
  <cacheSource type="external" connectionId="22"/>
  <cacheFields count="10">
    <cacheField name="[Calendar].[Date Hierarchy].[Year]" caption="Year" numFmtId="0" hierarchy="7" level="1">
      <sharedItems containsSemiMixedTypes="0" containsNonDate="0" containsString="0"/>
    </cacheField>
    <cacheField name="[Calendar].[Date Hierarchy].[Month]" caption="Month" numFmtId="0" hierarchy="7" level="2">
      <sharedItems containsSemiMixedTypes="0" containsNonDate="0" containsString="0"/>
    </cacheField>
    <cacheField name="[Calendar].[Date Hierarchy].[DateColumn]" caption="DateColumn" numFmtId="0" hierarchy="7" level="3">
      <sharedItems containsSemiMixedTypes="0" containsNonDate="0" containsString="0"/>
    </cacheField>
    <cacheField name="[fActualAndBudget].[ReportType].[ReportType]" caption="ReportType" numFmtId="0" hierarchy="35" level="1">
      <sharedItems containsSemiMixedTypes="0" containsNonDate="0" containsString="0"/>
    </cacheField>
    <cacheField name="[Measures].[Sum of Износ]" caption="Sum of Износ" numFmtId="0" hierarchy="176" level="32767"/>
    <cacheField name="[Calendar].[Година].[Година]" caption="Година" numFmtId="0" hierarchy="8" level="1">
      <sharedItems containsSemiMixedTypes="0" containsNonDate="0" containsString="0"/>
    </cacheField>
    <cacheField name="[fActualAndBudget].[ObrazecIme].[ObrazecIme]" caption="ObrazecIme" numFmtId="0" hierarchy="44" level="1">
      <sharedItems containsSemiMixedTypes="0" containsNonDate="0" containsString="0"/>
    </cacheField>
    <cacheField name="[Calendar].[Квартал].[Квартал]" caption="Квартал" numFmtId="0" hierarchy="14" level="1">
      <sharedItems containsSemiMixedTypes="0" containsNonDate="0" containsDate="1" containsString="0" minDate="2020-03-31T00:00:00" maxDate="2021-01-01T00:00:00" count="4">
        <d v="2020-03-31T00:00:00"/>
        <d v="2020-06-30T00:00:00"/>
        <d v="2020-09-30T00:00:00"/>
        <d v="2020-12-31T00:00:00"/>
      </sharedItems>
    </cacheField>
    <cacheField name="[fActualAndBudget].[StavkaGrupa].[StavkaGrupa]" caption="StavkaGrupa" numFmtId="0" hierarchy="39" level="1">
      <sharedItems count="3">
        <s v="3.1. Приходи од дејноста"/>
        <s v="3.2. Останати приходи"/>
        <s v="4.1. Расходи од дејноста"/>
      </sharedItems>
    </cacheField>
    <cacheField name="[fActualAndBudget].[StavkaImeMK].[StavkaImeMK]" caption="StavkaImeMK" numFmtId="0" hierarchy="38" level="1">
      <sharedItems containsNonDate="0" count="17">
        <s v="Амортизација по минимални стапки"/>
        <s v="Банкарски услуги и трошоци за платен промет"/>
        <s v="Даноци,чланарини и други давачки кои не зависат од резултатот"/>
        <s v="Дневници за службени патувања и патни трошоци"/>
        <s v="Надворешни услуги"/>
        <s v="Надомест на трошоци на вработените, подароци и помошти"/>
        <s v="Наемнини и лизинг"/>
        <s v="Останати нематеријални трошоци"/>
        <s v="Останати услуги"/>
        <s v="Потрoшена енергија и гориво за возила"/>
        <s v="Потрошени резервни делови"/>
        <s v="Потрошени суровини и материјали"/>
        <s v="Потрошок на ситен инвентар и автогуми"/>
        <s v="Премии за осигурување"/>
        <s v="Транспортни услуги"/>
        <s v="Трошоци за промоција,пропаганда, реклама, репрезентација и спонзорство"/>
        <s v="Услуги за одржување и заштита"/>
      </sharedItems>
    </cacheField>
  </cacheFields>
  <cacheHierarchies count="195">
    <cacheHierarchy uniqueName="[Amortizacija].[Број на јавна набавка (план)]" caption="Број на јавна набавка (план)" attribute="1" defaultMemberUniqueName="[Amortizacija].[Број на јавна набавка (план)].[All]" allUniqueName="[Amortizacija].[Број на јавна набавка (план)].[All]" dimensionUniqueName="[Amortizacija]" displayFolder="" count="0" memberValueDatatype="130" unbalanced="0"/>
    <cacheHierarchy uniqueName="[Amortizacija].[Ставка]" caption="Ставка" attribute="1" defaultMemberUniqueName="[Amortizacija].[Ставка].[All]" allUniqueName="[Amortizacija].[Ставка].[All]" dimensionUniqueName="[Amortizacija]" displayFolder="" count="0" memberValueDatatype="130" unbalanced="0"/>
    <cacheHierarchy uniqueName="[Amortizacija].[Период]" caption="Период" attribute="1" time="1" defaultMemberUniqueName="[Amortizacija].[Период].[All]" allUniqueName="[Amortizacija].[Период].[All]" dimensionUniqueName="[Amortizacija]" displayFolder="" count="0" memberValueDatatype="7" unbalanced="0"/>
    <cacheHierarchy uniqueName="[Amortizacija].[Износ]" caption="Износ" attribute="1" defaultMemberUniqueName="[Amortizacija].[Износ].[All]" allUniqueName="[Amortizacija].[Износ].[All]" dimensionUniqueName="[Amortizacija]" displayFolder="" count="0" memberValueDatatype="20" unbalanced="0"/>
    <cacheHierarchy uniqueName="[Amortizacija].[Конто]" caption="Конто" attribute="1" defaultMemberUniqueName="[Amortizacija].[Конто].[All]" allUniqueName="[Amortizacija].[Конто].[All]" dimensionUniqueName="[Amortizacija]" displayFolder="" count="0" memberValueDatatype="130" unbalanced="0"/>
    <cacheHierarchy uniqueName="[Amortizacija].[ReportType]" caption="ReportType" attribute="1" defaultMemberUniqueName="[Amortizacija].[ReportType].[All]" allUniqueName="[Amortizacija].[ReportType].[All]" dimensionUniqueName="[Amortizacija]" displayFolder="" count="0" memberValueDatatype="130" unbalanced="0"/>
    <cacheHierarchy uniqueName="[Calendar].[Date]" caption="Date" attribute="1" time="1" keyAttribute="1" defaultMemberUniqueName="[Calendar].[Date].[All]" allUniqueName="[Calendar].[Date].[All]" dimensionUniqueName="[Calendar]" displayFolder="" count="0" memberValueDatatype="7" unbalanced="0"/>
    <cacheHierarchy uniqueName="[Calendar].[Date Hierarchy]" caption="Date Hierarchy" time="1" defaultMemberUniqueName="[Calendar].[Date Hierarchy].[All]" allUniqueName="[Calendar].[Date Hierarchy].[All]" dimensionUniqueName="[Calendar]" displayFolder="" count="4" unbalanced="0">
      <fieldsUsage count="4">
        <fieldUsage x="-1"/>
        <fieldUsage x="0"/>
        <fieldUsage x="1"/>
        <fieldUsage x="2"/>
      </fieldsUsage>
    </cacheHierarchy>
    <cacheHierarchy uniqueName="[Calendar].[Година]" caption="Година" attribute="1" time="1" defaultMemberUniqueName="[Calendar].[Година].[All]" allUniqueName="[Calendar].[Година].[All]" dimensionUniqueName="[Calendar]" displayFolder="" count="2" memberValueDatatype="20" unbalanced="0">
      <fieldsUsage count="2">
        <fieldUsage x="-1"/>
        <fieldUsage x="5"/>
      </fieldsUsage>
    </cacheHierarchy>
    <cacheHierarchy uniqueName="[Calendar].[Month Number]" caption="Month Number" attribute="1" time="1" defaultMemberUniqueName="[Calendar].[Month Number].[All]" allUniqueName="[Calendar].[Month Number].[All]" dimensionUniqueName="[Calendar]" displayFolder="" count="0" memberValueDatatype="20" unbalanced="0"/>
    <cacheHierarchy uniqueName="[Calendar].[Месец]" caption="Месец" attribute="1" time="1" defaultMemberUniqueName="[Calendar].[Месец].[All]" allUniqueName="[Calendar].[Месец].[All]" dimensionUniqueName="[Calendar]" displayFolder="" count="0" memberValueDatatype="130" unbalanced="0"/>
    <cacheHierarchy uniqueName="[Calendar].[MMM-YYYY]" caption="MMM-YYYY" attribute="1" time="1" defaultMemberUniqueName="[Calendar].[MMM-YYYY].[All]" allUniqueName="[Calendar].[MMM-YYYY].[All]" dimensionUniqueName="[Calendar]" displayFolder="" count="0" memberValueDatatype="130" unbalanced="0"/>
    <cacheHierarchy uniqueName="[Calendar].[Day Of Week Number]" caption="Day Of Week Number" attribute="1" time="1" defaultMemberUniqueName="[Calendar].[Day Of Week Number].[All]" allUniqueName="[Calendar].[Day Of Week Number].[All]" dimensionUniqueName="[Calendar]" displayFolder="" count="0" memberValueDatatype="20" unbalanced="0"/>
    <cacheHierarchy uniqueName="[Calendar].[Day Of Week]" caption="Day Of Week" attribute="1" time="1" defaultMemberUniqueName="[Calendar].[Day Of Week].[All]" allUniqueName="[Calendar].[Day Of Week].[All]" dimensionUniqueName="[Calendar]" displayFolder="" count="0" memberValueDatatype="130" unbalanced="0"/>
    <cacheHierarchy uniqueName="[Calendar].[Квартал]" caption="Квартал" attribute="1" time="1" defaultMemberUniqueName="[Calendar].[Квартал].[All]" allUniqueName="[Calendar].[Квартал].[All]" dimensionUniqueName="[Calendar]" displayFolder="" count="2" memberValueDatatype="7" unbalanced="0">
      <fieldsUsage count="2">
        <fieldUsage x="-1"/>
        <fieldUsage x="7"/>
      </fieldsUsage>
    </cacheHierarchy>
    <cacheHierarchy uniqueName="[CAPEX].[Година за реализација на проект]" caption="Година за реализација на проект" attribute="1" defaultMemberUniqueName="[CAPEX].[Година за реализација на проект].[All]" allUniqueName="[CAPEX].[Година за реализација на проект].[All]" dimensionUniqueName="[CAPEX]" displayFolder="" count="0" memberValueDatatype="20" unbalanced="0"/>
    <cacheHierarchy uniqueName="[CAPEX].[Број на јавна набавка (план)]" caption="Број на јавна набавка (план)" attribute="1" defaultMemberUniqueName="[CAPEX].[Број на јавна набавка (план)].[All]" allUniqueName="[CAPEX].[Број на јавна набавка (план)].[All]" dimensionUniqueName="[CAPEX]" displayFolder="" count="0" memberValueDatatype="130" unbalanced="0"/>
    <cacheHierarchy uniqueName="[CAPEX].[Предмет на договорот за јавна набавка]" caption="Предмет на договорот за јавна набавка" attribute="1" defaultMemberUniqueName="[CAPEX].[Предмет на договорот за јавна набавка].[All]" allUniqueName="[CAPEX].[Предмет на договорот за јавна набавка].[All]" dimensionUniqueName="[CAPEX]" displayFolder="" count="0" memberValueDatatype="130" unbalanced="0"/>
    <cacheHierarchy uniqueName="[CAPEX].[Очекуван датум на плаќање]" caption="Очекуван датум на плаќање" attribute="1" time="1" defaultMemberUniqueName="[CAPEX].[Очекуван датум на плаќање].[All]" allUniqueName="[CAPEX].[Очекуван датум на плаќање].[All]" dimensionUniqueName="[CAPEX]" displayFolder="" count="0" memberValueDatatype="7" unbalanced="0"/>
    <cacheHierarchy uniqueName="[CAPEX].[Очекуван датум за ставање во употреба (месец)]" caption="Очекуван датум за ставање во употреба (месец)" attribute="1" time="1" defaultMemberUniqueName="[CAPEX].[Очекуван датум за ставање во употреба (месец)].[All]" allUniqueName="[CAPEX].[Очекуван датум за ставање во употреба (месец)].[All]" dimensionUniqueName="[CAPEX]" displayFolder="" count="0" memberValueDatatype="7" unbalanced="0"/>
    <cacheHierarchy uniqueName="[CAPEX].[Проценета вредност на набавка со ДДВ (денари)]" caption="Проценета вредност на набавка со ДДВ (денари)" attribute="1" defaultMemberUniqueName="[CAPEX].[Проценета вредност на набавка со ДДВ (денари)].[All]" allUniqueName="[CAPEX].[Проценета вредност на набавка со ДДВ (денари)].[All]" dimensionUniqueName="[CAPEX]" displayFolder="" count="0" memberValueDatatype="20" unbalanced="0"/>
    <cacheHierarchy uniqueName="[CAPEX].[Стапка на амортизација]" caption="Стапка на амортизација" attribute="1" defaultMemberUniqueName="[CAPEX].[Стапка на амортизација].[All]" allUniqueName="[CAPEX].[Стапка на амортизација].[All]" dimensionUniqueName="[CAPEX]" displayFolder="" count="0" memberValueDatatype="5" unbalanced="0"/>
    <cacheHierarchy uniqueName="[CAPEX].[Конто Средства]" caption="Конто Средства" attribute="1" defaultMemberUniqueName="[CAPEX].[Конто Средства].[All]" allUniqueName="[CAPEX].[Конто Средства].[All]" dimensionUniqueName="[CAPEX]" displayFolder="" count="0" memberValueDatatype="130" unbalanced="0"/>
    <cacheHierarchy uniqueName="[CAPEX].[Конто Амортизација]" caption="Конто Амортизација" attribute="1" defaultMemberUniqueName="[CAPEX].[Конто Амортизација].[All]" allUniqueName="[CAPEX].[Конто Амортизација].[All]" dimensionUniqueName="[CAPEX]" displayFolder="" count="0" memberValueDatatype="130" unbalanced="0"/>
    <cacheHierarchy uniqueName="[CAPEX].[Износ донација]" caption="Износ донација" attribute="1" defaultMemberUniqueName="[CAPEX].[Износ донација].[All]" allUniqueName="[CAPEX].[Износ донација].[All]" dimensionUniqueName="[CAPEX]" displayFolder="" count="0" memberValueDatatype="20" unbalanced="0"/>
    <cacheHierarchy uniqueName="[CAPEX].[Очекуван датум на плаќање (Year)]" caption="Очекуван датум на плаќање (Year)" attribute="1" defaultMemberUniqueName="[CAPEX].[Очекуван датум на плаќање (Year)].[All]" allUniqueName="[CAPEX].[Очекуван датум на плаќање (Year)].[All]" dimensionUniqueName="[CAPEX]" displayFolder="" count="0" memberValueDatatype="130" unbalanced="0"/>
    <cacheHierarchy uniqueName="[CAPEX].[Очекуван датум на плаќање (Quarter)]" caption="Очекуван датум на плаќање (Quarter)" attribute="1" defaultMemberUniqueName="[CAPEX].[Очекуван датум на плаќање (Quarter)].[All]" allUniqueName="[CAPEX].[Очекуван датум на плаќање (Quarter)].[All]" dimensionUniqueName="[CAPEX]" displayFolder="" count="0" memberValueDatatype="130" unbalanced="0"/>
    <cacheHierarchy uniqueName="[CAPEX].[Очекуван датум на плаќање (Month)]" caption="Очекуван датум на плаќање (Month)" attribute="1" defaultMemberUniqueName="[CAPEX].[Очекуван датум на плаќање (Month)].[All]" allUniqueName="[CAPEX].[Очекуван датум на плаќање (Month)].[All]" dimensionUniqueName="[CAPEX]" displayFolder="" count="0" memberValueDatatype="130" unbalanced="0"/>
    <cacheHierarchy uniqueName="[CAPEX].[Очекуван датум за ставање во употреба (месец) (Year)]" caption="Очекуван датум за ставање во употреба (месец) (Year)" attribute="1" defaultMemberUniqueName="[CAPEX].[Очекуван датум за ставање во употреба (месец) (Year)].[All]" allUniqueName="[CAPEX].[Очекуван датум за ставање во употреба (месец) (Year)].[All]" dimensionUniqueName="[CAPEX]" displayFolder="" count="0" memberValueDatatype="130" unbalanced="0"/>
    <cacheHierarchy uniqueName="[CAPEX].[Очекуван датум за ставање во употреба (месец) (Quarter)]" caption="Очекуван датум за ставање во употреба (месец) (Quarter)" attribute="1" defaultMemberUniqueName="[CAPEX].[Очекуван датум за ставање во употреба (месец) (Quarter)].[All]" allUniqueName="[CAPEX].[Очекуван датум за ставање во употреба (месец) (Quarter)].[All]" dimensionUniqueName="[CAPEX]" displayFolder="" count="0" memberValueDatatype="130" unbalanced="0"/>
    <cacheHierarchy uniqueName="[CAPEX].[Очекуван датум за ставање во употреба (месец) (Month)]" caption="Очекуван датум за ставање во употреба (месец) (Month)" attribute="1" defaultMemberUniqueName="[CAPEX].[Очекуван датум за ставање во употреба (месец) (Month)].[All]" allUniqueName="[CAPEX].[Очекуван датум за ставање во употреба (месец) (Month)].[All]" dimensionUniqueName="[CAPEX]" displayFolder="" count="0" memberValueDatatype="130" unbalanced="0"/>
    <cacheHierarchy uniqueName="[fActualAndBudget].[Конто]" caption="Конто" attribute="1" defaultMemberUniqueName="[fActualAndBudget].[Конто].[All]" allUniqueName="[fActualAndBudget].[Конто].[All]" dimensionUniqueName="[fActualAndBudget]" displayFolder="" count="0" memberValueDatatype="130" unbalanced="0"/>
    <cacheHierarchy uniqueName="[fActualAndBudget].[Назив на конто]" caption="Назив на конто" attribute="1" defaultMemberUniqueName="[fActualAndBudget].[Назив на конто].[All]" allUniqueName="[fActualAndBudget].[Назив на конто].[All]" dimensionUniqueName="[fActualAndBudget]" displayFolder="" count="0" memberValueDatatype="130" unbalanced="0"/>
    <cacheHierarchy uniqueName="[fActualAndBudget].[Период]" caption="Период" attribute="1" time="1" defaultMemberUniqueName="[fActualAndBudget].[Период].[All]" allUniqueName="[fActualAndBudget].[Период].[All]" dimensionUniqueName="[fActualAndBudget]" displayFolder="" count="0" memberValueDatatype="7" unbalanced="0"/>
    <cacheHierarchy uniqueName="[fActualAndBudget].[Износ1]" caption="Износ1" attribute="1" defaultMemberUniqueName="[fActualAndBudget].[Износ1].[All]" allUniqueName="[fActualAndBudget].[Износ1].[All]" dimensionUniqueName="[fActualAndBudget]" displayFolder="" count="0" memberValueDatatype="20" unbalanced="0"/>
    <cacheHierarchy uniqueName="[fActualAndBudget].[ReportType]" caption="ReportType" attribute="1" defaultMemberUniqueName="[fActualAndBudget].[ReportType].[All]" allUniqueName="[fActualAndBudget].[ReportType].[All]" dimensionUniqueName="[fActualAndBudget]" displayFolder="" count="2" memberValueDatatype="130" unbalanced="0">
      <fieldsUsage count="2">
        <fieldUsage x="-1"/>
        <fieldUsage x="3"/>
      </fieldsUsage>
    </cacheHierarchy>
    <cacheHierarchy uniqueName="[fActualAndBudget].[Ставка]" caption="Ставка" attribute="1" defaultMemberUniqueName="[fActualAndBudget].[Ставка].[All]" allUniqueName="[fActualAndBudget].[Ставка].[All]" dimensionUniqueName="[fActualAndBudget]" displayFolder="" count="0" memberValueDatatype="130" unbalanced="0"/>
    <cacheHierarchy uniqueName="[fActualAndBudget].[Број на јавна набавка (план)]" caption="Број на јавна набавка (план)" attribute="1" defaultMemberUniqueName="[fActualAndBudget].[Број на јавна набавка (план)].[All]" allUniqueName="[fActualAndBudget].[Број на јавна набавка (план)].[All]" dimensionUniqueName="[fActualAndBudget]" displayFolder="" count="0" memberValueDatatype="130" unbalanced="0"/>
    <cacheHierarchy uniqueName="[fActualAndBudget].[StavkaImeMK]" caption="StavkaImeMK" attribute="1" defaultMemberUniqueName="[fActualAndBudget].[StavkaImeMK].[All]" allUniqueName="[fActualAndBudget].[StavkaImeMK].[All]" dimensionUniqueName="[fActualAndBudget]" displayFolder="" count="2" memberValueDatatype="130" unbalanced="0">
      <fieldsUsage count="2">
        <fieldUsage x="-1"/>
        <fieldUsage x="9"/>
      </fieldsUsage>
    </cacheHierarchy>
    <cacheHierarchy uniqueName="[fActualAndBudget].[StavkaGrupa]" caption="StavkaGrupa" attribute="1" defaultMemberUniqueName="[fActualAndBudget].[StavkaGrupa].[All]" allUniqueName="[fActualAndBudget].[StavkaGrupa].[All]" dimensionUniqueName="[fActualAndBudget]" displayFolder="" count="2" memberValueDatatype="130" unbalanced="0">
      <fieldsUsage count="2">
        <fieldUsage x="-1"/>
        <fieldUsage x="8"/>
      </fieldsUsage>
    </cacheHierarchy>
    <cacheHierarchy uniqueName="[fActualAndBudget].[StavkaKategorija]" caption="StavkaKategorija" attribute="1" defaultMemberUniqueName="[fActualAndBudget].[StavkaKategorija].[All]" allUniqueName="[fActualAndBudget].[StavkaKategorija].[All]" dimensionUniqueName="[fActualAndBudget]" displayFolder="" count="0" memberValueDatatype="130" unbalanced="0"/>
    <cacheHierarchy uniqueName="[fActualAndBudget].[ZnakIzvestaj]" caption="ZnakIzvestaj" attribute="1" defaultMemberUniqueName="[fActualAndBudget].[ZnakIzvestaj].[All]" allUniqueName="[fActualAndBudget].[ZnakIzvestaj].[All]" dimensionUniqueName="[fActualAndBudget]" displayFolder="" count="0" memberValueDatatype="20" unbalanced="0"/>
    <cacheHierarchy uniqueName="[fActualAndBudget].[ObrazecID]" caption="ObrazecID" attribute="1" defaultMemberUniqueName="[fActualAndBudget].[ObrazecID].[All]" allUniqueName="[fActualAndBudget].[ObrazecID].[All]" dimensionUniqueName="[fActualAndBudget]" displayFolder="" count="0" memberValueDatatype="20" unbalanced="0"/>
    <cacheHierarchy uniqueName="[fActualAndBudget].[StavkaAOP]" caption="StavkaAOP" attribute="1" defaultMemberUniqueName="[fActualAndBudget].[StavkaAOP].[All]" allUniqueName="[fActualAndBudget].[StavkaAOP].[All]" dimensionUniqueName="[fActualAndBudget]" displayFolder="" count="0" memberValueDatatype="130" unbalanced="0"/>
    <cacheHierarchy uniqueName="[fActualAndBudget].[ObrazecIme]" caption="ObrazecIme" attribute="1" defaultMemberUniqueName="[fActualAndBudget].[ObrazecIme].[All]" allUniqueName="[fActualAndBudget].[ObrazecIme].[All]" dimensionUniqueName="[fActualAndBudget]" displayFolder="" count="2" memberValueDatatype="130" unbalanced="0">
      <fieldsUsage count="2">
        <fieldUsage x="-1"/>
        <fieldUsage x="6"/>
      </fieldsUsage>
    </cacheHierarchy>
    <cacheHierarchy uniqueName="[fActualAndBudget].[Износ]" caption="Износ" attribute="1" defaultMemberUniqueName="[fActualAndBudget].[Износ].[All]" allUniqueName="[fActualAndBudget].[Износ].[All]" dimensionUniqueName="[fActualAndBudget]" displayFolder="" count="0" memberValueDatatype="20" unbalanced="0"/>
    <cacheHierarchy uniqueName="[fActualAndBudget].[Износ (илјади)]" caption="Износ (илјади)" attribute="1" defaultMemberUniqueName="[fActualAndBudget].[Износ (илјади)].[All]" allUniqueName="[fActualAndBudget].[Износ (илјади)].[All]" dimensionUniqueName="[fActualAndBudget]" displayFolder="" count="0" memberValueDatatype="5" unbalanced="0"/>
    <cacheHierarchy uniqueName="[fActualAndBudget].[StavkaImeAOP]" caption="StavkaImeAOP" attribute="1" defaultMemberUniqueName="[fActualAndBudget].[StavkaImeAOP].[All]" allUniqueName="[fActualAndBudget].[StavkaImeAOP].[All]" dimensionUniqueName="[fActualAndBudget]" displayFolder="" count="0" memberValueDatatype="130" unbalanced="0"/>
    <cacheHierarchy uniqueName="[fActualAndBudget].[Конто Ставка]" caption="Конто Ставка" attribute="1" defaultMemberUniqueName="[fActualAndBudget].[Конто Ставка].[All]" allUniqueName="[fActualAndBudget].[Конто Ставка].[All]" dimensionUniqueName="[fActualAndBudget]" displayFolder="" count="0" memberValueDatatype="130" unbalanced="0"/>
    <cacheHierarchy uniqueName="[fArtikliCeni].[Ставка]" caption="Ставка" attribute="1" defaultMemberUniqueName="[fArtikliCeni].[Ставка].[All]" allUniqueName="[fArtikliCeni].[Ставка].[All]" dimensionUniqueName="[fArtikliCeni]" displayFolder="" count="0" memberValueDatatype="130" unbalanced="0"/>
    <cacheHierarchy uniqueName="[fArtikliCeni].[Категорија Артикл]" caption="Категорија Артикл" attribute="1" defaultMemberUniqueName="[fArtikliCeni].[Категорија Артикл].[All]" allUniqueName="[fArtikliCeni].[Категорија Артикл].[All]" dimensionUniqueName="[fArtikliCeni]" displayFolder="" count="0" memberValueDatatype="130" unbalanced="0"/>
    <cacheHierarchy uniqueName="[fArtikliCeni].[Тип на артикл]" caption="Тип на артикл" attribute="1" defaultMemberUniqueName="[fArtikliCeni].[Тип на артикл].[All]" allUniqueName="[fArtikliCeni].[Тип на артикл].[All]" dimensionUniqueName="[fArtikliCeni]" displayFolder="" count="0" memberValueDatatype="130" unbalanced="0"/>
    <cacheHierarchy uniqueName="[fArtikliCeni].[Единечна мерка]" caption="Единечна мерка" attribute="1" defaultMemberUniqueName="[fArtikliCeni].[Единечна мерка].[All]" allUniqueName="[fArtikliCeni].[Единечна мерка].[All]" dimensionUniqueName="[fArtikliCeni]" displayFolder="" count="0" memberValueDatatype="130" unbalanced="0"/>
    <cacheHierarchy uniqueName="[fArtikliCeni].[Количина]" caption="Количина" attribute="1" defaultMemberUniqueName="[fArtikliCeni].[Количина].[All]" allUniqueName="[fArtikliCeni].[Количина].[All]" dimensionUniqueName="[fArtikliCeni]" displayFolder="" count="0" memberValueDatatype="5" unbalanced="0"/>
    <cacheHierarchy uniqueName="[fArtikliCeni].[Единечна цена]" caption="Единечна цена" attribute="1" defaultMemberUniqueName="[fArtikliCeni].[Единечна цена].[All]" allUniqueName="[fArtikliCeni].[Единечна цена].[All]" dimensionUniqueName="[fArtikliCeni]" displayFolder="" count="0" memberValueDatatype="20" unbalanced="0"/>
    <cacheHierarchy uniqueName="[fArtikliCeni].[Вкупно трошок]" caption="Вкупно трошок" attribute="1" defaultMemberUniqueName="[fArtikliCeni].[Вкупно трошок].[All]" allUniqueName="[fArtikliCeni].[Вкупно трошок].[All]" dimensionUniqueName="[fArtikliCeni]" displayFolder="" count="0" memberValueDatatype="5" unbalanced="0"/>
    <cacheHierarchy uniqueName="[fArtikliCeni].[ДДВ]" caption="ДДВ" attribute="1" defaultMemberUniqueName="[fArtikliCeni].[ДДВ].[All]" allUniqueName="[fArtikliCeni].[ДДВ].[All]" dimensionUniqueName="[fArtikliCeni]" displayFolder="" count="0" memberValueDatatype="5" unbalanced="0"/>
    <cacheHierarchy uniqueName="[fArtikliCeni].[Износ]" caption="Износ" attribute="1" defaultMemberUniqueName="[fArtikliCeni].[Износ].[All]" allUniqueName="[fArtikliCeni].[Износ].[All]" dimensionUniqueName="[fArtikliCeni]" displayFolder="" count="0" memberValueDatatype="5" unbalanced="0"/>
    <cacheHierarchy uniqueName="[fArtikliCeni].[Конто]" caption="Конто" attribute="1" defaultMemberUniqueName="[fArtikliCeni].[Конто].[All]" allUniqueName="[fArtikliCeni].[Конто].[All]" dimensionUniqueName="[fArtikliCeni]" displayFolder="" count="0" memberValueDatatype="130" unbalanced="0"/>
    <cacheHierarchy uniqueName="[fArtikliCeni].[ReportType]" caption="ReportType" attribute="1" defaultMemberUniqueName="[fArtikliCeni].[ReportType].[All]" allUniqueName="[fArtikliCeni].[ReportType].[All]" dimensionUniqueName="[fArtikliCeni]" displayFolder="" count="0" memberValueDatatype="130" unbalanced="0"/>
    <cacheHierarchy uniqueName="[fArtikliCeni].[Период]" caption="Период" attribute="1" time="1" defaultMemberUniqueName="[fArtikliCeni].[Период].[All]" allUniqueName="[fArtikliCeni].[Период].[All]" dimensionUniqueName="[fArtikliCeni]" displayFolder="" count="0" memberValueDatatype="7" unbalanced="0"/>
    <cacheHierarchy uniqueName="[fArtikliCeni].[StavkaImeMK]" caption="StavkaImeMK" attribute="1" defaultMemberUniqueName="[fArtikliCeni].[StavkaImeMK].[All]" allUniqueName="[fArtikliCeni].[StavkaImeMK].[All]" dimensionUniqueName="[fArtikliCeni]" displayFolder="" count="0" memberValueDatatype="130" unbalanced="0"/>
    <cacheHierarchy uniqueName="[fArtikliCeni].[StavkaAOP]" caption="StavkaAOP" attribute="1" defaultMemberUniqueName="[fArtikliCeni].[StavkaAOP].[All]" allUniqueName="[fArtikliCeni].[StavkaAOP].[All]" dimensionUniqueName="[fArtikliCeni]" displayFolder="" count="0" memberValueDatatype="130" unbalanced="0"/>
    <cacheHierarchy uniqueName="[fArtikliCeni].[StavkaGrupa]" caption="StavkaGrupa" attribute="1" defaultMemberUniqueName="[fArtikliCeni].[StavkaGrupa].[All]" allUniqueName="[fArtikliCeni].[StavkaGrupa].[All]" dimensionUniqueName="[fArtikliCeni]" displayFolder="" count="0" memberValueDatatype="130" unbalanced="0"/>
    <cacheHierarchy uniqueName="[fArtikliCeni].[StavkaKategorija]" caption="StavkaKategorija" attribute="1" defaultMemberUniqueName="[fArtikliCeni].[StavkaKategorija].[All]" allUniqueName="[fArtikliCeni].[StavkaKategorija].[All]" dimensionUniqueName="[fArtikliCeni]" displayFolder="" count="0" memberValueDatatype="130" unbalanced="0"/>
    <cacheHierarchy uniqueName="[fArtikliCeni].[ObrazecIme]" caption="ObrazecIme" attribute="1" defaultMemberUniqueName="[fArtikliCeni].[ObrazecIme].[All]" allUniqueName="[fArtikliCeni].[ObrazecIme].[All]" dimensionUniqueName="[fArtikliCeni]" displayFolder="" count="0" memberValueDatatype="130" unbalanced="0"/>
    <cacheHierarchy uniqueName="[fCoveckiResursi].[Ставка]" caption="Ставка" attribute="1" defaultMemberUniqueName="[fCoveckiResursi].[Ставка].[All]" allUniqueName="[fCoveckiResursi].[Ставка].[All]" dimensionUniqueName="[fCoveckiResursi]" displayFolder="" count="0" memberValueDatatype="130" unbalanced="0"/>
    <cacheHierarchy uniqueName="[fCoveckiResursi].[Тип на вработување]" caption="Тип на вработување" attribute="1" defaultMemberUniqueName="[fCoveckiResursi].[Тип на вработување].[All]" allUniqueName="[fCoveckiResursi].[Тип на вработување].[All]" dimensionUniqueName="[fCoveckiResursi]" displayFolder="" count="0" memberValueDatatype="130" unbalanced="0"/>
    <cacheHierarchy uniqueName="[fCoveckiResursi].[Планиран прилив/(одлив)]" caption="Планиран прилив/(одлив)" attribute="1" defaultMemberUniqueName="[fCoveckiResursi].[Планиран прилив/(одлив)].[All]" allUniqueName="[fCoveckiResursi].[Планиран прилив/(одлив)].[All]" dimensionUniqueName="[fCoveckiResursi]" displayFolder="" count="0" memberValueDatatype="20" unbalanced="0"/>
    <cacheHierarchy uniqueName="[fCoveckiResursi].[Период]" caption="Период" attribute="1" time="1" defaultMemberUniqueName="[fCoveckiResursi].[Период].[All]" allUniqueName="[fCoveckiResursi].[Период].[All]" dimensionUniqueName="[fCoveckiResursi]" displayFolder="" count="0" memberValueDatatype="7" unbalanced="0"/>
    <cacheHierarchy uniqueName="[fCoveckiResursi].[Крајна состојба вработени]" caption="Крајна состојба вработени" attribute="1" defaultMemberUniqueName="[fCoveckiResursi].[Крајна состојба вработени].[All]" allUniqueName="[fCoveckiResursi].[Крајна состојба вработени].[All]" dimensionUniqueName="[fCoveckiResursi]" displayFolder="" count="0" memberValueDatatype="20" unbalanced="0"/>
    <cacheHierarchy uniqueName="[fCoveckiResursi].[Износ]" caption="Износ" attribute="1" defaultMemberUniqueName="[fCoveckiResursi].[Износ].[All]" allUniqueName="[fCoveckiResursi].[Износ].[All]" dimensionUniqueName="[fCoveckiResursi]" displayFolder="" count="0" memberValueDatatype="20" unbalanced="0"/>
    <cacheHierarchy uniqueName="[fCoveckiResursi].[Конто]" caption="Конто" attribute="1" defaultMemberUniqueName="[fCoveckiResursi].[Конто].[All]" allUniqueName="[fCoveckiResursi].[Конто].[All]" dimensionUniqueName="[fCoveckiResursi]" displayFolder="" count="0" memberValueDatatype="130" unbalanced="0"/>
    <cacheHierarchy uniqueName="[fCoveckiResursi].[ReportType]" caption="ReportType" attribute="1" defaultMemberUniqueName="[fCoveckiResursi].[ReportType].[All]" allUniqueName="[fCoveckiResursi].[ReportType].[All]" dimensionUniqueName="[fCoveckiResursi]" displayFolder="" count="0" memberValueDatatype="130" unbalanced="0"/>
    <cacheHierarchy uniqueName="[fCoveckiResursi].[Период (Year)]" caption="Период (Year)" attribute="1" defaultMemberUniqueName="[fCoveckiResursi].[Период (Year)].[All]" allUniqueName="[fCoveckiResursi].[Период (Year)].[All]" dimensionUniqueName="[fCoveckiResursi]" displayFolder="" count="0" memberValueDatatype="130" unbalanced="0"/>
    <cacheHierarchy uniqueName="[fCoveckiResursi].[Период (Quarter)]" caption="Период (Quarter)" attribute="1" defaultMemberUniqueName="[fCoveckiResursi].[Период (Quarter)].[All]" allUniqueName="[fCoveckiResursi].[Период (Quarter)].[All]" dimensionUniqueName="[fCoveckiResursi]" displayFolder="" count="0" memberValueDatatype="130" unbalanced="0"/>
    <cacheHierarchy uniqueName="[fCoveckiResursi].[Период (Month)]" caption="Период (Month)" attribute="1" defaultMemberUniqueName="[fCoveckiResursi].[Период (Month)].[All]" allUniqueName="[fCoveckiResursi].[Период (Month)].[All]" dimensionUniqueName="[fCoveckiResursi]" displayFolder="" count="0" memberValueDatatype="130" unbalanced="0"/>
    <cacheHierarchy uniqueName="[fCoveckiResursi].[Период (Year) 1]" caption="Период (Year) 1" attribute="1" defaultMemberUniqueName="[fCoveckiResursi].[Период (Year) 1].[All]" allUniqueName="[fCoveckiResursi].[Период (Year) 1].[All]" dimensionUniqueName="[fCoveckiResursi]" displayFolder="" count="0" memberValueDatatype="130" unbalanced="0"/>
    <cacheHierarchy uniqueName="[fCoveckiResursi].[Период (Quarter) 1]" caption="Период (Quarter) 1" attribute="1" defaultMemberUniqueName="[fCoveckiResursi].[Период (Quarter) 1].[All]" allUniqueName="[fCoveckiResursi].[Период (Quarter) 1].[All]" dimensionUniqueName="[fCoveckiResursi]" displayFolder="" count="0" memberValueDatatype="130" unbalanced="0"/>
    <cacheHierarchy uniqueName="[fCoveckiResursi].[Период (Month) 1]" caption="Период (Month) 1" attribute="1" defaultMemberUniqueName="[fCoveckiResursi].[Период (Month) 1].[All]" allUniqueName="[fCoveckiResursi].[Период (Month) 1].[All]" dimensionUniqueName="[fCoveckiResursi]" displayFolder="" count="0" memberValueDatatype="130" unbalanced="0"/>
    <cacheHierarchy uniqueName="[fCoveckiResursi  2].[Ставка]" caption="Ставка" attribute="1" defaultMemberUniqueName="[fCoveckiResursi  2].[Ставка].[All]" allUniqueName="[fCoveckiResursi  2].[Ставка].[All]" dimensionUniqueName="[fCoveckiResursi  2]" displayFolder="" count="0" memberValueDatatype="130" unbalanced="0"/>
    <cacheHierarchy uniqueName="[fCoveckiResursi  2].[Период]" caption="Период" attribute="1" time="1" defaultMemberUniqueName="[fCoveckiResursi  2].[Период].[All]" allUniqueName="[fCoveckiResursi  2].[Период].[All]" dimensionUniqueName="[fCoveckiResursi  2]" displayFolder="" count="0" memberValueDatatype="7" unbalanced="0"/>
    <cacheHierarchy uniqueName="[fCoveckiResursi  2].[Износ]" caption="Износ" attribute="1" defaultMemberUniqueName="[fCoveckiResursi  2].[Износ].[All]" allUniqueName="[fCoveckiResursi  2].[Износ].[All]" dimensionUniqueName="[fCoveckiResursi  2]" displayFolder="" count="0" memberValueDatatype="20" unbalanced="0"/>
    <cacheHierarchy uniqueName="[fCoveckiResursi  2].[Конто]" caption="Конто" attribute="1" defaultMemberUniqueName="[fCoveckiResursi  2].[Конто].[All]" allUniqueName="[fCoveckiResursi  2].[Конто].[All]" dimensionUniqueName="[fCoveckiResursi  2]" displayFolder="" count="0" memberValueDatatype="130" unbalanced="0"/>
    <cacheHierarchy uniqueName="[fCoveckiResursi  2].[ReportType]" caption="ReportType" attribute="1" defaultMemberUniqueName="[fCoveckiResursi  2].[ReportType].[All]" allUniqueName="[fCoveckiResursi  2].[ReportType].[All]" dimensionUniqueName="[fCoveckiResursi  2]" displayFolder="" count="0" memberValueDatatype="130" unbalanced="0"/>
    <cacheHierarchy uniqueName="[fCoveckiResursi  2].[StavkaImeMK]" caption="StavkaImeMK" attribute="1" defaultMemberUniqueName="[fCoveckiResursi  2].[StavkaImeMK].[All]" allUniqueName="[fCoveckiResursi  2].[StavkaImeMK].[All]" dimensionUniqueName="[fCoveckiResursi  2]" displayFolder="" count="0" memberValueDatatype="130" unbalanced="0"/>
    <cacheHierarchy uniqueName="[fCoveckiResursi  2].[StavkaKategorija]" caption="StavkaKategorija" attribute="1" defaultMemberUniqueName="[fCoveckiResursi  2].[StavkaKategorija].[All]" allUniqueName="[fCoveckiResursi  2].[StavkaKategorija].[All]" dimensionUniqueName="[fCoveckiResursi  2]" displayFolder="" count="0" memberValueDatatype="130" unbalanced="0"/>
    <cacheHierarchy uniqueName="[fCoveckiResursi  2].[ObrazecIme]" caption="ObrazecIme" attribute="1" defaultMemberUniqueName="[fCoveckiResursi  2].[ObrazecIme].[All]" allUniqueName="[fCoveckiResursi  2].[ObrazecIme].[All]" dimensionUniqueName="[fCoveckiResursi  2]" displayFolder="" count="0" memberValueDatatype="130" unbalanced="0"/>
    <cacheHierarchy uniqueName="[fOPEX].[Конто]" caption="Конто" attribute="1" defaultMemberUniqueName="[fOPEX].[Конто].[All]" allUniqueName="[fOPEX].[Конто].[All]" dimensionUniqueName="[fOPEX]" displayFolder="" count="0" memberValueDatatype="130" unbalanced="0"/>
    <cacheHierarchy uniqueName="[fOPEX].[Ставка]" caption="Ставка" attribute="1" defaultMemberUniqueName="[fOPEX].[Ставка].[All]" allUniqueName="[fOPEX].[Ставка].[All]" dimensionUniqueName="[fOPEX]" displayFolder="" count="0" memberValueDatatype="130" unbalanced="0"/>
    <cacheHierarchy uniqueName="[fOPEX].[Период]" caption="Период" attribute="1" time="1" defaultMemberUniqueName="[fOPEX].[Период].[All]" allUniqueName="[fOPEX].[Период].[All]" dimensionUniqueName="[fOPEX]" displayFolder="" count="0" memberValueDatatype="7" unbalanced="0"/>
    <cacheHierarchy uniqueName="[fOPEX].[Износ]" caption="Износ" attribute="1" defaultMemberUniqueName="[fOPEX].[Износ].[All]" allUniqueName="[fOPEX].[Износ].[All]" dimensionUniqueName="[fOPEX]" displayFolder="" count="0" memberValueDatatype="20" unbalanced="0"/>
    <cacheHierarchy uniqueName="[fOPEX].[ReportType]" caption="ReportType" attribute="1" defaultMemberUniqueName="[fOPEX].[ReportType].[All]" allUniqueName="[fOPEX].[ReportType].[All]" dimensionUniqueName="[fOPEX]" displayFolder="" count="0" memberValueDatatype="130" unbalanced="0"/>
    <cacheHierarchy uniqueName="[OPEXAnaliza].[Артикл ИД]" caption="Артикл ИД" attribute="1" defaultMemberUniqueName="[OPEXAnaliza].[Артикл ИД].[All]" allUniqueName="[OPEXAnaliza].[Артикл ИД].[All]" dimensionUniqueName="[OPEXAnaliza]" displayFolder="" count="0" memberValueDatatype="20" unbalanced="0"/>
    <cacheHierarchy uniqueName="[OPEXAnaliza].[Ставка]" caption="Ставка" attribute="1" defaultMemberUniqueName="[OPEXAnaliza].[Ставка].[All]" allUniqueName="[OPEXAnaliza].[Ставка].[All]" dimensionUniqueName="[OPEXAnaliza]" displayFolder="" count="0" memberValueDatatype="130" unbalanced="0"/>
    <cacheHierarchy uniqueName="[OPEXAnaliza].[Категорија Артикл ИД]" caption="Категорија Артикл ИД" attribute="1" defaultMemberUniqueName="[OPEXAnaliza].[Категорија Артикл ИД].[All]" allUniqueName="[OPEXAnaliza].[Категорија Артикл ИД].[All]" dimensionUniqueName="[OPEXAnaliza]" displayFolder="" count="0" memberValueDatatype="20" unbalanced="0"/>
    <cacheHierarchy uniqueName="[OPEXAnaliza].[Категорија Артикл]" caption="Категорија Артикл" attribute="1" defaultMemberUniqueName="[OPEXAnaliza].[Категорија Артикл].[All]" allUniqueName="[OPEXAnaliza].[Категорија Артикл].[All]" dimensionUniqueName="[OPEXAnaliza]" displayFolder="" count="0" memberValueDatatype="130" unbalanced="0"/>
    <cacheHierarchy uniqueName="[OPEXAnaliza].[Тип на артикл]" caption="Тип на артикл" attribute="1" defaultMemberUniqueName="[OPEXAnaliza].[Тип на артикл].[All]" allUniqueName="[OPEXAnaliza].[Тип на артикл].[All]" dimensionUniqueName="[OPEXAnaliza]" displayFolder="" count="0" memberValueDatatype="130" unbalanced="0"/>
    <cacheHierarchy uniqueName="[OPEXAnaliza].[Единечна мерка]" caption="Единечна мерка" attribute="1" defaultMemberUniqueName="[OPEXAnaliza].[Единечна мерка].[All]" allUniqueName="[OPEXAnaliza].[Единечна мерка].[All]" dimensionUniqueName="[OPEXAnaliza]" displayFolder="" count="0" memberValueDatatype="130" unbalanced="0"/>
    <cacheHierarchy uniqueName="[OPEXAnaliza].[Количина]" caption="Количина" attribute="1" defaultMemberUniqueName="[OPEXAnaliza].[Количина].[All]" allUniqueName="[OPEXAnaliza].[Количина].[All]" dimensionUniqueName="[OPEXAnaliza]" displayFolder="" count="0" memberValueDatatype="5" unbalanced="0"/>
    <cacheHierarchy uniqueName="[OPEXAnaliza].[Единечна цена]" caption="Единечна цена" attribute="1" defaultMemberUniqueName="[OPEXAnaliza].[Единечна цена].[All]" allUniqueName="[OPEXAnaliza].[Единечна цена].[All]" dimensionUniqueName="[OPEXAnaliza]" displayFolder="" count="0" memberValueDatatype="20" unbalanced="0"/>
    <cacheHierarchy uniqueName="[OPEXAnaliza].[Износ]" caption="Износ" attribute="1" defaultMemberUniqueName="[OPEXAnaliza].[Износ].[All]" allUniqueName="[OPEXAnaliza].[Износ].[All]" dimensionUniqueName="[OPEXAnaliza]" displayFolder="" count="0" memberValueDatatype="5" unbalanced="0"/>
    <cacheHierarchy uniqueName="[OPEXAnaliza].[ДДВ]" caption="ДДВ" attribute="1" defaultMemberUniqueName="[OPEXAnaliza].[ДДВ].[All]" allUniqueName="[OPEXAnaliza].[ДДВ].[All]" dimensionUniqueName="[OPEXAnaliza]" displayFolder="" count="0" memberValueDatatype="5" unbalanced="0"/>
    <cacheHierarchy uniqueName="[OPEXAnaliza].[Вкупно трошок со ДДВ]" caption="Вкупно трошок со ДДВ" attribute="1" defaultMemberUniqueName="[OPEXAnaliza].[Вкупно трошок со ДДВ].[All]" allUniqueName="[OPEXAnaliza].[Вкупно трошок со ДДВ].[All]" dimensionUniqueName="[OPEXAnaliza]" displayFolder="" count="0" memberValueDatatype="5" unbalanced="0"/>
    <cacheHierarchy uniqueName="[OPEXAnaliza].[Конто]" caption="Конто" attribute="1" defaultMemberUniqueName="[OPEXAnaliza].[Конто].[All]" allUniqueName="[OPEXAnaliza].[Конто].[All]" dimensionUniqueName="[OPEXAnaliza]" displayFolder="" count="0" memberValueDatatype="130" unbalanced="0"/>
    <cacheHierarchy uniqueName="[OPEXAnaliza].[Период]" caption="Период" attribute="1" time="1" defaultMemberUniqueName="[OPEXAnaliza].[Период].[All]" allUniqueName="[OPEXAnaliza].[Период].[All]" dimensionUniqueName="[OPEXAnaliza]" displayFolder="" count="0" memberValueDatatype="7" unbalanced="0"/>
    <cacheHierarchy uniqueName="[OPEXAnaliza].[ReportType]" caption="ReportType" attribute="1" defaultMemberUniqueName="[OPEXAnaliza].[ReportType].[All]" allUniqueName="[OPEXAnaliza].[ReportType].[All]" dimensionUniqueName="[OPEXAnaliza]" displayFolder="" count="0" memberValueDatatype="130" unbalanced="0"/>
    <cacheHierarchy uniqueName="[OPEXAnaliza].[StavkaImeMK]" caption="StavkaImeMK" attribute="1" defaultMemberUniqueName="[OPEXAnaliza].[StavkaImeMK].[All]" allUniqueName="[OPEXAnaliza].[StavkaImeMK].[All]" dimensionUniqueName="[OPEXAnaliza]" displayFolder="" count="0" memberValueDatatype="130" unbalanced="0"/>
    <cacheHierarchy uniqueName="[OPEXAnaliza].[StavkaKategorija]" caption="StavkaKategorija" attribute="1" defaultMemberUniqueName="[OPEXAnaliza].[StavkaKategorija].[All]" allUniqueName="[OPEXAnaliza].[StavkaKategorija].[All]" dimensionUniqueName="[OPEXAnaliza]" displayFolder="" count="0" memberValueDatatype="130" unbalanced="0"/>
    <cacheHierarchy uniqueName="[OPEXAnaliza].[ObrazecIme]" caption="ObrazecIme" attribute="1" defaultMemberUniqueName="[OPEXAnaliza].[ObrazecIme].[All]" allUniqueName="[OPEXAnaliza].[ObrazecIme].[All]" dimensionUniqueName="[OPEXAnaliza]" displayFolder="" count="0" memberValueDatatype="130" unbalanced="0"/>
    <cacheHierarchy uniqueName="[OPEXAnaliza].[StavkaImeAOP]" caption="StavkaImeAOP" attribute="1" defaultMemberUniqueName="[OPEXAnaliza].[StavkaImeAOP].[All]" allUniqueName="[OPEXAnaliza].[StavkaImeAOP].[All]" dimensionUniqueName="[OPEXAnaliza]" displayFolder="" count="0" memberValueDatatype="20" unbalanced="0"/>
    <cacheHierarchy uniqueName="[OPEXAnaliza].[Период (Year)]" caption="Период (Year)" attribute="1" defaultMemberUniqueName="[OPEXAnaliza].[Период (Year)].[All]" allUniqueName="[OPEXAnaliza].[Период (Year)].[All]" dimensionUniqueName="[OPEXAnaliza]" displayFolder="" count="0" memberValueDatatype="130" unbalanced="0"/>
    <cacheHierarchy uniqueName="[OPEXAnaliza].[Период (Quarter)]" caption="Период (Quarter)" attribute="1" defaultMemberUniqueName="[OPEXAnaliza].[Период (Quarter)].[All]" allUniqueName="[OPEXAnaliza].[Период (Quarter)].[All]" dimensionUniqueName="[OPEXAnaliza]" displayFolder="" count="0" memberValueDatatype="130" unbalanced="0"/>
    <cacheHierarchy uniqueName="[OPEXAnaliza].[Период (Month)]" caption="Период (Month)" attribute="1" defaultMemberUniqueName="[OPEXAnaliza].[Период (Month)].[All]" allUniqueName="[OPEXAnaliza].[Период (Month)].[All]" dimensionUniqueName="[OPEXAnaliza]" displayFolder="" count="0" memberValueDatatype="130" unbalanced="0"/>
    <cacheHierarchy uniqueName="[rArtikli_HR_Analiza].[Ставка]" caption="Ставка" attribute="1" defaultMemberUniqueName="[rArtikli_HR_Analiza].[Ставка].[All]" allUniqueName="[rArtikli_HR_Analiza].[Ставка].[All]" dimensionUniqueName="[rArtikli_HR_Analiza]" displayFolder="" count="0" memberValueDatatype="130" unbalanced="0"/>
    <cacheHierarchy uniqueName="[rArtikli_HR_Analiza].[Категорија Артикл]" caption="Категорија Артикл" attribute="1" defaultMemberUniqueName="[rArtikli_HR_Analiza].[Категорија Артикл].[All]" allUniqueName="[rArtikli_HR_Analiza].[Категорија Артикл].[All]" dimensionUniqueName="[rArtikli_HR_Analiza]" displayFolder="" count="0" memberValueDatatype="130" unbalanced="0"/>
    <cacheHierarchy uniqueName="[rArtikli_HR_Analiza].[Тип на артикл]" caption="Тип на артикл" attribute="1" defaultMemberUniqueName="[rArtikli_HR_Analiza].[Тип на артикл].[All]" allUniqueName="[rArtikli_HR_Analiza].[Тип на артикл].[All]" dimensionUniqueName="[rArtikli_HR_Analiza]" displayFolder="" count="0" memberValueDatatype="130" unbalanced="0"/>
    <cacheHierarchy uniqueName="[rArtikli_HR_Analiza].[Единечна мерка]" caption="Единечна мерка" attribute="1" defaultMemberUniqueName="[rArtikli_HR_Analiza].[Единечна мерка].[All]" allUniqueName="[rArtikli_HR_Analiza].[Единечна мерка].[All]" dimensionUniqueName="[rArtikli_HR_Analiza]" displayFolder="" count="0" memberValueDatatype="130" unbalanced="0"/>
    <cacheHierarchy uniqueName="[rArtikli_HR_Analiza].[Количина]" caption="Количина" attribute="1" defaultMemberUniqueName="[rArtikli_HR_Analiza].[Количина].[All]" allUniqueName="[rArtikli_HR_Analiza].[Количина].[All]" dimensionUniqueName="[rArtikli_HR_Analiza]" displayFolder="" count="0" memberValueDatatype="5" unbalanced="0"/>
    <cacheHierarchy uniqueName="[rArtikli_HR_Analiza].[Единечна цена]" caption="Единечна цена" attribute="1" defaultMemberUniqueName="[rArtikli_HR_Analiza].[Единечна цена].[All]" allUniqueName="[rArtikli_HR_Analiza].[Единечна цена].[All]" dimensionUniqueName="[rArtikli_HR_Analiza]" displayFolder="" count="0" memberValueDatatype="20" unbalanced="0"/>
    <cacheHierarchy uniqueName="[rArtikli_HR_Analiza].[Вкупно трошок]" caption="Вкупно трошок" attribute="1" defaultMemberUniqueName="[rArtikli_HR_Analiza].[Вкупно трошок].[All]" allUniqueName="[rArtikli_HR_Analiza].[Вкупно трошок].[All]" dimensionUniqueName="[rArtikli_HR_Analiza]" displayFolder="" count="0" memberValueDatatype="5" unbalanced="0"/>
    <cacheHierarchy uniqueName="[rArtikli_HR_Analiza].[ДДВ]" caption="ДДВ" attribute="1" defaultMemberUniqueName="[rArtikli_HR_Analiza].[ДДВ].[All]" allUniqueName="[rArtikli_HR_Analiza].[ДДВ].[All]" dimensionUniqueName="[rArtikli_HR_Analiza]" displayFolder="" count="0" memberValueDatatype="5" unbalanced="0"/>
    <cacheHierarchy uniqueName="[rArtikli_HR_Analiza].[Износ]" caption="Износ" attribute="1" defaultMemberUniqueName="[rArtikli_HR_Analiza].[Износ].[All]" allUniqueName="[rArtikli_HR_Analiza].[Износ].[All]" dimensionUniqueName="[rArtikli_HR_Analiza]" displayFolder="" count="0" memberValueDatatype="5" unbalanced="0"/>
    <cacheHierarchy uniqueName="[rArtikli_HR_Analiza].[Конто]" caption="Конто" attribute="1" defaultMemberUniqueName="[rArtikli_HR_Analiza].[Конто].[All]" allUniqueName="[rArtikli_HR_Analiza].[Конто].[All]" dimensionUniqueName="[rArtikli_HR_Analiza]" displayFolder="" count="0" memberValueDatatype="130" unbalanced="0"/>
    <cacheHierarchy uniqueName="[rArtikli_HR_Analiza].[ReportType]" caption="ReportType" attribute="1" defaultMemberUniqueName="[rArtikli_HR_Analiza].[ReportType].[All]" allUniqueName="[rArtikli_HR_Analiza].[ReportType].[All]" dimensionUniqueName="[rArtikli_HR_Analiza]" displayFolder="" count="0" memberValueDatatype="130" unbalanced="0"/>
    <cacheHierarchy uniqueName="[rArtikli_HR_Analiza].[Период]" caption="Период" attribute="1" time="1" defaultMemberUniqueName="[rArtikli_HR_Analiza].[Период].[All]" allUniqueName="[rArtikli_HR_Analiza].[Период].[All]" dimensionUniqueName="[rArtikli_HR_Analiza]" displayFolder="" count="0" memberValueDatatype="7" unbalanced="0"/>
    <cacheHierarchy uniqueName="[rArtikli_HR_Analiza].[StavkaImeMK]" caption="StavkaImeMK" attribute="1" defaultMemberUniqueName="[rArtikli_HR_Analiza].[StavkaImeMK].[All]" allUniqueName="[rArtikli_HR_Analiza].[StavkaImeMK].[All]" dimensionUniqueName="[rArtikli_HR_Analiza]" displayFolder="" count="0" memberValueDatatype="130" unbalanced="0"/>
    <cacheHierarchy uniqueName="[rArtikli_HR_Analiza].[StavkaAOP]" caption="StavkaAOP" attribute="1" defaultMemberUniqueName="[rArtikli_HR_Analiza].[StavkaAOP].[All]" allUniqueName="[rArtikli_HR_Analiza].[StavkaAOP].[All]" dimensionUniqueName="[rArtikli_HR_Analiza]" displayFolder="" count="0" memberValueDatatype="130" unbalanced="0"/>
    <cacheHierarchy uniqueName="[rArtikli_HR_Analiza].[StavkaGrupa]" caption="StavkaGrupa" attribute="1" defaultMemberUniqueName="[rArtikli_HR_Analiza].[StavkaGrupa].[All]" allUniqueName="[rArtikli_HR_Analiza].[StavkaGrupa].[All]" dimensionUniqueName="[rArtikli_HR_Analiza]" displayFolder="" count="0" memberValueDatatype="130" unbalanced="0"/>
    <cacheHierarchy uniqueName="[rArtikli_HR_Analiza].[StavkaKategorija]" caption="StavkaKategorija" attribute="1" defaultMemberUniqueName="[rArtikli_HR_Analiza].[StavkaKategorija].[All]" allUniqueName="[rArtikli_HR_Analiza].[StavkaKategorija].[All]" dimensionUniqueName="[rArtikli_HR_Analiza]" displayFolder="" count="0" memberValueDatatype="130" unbalanced="0"/>
    <cacheHierarchy uniqueName="[rArtikli_HR_Analiza].[ObrazecIme]" caption="ObrazecIme" attribute="1" defaultMemberUniqueName="[rArtikli_HR_Analiza].[ObrazecIme].[All]" allUniqueName="[rArtikli_HR_Analiza].[ObrazecIme].[All]" dimensionUniqueName="[rArtikli_HR_Analiza]" displayFolder="" count="0" memberValueDatatype="130" unbalanced="0"/>
    <cacheHierarchy uniqueName="[rArtikli_HR_Analiza].[StavkaKategorija.1]" caption="StavkaKategorija.1" attribute="1" defaultMemberUniqueName="[rArtikli_HR_Analiza].[StavkaKategorija.1].[All]" allUniqueName="[rArtikli_HR_Analiza].[StavkaKategorija.1].[All]" dimensionUniqueName="[rArtikli_HR_Analiza]" displayFolder="" count="0" memberValueDatatype="130" unbalanced="0"/>
    <cacheHierarchy uniqueName="[rArtikliAnaliza].[Артикл ИД]" caption="Артикл ИД" attribute="1" defaultMemberUniqueName="[rArtikliAnaliza].[Артикл ИД].[All]" allUniqueName="[rArtikliAnaliza].[Артикл ИД].[All]" dimensionUniqueName="[rArtikliAnaliza]" displayFolder="" count="0" memberValueDatatype="20" unbalanced="0"/>
    <cacheHierarchy uniqueName="[rArtikliAnaliza].[Ставка]" caption="Ставка" attribute="1" defaultMemberUniqueName="[rArtikliAnaliza].[Ставка].[All]" allUniqueName="[rArtikliAnaliza].[Ставка].[All]" dimensionUniqueName="[rArtikliAnaliza]" displayFolder="" count="0" memberValueDatatype="130" unbalanced="0"/>
    <cacheHierarchy uniqueName="[rArtikliAnaliza].[Категорија Артикл ИД]" caption="Категорија Артикл ИД" attribute="1" defaultMemberUniqueName="[rArtikliAnaliza].[Категорија Артикл ИД].[All]" allUniqueName="[rArtikliAnaliza].[Категорија Артикл ИД].[All]" dimensionUniqueName="[rArtikliAnaliza]" displayFolder="" count="0" memberValueDatatype="20" unbalanced="0"/>
    <cacheHierarchy uniqueName="[rArtikliAnaliza].[Категорија Артикл]" caption="Категорија Артикл" attribute="1" defaultMemberUniqueName="[rArtikliAnaliza].[Категорија Артикл].[All]" allUniqueName="[rArtikliAnaliza].[Категорија Артикл].[All]" dimensionUniqueName="[rArtikliAnaliza]" displayFolder="" count="0" memberValueDatatype="130" unbalanced="0"/>
    <cacheHierarchy uniqueName="[rArtikliAnaliza].[Тип на артикл]" caption="Тип на артикл" attribute="1" defaultMemberUniqueName="[rArtikliAnaliza].[Тип на артикл].[All]" allUniqueName="[rArtikliAnaliza].[Тип на артикл].[All]" dimensionUniqueName="[rArtikliAnaliza]" displayFolder="" count="0" memberValueDatatype="130" unbalanced="0"/>
    <cacheHierarchy uniqueName="[rArtikliAnaliza].[Единечна мерка]" caption="Единечна мерка" attribute="1" defaultMemberUniqueName="[rArtikliAnaliza].[Единечна мерка].[All]" allUniqueName="[rArtikliAnaliza].[Единечна мерка].[All]" dimensionUniqueName="[rArtikliAnaliza]" displayFolder="" count="0" memberValueDatatype="130" unbalanced="0"/>
    <cacheHierarchy uniqueName="[rArtikliAnaliza].[Количина]" caption="Количина" attribute="1" defaultMemberUniqueName="[rArtikliAnaliza].[Количина].[All]" allUniqueName="[rArtikliAnaliza].[Количина].[All]" dimensionUniqueName="[rArtikliAnaliza]" displayFolder="" count="0" memberValueDatatype="5" unbalanced="0"/>
    <cacheHierarchy uniqueName="[rArtikliAnaliza].[Единечна цена]" caption="Единечна цена" attribute="1" defaultMemberUniqueName="[rArtikliAnaliza].[Единечна цена].[All]" allUniqueName="[rArtikliAnaliza].[Единечна цена].[All]" dimensionUniqueName="[rArtikliAnaliza]" displayFolder="" count="0" memberValueDatatype="20" unbalanced="0"/>
    <cacheHierarchy uniqueName="[rArtikliAnaliza].[Износ]" caption="Износ" attribute="1" defaultMemberUniqueName="[rArtikliAnaliza].[Износ].[All]" allUniqueName="[rArtikliAnaliza].[Износ].[All]" dimensionUniqueName="[rArtikliAnaliza]" displayFolder="" count="0" memberValueDatatype="5" unbalanced="0"/>
    <cacheHierarchy uniqueName="[rArtikliAnaliza].[ДДВ]" caption="ДДВ" attribute="1" defaultMemberUniqueName="[rArtikliAnaliza].[ДДВ].[All]" allUniqueName="[rArtikliAnaliza].[ДДВ].[All]" dimensionUniqueName="[rArtikliAnaliza]" displayFolder="" count="0" memberValueDatatype="5" unbalanced="0"/>
    <cacheHierarchy uniqueName="[rArtikliAnaliza].[Вкупно трошок со ДДВ]" caption="Вкупно трошок со ДДВ" attribute="1" defaultMemberUniqueName="[rArtikliAnaliza].[Вкупно трошок со ДДВ].[All]" allUniqueName="[rArtikliAnaliza].[Вкупно трошок со ДДВ].[All]" dimensionUniqueName="[rArtikliAnaliza]" displayFolder="" count="0" memberValueDatatype="5" unbalanced="0"/>
    <cacheHierarchy uniqueName="[rArtikliAnaliza].[Конто]" caption="Конто" attribute="1" defaultMemberUniqueName="[rArtikliAnaliza].[Конто].[All]" allUniqueName="[rArtikliAnaliza].[Конто].[All]" dimensionUniqueName="[rArtikliAnaliza]" displayFolder="" count="0" memberValueDatatype="130" unbalanced="0"/>
    <cacheHierarchy uniqueName="[rArtikliAnaliza].[Период]" caption="Период" attribute="1" time="1" defaultMemberUniqueName="[rArtikliAnaliza].[Период].[All]" allUniqueName="[rArtikliAnaliza].[Период].[All]" dimensionUniqueName="[rArtikliAnaliza]" displayFolder="" count="0" memberValueDatatype="7" unbalanced="0"/>
    <cacheHierarchy uniqueName="[rArtikliAnaliza].[ReportType]" caption="ReportType" attribute="1" defaultMemberUniqueName="[rArtikliAnaliza].[ReportType].[All]" allUniqueName="[rArtikliAnaliza].[ReportType].[All]" dimensionUniqueName="[rArtikliAnaliza]" displayFolder="" count="0" memberValueDatatype="130" unbalanced="0"/>
    <cacheHierarchy uniqueName="[rArtikliAnaliza].[StavkaImeMK]" caption="StavkaImeMK" attribute="1" defaultMemberUniqueName="[rArtikliAnaliza].[StavkaImeMK].[All]" allUniqueName="[rArtikliAnaliza].[StavkaImeMK].[All]" dimensionUniqueName="[rArtikliAnaliza]" displayFolder="" count="0" memberValueDatatype="130" unbalanced="0"/>
    <cacheHierarchy uniqueName="[rArtikliAnaliza].[StavkaKategorija]" caption="StavkaKategorija" attribute="1" defaultMemberUniqueName="[rArtikliAnaliza].[StavkaKategorija].[All]" allUniqueName="[rArtikliAnaliza].[StavkaKategorija].[All]" dimensionUniqueName="[rArtikliAnaliza]" displayFolder="" count="0" memberValueDatatype="130" unbalanced="0"/>
    <cacheHierarchy uniqueName="[rArtikliAnaliza].[Период (Year)]" caption="Период (Year)" attribute="1" defaultMemberUniqueName="[rArtikliAnaliza].[Период (Year)].[All]" allUniqueName="[rArtikliAnaliza].[Период (Year)].[All]" dimensionUniqueName="[rArtikliAnaliza]" displayFolder="" count="0" memberValueDatatype="130" unbalanced="0"/>
    <cacheHierarchy uniqueName="[rArtikliAnaliza].[Период (Quarter)]" caption="Период (Quarter)" attribute="1" defaultMemberUniqueName="[rArtikliAnaliza].[Период (Quarter)].[All]" allUniqueName="[rArtikliAnaliza].[Период (Quarter)].[All]" dimensionUniqueName="[rArtikliAnaliza]" displayFolder="" count="0" memberValueDatatype="130" unbalanced="0"/>
    <cacheHierarchy uniqueName="[rArtikliAnaliza].[Период (Month)]" caption="Период (Month)" attribute="1" defaultMemberUniqueName="[rArtikliAnaliza].[Период (Month)].[All]" allUniqueName="[rArtikliAnaliza].[Период (Month)].[All]" dimensionUniqueName="[rArtikliAnaliza]" displayFolder="" count="0" memberValueDatatype="130" unbalanced="0"/>
    <cacheHierarchy uniqueName="[CAPEX].[Очекуван датум за ставање во употреба (месец) (Month Index)]" caption="Очекуван датум за ставање во употреба (месец) (Month Index)" attribute="1" defaultMemberUniqueName="[CAPEX].[Очекуван датум за ставање во употреба (месец) (Month Index)].[All]" allUniqueName="[CAPEX].[Очекуван датум за ставање во употреба (месец) (Month Index)].[All]" dimensionUniqueName="[CAPEX]" displayFolder="" count="0" memberValueDatatype="20" unbalanced="0" hidden="1"/>
    <cacheHierarchy uniqueName="[CAPEX].[Очекуван датум на плаќање (Month Index)]" caption="Очекуван датум на плаќање (Month Index)" attribute="1" defaultMemberUniqueName="[CAPEX].[Очекуван датум на плаќање (Month Index)].[All]" allUniqueName="[CAPEX].[Очекуван датум на плаќање (Month Index)].[All]" dimensionUniqueName="[CAPEX]" displayFolder="" count="0" memberValueDatatype="20" unbalanced="0" hidden="1"/>
    <cacheHierarchy uniqueName="[fActualAndBudget].[StavkaID]" caption="StavkaID" attribute="1" defaultMemberUniqueName="[fActualAndBudget].[StavkaID].[All]" allUniqueName="[fActualAndBudget].[StavkaID].[All]" dimensionUniqueName="[fActualAndBudget]" displayFolder="" count="0" memberValueDatatype="20" unbalanced="0" hidden="1"/>
    <cacheHierarchy uniqueName="[fCoveckiResursi].[Период (Month Index)]" caption="Период (Month Index)" attribute="1" defaultMemberUniqueName="[fCoveckiResursi].[Период (Month Index)].[All]" allUniqueName="[fCoveckiResursi].[Период (Month Index)].[All]" dimensionUniqueName="[fCoveckiResursi]" displayFolder="" count="0" memberValueDatatype="20" unbalanced="0" hidden="1"/>
    <cacheHierarchy uniqueName="[fCoveckiResursi].[Период (Month Index) 1]" caption="Период (Month Index) 1" attribute="1" defaultMemberUniqueName="[fCoveckiResursi].[Период (Month Index) 1].[All]" allUniqueName="[fCoveckiResursi].[Период (Month Index) 1].[All]" dimensionUniqueName="[fCoveckiResursi]" displayFolder="" count="0" memberValueDatatype="20" unbalanced="0" hidden="1"/>
    <cacheHierarchy uniqueName="[OPEXAnaliza].[Период (Month Index)]" caption="Период (Month Index)" attribute="1" defaultMemberUniqueName="[OPEXAnaliza].[Период (Month Index)].[All]" allUniqueName="[OPEXAnaliza].[Период (Month Index)].[All]" dimensionUniqueName="[OPEXAnaliza]" displayFolder="" count="0" memberValueDatatype="20" unbalanced="0" hidden="1"/>
    <cacheHierarchy uniqueName="[rArtikli_HR_Analiza].[Крајна состојба вработени]" caption="Крајна состојба вработени" attribute="1" defaultMemberUniqueName="[rArtikli_HR_Analiza].[Крајна состојба вработени].[All]" allUniqueName="[rArtikli_HR_Analiza].[Крајна состојба вработени].[All]" dimensionUniqueName="[rArtikli_HR_Analiza]" displayFolder="" count="0" memberValueDatatype="20" unbalanced="0" hidden="1"/>
    <cacheHierarchy uniqueName="[rArtikli_HR_Analiza].[Планиран прилив/(одлив)]" caption="Планиран прилив/(одлив)" attribute="1" defaultMemberUniqueName="[rArtikli_HR_Analiza].[Планиран прилив/(одлив)].[All]" allUniqueName="[rArtikli_HR_Analiza].[Планиран прилив/(одлив)].[All]" dimensionUniqueName="[rArtikli_HR_Analiza]" displayFolder="" count="0" memberValueDatatype="20" unbalanced="0" hidden="1"/>
    <cacheHierarchy uniqueName="[rArtikli_HR_Analiza].[Тип на вработување]" caption="Тип на вработување" attribute="1" defaultMemberUniqueName="[rArtikli_HR_Analiza].[Тип на вработување].[All]" allUniqueName="[rArtikli_HR_Analiza].[Тип на вработување].[All]" dimensionUniqueName="[rArtikli_HR_Analiza]" displayFolder="" count="0" memberValueDatatype="130" unbalanced="0" hidden="1"/>
    <cacheHierarchy uniqueName="[rArtikliAnaliza].[Период (Month Index)]" caption="Период (Month Index)" attribute="1" defaultMemberUniqueName="[rArtikliAnaliza].[Период (Month Index)].[All]" allUniqueName="[rArtikliAnaliza].[Период (Month Index)].[All]" dimensionUniqueName="[rArtikliAnaliza]" displayFolder="" count="0" memberValueDatatype="20" unbalanced="0" hidden="1"/>
    <cacheHierarchy uniqueName="[Measures].[__XL_Count Calendar]" caption="__XL_Count Calendar" measure="1" displayFolder="" measureGroup="Calendar" count="0" hidden="1"/>
    <cacheHierarchy uniqueName="[Measures].[__XL_Count CAPEX]" caption="__XL_Count CAPEX" measure="1" displayFolder="" measureGroup="CAPEX" count="0" hidden="1"/>
    <cacheHierarchy uniqueName="[Measures].[__XL_Count Amortizacija]" caption="__XL_Count Amortizacija" measure="1" displayFolder="" measureGroup="Amortizacija" count="0" hidden="1"/>
    <cacheHierarchy uniqueName="[Measures].[__XL_Count fCoveckiResursi]" caption="__XL_Count fCoveckiResursi" measure="1" displayFolder="" measureGroup="fCoveckiResursi" count="0" hidden="1"/>
    <cacheHierarchy uniqueName="[Measures].[__XL_Count fActualAndBudget]" caption="__XL_Count fActualAndBudget" measure="1" displayFolder="" measureGroup="fActualAndBudget" count="0" hidden="1"/>
    <cacheHierarchy uniqueName="[Measures].[__XL_Count fOPEX]" caption="__XL_Count fOPEX" measure="1" displayFolder="" measureGroup="fOPEX" count="0" hidden="1"/>
    <cacheHierarchy uniqueName="[Measures].[__XL_Count OPEXAnaliza]" caption="__XL_Count OPEXAnaliza" measure="1" displayFolder="" measureGroup="OPEXAnaliza" count="0" hidden="1"/>
    <cacheHierarchy uniqueName="[Measures].[__XL_Count rArtikliAnaliza]" caption="__XL_Count rArtikliAnaliza" measure="1" displayFolder="" measureGroup="rArtikliAnaliza" count="0" hidden="1"/>
    <cacheHierarchy uniqueName="[Measures].[__XL_Count fArtikliCeni]" caption="__XL_Count fArtikliCeni" measure="1" displayFolder="" measureGroup="fArtikliCeni" count="0" hidden="1"/>
    <cacheHierarchy uniqueName="[Measures].[__XL_Count rArtikli_HR_Analiza]" caption="__XL_Count rArtikli_HR_Analiza" measure="1" displayFolder="" measureGroup="rArtikli_HR_Analiza" count="0" hidden="1"/>
    <cacheHierarchy uniqueName="[Measures].[__XL_Count fCoveckiResursi  2]" caption="__XL_Count fCoveckiResursi  2" measure="1" displayFolder="" measureGroup="fCoveckiResursi  2" count="0" hidden="1"/>
    <cacheHierarchy uniqueName="[Measures].[__No measures defined]" caption="__No measures defined" measure="1" displayFolder="" count="0" hidden="1"/>
    <cacheHierarchy uniqueName="[Measures].[Sum of Износ 3]" caption="Sum of Износ 3" measure="1" displayFolder="" measureGroup="fCoveckiResursi" count="0" hidden="1">
      <extLst>
        <ext xmlns:x15="http://schemas.microsoft.com/office/spreadsheetml/2010/11/main" uri="{B97F6D7D-B522-45F9-BDA1-12C45D357490}">
          <x15:cacheHierarchy aggregatedColumn="71"/>
        </ext>
      </extLst>
    </cacheHierarchy>
    <cacheHierarchy uniqueName="[Measures].[Sum of Крајна состојба вработени]" caption="Sum of Крајна состојба вработени" measure="1" displayFolder="" measureGroup="fCoveckiResursi" count="0" hidden="1">
      <extLst>
        <ext xmlns:x15="http://schemas.microsoft.com/office/spreadsheetml/2010/11/main" uri="{B97F6D7D-B522-45F9-BDA1-12C45D357490}">
          <x15:cacheHierarchy aggregatedColumn="70"/>
        </ext>
      </extLst>
    </cacheHierarchy>
    <cacheHierarchy uniqueName="[Measures].[Sum of Планиран прилив/(одлив)]" caption="Sum of Планиран прилив/(одлив)" measure="1" displayFolder="" measureGroup="fCoveckiResursi" count="0" hidden="1">
      <extLst>
        <ext xmlns:x15="http://schemas.microsoft.com/office/spreadsheetml/2010/11/main" uri="{B97F6D7D-B522-45F9-BDA1-12C45D357490}">
          <x15:cacheHierarchy aggregatedColumn="68"/>
        </ext>
      </extLst>
    </cacheHierarchy>
    <cacheHierarchy uniqueName="[Measures].[Sum of Износ]" caption="Sum of Износ" measure="1" displayFolder="" measureGroup="fActualAndBudget" count="0" oneField="1" hidden="1">
      <fieldsUsage count="1">
        <fieldUsage x="4"/>
      </fieldsUsage>
      <extLst>
        <ext xmlns:x15="http://schemas.microsoft.com/office/spreadsheetml/2010/11/main" uri="{B97F6D7D-B522-45F9-BDA1-12C45D357490}">
          <x15:cacheHierarchy aggregatedColumn="45"/>
        </ext>
      </extLst>
    </cacheHierarchy>
    <cacheHierarchy uniqueName="[Measures].[Sum of Износ (илјади)]" caption="Sum of Износ (илјади)" measure="1" displayFolder="" measureGroup="fActualAndBudget" count="0" hidden="1">
      <extLst>
        <ext xmlns:x15="http://schemas.microsoft.com/office/spreadsheetml/2010/11/main" uri="{B97F6D7D-B522-45F9-BDA1-12C45D357490}">
          <x15:cacheHierarchy aggregatedColumn="46"/>
        </ext>
      </extLst>
    </cacheHierarchy>
    <cacheHierarchy uniqueName="[Measures].[Sum of Износ1]" caption="Sum of Износ1" measure="1" displayFolder="" measureGroup="fActualAndBudget" count="0" hidden="1">
      <extLst>
        <ext xmlns:x15="http://schemas.microsoft.com/office/spreadsheetml/2010/11/main" uri="{B97F6D7D-B522-45F9-BDA1-12C45D357490}">
          <x15:cacheHierarchy aggregatedColumn="34"/>
        </ext>
      </extLst>
    </cacheHierarchy>
    <cacheHierarchy uniqueName="[Measures].[Sum of Износ 2]" caption="Sum of Износ 2" measure="1" displayFolder="" measureGroup="Amortizacija" count="0" hidden="1">
      <extLst>
        <ext xmlns:x15="http://schemas.microsoft.com/office/spreadsheetml/2010/11/main" uri="{B97F6D7D-B522-45F9-BDA1-12C45D357490}">
          <x15:cacheHierarchy aggregatedColumn="3"/>
        </ext>
      </extLst>
    </cacheHierarchy>
    <cacheHierarchy uniqueName="[Measures].[Sum of Износ 4]" caption="Sum of Износ 4" measure="1" displayFolder="" measureGroup="OPEXAnaliza" count="0" hidden="1">
      <extLst>
        <ext xmlns:x15="http://schemas.microsoft.com/office/spreadsheetml/2010/11/main" uri="{B97F6D7D-B522-45F9-BDA1-12C45D357490}">
          <x15:cacheHierarchy aggregatedColumn="101"/>
        </ext>
      </extLst>
    </cacheHierarchy>
    <cacheHierarchy uniqueName="[Measures].[Sum of Износ донација]" caption="Sum of Износ донација" measure="1" displayFolder="" measureGroup="CAPEX" count="0" hidden="1">
      <extLst>
        <ext xmlns:x15="http://schemas.microsoft.com/office/spreadsheetml/2010/11/main" uri="{B97F6D7D-B522-45F9-BDA1-12C45D357490}">
          <x15:cacheHierarchy aggregatedColumn="24"/>
        </ext>
      </extLst>
    </cacheHierarchy>
    <cacheHierarchy uniqueName="[Measures].[Sum of Вкупно трошок]" caption="Sum of Вкупно трошок" measure="1" displayFolder="" measureGroup="fArtikliCeni" count="0" hidden="1">
      <extLst>
        <ext xmlns:x15="http://schemas.microsoft.com/office/spreadsheetml/2010/11/main" uri="{B97F6D7D-B522-45F9-BDA1-12C45D357490}">
          <x15:cacheHierarchy aggregatedColumn="55"/>
        </ext>
      </extLst>
    </cacheHierarchy>
    <cacheHierarchy uniqueName="[Measures].[Sum of Количина]" caption="Sum of Количина" measure="1" displayFolder="" measureGroup="fArtikliCeni" count="0" hidden="1">
      <extLst>
        <ext xmlns:x15="http://schemas.microsoft.com/office/spreadsheetml/2010/11/main" uri="{B97F6D7D-B522-45F9-BDA1-12C45D357490}">
          <x15:cacheHierarchy aggregatedColumn="53"/>
        </ext>
      </extLst>
    </cacheHierarchy>
    <cacheHierarchy uniqueName="[Measures].[Sum of Единечна цена]" caption="Sum of Единечна цена" measure="1" displayFolder="" measureGroup="fArtikliCeni" count="0" hidden="1">
      <extLst>
        <ext xmlns:x15="http://schemas.microsoft.com/office/spreadsheetml/2010/11/main" uri="{B97F6D7D-B522-45F9-BDA1-12C45D357490}">
          <x15:cacheHierarchy aggregatedColumn="54"/>
        </ext>
      </extLst>
    </cacheHierarchy>
    <cacheHierarchy uniqueName="[Measures].[Sum of ДДВ]" caption="Sum of ДДВ" measure="1" displayFolder="" measureGroup="fArtikliCeni" count="0" hidden="1">
      <extLst>
        <ext xmlns:x15="http://schemas.microsoft.com/office/spreadsheetml/2010/11/main" uri="{B97F6D7D-B522-45F9-BDA1-12C45D357490}">
          <x15:cacheHierarchy aggregatedColumn="56"/>
        </ext>
      </extLst>
    </cacheHierarchy>
    <cacheHierarchy uniqueName="[Measures].[Sum of Износ 6]" caption="Sum of Износ 6" measure="1" displayFolder="" measureGroup="fArtikliCeni" count="0" hidden="1">
      <extLst>
        <ext xmlns:x15="http://schemas.microsoft.com/office/spreadsheetml/2010/11/main" uri="{B97F6D7D-B522-45F9-BDA1-12C45D357490}">
          <x15:cacheHierarchy aggregatedColumn="57"/>
        </ext>
      </extLst>
    </cacheHierarchy>
    <cacheHierarchy uniqueName="[Measures].[Count of Единечна мерка]" caption="Count of Единечна мерка" measure="1" displayFolder="" measureGroup="fArtikliCeni" count="0" hidden="1">
      <extLst>
        <ext xmlns:x15="http://schemas.microsoft.com/office/spreadsheetml/2010/11/main" uri="{B97F6D7D-B522-45F9-BDA1-12C45D357490}">
          <x15:cacheHierarchy aggregatedColumn="52"/>
        </ext>
      </extLst>
    </cacheHierarchy>
    <cacheHierarchy uniqueName="[Measures].[Sum of Количина 2]" caption="Sum of Количина 2" measure="1" displayFolder="" measureGroup="rArtikli_HR_Analiza" count="0" hidden="1">
      <extLst>
        <ext xmlns:x15="http://schemas.microsoft.com/office/spreadsheetml/2010/11/main" uri="{B97F6D7D-B522-45F9-BDA1-12C45D357490}">
          <x15:cacheHierarchy aggregatedColumn="118"/>
        </ext>
      </extLst>
    </cacheHierarchy>
    <cacheHierarchy uniqueName="[Measures].[Sum of Единечна цена 2]" caption="Sum of Единечна цена 2" measure="1" displayFolder="" measureGroup="rArtikli_HR_Analiza" count="0" hidden="1">
      <extLst>
        <ext xmlns:x15="http://schemas.microsoft.com/office/spreadsheetml/2010/11/main" uri="{B97F6D7D-B522-45F9-BDA1-12C45D357490}">
          <x15:cacheHierarchy aggregatedColumn="119"/>
        </ext>
      </extLst>
    </cacheHierarchy>
    <cacheHierarchy uniqueName="[Measures].[Sum of Вкупно трошок 2]" caption="Sum of Вкупно трошок 2" measure="1" displayFolder="" measureGroup="rArtikli_HR_Analiza" count="0" hidden="1">
      <extLst>
        <ext xmlns:x15="http://schemas.microsoft.com/office/spreadsheetml/2010/11/main" uri="{B97F6D7D-B522-45F9-BDA1-12C45D357490}">
          <x15:cacheHierarchy aggregatedColumn="120"/>
        </ext>
      </extLst>
    </cacheHierarchy>
    <cacheHierarchy uniqueName="[Measures].[Sum of ДДВ 2]" caption="Sum of ДДВ 2" measure="1" displayFolder="" measureGroup="rArtikli_HR_Analiza" count="0" hidden="1">
      <extLst>
        <ext xmlns:x15="http://schemas.microsoft.com/office/spreadsheetml/2010/11/main" uri="{B97F6D7D-B522-45F9-BDA1-12C45D357490}">
          <x15:cacheHierarchy aggregatedColumn="121"/>
        </ext>
      </extLst>
    </cacheHierarchy>
    <cacheHierarchy uniqueName="[Measures].[Sum of Износ 7]" caption="Sum of Износ 7" measure="1" displayFolder="" measureGroup="rArtikli_HR_Analiza" count="0" hidden="1">
      <extLst>
        <ext xmlns:x15="http://schemas.microsoft.com/office/spreadsheetml/2010/11/main" uri="{B97F6D7D-B522-45F9-BDA1-12C45D357490}">
          <x15:cacheHierarchy aggregatedColumn="122"/>
        </ext>
      </extLst>
    </cacheHierarchy>
    <cacheHierarchy uniqueName="[Measures].[Sum of Износ 5]" caption="Sum of Износ 5" measure="1" displayFolder="" measureGroup="fCoveckiResursi  2" count="0" hidden="1">
      <extLst>
        <ext xmlns:x15="http://schemas.microsoft.com/office/spreadsheetml/2010/11/main" uri="{B97F6D7D-B522-45F9-BDA1-12C45D357490}">
          <x15:cacheHierarchy aggregatedColumn="82"/>
        </ext>
      </extLst>
    </cacheHierarchy>
    <cacheHierarchy uniqueName="[Measures].[Sum of Проценета вредност на набавка со ДДВ (денари)]" caption="Sum of Проценета вредност на набавка со ДДВ (денари)" measure="1" displayFolder="" measureGroup="CAPEX" count="0" hidden="1">
      <extLst>
        <ext xmlns:x15="http://schemas.microsoft.com/office/spreadsheetml/2010/11/main" uri="{B97F6D7D-B522-45F9-BDA1-12C45D357490}">
          <x15:cacheHierarchy aggregatedColumn="20"/>
        </ext>
      </extLst>
    </cacheHierarchy>
  </cacheHierarchies>
  <kpis count="0"/>
  <dimensions count="12">
    <dimension name="Amortizacija" uniqueName="[Amortizacija]" caption="Amortizacija"/>
    <dimension name="Calendar" uniqueName="[Calendar]" caption="Calendar"/>
    <dimension name="CAPEX" uniqueName="[CAPEX]" caption="CAPEX"/>
    <dimension name="fActualAndBudget" uniqueName="[fActualAndBudget]" caption="fActualAndBudget"/>
    <dimension name="fArtikliCeni" uniqueName="[fArtikliCeni]" caption="fArtikliCeni"/>
    <dimension name="fCoveckiResursi" uniqueName="[fCoveckiResursi]" caption="fCoveckiResursi"/>
    <dimension name="fCoveckiResursi  2" uniqueName="[fCoveckiResursi  2]" caption="fCoveckiResursi  2"/>
    <dimension name="fOPEX" uniqueName="[fOPEX]" caption="fOPEX"/>
    <dimension measure="1" name="Measures" uniqueName="[Measures]" caption="Measures"/>
    <dimension name="OPEXAnaliza" uniqueName="[OPEXAnaliza]" caption="OPEXAnaliza"/>
    <dimension name="rArtikli_HR_Analiza" uniqueName="[rArtikli_HR_Analiza]" caption="rArtikli_HR_Analiza"/>
    <dimension name="rArtikliAnaliza" uniqueName="[rArtikliAnaliza]" caption="rArtikliAnaliza"/>
  </dimensions>
  <measureGroups count="11">
    <measureGroup name="Amortizacija" caption="Amortizacija"/>
    <measureGroup name="Calendar" caption="Calendar"/>
    <measureGroup name="CAPEX" caption="CAPEX"/>
    <measureGroup name="fActualAndBudget" caption="fActualAndBudget"/>
    <measureGroup name="fArtikliCeni" caption="fArtikliCeni"/>
    <measureGroup name="fCoveckiResursi" caption="fCoveckiResursi"/>
    <measureGroup name="fCoveckiResursi  2" caption="fCoveckiResursi  2"/>
    <measureGroup name="fOPEX" caption="fOPEX"/>
    <measureGroup name="OPEXAnaliza" caption="OPEXAnaliza"/>
    <measureGroup name="rArtikli_HR_Analiza" caption="rArtikli_HR_Analiza"/>
    <measureGroup name="rArtikliAnaliza" caption="rArtikliAnaliza"/>
  </measureGroups>
  <maps count="19">
    <map measureGroup="0" dimension="0"/>
    <map measureGroup="0" dimension="1"/>
    <map measureGroup="1" dimension="1"/>
    <map measureGroup="2" dimension="1"/>
    <map measureGroup="2" dimension="2"/>
    <map measureGroup="3" dimension="1"/>
    <map measureGroup="3" dimension="3"/>
    <map measureGroup="4" dimension="4"/>
    <map measureGroup="5" dimension="1"/>
    <map measureGroup="5" dimension="5"/>
    <map measureGroup="6" dimension="1"/>
    <map measureGroup="6" dimension="6"/>
    <map measureGroup="7" dimension="1"/>
    <map measureGroup="7" dimension="7"/>
    <map measureGroup="8" dimension="1"/>
    <map measureGroup="8" dimension="9"/>
    <map measureGroup="9" dimension="10"/>
    <map measureGroup="10" dimension="1"/>
    <map measureGroup="10" dimension="1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ngela Sazdova - Doneva" refreshedDate="44899.978567824073" createdVersion="5" refreshedVersion="6" minRefreshableVersion="3" recordCount="0" supportSubquery="1" supportAdvancedDrill="1" xr:uid="{00000000-000A-0000-FFFF-FFFF19000000}">
  <cacheSource type="external" connectionId="22"/>
  <cacheFields count="12">
    <cacheField name="[fActualAndBudget].[Конто].[Конто]" caption="Конто" numFmtId="0" hierarchy="31" level="1">
      <sharedItems count="16">
        <s v="43010"/>
        <s v="43011"/>
        <s v="43020"/>
        <s v="43030"/>
        <s v="43031"/>
        <s v="431001"/>
        <s v="431002"/>
        <s v="43132"/>
        <s v="43133"/>
        <s v="43134"/>
        <s v="43136"/>
        <s v="43139"/>
        <s v="43155"/>
        <s v="43211"/>
        <s v="7409" u="1"/>
        <s v="74025" u="1"/>
      </sharedItems>
    </cacheField>
    <cacheField name="[fActualAndBudget].[ReportType].[ReportType]" caption="ReportType" numFmtId="0" hierarchy="35" level="1">
      <sharedItems containsSemiMixedTypes="0" containsNonDate="0" containsString="0"/>
    </cacheField>
    <cacheField name="[Measures].[Sum of Износ]" caption="Sum of Износ" numFmtId="0" hierarchy="176" level="32767"/>
    <cacheField name="[Calendar].[Година].[Година]" caption="Година" numFmtId="0" hierarchy="8" level="1">
      <sharedItems containsSemiMixedTypes="0" containsNonDate="0" containsString="0"/>
    </cacheField>
    <cacheField name="[fActualAndBudget].[ObrazecIme].[ObrazecIme]" caption="ObrazecIme" numFmtId="0" hierarchy="44" level="1">
      <sharedItems containsSemiMixedTypes="0" containsNonDate="0" containsString="0"/>
    </cacheField>
    <cacheField name="[Calendar].[Квартал].[Квартал]" caption="Квартал" numFmtId="0" hierarchy="14" level="1">
      <sharedItems containsSemiMixedTypes="0" containsNonDate="0" containsDate="1" containsString="0" minDate="2018-03-31T00:00:00" maxDate="2024-01-01T00:00:00" count="24">
        <d v="2018-03-31T00:00:00"/>
        <d v="2018-06-30T00:00:00"/>
        <d v="2018-09-30T00:00:00"/>
        <d v="2018-12-31T00:00:00"/>
        <d v="2019-03-31T00:00:00"/>
        <d v="2019-06-30T00:00:00"/>
        <d v="2019-09-30T00:00:00"/>
        <d v="2019-12-31T00:00:00"/>
        <d v="2020-03-31T00:00:00"/>
        <d v="2020-06-30T00:00:00"/>
        <d v="2020-09-30T00:00:00"/>
        <d v="2020-12-31T00:00:00"/>
        <d v="2021-03-31T00:00:00"/>
        <d v="2021-06-30T00:00:00"/>
        <d v="2021-09-30T00:00:00"/>
        <d v="2021-12-31T00:00:00"/>
        <d v="2022-03-31T00:00:00"/>
        <d v="2022-06-30T00:00:00"/>
        <d v="2022-09-30T00:00:00"/>
        <d v="2022-12-31T00:00:00"/>
        <d v="2023-03-31T00:00:00"/>
        <d v="2023-06-30T00:00:00"/>
        <d v="2023-09-30T00:00:00"/>
        <d v="2023-12-31T00:00:00"/>
      </sharedItems>
    </cacheField>
    <cacheField name="[fActualAndBudget].[StavkaKategorija].[StavkaKategorija]" caption="StavkaKategorija" numFmtId="0" hierarchy="40" level="1">
      <sharedItems count="9">
        <s v="2.29. Приходи од продажба"/>
        <s v="2.30. Останати оперативни приходи"/>
        <s v="2.32. Потрошени суровини и материјали"/>
        <s v="2.33. Трошоци за вработените"/>
        <s v="2.34. Амортизација на материјални средства"/>
        <s v="2.35. Вредносно усогласување на тековни средства"/>
        <s v="2.37. Останати оперативни расходи"/>
        <s v="2.40. Приходи од финансирање"/>
        <s v="2.41. Расходи од финансирање"/>
      </sharedItems>
    </cacheField>
    <cacheField name="[fActualAndBudget].[StavkaImeAOP].[StavkaImeAOP]" caption="StavkaImeAOP" numFmtId="0" hierarchy="47" level="1">
      <sharedItems count="1">
        <s v="4.1.10 - Амортизација по минимални стапки"/>
      </sharedItems>
    </cacheField>
    <cacheField name="[fActualAndBudget].[Ставка].[Ставка]" caption="Ставка" numFmtId="0" hierarchy="36" level="1">
      <sharedItems containsBlank="1" count="32" longText="1">
        <m/>
        <s v="AMORTIZACIJA NA PATENTI I LICENCI 0020"/>
        <s v="AMORTIZACIJA NA SOFTVER 0030"/>
        <s v="Microsoft софтверски лиценци и обуки Износот е даден за една година"/>
        <s v="ЕРТС"/>
        <s v="Набавка на софтверско решение за Q-radar за  Vulnerability скенирање (за скенирање на 150 уреди)"/>
        <s v="Надградба и интеграција на Системот за централизирано управување на корисници (ЦМК) со Националниот систем за единствена најава (ССО)"/>
        <s v="Надградба на дистрибутивниот систем, системот за е-потврди и системот за електронско плаќање, со нов модерен интерфејс  согласно дизајнот на новиот портал и можност за динамично формирање на пакети на услуги и можност за нивно користење во определен временски период, со задржување на постојните функционалности, вклучувајќи и нарачка и плаќање на било која услуга, испорака на домашна адреса и нови производи"/>
        <s v="Надградба на Едношалтерскиот систем, заедничката платформа за отпочнување со бизнис, вклучувајќи го системот за размена на податоци со институциите, со нови услуги: интеграција со УЈП и Царинска управа за автоматско добивање на податоци од Потврди за платени даноци и царнски давачки, банките размена на договор и други документи за отворање на сметка) и технолошка надградба на сите постојни сервиси за размена на податоци (со УЈП и банките) - спецификации функционална и бизнис околина"/>
        <s v="Надградба на системите за водењето на регистри"/>
        <s v="Надградба на софтверско решение за водење на Регистарот на вистински сопственици"/>
        <s v="Надградба на Софтверско решение за управување со IT процеси"/>
        <s v="Софтверско решение за водење на порамнувања во регистар на годишни сметки за неподнесена завршна сметка - I фаза бизнис анализа и  функционална  спецификација"/>
        <s v="Софтверско решение за генерирање извештаи"/>
        <s v="AMORTIZACIJA NA SOFTVER 0031"/>
        <s v="DEPRECIJACIJA NA GRAD. OBJEKTI SOPSTVENI"/>
        <s v="Градежно занатски работи во деловниот простор (СИТ) - во тек, ќе се плаќа во 2023"/>
        <s v="DEPRECIJACIJA NA GRAD. OBJEKTI SO PRAVO NA KORISTE"/>
        <s v="AMORTIZACIJA NA TRANSPORTNI SREDSTVA"/>
        <s v="AMORTIZACIJA NA TELEKOMUNIKACISKI UREDI"/>
        <s v="AMORTIZACIJA NA KOMPJUTERSKA OPREMA 01341"/>
        <s v="Мрежно каблирање"/>
        <s v="Периферна компјутерска опрема проект од 2021"/>
        <s v="Серверска инфраструктура"/>
        <s v="Систем за заштита и архивирање на податоци"/>
        <s v="Систем за складирање на податоци"/>
        <s v="Системи за мрежна безбедност"/>
        <s v="AMORTIZACIJA NA KANCELARISKI MEBEL 01363"/>
        <s v="МЕБЕЛ - КЛИМИ"/>
        <s v="МЕБЕЛ - РАФТОВИ И ПЛАКАРИ ЗА РК И РРК"/>
        <s v="AMORTIZACIJA NA MED.UREDI - DEFIBR. 01391"/>
        <s v="AMORTIZACIJA NA VLO@UVAWE VO TU\I NEDVI@NOSTI"/>
      </sharedItems>
    </cacheField>
    <cacheField name="[Calendar].[Date Hierarchy].[Year]" caption="Year" numFmtId="0" hierarchy="7" level="1">
      <sharedItems containsSemiMixedTypes="0" containsNonDate="0" containsString="0"/>
    </cacheField>
    <cacheField name="[Calendar].[Date Hierarchy].[Month]" caption="Month" numFmtId="0" hierarchy="7" level="2">
      <sharedItems containsSemiMixedTypes="0" containsNonDate="0" containsString="0"/>
    </cacheField>
    <cacheField name="[Calendar].[Date Hierarchy].[DateColumn]" caption="DateColumn" numFmtId="0" hierarchy="7" level="3">
      <sharedItems containsSemiMixedTypes="0" containsNonDate="0" containsString="0"/>
    </cacheField>
  </cacheFields>
  <cacheHierarchies count="195">
    <cacheHierarchy uniqueName="[Amortizacija].[Број на јавна набавка (план)]" caption="Број на јавна набавка (план)" attribute="1" defaultMemberUniqueName="[Amortizacija].[Број на јавна набавка (план)].[All]" allUniqueName="[Amortizacija].[Број на јавна набавка (план)].[All]" dimensionUniqueName="[Amortizacija]" displayFolder="" count="0" memberValueDatatype="130" unbalanced="0"/>
    <cacheHierarchy uniqueName="[Amortizacija].[Ставка]" caption="Ставка" attribute="1" defaultMemberUniqueName="[Amortizacija].[Ставка].[All]" allUniqueName="[Amortizacija].[Ставка].[All]" dimensionUniqueName="[Amortizacija]" displayFolder="" count="0" memberValueDatatype="130" unbalanced="0"/>
    <cacheHierarchy uniqueName="[Amortizacija].[Период]" caption="Период" attribute="1" time="1" defaultMemberUniqueName="[Amortizacija].[Период].[All]" allUniqueName="[Amortizacija].[Период].[All]" dimensionUniqueName="[Amortizacija]" displayFolder="" count="0" memberValueDatatype="7" unbalanced="0"/>
    <cacheHierarchy uniqueName="[Amortizacija].[Износ]" caption="Износ" attribute="1" defaultMemberUniqueName="[Amortizacija].[Износ].[All]" allUniqueName="[Amortizacija].[Износ].[All]" dimensionUniqueName="[Amortizacija]" displayFolder="" count="0" memberValueDatatype="20" unbalanced="0"/>
    <cacheHierarchy uniqueName="[Amortizacija].[Конто]" caption="Конто" attribute="1" defaultMemberUniqueName="[Amortizacija].[Конто].[All]" allUniqueName="[Amortizacija].[Конто].[All]" dimensionUniqueName="[Amortizacija]" displayFolder="" count="0" memberValueDatatype="130" unbalanced="0"/>
    <cacheHierarchy uniqueName="[Amortizacija].[ReportType]" caption="ReportType" attribute="1" defaultMemberUniqueName="[Amortizacija].[ReportType].[All]" allUniqueName="[Amortizacija].[ReportType].[All]" dimensionUniqueName="[Amortizacija]" displayFolder="" count="0" memberValueDatatype="130" unbalanced="0"/>
    <cacheHierarchy uniqueName="[Calendar].[Date]" caption="Date" attribute="1" time="1" keyAttribute="1" defaultMemberUniqueName="[Calendar].[Date].[All]" allUniqueName="[Calendar].[Date].[All]" dimensionUniqueName="[Calendar]" displayFolder="" count="0" memberValueDatatype="7" unbalanced="0"/>
    <cacheHierarchy uniqueName="[Calendar].[Date Hierarchy]" caption="Date Hierarchy" time="1" defaultMemberUniqueName="[Calendar].[Date Hierarchy].[All]" allUniqueName="[Calendar].[Date Hierarchy].[All]" dimensionUniqueName="[Calendar]" displayFolder="" count="4" unbalanced="0">
      <fieldsUsage count="4">
        <fieldUsage x="-1"/>
        <fieldUsage x="9"/>
        <fieldUsage x="10"/>
        <fieldUsage x="11"/>
      </fieldsUsage>
    </cacheHierarchy>
    <cacheHierarchy uniqueName="[Calendar].[Година]" caption="Година" attribute="1" time="1" defaultMemberUniqueName="[Calendar].[Година].[All]" allUniqueName="[Calendar].[Година].[All]" dimensionUniqueName="[Calendar]" displayFolder="" count="2" memberValueDatatype="20" unbalanced="0">
      <fieldsUsage count="2">
        <fieldUsage x="-1"/>
        <fieldUsage x="3"/>
      </fieldsUsage>
    </cacheHierarchy>
    <cacheHierarchy uniqueName="[Calendar].[Month Number]" caption="Month Number" attribute="1" time="1" defaultMemberUniqueName="[Calendar].[Month Number].[All]" allUniqueName="[Calendar].[Month Number].[All]" dimensionUniqueName="[Calendar]" displayFolder="" count="0" memberValueDatatype="20" unbalanced="0"/>
    <cacheHierarchy uniqueName="[Calendar].[Месец]" caption="Месец" attribute="1" time="1" defaultMemberUniqueName="[Calendar].[Месец].[All]" allUniqueName="[Calendar].[Месец].[All]" dimensionUniqueName="[Calendar]" displayFolder="" count="0" memberValueDatatype="130" unbalanced="0"/>
    <cacheHierarchy uniqueName="[Calendar].[MMM-YYYY]" caption="MMM-YYYY" attribute="1" time="1" defaultMemberUniqueName="[Calendar].[MMM-YYYY].[All]" allUniqueName="[Calendar].[MMM-YYYY].[All]" dimensionUniqueName="[Calendar]" displayFolder="" count="0" memberValueDatatype="130" unbalanced="0"/>
    <cacheHierarchy uniqueName="[Calendar].[Day Of Week Number]" caption="Day Of Week Number" attribute="1" time="1" defaultMemberUniqueName="[Calendar].[Day Of Week Number].[All]" allUniqueName="[Calendar].[Day Of Week Number].[All]" dimensionUniqueName="[Calendar]" displayFolder="" count="0" memberValueDatatype="20" unbalanced="0"/>
    <cacheHierarchy uniqueName="[Calendar].[Day Of Week]" caption="Day Of Week" attribute="1" time="1" defaultMemberUniqueName="[Calendar].[Day Of Week].[All]" allUniqueName="[Calendar].[Day Of Week].[All]" dimensionUniqueName="[Calendar]" displayFolder="" count="0" memberValueDatatype="130" unbalanced="0"/>
    <cacheHierarchy uniqueName="[Calendar].[Квартал]" caption="Квартал" attribute="1" time="1" defaultMemberUniqueName="[Calendar].[Квартал].[All]" allUniqueName="[Calendar].[Квартал].[All]" dimensionUniqueName="[Calendar]" displayFolder="" count="2" memberValueDatatype="7" unbalanced="0">
      <fieldsUsage count="2">
        <fieldUsage x="-1"/>
        <fieldUsage x="5"/>
      </fieldsUsage>
    </cacheHierarchy>
    <cacheHierarchy uniqueName="[CAPEX].[Година за реализација на проект]" caption="Година за реализација на проект" attribute="1" defaultMemberUniqueName="[CAPEX].[Година за реализација на проект].[All]" allUniqueName="[CAPEX].[Година за реализација на проект].[All]" dimensionUniqueName="[CAPEX]" displayFolder="" count="0" memberValueDatatype="20" unbalanced="0"/>
    <cacheHierarchy uniqueName="[CAPEX].[Број на јавна набавка (план)]" caption="Број на јавна набавка (план)" attribute="1" defaultMemberUniqueName="[CAPEX].[Број на јавна набавка (план)].[All]" allUniqueName="[CAPEX].[Број на јавна набавка (план)].[All]" dimensionUniqueName="[CAPEX]" displayFolder="" count="0" memberValueDatatype="130" unbalanced="0"/>
    <cacheHierarchy uniqueName="[CAPEX].[Предмет на договорот за јавна набавка]" caption="Предмет на договорот за јавна набавка" attribute="1" defaultMemberUniqueName="[CAPEX].[Предмет на договорот за јавна набавка].[All]" allUniqueName="[CAPEX].[Предмет на договорот за јавна набавка].[All]" dimensionUniqueName="[CAPEX]" displayFolder="" count="0" memberValueDatatype="130" unbalanced="0"/>
    <cacheHierarchy uniqueName="[CAPEX].[Очекуван датум на плаќање]" caption="Очекуван датум на плаќање" attribute="1" time="1" defaultMemberUniqueName="[CAPEX].[Очекуван датум на плаќање].[All]" allUniqueName="[CAPEX].[Очекуван датум на плаќање].[All]" dimensionUniqueName="[CAPEX]" displayFolder="" count="0" memberValueDatatype="7" unbalanced="0"/>
    <cacheHierarchy uniqueName="[CAPEX].[Очекуван датум за ставање во употреба (месец)]" caption="Очекуван датум за ставање во употреба (месец)" attribute="1" time="1" defaultMemberUniqueName="[CAPEX].[Очекуван датум за ставање во употреба (месец)].[All]" allUniqueName="[CAPEX].[Очекуван датум за ставање во употреба (месец)].[All]" dimensionUniqueName="[CAPEX]" displayFolder="" count="0" memberValueDatatype="7" unbalanced="0"/>
    <cacheHierarchy uniqueName="[CAPEX].[Проценета вредност на набавка со ДДВ (денари)]" caption="Проценета вредност на набавка со ДДВ (денари)" attribute="1" defaultMemberUniqueName="[CAPEX].[Проценета вредност на набавка со ДДВ (денари)].[All]" allUniqueName="[CAPEX].[Проценета вредност на набавка со ДДВ (денари)].[All]" dimensionUniqueName="[CAPEX]" displayFolder="" count="0" memberValueDatatype="20" unbalanced="0"/>
    <cacheHierarchy uniqueName="[CAPEX].[Стапка на амортизација]" caption="Стапка на амортизација" attribute="1" defaultMemberUniqueName="[CAPEX].[Стапка на амортизација].[All]" allUniqueName="[CAPEX].[Стапка на амортизација].[All]" dimensionUniqueName="[CAPEX]" displayFolder="" count="0" memberValueDatatype="5" unbalanced="0"/>
    <cacheHierarchy uniqueName="[CAPEX].[Конто Средства]" caption="Конто Средства" attribute="1" defaultMemberUniqueName="[CAPEX].[Конто Средства].[All]" allUniqueName="[CAPEX].[Конто Средства].[All]" dimensionUniqueName="[CAPEX]" displayFolder="" count="0" memberValueDatatype="130" unbalanced="0"/>
    <cacheHierarchy uniqueName="[CAPEX].[Конто Амортизација]" caption="Конто Амортизација" attribute="1" defaultMemberUniqueName="[CAPEX].[Конто Амортизација].[All]" allUniqueName="[CAPEX].[Конто Амортизација].[All]" dimensionUniqueName="[CAPEX]" displayFolder="" count="0" memberValueDatatype="130" unbalanced="0"/>
    <cacheHierarchy uniqueName="[CAPEX].[Износ донација]" caption="Износ донација" attribute="1" defaultMemberUniqueName="[CAPEX].[Износ донација].[All]" allUniqueName="[CAPEX].[Износ донација].[All]" dimensionUniqueName="[CAPEX]" displayFolder="" count="0" memberValueDatatype="20" unbalanced="0"/>
    <cacheHierarchy uniqueName="[CAPEX].[Очекуван датум на плаќање (Year)]" caption="Очекуван датум на плаќање (Year)" attribute="1" defaultMemberUniqueName="[CAPEX].[Очекуван датум на плаќање (Year)].[All]" allUniqueName="[CAPEX].[Очекуван датум на плаќање (Year)].[All]" dimensionUniqueName="[CAPEX]" displayFolder="" count="0" memberValueDatatype="130" unbalanced="0"/>
    <cacheHierarchy uniqueName="[CAPEX].[Очекуван датум на плаќање (Quarter)]" caption="Очекуван датум на плаќање (Quarter)" attribute="1" defaultMemberUniqueName="[CAPEX].[Очекуван датум на плаќање (Quarter)].[All]" allUniqueName="[CAPEX].[Очекуван датум на плаќање (Quarter)].[All]" dimensionUniqueName="[CAPEX]" displayFolder="" count="0" memberValueDatatype="130" unbalanced="0"/>
    <cacheHierarchy uniqueName="[CAPEX].[Очекуван датум на плаќање (Month)]" caption="Очекуван датум на плаќање (Month)" attribute="1" defaultMemberUniqueName="[CAPEX].[Очекуван датум на плаќање (Month)].[All]" allUniqueName="[CAPEX].[Очекуван датум на плаќање (Month)].[All]" dimensionUniqueName="[CAPEX]" displayFolder="" count="0" memberValueDatatype="130" unbalanced="0"/>
    <cacheHierarchy uniqueName="[CAPEX].[Очекуван датум за ставање во употреба (месец) (Year)]" caption="Очекуван датум за ставање во употреба (месец) (Year)" attribute="1" defaultMemberUniqueName="[CAPEX].[Очекуван датум за ставање во употреба (месец) (Year)].[All]" allUniqueName="[CAPEX].[Очекуван датум за ставање во употреба (месец) (Year)].[All]" dimensionUniqueName="[CAPEX]" displayFolder="" count="0" memberValueDatatype="130" unbalanced="0"/>
    <cacheHierarchy uniqueName="[CAPEX].[Очекуван датум за ставање во употреба (месец) (Quarter)]" caption="Очекуван датум за ставање во употреба (месец) (Quarter)" attribute="1" defaultMemberUniqueName="[CAPEX].[Очекуван датум за ставање во употреба (месец) (Quarter)].[All]" allUniqueName="[CAPEX].[Очекуван датум за ставање во употреба (месец) (Quarter)].[All]" dimensionUniqueName="[CAPEX]" displayFolder="" count="0" memberValueDatatype="130" unbalanced="0"/>
    <cacheHierarchy uniqueName="[CAPEX].[Очекуван датум за ставање во употреба (месец) (Month)]" caption="Очекуван датум за ставање во употреба (месец) (Month)" attribute="1" defaultMemberUniqueName="[CAPEX].[Очекуван датум за ставање во употреба (месец) (Month)].[All]" allUniqueName="[CAPEX].[Очекуван датум за ставање во употреба (месец) (Month)].[All]" dimensionUniqueName="[CAPEX]" displayFolder="" count="0" memberValueDatatype="130" unbalanced="0"/>
    <cacheHierarchy uniqueName="[fActualAndBudget].[Конто]" caption="Конто" attribute="1" defaultMemberUniqueName="[fActualAndBudget].[Конто].[All]" allUniqueName="[fActualAndBudget].[Конто].[All]" dimensionUniqueName="[fActualAndBudget]" displayFolder="" count="2" memberValueDatatype="130" unbalanced="0">
      <fieldsUsage count="2">
        <fieldUsage x="-1"/>
        <fieldUsage x="0"/>
      </fieldsUsage>
    </cacheHierarchy>
    <cacheHierarchy uniqueName="[fActualAndBudget].[Назив на конто]" caption="Назив на конто" attribute="1" defaultMemberUniqueName="[fActualAndBudget].[Назив на конто].[All]" allUniqueName="[fActualAndBudget].[Назив на конто].[All]" dimensionUniqueName="[fActualAndBudget]" displayFolder="" count="0" memberValueDatatype="130" unbalanced="0"/>
    <cacheHierarchy uniqueName="[fActualAndBudget].[Период]" caption="Период" attribute="1" time="1" defaultMemberUniqueName="[fActualAndBudget].[Период].[All]" allUniqueName="[fActualAndBudget].[Период].[All]" dimensionUniqueName="[fActualAndBudget]" displayFolder="" count="0" memberValueDatatype="7" unbalanced="0"/>
    <cacheHierarchy uniqueName="[fActualAndBudget].[Износ1]" caption="Износ1" attribute="1" defaultMemberUniqueName="[fActualAndBudget].[Износ1].[All]" allUniqueName="[fActualAndBudget].[Износ1].[All]" dimensionUniqueName="[fActualAndBudget]" displayFolder="" count="0" memberValueDatatype="20" unbalanced="0"/>
    <cacheHierarchy uniqueName="[fActualAndBudget].[ReportType]" caption="ReportType" attribute="1" defaultMemberUniqueName="[fActualAndBudget].[ReportType].[All]" allUniqueName="[fActualAndBudget].[ReportType].[All]" dimensionUniqueName="[fActualAndBudget]" displayFolder="" count="2" memberValueDatatype="130" unbalanced="0">
      <fieldsUsage count="2">
        <fieldUsage x="-1"/>
        <fieldUsage x="1"/>
      </fieldsUsage>
    </cacheHierarchy>
    <cacheHierarchy uniqueName="[fActualAndBudget].[Ставка]" caption="Ставка" attribute="1" defaultMemberUniqueName="[fActualAndBudget].[Ставка].[All]" allUniqueName="[fActualAndBudget].[Ставка].[All]" dimensionUniqueName="[fActualAndBudget]" displayFolder="" count="2" memberValueDatatype="130" unbalanced="0">
      <fieldsUsage count="2">
        <fieldUsage x="-1"/>
        <fieldUsage x="8"/>
      </fieldsUsage>
    </cacheHierarchy>
    <cacheHierarchy uniqueName="[fActualAndBudget].[Број на јавна набавка (план)]" caption="Број на јавна набавка (план)" attribute="1" defaultMemberUniqueName="[fActualAndBudget].[Број на јавна набавка (план)].[All]" allUniqueName="[fActualAndBudget].[Број на јавна набавка (план)].[All]" dimensionUniqueName="[fActualAndBudget]" displayFolder="" count="0" memberValueDatatype="130" unbalanced="0"/>
    <cacheHierarchy uniqueName="[fActualAndBudget].[StavkaImeMK]" caption="StavkaImeMK" attribute="1" defaultMemberUniqueName="[fActualAndBudget].[StavkaImeMK].[All]" allUniqueName="[fActualAndBudget].[StavkaImeMK].[All]" dimensionUniqueName="[fActualAndBudget]" displayFolder="" count="0" memberValueDatatype="130" unbalanced="0"/>
    <cacheHierarchy uniqueName="[fActualAndBudget].[StavkaGrupa]" caption="StavkaGrupa" attribute="1" defaultMemberUniqueName="[fActualAndBudget].[StavkaGrupa].[All]" allUniqueName="[fActualAndBudget].[StavkaGrupa].[All]" dimensionUniqueName="[fActualAndBudget]" displayFolder="" count="0" memberValueDatatype="130" unbalanced="0"/>
    <cacheHierarchy uniqueName="[fActualAndBudget].[StavkaKategorija]" caption="StavkaKategorija" attribute="1" defaultMemberUniqueName="[fActualAndBudget].[StavkaKategorija].[All]" allUniqueName="[fActualAndBudget].[StavkaKategorija].[All]" dimensionUniqueName="[fActualAndBudget]" displayFolder="" count="2" memberValueDatatype="130" unbalanced="0">
      <fieldsUsage count="2">
        <fieldUsage x="-1"/>
        <fieldUsage x="6"/>
      </fieldsUsage>
    </cacheHierarchy>
    <cacheHierarchy uniqueName="[fActualAndBudget].[ZnakIzvestaj]" caption="ZnakIzvestaj" attribute="1" defaultMemberUniqueName="[fActualAndBudget].[ZnakIzvestaj].[All]" allUniqueName="[fActualAndBudget].[ZnakIzvestaj].[All]" dimensionUniqueName="[fActualAndBudget]" displayFolder="" count="0" memberValueDatatype="20" unbalanced="0"/>
    <cacheHierarchy uniqueName="[fActualAndBudget].[ObrazecID]" caption="ObrazecID" attribute="1" defaultMemberUniqueName="[fActualAndBudget].[ObrazecID].[All]" allUniqueName="[fActualAndBudget].[ObrazecID].[All]" dimensionUniqueName="[fActualAndBudget]" displayFolder="" count="0" memberValueDatatype="20" unbalanced="0"/>
    <cacheHierarchy uniqueName="[fActualAndBudget].[StavkaAOP]" caption="StavkaAOP" attribute="1" defaultMemberUniqueName="[fActualAndBudget].[StavkaAOP].[All]" allUniqueName="[fActualAndBudget].[StavkaAOP].[All]" dimensionUniqueName="[fActualAndBudget]" displayFolder="" count="0" memberValueDatatype="130" unbalanced="0"/>
    <cacheHierarchy uniqueName="[fActualAndBudget].[ObrazecIme]" caption="ObrazecIme" attribute="1" defaultMemberUniqueName="[fActualAndBudget].[ObrazecIme].[All]" allUniqueName="[fActualAndBudget].[ObrazecIme].[All]" dimensionUniqueName="[fActualAndBudget]" displayFolder="" count="2" memberValueDatatype="130" unbalanced="0">
      <fieldsUsage count="2">
        <fieldUsage x="-1"/>
        <fieldUsage x="4"/>
      </fieldsUsage>
    </cacheHierarchy>
    <cacheHierarchy uniqueName="[fActualAndBudget].[Износ]" caption="Износ" attribute="1" defaultMemberUniqueName="[fActualAndBudget].[Износ].[All]" allUniqueName="[fActualAndBudget].[Износ].[All]" dimensionUniqueName="[fActualAndBudget]" displayFolder="" count="0" memberValueDatatype="20" unbalanced="0"/>
    <cacheHierarchy uniqueName="[fActualAndBudget].[Износ (илјади)]" caption="Износ (илјади)" attribute="1" defaultMemberUniqueName="[fActualAndBudget].[Износ (илјади)].[All]" allUniqueName="[fActualAndBudget].[Износ (илјади)].[All]" dimensionUniqueName="[fActualAndBudget]" displayFolder="" count="0" memberValueDatatype="5" unbalanced="0"/>
    <cacheHierarchy uniqueName="[fActualAndBudget].[StavkaImeAOP]" caption="StavkaImeAOP" attribute="1" defaultMemberUniqueName="[fActualAndBudget].[StavkaImeAOP].[All]" allUniqueName="[fActualAndBudget].[StavkaImeAOP].[All]" dimensionUniqueName="[fActualAndBudget]" displayFolder="" count="2" memberValueDatatype="130" unbalanced="0">
      <fieldsUsage count="2">
        <fieldUsage x="-1"/>
        <fieldUsage x="7"/>
      </fieldsUsage>
    </cacheHierarchy>
    <cacheHierarchy uniqueName="[fActualAndBudget].[Конто Ставка]" caption="Конто Ставка" attribute="1" defaultMemberUniqueName="[fActualAndBudget].[Конто Ставка].[All]" allUniqueName="[fActualAndBudget].[Конто Ставка].[All]" dimensionUniqueName="[fActualAndBudget]" displayFolder="" count="0" memberValueDatatype="130" unbalanced="0"/>
    <cacheHierarchy uniqueName="[fArtikliCeni].[Ставка]" caption="Ставка" attribute="1" defaultMemberUniqueName="[fArtikliCeni].[Ставка].[All]" allUniqueName="[fArtikliCeni].[Ставка].[All]" dimensionUniqueName="[fArtikliCeni]" displayFolder="" count="0" memberValueDatatype="130" unbalanced="0"/>
    <cacheHierarchy uniqueName="[fArtikliCeni].[Категорија Артикл]" caption="Категорија Артикл" attribute="1" defaultMemberUniqueName="[fArtikliCeni].[Категорија Артикл].[All]" allUniqueName="[fArtikliCeni].[Категорија Артикл].[All]" dimensionUniqueName="[fArtikliCeni]" displayFolder="" count="0" memberValueDatatype="130" unbalanced="0"/>
    <cacheHierarchy uniqueName="[fArtikliCeni].[Тип на артикл]" caption="Тип на артикл" attribute="1" defaultMemberUniqueName="[fArtikliCeni].[Тип на артикл].[All]" allUniqueName="[fArtikliCeni].[Тип на артикл].[All]" dimensionUniqueName="[fArtikliCeni]" displayFolder="" count="0" memberValueDatatype="130" unbalanced="0"/>
    <cacheHierarchy uniqueName="[fArtikliCeni].[Единечна мерка]" caption="Единечна мерка" attribute="1" defaultMemberUniqueName="[fArtikliCeni].[Единечна мерка].[All]" allUniqueName="[fArtikliCeni].[Единечна мерка].[All]" dimensionUniqueName="[fArtikliCeni]" displayFolder="" count="0" memberValueDatatype="130" unbalanced="0"/>
    <cacheHierarchy uniqueName="[fArtikliCeni].[Количина]" caption="Количина" attribute="1" defaultMemberUniqueName="[fArtikliCeni].[Количина].[All]" allUniqueName="[fArtikliCeni].[Количина].[All]" dimensionUniqueName="[fArtikliCeni]" displayFolder="" count="0" memberValueDatatype="5" unbalanced="0"/>
    <cacheHierarchy uniqueName="[fArtikliCeni].[Единечна цена]" caption="Единечна цена" attribute="1" defaultMemberUniqueName="[fArtikliCeni].[Единечна цена].[All]" allUniqueName="[fArtikliCeni].[Единечна цена].[All]" dimensionUniqueName="[fArtikliCeni]" displayFolder="" count="0" memberValueDatatype="20" unbalanced="0"/>
    <cacheHierarchy uniqueName="[fArtikliCeni].[Вкупно трошок]" caption="Вкупно трошок" attribute="1" defaultMemberUniqueName="[fArtikliCeni].[Вкупно трошок].[All]" allUniqueName="[fArtikliCeni].[Вкупно трошок].[All]" dimensionUniqueName="[fArtikliCeni]" displayFolder="" count="0" memberValueDatatype="5" unbalanced="0"/>
    <cacheHierarchy uniqueName="[fArtikliCeni].[ДДВ]" caption="ДДВ" attribute="1" defaultMemberUniqueName="[fArtikliCeni].[ДДВ].[All]" allUniqueName="[fArtikliCeni].[ДДВ].[All]" dimensionUniqueName="[fArtikliCeni]" displayFolder="" count="0" memberValueDatatype="5" unbalanced="0"/>
    <cacheHierarchy uniqueName="[fArtikliCeni].[Износ]" caption="Износ" attribute="1" defaultMemberUniqueName="[fArtikliCeni].[Износ].[All]" allUniqueName="[fArtikliCeni].[Износ].[All]" dimensionUniqueName="[fArtikliCeni]" displayFolder="" count="0" memberValueDatatype="5" unbalanced="0"/>
    <cacheHierarchy uniqueName="[fArtikliCeni].[Конто]" caption="Конто" attribute="1" defaultMemberUniqueName="[fArtikliCeni].[Конто].[All]" allUniqueName="[fArtikliCeni].[Конто].[All]" dimensionUniqueName="[fArtikliCeni]" displayFolder="" count="0" memberValueDatatype="130" unbalanced="0"/>
    <cacheHierarchy uniqueName="[fArtikliCeni].[ReportType]" caption="ReportType" attribute="1" defaultMemberUniqueName="[fArtikliCeni].[ReportType].[All]" allUniqueName="[fArtikliCeni].[ReportType].[All]" dimensionUniqueName="[fArtikliCeni]" displayFolder="" count="0" memberValueDatatype="130" unbalanced="0"/>
    <cacheHierarchy uniqueName="[fArtikliCeni].[Период]" caption="Период" attribute="1" time="1" defaultMemberUniqueName="[fArtikliCeni].[Период].[All]" allUniqueName="[fArtikliCeni].[Период].[All]" dimensionUniqueName="[fArtikliCeni]" displayFolder="" count="0" memberValueDatatype="7" unbalanced="0"/>
    <cacheHierarchy uniqueName="[fArtikliCeni].[StavkaImeMK]" caption="StavkaImeMK" attribute="1" defaultMemberUniqueName="[fArtikliCeni].[StavkaImeMK].[All]" allUniqueName="[fArtikliCeni].[StavkaImeMK].[All]" dimensionUniqueName="[fArtikliCeni]" displayFolder="" count="0" memberValueDatatype="130" unbalanced="0"/>
    <cacheHierarchy uniqueName="[fArtikliCeni].[StavkaAOP]" caption="StavkaAOP" attribute="1" defaultMemberUniqueName="[fArtikliCeni].[StavkaAOP].[All]" allUniqueName="[fArtikliCeni].[StavkaAOP].[All]" dimensionUniqueName="[fArtikliCeni]" displayFolder="" count="0" memberValueDatatype="130" unbalanced="0"/>
    <cacheHierarchy uniqueName="[fArtikliCeni].[StavkaGrupa]" caption="StavkaGrupa" attribute="1" defaultMemberUniqueName="[fArtikliCeni].[StavkaGrupa].[All]" allUniqueName="[fArtikliCeni].[StavkaGrupa].[All]" dimensionUniqueName="[fArtikliCeni]" displayFolder="" count="0" memberValueDatatype="130" unbalanced="0"/>
    <cacheHierarchy uniqueName="[fArtikliCeni].[StavkaKategorija]" caption="StavkaKategorija" attribute="1" defaultMemberUniqueName="[fArtikliCeni].[StavkaKategorija].[All]" allUniqueName="[fArtikliCeni].[StavkaKategorija].[All]" dimensionUniqueName="[fArtikliCeni]" displayFolder="" count="0" memberValueDatatype="130" unbalanced="0"/>
    <cacheHierarchy uniqueName="[fArtikliCeni].[ObrazecIme]" caption="ObrazecIme" attribute="1" defaultMemberUniqueName="[fArtikliCeni].[ObrazecIme].[All]" allUniqueName="[fArtikliCeni].[ObrazecIme].[All]" dimensionUniqueName="[fArtikliCeni]" displayFolder="" count="0" memberValueDatatype="130" unbalanced="0"/>
    <cacheHierarchy uniqueName="[fCoveckiResursi].[Ставка]" caption="Ставка" attribute="1" defaultMemberUniqueName="[fCoveckiResursi].[Ставка].[All]" allUniqueName="[fCoveckiResursi].[Ставка].[All]" dimensionUniqueName="[fCoveckiResursi]" displayFolder="" count="0" memberValueDatatype="130" unbalanced="0"/>
    <cacheHierarchy uniqueName="[fCoveckiResursi].[Тип на вработување]" caption="Тип на вработување" attribute="1" defaultMemberUniqueName="[fCoveckiResursi].[Тип на вработување].[All]" allUniqueName="[fCoveckiResursi].[Тип на вработување].[All]" dimensionUniqueName="[fCoveckiResursi]" displayFolder="" count="0" memberValueDatatype="130" unbalanced="0"/>
    <cacheHierarchy uniqueName="[fCoveckiResursi].[Планиран прилив/(одлив)]" caption="Планиран прилив/(одлив)" attribute="1" defaultMemberUniqueName="[fCoveckiResursi].[Планиран прилив/(одлив)].[All]" allUniqueName="[fCoveckiResursi].[Планиран прилив/(одлив)].[All]" dimensionUniqueName="[fCoveckiResursi]" displayFolder="" count="0" memberValueDatatype="20" unbalanced="0"/>
    <cacheHierarchy uniqueName="[fCoveckiResursi].[Период]" caption="Период" attribute="1" time="1" defaultMemberUniqueName="[fCoveckiResursi].[Период].[All]" allUniqueName="[fCoveckiResursi].[Период].[All]" dimensionUniqueName="[fCoveckiResursi]" displayFolder="" count="0" memberValueDatatype="7" unbalanced="0"/>
    <cacheHierarchy uniqueName="[fCoveckiResursi].[Крајна состојба вработени]" caption="Крајна состојба вработени" attribute="1" defaultMemberUniqueName="[fCoveckiResursi].[Крајна состојба вработени].[All]" allUniqueName="[fCoveckiResursi].[Крајна состојба вработени].[All]" dimensionUniqueName="[fCoveckiResursi]" displayFolder="" count="0" memberValueDatatype="20" unbalanced="0"/>
    <cacheHierarchy uniqueName="[fCoveckiResursi].[Износ]" caption="Износ" attribute="1" defaultMemberUniqueName="[fCoveckiResursi].[Износ].[All]" allUniqueName="[fCoveckiResursi].[Износ].[All]" dimensionUniqueName="[fCoveckiResursi]" displayFolder="" count="0" memberValueDatatype="20" unbalanced="0"/>
    <cacheHierarchy uniqueName="[fCoveckiResursi].[Конто]" caption="Конто" attribute="1" defaultMemberUniqueName="[fCoveckiResursi].[Конто].[All]" allUniqueName="[fCoveckiResursi].[Конто].[All]" dimensionUniqueName="[fCoveckiResursi]" displayFolder="" count="0" memberValueDatatype="130" unbalanced="0"/>
    <cacheHierarchy uniqueName="[fCoveckiResursi].[ReportType]" caption="ReportType" attribute="1" defaultMemberUniqueName="[fCoveckiResursi].[ReportType].[All]" allUniqueName="[fCoveckiResursi].[ReportType].[All]" dimensionUniqueName="[fCoveckiResursi]" displayFolder="" count="0" memberValueDatatype="130" unbalanced="0"/>
    <cacheHierarchy uniqueName="[fCoveckiResursi].[Период (Year)]" caption="Период (Year)" attribute="1" defaultMemberUniqueName="[fCoveckiResursi].[Период (Year)].[All]" allUniqueName="[fCoveckiResursi].[Период (Year)].[All]" dimensionUniqueName="[fCoveckiResursi]" displayFolder="" count="0" memberValueDatatype="130" unbalanced="0"/>
    <cacheHierarchy uniqueName="[fCoveckiResursi].[Период (Quarter)]" caption="Период (Quarter)" attribute="1" defaultMemberUniqueName="[fCoveckiResursi].[Период (Quarter)].[All]" allUniqueName="[fCoveckiResursi].[Период (Quarter)].[All]" dimensionUniqueName="[fCoveckiResursi]" displayFolder="" count="0" memberValueDatatype="130" unbalanced="0"/>
    <cacheHierarchy uniqueName="[fCoveckiResursi].[Период (Month)]" caption="Период (Month)" attribute="1" defaultMemberUniqueName="[fCoveckiResursi].[Период (Month)].[All]" allUniqueName="[fCoveckiResursi].[Период (Month)].[All]" dimensionUniqueName="[fCoveckiResursi]" displayFolder="" count="0" memberValueDatatype="130" unbalanced="0"/>
    <cacheHierarchy uniqueName="[fCoveckiResursi].[Период (Year) 1]" caption="Период (Year) 1" attribute="1" defaultMemberUniqueName="[fCoveckiResursi].[Период (Year) 1].[All]" allUniqueName="[fCoveckiResursi].[Период (Year) 1].[All]" dimensionUniqueName="[fCoveckiResursi]" displayFolder="" count="0" memberValueDatatype="130" unbalanced="0"/>
    <cacheHierarchy uniqueName="[fCoveckiResursi].[Период (Quarter) 1]" caption="Период (Quarter) 1" attribute="1" defaultMemberUniqueName="[fCoveckiResursi].[Период (Quarter) 1].[All]" allUniqueName="[fCoveckiResursi].[Период (Quarter) 1].[All]" dimensionUniqueName="[fCoveckiResursi]" displayFolder="" count="0" memberValueDatatype="130" unbalanced="0"/>
    <cacheHierarchy uniqueName="[fCoveckiResursi].[Период (Month) 1]" caption="Период (Month) 1" attribute="1" defaultMemberUniqueName="[fCoveckiResursi].[Период (Month) 1].[All]" allUniqueName="[fCoveckiResursi].[Период (Month) 1].[All]" dimensionUniqueName="[fCoveckiResursi]" displayFolder="" count="0" memberValueDatatype="130" unbalanced="0"/>
    <cacheHierarchy uniqueName="[fCoveckiResursi  2].[Ставка]" caption="Ставка" attribute="1" defaultMemberUniqueName="[fCoveckiResursi  2].[Ставка].[All]" allUniqueName="[fCoveckiResursi  2].[Ставка].[All]" dimensionUniqueName="[fCoveckiResursi  2]" displayFolder="" count="0" memberValueDatatype="130" unbalanced="0"/>
    <cacheHierarchy uniqueName="[fCoveckiResursi  2].[Период]" caption="Период" attribute="1" time="1" defaultMemberUniqueName="[fCoveckiResursi  2].[Период].[All]" allUniqueName="[fCoveckiResursi  2].[Период].[All]" dimensionUniqueName="[fCoveckiResursi  2]" displayFolder="" count="0" memberValueDatatype="7" unbalanced="0"/>
    <cacheHierarchy uniqueName="[fCoveckiResursi  2].[Износ]" caption="Износ" attribute="1" defaultMemberUniqueName="[fCoveckiResursi  2].[Износ].[All]" allUniqueName="[fCoveckiResursi  2].[Износ].[All]" dimensionUniqueName="[fCoveckiResursi  2]" displayFolder="" count="0" memberValueDatatype="20" unbalanced="0"/>
    <cacheHierarchy uniqueName="[fCoveckiResursi  2].[Конто]" caption="Конто" attribute="1" defaultMemberUniqueName="[fCoveckiResursi  2].[Конто].[All]" allUniqueName="[fCoveckiResursi  2].[Конто].[All]" dimensionUniqueName="[fCoveckiResursi  2]" displayFolder="" count="0" memberValueDatatype="130" unbalanced="0"/>
    <cacheHierarchy uniqueName="[fCoveckiResursi  2].[ReportType]" caption="ReportType" attribute="1" defaultMemberUniqueName="[fCoveckiResursi  2].[ReportType].[All]" allUniqueName="[fCoveckiResursi  2].[ReportType].[All]" dimensionUniqueName="[fCoveckiResursi  2]" displayFolder="" count="0" memberValueDatatype="130" unbalanced="0"/>
    <cacheHierarchy uniqueName="[fCoveckiResursi  2].[StavkaImeMK]" caption="StavkaImeMK" attribute="1" defaultMemberUniqueName="[fCoveckiResursi  2].[StavkaImeMK].[All]" allUniqueName="[fCoveckiResursi  2].[StavkaImeMK].[All]" dimensionUniqueName="[fCoveckiResursi  2]" displayFolder="" count="0" memberValueDatatype="130" unbalanced="0"/>
    <cacheHierarchy uniqueName="[fCoveckiResursi  2].[StavkaKategorija]" caption="StavkaKategorija" attribute="1" defaultMemberUniqueName="[fCoveckiResursi  2].[StavkaKategorija].[All]" allUniqueName="[fCoveckiResursi  2].[StavkaKategorija].[All]" dimensionUniqueName="[fCoveckiResursi  2]" displayFolder="" count="0" memberValueDatatype="130" unbalanced="0"/>
    <cacheHierarchy uniqueName="[fCoveckiResursi  2].[ObrazecIme]" caption="ObrazecIme" attribute="1" defaultMemberUniqueName="[fCoveckiResursi  2].[ObrazecIme].[All]" allUniqueName="[fCoveckiResursi  2].[ObrazecIme].[All]" dimensionUniqueName="[fCoveckiResursi  2]" displayFolder="" count="0" memberValueDatatype="130" unbalanced="0"/>
    <cacheHierarchy uniqueName="[fOPEX].[Конто]" caption="Конто" attribute="1" defaultMemberUniqueName="[fOPEX].[Конто].[All]" allUniqueName="[fOPEX].[Конто].[All]" dimensionUniqueName="[fOPEX]" displayFolder="" count="0" memberValueDatatype="130" unbalanced="0"/>
    <cacheHierarchy uniqueName="[fOPEX].[Ставка]" caption="Ставка" attribute="1" defaultMemberUniqueName="[fOPEX].[Ставка].[All]" allUniqueName="[fOPEX].[Ставка].[All]" dimensionUniqueName="[fOPEX]" displayFolder="" count="0" memberValueDatatype="130" unbalanced="0"/>
    <cacheHierarchy uniqueName="[fOPEX].[Период]" caption="Период" attribute="1" time="1" defaultMemberUniqueName="[fOPEX].[Период].[All]" allUniqueName="[fOPEX].[Период].[All]" dimensionUniqueName="[fOPEX]" displayFolder="" count="0" memberValueDatatype="7" unbalanced="0"/>
    <cacheHierarchy uniqueName="[fOPEX].[Износ]" caption="Износ" attribute="1" defaultMemberUniqueName="[fOPEX].[Износ].[All]" allUniqueName="[fOPEX].[Износ].[All]" dimensionUniqueName="[fOPEX]" displayFolder="" count="0" memberValueDatatype="20" unbalanced="0"/>
    <cacheHierarchy uniqueName="[fOPEX].[ReportType]" caption="ReportType" attribute="1" defaultMemberUniqueName="[fOPEX].[ReportType].[All]" allUniqueName="[fOPEX].[ReportType].[All]" dimensionUniqueName="[fOPEX]" displayFolder="" count="0" memberValueDatatype="130" unbalanced="0"/>
    <cacheHierarchy uniqueName="[OPEXAnaliza].[Артикл ИД]" caption="Артикл ИД" attribute="1" defaultMemberUniqueName="[OPEXAnaliza].[Артикл ИД].[All]" allUniqueName="[OPEXAnaliza].[Артикл ИД].[All]" dimensionUniqueName="[OPEXAnaliza]" displayFolder="" count="0" memberValueDatatype="20" unbalanced="0"/>
    <cacheHierarchy uniqueName="[OPEXAnaliza].[Ставка]" caption="Ставка" attribute="1" defaultMemberUniqueName="[OPEXAnaliza].[Ставка].[All]" allUniqueName="[OPEXAnaliza].[Ставка].[All]" dimensionUniqueName="[OPEXAnaliza]" displayFolder="" count="0" memberValueDatatype="130" unbalanced="0"/>
    <cacheHierarchy uniqueName="[OPEXAnaliza].[Категорија Артикл ИД]" caption="Категорија Артикл ИД" attribute="1" defaultMemberUniqueName="[OPEXAnaliza].[Категорија Артикл ИД].[All]" allUniqueName="[OPEXAnaliza].[Категорија Артикл ИД].[All]" dimensionUniqueName="[OPEXAnaliza]" displayFolder="" count="0" memberValueDatatype="20" unbalanced="0"/>
    <cacheHierarchy uniqueName="[OPEXAnaliza].[Категорија Артикл]" caption="Категорија Артикл" attribute="1" defaultMemberUniqueName="[OPEXAnaliza].[Категорија Артикл].[All]" allUniqueName="[OPEXAnaliza].[Категорија Артикл].[All]" dimensionUniqueName="[OPEXAnaliza]" displayFolder="" count="0" memberValueDatatype="130" unbalanced="0"/>
    <cacheHierarchy uniqueName="[OPEXAnaliza].[Тип на артикл]" caption="Тип на артикл" attribute="1" defaultMemberUniqueName="[OPEXAnaliza].[Тип на артикл].[All]" allUniqueName="[OPEXAnaliza].[Тип на артикл].[All]" dimensionUniqueName="[OPEXAnaliza]" displayFolder="" count="0" memberValueDatatype="130" unbalanced="0"/>
    <cacheHierarchy uniqueName="[OPEXAnaliza].[Единечна мерка]" caption="Единечна мерка" attribute="1" defaultMemberUniqueName="[OPEXAnaliza].[Единечна мерка].[All]" allUniqueName="[OPEXAnaliza].[Единечна мерка].[All]" dimensionUniqueName="[OPEXAnaliza]" displayFolder="" count="0" memberValueDatatype="130" unbalanced="0"/>
    <cacheHierarchy uniqueName="[OPEXAnaliza].[Количина]" caption="Количина" attribute="1" defaultMemberUniqueName="[OPEXAnaliza].[Количина].[All]" allUniqueName="[OPEXAnaliza].[Количина].[All]" dimensionUniqueName="[OPEXAnaliza]" displayFolder="" count="0" memberValueDatatype="5" unbalanced="0"/>
    <cacheHierarchy uniqueName="[OPEXAnaliza].[Единечна цена]" caption="Единечна цена" attribute="1" defaultMemberUniqueName="[OPEXAnaliza].[Единечна цена].[All]" allUniqueName="[OPEXAnaliza].[Единечна цена].[All]" dimensionUniqueName="[OPEXAnaliza]" displayFolder="" count="0" memberValueDatatype="20" unbalanced="0"/>
    <cacheHierarchy uniqueName="[OPEXAnaliza].[Износ]" caption="Износ" attribute="1" defaultMemberUniqueName="[OPEXAnaliza].[Износ].[All]" allUniqueName="[OPEXAnaliza].[Износ].[All]" dimensionUniqueName="[OPEXAnaliza]" displayFolder="" count="0" memberValueDatatype="5" unbalanced="0"/>
    <cacheHierarchy uniqueName="[OPEXAnaliza].[ДДВ]" caption="ДДВ" attribute="1" defaultMemberUniqueName="[OPEXAnaliza].[ДДВ].[All]" allUniqueName="[OPEXAnaliza].[ДДВ].[All]" dimensionUniqueName="[OPEXAnaliza]" displayFolder="" count="0" memberValueDatatype="5" unbalanced="0"/>
    <cacheHierarchy uniqueName="[OPEXAnaliza].[Вкупно трошок со ДДВ]" caption="Вкупно трошок со ДДВ" attribute="1" defaultMemberUniqueName="[OPEXAnaliza].[Вкупно трошок со ДДВ].[All]" allUniqueName="[OPEXAnaliza].[Вкупно трошок со ДДВ].[All]" dimensionUniqueName="[OPEXAnaliza]" displayFolder="" count="0" memberValueDatatype="5" unbalanced="0"/>
    <cacheHierarchy uniqueName="[OPEXAnaliza].[Конто]" caption="Конто" attribute="1" defaultMemberUniqueName="[OPEXAnaliza].[Конто].[All]" allUniqueName="[OPEXAnaliza].[Конто].[All]" dimensionUniqueName="[OPEXAnaliza]" displayFolder="" count="0" memberValueDatatype="130" unbalanced="0"/>
    <cacheHierarchy uniqueName="[OPEXAnaliza].[Период]" caption="Период" attribute="1" time="1" defaultMemberUniqueName="[OPEXAnaliza].[Период].[All]" allUniqueName="[OPEXAnaliza].[Период].[All]" dimensionUniqueName="[OPEXAnaliza]" displayFolder="" count="0" memberValueDatatype="7" unbalanced="0"/>
    <cacheHierarchy uniqueName="[OPEXAnaliza].[ReportType]" caption="ReportType" attribute="1" defaultMemberUniqueName="[OPEXAnaliza].[ReportType].[All]" allUniqueName="[OPEXAnaliza].[ReportType].[All]" dimensionUniqueName="[OPEXAnaliza]" displayFolder="" count="0" memberValueDatatype="130" unbalanced="0"/>
    <cacheHierarchy uniqueName="[OPEXAnaliza].[StavkaImeMK]" caption="StavkaImeMK" attribute="1" defaultMemberUniqueName="[OPEXAnaliza].[StavkaImeMK].[All]" allUniqueName="[OPEXAnaliza].[StavkaImeMK].[All]" dimensionUniqueName="[OPEXAnaliza]" displayFolder="" count="0" memberValueDatatype="130" unbalanced="0"/>
    <cacheHierarchy uniqueName="[OPEXAnaliza].[StavkaKategorija]" caption="StavkaKategorija" attribute="1" defaultMemberUniqueName="[OPEXAnaliza].[StavkaKategorija].[All]" allUniqueName="[OPEXAnaliza].[StavkaKategorija].[All]" dimensionUniqueName="[OPEXAnaliza]" displayFolder="" count="0" memberValueDatatype="130" unbalanced="0"/>
    <cacheHierarchy uniqueName="[OPEXAnaliza].[ObrazecIme]" caption="ObrazecIme" attribute="1" defaultMemberUniqueName="[OPEXAnaliza].[ObrazecIme].[All]" allUniqueName="[OPEXAnaliza].[ObrazecIme].[All]" dimensionUniqueName="[OPEXAnaliza]" displayFolder="" count="0" memberValueDatatype="130" unbalanced="0"/>
    <cacheHierarchy uniqueName="[OPEXAnaliza].[StavkaImeAOP]" caption="StavkaImeAOP" attribute="1" defaultMemberUniqueName="[OPEXAnaliza].[StavkaImeAOP].[All]" allUniqueName="[OPEXAnaliza].[StavkaImeAOP].[All]" dimensionUniqueName="[OPEXAnaliza]" displayFolder="" count="0" memberValueDatatype="20" unbalanced="0"/>
    <cacheHierarchy uniqueName="[OPEXAnaliza].[Период (Year)]" caption="Период (Year)" attribute="1" defaultMemberUniqueName="[OPEXAnaliza].[Период (Year)].[All]" allUniqueName="[OPEXAnaliza].[Период (Year)].[All]" dimensionUniqueName="[OPEXAnaliza]" displayFolder="" count="0" memberValueDatatype="130" unbalanced="0"/>
    <cacheHierarchy uniqueName="[OPEXAnaliza].[Период (Quarter)]" caption="Период (Quarter)" attribute="1" defaultMemberUniqueName="[OPEXAnaliza].[Период (Quarter)].[All]" allUniqueName="[OPEXAnaliza].[Период (Quarter)].[All]" dimensionUniqueName="[OPEXAnaliza]" displayFolder="" count="0" memberValueDatatype="130" unbalanced="0"/>
    <cacheHierarchy uniqueName="[OPEXAnaliza].[Период (Month)]" caption="Период (Month)" attribute="1" defaultMemberUniqueName="[OPEXAnaliza].[Период (Month)].[All]" allUniqueName="[OPEXAnaliza].[Период (Month)].[All]" dimensionUniqueName="[OPEXAnaliza]" displayFolder="" count="0" memberValueDatatype="130" unbalanced="0"/>
    <cacheHierarchy uniqueName="[rArtikli_HR_Analiza].[Ставка]" caption="Ставка" attribute="1" defaultMemberUniqueName="[rArtikli_HR_Analiza].[Ставка].[All]" allUniqueName="[rArtikli_HR_Analiza].[Ставка].[All]" dimensionUniqueName="[rArtikli_HR_Analiza]" displayFolder="" count="0" memberValueDatatype="130" unbalanced="0"/>
    <cacheHierarchy uniqueName="[rArtikli_HR_Analiza].[Категорија Артикл]" caption="Категорија Артикл" attribute="1" defaultMemberUniqueName="[rArtikli_HR_Analiza].[Категорија Артикл].[All]" allUniqueName="[rArtikli_HR_Analiza].[Категорија Артикл].[All]" dimensionUniqueName="[rArtikli_HR_Analiza]" displayFolder="" count="0" memberValueDatatype="130" unbalanced="0"/>
    <cacheHierarchy uniqueName="[rArtikli_HR_Analiza].[Тип на артикл]" caption="Тип на артикл" attribute="1" defaultMemberUniqueName="[rArtikli_HR_Analiza].[Тип на артикл].[All]" allUniqueName="[rArtikli_HR_Analiza].[Тип на артикл].[All]" dimensionUniqueName="[rArtikli_HR_Analiza]" displayFolder="" count="0" memberValueDatatype="130" unbalanced="0"/>
    <cacheHierarchy uniqueName="[rArtikli_HR_Analiza].[Единечна мерка]" caption="Единечна мерка" attribute="1" defaultMemberUniqueName="[rArtikli_HR_Analiza].[Единечна мерка].[All]" allUniqueName="[rArtikli_HR_Analiza].[Единечна мерка].[All]" dimensionUniqueName="[rArtikli_HR_Analiza]" displayFolder="" count="0" memberValueDatatype="130" unbalanced="0"/>
    <cacheHierarchy uniqueName="[rArtikli_HR_Analiza].[Количина]" caption="Количина" attribute="1" defaultMemberUniqueName="[rArtikli_HR_Analiza].[Количина].[All]" allUniqueName="[rArtikli_HR_Analiza].[Количина].[All]" dimensionUniqueName="[rArtikli_HR_Analiza]" displayFolder="" count="0" memberValueDatatype="5" unbalanced="0"/>
    <cacheHierarchy uniqueName="[rArtikli_HR_Analiza].[Единечна цена]" caption="Единечна цена" attribute="1" defaultMemberUniqueName="[rArtikli_HR_Analiza].[Единечна цена].[All]" allUniqueName="[rArtikli_HR_Analiza].[Единечна цена].[All]" dimensionUniqueName="[rArtikli_HR_Analiza]" displayFolder="" count="0" memberValueDatatype="20" unbalanced="0"/>
    <cacheHierarchy uniqueName="[rArtikli_HR_Analiza].[Вкупно трошок]" caption="Вкупно трошок" attribute="1" defaultMemberUniqueName="[rArtikli_HR_Analiza].[Вкупно трошок].[All]" allUniqueName="[rArtikli_HR_Analiza].[Вкупно трошок].[All]" dimensionUniqueName="[rArtikli_HR_Analiza]" displayFolder="" count="0" memberValueDatatype="5" unbalanced="0"/>
    <cacheHierarchy uniqueName="[rArtikli_HR_Analiza].[ДДВ]" caption="ДДВ" attribute="1" defaultMemberUniqueName="[rArtikli_HR_Analiza].[ДДВ].[All]" allUniqueName="[rArtikli_HR_Analiza].[ДДВ].[All]" dimensionUniqueName="[rArtikli_HR_Analiza]" displayFolder="" count="0" memberValueDatatype="5" unbalanced="0"/>
    <cacheHierarchy uniqueName="[rArtikli_HR_Analiza].[Износ]" caption="Износ" attribute="1" defaultMemberUniqueName="[rArtikli_HR_Analiza].[Износ].[All]" allUniqueName="[rArtikli_HR_Analiza].[Износ].[All]" dimensionUniqueName="[rArtikli_HR_Analiza]" displayFolder="" count="0" memberValueDatatype="5" unbalanced="0"/>
    <cacheHierarchy uniqueName="[rArtikli_HR_Analiza].[Конто]" caption="Конто" attribute="1" defaultMemberUniqueName="[rArtikli_HR_Analiza].[Конто].[All]" allUniqueName="[rArtikli_HR_Analiza].[Конто].[All]" dimensionUniqueName="[rArtikli_HR_Analiza]" displayFolder="" count="0" memberValueDatatype="130" unbalanced="0"/>
    <cacheHierarchy uniqueName="[rArtikli_HR_Analiza].[ReportType]" caption="ReportType" attribute="1" defaultMemberUniqueName="[rArtikli_HR_Analiza].[ReportType].[All]" allUniqueName="[rArtikli_HR_Analiza].[ReportType].[All]" dimensionUniqueName="[rArtikli_HR_Analiza]" displayFolder="" count="0" memberValueDatatype="130" unbalanced="0"/>
    <cacheHierarchy uniqueName="[rArtikli_HR_Analiza].[Период]" caption="Период" attribute="1" time="1" defaultMemberUniqueName="[rArtikli_HR_Analiza].[Период].[All]" allUniqueName="[rArtikli_HR_Analiza].[Период].[All]" dimensionUniqueName="[rArtikli_HR_Analiza]" displayFolder="" count="0" memberValueDatatype="7" unbalanced="0"/>
    <cacheHierarchy uniqueName="[rArtikli_HR_Analiza].[StavkaImeMK]" caption="StavkaImeMK" attribute="1" defaultMemberUniqueName="[rArtikli_HR_Analiza].[StavkaImeMK].[All]" allUniqueName="[rArtikli_HR_Analiza].[StavkaImeMK].[All]" dimensionUniqueName="[rArtikli_HR_Analiza]" displayFolder="" count="0" memberValueDatatype="130" unbalanced="0"/>
    <cacheHierarchy uniqueName="[rArtikli_HR_Analiza].[StavkaAOP]" caption="StavkaAOP" attribute="1" defaultMemberUniqueName="[rArtikli_HR_Analiza].[StavkaAOP].[All]" allUniqueName="[rArtikli_HR_Analiza].[StavkaAOP].[All]" dimensionUniqueName="[rArtikli_HR_Analiza]" displayFolder="" count="0" memberValueDatatype="130" unbalanced="0"/>
    <cacheHierarchy uniqueName="[rArtikli_HR_Analiza].[StavkaGrupa]" caption="StavkaGrupa" attribute="1" defaultMemberUniqueName="[rArtikli_HR_Analiza].[StavkaGrupa].[All]" allUniqueName="[rArtikli_HR_Analiza].[StavkaGrupa].[All]" dimensionUniqueName="[rArtikli_HR_Analiza]" displayFolder="" count="0" memberValueDatatype="130" unbalanced="0"/>
    <cacheHierarchy uniqueName="[rArtikli_HR_Analiza].[StavkaKategorija]" caption="StavkaKategorija" attribute="1" defaultMemberUniqueName="[rArtikli_HR_Analiza].[StavkaKategorija].[All]" allUniqueName="[rArtikli_HR_Analiza].[StavkaKategorija].[All]" dimensionUniqueName="[rArtikli_HR_Analiza]" displayFolder="" count="0" memberValueDatatype="130" unbalanced="0"/>
    <cacheHierarchy uniqueName="[rArtikli_HR_Analiza].[ObrazecIme]" caption="ObrazecIme" attribute="1" defaultMemberUniqueName="[rArtikli_HR_Analiza].[ObrazecIme].[All]" allUniqueName="[rArtikli_HR_Analiza].[ObrazecIme].[All]" dimensionUniqueName="[rArtikli_HR_Analiza]" displayFolder="" count="0" memberValueDatatype="130" unbalanced="0"/>
    <cacheHierarchy uniqueName="[rArtikli_HR_Analiza].[StavkaKategorija.1]" caption="StavkaKategorija.1" attribute="1" defaultMemberUniqueName="[rArtikli_HR_Analiza].[StavkaKategorija.1].[All]" allUniqueName="[rArtikli_HR_Analiza].[StavkaKategorija.1].[All]" dimensionUniqueName="[rArtikli_HR_Analiza]" displayFolder="" count="0" memberValueDatatype="130" unbalanced="0"/>
    <cacheHierarchy uniqueName="[rArtikliAnaliza].[Артикл ИД]" caption="Артикл ИД" attribute="1" defaultMemberUniqueName="[rArtikliAnaliza].[Артикл ИД].[All]" allUniqueName="[rArtikliAnaliza].[Артикл ИД].[All]" dimensionUniqueName="[rArtikliAnaliza]" displayFolder="" count="0" memberValueDatatype="20" unbalanced="0"/>
    <cacheHierarchy uniqueName="[rArtikliAnaliza].[Ставка]" caption="Ставка" attribute="1" defaultMemberUniqueName="[rArtikliAnaliza].[Ставка].[All]" allUniqueName="[rArtikliAnaliza].[Ставка].[All]" dimensionUniqueName="[rArtikliAnaliza]" displayFolder="" count="0" memberValueDatatype="130" unbalanced="0"/>
    <cacheHierarchy uniqueName="[rArtikliAnaliza].[Категорија Артикл ИД]" caption="Категорија Артикл ИД" attribute="1" defaultMemberUniqueName="[rArtikliAnaliza].[Категорија Артикл ИД].[All]" allUniqueName="[rArtikliAnaliza].[Категорија Артикл ИД].[All]" dimensionUniqueName="[rArtikliAnaliza]" displayFolder="" count="0" memberValueDatatype="20" unbalanced="0"/>
    <cacheHierarchy uniqueName="[rArtikliAnaliza].[Категорија Артикл]" caption="Категорија Артикл" attribute="1" defaultMemberUniqueName="[rArtikliAnaliza].[Категорија Артикл].[All]" allUniqueName="[rArtikliAnaliza].[Категорија Артикл].[All]" dimensionUniqueName="[rArtikliAnaliza]" displayFolder="" count="0" memberValueDatatype="130" unbalanced="0"/>
    <cacheHierarchy uniqueName="[rArtikliAnaliza].[Тип на артикл]" caption="Тип на артикл" attribute="1" defaultMemberUniqueName="[rArtikliAnaliza].[Тип на артикл].[All]" allUniqueName="[rArtikliAnaliza].[Тип на артикл].[All]" dimensionUniqueName="[rArtikliAnaliza]" displayFolder="" count="0" memberValueDatatype="130" unbalanced="0"/>
    <cacheHierarchy uniqueName="[rArtikliAnaliza].[Единечна мерка]" caption="Единечна мерка" attribute="1" defaultMemberUniqueName="[rArtikliAnaliza].[Единечна мерка].[All]" allUniqueName="[rArtikliAnaliza].[Единечна мерка].[All]" dimensionUniqueName="[rArtikliAnaliza]" displayFolder="" count="0" memberValueDatatype="130" unbalanced="0"/>
    <cacheHierarchy uniqueName="[rArtikliAnaliza].[Количина]" caption="Количина" attribute="1" defaultMemberUniqueName="[rArtikliAnaliza].[Количина].[All]" allUniqueName="[rArtikliAnaliza].[Количина].[All]" dimensionUniqueName="[rArtikliAnaliza]" displayFolder="" count="0" memberValueDatatype="5" unbalanced="0"/>
    <cacheHierarchy uniqueName="[rArtikliAnaliza].[Единечна цена]" caption="Единечна цена" attribute="1" defaultMemberUniqueName="[rArtikliAnaliza].[Единечна цена].[All]" allUniqueName="[rArtikliAnaliza].[Единечна цена].[All]" dimensionUniqueName="[rArtikliAnaliza]" displayFolder="" count="0" memberValueDatatype="20" unbalanced="0"/>
    <cacheHierarchy uniqueName="[rArtikliAnaliza].[Износ]" caption="Износ" attribute="1" defaultMemberUniqueName="[rArtikliAnaliza].[Износ].[All]" allUniqueName="[rArtikliAnaliza].[Износ].[All]" dimensionUniqueName="[rArtikliAnaliza]" displayFolder="" count="0" memberValueDatatype="5" unbalanced="0"/>
    <cacheHierarchy uniqueName="[rArtikliAnaliza].[ДДВ]" caption="ДДВ" attribute="1" defaultMemberUniqueName="[rArtikliAnaliza].[ДДВ].[All]" allUniqueName="[rArtikliAnaliza].[ДДВ].[All]" dimensionUniqueName="[rArtikliAnaliza]" displayFolder="" count="0" memberValueDatatype="5" unbalanced="0"/>
    <cacheHierarchy uniqueName="[rArtikliAnaliza].[Вкупно трошок со ДДВ]" caption="Вкупно трошок со ДДВ" attribute="1" defaultMemberUniqueName="[rArtikliAnaliza].[Вкупно трошок со ДДВ].[All]" allUniqueName="[rArtikliAnaliza].[Вкупно трошок со ДДВ].[All]" dimensionUniqueName="[rArtikliAnaliza]" displayFolder="" count="0" memberValueDatatype="5" unbalanced="0"/>
    <cacheHierarchy uniqueName="[rArtikliAnaliza].[Конто]" caption="Конто" attribute="1" defaultMemberUniqueName="[rArtikliAnaliza].[Конто].[All]" allUniqueName="[rArtikliAnaliza].[Конто].[All]" dimensionUniqueName="[rArtikliAnaliza]" displayFolder="" count="0" memberValueDatatype="130" unbalanced="0"/>
    <cacheHierarchy uniqueName="[rArtikliAnaliza].[Период]" caption="Период" attribute="1" time="1" defaultMemberUniqueName="[rArtikliAnaliza].[Период].[All]" allUniqueName="[rArtikliAnaliza].[Период].[All]" dimensionUniqueName="[rArtikliAnaliza]" displayFolder="" count="0" memberValueDatatype="7" unbalanced="0"/>
    <cacheHierarchy uniqueName="[rArtikliAnaliza].[ReportType]" caption="ReportType" attribute="1" defaultMemberUniqueName="[rArtikliAnaliza].[ReportType].[All]" allUniqueName="[rArtikliAnaliza].[ReportType].[All]" dimensionUniqueName="[rArtikliAnaliza]" displayFolder="" count="0" memberValueDatatype="130" unbalanced="0"/>
    <cacheHierarchy uniqueName="[rArtikliAnaliza].[StavkaImeMK]" caption="StavkaImeMK" attribute="1" defaultMemberUniqueName="[rArtikliAnaliza].[StavkaImeMK].[All]" allUniqueName="[rArtikliAnaliza].[StavkaImeMK].[All]" dimensionUniqueName="[rArtikliAnaliza]" displayFolder="" count="0" memberValueDatatype="130" unbalanced="0"/>
    <cacheHierarchy uniqueName="[rArtikliAnaliza].[StavkaKategorija]" caption="StavkaKategorija" attribute="1" defaultMemberUniqueName="[rArtikliAnaliza].[StavkaKategorija].[All]" allUniqueName="[rArtikliAnaliza].[StavkaKategorija].[All]" dimensionUniqueName="[rArtikliAnaliza]" displayFolder="" count="0" memberValueDatatype="130" unbalanced="0"/>
    <cacheHierarchy uniqueName="[rArtikliAnaliza].[Период (Year)]" caption="Период (Year)" attribute="1" defaultMemberUniqueName="[rArtikliAnaliza].[Период (Year)].[All]" allUniqueName="[rArtikliAnaliza].[Период (Year)].[All]" dimensionUniqueName="[rArtikliAnaliza]" displayFolder="" count="0" memberValueDatatype="130" unbalanced="0"/>
    <cacheHierarchy uniqueName="[rArtikliAnaliza].[Период (Quarter)]" caption="Период (Quarter)" attribute="1" defaultMemberUniqueName="[rArtikliAnaliza].[Период (Quarter)].[All]" allUniqueName="[rArtikliAnaliza].[Период (Quarter)].[All]" dimensionUniqueName="[rArtikliAnaliza]" displayFolder="" count="0" memberValueDatatype="130" unbalanced="0"/>
    <cacheHierarchy uniqueName="[rArtikliAnaliza].[Период (Month)]" caption="Период (Month)" attribute="1" defaultMemberUniqueName="[rArtikliAnaliza].[Период (Month)].[All]" allUniqueName="[rArtikliAnaliza].[Период (Month)].[All]" dimensionUniqueName="[rArtikliAnaliza]" displayFolder="" count="0" memberValueDatatype="130" unbalanced="0"/>
    <cacheHierarchy uniqueName="[CAPEX].[Очекуван датум за ставање во употреба (месец) (Month Index)]" caption="Очекуван датум за ставање во употреба (месец) (Month Index)" attribute="1" defaultMemberUniqueName="[CAPEX].[Очекуван датум за ставање во употреба (месец) (Month Index)].[All]" allUniqueName="[CAPEX].[Очекуван датум за ставање во употреба (месец) (Month Index)].[All]" dimensionUniqueName="[CAPEX]" displayFolder="" count="0" memberValueDatatype="20" unbalanced="0" hidden="1"/>
    <cacheHierarchy uniqueName="[CAPEX].[Очекуван датум на плаќање (Month Index)]" caption="Очекуван датум на плаќање (Month Index)" attribute="1" defaultMemberUniqueName="[CAPEX].[Очекуван датум на плаќање (Month Index)].[All]" allUniqueName="[CAPEX].[Очекуван датум на плаќање (Month Index)].[All]" dimensionUniqueName="[CAPEX]" displayFolder="" count="0" memberValueDatatype="20" unbalanced="0" hidden="1"/>
    <cacheHierarchy uniqueName="[fActualAndBudget].[StavkaID]" caption="StavkaID" attribute="1" defaultMemberUniqueName="[fActualAndBudget].[StavkaID].[All]" allUniqueName="[fActualAndBudget].[StavkaID].[All]" dimensionUniqueName="[fActualAndBudget]" displayFolder="" count="0" memberValueDatatype="20" unbalanced="0" hidden="1"/>
    <cacheHierarchy uniqueName="[fCoveckiResursi].[Период (Month Index)]" caption="Период (Month Index)" attribute="1" defaultMemberUniqueName="[fCoveckiResursi].[Период (Month Index)].[All]" allUniqueName="[fCoveckiResursi].[Период (Month Index)].[All]" dimensionUniqueName="[fCoveckiResursi]" displayFolder="" count="0" memberValueDatatype="20" unbalanced="0" hidden="1"/>
    <cacheHierarchy uniqueName="[fCoveckiResursi].[Период (Month Index) 1]" caption="Период (Month Index) 1" attribute="1" defaultMemberUniqueName="[fCoveckiResursi].[Период (Month Index) 1].[All]" allUniqueName="[fCoveckiResursi].[Период (Month Index) 1].[All]" dimensionUniqueName="[fCoveckiResursi]" displayFolder="" count="0" memberValueDatatype="20" unbalanced="0" hidden="1"/>
    <cacheHierarchy uniqueName="[OPEXAnaliza].[Период (Month Index)]" caption="Период (Month Index)" attribute="1" defaultMemberUniqueName="[OPEXAnaliza].[Период (Month Index)].[All]" allUniqueName="[OPEXAnaliza].[Период (Month Index)].[All]" dimensionUniqueName="[OPEXAnaliza]" displayFolder="" count="0" memberValueDatatype="20" unbalanced="0" hidden="1"/>
    <cacheHierarchy uniqueName="[rArtikli_HR_Analiza].[Крајна состојба вработени]" caption="Крајна состојба вработени" attribute="1" defaultMemberUniqueName="[rArtikli_HR_Analiza].[Крајна состојба вработени].[All]" allUniqueName="[rArtikli_HR_Analiza].[Крајна состојба вработени].[All]" dimensionUniqueName="[rArtikli_HR_Analiza]" displayFolder="" count="0" memberValueDatatype="20" unbalanced="0" hidden="1"/>
    <cacheHierarchy uniqueName="[rArtikli_HR_Analiza].[Планиран прилив/(одлив)]" caption="Планиран прилив/(одлив)" attribute="1" defaultMemberUniqueName="[rArtikli_HR_Analiza].[Планиран прилив/(одлив)].[All]" allUniqueName="[rArtikli_HR_Analiza].[Планиран прилив/(одлив)].[All]" dimensionUniqueName="[rArtikli_HR_Analiza]" displayFolder="" count="0" memberValueDatatype="20" unbalanced="0" hidden="1"/>
    <cacheHierarchy uniqueName="[rArtikli_HR_Analiza].[Тип на вработување]" caption="Тип на вработување" attribute="1" defaultMemberUniqueName="[rArtikli_HR_Analiza].[Тип на вработување].[All]" allUniqueName="[rArtikli_HR_Analiza].[Тип на вработување].[All]" dimensionUniqueName="[rArtikli_HR_Analiza]" displayFolder="" count="0" memberValueDatatype="130" unbalanced="0" hidden="1"/>
    <cacheHierarchy uniqueName="[rArtikliAnaliza].[Период (Month Index)]" caption="Период (Month Index)" attribute="1" defaultMemberUniqueName="[rArtikliAnaliza].[Период (Month Index)].[All]" allUniqueName="[rArtikliAnaliza].[Период (Month Index)].[All]" dimensionUniqueName="[rArtikliAnaliza]" displayFolder="" count="0" memberValueDatatype="20" unbalanced="0" hidden="1"/>
    <cacheHierarchy uniqueName="[Measures].[__XL_Count Calendar]" caption="__XL_Count Calendar" measure="1" displayFolder="" measureGroup="Calendar" count="0" hidden="1"/>
    <cacheHierarchy uniqueName="[Measures].[__XL_Count CAPEX]" caption="__XL_Count CAPEX" measure="1" displayFolder="" measureGroup="CAPEX" count="0" hidden="1"/>
    <cacheHierarchy uniqueName="[Measures].[__XL_Count Amortizacija]" caption="__XL_Count Amortizacija" measure="1" displayFolder="" measureGroup="Amortizacija" count="0" hidden="1"/>
    <cacheHierarchy uniqueName="[Measures].[__XL_Count fCoveckiResursi]" caption="__XL_Count fCoveckiResursi" measure="1" displayFolder="" measureGroup="fCoveckiResursi" count="0" hidden="1"/>
    <cacheHierarchy uniqueName="[Measures].[__XL_Count fActualAndBudget]" caption="__XL_Count fActualAndBudget" measure="1" displayFolder="" measureGroup="fActualAndBudget" count="0" hidden="1"/>
    <cacheHierarchy uniqueName="[Measures].[__XL_Count fOPEX]" caption="__XL_Count fOPEX" measure="1" displayFolder="" measureGroup="fOPEX" count="0" hidden="1"/>
    <cacheHierarchy uniqueName="[Measures].[__XL_Count OPEXAnaliza]" caption="__XL_Count OPEXAnaliza" measure="1" displayFolder="" measureGroup="OPEXAnaliza" count="0" hidden="1"/>
    <cacheHierarchy uniqueName="[Measures].[__XL_Count rArtikliAnaliza]" caption="__XL_Count rArtikliAnaliza" measure="1" displayFolder="" measureGroup="rArtikliAnaliza" count="0" hidden="1"/>
    <cacheHierarchy uniqueName="[Measures].[__XL_Count fArtikliCeni]" caption="__XL_Count fArtikliCeni" measure="1" displayFolder="" measureGroup="fArtikliCeni" count="0" hidden="1"/>
    <cacheHierarchy uniqueName="[Measures].[__XL_Count rArtikli_HR_Analiza]" caption="__XL_Count rArtikli_HR_Analiza" measure="1" displayFolder="" measureGroup="rArtikli_HR_Analiza" count="0" hidden="1"/>
    <cacheHierarchy uniqueName="[Measures].[__XL_Count fCoveckiResursi  2]" caption="__XL_Count fCoveckiResursi  2" measure="1" displayFolder="" measureGroup="fCoveckiResursi  2" count="0" hidden="1"/>
    <cacheHierarchy uniqueName="[Measures].[__No measures defined]" caption="__No measures defined" measure="1" displayFolder="" count="0" hidden="1"/>
    <cacheHierarchy uniqueName="[Measures].[Sum of Износ 3]" caption="Sum of Износ 3" measure="1" displayFolder="" measureGroup="fCoveckiResursi" count="0" hidden="1">
      <extLst>
        <ext xmlns:x15="http://schemas.microsoft.com/office/spreadsheetml/2010/11/main" uri="{B97F6D7D-B522-45F9-BDA1-12C45D357490}">
          <x15:cacheHierarchy aggregatedColumn="71"/>
        </ext>
      </extLst>
    </cacheHierarchy>
    <cacheHierarchy uniqueName="[Measures].[Sum of Крајна состојба вработени]" caption="Sum of Крајна состојба вработени" measure="1" displayFolder="" measureGroup="fCoveckiResursi" count="0" hidden="1">
      <extLst>
        <ext xmlns:x15="http://schemas.microsoft.com/office/spreadsheetml/2010/11/main" uri="{B97F6D7D-B522-45F9-BDA1-12C45D357490}">
          <x15:cacheHierarchy aggregatedColumn="70"/>
        </ext>
      </extLst>
    </cacheHierarchy>
    <cacheHierarchy uniqueName="[Measures].[Sum of Планиран прилив/(одлив)]" caption="Sum of Планиран прилив/(одлив)" measure="1" displayFolder="" measureGroup="fCoveckiResursi" count="0" hidden="1">
      <extLst>
        <ext xmlns:x15="http://schemas.microsoft.com/office/spreadsheetml/2010/11/main" uri="{B97F6D7D-B522-45F9-BDA1-12C45D357490}">
          <x15:cacheHierarchy aggregatedColumn="68"/>
        </ext>
      </extLst>
    </cacheHierarchy>
    <cacheHierarchy uniqueName="[Measures].[Sum of Износ]" caption="Sum of Износ" measure="1" displayFolder="" measureGroup="fActualAndBudget" count="0" oneField="1" hidden="1">
      <fieldsUsage count="1">
        <fieldUsage x="2"/>
      </fieldsUsage>
      <extLst>
        <ext xmlns:x15="http://schemas.microsoft.com/office/spreadsheetml/2010/11/main" uri="{B97F6D7D-B522-45F9-BDA1-12C45D357490}">
          <x15:cacheHierarchy aggregatedColumn="45"/>
        </ext>
      </extLst>
    </cacheHierarchy>
    <cacheHierarchy uniqueName="[Measures].[Sum of Износ (илјади)]" caption="Sum of Износ (илјади)" measure="1" displayFolder="" measureGroup="fActualAndBudget" count="0" hidden="1">
      <extLst>
        <ext xmlns:x15="http://schemas.microsoft.com/office/spreadsheetml/2010/11/main" uri="{B97F6D7D-B522-45F9-BDA1-12C45D357490}">
          <x15:cacheHierarchy aggregatedColumn="46"/>
        </ext>
      </extLst>
    </cacheHierarchy>
    <cacheHierarchy uniqueName="[Measures].[Sum of Износ1]" caption="Sum of Износ1" measure="1" displayFolder="" measureGroup="fActualAndBudget" count="0" hidden="1">
      <extLst>
        <ext xmlns:x15="http://schemas.microsoft.com/office/spreadsheetml/2010/11/main" uri="{B97F6D7D-B522-45F9-BDA1-12C45D357490}">
          <x15:cacheHierarchy aggregatedColumn="34"/>
        </ext>
      </extLst>
    </cacheHierarchy>
    <cacheHierarchy uniqueName="[Measures].[Sum of Износ 2]" caption="Sum of Износ 2" measure="1" displayFolder="" measureGroup="Amortizacija" count="0" hidden="1">
      <extLst>
        <ext xmlns:x15="http://schemas.microsoft.com/office/spreadsheetml/2010/11/main" uri="{B97F6D7D-B522-45F9-BDA1-12C45D357490}">
          <x15:cacheHierarchy aggregatedColumn="3"/>
        </ext>
      </extLst>
    </cacheHierarchy>
    <cacheHierarchy uniqueName="[Measures].[Sum of Износ 4]" caption="Sum of Износ 4" measure="1" displayFolder="" measureGroup="OPEXAnaliza" count="0" hidden="1">
      <extLst>
        <ext xmlns:x15="http://schemas.microsoft.com/office/spreadsheetml/2010/11/main" uri="{B97F6D7D-B522-45F9-BDA1-12C45D357490}">
          <x15:cacheHierarchy aggregatedColumn="101"/>
        </ext>
      </extLst>
    </cacheHierarchy>
    <cacheHierarchy uniqueName="[Measures].[Sum of Износ донација]" caption="Sum of Износ донација" measure="1" displayFolder="" measureGroup="CAPEX" count="0" hidden="1">
      <extLst>
        <ext xmlns:x15="http://schemas.microsoft.com/office/spreadsheetml/2010/11/main" uri="{B97F6D7D-B522-45F9-BDA1-12C45D357490}">
          <x15:cacheHierarchy aggregatedColumn="24"/>
        </ext>
      </extLst>
    </cacheHierarchy>
    <cacheHierarchy uniqueName="[Measures].[Sum of Вкупно трошок]" caption="Sum of Вкупно трошок" measure="1" displayFolder="" measureGroup="fArtikliCeni" count="0" hidden="1">
      <extLst>
        <ext xmlns:x15="http://schemas.microsoft.com/office/spreadsheetml/2010/11/main" uri="{B97F6D7D-B522-45F9-BDA1-12C45D357490}">
          <x15:cacheHierarchy aggregatedColumn="55"/>
        </ext>
      </extLst>
    </cacheHierarchy>
    <cacheHierarchy uniqueName="[Measures].[Sum of Количина]" caption="Sum of Количина" measure="1" displayFolder="" measureGroup="fArtikliCeni" count="0" hidden="1">
      <extLst>
        <ext xmlns:x15="http://schemas.microsoft.com/office/spreadsheetml/2010/11/main" uri="{B97F6D7D-B522-45F9-BDA1-12C45D357490}">
          <x15:cacheHierarchy aggregatedColumn="53"/>
        </ext>
      </extLst>
    </cacheHierarchy>
    <cacheHierarchy uniqueName="[Measures].[Sum of Единечна цена]" caption="Sum of Единечна цена" measure="1" displayFolder="" measureGroup="fArtikliCeni" count="0" hidden="1">
      <extLst>
        <ext xmlns:x15="http://schemas.microsoft.com/office/spreadsheetml/2010/11/main" uri="{B97F6D7D-B522-45F9-BDA1-12C45D357490}">
          <x15:cacheHierarchy aggregatedColumn="54"/>
        </ext>
      </extLst>
    </cacheHierarchy>
    <cacheHierarchy uniqueName="[Measures].[Sum of ДДВ]" caption="Sum of ДДВ" measure="1" displayFolder="" measureGroup="fArtikliCeni" count="0" hidden="1">
      <extLst>
        <ext xmlns:x15="http://schemas.microsoft.com/office/spreadsheetml/2010/11/main" uri="{B97F6D7D-B522-45F9-BDA1-12C45D357490}">
          <x15:cacheHierarchy aggregatedColumn="56"/>
        </ext>
      </extLst>
    </cacheHierarchy>
    <cacheHierarchy uniqueName="[Measures].[Sum of Износ 6]" caption="Sum of Износ 6" measure="1" displayFolder="" measureGroup="fArtikliCeni" count="0" hidden="1">
      <extLst>
        <ext xmlns:x15="http://schemas.microsoft.com/office/spreadsheetml/2010/11/main" uri="{B97F6D7D-B522-45F9-BDA1-12C45D357490}">
          <x15:cacheHierarchy aggregatedColumn="57"/>
        </ext>
      </extLst>
    </cacheHierarchy>
    <cacheHierarchy uniqueName="[Measures].[Count of Единечна мерка]" caption="Count of Единечна мерка" measure="1" displayFolder="" measureGroup="fArtikliCeni" count="0" hidden="1">
      <extLst>
        <ext xmlns:x15="http://schemas.microsoft.com/office/spreadsheetml/2010/11/main" uri="{B97F6D7D-B522-45F9-BDA1-12C45D357490}">
          <x15:cacheHierarchy aggregatedColumn="52"/>
        </ext>
      </extLst>
    </cacheHierarchy>
    <cacheHierarchy uniqueName="[Measures].[Sum of Количина 2]" caption="Sum of Количина 2" measure="1" displayFolder="" measureGroup="rArtikli_HR_Analiza" count="0" hidden="1">
      <extLst>
        <ext xmlns:x15="http://schemas.microsoft.com/office/spreadsheetml/2010/11/main" uri="{B97F6D7D-B522-45F9-BDA1-12C45D357490}">
          <x15:cacheHierarchy aggregatedColumn="118"/>
        </ext>
      </extLst>
    </cacheHierarchy>
    <cacheHierarchy uniqueName="[Measures].[Sum of Единечна цена 2]" caption="Sum of Единечна цена 2" measure="1" displayFolder="" measureGroup="rArtikli_HR_Analiza" count="0" hidden="1">
      <extLst>
        <ext xmlns:x15="http://schemas.microsoft.com/office/spreadsheetml/2010/11/main" uri="{B97F6D7D-B522-45F9-BDA1-12C45D357490}">
          <x15:cacheHierarchy aggregatedColumn="119"/>
        </ext>
      </extLst>
    </cacheHierarchy>
    <cacheHierarchy uniqueName="[Measures].[Sum of Вкупно трошок 2]" caption="Sum of Вкупно трошок 2" measure="1" displayFolder="" measureGroup="rArtikli_HR_Analiza" count="0" hidden="1">
      <extLst>
        <ext xmlns:x15="http://schemas.microsoft.com/office/spreadsheetml/2010/11/main" uri="{B97F6D7D-B522-45F9-BDA1-12C45D357490}">
          <x15:cacheHierarchy aggregatedColumn="120"/>
        </ext>
      </extLst>
    </cacheHierarchy>
    <cacheHierarchy uniqueName="[Measures].[Sum of ДДВ 2]" caption="Sum of ДДВ 2" measure="1" displayFolder="" measureGroup="rArtikli_HR_Analiza" count="0" hidden="1">
      <extLst>
        <ext xmlns:x15="http://schemas.microsoft.com/office/spreadsheetml/2010/11/main" uri="{B97F6D7D-B522-45F9-BDA1-12C45D357490}">
          <x15:cacheHierarchy aggregatedColumn="121"/>
        </ext>
      </extLst>
    </cacheHierarchy>
    <cacheHierarchy uniqueName="[Measures].[Sum of Износ 7]" caption="Sum of Износ 7" measure="1" displayFolder="" measureGroup="rArtikli_HR_Analiza" count="0" hidden="1">
      <extLst>
        <ext xmlns:x15="http://schemas.microsoft.com/office/spreadsheetml/2010/11/main" uri="{B97F6D7D-B522-45F9-BDA1-12C45D357490}">
          <x15:cacheHierarchy aggregatedColumn="122"/>
        </ext>
      </extLst>
    </cacheHierarchy>
    <cacheHierarchy uniqueName="[Measures].[Sum of Износ 5]" caption="Sum of Износ 5" measure="1" displayFolder="" measureGroup="fCoveckiResursi  2" count="0" hidden="1">
      <extLst>
        <ext xmlns:x15="http://schemas.microsoft.com/office/spreadsheetml/2010/11/main" uri="{B97F6D7D-B522-45F9-BDA1-12C45D357490}">
          <x15:cacheHierarchy aggregatedColumn="82"/>
        </ext>
      </extLst>
    </cacheHierarchy>
    <cacheHierarchy uniqueName="[Measures].[Sum of Проценета вредност на набавка со ДДВ (денари)]" caption="Sum of Проценета вредност на набавка со ДДВ (денари)" measure="1" displayFolder="" measureGroup="CAPEX" count="0" hidden="1">
      <extLst>
        <ext xmlns:x15="http://schemas.microsoft.com/office/spreadsheetml/2010/11/main" uri="{B97F6D7D-B522-45F9-BDA1-12C45D357490}">
          <x15:cacheHierarchy aggregatedColumn="20"/>
        </ext>
      </extLst>
    </cacheHierarchy>
  </cacheHierarchies>
  <kpis count="0"/>
  <dimensions count="12">
    <dimension name="Amortizacija" uniqueName="[Amortizacija]" caption="Amortizacija"/>
    <dimension name="Calendar" uniqueName="[Calendar]" caption="Calendar"/>
    <dimension name="CAPEX" uniqueName="[CAPEX]" caption="CAPEX"/>
    <dimension name="fActualAndBudget" uniqueName="[fActualAndBudget]" caption="fActualAndBudget"/>
    <dimension name="fArtikliCeni" uniqueName="[fArtikliCeni]" caption="fArtikliCeni"/>
    <dimension name="fCoveckiResursi" uniqueName="[fCoveckiResursi]" caption="fCoveckiResursi"/>
    <dimension name="fCoveckiResursi  2" uniqueName="[fCoveckiResursi  2]" caption="fCoveckiResursi  2"/>
    <dimension name="fOPEX" uniqueName="[fOPEX]" caption="fOPEX"/>
    <dimension measure="1" name="Measures" uniqueName="[Measures]" caption="Measures"/>
    <dimension name="OPEXAnaliza" uniqueName="[OPEXAnaliza]" caption="OPEXAnaliza"/>
    <dimension name="rArtikli_HR_Analiza" uniqueName="[rArtikli_HR_Analiza]" caption="rArtikli_HR_Analiza"/>
    <dimension name="rArtikliAnaliza" uniqueName="[rArtikliAnaliza]" caption="rArtikliAnaliza"/>
  </dimensions>
  <measureGroups count="11">
    <measureGroup name="Amortizacija" caption="Amortizacija"/>
    <measureGroup name="Calendar" caption="Calendar"/>
    <measureGroup name="CAPEX" caption="CAPEX"/>
    <measureGroup name="fActualAndBudget" caption="fActualAndBudget"/>
    <measureGroup name="fArtikliCeni" caption="fArtikliCeni"/>
    <measureGroup name="fCoveckiResursi" caption="fCoveckiResursi"/>
    <measureGroup name="fCoveckiResursi  2" caption="fCoveckiResursi  2"/>
    <measureGroup name="fOPEX" caption="fOPEX"/>
    <measureGroup name="OPEXAnaliza" caption="OPEXAnaliza"/>
    <measureGroup name="rArtikli_HR_Analiza" caption="rArtikli_HR_Analiza"/>
    <measureGroup name="rArtikliAnaliza" caption="rArtikliAnaliza"/>
  </measureGroups>
  <maps count="19">
    <map measureGroup="0" dimension="0"/>
    <map measureGroup="0" dimension="1"/>
    <map measureGroup="1" dimension="1"/>
    <map measureGroup="2" dimension="1"/>
    <map measureGroup="2" dimension="2"/>
    <map measureGroup="3" dimension="1"/>
    <map measureGroup="3" dimension="3"/>
    <map measureGroup="4" dimension="4"/>
    <map measureGroup="5" dimension="1"/>
    <map measureGroup="5" dimension="5"/>
    <map measureGroup="6" dimension="1"/>
    <map measureGroup="6" dimension="6"/>
    <map measureGroup="7" dimension="1"/>
    <map measureGroup="7" dimension="7"/>
    <map measureGroup="8" dimension="1"/>
    <map measureGroup="8" dimension="9"/>
    <map measureGroup="9" dimension="10"/>
    <map measureGroup="10" dimension="1"/>
    <map measureGroup="10" dimension="1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ngela Sazdova - Doneva" refreshedDate="44899.978570254629" createdVersion="5" refreshedVersion="6" minRefreshableVersion="3" recordCount="0" supportSubquery="1" supportAdvancedDrill="1" xr:uid="{00000000-000A-0000-FFFF-FFFF1A000000}">
  <cacheSource type="external" connectionId="22"/>
  <cacheFields count="6">
    <cacheField name="[Calendar].[Година].[Година]" caption="Година" numFmtId="0" hierarchy="8" level="1">
      <sharedItems containsSemiMixedTypes="0" containsString="0" containsNumber="1" containsInteger="1" minValue="2020" maxValue="2020" count="1">
        <n v="2020"/>
      </sharedItems>
      <extLst>
        <ext xmlns:x15="http://schemas.microsoft.com/office/spreadsheetml/2010/11/main" uri="{4F2E5C28-24EA-4eb8-9CBF-B6C8F9C3D259}">
          <x15:cachedUniqueNames>
            <x15:cachedUniqueName index="0" name="[Calendar].[Година].&amp;[2020]"/>
          </x15:cachedUniqueNames>
        </ext>
      </extLst>
    </cacheField>
    <cacheField name="[fActualAndBudget].[ObrazecIme].[ObrazecIme]" caption="ObrazecIme" numFmtId="0" hierarchy="44" level="1">
      <sharedItems containsSemiMixedTypes="0" containsNonDate="0" containsString="0"/>
    </cacheField>
    <cacheField name="[fActualAndBudget].[ReportType].[ReportType]" caption="ReportType" numFmtId="0" hierarchy="35" level="1">
      <sharedItems containsSemiMixedTypes="0" containsNonDate="0" containsString="0"/>
    </cacheField>
    <cacheField name="[Measures].[Sum of Износ]" caption="Sum of Износ" numFmtId="0" hierarchy="176" level="32767"/>
    <cacheField name="[fActualAndBudget].[Конто].[Конто]" caption="Конто" numFmtId="0" hierarchy="31" level="1">
      <sharedItems count="153">
        <s v="40103"/>
        <s v="40105"/>
        <s v="40107"/>
        <s v="4030"/>
        <s v="40304"/>
        <s v="403102"/>
        <s v="403103"/>
        <s v="403104"/>
        <s v="403105"/>
        <s v="4031601"/>
        <s v="4031602"/>
        <s v="4031603"/>
        <s v="4031604"/>
        <s v="4031605"/>
        <s v="4031606"/>
        <s v="4031607"/>
        <s v="4031608"/>
        <s v="4031609"/>
        <s v="4031610"/>
        <s v="4031611"/>
        <s v="4051"/>
        <s v="4080"/>
        <s v="4081"/>
        <s v="4104"/>
        <s v="4106"/>
        <s v="41101"/>
        <s v="41102"/>
        <s v="41103"/>
        <s v="4111"/>
        <s v="41111"/>
        <s v="4113"/>
        <s v="4131"/>
        <s v="4132"/>
        <s v="4133"/>
        <s v="41330"/>
        <s v="4134"/>
        <s v="4139"/>
        <s v="4143"/>
        <s v="41500"/>
        <s v="41501"/>
        <s v="41502"/>
        <s v="41503"/>
        <s v="4170"/>
        <s v="41700"/>
        <s v="41701"/>
        <s v="41733"/>
        <s v="41921"/>
        <s v="41925"/>
        <s v="41931"/>
        <s v="41934"/>
        <s v="4200"/>
        <s v="4220"/>
        <s v="42222"/>
        <s v="4223"/>
        <s v="4224"/>
        <s v="43020"/>
        <s v="43030"/>
        <s v="43031"/>
        <s v="431001"/>
        <s v="431002"/>
        <s v="43132"/>
        <s v="43133"/>
        <s v="43134"/>
        <s v="43136"/>
        <s v="43139"/>
        <s v="43155"/>
        <s v="44001"/>
        <s v="4401"/>
        <s v="44011"/>
        <s v="4403"/>
        <s v="44032"/>
        <s v="44091"/>
        <s v="44092"/>
        <s v="44102"/>
        <s v="4422"/>
        <s v="44220"/>
        <s v="4440"/>
        <s v="44500"/>
        <s v="44501"/>
        <s v="44502"/>
        <s v="44510"/>
        <s v="4459"/>
        <s v="4460"/>
        <s v="4476"/>
        <s v="44902"/>
        <s v="44903"/>
        <s v="44904"/>
        <s v="44907"/>
        <s v="449071"/>
        <s v="44908"/>
        <s v="449083"/>
        <s v="4494"/>
        <s v="4496"/>
        <s v="4497"/>
        <s v="44970"/>
        <s v="44972"/>
        <s v="44973"/>
        <s v="44980"/>
        <s v="4499"/>
        <s v="44990"/>
        <s v="4560"/>
        <s v="4562"/>
        <s v="4660"/>
        <s v="4691"/>
        <s v="4741"/>
        <s v="4750"/>
        <s v="74001"/>
        <s v="74002"/>
        <s v="74003"/>
        <s v="74004"/>
        <s v="74011"/>
        <s v="74021"/>
        <s v="74023"/>
        <s v="74024"/>
        <s v="74025"/>
        <s v="74031"/>
        <s v="74032"/>
        <s v="74033"/>
        <s v="74034"/>
        <s v="74035"/>
        <s v="74036"/>
        <s v="74037"/>
        <s v="74038"/>
        <s v="74041"/>
        <s v="74042"/>
        <s v="74043"/>
        <s v="74044"/>
        <s v="74051"/>
        <s v="74052"/>
        <s v="74053"/>
        <s v="740611"/>
        <s v="740615"/>
        <s v="740616"/>
        <s v="740641"/>
        <s v="740642"/>
        <s v="740643"/>
        <s v="740644"/>
        <s v="74071"/>
        <s v="74072"/>
        <s v="74082"/>
        <s v="7409"/>
        <s v="7420"/>
        <s v="7672"/>
        <s v="76721"/>
        <s v="7690"/>
        <s v="7709"/>
        <s v="7710"/>
        <s v="7743"/>
        <s v="7751"/>
        <s v="7790"/>
        <s v="7791"/>
        <s v="7799"/>
        <s v="7801"/>
      </sharedItems>
    </cacheField>
    <cacheField name="[Calendar].[Месец].[Месец]" caption="Месец" numFmtId="0" hierarchy="10" level="1">
      <sharedItems count="12">
        <s v="Jan"/>
        <s v="Feb"/>
        <s v="Mar"/>
        <s v="Apr"/>
        <s v="May"/>
        <s v="Jun"/>
        <s v="Jul"/>
        <s v="Aug"/>
        <s v="Sep"/>
        <s v="Oct"/>
        <s v="Nov"/>
        <s v="Dec"/>
      </sharedItems>
    </cacheField>
  </cacheFields>
  <cacheHierarchies count="195">
    <cacheHierarchy uniqueName="[Amortizacija].[Број на јавна набавка (план)]" caption="Број на јавна набавка (план)" attribute="1" defaultMemberUniqueName="[Amortizacija].[Број на јавна набавка (план)].[All]" allUniqueName="[Amortizacija].[Број на јавна набавка (план)].[All]" dimensionUniqueName="[Amortizacija]" displayFolder="" count="0" memberValueDatatype="130" unbalanced="0"/>
    <cacheHierarchy uniqueName="[Amortizacija].[Ставка]" caption="Ставка" attribute="1" defaultMemberUniqueName="[Amortizacija].[Ставка].[All]" allUniqueName="[Amortizacija].[Ставка].[All]" dimensionUniqueName="[Amortizacija]" displayFolder="" count="0" memberValueDatatype="130" unbalanced="0"/>
    <cacheHierarchy uniqueName="[Amortizacija].[Период]" caption="Период" attribute="1" time="1" defaultMemberUniqueName="[Amortizacija].[Период].[All]" allUniqueName="[Amortizacija].[Период].[All]" dimensionUniqueName="[Amortizacija]" displayFolder="" count="0" memberValueDatatype="7" unbalanced="0"/>
    <cacheHierarchy uniqueName="[Amortizacija].[Износ]" caption="Износ" attribute="1" defaultMemberUniqueName="[Amortizacija].[Износ].[All]" allUniqueName="[Amortizacija].[Износ].[All]" dimensionUniqueName="[Amortizacija]" displayFolder="" count="0" memberValueDatatype="20" unbalanced="0"/>
    <cacheHierarchy uniqueName="[Amortizacija].[Конто]" caption="Конто" attribute="1" defaultMemberUniqueName="[Amortizacija].[Конто].[All]" allUniqueName="[Amortizacija].[Конто].[All]" dimensionUniqueName="[Amortizacija]" displayFolder="" count="0" memberValueDatatype="130" unbalanced="0"/>
    <cacheHierarchy uniqueName="[Amortizacija].[ReportType]" caption="ReportType" attribute="1" defaultMemberUniqueName="[Amortizacija].[ReportType].[All]" allUniqueName="[Amortizacija].[ReportType].[All]" dimensionUniqueName="[Amortizacija]" displayFolder="" count="0" memberValueDatatype="130" unbalanced="0"/>
    <cacheHierarchy uniqueName="[Calendar].[Date]" caption="Date" attribute="1" time="1" keyAttribute="1" defaultMemberUniqueName="[Calendar].[Date].[All]" allUniqueName="[Calendar].[Date].[All]" dimensionUniqueName="[Calendar]" displayFolder="" count="0" memberValueDatatype="7" unbalanced="0"/>
    <cacheHierarchy uniqueName="[Calendar].[Date Hierarchy]" caption="Date Hierarchy" time="1" defaultMemberUniqueName="[Calendar].[Date Hierarchy].[All]" allUniqueName="[Calendar].[Date Hierarchy].[All]" dimensionUniqueName="[Calendar]" displayFolder="" count="0" unbalanced="0"/>
    <cacheHierarchy uniqueName="[Calendar].[Година]" caption="Година" attribute="1" time="1" defaultMemberUniqueName="[Calendar].[Година].[All]" allUniqueName="[Calendar].[Година].[All]" dimensionUniqueName="[Calendar]" displayFolder="" count="2" memberValueDatatype="20" unbalanced="0">
      <fieldsUsage count="2">
        <fieldUsage x="-1"/>
        <fieldUsage x="0"/>
      </fieldsUsage>
    </cacheHierarchy>
    <cacheHierarchy uniqueName="[Calendar].[Month Number]" caption="Month Number" attribute="1" time="1" defaultMemberUniqueName="[Calendar].[Month Number].[All]" allUniqueName="[Calendar].[Month Number].[All]" dimensionUniqueName="[Calendar]" displayFolder="" count="0" memberValueDatatype="20" unbalanced="0"/>
    <cacheHierarchy uniqueName="[Calendar].[Месец]" caption="Месец" attribute="1" time="1" defaultMemberUniqueName="[Calendar].[Месец].[All]" allUniqueName="[Calendar].[Месец].[All]" dimensionUniqueName="[Calendar]" displayFolder="" count="2" memberValueDatatype="130" unbalanced="0">
      <fieldsUsage count="2">
        <fieldUsage x="-1"/>
        <fieldUsage x="5"/>
      </fieldsUsage>
    </cacheHierarchy>
    <cacheHierarchy uniqueName="[Calendar].[MMM-YYYY]" caption="MMM-YYYY" attribute="1" time="1" defaultMemberUniqueName="[Calendar].[MMM-YYYY].[All]" allUniqueName="[Calendar].[MMM-YYYY].[All]" dimensionUniqueName="[Calendar]" displayFolder="" count="0" memberValueDatatype="130" unbalanced="0"/>
    <cacheHierarchy uniqueName="[Calendar].[Day Of Week Number]" caption="Day Of Week Number" attribute="1" time="1" defaultMemberUniqueName="[Calendar].[Day Of Week Number].[All]" allUniqueName="[Calendar].[Day Of Week Number].[All]" dimensionUniqueName="[Calendar]" displayFolder="" count="0" memberValueDatatype="20" unbalanced="0"/>
    <cacheHierarchy uniqueName="[Calendar].[Day Of Week]" caption="Day Of Week" attribute="1" time="1" defaultMemberUniqueName="[Calendar].[Day Of Week].[All]" allUniqueName="[Calendar].[Day Of Week].[All]" dimensionUniqueName="[Calendar]" displayFolder="" count="0" memberValueDatatype="130" unbalanced="0"/>
    <cacheHierarchy uniqueName="[Calendar].[Квартал]" caption="Квартал" attribute="1" time="1" defaultMemberUniqueName="[Calendar].[Квартал].[All]" allUniqueName="[Calendar].[Квартал].[All]" dimensionUniqueName="[Calendar]" displayFolder="" count="0" memberValueDatatype="7" unbalanced="0"/>
    <cacheHierarchy uniqueName="[CAPEX].[Година за реализација на проект]" caption="Година за реализација на проект" attribute="1" defaultMemberUniqueName="[CAPEX].[Година за реализација на проект].[All]" allUniqueName="[CAPEX].[Година за реализација на проект].[All]" dimensionUniqueName="[CAPEX]" displayFolder="" count="0" memberValueDatatype="20" unbalanced="0"/>
    <cacheHierarchy uniqueName="[CAPEX].[Број на јавна набавка (план)]" caption="Број на јавна набавка (план)" attribute="1" defaultMemberUniqueName="[CAPEX].[Број на јавна набавка (план)].[All]" allUniqueName="[CAPEX].[Број на јавна набавка (план)].[All]" dimensionUniqueName="[CAPEX]" displayFolder="" count="0" memberValueDatatype="130" unbalanced="0"/>
    <cacheHierarchy uniqueName="[CAPEX].[Предмет на договорот за јавна набавка]" caption="Предмет на договорот за јавна набавка" attribute="1" defaultMemberUniqueName="[CAPEX].[Предмет на договорот за јавна набавка].[All]" allUniqueName="[CAPEX].[Предмет на договорот за јавна набавка].[All]" dimensionUniqueName="[CAPEX]" displayFolder="" count="0" memberValueDatatype="130" unbalanced="0"/>
    <cacheHierarchy uniqueName="[CAPEX].[Очекуван датум на плаќање]" caption="Очекуван датум на плаќање" attribute="1" time="1" defaultMemberUniqueName="[CAPEX].[Очекуван датум на плаќање].[All]" allUniqueName="[CAPEX].[Очекуван датум на плаќање].[All]" dimensionUniqueName="[CAPEX]" displayFolder="" count="0" memberValueDatatype="7" unbalanced="0"/>
    <cacheHierarchy uniqueName="[CAPEX].[Очекуван датум за ставање во употреба (месец)]" caption="Очекуван датум за ставање во употреба (месец)" attribute="1" time="1" defaultMemberUniqueName="[CAPEX].[Очекуван датум за ставање во употреба (месец)].[All]" allUniqueName="[CAPEX].[Очекуван датум за ставање во употреба (месец)].[All]" dimensionUniqueName="[CAPEX]" displayFolder="" count="0" memberValueDatatype="7" unbalanced="0"/>
    <cacheHierarchy uniqueName="[CAPEX].[Проценета вредност на набавка со ДДВ (денари)]" caption="Проценета вредност на набавка со ДДВ (денари)" attribute="1" defaultMemberUniqueName="[CAPEX].[Проценета вредност на набавка со ДДВ (денари)].[All]" allUniqueName="[CAPEX].[Проценета вредност на набавка со ДДВ (денари)].[All]" dimensionUniqueName="[CAPEX]" displayFolder="" count="0" memberValueDatatype="20" unbalanced="0"/>
    <cacheHierarchy uniqueName="[CAPEX].[Стапка на амортизација]" caption="Стапка на амортизација" attribute="1" defaultMemberUniqueName="[CAPEX].[Стапка на амортизација].[All]" allUniqueName="[CAPEX].[Стапка на амортизација].[All]" dimensionUniqueName="[CAPEX]" displayFolder="" count="0" memberValueDatatype="5" unbalanced="0"/>
    <cacheHierarchy uniqueName="[CAPEX].[Конто Средства]" caption="Конто Средства" attribute="1" defaultMemberUniqueName="[CAPEX].[Конто Средства].[All]" allUniqueName="[CAPEX].[Конто Средства].[All]" dimensionUniqueName="[CAPEX]" displayFolder="" count="0" memberValueDatatype="130" unbalanced="0"/>
    <cacheHierarchy uniqueName="[CAPEX].[Конто Амортизација]" caption="Конто Амортизација" attribute="1" defaultMemberUniqueName="[CAPEX].[Конто Амортизација].[All]" allUniqueName="[CAPEX].[Конто Амортизација].[All]" dimensionUniqueName="[CAPEX]" displayFolder="" count="0" memberValueDatatype="130" unbalanced="0"/>
    <cacheHierarchy uniqueName="[CAPEX].[Износ донација]" caption="Износ донација" attribute="1" defaultMemberUniqueName="[CAPEX].[Износ донација].[All]" allUniqueName="[CAPEX].[Износ донација].[All]" dimensionUniqueName="[CAPEX]" displayFolder="" count="0" memberValueDatatype="20" unbalanced="0"/>
    <cacheHierarchy uniqueName="[CAPEX].[Очекуван датум на плаќање (Year)]" caption="Очекуван датум на плаќање (Year)" attribute="1" defaultMemberUniqueName="[CAPEX].[Очекуван датум на плаќање (Year)].[All]" allUniqueName="[CAPEX].[Очекуван датум на плаќање (Year)].[All]" dimensionUniqueName="[CAPEX]" displayFolder="" count="0" memberValueDatatype="130" unbalanced="0"/>
    <cacheHierarchy uniqueName="[CAPEX].[Очекуван датум на плаќање (Quarter)]" caption="Очекуван датум на плаќање (Quarter)" attribute="1" defaultMemberUniqueName="[CAPEX].[Очекуван датум на плаќање (Quarter)].[All]" allUniqueName="[CAPEX].[Очекуван датум на плаќање (Quarter)].[All]" dimensionUniqueName="[CAPEX]" displayFolder="" count="0" memberValueDatatype="130" unbalanced="0"/>
    <cacheHierarchy uniqueName="[CAPEX].[Очекуван датум на плаќање (Month)]" caption="Очекуван датум на плаќање (Month)" attribute="1" defaultMemberUniqueName="[CAPEX].[Очекуван датум на плаќање (Month)].[All]" allUniqueName="[CAPEX].[Очекуван датум на плаќање (Month)].[All]" dimensionUniqueName="[CAPEX]" displayFolder="" count="0" memberValueDatatype="130" unbalanced="0"/>
    <cacheHierarchy uniqueName="[CAPEX].[Очекуван датум за ставање во употреба (месец) (Year)]" caption="Очекуван датум за ставање во употреба (месец) (Year)" attribute="1" defaultMemberUniqueName="[CAPEX].[Очекуван датум за ставање во употреба (месец) (Year)].[All]" allUniqueName="[CAPEX].[Очекуван датум за ставање во употреба (месец) (Year)].[All]" dimensionUniqueName="[CAPEX]" displayFolder="" count="0" memberValueDatatype="130" unbalanced="0"/>
    <cacheHierarchy uniqueName="[CAPEX].[Очекуван датум за ставање во употреба (месец) (Quarter)]" caption="Очекуван датум за ставање во употреба (месец) (Quarter)" attribute="1" defaultMemberUniqueName="[CAPEX].[Очекуван датум за ставање во употреба (месец) (Quarter)].[All]" allUniqueName="[CAPEX].[Очекуван датум за ставање во употреба (месец) (Quarter)].[All]" dimensionUniqueName="[CAPEX]" displayFolder="" count="0" memberValueDatatype="130" unbalanced="0"/>
    <cacheHierarchy uniqueName="[CAPEX].[Очекуван датум за ставање во употреба (месец) (Month)]" caption="Очекуван датум за ставање во употреба (месец) (Month)" attribute="1" defaultMemberUniqueName="[CAPEX].[Очекуван датум за ставање во употреба (месец) (Month)].[All]" allUniqueName="[CAPEX].[Очекуван датум за ставање во употреба (месец) (Month)].[All]" dimensionUniqueName="[CAPEX]" displayFolder="" count="0" memberValueDatatype="130" unbalanced="0"/>
    <cacheHierarchy uniqueName="[fActualAndBudget].[Конто]" caption="Конто" attribute="1" defaultMemberUniqueName="[fActualAndBudget].[Конто].[All]" allUniqueName="[fActualAndBudget].[Конто].[All]" dimensionUniqueName="[fActualAndBudget]" displayFolder="" count="2" memberValueDatatype="130" unbalanced="0">
      <fieldsUsage count="2">
        <fieldUsage x="-1"/>
        <fieldUsage x="4"/>
      </fieldsUsage>
    </cacheHierarchy>
    <cacheHierarchy uniqueName="[fActualAndBudget].[Назив на конто]" caption="Назив на конто" attribute="1" defaultMemberUniqueName="[fActualAndBudget].[Назив на конто].[All]" allUniqueName="[fActualAndBudget].[Назив на конто].[All]" dimensionUniqueName="[fActualAndBudget]" displayFolder="" count="0" memberValueDatatype="130" unbalanced="0"/>
    <cacheHierarchy uniqueName="[fActualAndBudget].[Период]" caption="Период" attribute="1" time="1" defaultMemberUniqueName="[fActualAndBudget].[Период].[All]" allUniqueName="[fActualAndBudget].[Период].[All]" dimensionUniqueName="[fActualAndBudget]" displayFolder="" count="0" memberValueDatatype="7" unbalanced="0"/>
    <cacheHierarchy uniqueName="[fActualAndBudget].[Износ1]" caption="Износ1" attribute="1" defaultMemberUniqueName="[fActualAndBudget].[Износ1].[All]" allUniqueName="[fActualAndBudget].[Износ1].[All]" dimensionUniqueName="[fActualAndBudget]" displayFolder="" count="0" memberValueDatatype="20" unbalanced="0"/>
    <cacheHierarchy uniqueName="[fActualAndBudget].[ReportType]" caption="ReportType" attribute="1" defaultMemberUniqueName="[fActualAndBudget].[ReportType].[All]" allUniqueName="[fActualAndBudget].[ReportType].[All]" dimensionUniqueName="[fActualAndBudget]" displayFolder="" count="2" memberValueDatatype="130" unbalanced="0">
      <fieldsUsage count="2">
        <fieldUsage x="-1"/>
        <fieldUsage x="2"/>
      </fieldsUsage>
    </cacheHierarchy>
    <cacheHierarchy uniqueName="[fActualAndBudget].[Ставка]" caption="Ставка" attribute="1" defaultMemberUniqueName="[fActualAndBudget].[Ставка].[All]" allUniqueName="[fActualAndBudget].[Ставка].[All]" dimensionUniqueName="[fActualAndBudget]" displayFolder="" count="0" memberValueDatatype="130" unbalanced="0"/>
    <cacheHierarchy uniqueName="[fActualAndBudget].[Број на јавна набавка (план)]" caption="Број на јавна набавка (план)" attribute="1" defaultMemberUniqueName="[fActualAndBudget].[Број на јавна набавка (план)].[All]" allUniqueName="[fActualAndBudget].[Број на јавна набавка (план)].[All]" dimensionUniqueName="[fActualAndBudget]" displayFolder="" count="0" memberValueDatatype="130" unbalanced="0"/>
    <cacheHierarchy uniqueName="[fActualAndBudget].[StavkaImeMK]" caption="StavkaImeMK" attribute="1" defaultMemberUniqueName="[fActualAndBudget].[StavkaImeMK].[All]" allUniqueName="[fActualAndBudget].[StavkaImeMK].[All]" dimensionUniqueName="[fActualAndBudget]" displayFolder="" count="0" memberValueDatatype="130" unbalanced="0"/>
    <cacheHierarchy uniqueName="[fActualAndBudget].[StavkaGrupa]" caption="StavkaGrupa" attribute="1" defaultMemberUniqueName="[fActualAndBudget].[StavkaGrupa].[All]" allUniqueName="[fActualAndBudget].[StavkaGrupa].[All]" dimensionUniqueName="[fActualAndBudget]" displayFolder="" count="0" memberValueDatatype="130" unbalanced="0"/>
    <cacheHierarchy uniqueName="[fActualAndBudget].[StavkaKategorija]" caption="StavkaKategorija" attribute="1" defaultMemberUniqueName="[fActualAndBudget].[StavkaKategorija].[All]" allUniqueName="[fActualAndBudget].[StavkaKategorija].[All]" dimensionUniqueName="[fActualAndBudget]" displayFolder="" count="0" memberValueDatatype="130" unbalanced="0"/>
    <cacheHierarchy uniqueName="[fActualAndBudget].[ZnakIzvestaj]" caption="ZnakIzvestaj" attribute="1" defaultMemberUniqueName="[fActualAndBudget].[ZnakIzvestaj].[All]" allUniqueName="[fActualAndBudget].[ZnakIzvestaj].[All]" dimensionUniqueName="[fActualAndBudget]" displayFolder="" count="0" memberValueDatatype="20" unbalanced="0"/>
    <cacheHierarchy uniqueName="[fActualAndBudget].[ObrazecID]" caption="ObrazecID" attribute="1" defaultMemberUniqueName="[fActualAndBudget].[ObrazecID].[All]" allUniqueName="[fActualAndBudget].[ObrazecID].[All]" dimensionUniqueName="[fActualAndBudget]" displayFolder="" count="0" memberValueDatatype="20" unbalanced="0"/>
    <cacheHierarchy uniqueName="[fActualAndBudget].[StavkaAOP]" caption="StavkaAOP" attribute="1" defaultMemberUniqueName="[fActualAndBudget].[StavkaAOP].[All]" allUniqueName="[fActualAndBudget].[StavkaAOP].[All]" dimensionUniqueName="[fActualAndBudget]" displayFolder="" count="0" memberValueDatatype="130" unbalanced="0"/>
    <cacheHierarchy uniqueName="[fActualAndBudget].[ObrazecIme]" caption="ObrazecIme" attribute="1" defaultMemberUniqueName="[fActualAndBudget].[ObrazecIme].[All]" allUniqueName="[fActualAndBudget].[ObrazecIme].[All]" dimensionUniqueName="[fActualAndBudget]" displayFolder="" count="2" memberValueDatatype="130" unbalanced="0">
      <fieldsUsage count="2">
        <fieldUsage x="-1"/>
        <fieldUsage x="1"/>
      </fieldsUsage>
    </cacheHierarchy>
    <cacheHierarchy uniqueName="[fActualAndBudget].[Износ]" caption="Износ" attribute="1" defaultMemberUniqueName="[fActualAndBudget].[Износ].[All]" allUniqueName="[fActualAndBudget].[Износ].[All]" dimensionUniqueName="[fActualAndBudget]" displayFolder="" count="0" memberValueDatatype="20" unbalanced="0"/>
    <cacheHierarchy uniqueName="[fActualAndBudget].[Износ (илјади)]" caption="Износ (илјади)" attribute="1" defaultMemberUniqueName="[fActualAndBudget].[Износ (илјади)].[All]" allUniqueName="[fActualAndBudget].[Износ (илјади)].[All]" dimensionUniqueName="[fActualAndBudget]" displayFolder="" count="0" memberValueDatatype="5" unbalanced="0"/>
    <cacheHierarchy uniqueName="[fActualAndBudget].[StavkaImeAOP]" caption="StavkaImeAOP" attribute="1" defaultMemberUniqueName="[fActualAndBudget].[StavkaImeAOP].[All]" allUniqueName="[fActualAndBudget].[StavkaImeAOP].[All]" dimensionUniqueName="[fActualAndBudget]" displayFolder="" count="0" memberValueDatatype="130" unbalanced="0"/>
    <cacheHierarchy uniqueName="[fActualAndBudget].[Конто Ставка]" caption="Конто Ставка" attribute="1" defaultMemberUniqueName="[fActualAndBudget].[Конто Ставка].[All]" allUniqueName="[fActualAndBudget].[Конто Ставка].[All]" dimensionUniqueName="[fActualAndBudget]" displayFolder="" count="0" memberValueDatatype="130" unbalanced="0"/>
    <cacheHierarchy uniqueName="[fArtikliCeni].[Ставка]" caption="Ставка" attribute="1" defaultMemberUniqueName="[fArtikliCeni].[Ставка].[All]" allUniqueName="[fArtikliCeni].[Ставка].[All]" dimensionUniqueName="[fArtikliCeni]" displayFolder="" count="0" memberValueDatatype="130" unbalanced="0"/>
    <cacheHierarchy uniqueName="[fArtikliCeni].[Категорија Артикл]" caption="Категорија Артикл" attribute="1" defaultMemberUniqueName="[fArtikliCeni].[Категорија Артикл].[All]" allUniqueName="[fArtikliCeni].[Категорија Артикл].[All]" dimensionUniqueName="[fArtikliCeni]" displayFolder="" count="0" memberValueDatatype="130" unbalanced="0"/>
    <cacheHierarchy uniqueName="[fArtikliCeni].[Тип на артикл]" caption="Тип на артикл" attribute="1" defaultMemberUniqueName="[fArtikliCeni].[Тип на артикл].[All]" allUniqueName="[fArtikliCeni].[Тип на артикл].[All]" dimensionUniqueName="[fArtikliCeni]" displayFolder="" count="0" memberValueDatatype="130" unbalanced="0"/>
    <cacheHierarchy uniqueName="[fArtikliCeni].[Единечна мерка]" caption="Единечна мерка" attribute="1" defaultMemberUniqueName="[fArtikliCeni].[Единечна мерка].[All]" allUniqueName="[fArtikliCeni].[Единечна мерка].[All]" dimensionUniqueName="[fArtikliCeni]" displayFolder="" count="0" memberValueDatatype="130" unbalanced="0"/>
    <cacheHierarchy uniqueName="[fArtikliCeni].[Количина]" caption="Количина" attribute="1" defaultMemberUniqueName="[fArtikliCeni].[Количина].[All]" allUniqueName="[fArtikliCeni].[Количина].[All]" dimensionUniqueName="[fArtikliCeni]" displayFolder="" count="0" memberValueDatatype="5" unbalanced="0"/>
    <cacheHierarchy uniqueName="[fArtikliCeni].[Единечна цена]" caption="Единечна цена" attribute="1" defaultMemberUniqueName="[fArtikliCeni].[Единечна цена].[All]" allUniqueName="[fArtikliCeni].[Единечна цена].[All]" dimensionUniqueName="[fArtikliCeni]" displayFolder="" count="0" memberValueDatatype="20" unbalanced="0"/>
    <cacheHierarchy uniqueName="[fArtikliCeni].[Вкупно трошок]" caption="Вкупно трошок" attribute="1" defaultMemberUniqueName="[fArtikliCeni].[Вкупно трошок].[All]" allUniqueName="[fArtikliCeni].[Вкупно трошок].[All]" dimensionUniqueName="[fArtikliCeni]" displayFolder="" count="0" memberValueDatatype="5" unbalanced="0"/>
    <cacheHierarchy uniqueName="[fArtikliCeni].[ДДВ]" caption="ДДВ" attribute="1" defaultMemberUniqueName="[fArtikliCeni].[ДДВ].[All]" allUniqueName="[fArtikliCeni].[ДДВ].[All]" dimensionUniqueName="[fArtikliCeni]" displayFolder="" count="0" memberValueDatatype="5" unbalanced="0"/>
    <cacheHierarchy uniqueName="[fArtikliCeni].[Износ]" caption="Износ" attribute="1" defaultMemberUniqueName="[fArtikliCeni].[Износ].[All]" allUniqueName="[fArtikliCeni].[Износ].[All]" dimensionUniqueName="[fArtikliCeni]" displayFolder="" count="0" memberValueDatatype="5" unbalanced="0"/>
    <cacheHierarchy uniqueName="[fArtikliCeni].[Конто]" caption="Конто" attribute="1" defaultMemberUniqueName="[fArtikliCeni].[Конто].[All]" allUniqueName="[fArtikliCeni].[Конто].[All]" dimensionUniqueName="[fArtikliCeni]" displayFolder="" count="0" memberValueDatatype="130" unbalanced="0"/>
    <cacheHierarchy uniqueName="[fArtikliCeni].[ReportType]" caption="ReportType" attribute="1" defaultMemberUniqueName="[fArtikliCeni].[ReportType].[All]" allUniqueName="[fArtikliCeni].[ReportType].[All]" dimensionUniqueName="[fArtikliCeni]" displayFolder="" count="0" memberValueDatatype="130" unbalanced="0"/>
    <cacheHierarchy uniqueName="[fArtikliCeni].[Период]" caption="Период" attribute="1" time="1" defaultMemberUniqueName="[fArtikliCeni].[Период].[All]" allUniqueName="[fArtikliCeni].[Период].[All]" dimensionUniqueName="[fArtikliCeni]" displayFolder="" count="0" memberValueDatatype="7" unbalanced="0"/>
    <cacheHierarchy uniqueName="[fArtikliCeni].[StavkaImeMK]" caption="StavkaImeMK" attribute="1" defaultMemberUniqueName="[fArtikliCeni].[StavkaImeMK].[All]" allUniqueName="[fArtikliCeni].[StavkaImeMK].[All]" dimensionUniqueName="[fArtikliCeni]" displayFolder="" count="0" memberValueDatatype="130" unbalanced="0"/>
    <cacheHierarchy uniqueName="[fArtikliCeni].[StavkaAOP]" caption="StavkaAOP" attribute="1" defaultMemberUniqueName="[fArtikliCeni].[StavkaAOP].[All]" allUniqueName="[fArtikliCeni].[StavkaAOP].[All]" dimensionUniqueName="[fArtikliCeni]" displayFolder="" count="0" memberValueDatatype="130" unbalanced="0"/>
    <cacheHierarchy uniqueName="[fArtikliCeni].[StavkaGrupa]" caption="StavkaGrupa" attribute="1" defaultMemberUniqueName="[fArtikliCeni].[StavkaGrupa].[All]" allUniqueName="[fArtikliCeni].[StavkaGrupa].[All]" dimensionUniqueName="[fArtikliCeni]" displayFolder="" count="0" memberValueDatatype="130" unbalanced="0"/>
    <cacheHierarchy uniqueName="[fArtikliCeni].[StavkaKategorija]" caption="StavkaKategorija" attribute="1" defaultMemberUniqueName="[fArtikliCeni].[StavkaKategorija].[All]" allUniqueName="[fArtikliCeni].[StavkaKategorija].[All]" dimensionUniqueName="[fArtikliCeni]" displayFolder="" count="0" memberValueDatatype="130" unbalanced="0"/>
    <cacheHierarchy uniqueName="[fArtikliCeni].[ObrazecIme]" caption="ObrazecIme" attribute="1" defaultMemberUniqueName="[fArtikliCeni].[ObrazecIme].[All]" allUniqueName="[fArtikliCeni].[ObrazecIme].[All]" dimensionUniqueName="[fArtikliCeni]" displayFolder="" count="0" memberValueDatatype="130" unbalanced="0"/>
    <cacheHierarchy uniqueName="[fCoveckiResursi].[Ставка]" caption="Ставка" attribute="1" defaultMemberUniqueName="[fCoveckiResursi].[Ставка].[All]" allUniqueName="[fCoveckiResursi].[Ставка].[All]" dimensionUniqueName="[fCoveckiResursi]" displayFolder="" count="0" memberValueDatatype="130" unbalanced="0"/>
    <cacheHierarchy uniqueName="[fCoveckiResursi].[Тип на вработување]" caption="Тип на вработување" attribute="1" defaultMemberUniqueName="[fCoveckiResursi].[Тип на вработување].[All]" allUniqueName="[fCoveckiResursi].[Тип на вработување].[All]" dimensionUniqueName="[fCoveckiResursi]" displayFolder="" count="0" memberValueDatatype="130" unbalanced="0"/>
    <cacheHierarchy uniqueName="[fCoveckiResursi].[Планиран прилив/(одлив)]" caption="Планиран прилив/(одлив)" attribute="1" defaultMemberUniqueName="[fCoveckiResursi].[Планиран прилив/(одлив)].[All]" allUniqueName="[fCoveckiResursi].[Планиран прилив/(одлив)].[All]" dimensionUniqueName="[fCoveckiResursi]" displayFolder="" count="0" memberValueDatatype="20" unbalanced="0"/>
    <cacheHierarchy uniqueName="[fCoveckiResursi].[Период]" caption="Период" attribute="1" time="1" defaultMemberUniqueName="[fCoveckiResursi].[Период].[All]" allUniqueName="[fCoveckiResursi].[Период].[All]" dimensionUniqueName="[fCoveckiResursi]" displayFolder="" count="0" memberValueDatatype="7" unbalanced="0"/>
    <cacheHierarchy uniqueName="[fCoveckiResursi].[Крајна состојба вработени]" caption="Крајна состојба вработени" attribute="1" defaultMemberUniqueName="[fCoveckiResursi].[Крајна состојба вработени].[All]" allUniqueName="[fCoveckiResursi].[Крајна состојба вработени].[All]" dimensionUniqueName="[fCoveckiResursi]" displayFolder="" count="0" memberValueDatatype="20" unbalanced="0"/>
    <cacheHierarchy uniqueName="[fCoveckiResursi].[Износ]" caption="Износ" attribute="1" defaultMemberUniqueName="[fCoveckiResursi].[Износ].[All]" allUniqueName="[fCoveckiResursi].[Износ].[All]" dimensionUniqueName="[fCoveckiResursi]" displayFolder="" count="0" memberValueDatatype="20" unbalanced="0"/>
    <cacheHierarchy uniqueName="[fCoveckiResursi].[Конто]" caption="Конто" attribute="1" defaultMemberUniqueName="[fCoveckiResursi].[Конто].[All]" allUniqueName="[fCoveckiResursi].[Конто].[All]" dimensionUniqueName="[fCoveckiResursi]" displayFolder="" count="0" memberValueDatatype="130" unbalanced="0"/>
    <cacheHierarchy uniqueName="[fCoveckiResursi].[ReportType]" caption="ReportType" attribute="1" defaultMemberUniqueName="[fCoveckiResursi].[ReportType].[All]" allUniqueName="[fCoveckiResursi].[ReportType].[All]" dimensionUniqueName="[fCoveckiResursi]" displayFolder="" count="0" memberValueDatatype="130" unbalanced="0"/>
    <cacheHierarchy uniqueName="[fCoveckiResursi].[Период (Year)]" caption="Период (Year)" attribute="1" defaultMemberUniqueName="[fCoveckiResursi].[Период (Year)].[All]" allUniqueName="[fCoveckiResursi].[Период (Year)].[All]" dimensionUniqueName="[fCoveckiResursi]" displayFolder="" count="0" memberValueDatatype="130" unbalanced="0"/>
    <cacheHierarchy uniqueName="[fCoveckiResursi].[Период (Quarter)]" caption="Период (Quarter)" attribute="1" defaultMemberUniqueName="[fCoveckiResursi].[Период (Quarter)].[All]" allUniqueName="[fCoveckiResursi].[Период (Quarter)].[All]" dimensionUniqueName="[fCoveckiResursi]" displayFolder="" count="0" memberValueDatatype="130" unbalanced="0"/>
    <cacheHierarchy uniqueName="[fCoveckiResursi].[Период (Month)]" caption="Период (Month)" attribute="1" defaultMemberUniqueName="[fCoveckiResursi].[Период (Month)].[All]" allUniqueName="[fCoveckiResursi].[Период (Month)].[All]" dimensionUniqueName="[fCoveckiResursi]" displayFolder="" count="0" memberValueDatatype="130" unbalanced="0"/>
    <cacheHierarchy uniqueName="[fCoveckiResursi].[Период (Year) 1]" caption="Период (Year) 1" attribute="1" defaultMemberUniqueName="[fCoveckiResursi].[Период (Year) 1].[All]" allUniqueName="[fCoveckiResursi].[Период (Year) 1].[All]" dimensionUniqueName="[fCoveckiResursi]" displayFolder="" count="0" memberValueDatatype="130" unbalanced="0"/>
    <cacheHierarchy uniqueName="[fCoveckiResursi].[Период (Quarter) 1]" caption="Период (Quarter) 1" attribute="1" defaultMemberUniqueName="[fCoveckiResursi].[Период (Quarter) 1].[All]" allUniqueName="[fCoveckiResursi].[Период (Quarter) 1].[All]" dimensionUniqueName="[fCoveckiResursi]" displayFolder="" count="0" memberValueDatatype="130" unbalanced="0"/>
    <cacheHierarchy uniqueName="[fCoveckiResursi].[Период (Month) 1]" caption="Период (Month) 1" attribute="1" defaultMemberUniqueName="[fCoveckiResursi].[Период (Month) 1].[All]" allUniqueName="[fCoveckiResursi].[Период (Month) 1].[All]" dimensionUniqueName="[fCoveckiResursi]" displayFolder="" count="0" memberValueDatatype="130" unbalanced="0"/>
    <cacheHierarchy uniqueName="[fCoveckiResursi  2].[Ставка]" caption="Ставка" attribute="1" defaultMemberUniqueName="[fCoveckiResursi  2].[Ставка].[All]" allUniqueName="[fCoveckiResursi  2].[Ставка].[All]" dimensionUniqueName="[fCoveckiResursi  2]" displayFolder="" count="0" memberValueDatatype="130" unbalanced="0"/>
    <cacheHierarchy uniqueName="[fCoveckiResursi  2].[Период]" caption="Период" attribute="1" time="1" defaultMemberUniqueName="[fCoveckiResursi  2].[Период].[All]" allUniqueName="[fCoveckiResursi  2].[Период].[All]" dimensionUniqueName="[fCoveckiResursi  2]" displayFolder="" count="0" memberValueDatatype="7" unbalanced="0"/>
    <cacheHierarchy uniqueName="[fCoveckiResursi  2].[Износ]" caption="Износ" attribute="1" defaultMemberUniqueName="[fCoveckiResursi  2].[Износ].[All]" allUniqueName="[fCoveckiResursi  2].[Износ].[All]" dimensionUniqueName="[fCoveckiResursi  2]" displayFolder="" count="0" memberValueDatatype="20" unbalanced="0"/>
    <cacheHierarchy uniqueName="[fCoveckiResursi  2].[Конто]" caption="Конто" attribute="1" defaultMemberUniqueName="[fCoveckiResursi  2].[Конто].[All]" allUniqueName="[fCoveckiResursi  2].[Конто].[All]" dimensionUniqueName="[fCoveckiResursi  2]" displayFolder="" count="0" memberValueDatatype="130" unbalanced="0"/>
    <cacheHierarchy uniqueName="[fCoveckiResursi  2].[ReportType]" caption="ReportType" attribute="1" defaultMemberUniqueName="[fCoveckiResursi  2].[ReportType].[All]" allUniqueName="[fCoveckiResursi  2].[ReportType].[All]" dimensionUniqueName="[fCoveckiResursi  2]" displayFolder="" count="0" memberValueDatatype="130" unbalanced="0"/>
    <cacheHierarchy uniqueName="[fCoveckiResursi  2].[StavkaImeMK]" caption="StavkaImeMK" attribute="1" defaultMemberUniqueName="[fCoveckiResursi  2].[StavkaImeMK].[All]" allUniqueName="[fCoveckiResursi  2].[StavkaImeMK].[All]" dimensionUniqueName="[fCoveckiResursi  2]" displayFolder="" count="0" memberValueDatatype="130" unbalanced="0"/>
    <cacheHierarchy uniqueName="[fCoveckiResursi  2].[StavkaKategorija]" caption="StavkaKategorija" attribute="1" defaultMemberUniqueName="[fCoveckiResursi  2].[StavkaKategorija].[All]" allUniqueName="[fCoveckiResursi  2].[StavkaKategorija].[All]" dimensionUniqueName="[fCoveckiResursi  2]" displayFolder="" count="0" memberValueDatatype="130" unbalanced="0"/>
    <cacheHierarchy uniqueName="[fCoveckiResursi  2].[ObrazecIme]" caption="ObrazecIme" attribute="1" defaultMemberUniqueName="[fCoveckiResursi  2].[ObrazecIme].[All]" allUniqueName="[fCoveckiResursi  2].[ObrazecIme].[All]" dimensionUniqueName="[fCoveckiResursi  2]" displayFolder="" count="0" memberValueDatatype="130" unbalanced="0"/>
    <cacheHierarchy uniqueName="[fOPEX].[Конто]" caption="Конто" attribute="1" defaultMemberUniqueName="[fOPEX].[Конто].[All]" allUniqueName="[fOPEX].[Конто].[All]" dimensionUniqueName="[fOPEX]" displayFolder="" count="0" memberValueDatatype="130" unbalanced="0"/>
    <cacheHierarchy uniqueName="[fOPEX].[Ставка]" caption="Ставка" attribute="1" defaultMemberUniqueName="[fOPEX].[Ставка].[All]" allUniqueName="[fOPEX].[Ставка].[All]" dimensionUniqueName="[fOPEX]" displayFolder="" count="0" memberValueDatatype="130" unbalanced="0"/>
    <cacheHierarchy uniqueName="[fOPEX].[Период]" caption="Период" attribute="1" time="1" defaultMemberUniqueName="[fOPEX].[Период].[All]" allUniqueName="[fOPEX].[Период].[All]" dimensionUniqueName="[fOPEX]" displayFolder="" count="0" memberValueDatatype="7" unbalanced="0"/>
    <cacheHierarchy uniqueName="[fOPEX].[Износ]" caption="Износ" attribute="1" defaultMemberUniqueName="[fOPEX].[Износ].[All]" allUniqueName="[fOPEX].[Износ].[All]" dimensionUniqueName="[fOPEX]" displayFolder="" count="0" memberValueDatatype="20" unbalanced="0"/>
    <cacheHierarchy uniqueName="[fOPEX].[ReportType]" caption="ReportType" attribute="1" defaultMemberUniqueName="[fOPEX].[ReportType].[All]" allUniqueName="[fOPEX].[ReportType].[All]" dimensionUniqueName="[fOPEX]" displayFolder="" count="0" memberValueDatatype="130" unbalanced="0"/>
    <cacheHierarchy uniqueName="[OPEXAnaliza].[Артикл ИД]" caption="Артикл ИД" attribute="1" defaultMemberUniqueName="[OPEXAnaliza].[Артикл ИД].[All]" allUniqueName="[OPEXAnaliza].[Артикл ИД].[All]" dimensionUniqueName="[OPEXAnaliza]" displayFolder="" count="0" memberValueDatatype="20" unbalanced="0"/>
    <cacheHierarchy uniqueName="[OPEXAnaliza].[Ставка]" caption="Ставка" attribute="1" defaultMemberUniqueName="[OPEXAnaliza].[Ставка].[All]" allUniqueName="[OPEXAnaliza].[Ставка].[All]" dimensionUniqueName="[OPEXAnaliza]" displayFolder="" count="0" memberValueDatatype="130" unbalanced="0"/>
    <cacheHierarchy uniqueName="[OPEXAnaliza].[Категорија Артикл ИД]" caption="Категорија Артикл ИД" attribute="1" defaultMemberUniqueName="[OPEXAnaliza].[Категорија Артикл ИД].[All]" allUniqueName="[OPEXAnaliza].[Категорија Артикл ИД].[All]" dimensionUniqueName="[OPEXAnaliza]" displayFolder="" count="0" memberValueDatatype="20" unbalanced="0"/>
    <cacheHierarchy uniqueName="[OPEXAnaliza].[Категорија Артикл]" caption="Категорија Артикл" attribute="1" defaultMemberUniqueName="[OPEXAnaliza].[Категорија Артикл].[All]" allUniqueName="[OPEXAnaliza].[Категорија Артикл].[All]" dimensionUniqueName="[OPEXAnaliza]" displayFolder="" count="0" memberValueDatatype="130" unbalanced="0"/>
    <cacheHierarchy uniqueName="[OPEXAnaliza].[Тип на артикл]" caption="Тип на артикл" attribute="1" defaultMemberUniqueName="[OPEXAnaliza].[Тип на артикл].[All]" allUniqueName="[OPEXAnaliza].[Тип на артикл].[All]" dimensionUniqueName="[OPEXAnaliza]" displayFolder="" count="0" memberValueDatatype="130" unbalanced="0"/>
    <cacheHierarchy uniqueName="[OPEXAnaliza].[Единечна мерка]" caption="Единечна мерка" attribute="1" defaultMemberUniqueName="[OPEXAnaliza].[Единечна мерка].[All]" allUniqueName="[OPEXAnaliza].[Единечна мерка].[All]" dimensionUniqueName="[OPEXAnaliza]" displayFolder="" count="0" memberValueDatatype="130" unbalanced="0"/>
    <cacheHierarchy uniqueName="[OPEXAnaliza].[Количина]" caption="Количина" attribute="1" defaultMemberUniqueName="[OPEXAnaliza].[Количина].[All]" allUniqueName="[OPEXAnaliza].[Количина].[All]" dimensionUniqueName="[OPEXAnaliza]" displayFolder="" count="0" memberValueDatatype="5" unbalanced="0"/>
    <cacheHierarchy uniqueName="[OPEXAnaliza].[Единечна цена]" caption="Единечна цена" attribute="1" defaultMemberUniqueName="[OPEXAnaliza].[Единечна цена].[All]" allUniqueName="[OPEXAnaliza].[Единечна цена].[All]" dimensionUniqueName="[OPEXAnaliza]" displayFolder="" count="0" memberValueDatatype="20" unbalanced="0"/>
    <cacheHierarchy uniqueName="[OPEXAnaliza].[Износ]" caption="Износ" attribute="1" defaultMemberUniqueName="[OPEXAnaliza].[Износ].[All]" allUniqueName="[OPEXAnaliza].[Износ].[All]" dimensionUniqueName="[OPEXAnaliza]" displayFolder="" count="0" memberValueDatatype="5" unbalanced="0"/>
    <cacheHierarchy uniqueName="[OPEXAnaliza].[ДДВ]" caption="ДДВ" attribute="1" defaultMemberUniqueName="[OPEXAnaliza].[ДДВ].[All]" allUniqueName="[OPEXAnaliza].[ДДВ].[All]" dimensionUniqueName="[OPEXAnaliza]" displayFolder="" count="0" memberValueDatatype="5" unbalanced="0"/>
    <cacheHierarchy uniqueName="[OPEXAnaliza].[Вкупно трошок со ДДВ]" caption="Вкупно трошок со ДДВ" attribute="1" defaultMemberUniqueName="[OPEXAnaliza].[Вкупно трошок со ДДВ].[All]" allUniqueName="[OPEXAnaliza].[Вкупно трошок со ДДВ].[All]" dimensionUniqueName="[OPEXAnaliza]" displayFolder="" count="0" memberValueDatatype="5" unbalanced="0"/>
    <cacheHierarchy uniqueName="[OPEXAnaliza].[Конто]" caption="Конто" attribute="1" defaultMemberUniqueName="[OPEXAnaliza].[Конто].[All]" allUniqueName="[OPEXAnaliza].[Конто].[All]" dimensionUniqueName="[OPEXAnaliza]" displayFolder="" count="0" memberValueDatatype="130" unbalanced="0"/>
    <cacheHierarchy uniqueName="[OPEXAnaliza].[Период]" caption="Период" attribute="1" time="1" defaultMemberUniqueName="[OPEXAnaliza].[Период].[All]" allUniqueName="[OPEXAnaliza].[Период].[All]" dimensionUniqueName="[OPEXAnaliza]" displayFolder="" count="0" memberValueDatatype="7" unbalanced="0"/>
    <cacheHierarchy uniqueName="[OPEXAnaliza].[ReportType]" caption="ReportType" attribute="1" defaultMemberUniqueName="[OPEXAnaliza].[ReportType].[All]" allUniqueName="[OPEXAnaliza].[ReportType].[All]" dimensionUniqueName="[OPEXAnaliza]" displayFolder="" count="0" memberValueDatatype="130" unbalanced="0"/>
    <cacheHierarchy uniqueName="[OPEXAnaliza].[StavkaImeMK]" caption="StavkaImeMK" attribute="1" defaultMemberUniqueName="[OPEXAnaliza].[StavkaImeMK].[All]" allUniqueName="[OPEXAnaliza].[StavkaImeMK].[All]" dimensionUniqueName="[OPEXAnaliza]" displayFolder="" count="0" memberValueDatatype="130" unbalanced="0"/>
    <cacheHierarchy uniqueName="[OPEXAnaliza].[StavkaKategorija]" caption="StavkaKategorija" attribute="1" defaultMemberUniqueName="[OPEXAnaliza].[StavkaKategorija].[All]" allUniqueName="[OPEXAnaliza].[StavkaKategorija].[All]" dimensionUniqueName="[OPEXAnaliza]" displayFolder="" count="0" memberValueDatatype="130" unbalanced="0"/>
    <cacheHierarchy uniqueName="[OPEXAnaliza].[ObrazecIme]" caption="ObrazecIme" attribute="1" defaultMemberUniqueName="[OPEXAnaliza].[ObrazecIme].[All]" allUniqueName="[OPEXAnaliza].[ObrazecIme].[All]" dimensionUniqueName="[OPEXAnaliza]" displayFolder="" count="0" memberValueDatatype="130" unbalanced="0"/>
    <cacheHierarchy uniqueName="[OPEXAnaliza].[StavkaImeAOP]" caption="StavkaImeAOP" attribute="1" defaultMemberUniqueName="[OPEXAnaliza].[StavkaImeAOP].[All]" allUniqueName="[OPEXAnaliza].[StavkaImeAOP].[All]" dimensionUniqueName="[OPEXAnaliza]" displayFolder="" count="0" memberValueDatatype="20" unbalanced="0"/>
    <cacheHierarchy uniqueName="[OPEXAnaliza].[Период (Year)]" caption="Период (Year)" attribute="1" defaultMemberUniqueName="[OPEXAnaliza].[Период (Year)].[All]" allUniqueName="[OPEXAnaliza].[Период (Year)].[All]" dimensionUniqueName="[OPEXAnaliza]" displayFolder="" count="0" memberValueDatatype="130" unbalanced="0"/>
    <cacheHierarchy uniqueName="[OPEXAnaliza].[Период (Quarter)]" caption="Период (Quarter)" attribute="1" defaultMemberUniqueName="[OPEXAnaliza].[Период (Quarter)].[All]" allUniqueName="[OPEXAnaliza].[Период (Quarter)].[All]" dimensionUniqueName="[OPEXAnaliza]" displayFolder="" count="0" memberValueDatatype="130" unbalanced="0"/>
    <cacheHierarchy uniqueName="[OPEXAnaliza].[Период (Month)]" caption="Период (Month)" attribute="1" defaultMemberUniqueName="[OPEXAnaliza].[Период (Month)].[All]" allUniqueName="[OPEXAnaliza].[Период (Month)].[All]" dimensionUniqueName="[OPEXAnaliza]" displayFolder="" count="0" memberValueDatatype="130" unbalanced="0"/>
    <cacheHierarchy uniqueName="[rArtikli_HR_Analiza].[Ставка]" caption="Ставка" attribute="1" defaultMemberUniqueName="[rArtikli_HR_Analiza].[Ставка].[All]" allUniqueName="[rArtikli_HR_Analiza].[Ставка].[All]" dimensionUniqueName="[rArtikli_HR_Analiza]" displayFolder="" count="0" memberValueDatatype="130" unbalanced="0"/>
    <cacheHierarchy uniqueName="[rArtikli_HR_Analiza].[Категорија Артикл]" caption="Категорија Артикл" attribute="1" defaultMemberUniqueName="[rArtikli_HR_Analiza].[Категорија Артикл].[All]" allUniqueName="[rArtikli_HR_Analiza].[Категорија Артикл].[All]" dimensionUniqueName="[rArtikli_HR_Analiza]" displayFolder="" count="0" memberValueDatatype="130" unbalanced="0"/>
    <cacheHierarchy uniqueName="[rArtikli_HR_Analiza].[Тип на артикл]" caption="Тип на артикл" attribute="1" defaultMemberUniqueName="[rArtikli_HR_Analiza].[Тип на артикл].[All]" allUniqueName="[rArtikli_HR_Analiza].[Тип на артикл].[All]" dimensionUniqueName="[rArtikli_HR_Analiza]" displayFolder="" count="0" memberValueDatatype="130" unbalanced="0"/>
    <cacheHierarchy uniqueName="[rArtikli_HR_Analiza].[Единечна мерка]" caption="Единечна мерка" attribute="1" defaultMemberUniqueName="[rArtikli_HR_Analiza].[Единечна мерка].[All]" allUniqueName="[rArtikli_HR_Analiza].[Единечна мерка].[All]" dimensionUniqueName="[rArtikli_HR_Analiza]" displayFolder="" count="0" memberValueDatatype="130" unbalanced="0"/>
    <cacheHierarchy uniqueName="[rArtikli_HR_Analiza].[Количина]" caption="Количина" attribute="1" defaultMemberUniqueName="[rArtikli_HR_Analiza].[Количина].[All]" allUniqueName="[rArtikli_HR_Analiza].[Количина].[All]" dimensionUniqueName="[rArtikli_HR_Analiza]" displayFolder="" count="0" memberValueDatatype="5" unbalanced="0"/>
    <cacheHierarchy uniqueName="[rArtikli_HR_Analiza].[Единечна цена]" caption="Единечна цена" attribute="1" defaultMemberUniqueName="[rArtikli_HR_Analiza].[Единечна цена].[All]" allUniqueName="[rArtikli_HR_Analiza].[Единечна цена].[All]" dimensionUniqueName="[rArtikli_HR_Analiza]" displayFolder="" count="0" memberValueDatatype="20" unbalanced="0"/>
    <cacheHierarchy uniqueName="[rArtikli_HR_Analiza].[Вкупно трошок]" caption="Вкупно трошок" attribute="1" defaultMemberUniqueName="[rArtikli_HR_Analiza].[Вкупно трошок].[All]" allUniqueName="[rArtikli_HR_Analiza].[Вкупно трошок].[All]" dimensionUniqueName="[rArtikli_HR_Analiza]" displayFolder="" count="0" memberValueDatatype="5" unbalanced="0"/>
    <cacheHierarchy uniqueName="[rArtikli_HR_Analiza].[ДДВ]" caption="ДДВ" attribute="1" defaultMemberUniqueName="[rArtikli_HR_Analiza].[ДДВ].[All]" allUniqueName="[rArtikli_HR_Analiza].[ДДВ].[All]" dimensionUniqueName="[rArtikli_HR_Analiza]" displayFolder="" count="0" memberValueDatatype="5" unbalanced="0"/>
    <cacheHierarchy uniqueName="[rArtikli_HR_Analiza].[Износ]" caption="Износ" attribute="1" defaultMemberUniqueName="[rArtikli_HR_Analiza].[Износ].[All]" allUniqueName="[rArtikli_HR_Analiza].[Износ].[All]" dimensionUniqueName="[rArtikli_HR_Analiza]" displayFolder="" count="0" memberValueDatatype="5" unbalanced="0"/>
    <cacheHierarchy uniqueName="[rArtikli_HR_Analiza].[Конто]" caption="Конто" attribute="1" defaultMemberUniqueName="[rArtikli_HR_Analiza].[Конто].[All]" allUniqueName="[rArtikli_HR_Analiza].[Конто].[All]" dimensionUniqueName="[rArtikli_HR_Analiza]" displayFolder="" count="0" memberValueDatatype="130" unbalanced="0"/>
    <cacheHierarchy uniqueName="[rArtikli_HR_Analiza].[ReportType]" caption="ReportType" attribute="1" defaultMemberUniqueName="[rArtikli_HR_Analiza].[ReportType].[All]" allUniqueName="[rArtikli_HR_Analiza].[ReportType].[All]" dimensionUniqueName="[rArtikli_HR_Analiza]" displayFolder="" count="0" memberValueDatatype="130" unbalanced="0"/>
    <cacheHierarchy uniqueName="[rArtikli_HR_Analiza].[Период]" caption="Период" attribute="1" time="1" defaultMemberUniqueName="[rArtikli_HR_Analiza].[Период].[All]" allUniqueName="[rArtikli_HR_Analiza].[Период].[All]" dimensionUniqueName="[rArtikli_HR_Analiza]" displayFolder="" count="0" memberValueDatatype="7" unbalanced="0"/>
    <cacheHierarchy uniqueName="[rArtikli_HR_Analiza].[StavkaImeMK]" caption="StavkaImeMK" attribute="1" defaultMemberUniqueName="[rArtikli_HR_Analiza].[StavkaImeMK].[All]" allUniqueName="[rArtikli_HR_Analiza].[StavkaImeMK].[All]" dimensionUniqueName="[rArtikli_HR_Analiza]" displayFolder="" count="0" memberValueDatatype="130" unbalanced="0"/>
    <cacheHierarchy uniqueName="[rArtikli_HR_Analiza].[StavkaAOP]" caption="StavkaAOP" attribute="1" defaultMemberUniqueName="[rArtikli_HR_Analiza].[StavkaAOP].[All]" allUniqueName="[rArtikli_HR_Analiza].[StavkaAOP].[All]" dimensionUniqueName="[rArtikli_HR_Analiza]" displayFolder="" count="0" memberValueDatatype="130" unbalanced="0"/>
    <cacheHierarchy uniqueName="[rArtikli_HR_Analiza].[StavkaGrupa]" caption="StavkaGrupa" attribute="1" defaultMemberUniqueName="[rArtikli_HR_Analiza].[StavkaGrupa].[All]" allUniqueName="[rArtikli_HR_Analiza].[StavkaGrupa].[All]" dimensionUniqueName="[rArtikli_HR_Analiza]" displayFolder="" count="0" memberValueDatatype="130" unbalanced="0"/>
    <cacheHierarchy uniqueName="[rArtikli_HR_Analiza].[StavkaKategorija]" caption="StavkaKategorija" attribute="1" defaultMemberUniqueName="[rArtikli_HR_Analiza].[StavkaKategorija].[All]" allUniqueName="[rArtikli_HR_Analiza].[StavkaKategorija].[All]" dimensionUniqueName="[rArtikli_HR_Analiza]" displayFolder="" count="0" memberValueDatatype="130" unbalanced="0"/>
    <cacheHierarchy uniqueName="[rArtikli_HR_Analiza].[ObrazecIme]" caption="ObrazecIme" attribute="1" defaultMemberUniqueName="[rArtikli_HR_Analiza].[ObrazecIme].[All]" allUniqueName="[rArtikli_HR_Analiza].[ObrazecIme].[All]" dimensionUniqueName="[rArtikli_HR_Analiza]" displayFolder="" count="0" memberValueDatatype="130" unbalanced="0"/>
    <cacheHierarchy uniqueName="[rArtikli_HR_Analiza].[StavkaKategorija.1]" caption="StavkaKategorija.1" attribute="1" defaultMemberUniqueName="[rArtikli_HR_Analiza].[StavkaKategorija.1].[All]" allUniqueName="[rArtikli_HR_Analiza].[StavkaKategorija.1].[All]" dimensionUniqueName="[rArtikli_HR_Analiza]" displayFolder="" count="0" memberValueDatatype="130" unbalanced="0"/>
    <cacheHierarchy uniqueName="[rArtikliAnaliza].[Артикл ИД]" caption="Артикл ИД" attribute="1" defaultMemberUniqueName="[rArtikliAnaliza].[Артикл ИД].[All]" allUniqueName="[rArtikliAnaliza].[Артикл ИД].[All]" dimensionUniqueName="[rArtikliAnaliza]" displayFolder="" count="0" memberValueDatatype="20" unbalanced="0"/>
    <cacheHierarchy uniqueName="[rArtikliAnaliza].[Ставка]" caption="Ставка" attribute="1" defaultMemberUniqueName="[rArtikliAnaliza].[Ставка].[All]" allUniqueName="[rArtikliAnaliza].[Ставка].[All]" dimensionUniqueName="[rArtikliAnaliza]" displayFolder="" count="0" memberValueDatatype="130" unbalanced="0"/>
    <cacheHierarchy uniqueName="[rArtikliAnaliza].[Категорија Артикл ИД]" caption="Категорија Артикл ИД" attribute="1" defaultMemberUniqueName="[rArtikliAnaliza].[Категорија Артикл ИД].[All]" allUniqueName="[rArtikliAnaliza].[Категорија Артикл ИД].[All]" dimensionUniqueName="[rArtikliAnaliza]" displayFolder="" count="0" memberValueDatatype="20" unbalanced="0"/>
    <cacheHierarchy uniqueName="[rArtikliAnaliza].[Категорија Артикл]" caption="Категорија Артикл" attribute="1" defaultMemberUniqueName="[rArtikliAnaliza].[Категорија Артикл].[All]" allUniqueName="[rArtikliAnaliza].[Категорија Артикл].[All]" dimensionUniqueName="[rArtikliAnaliza]" displayFolder="" count="0" memberValueDatatype="130" unbalanced="0"/>
    <cacheHierarchy uniqueName="[rArtikliAnaliza].[Тип на артикл]" caption="Тип на артикл" attribute="1" defaultMemberUniqueName="[rArtikliAnaliza].[Тип на артикл].[All]" allUniqueName="[rArtikliAnaliza].[Тип на артикл].[All]" dimensionUniqueName="[rArtikliAnaliza]" displayFolder="" count="0" memberValueDatatype="130" unbalanced="0"/>
    <cacheHierarchy uniqueName="[rArtikliAnaliza].[Единечна мерка]" caption="Единечна мерка" attribute="1" defaultMemberUniqueName="[rArtikliAnaliza].[Единечна мерка].[All]" allUniqueName="[rArtikliAnaliza].[Единечна мерка].[All]" dimensionUniqueName="[rArtikliAnaliza]" displayFolder="" count="0" memberValueDatatype="130" unbalanced="0"/>
    <cacheHierarchy uniqueName="[rArtikliAnaliza].[Количина]" caption="Количина" attribute="1" defaultMemberUniqueName="[rArtikliAnaliza].[Количина].[All]" allUniqueName="[rArtikliAnaliza].[Количина].[All]" dimensionUniqueName="[rArtikliAnaliza]" displayFolder="" count="0" memberValueDatatype="5" unbalanced="0"/>
    <cacheHierarchy uniqueName="[rArtikliAnaliza].[Единечна цена]" caption="Единечна цена" attribute="1" defaultMemberUniqueName="[rArtikliAnaliza].[Единечна цена].[All]" allUniqueName="[rArtikliAnaliza].[Единечна цена].[All]" dimensionUniqueName="[rArtikliAnaliza]" displayFolder="" count="0" memberValueDatatype="20" unbalanced="0"/>
    <cacheHierarchy uniqueName="[rArtikliAnaliza].[Износ]" caption="Износ" attribute="1" defaultMemberUniqueName="[rArtikliAnaliza].[Износ].[All]" allUniqueName="[rArtikliAnaliza].[Износ].[All]" dimensionUniqueName="[rArtikliAnaliza]" displayFolder="" count="0" memberValueDatatype="5" unbalanced="0"/>
    <cacheHierarchy uniqueName="[rArtikliAnaliza].[ДДВ]" caption="ДДВ" attribute="1" defaultMemberUniqueName="[rArtikliAnaliza].[ДДВ].[All]" allUniqueName="[rArtikliAnaliza].[ДДВ].[All]" dimensionUniqueName="[rArtikliAnaliza]" displayFolder="" count="0" memberValueDatatype="5" unbalanced="0"/>
    <cacheHierarchy uniqueName="[rArtikliAnaliza].[Вкупно трошок со ДДВ]" caption="Вкупно трошок со ДДВ" attribute="1" defaultMemberUniqueName="[rArtikliAnaliza].[Вкупно трошок со ДДВ].[All]" allUniqueName="[rArtikliAnaliza].[Вкупно трошок со ДДВ].[All]" dimensionUniqueName="[rArtikliAnaliza]" displayFolder="" count="0" memberValueDatatype="5" unbalanced="0"/>
    <cacheHierarchy uniqueName="[rArtikliAnaliza].[Конто]" caption="Конто" attribute="1" defaultMemberUniqueName="[rArtikliAnaliza].[Конто].[All]" allUniqueName="[rArtikliAnaliza].[Конто].[All]" dimensionUniqueName="[rArtikliAnaliza]" displayFolder="" count="0" memberValueDatatype="130" unbalanced="0"/>
    <cacheHierarchy uniqueName="[rArtikliAnaliza].[Период]" caption="Период" attribute="1" time="1" defaultMemberUniqueName="[rArtikliAnaliza].[Период].[All]" allUniqueName="[rArtikliAnaliza].[Период].[All]" dimensionUniqueName="[rArtikliAnaliza]" displayFolder="" count="0" memberValueDatatype="7" unbalanced="0"/>
    <cacheHierarchy uniqueName="[rArtikliAnaliza].[ReportType]" caption="ReportType" attribute="1" defaultMemberUniqueName="[rArtikliAnaliza].[ReportType].[All]" allUniqueName="[rArtikliAnaliza].[ReportType].[All]" dimensionUniqueName="[rArtikliAnaliza]" displayFolder="" count="0" memberValueDatatype="130" unbalanced="0"/>
    <cacheHierarchy uniqueName="[rArtikliAnaliza].[StavkaImeMK]" caption="StavkaImeMK" attribute="1" defaultMemberUniqueName="[rArtikliAnaliza].[StavkaImeMK].[All]" allUniqueName="[rArtikliAnaliza].[StavkaImeMK].[All]" dimensionUniqueName="[rArtikliAnaliza]" displayFolder="" count="0" memberValueDatatype="130" unbalanced="0"/>
    <cacheHierarchy uniqueName="[rArtikliAnaliza].[StavkaKategorija]" caption="StavkaKategorija" attribute="1" defaultMemberUniqueName="[rArtikliAnaliza].[StavkaKategorija].[All]" allUniqueName="[rArtikliAnaliza].[StavkaKategorija].[All]" dimensionUniqueName="[rArtikliAnaliza]" displayFolder="" count="0" memberValueDatatype="130" unbalanced="0"/>
    <cacheHierarchy uniqueName="[rArtikliAnaliza].[Период (Year)]" caption="Период (Year)" attribute="1" defaultMemberUniqueName="[rArtikliAnaliza].[Период (Year)].[All]" allUniqueName="[rArtikliAnaliza].[Период (Year)].[All]" dimensionUniqueName="[rArtikliAnaliza]" displayFolder="" count="0" memberValueDatatype="130" unbalanced="0"/>
    <cacheHierarchy uniqueName="[rArtikliAnaliza].[Период (Quarter)]" caption="Период (Quarter)" attribute="1" defaultMemberUniqueName="[rArtikliAnaliza].[Период (Quarter)].[All]" allUniqueName="[rArtikliAnaliza].[Период (Quarter)].[All]" dimensionUniqueName="[rArtikliAnaliza]" displayFolder="" count="0" memberValueDatatype="130" unbalanced="0"/>
    <cacheHierarchy uniqueName="[rArtikliAnaliza].[Период (Month)]" caption="Период (Month)" attribute="1" defaultMemberUniqueName="[rArtikliAnaliza].[Период (Month)].[All]" allUniqueName="[rArtikliAnaliza].[Период (Month)].[All]" dimensionUniqueName="[rArtikliAnaliza]" displayFolder="" count="0" memberValueDatatype="130" unbalanced="0"/>
    <cacheHierarchy uniqueName="[CAPEX].[Очекуван датум за ставање во употреба (месец) (Month Index)]" caption="Очекуван датум за ставање во употреба (месец) (Month Index)" attribute="1" defaultMemberUniqueName="[CAPEX].[Очекуван датум за ставање во употреба (месец) (Month Index)].[All]" allUniqueName="[CAPEX].[Очекуван датум за ставање во употреба (месец) (Month Index)].[All]" dimensionUniqueName="[CAPEX]" displayFolder="" count="0" memberValueDatatype="20" unbalanced="0" hidden="1"/>
    <cacheHierarchy uniqueName="[CAPEX].[Очекуван датум на плаќање (Month Index)]" caption="Очекуван датум на плаќање (Month Index)" attribute="1" defaultMemberUniqueName="[CAPEX].[Очекуван датум на плаќање (Month Index)].[All]" allUniqueName="[CAPEX].[Очекуван датум на плаќање (Month Index)].[All]" dimensionUniqueName="[CAPEX]" displayFolder="" count="0" memberValueDatatype="20" unbalanced="0" hidden="1"/>
    <cacheHierarchy uniqueName="[fActualAndBudget].[StavkaID]" caption="StavkaID" attribute="1" defaultMemberUniqueName="[fActualAndBudget].[StavkaID].[All]" allUniqueName="[fActualAndBudget].[StavkaID].[All]" dimensionUniqueName="[fActualAndBudget]" displayFolder="" count="0" memberValueDatatype="20" unbalanced="0" hidden="1"/>
    <cacheHierarchy uniqueName="[fCoveckiResursi].[Период (Month Index)]" caption="Период (Month Index)" attribute="1" defaultMemberUniqueName="[fCoveckiResursi].[Период (Month Index)].[All]" allUniqueName="[fCoveckiResursi].[Период (Month Index)].[All]" dimensionUniqueName="[fCoveckiResursi]" displayFolder="" count="0" memberValueDatatype="20" unbalanced="0" hidden="1"/>
    <cacheHierarchy uniqueName="[fCoveckiResursi].[Период (Month Index) 1]" caption="Период (Month Index) 1" attribute="1" defaultMemberUniqueName="[fCoveckiResursi].[Период (Month Index) 1].[All]" allUniqueName="[fCoveckiResursi].[Период (Month Index) 1].[All]" dimensionUniqueName="[fCoveckiResursi]" displayFolder="" count="0" memberValueDatatype="20" unbalanced="0" hidden="1"/>
    <cacheHierarchy uniqueName="[OPEXAnaliza].[Период (Month Index)]" caption="Период (Month Index)" attribute="1" defaultMemberUniqueName="[OPEXAnaliza].[Период (Month Index)].[All]" allUniqueName="[OPEXAnaliza].[Период (Month Index)].[All]" dimensionUniqueName="[OPEXAnaliza]" displayFolder="" count="0" memberValueDatatype="20" unbalanced="0" hidden="1"/>
    <cacheHierarchy uniqueName="[rArtikli_HR_Analiza].[Крајна состојба вработени]" caption="Крајна состојба вработени" attribute="1" defaultMemberUniqueName="[rArtikli_HR_Analiza].[Крајна состојба вработени].[All]" allUniqueName="[rArtikli_HR_Analiza].[Крајна состојба вработени].[All]" dimensionUniqueName="[rArtikli_HR_Analiza]" displayFolder="" count="0" memberValueDatatype="20" unbalanced="0" hidden="1"/>
    <cacheHierarchy uniqueName="[rArtikli_HR_Analiza].[Планиран прилив/(одлив)]" caption="Планиран прилив/(одлив)" attribute="1" defaultMemberUniqueName="[rArtikli_HR_Analiza].[Планиран прилив/(одлив)].[All]" allUniqueName="[rArtikli_HR_Analiza].[Планиран прилив/(одлив)].[All]" dimensionUniqueName="[rArtikli_HR_Analiza]" displayFolder="" count="0" memberValueDatatype="20" unbalanced="0" hidden="1"/>
    <cacheHierarchy uniqueName="[rArtikli_HR_Analiza].[Тип на вработување]" caption="Тип на вработување" attribute="1" defaultMemberUniqueName="[rArtikli_HR_Analiza].[Тип на вработување].[All]" allUniqueName="[rArtikli_HR_Analiza].[Тип на вработување].[All]" dimensionUniqueName="[rArtikli_HR_Analiza]" displayFolder="" count="0" memberValueDatatype="130" unbalanced="0" hidden="1"/>
    <cacheHierarchy uniqueName="[rArtikliAnaliza].[Период (Month Index)]" caption="Период (Month Index)" attribute="1" defaultMemberUniqueName="[rArtikliAnaliza].[Период (Month Index)].[All]" allUniqueName="[rArtikliAnaliza].[Период (Month Index)].[All]" dimensionUniqueName="[rArtikliAnaliza]" displayFolder="" count="0" memberValueDatatype="20" unbalanced="0" hidden="1"/>
    <cacheHierarchy uniqueName="[Measures].[__XL_Count Calendar]" caption="__XL_Count Calendar" measure="1" displayFolder="" measureGroup="Calendar" count="0" hidden="1"/>
    <cacheHierarchy uniqueName="[Measures].[__XL_Count CAPEX]" caption="__XL_Count CAPEX" measure="1" displayFolder="" measureGroup="CAPEX" count="0" hidden="1"/>
    <cacheHierarchy uniqueName="[Measures].[__XL_Count Amortizacija]" caption="__XL_Count Amortizacija" measure="1" displayFolder="" measureGroup="Amortizacija" count="0" hidden="1"/>
    <cacheHierarchy uniqueName="[Measures].[__XL_Count fCoveckiResursi]" caption="__XL_Count fCoveckiResursi" measure="1" displayFolder="" measureGroup="fCoveckiResursi" count="0" hidden="1"/>
    <cacheHierarchy uniqueName="[Measures].[__XL_Count fActualAndBudget]" caption="__XL_Count fActualAndBudget" measure="1" displayFolder="" measureGroup="fActualAndBudget" count="0" hidden="1"/>
    <cacheHierarchy uniqueName="[Measures].[__XL_Count fOPEX]" caption="__XL_Count fOPEX" measure="1" displayFolder="" measureGroup="fOPEX" count="0" hidden="1"/>
    <cacheHierarchy uniqueName="[Measures].[__XL_Count OPEXAnaliza]" caption="__XL_Count OPEXAnaliza" measure="1" displayFolder="" measureGroup="OPEXAnaliza" count="0" hidden="1"/>
    <cacheHierarchy uniqueName="[Measures].[__XL_Count rArtikliAnaliza]" caption="__XL_Count rArtikliAnaliza" measure="1" displayFolder="" measureGroup="rArtikliAnaliza" count="0" hidden="1"/>
    <cacheHierarchy uniqueName="[Measures].[__XL_Count fArtikliCeni]" caption="__XL_Count fArtikliCeni" measure="1" displayFolder="" measureGroup="fArtikliCeni" count="0" hidden="1"/>
    <cacheHierarchy uniqueName="[Measures].[__XL_Count rArtikli_HR_Analiza]" caption="__XL_Count rArtikli_HR_Analiza" measure="1" displayFolder="" measureGroup="rArtikli_HR_Analiza" count="0" hidden="1"/>
    <cacheHierarchy uniqueName="[Measures].[__XL_Count fCoveckiResursi  2]" caption="__XL_Count fCoveckiResursi  2" measure="1" displayFolder="" measureGroup="fCoveckiResursi  2" count="0" hidden="1"/>
    <cacheHierarchy uniqueName="[Measures].[__No measures defined]" caption="__No measures defined" measure="1" displayFolder="" count="0" hidden="1"/>
    <cacheHierarchy uniqueName="[Measures].[Sum of Износ 3]" caption="Sum of Износ 3" measure="1" displayFolder="" measureGroup="fCoveckiResursi" count="0" hidden="1">
      <extLst>
        <ext xmlns:x15="http://schemas.microsoft.com/office/spreadsheetml/2010/11/main" uri="{B97F6D7D-B522-45F9-BDA1-12C45D357490}">
          <x15:cacheHierarchy aggregatedColumn="71"/>
        </ext>
      </extLst>
    </cacheHierarchy>
    <cacheHierarchy uniqueName="[Measures].[Sum of Крајна состојба вработени]" caption="Sum of Крајна состојба вработени" measure="1" displayFolder="" measureGroup="fCoveckiResursi" count="0" hidden="1">
      <extLst>
        <ext xmlns:x15="http://schemas.microsoft.com/office/spreadsheetml/2010/11/main" uri="{B97F6D7D-B522-45F9-BDA1-12C45D357490}">
          <x15:cacheHierarchy aggregatedColumn="70"/>
        </ext>
      </extLst>
    </cacheHierarchy>
    <cacheHierarchy uniqueName="[Measures].[Sum of Планиран прилив/(одлив)]" caption="Sum of Планиран прилив/(одлив)" measure="1" displayFolder="" measureGroup="fCoveckiResursi" count="0" hidden="1">
      <extLst>
        <ext xmlns:x15="http://schemas.microsoft.com/office/spreadsheetml/2010/11/main" uri="{B97F6D7D-B522-45F9-BDA1-12C45D357490}">
          <x15:cacheHierarchy aggregatedColumn="68"/>
        </ext>
      </extLst>
    </cacheHierarchy>
    <cacheHierarchy uniqueName="[Measures].[Sum of Износ]" caption="Sum of Износ" measure="1" displayFolder="" measureGroup="fActualAndBudget" count="0" oneField="1" hidden="1">
      <fieldsUsage count="1">
        <fieldUsage x="3"/>
      </fieldsUsage>
      <extLst>
        <ext xmlns:x15="http://schemas.microsoft.com/office/spreadsheetml/2010/11/main" uri="{B97F6D7D-B522-45F9-BDA1-12C45D357490}">
          <x15:cacheHierarchy aggregatedColumn="45"/>
        </ext>
      </extLst>
    </cacheHierarchy>
    <cacheHierarchy uniqueName="[Measures].[Sum of Износ (илјади)]" caption="Sum of Износ (илјади)" measure="1" displayFolder="" measureGroup="fActualAndBudget" count="0" hidden="1">
      <extLst>
        <ext xmlns:x15="http://schemas.microsoft.com/office/spreadsheetml/2010/11/main" uri="{B97F6D7D-B522-45F9-BDA1-12C45D357490}">
          <x15:cacheHierarchy aggregatedColumn="46"/>
        </ext>
      </extLst>
    </cacheHierarchy>
    <cacheHierarchy uniqueName="[Measures].[Sum of Износ1]" caption="Sum of Износ1" measure="1" displayFolder="" measureGroup="fActualAndBudget" count="0" hidden="1">
      <extLst>
        <ext xmlns:x15="http://schemas.microsoft.com/office/spreadsheetml/2010/11/main" uri="{B97F6D7D-B522-45F9-BDA1-12C45D357490}">
          <x15:cacheHierarchy aggregatedColumn="34"/>
        </ext>
      </extLst>
    </cacheHierarchy>
    <cacheHierarchy uniqueName="[Measures].[Sum of Износ 2]" caption="Sum of Износ 2" measure="1" displayFolder="" measureGroup="Amortizacija" count="0" hidden="1">
      <extLst>
        <ext xmlns:x15="http://schemas.microsoft.com/office/spreadsheetml/2010/11/main" uri="{B97F6D7D-B522-45F9-BDA1-12C45D357490}">
          <x15:cacheHierarchy aggregatedColumn="3"/>
        </ext>
      </extLst>
    </cacheHierarchy>
    <cacheHierarchy uniqueName="[Measures].[Sum of Износ 4]" caption="Sum of Износ 4" measure="1" displayFolder="" measureGroup="OPEXAnaliza" count="0" hidden="1">
      <extLst>
        <ext xmlns:x15="http://schemas.microsoft.com/office/spreadsheetml/2010/11/main" uri="{B97F6D7D-B522-45F9-BDA1-12C45D357490}">
          <x15:cacheHierarchy aggregatedColumn="101"/>
        </ext>
      </extLst>
    </cacheHierarchy>
    <cacheHierarchy uniqueName="[Measures].[Sum of Износ донација]" caption="Sum of Износ донација" measure="1" displayFolder="" measureGroup="CAPEX" count="0" hidden="1">
      <extLst>
        <ext xmlns:x15="http://schemas.microsoft.com/office/spreadsheetml/2010/11/main" uri="{B97F6D7D-B522-45F9-BDA1-12C45D357490}">
          <x15:cacheHierarchy aggregatedColumn="24"/>
        </ext>
      </extLst>
    </cacheHierarchy>
    <cacheHierarchy uniqueName="[Measures].[Sum of Вкупно трошок]" caption="Sum of Вкупно трошок" measure="1" displayFolder="" measureGroup="fArtikliCeni" count="0" hidden="1">
      <extLst>
        <ext xmlns:x15="http://schemas.microsoft.com/office/spreadsheetml/2010/11/main" uri="{B97F6D7D-B522-45F9-BDA1-12C45D357490}">
          <x15:cacheHierarchy aggregatedColumn="55"/>
        </ext>
      </extLst>
    </cacheHierarchy>
    <cacheHierarchy uniqueName="[Measures].[Sum of Количина]" caption="Sum of Количина" measure="1" displayFolder="" measureGroup="fArtikliCeni" count="0" hidden="1">
      <extLst>
        <ext xmlns:x15="http://schemas.microsoft.com/office/spreadsheetml/2010/11/main" uri="{B97F6D7D-B522-45F9-BDA1-12C45D357490}">
          <x15:cacheHierarchy aggregatedColumn="53"/>
        </ext>
      </extLst>
    </cacheHierarchy>
    <cacheHierarchy uniqueName="[Measures].[Sum of Единечна цена]" caption="Sum of Единечна цена" measure="1" displayFolder="" measureGroup="fArtikliCeni" count="0" hidden="1">
      <extLst>
        <ext xmlns:x15="http://schemas.microsoft.com/office/spreadsheetml/2010/11/main" uri="{B97F6D7D-B522-45F9-BDA1-12C45D357490}">
          <x15:cacheHierarchy aggregatedColumn="54"/>
        </ext>
      </extLst>
    </cacheHierarchy>
    <cacheHierarchy uniqueName="[Measures].[Sum of ДДВ]" caption="Sum of ДДВ" measure="1" displayFolder="" measureGroup="fArtikliCeni" count="0" hidden="1">
      <extLst>
        <ext xmlns:x15="http://schemas.microsoft.com/office/spreadsheetml/2010/11/main" uri="{B97F6D7D-B522-45F9-BDA1-12C45D357490}">
          <x15:cacheHierarchy aggregatedColumn="56"/>
        </ext>
      </extLst>
    </cacheHierarchy>
    <cacheHierarchy uniqueName="[Measures].[Sum of Износ 6]" caption="Sum of Износ 6" measure="1" displayFolder="" measureGroup="fArtikliCeni" count="0" hidden="1">
      <extLst>
        <ext xmlns:x15="http://schemas.microsoft.com/office/spreadsheetml/2010/11/main" uri="{B97F6D7D-B522-45F9-BDA1-12C45D357490}">
          <x15:cacheHierarchy aggregatedColumn="57"/>
        </ext>
      </extLst>
    </cacheHierarchy>
    <cacheHierarchy uniqueName="[Measures].[Count of Единечна мерка]" caption="Count of Единечна мерка" measure="1" displayFolder="" measureGroup="fArtikliCeni" count="0" hidden="1">
      <extLst>
        <ext xmlns:x15="http://schemas.microsoft.com/office/spreadsheetml/2010/11/main" uri="{B97F6D7D-B522-45F9-BDA1-12C45D357490}">
          <x15:cacheHierarchy aggregatedColumn="52"/>
        </ext>
      </extLst>
    </cacheHierarchy>
    <cacheHierarchy uniqueName="[Measures].[Sum of Количина 2]" caption="Sum of Количина 2" measure="1" displayFolder="" measureGroup="rArtikli_HR_Analiza" count="0" hidden="1">
      <extLst>
        <ext xmlns:x15="http://schemas.microsoft.com/office/spreadsheetml/2010/11/main" uri="{B97F6D7D-B522-45F9-BDA1-12C45D357490}">
          <x15:cacheHierarchy aggregatedColumn="118"/>
        </ext>
      </extLst>
    </cacheHierarchy>
    <cacheHierarchy uniqueName="[Measures].[Sum of Единечна цена 2]" caption="Sum of Единечна цена 2" measure="1" displayFolder="" measureGroup="rArtikli_HR_Analiza" count="0" hidden="1">
      <extLst>
        <ext xmlns:x15="http://schemas.microsoft.com/office/spreadsheetml/2010/11/main" uri="{B97F6D7D-B522-45F9-BDA1-12C45D357490}">
          <x15:cacheHierarchy aggregatedColumn="119"/>
        </ext>
      </extLst>
    </cacheHierarchy>
    <cacheHierarchy uniqueName="[Measures].[Sum of Вкупно трошок 2]" caption="Sum of Вкупно трошок 2" measure="1" displayFolder="" measureGroup="rArtikli_HR_Analiza" count="0" hidden="1">
      <extLst>
        <ext xmlns:x15="http://schemas.microsoft.com/office/spreadsheetml/2010/11/main" uri="{B97F6D7D-B522-45F9-BDA1-12C45D357490}">
          <x15:cacheHierarchy aggregatedColumn="120"/>
        </ext>
      </extLst>
    </cacheHierarchy>
    <cacheHierarchy uniqueName="[Measures].[Sum of ДДВ 2]" caption="Sum of ДДВ 2" measure="1" displayFolder="" measureGroup="rArtikli_HR_Analiza" count="0" hidden="1">
      <extLst>
        <ext xmlns:x15="http://schemas.microsoft.com/office/spreadsheetml/2010/11/main" uri="{B97F6D7D-B522-45F9-BDA1-12C45D357490}">
          <x15:cacheHierarchy aggregatedColumn="121"/>
        </ext>
      </extLst>
    </cacheHierarchy>
    <cacheHierarchy uniqueName="[Measures].[Sum of Износ 7]" caption="Sum of Износ 7" measure="1" displayFolder="" measureGroup="rArtikli_HR_Analiza" count="0" hidden="1">
      <extLst>
        <ext xmlns:x15="http://schemas.microsoft.com/office/spreadsheetml/2010/11/main" uri="{B97F6D7D-B522-45F9-BDA1-12C45D357490}">
          <x15:cacheHierarchy aggregatedColumn="122"/>
        </ext>
      </extLst>
    </cacheHierarchy>
    <cacheHierarchy uniqueName="[Measures].[Sum of Износ 5]" caption="Sum of Износ 5" measure="1" displayFolder="" measureGroup="fCoveckiResursi  2" count="0" hidden="1">
      <extLst>
        <ext xmlns:x15="http://schemas.microsoft.com/office/spreadsheetml/2010/11/main" uri="{B97F6D7D-B522-45F9-BDA1-12C45D357490}">
          <x15:cacheHierarchy aggregatedColumn="82"/>
        </ext>
      </extLst>
    </cacheHierarchy>
    <cacheHierarchy uniqueName="[Measures].[Sum of Проценета вредност на набавка со ДДВ (денари)]" caption="Sum of Проценета вредност на набавка со ДДВ (денари)" measure="1" displayFolder="" measureGroup="CAPEX" count="0" hidden="1">
      <extLst>
        <ext xmlns:x15="http://schemas.microsoft.com/office/spreadsheetml/2010/11/main" uri="{B97F6D7D-B522-45F9-BDA1-12C45D357490}">
          <x15:cacheHierarchy aggregatedColumn="20"/>
        </ext>
      </extLst>
    </cacheHierarchy>
  </cacheHierarchies>
  <kpis count="0"/>
  <dimensions count="12">
    <dimension name="Amortizacija" uniqueName="[Amortizacija]" caption="Amortizacija"/>
    <dimension name="Calendar" uniqueName="[Calendar]" caption="Calendar"/>
    <dimension name="CAPEX" uniqueName="[CAPEX]" caption="CAPEX"/>
    <dimension name="fActualAndBudget" uniqueName="[fActualAndBudget]" caption="fActualAndBudget"/>
    <dimension name="fArtikliCeni" uniqueName="[fArtikliCeni]" caption="fArtikliCeni"/>
    <dimension name="fCoveckiResursi" uniqueName="[fCoveckiResursi]" caption="fCoveckiResursi"/>
    <dimension name="fCoveckiResursi  2" uniqueName="[fCoveckiResursi  2]" caption="fCoveckiResursi  2"/>
    <dimension name="fOPEX" uniqueName="[fOPEX]" caption="fOPEX"/>
    <dimension measure="1" name="Measures" uniqueName="[Measures]" caption="Measures"/>
    <dimension name="OPEXAnaliza" uniqueName="[OPEXAnaliza]" caption="OPEXAnaliza"/>
    <dimension name="rArtikli_HR_Analiza" uniqueName="[rArtikli_HR_Analiza]" caption="rArtikli_HR_Analiza"/>
    <dimension name="rArtikliAnaliza" uniqueName="[rArtikliAnaliza]" caption="rArtikliAnaliza"/>
  </dimensions>
  <measureGroups count="11">
    <measureGroup name="Amortizacija" caption="Amortizacija"/>
    <measureGroup name="Calendar" caption="Calendar"/>
    <measureGroup name="CAPEX" caption="CAPEX"/>
    <measureGroup name="fActualAndBudget" caption="fActualAndBudget"/>
    <measureGroup name="fArtikliCeni" caption="fArtikliCeni"/>
    <measureGroup name="fCoveckiResursi" caption="fCoveckiResursi"/>
    <measureGroup name="fCoveckiResursi  2" caption="fCoveckiResursi  2"/>
    <measureGroup name="fOPEX" caption="fOPEX"/>
    <measureGroup name="OPEXAnaliza" caption="OPEXAnaliza"/>
    <measureGroup name="rArtikli_HR_Analiza" caption="rArtikli_HR_Analiza"/>
    <measureGroup name="rArtikliAnaliza" caption="rArtikliAnaliza"/>
  </measureGroups>
  <maps count="19">
    <map measureGroup="0" dimension="0"/>
    <map measureGroup="0" dimension="1"/>
    <map measureGroup="1" dimension="1"/>
    <map measureGroup="2" dimension="1"/>
    <map measureGroup="2" dimension="2"/>
    <map measureGroup="3" dimension="1"/>
    <map measureGroup="3" dimension="3"/>
    <map measureGroup="4" dimension="4"/>
    <map measureGroup="5" dimension="1"/>
    <map measureGroup="5" dimension="5"/>
    <map measureGroup="6" dimension="1"/>
    <map measureGroup="6" dimension="6"/>
    <map measureGroup="7" dimension="1"/>
    <map measureGroup="7" dimension="7"/>
    <map measureGroup="8" dimension="1"/>
    <map measureGroup="8" dimension="9"/>
    <map measureGroup="9" dimension="10"/>
    <map measureGroup="10" dimension="1"/>
    <map measureGroup="10" dimension="1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ngela Sazdova - Doneva" refreshedDate="44899.978572569446" createdVersion="5" refreshedVersion="6" minRefreshableVersion="3" recordCount="0" supportSubquery="1" supportAdvancedDrill="1" xr:uid="{00000000-000A-0000-FFFF-FFFF1B000000}">
  <cacheSource type="external" connectionId="22"/>
  <cacheFields count="10">
    <cacheField name="[Calendar].[Date Hierarchy].[Year]" caption="Year" numFmtId="0" hierarchy="7" level="1">
      <sharedItems containsSemiMixedTypes="0" containsNonDate="0" containsString="0"/>
    </cacheField>
    <cacheField name="[Calendar].[Date Hierarchy].[Month]" caption="Month" numFmtId="0" hierarchy="7" level="2">
      <sharedItems containsSemiMixedTypes="0" containsNonDate="0" containsString="0"/>
    </cacheField>
    <cacheField name="[Calendar].[Date Hierarchy].[DateColumn]" caption="DateColumn" numFmtId="0" hierarchy="7" level="3">
      <sharedItems containsSemiMixedTypes="0" containsNonDate="0" containsString="0"/>
    </cacheField>
    <cacheField name="[fActualAndBudget].[Конто].[Конто]" caption="Конто" numFmtId="0" hierarchy="31" level="1">
      <sharedItems count="133">
        <s v="40103"/>
        <s v="40104"/>
        <s v="40105"/>
        <s v="40107"/>
        <s v="40108"/>
        <s v="4030"/>
        <s v="40304"/>
        <s v="4031"/>
        <s v="403101"/>
        <s v="403102"/>
        <s v="403103"/>
        <s v="403104"/>
        <s v="403105"/>
        <s v="403106"/>
        <s v="403107"/>
        <s v="4031601"/>
        <s v="4031602"/>
        <s v="4031603"/>
        <s v="4031604"/>
        <s v="4031605"/>
        <s v="4031606"/>
        <s v="4031607"/>
        <s v="4031608"/>
        <s v="4031609"/>
        <s v="4031610"/>
        <s v="4031611"/>
        <s v="4051"/>
        <s v="40510"/>
        <s v="4080"/>
        <s v="4081"/>
        <s v="4104"/>
        <s v="4106"/>
        <s v="41101"/>
        <s v="41102"/>
        <s v="41103"/>
        <s v="4111"/>
        <s v="41111"/>
        <s v="4113"/>
        <s v="41211"/>
        <s v="4123"/>
        <s v="4125"/>
        <s v="4129"/>
        <s v="4131"/>
        <s v="4132"/>
        <s v="4133"/>
        <s v="41330"/>
        <s v="4134"/>
        <s v="4136"/>
        <s v="4139"/>
        <s v="4143"/>
        <s v="4147"/>
        <s v="41500"/>
        <s v="41501"/>
        <s v="41502"/>
        <s v="41503"/>
        <s v="41504"/>
        <s v="4170"/>
        <s v="41700"/>
        <s v="41701"/>
        <s v="4171"/>
        <s v="41733"/>
        <s v="41921"/>
        <s v="41925"/>
        <s v="41931"/>
        <s v="41934"/>
        <s v="4200"/>
        <s v="4210"/>
        <s v="4220"/>
        <s v="42222"/>
        <s v="4223"/>
        <s v="4224"/>
        <s v="42291"/>
        <s v="43020"/>
        <s v="43030"/>
        <s v="43031"/>
        <s v="431001"/>
        <s v="431002"/>
        <s v="43132"/>
        <s v="43133"/>
        <s v="43134"/>
        <s v="43136"/>
        <s v="43139"/>
        <s v="43155"/>
        <s v="43211"/>
        <s v="44001"/>
        <s v="4401"/>
        <s v="44011"/>
        <s v="4403"/>
        <s v="44031"/>
        <s v="44032"/>
        <s v="4409"/>
        <s v="44091"/>
        <s v="44102"/>
        <s v="4422"/>
        <s v="44220"/>
        <s v="44221"/>
        <s v="4440"/>
        <s v="44500"/>
        <s v="44501"/>
        <s v="44502"/>
        <s v="44510"/>
        <s v="4459"/>
        <s v="4460"/>
        <s v="4476"/>
        <s v="4490"/>
        <s v="44902"/>
        <s v="44903"/>
        <s v="44904"/>
        <s v="44906"/>
        <s v="44907"/>
        <s v="449071"/>
        <s v="44908"/>
        <s v="449083"/>
        <s v="44909"/>
        <s v="4494"/>
        <s v="4496"/>
        <s v="4497"/>
        <s v="44970"/>
        <s v="44972"/>
        <s v="44973"/>
        <s v="44980"/>
        <s v="44983"/>
        <s v="4499"/>
        <s v="44990"/>
        <s v="4512"/>
        <s v="4560"/>
        <s v="4562"/>
        <s v="4600"/>
        <s v="4640"/>
        <s v="4660"/>
        <s v="4691"/>
        <s v="4741"/>
        <s v="4750"/>
      </sharedItems>
    </cacheField>
    <cacheField name="[fActualAndBudget].[ReportType].[ReportType]" caption="ReportType" numFmtId="0" hierarchy="35" level="1">
      <sharedItems containsSemiMixedTypes="0" containsNonDate="0" containsString="0"/>
    </cacheField>
    <cacheField name="[Measures].[Sum of Износ]" caption="Sum of Износ" numFmtId="0" hierarchy="176" level="32767"/>
    <cacheField name="[fActualAndBudget].[Ставка].[Ставка]" caption="Ставка" numFmtId="0" hierarchy="36" level="1">
      <sharedItems containsNonDate="0" count="130">
        <s v="POTRO[.KANCELARISKI MATERIJAL"/>
        <s v="POTRO[.MATER.ZA TEKOVNO ODR@UVAWE"/>
        <s v="POTRO[.MATER.ZA HIGIENA"/>
        <s v="POTR.SRED.ZA ZA[TITA PRI RAB.-RAB.(OBLEKA I OBUVKI"/>
        <s v="POTRO[.DR.MATERIJAL"/>
        <s v="POTR.ELEKT.ENERGIJA"/>
        <s v="POTRO[.NAFTA"/>
        <s v="POTRO[ENO GORIVO AK 210 SV"/>
        <s v="POTRO[ENO GORVO SK 2082 AI"/>
        <s v="POTRO[ENO GORIVO SK 2083 AI"/>
        <s v="POTRO[ENO GORIVO SK 2084 AI"/>
        <s v="POTRO[ENO GORIVO SK 2085 AI"/>
        <s v="POTRO[ENO GORIVO SK 783 OC"/>
        <s v="POTRO[ENO GORIVO SK 782 OC"/>
        <s v="POTRO[ENO GORIVO SK 0601 АС"/>
        <s v="POTRO[ENO GORIVO SK 0602 АС"/>
        <s v="POTRO[ENO GORIVO SK 0603 АС"/>
        <s v="POTRO[ENO GORIVO SK 0604 АС"/>
        <s v="POTRO[ENO GORIVO SK 0605 АС"/>
        <s v="POTRO[ENO GORIVO SK 0606 АС"/>
        <s v="POTRO[ENO GORIVO SK 0607 АС"/>
        <s v="POTRO[ENO GORIVO SK 0608 АС"/>
        <s v="POTRO[ENO GORIVO SK 0609 АС"/>
        <s v="POTRO[ENO GORIVO SK 0610 АС"/>
        <s v="POTRO[ENO GORIVO SK 0611 АС"/>
        <s v="POTR.REZERVNI DELOVI ZA TEKOVNO ODR@UV."/>
        <s v="DRUGI POTRO[ENI REZEVRNI DELOVI"/>
        <s v="OTPIS NA SITEN INVENTAR VO UPOTREBA"/>
        <s v="OTPIS NA AVTOGUMI VO UPOTREBA"/>
        <s v="TAKSI PREVOZ"/>
        <s v="DR.TRANSPORTNI USLUGI"/>
        <s v="TRO[.ZA TELEKOMUNIKACII"/>
        <s v="TRO[.ZA INTERNET"/>
        <s v="TRO[.ZA MOBILNA TELEFONIJA"/>
        <s v="PO[TENSKI USLUGI"/>
        <s v="PO[TENSKI USLUGI PRATKI DO 50 GRAMA"/>
        <s v="OSTANATI NADVORE[.USLUGI"/>
        <s v="NADVORE[NI USLUGI -TRO[OCI KONFERENCIJA CRF"/>
        <s v="TEKOVNO ODR@UVAWE NA DR.NEDVI@NOSTI I OPREMA"/>
        <s v="USLUGI ZA INVESTICIONO ODR@UVAWE"/>
        <s v="DR.USLUGI ZA ODR@UVAWE I ZA[TITA"/>
        <s v="USL.ZA TEKOV.ODR@.NA GRADE@NI OBJEKTI"/>
        <s v="USL.ZA TEKOV.ODR@.NA OPREMA"/>
        <s v="USL.ZA TEKOV.ODR@UV.NA OPREMA ZA AOP"/>
        <s v="USL.ZA TEKOV.ODR@U.NA NEMATERIJALNI VLO@.(LICENCI)"/>
        <s v="USL.ZA ODR@UV.NA HIGIENA VO PROSTORII"/>
        <s v="USL.ZA INVESTICIONO ODR@UV."/>
        <s v="OSTANATI USL.ZA ODR@UVAWE"/>
        <s v="NAEMNINA ZA NEDVI@NOSTI - ZAKUP OD PRAVNO LICE"/>
        <s v="RENTA- KAR TRO[OCI"/>
        <s v="TRO[OCI ZA VODA"/>
        <s v="TRO[OCI ZA SMET"/>
        <s v="TRO[.ZA ODR@UV.NA ZELENILO"/>
        <s v="TRO[.ZA GARA@IRAWE I PARKING"/>
        <s v="TRO[.ZA DERATIZ.I DEZINFEK."/>
        <s v="TRO[.ZA REKLAMI,PROPAG.I PROMOC."/>
        <s v="OSTANATI TRO[OCI ZA SNIMAWE, FOTO, IKEBANI"/>
        <s v="OGLASI VO PE^ATENI MEDIUMI"/>
        <s v="TRO[OCI ZA PROMOCIJA-ORGANIZIRAWE NA CRF 2019"/>
        <s v="OSTANATI NESPOM.TRO[OCI"/>
        <s v="USL.ZA SOVETUV.I SEMINAR"/>
        <s v="USLUGI ZA STRU^NO USOVR[.I OBUKA"/>
        <s v="INTELEKTUALNI USLUGI"/>
        <s v="ZDRAVSTVENI USLUGI"/>
        <s v="BRUTO PLATA I NADOMESTOCI ZA PLATA ZA PROIZVODSTVO"/>
        <s v="PLATA I NADOMESTOCI NA PLATA-BRUTO"/>
        <s v="OTPREMN.ZA ODEWE VO PENZIJA"/>
        <s v="NAGRADI NA VRABOTENI PO OSNOV OCENUVAWE I DR."/>
        <s v="REGRES ZA GOD.ODMOR"/>
        <s v="POMO[ NA SEMEJSTVO VO SLU^AJ NA BOLEST I SMRT"/>
        <s v="NADOMEST PO OSNOV NA BOLEDUVAWE"/>
        <s v="AMORTIZACIJA NA SOFTVER 0030"/>
        <s v="AMORTIZACIJA NA SOFTVER 0031"/>
        <s v="DEPRECIJACIJA NA GRAD. OBJEKTI SOPSTVENI"/>
        <s v="DEPRECIJACIJA NA GRAD. OBJEKTI (SREDSTVA NA KORISTEWE)"/>
        <s v="DEPRECIJACIJA NA TRANSPORTNI SREDSTVA"/>
        <s v="DEPRECIJACIJA NA TELEKOMUNIKACISKI UREDI"/>
        <s v="DEPRECIJACIJA NA KOMPJUTERSKA OPREMA 01341"/>
        <s v="DEPRECIJACIJA NA KANCELARISKI MEBEL 01363"/>
        <s v="DEPRECIJACIJA NA MED.UREDI - DEFIBR. 01391"/>
        <s v="DEPRECIJACIJA NA VLO@UVAWE VO TU\I NEDVI@NOSTI"/>
        <s v="DEPRECIJACIJA NA GRADE@NI OBJEKTI 01100"/>
        <s v="DNEVNICI ZA SLU@BENI PATUVAWA VO STRANSTVO"/>
        <s v="PATNI TRO[OCI VO ZEMJA"/>
        <s v="PATNI TRO[OCI ZA SLU@BENI PATUVAWA VO STRANSTVO"/>
        <s v="NADOMEST ZA NO]EVAWE VO ZEMJA"/>
        <s v="SMESTUVAWE NA NA[I VRABOTENI"/>
        <s v="NADOMEST ZA NO]EVAWE VO STRANSTVO"/>
        <s v="OSTANATI NESPOMNATI TRO[OCI"/>
        <s v="TRO[OCI ZA SPORT I REKREACIJA NA VRABOTENI"/>
        <s v="NADOMEST ZA ODVOEN @IVOT"/>
        <s v="NADOM.ZA ^L.NA UPRAVEN ODBOR"/>
        <s v="NADOM.ZA ^L.NA KOMISIA ZA @ALBI"/>
        <s v="NADOM.ZA KOMISIA ZA STRU^EN ISPIT"/>
        <s v="TRO[.ZA REPREZENTACIA"/>
        <s v="PREMIJA ZA OSIGUR.NA GRADE@NI OBJEKTI"/>
        <s v="PREMIJA ZA OSIGUR.NA TRANSPORTNI SRED."/>
        <s v="PREMIJA ZA OSIGUR.NA KOMPJUTERSKA OPREMA"/>
        <s v="PREMIJA ZA OSIGUR.OD PROF.ODG.ZA [TETI PR.TRETI LICA"/>
        <s v="DR.PREMIJI ZA OSIGURUVAWE"/>
        <s v="BANKARSKI USLUGI I TRO[OCI ZA PLATEN PROMET"/>
        <s v="^LANARINA"/>
        <s v="TRO[OCI ZA INTELEKTUALNI USLUGI"/>
        <s v="PRAVNI,ADVOKATSKI I NOTARSKI USLUGI"/>
        <s v="USLUGI ZA REVIZIJA I PROCENKA"/>
        <s v="USLUGI ZA PREPISI I PREVODI"/>
        <s v="AVTORSKI HONORARI"/>
        <s v="DRUGI DOGOVORNI USLUGI"/>
        <s v="AGENCIJA ZA PRIVREMENI VRABOTUVAWA"/>
        <s v="ZAEDN.TRO[OCI SO NBR"/>
        <s v="TRO[.ZA DOGOVOR ZA DELO"/>
        <s v="DRUGI INTELEKTUALNI USLUGI"/>
        <s v="TRO[.ZA PRETPL.NA VESNICI I STRU^NI SPISANIA"/>
        <s v="KOPIRAWE,PE^ATEWE,POVRZUV.I IZDAVAWE"/>
        <s v="SUDSKI TRO[OCI"/>
        <s v="TRO[.ZA REGISTR.NA VOZILO"/>
        <s v="SERVISIRAWE I POPRAVKA NA VOZILO"/>
        <s v="DR.TRO[OCI NA VOZILO"/>
        <s v="TRO[OCI ZA PATARINA"/>
        <s v="DR.NESPOMNATI NEMATERIJALNI TRO[OCI"/>
        <s v="DADENA PARI^NA POMO[ NA FIZI^KI LICA"/>
        <s v="VREDNOSNO USOGLASUVAWE NA POSTROJKI I OPREMA"/>
        <s v="VREDN.USOGL.NA SUROVINI I MATERIJALI"/>
        <s v="VREDN.USOGL.NA SITEN INVENTAR I AVTOGUMI"/>
        <s v="ZAGUBI VRZ OSNOVA NA RASHODUVAWE NA NEM.I MAT.SRED"/>
        <s v="NAPRAVENI KUSOCI"/>
        <s v="RASHOD OD PORANE[NI GODINI"/>
        <s v="OSTANATI RASHODI OD RABOTEWE"/>
        <s v="ZATEZNA KAMATA"/>
        <s v="KURSNA RAZLIKA"/>
      </sharedItems>
    </cacheField>
    <cacheField name="[Calendar].[Година].[Година]" caption="Година" numFmtId="0" hierarchy="8" level="1">
      <sharedItems containsSemiMixedTypes="0" containsNonDate="0" containsString="0"/>
    </cacheField>
    <cacheField name="[Calendar].[Месец].[Месец]" caption="Месец" numFmtId="0" hierarchy="10" level="1">
      <sharedItems count="10">
        <s v="Jan"/>
        <s v="Feb"/>
        <s v="Mar"/>
        <s v="Apr"/>
        <s v="May"/>
        <s v="Jun"/>
        <s v="Jul"/>
        <s v="Aug"/>
        <s v="Sep"/>
        <s v="Oct"/>
      </sharedItems>
    </cacheField>
    <cacheField name="[fActualAndBudget].[ObrazecIme].[ObrazecIme]" caption="ObrazecIme" numFmtId="0" hierarchy="44" level="1">
      <sharedItems containsSemiMixedTypes="0" containsNonDate="0" containsString="0"/>
    </cacheField>
  </cacheFields>
  <cacheHierarchies count="195">
    <cacheHierarchy uniqueName="[Amortizacija].[Број на јавна набавка (план)]" caption="Број на јавна набавка (план)" attribute="1" defaultMemberUniqueName="[Amortizacija].[Број на јавна набавка (план)].[All]" allUniqueName="[Amortizacija].[Број на јавна набавка (план)].[All]" dimensionUniqueName="[Amortizacija]" displayFolder="" count="0" memberValueDatatype="130" unbalanced="0"/>
    <cacheHierarchy uniqueName="[Amortizacija].[Ставка]" caption="Ставка" attribute="1" defaultMemberUniqueName="[Amortizacija].[Ставка].[All]" allUniqueName="[Amortizacija].[Ставка].[All]" dimensionUniqueName="[Amortizacija]" displayFolder="" count="0" memberValueDatatype="130" unbalanced="0"/>
    <cacheHierarchy uniqueName="[Amortizacija].[Период]" caption="Период" attribute="1" time="1" defaultMemberUniqueName="[Amortizacija].[Период].[All]" allUniqueName="[Amortizacija].[Период].[All]" dimensionUniqueName="[Amortizacija]" displayFolder="" count="0" memberValueDatatype="7" unbalanced="0"/>
    <cacheHierarchy uniqueName="[Amortizacija].[Износ]" caption="Износ" attribute="1" defaultMemberUniqueName="[Amortizacija].[Износ].[All]" allUniqueName="[Amortizacija].[Износ].[All]" dimensionUniqueName="[Amortizacija]" displayFolder="" count="0" memberValueDatatype="20" unbalanced="0"/>
    <cacheHierarchy uniqueName="[Amortizacija].[Конто]" caption="Конто" attribute="1" defaultMemberUniqueName="[Amortizacija].[Конто].[All]" allUniqueName="[Amortizacija].[Конто].[All]" dimensionUniqueName="[Amortizacija]" displayFolder="" count="0" memberValueDatatype="130" unbalanced="0"/>
    <cacheHierarchy uniqueName="[Amortizacija].[ReportType]" caption="ReportType" attribute="1" defaultMemberUniqueName="[Amortizacija].[ReportType].[All]" allUniqueName="[Amortizacija].[ReportType].[All]" dimensionUniqueName="[Amortizacija]" displayFolder="" count="0" memberValueDatatype="130" unbalanced="0"/>
    <cacheHierarchy uniqueName="[Calendar].[Date]" caption="Date" attribute="1" time="1" keyAttribute="1" defaultMemberUniqueName="[Calendar].[Date].[All]" allUniqueName="[Calendar].[Date].[All]" dimensionUniqueName="[Calendar]" displayFolder="" count="0" memberValueDatatype="7" unbalanced="0"/>
    <cacheHierarchy uniqueName="[Calendar].[Date Hierarchy]" caption="Date Hierarchy" time="1" defaultMemberUniqueName="[Calendar].[Date Hierarchy].[All]" allUniqueName="[Calendar].[Date Hierarchy].[All]" dimensionUniqueName="[Calendar]" displayFolder="" count="4" unbalanced="0">
      <fieldsUsage count="4">
        <fieldUsage x="-1"/>
        <fieldUsage x="0"/>
        <fieldUsage x="1"/>
        <fieldUsage x="2"/>
      </fieldsUsage>
    </cacheHierarchy>
    <cacheHierarchy uniqueName="[Calendar].[Година]" caption="Година" attribute="1" time="1" defaultMemberUniqueName="[Calendar].[Година].[All]" allUniqueName="[Calendar].[Година].[All]" dimensionUniqueName="[Calendar]" displayFolder="" count="2" memberValueDatatype="20" unbalanced="0">
      <fieldsUsage count="2">
        <fieldUsage x="-1"/>
        <fieldUsage x="7"/>
      </fieldsUsage>
    </cacheHierarchy>
    <cacheHierarchy uniqueName="[Calendar].[Month Number]" caption="Month Number" attribute="1" time="1" defaultMemberUniqueName="[Calendar].[Month Number].[All]" allUniqueName="[Calendar].[Month Number].[All]" dimensionUniqueName="[Calendar]" displayFolder="" count="0" memberValueDatatype="20" unbalanced="0"/>
    <cacheHierarchy uniqueName="[Calendar].[Месец]" caption="Месец" attribute="1" time="1" defaultMemberUniqueName="[Calendar].[Месец].[All]" allUniqueName="[Calendar].[Месец].[All]" dimensionUniqueName="[Calendar]" displayFolder="" count="2" memberValueDatatype="130" unbalanced="0">
      <fieldsUsage count="2">
        <fieldUsage x="-1"/>
        <fieldUsage x="8"/>
      </fieldsUsage>
    </cacheHierarchy>
    <cacheHierarchy uniqueName="[Calendar].[MMM-YYYY]" caption="MMM-YYYY" attribute="1" time="1" defaultMemberUniqueName="[Calendar].[MMM-YYYY].[All]" allUniqueName="[Calendar].[MMM-YYYY].[All]" dimensionUniqueName="[Calendar]" displayFolder="" count="0" memberValueDatatype="130" unbalanced="0"/>
    <cacheHierarchy uniqueName="[Calendar].[Day Of Week Number]" caption="Day Of Week Number" attribute="1" time="1" defaultMemberUniqueName="[Calendar].[Day Of Week Number].[All]" allUniqueName="[Calendar].[Day Of Week Number].[All]" dimensionUniqueName="[Calendar]" displayFolder="" count="0" memberValueDatatype="20" unbalanced="0"/>
    <cacheHierarchy uniqueName="[Calendar].[Day Of Week]" caption="Day Of Week" attribute="1" time="1" defaultMemberUniqueName="[Calendar].[Day Of Week].[All]" allUniqueName="[Calendar].[Day Of Week].[All]" dimensionUniqueName="[Calendar]" displayFolder="" count="0" memberValueDatatype="130" unbalanced="0"/>
    <cacheHierarchy uniqueName="[Calendar].[Квартал]" caption="Квартал" attribute="1" time="1" defaultMemberUniqueName="[Calendar].[Квартал].[All]" allUniqueName="[Calendar].[Квартал].[All]" dimensionUniqueName="[Calendar]" displayFolder="" count="0" memberValueDatatype="7" unbalanced="0"/>
    <cacheHierarchy uniqueName="[CAPEX].[Година за реализација на проект]" caption="Година за реализација на проект" attribute="1" defaultMemberUniqueName="[CAPEX].[Година за реализација на проект].[All]" allUniqueName="[CAPEX].[Година за реализација на проект].[All]" dimensionUniqueName="[CAPEX]" displayFolder="" count="0" memberValueDatatype="20" unbalanced="0"/>
    <cacheHierarchy uniqueName="[CAPEX].[Број на јавна набавка (план)]" caption="Број на јавна набавка (план)" attribute="1" defaultMemberUniqueName="[CAPEX].[Број на јавна набавка (план)].[All]" allUniqueName="[CAPEX].[Број на јавна набавка (план)].[All]" dimensionUniqueName="[CAPEX]" displayFolder="" count="0" memberValueDatatype="130" unbalanced="0"/>
    <cacheHierarchy uniqueName="[CAPEX].[Предмет на договорот за јавна набавка]" caption="Предмет на договорот за јавна набавка" attribute="1" defaultMemberUniqueName="[CAPEX].[Предмет на договорот за јавна набавка].[All]" allUniqueName="[CAPEX].[Предмет на договорот за јавна набавка].[All]" dimensionUniqueName="[CAPEX]" displayFolder="" count="0" memberValueDatatype="130" unbalanced="0"/>
    <cacheHierarchy uniqueName="[CAPEX].[Очекуван датум на плаќање]" caption="Очекуван датум на плаќање" attribute="1" time="1" defaultMemberUniqueName="[CAPEX].[Очекуван датум на плаќање].[All]" allUniqueName="[CAPEX].[Очекуван датум на плаќање].[All]" dimensionUniqueName="[CAPEX]" displayFolder="" count="0" memberValueDatatype="7" unbalanced="0"/>
    <cacheHierarchy uniqueName="[CAPEX].[Очекуван датум за ставање во употреба (месец)]" caption="Очекуван датум за ставање во употреба (месец)" attribute="1" time="1" defaultMemberUniqueName="[CAPEX].[Очекуван датум за ставање во употреба (месец)].[All]" allUniqueName="[CAPEX].[Очекуван датум за ставање во употреба (месец)].[All]" dimensionUniqueName="[CAPEX]" displayFolder="" count="0" memberValueDatatype="7" unbalanced="0"/>
    <cacheHierarchy uniqueName="[CAPEX].[Проценета вредност на набавка со ДДВ (денари)]" caption="Проценета вредност на набавка со ДДВ (денари)" attribute="1" defaultMemberUniqueName="[CAPEX].[Проценета вредност на набавка со ДДВ (денари)].[All]" allUniqueName="[CAPEX].[Проценета вредност на набавка со ДДВ (денари)].[All]" dimensionUniqueName="[CAPEX]" displayFolder="" count="0" memberValueDatatype="20" unbalanced="0"/>
    <cacheHierarchy uniqueName="[CAPEX].[Стапка на амортизација]" caption="Стапка на амортизација" attribute="1" defaultMemberUniqueName="[CAPEX].[Стапка на амортизација].[All]" allUniqueName="[CAPEX].[Стапка на амортизација].[All]" dimensionUniqueName="[CAPEX]" displayFolder="" count="0" memberValueDatatype="5" unbalanced="0"/>
    <cacheHierarchy uniqueName="[CAPEX].[Конто Средства]" caption="Конто Средства" attribute="1" defaultMemberUniqueName="[CAPEX].[Конто Средства].[All]" allUniqueName="[CAPEX].[Конто Средства].[All]" dimensionUniqueName="[CAPEX]" displayFolder="" count="0" memberValueDatatype="130" unbalanced="0"/>
    <cacheHierarchy uniqueName="[CAPEX].[Конто Амортизација]" caption="Конто Амортизација" attribute="1" defaultMemberUniqueName="[CAPEX].[Конто Амортизација].[All]" allUniqueName="[CAPEX].[Конто Амортизација].[All]" dimensionUniqueName="[CAPEX]" displayFolder="" count="0" memberValueDatatype="130" unbalanced="0"/>
    <cacheHierarchy uniqueName="[CAPEX].[Износ донација]" caption="Износ донација" attribute="1" defaultMemberUniqueName="[CAPEX].[Износ донација].[All]" allUniqueName="[CAPEX].[Износ донација].[All]" dimensionUniqueName="[CAPEX]" displayFolder="" count="0" memberValueDatatype="20" unbalanced="0"/>
    <cacheHierarchy uniqueName="[CAPEX].[Очекуван датум на плаќање (Year)]" caption="Очекуван датум на плаќање (Year)" attribute="1" defaultMemberUniqueName="[CAPEX].[Очекуван датум на плаќање (Year)].[All]" allUniqueName="[CAPEX].[Очекуван датум на плаќање (Year)].[All]" dimensionUniqueName="[CAPEX]" displayFolder="" count="0" memberValueDatatype="130" unbalanced="0"/>
    <cacheHierarchy uniqueName="[CAPEX].[Очекуван датум на плаќање (Quarter)]" caption="Очекуван датум на плаќање (Quarter)" attribute="1" defaultMemberUniqueName="[CAPEX].[Очекуван датум на плаќање (Quarter)].[All]" allUniqueName="[CAPEX].[Очекуван датум на плаќање (Quarter)].[All]" dimensionUniqueName="[CAPEX]" displayFolder="" count="0" memberValueDatatype="130" unbalanced="0"/>
    <cacheHierarchy uniqueName="[CAPEX].[Очекуван датум на плаќање (Month)]" caption="Очекуван датум на плаќање (Month)" attribute="1" defaultMemberUniqueName="[CAPEX].[Очекуван датум на плаќање (Month)].[All]" allUniqueName="[CAPEX].[Очекуван датум на плаќање (Month)].[All]" dimensionUniqueName="[CAPEX]" displayFolder="" count="0" memberValueDatatype="130" unbalanced="0"/>
    <cacheHierarchy uniqueName="[CAPEX].[Очекуван датум за ставање во употреба (месец) (Year)]" caption="Очекуван датум за ставање во употреба (месец) (Year)" attribute="1" defaultMemberUniqueName="[CAPEX].[Очекуван датум за ставање во употреба (месец) (Year)].[All]" allUniqueName="[CAPEX].[Очекуван датум за ставање во употреба (месец) (Year)].[All]" dimensionUniqueName="[CAPEX]" displayFolder="" count="0" memberValueDatatype="130" unbalanced="0"/>
    <cacheHierarchy uniqueName="[CAPEX].[Очекуван датум за ставање во употреба (месец) (Quarter)]" caption="Очекуван датум за ставање во употреба (месец) (Quarter)" attribute="1" defaultMemberUniqueName="[CAPEX].[Очекуван датум за ставање во употреба (месец) (Quarter)].[All]" allUniqueName="[CAPEX].[Очекуван датум за ставање во употреба (месец) (Quarter)].[All]" dimensionUniqueName="[CAPEX]" displayFolder="" count="0" memberValueDatatype="130" unbalanced="0"/>
    <cacheHierarchy uniqueName="[CAPEX].[Очекуван датум за ставање во употреба (месец) (Month)]" caption="Очекуван датум за ставање во употреба (месец) (Month)" attribute="1" defaultMemberUniqueName="[CAPEX].[Очекуван датум за ставање во употреба (месец) (Month)].[All]" allUniqueName="[CAPEX].[Очекуван датум за ставање во употреба (месец) (Month)].[All]" dimensionUniqueName="[CAPEX]" displayFolder="" count="0" memberValueDatatype="130" unbalanced="0"/>
    <cacheHierarchy uniqueName="[fActualAndBudget].[Конто]" caption="Конто" attribute="1" defaultMemberUniqueName="[fActualAndBudget].[Конто].[All]" allUniqueName="[fActualAndBudget].[Конто].[All]" dimensionUniqueName="[fActualAndBudget]" displayFolder="" count="2" memberValueDatatype="130" unbalanced="0">
      <fieldsUsage count="2">
        <fieldUsage x="-1"/>
        <fieldUsage x="3"/>
      </fieldsUsage>
    </cacheHierarchy>
    <cacheHierarchy uniqueName="[fActualAndBudget].[Назив на конто]" caption="Назив на конто" attribute="1" defaultMemberUniqueName="[fActualAndBudget].[Назив на конто].[All]" allUniqueName="[fActualAndBudget].[Назив на конто].[All]" dimensionUniqueName="[fActualAndBudget]" displayFolder="" count="0" memberValueDatatype="130" unbalanced="0"/>
    <cacheHierarchy uniqueName="[fActualAndBudget].[Период]" caption="Период" attribute="1" time="1" defaultMemberUniqueName="[fActualAndBudget].[Период].[All]" allUniqueName="[fActualAndBudget].[Период].[All]" dimensionUniqueName="[fActualAndBudget]" displayFolder="" count="0" memberValueDatatype="7" unbalanced="0"/>
    <cacheHierarchy uniqueName="[fActualAndBudget].[Износ1]" caption="Износ1" attribute="1" defaultMemberUniqueName="[fActualAndBudget].[Износ1].[All]" allUniqueName="[fActualAndBudget].[Износ1].[All]" dimensionUniqueName="[fActualAndBudget]" displayFolder="" count="0" memberValueDatatype="20" unbalanced="0"/>
    <cacheHierarchy uniqueName="[fActualAndBudget].[ReportType]" caption="ReportType" attribute="1" defaultMemberUniqueName="[fActualAndBudget].[ReportType].[All]" allUniqueName="[fActualAndBudget].[ReportType].[All]" dimensionUniqueName="[fActualAndBudget]" displayFolder="" count="2" memberValueDatatype="130" unbalanced="0">
      <fieldsUsage count="2">
        <fieldUsage x="-1"/>
        <fieldUsage x="4"/>
      </fieldsUsage>
    </cacheHierarchy>
    <cacheHierarchy uniqueName="[fActualAndBudget].[Ставка]" caption="Ставка" attribute="1" defaultMemberUniqueName="[fActualAndBudget].[Ставка].[All]" allUniqueName="[fActualAndBudget].[Ставка].[All]" dimensionUniqueName="[fActualAndBudget]" displayFolder="" count="2" memberValueDatatype="130" unbalanced="0">
      <fieldsUsage count="2">
        <fieldUsage x="-1"/>
        <fieldUsage x="6"/>
      </fieldsUsage>
    </cacheHierarchy>
    <cacheHierarchy uniqueName="[fActualAndBudget].[Број на јавна набавка (план)]" caption="Број на јавна набавка (план)" attribute="1" defaultMemberUniqueName="[fActualAndBudget].[Број на јавна набавка (план)].[All]" allUniqueName="[fActualAndBudget].[Број на јавна набавка (план)].[All]" dimensionUniqueName="[fActualAndBudget]" displayFolder="" count="0" memberValueDatatype="130" unbalanced="0"/>
    <cacheHierarchy uniqueName="[fActualAndBudget].[StavkaImeMK]" caption="StavkaImeMK" attribute="1" defaultMemberUniqueName="[fActualAndBudget].[StavkaImeMK].[All]" allUniqueName="[fActualAndBudget].[StavkaImeMK].[All]" dimensionUniqueName="[fActualAndBudget]" displayFolder="" count="0" memberValueDatatype="130" unbalanced="0"/>
    <cacheHierarchy uniqueName="[fActualAndBudget].[StavkaGrupa]" caption="StavkaGrupa" attribute="1" defaultMemberUniqueName="[fActualAndBudget].[StavkaGrupa].[All]" allUniqueName="[fActualAndBudget].[StavkaGrupa].[All]" dimensionUniqueName="[fActualAndBudget]" displayFolder="" count="0" memberValueDatatype="130" unbalanced="0"/>
    <cacheHierarchy uniqueName="[fActualAndBudget].[StavkaKategorija]" caption="StavkaKategorija" attribute="1" defaultMemberUniqueName="[fActualAndBudget].[StavkaKategorija].[All]" allUniqueName="[fActualAndBudget].[StavkaKategorija].[All]" dimensionUniqueName="[fActualAndBudget]" displayFolder="" count="0" memberValueDatatype="130" unbalanced="0"/>
    <cacheHierarchy uniqueName="[fActualAndBudget].[ZnakIzvestaj]" caption="ZnakIzvestaj" attribute="1" defaultMemberUniqueName="[fActualAndBudget].[ZnakIzvestaj].[All]" allUniqueName="[fActualAndBudget].[ZnakIzvestaj].[All]" dimensionUniqueName="[fActualAndBudget]" displayFolder="" count="0" memberValueDatatype="20" unbalanced="0"/>
    <cacheHierarchy uniqueName="[fActualAndBudget].[ObrazecID]" caption="ObrazecID" attribute="1" defaultMemberUniqueName="[fActualAndBudget].[ObrazecID].[All]" allUniqueName="[fActualAndBudget].[ObrazecID].[All]" dimensionUniqueName="[fActualAndBudget]" displayFolder="" count="0" memberValueDatatype="20" unbalanced="0"/>
    <cacheHierarchy uniqueName="[fActualAndBudget].[StavkaAOP]" caption="StavkaAOP" attribute="1" defaultMemberUniqueName="[fActualAndBudget].[StavkaAOP].[All]" allUniqueName="[fActualAndBudget].[StavkaAOP].[All]" dimensionUniqueName="[fActualAndBudget]" displayFolder="" count="0" memberValueDatatype="130" unbalanced="0"/>
    <cacheHierarchy uniqueName="[fActualAndBudget].[ObrazecIme]" caption="ObrazecIme" attribute="1" defaultMemberUniqueName="[fActualAndBudget].[ObrazecIme].[All]" allUniqueName="[fActualAndBudget].[ObrazecIme].[All]" dimensionUniqueName="[fActualAndBudget]" displayFolder="" count="2" memberValueDatatype="130" unbalanced="0">
      <fieldsUsage count="2">
        <fieldUsage x="-1"/>
        <fieldUsage x="9"/>
      </fieldsUsage>
    </cacheHierarchy>
    <cacheHierarchy uniqueName="[fActualAndBudget].[Износ]" caption="Износ" attribute="1" defaultMemberUniqueName="[fActualAndBudget].[Износ].[All]" allUniqueName="[fActualAndBudget].[Износ].[All]" dimensionUniqueName="[fActualAndBudget]" displayFolder="" count="0" memberValueDatatype="20" unbalanced="0"/>
    <cacheHierarchy uniqueName="[fActualAndBudget].[Износ (илјади)]" caption="Износ (илјади)" attribute="1" defaultMemberUniqueName="[fActualAndBudget].[Износ (илјади)].[All]" allUniqueName="[fActualAndBudget].[Износ (илјади)].[All]" dimensionUniqueName="[fActualAndBudget]" displayFolder="" count="0" memberValueDatatype="5" unbalanced="0"/>
    <cacheHierarchy uniqueName="[fActualAndBudget].[StavkaImeAOP]" caption="StavkaImeAOP" attribute="1" defaultMemberUniqueName="[fActualAndBudget].[StavkaImeAOP].[All]" allUniqueName="[fActualAndBudget].[StavkaImeAOP].[All]" dimensionUniqueName="[fActualAndBudget]" displayFolder="" count="0" memberValueDatatype="130" unbalanced="0"/>
    <cacheHierarchy uniqueName="[fActualAndBudget].[Конто Ставка]" caption="Конто Ставка" attribute="1" defaultMemberUniqueName="[fActualAndBudget].[Конто Ставка].[All]" allUniqueName="[fActualAndBudget].[Конто Ставка].[All]" dimensionUniqueName="[fActualAndBudget]" displayFolder="" count="0" memberValueDatatype="130" unbalanced="0"/>
    <cacheHierarchy uniqueName="[fArtikliCeni].[Ставка]" caption="Ставка" attribute="1" defaultMemberUniqueName="[fArtikliCeni].[Ставка].[All]" allUniqueName="[fArtikliCeni].[Ставка].[All]" dimensionUniqueName="[fArtikliCeni]" displayFolder="" count="0" memberValueDatatype="130" unbalanced="0"/>
    <cacheHierarchy uniqueName="[fArtikliCeni].[Категорија Артикл]" caption="Категорија Артикл" attribute="1" defaultMemberUniqueName="[fArtikliCeni].[Категорија Артикл].[All]" allUniqueName="[fArtikliCeni].[Категорија Артикл].[All]" dimensionUniqueName="[fArtikliCeni]" displayFolder="" count="0" memberValueDatatype="130" unbalanced="0"/>
    <cacheHierarchy uniqueName="[fArtikliCeni].[Тип на артикл]" caption="Тип на артикл" attribute="1" defaultMemberUniqueName="[fArtikliCeni].[Тип на артикл].[All]" allUniqueName="[fArtikliCeni].[Тип на артикл].[All]" dimensionUniqueName="[fArtikliCeni]" displayFolder="" count="0" memberValueDatatype="130" unbalanced="0"/>
    <cacheHierarchy uniqueName="[fArtikliCeni].[Единечна мерка]" caption="Единечна мерка" attribute="1" defaultMemberUniqueName="[fArtikliCeni].[Единечна мерка].[All]" allUniqueName="[fArtikliCeni].[Единечна мерка].[All]" dimensionUniqueName="[fArtikliCeni]" displayFolder="" count="0" memberValueDatatype="130" unbalanced="0"/>
    <cacheHierarchy uniqueName="[fArtikliCeni].[Количина]" caption="Количина" attribute="1" defaultMemberUniqueName="[fArtikliCeni].[Количина].[All]" allUniqueName="[fArtikliCeni].[Количина].[All]" dimensionUniqueName="[fArtikliCeni]" displayFolder="" count="0" memberValueDatatype="5" unbalanced="0"/>
    <cacheHierarchy uniqueName="[fArtikliCeni].[Единечна цена]" caption="Единечна цена" attribute="1" defaultMemberUniqueName="[fArtikliCeni].[Единечна цена].[All]" allUniqueName="[fArtikliCeni].[Единечна цена].[All]" dimensionUniqueName="[fArtikliCeni]" displayFolder="" count="0" memberValueDatatype="20" unbalanced="0"/>
    <cacheHierarchy uniqueName="[fArtikliCeni].[Вкупно трошок]" caption="Вкупно трошок" attribute="1" defaultMemberUniqueName="[fArtikliCeni].[Вкупно трошок].[All]" allUniqueName="[fArtikliCeni].[Вкупно трошок].[All]" dimensionUniqueName="[fArtikliCeni]" displayFolder="" count="0" memberValueDatatype="5" unbalanced="0"/>
    <cacheHierarchy uniqueName="[fArtikliCeni].[ДДВ]" caption="ДДВ" attribute="1" defaultMemberUniqueName="[fArtikliCeni].[ДДВ].[All]" allUniqueName="[fArtikliCeni].[ДДВ].[All]" dimensionUniqueName="[fArtikliCeni]" displayFolder="" count="0" memberValueDatatype="5" unbalanced="0"/>
    <cacheHierarchy uniqueName="[fArtikliCeni].[Износ]" caption="Износ" attribute="1" defaultMemberUniqueName="[fArtikliCeni].[Износ].[All]" allUniqueName="[fArtikliCeni].[Износ].[All]" dimensionUniqueName="[fArtikliCeni]" displayFolder="" count="0" memberValueDatatype="5" unbalanced="0"/>
    <cacheHierarchy uniqueName="[fArtikliCeni].[Конто]" caption="Конто" attribute="1" defaultMemberUniqueName="[fArtikliCeni].[Конто].[All]" allUniqueName="[fArtikliCeni].[Конто].[All]" dimensionUniqueName="[fArtikliCeni]" displayFolder="" count="0" memberValueDatatype="130" unbalanced="0"/>
    <cacheHierarchy uniqueName="[fArtikliCeni].[ReportType]" caption="ReportType" attribute="1" defaultMemberUniqueName="[fArtikliCeni].[ReportType].[All]" allUniqueName="[fArtikliCeni].[ReportType].[All]" dimensionUniqueName="[fArtikliCeni]" displayFolder="" count="0" memberValueDatatype="130" unbalanced="0"/>
    <cacheHierarchy uniqueName="[fArtikliCeni].[Период]" caption="Период" attribute="1" time="1" defaultMemberUniqueName="[fArtikliCeni].[Период].[All]" allUniqueName="[fArtikliCeni].[Период].[All]" dimensionUniqueName="[fArtikliCeni]" displayFolder="" count="0" memberValueDatatype="7" unbalanced="0"/>
    <cacheHierarchy uniqueName="[fArtikliCeni].[StavkaImeMK]" caption="StavkaImeMK" attribute="1" defaultMemberUniqueName="[fArtikliCeni].[StavkaImeMK].[All]" allUniqueName="[fArtikliCeni].[StavkaImeMK].[All]" dimensionUniqueName="[fArtikliCeni]" displayFolder="" count="0" memberValueDatatype="130" unbalanced="0"/>
    <cacheHierarchy uniqueName="[fArtikliCeni].[StavkaAOP]" caption="StavkaAOP" attribute="1" defaultMemberUniqueName="[fArtikliCeni].[StavkaAOP].[All]" allUniqueName="[fArtikliCeni].[StavkaAOP].[All]" dimensionUniqueName="[fArtikliCeni]" displayFolder="" count="0" memberValueDatatype="130" unbalanced="0"/>
    <cacheHierarchy uniqueName="[fArtikliCeni].[StavkaGrupa]" caption="StavkaGrupa" attribute="1" defaultMemberUniqueName="[fArtikliCeni].[StavkaGrupa].[All]" allUniqueName="[fArtikliCeni].[StavkaGrupa].[All]" dimensionUniqueName="[fArtikliCeni]" displayFolder="" count="0" memberValueDatatype="130" unbalanced="0"/>
    <cacheHierarchy uniqueName="[fArtikliCeni].[StavkaKategorija]" caption="StavkaKategorija" attribute="1" defaultMemberUniqueName="[fArtikliCeni].[StavkaKategorija].[All]" allUniqueName="[fArtikliCeni].[StavkaKategorija].[All]" dimensionUniqueName="[fArtikliCeni]" displayFolder="" count="0" memberValueDatatype="130" unbalanced="0"/>
    <cacheHierarchy uniqueName="[fArtikliCeni].[ObrazecIme]" caption="ObrazecIme" attribute="1" defaultMemberUniqueName="[fArtikliCeni].[ObrazecIme].[All]" allUniqueName="[fArtikliCeni].[ObrazecIme].[All]" dimensionUniqueName="[fArtikliCeni]" displayFolder="" count="0" memberValueDatatype="130" unbalanced="0"/>
    <cacheHierarchy uniqueName="[fCoveckiResursi].[Ставка]" caption="Ставка" attribute="1" defaultMemberUniqueName="[fCoveckiResursi].[Ставка].[All]" allUniqueName="[fCoveckiResursi].[Ставка].[All]" dimensionUniqueName="[fCoveckiResursi]" displayFolder="" count="0" memberValueDatatype="130" unbalanced="0"/>
    <cacheHierarchy uniqueName="[fCoveckiResursi].[Тип на вработување]" caption="Тип на вработување" attribute="1" defaultMemberUniqueName="[fCoveckiResursi].[Тип на вработување].[All]" allUniqueName="[fCoveckiResursi].[Тип на вработување].[All]" dimensionUniqueName="[fCoveckiResursi]" displayFolder="" count="0" memberValueDatatype="130" unbalanced="0"/>
    <cacheHierarchy uniqueName="[fCoveckiResursi].[Планиран прилив/(одлив)]" caption="Планиран прилив/(одлив)" attribute="1" defaultMemberUniqueName="[fCoveckiResursi].[Планиран прилив/(одлив)].[All]" allUniqueName="[fCoveckiResursi].[Планиран прилив/(одлив)].[All]" dimensionUniqueName="[fCoveckiResursi]" displayFolder="" count="0" memberValueDatatype="20" unbalanced="0"/>
    <cacheHierarchy uniqueName="[fCoveckiResursi].[Период]" caption="Период" attribute="1" time="1" defaultMemberUniqueName="[fCoveckiResursi].[Период].[All]" allUniqueName="[fCoveckiResursi].[Период].[All]" dimensionUniqueName="[fCoveckiResursi]" displayFolder="" count="0" memberValueDatatype="7" unbalanced="0"/>
    <cacheHierarchy uniqueName="[fCoveckiResursi].[Крајна состојба вработени]" caption="Крајна состојба вработени" attribute="1" defaultMemberUniqueName="[fCoveckiResursi].[Крајна состојба вработени].[All]" allUniqueName="[fCoveckiResursi].[Крајна состојба вработени].[All]" dimensionUniqueName="[fCoveckiResursi]" displayFolder="" count="0" memberValueDatatype="20" unbalanced="0"/>
    <cacheHierarchy uniqueName="[fCoveckiResursi].[Износ]" caption="Износ" attribute="1" defaultMemberUniqueName="[fCoveckiResursi].[Износ].[All]" allUniqueName="[fCoveckiResursi].[Износ].[All]" dimensionUniqueName="[fCoveckiResursi]" displayFolder="" count="0" memberValueDatatype="20" unbalanced="0"/>
    <cacheHierarchy uniqueName="[fCoveckiResursi].[Конто]" caption="Конто" attribute="1" defaultMemberUniqueName="[fCoveckiResursi].[Конто].[All]" allUniqueName="[fCoveckiResursi].[Конто].[All]" dimensionUniqueName="[fCoveckiResursi]" displayFolder="" count="0" memberValueDatatype="130" unbalanced="0"/>
    <cacheHierarchy uniqueName="[fCoveckiResursi].[ReportType]" caption="ReportType" attribute="1" defaultMemberUniqueName="[fCoveckiResursi].[ReportType].[All]" allUniqueName="[fCoveckiResursi].[ReportType].[All]" dimensionUniqueName="[fCoveckiResursi]" displayFolder="" count="0" memberValueDatatype="130" unbalanced="0"/>
    <cacheHierarchy uniqueName="[fCoveckiResursi].[Период (Year)]" caption="Период (Year)" attribute="1" defaultMemberUniqueName="[fCoveckiResursi].[Период (Year)].[All]" allUniqueName="[fCoveckiResursi].[Период (Year)].[All]" dimensionUniqueName="[fCoveckiResursi]" displayFolder="" count="0" memberValueDatatype="130" unbalanced="0"/>
    <cacheHierarchy uniqueName="[fCoveckiResursi].[Период (Quarter)]" caption="Период (Quarter)" attribute="1" defaultMemberUniqueName="[fCoveckiResursi].[Период (Quarter)].[All]" allUniqueName="[fCoveckiResursi].[Период (Quarter)].[All]" dimensionUniqueName="[fCoveckiResursi]" displayFolder="" count="0" memberValueDatatype="130" unbalanced="0"/>
    <cacheHierarchy uniqueName="[fCoveckiResursi].[Период (Month)]" caption="Период (Month)" attribute="1" defaultMemberUniqueName="[fCoveckiResursi].[Период (Month)].[All]" allUniqueName="[fCoveckiResursi].[Период (Month)].[All]" dimensionUniqueName="[fCoveckiResursi]" displayFolder="" count="0" memberValueDatatype="130" unbalanced="0"/>
    <cacheHierarchy uniqueName="[fCoveckiResursi].[Период (Year) 1]" caption="Период (Year) 1" attribute="1" defaultMemberUniqueName="[fCoveckiResursi].[Период (Year) 1].[All]" allUniqueName="[fCoveckiResursi].[Период (Year) 1].[All]" dimensionUniqueName="[fCoveckiResursi]" displayFolder="" count="0" memberValueDatatype="130" unbalanced="0"/>
    <cacheHierarchy uniqueName="[fCoveckiResursi].[Период (Quarter) 1]" caption="Период (Quarter) 1" attribute="1" defaultMemberUniqueName="[fCoveckiResursi].[Период (Quarter) 1].[All]" allUniqueName="[fCoveckiResursi].[Период (Quarter) 1].[All]" dimensionUniqueName="[fCoveckiResursi]" displayFolder="" count="0" memberValueDatatype="130" unbalanced="0"/>
    <cacheHierarchy uniqueName="[fCoveckiResursi].[Период (Month) 1]" caption="Период (Month) 1" attribute="1" defaultMemberUniqueName="[fCoveckiResursi].[Период (Month) 1].[All]" allUniqueName="[fCoveckiResursi].[Период (Month) 1].[All]" dimensionUniqueName="[fCoveckiResursi]" displayFolder="" count="0" memberValueDatatype="130" unbalanced="0"/>
    <cacheHierarchy uniqueName="[fCoveckiResursi  2].[Ставка]" caption="Ставка" attribute="1" defaultMemberUniqueName="[fCoveckiResursi  2].[Ставка].[All]" allUniqueName="[fCoveckiResursi  2].[Ставка].[All]" dimensionUniqueName="[fCoveckiResursi  2]" displayFolder="" count="0" memberValueDatatype="130" unbalanced="0"/>
    <cacheHierarchy uniqueName="[fCoveckiResursi  2].[Период]" caption="Период" attribute="1" time="1" defaultMemberUniqueName="[fCoveckiResursi  2].[Период].[All]" allUniqueName="[fCoveckiResursi  2].[Период].[All]" dimensionUniqueName="[fCoveckiResursi  2]" displayFolder="" count="0" memberValueDatatype="7" unbalanced="0"/>
    <cacheHierarchy uniqueName="[fCoveckiResursi  2].[Износ]" caption="Износ" attribute="1" defaultMemberUniqueName="[fCoveckiResursi  2].[Износ].[All]" allUniqueName="[fCoveckiResursi  2].[Износ].[All]" dimensionUniqueName="[fCoveckiResursi  2]" displayFolder="" count="0" memberValueDatatype="20" unbalanced="0"/>
    <cacheHierarchy uniqueName="[fCoveckiResursi  2].[Конто]" caption="Конто" attribute="1" defaultMemberUniqueName="[fCoveckiResursi  2].[Конто].[All]" allUniqueName="[fCoveckiResursi  2].[Конто].[All]" dimensionUniqueName="[fCoveckiResursi  2]" displayFolder="" count="0" memberValueDatatype="130" unbalanced="0"/>
    <cacheHierarchy uniqueName="[fCoveckiResursi  2].[ReportType]" caption="ReportType" attribute="1" defaultMemberUniqueName="[fCoveckiResursi  2].[ReportType].[All]" allUniqueName="[fCoveckiResursi  2].[ReportType].[All]" dimensionUniqueName="[fCoveckiResursi  2]" displayFolder="" count="0" memberValueDatatype="130" unbalanced="0"/>
    <cacheHierarchy uniqueName="[fCoveckiResursi  2].[StavkaImeMK]" caption="StavkaImeMK" attribute="1" defaultMemberUniqueName="[fCoveckiResursi  2].[StavkaImeMK].[All]" allUniqueName="[fCoveckiResursi  2].[StavkaImeMK].[All]" dimensionUniqueName="[fCoveckiResursi  2]" displayFolder="" count="0" memberValueDatatype="130" unbalanced="0"/>
    <cacheHierarchy uniqueName="[fCoveckiResursi  2].[StavkaKategorija]" caption="StavkaKategorija" attribute="1" defaultMemberUniqueName="[fCoveckiResursi  2].[StavkaKategorija].[All]" allUniqueName="[fCoveckiResursi  2].[StavkaKategorija].[All]" dimensionUniqueName="[fCoveckiResursi  2]" displayFolder="" count="0" memberValueDatatype="130" unbalanced="0"/>
    <cacheHierarchy uniqueName="[fCoveckiResursi  2].[ObrazecIme]" caption="ObrazecIme" attribute="1" defaultMemberUniqueName="[fCoveckiResursi  2].[ObrazecIme].[All]" allUniqueName="[fCoveckiResursi  2].[ObrazecIme].[All]" dimensionUniqueName="[fCoveckiResursi  2]" displayFolder="" count="0" memberValueDatatype="130" unbalanced="0"/>
    <cacheHierarchy uniqueName="[fOPEX].[Конто]" caption="Конто" attribute="1" defaultMemberUniqueName="[fOPEX].[Конто].[All]" allUniqueName="[fOPEX].[Конто].[All]" dimensionUniqueName="[fOPEX]" displayFolder="" count="0" memberValueDatatype="130" unbalanced="0"/>
    <cacheHierarchy uniqueName="[fOPEX].[Ставка]" caption="Ставка" attribute="1" defaultMemberUniqueName="[fOPEX].[Ставка].[All]" allUniqueName="[fOPEX].[Ставка].[All]" dimensionUniqueName="[fOPEX]" displayFolder="" count="0" memberValueDatatype="130" unbalanced="0"/>
    <cacheHierarchy uniqueName="[fOPEX].[Период]" caption="Период" attribute="1" time="1" defaultMemberUniqueName="[fOPEX].[Период].[All]" allUniqueName="[fOPEX].[Период].[All]" dimensionUniqueName="[fOPEX]" displayFolder="" count="0" memberValueDatatype="7" unbalanced="0"/>
    <cacheHierarchy uniqueName="[fOPEX].[Износ]" caption="Износ" attribute="1" defaultMemberUniqueName="[fOPEX].[Износ].[All]" allUniqueName="[fOPEX].[Износ].[All]" dimensionUniqueName="[fOPEX]" displayFolder="" count="0" memberValueDatatype="20" unbalanced="0"/>
    <cacheHierarchy uniqueName="[fOPEX].[ReportType]" caption="ReportType" attribute="1" defaultMemberUniqueName="[fOPEX].[ReportType].[All]" allUniqueName="[fOPEX].[ReportType].[All]" dimensionUniqueName="[fOPEX]" displayFolder="" count="0" memberValueDatatype="130" unbalanced="0"/>
    <cacheHierarchy uniqueName="[OPEXAnaliza].[Артикл ИД]" caption="Артикл ИД" attribute="1" defaultMemberUniqueName="[OPEXAnaliza].[Артикл ИД].[All]" allUniqueName="[OPEXAnaliza].[Артикл ИД].[All]" dimensionUniqueName="[OPEXAnaliza]" displayFolder="" count="0" memberValueDatatype="20" unbalanced="0"/>
    <cacheHierarchy uniqueName="[OPEXAnaliza].[Ставка]" caption="Ставка" attribute="1" defaultMemberUniqueName="[OPEXAnaliza].[Ставка].[All]" allUniqueName="[OPEXAnaliza].[Ставка].[All]" dimensionUniqueName="[OPEXAnaliza]" displayFolder="" count="0" memberValueDatatype="130" unbalanced="0"/>
    <cacheHierarchy uniqueName="[OPEXAnaliza].[Категорија Артикл ИД]" caption="Категорија Артикл ИД" attribute="1" defaultMemberUniqueName="[OPEXAnaliza].[Категорија Артикл ИД].[All]" allUniqueName="[OPEXAnaliza].[Категорија Артикл ИД].[All]" dimensionUniqueName="[OPEXAnaliza]" displayFolder="" count="0" memberValueDatatype="20" unbalanced="0"/>
    <cacheHierarchy uniqueName="[OPEXAnaliza].[Категорија Артикл]" caption="Категорија Артикл" attribute="1" defaultMemberUniqueName="[OPEXAnaliza].[Категорија Артикл].[All]" allUniqueName="[OPEXAnaliza].[Категорија Артикл].[All]" dimensionUniqueName="[OPEXAnaliza]" displayFolder="" count="0" memberValueDatatype="130" unbalanced="0"/>
    <cacheHierarchy uniqueName="[OPEXAnaliza].[Тип на артикл]" caption="Тип на артикл" attribute="1" defaultMemberUniqueName="[OPEXAnaliza].[Тип на артикл].[All]" allUniqueName="[OPEXAnaliza].[Тип на артикл].[All]" dimensionUniqueName="[OPEXAnaliza]" displayFolder="" count="0" memberValueDatatype="130" unbalanced="0"/>
    <cacheHierarchy uniqueName="[OPEXAnaliza].[Единечна мерка]" caption="Единечна мерка" attribute="1" defaultMemberUniqueName="[OPEXAnaliza].[Единечна мерка].[All]" allUniqueName="[OPEXAnaliza].[Единечна мерка].[All]" dimensionUniqueName="[OPEXAnaliza]" displayFolder="" count="0" memberValueDatatype="130" unbalanced="0"/>
    <cacheHierarchy uniqueName="[OPEXAnaliza].[Количина]" caption="Количина" attribute="1" defaultMemberUniqueName="[OPEXAnaliza].[Количина].[All]" allUniqueName="[OPEXAnaliza].[Количина].[All]" dimensionUniqueName="[OPEXAnaliza]" displayFolder="" count="0" memberValueDatatype="5" unbalanced="0"/>
    <cacheHierarchy uniqueName="[OPEXAnaliza].[Единечна цена]" caption="Единечна цена" attribute="1" defaultMemberUniqueName="[OPEXAnaliza].[Единечна цена].[All]" allUniqueName="[OPEXAnaliza].[Единечна цена].[All]" dimensionUniqueName="[OPEXAnaliza]" displayFolder="" count="0" memberValueDatatype="20" unbalanced="0"/>
    <cacheHierarchy uniqueName="[OPEXAnaliza].[Износ]" caption="Износ" attribute="1" defaultMemberUniqueName="[OPEXAnaliza].[Износ].[All]" allUniqueName="[OPEXAnaliza].[Износ].[All]" dimensionUniqueName="[OPEXAnaliza]" displayFolder="" count="0" memberValueDatatype="5" unbalanced="0"/>
    <cacheHierarchy uniqueName="[OPEXAnaliza].[ДДВ]" caption="ДДВ" attribute="1" defaultMemberUniqueName="[OPEXAnaliza].[ДДВ].[All]" allUniqueName="[OPEXAnaliza].[ДДВ].[All]" dimensionUniqueName="[OPEXAnaliza]" displayFolder="" count="0" memberValueDatatype="5" unbalanced="0"/>
    <cacheHierarchy uniqueName="[OPEXAnaliza].[Вкупно трошок со ДДВ]" caption="Вкупно трошок со ДДВ" attribute="1" defaultMemberUniqueName="[OPEXAnaliza].[Вкупно трошок со ДДВ].[All]" allUniqueName="[OPEXAnaliza].[Вкупно трошок со ДДВ].[All]" dimensionUniqueName="[OPEXAnaliza]" displayFolder="" count="0" memberValueDatatype="5" unbalanced="0"/>
    <cacheHierarchy uniqueName="[OPEXAnaliza].[Конто]" caption="Конто" attribute="1" defaultMemberUniqueName="[OPEXAnaliza].[Конто].[All]" allUniqueName="[OPEXAnaliza].[Конто].[All]" dimensionUniqueName="[OPEXAnaliza]" displayFolder="" count="0" memberValueDatatype="130" unbalanced="0"/>
    <cacheHierarchy uniqueName="[OPEXAnaliza].[Период]" caption="Период" attribute="1" time="1" defaultMemberUniqueName="[OPEXAnaliza].[Период].[All]" allUniqueName="[OPEXAnaliza].[Период].[All]" dimensionUniqueName="[OPEXAnaliza]" displayFolder="" count="0" memberValueDatatype="7" unbalanced="0"/>
    <cacheHierarchy uniqueName="[OPEXAnaliza].[ReportType]" caption="ReportType" attribute="1" defaultMemberUniqueName="[OPEXAnaliza].[ReportType].[All]" allUniqueName="[OPEXAnaliza].[ReportType].[All]" dimensionUniqueName="[OPEXAnaliza]" displayFolder="" count="0" memberValueDatatype="130" unbalanced="0"/>
    <cacheHierarchy uniqueName="[OPEXAnaliza].[StavkaImeMK]" caption="StavkaImeMK" attribute="1" defaultMemberUniqueName="[OPEXAnaliza].[StavkaImeMK].[All]" allUniqueName="[OPEXAnaliza].[StavkaImeMK].[All]" dimensionUniqueName="[OPEXAnaliza]" displayFolder="" count="0" memberValueDatatype="130" unbalanced="0"/>
    <cacheHierarchy uniqueName="[OPEXAnaliza].[StavkaKategorija]" caption="StavkaKategorija" attribute="1" defaultMemberUniqueName="[OPEXAnaliza].[StavkaKategorija].[All]" allUniqueName="[OPEXAnaliza].[StavkaKategorija].[All]" dimensionUniqueName="[OPEXAnaliza]" displayFolder="" count="0" memberValueDatatype="130" unbalanced="0"/>
    <cacheHierarchy uniqueName="[OPEXAnaliza].[ObrazecIme]" caption="ObrazecIme" attribute="1" defaultMemberUniqueName="[OPEXAnaliza].[ObrazecIme].[All]" allUniqueName="[OPEXAnaliza].[ObrazecIme].[All]" dimensionUniqueName="[OPEXAnaliza]" displayFolder="" count="0" memberValueDatatype="130" unbalanced="0"/>
    <cacheHierarchy uniqueName="[OPEXAnaliza].[StavkaImeAOP]" caption="StavkaImeAOP" attribute="1" defaultMemberUniqueName="[OPEXAnaliza].[StavkaImeAOP].[All]" allUniqueName="[OPEXAnaliza].[StavkaImeAOP].[All]" dimensionUniqueName="[OPEXAnaliza]" displayFolder="" count="0" memberValueDatatype="20" unbalanced="0"/>
    <cacheHierarchy uniqueName="[OPEXAnaliza].[Период (Year)]" caption="Период (Year)" attribute="1" defaultMemberUniqueName="[OPEXAnaliza].[Период (Year)].[All]" allUniqueName="[OPEXAnaliza].[Период (Year)].[All]" dimensionUniqueName="[OPEXAnaliza]" displayFolder="" count="0" memberValueDatatype="130" unbalanced="0"/>
    <cacheHierarchy uniqueName="[OPEXAnaliza].[Период (Quarter)]" caption="Период (Quarter)" attribute="1" defaultMemberUniqueName="[OPEXAnaliza].[Период (Quarter)].[All]" allUniqueName="[OPEXAnaliza].[Период (Quarter)].[All]" dimensionUniqueName="[OPEXAnaliza]" displayFolder="" count="0" memberValueDatatype="130" unbalanced="0"/>
    <cacheHierarchy uniqueName="[OPEXAnaliza].[Период (Month)]" caption="Период (Month)" attribute="1" defaultMemberUniqueName="[OPEXAnaliza].[Период (Month)].[All]" allUniqueName="[OPEXAnaliza].[Период (Month)].[All]" dimensionUniqueName="[OPEXAnaliza]" displayFolder="" count="0" memberValueDatatype="130" unbalanced="0"/>
    <cacheHierarchy uniqueName="[rArtikli_HR_Analiza].[Ставка]" caption="Ставка" attribute="1" defaultMemberUniqueName="[rArtikli_HR_Analiza].[Ставка].[All]" allUniqueName="[rArtikli_HR_Analiza].[Ставка].[All]" dimensionUniqueName="[rArtikli_HR_Analiza]" displayFolder="" count="0" memberValueDatatype="130" unbalanced="0"/>
    <cacheHierarchy uniqueName="[rArtikli_HR_Analiza].[Категорија Артикл]" caption="Категорија Артикл" attribute="1" defaultMemberUniqueName="[rArtikli_HR_Analiza].[Категорија Артикл].[All]" allUniqueName="[rArtikli_HR_Analiza].[Категорија Артикл].[All]" dimensionUniqueName="[rArtikli_HR_Analiza]" displayFolder="" count="0" memberValueDatatype="130" unbalanced="0"/>
    <cacheHierarchy uniqueName="[rArtikli_HR_Analiza].[Тип на артикл]" caption="Тип на артикл" attribute="1" defaultMemberUniqueName="[rArtikli_HR_Analiza].[Тип на артикл].[All]" allUniqueName="[rArtikli_HR_Analiza].[Тип на артикл].[All]" dimensionUniqueName="[rArtikli_HR_Analiza]" displayFolder="" count="0" memberValueDatatype="130" unbalanced="0"/>
    <cacheHierarchy uniqueName="[rArtikli_HR_Analiza].[Единечна мерка]" caption="Единечна мерка" attribute="1" defaultMemberUniqueName="[rArtikli_HR_Analiza].[Единечна мерка].[All]" allUniqueName="[rArtikli_HR_Analiza].[Единечна мерка].[All]" dimensionUniqueName="[rArtikli_HR_Analiza]" displayFolder="" count="0" memberValueDatatype="130" unbalanced="0"/>
    <cacheHierarchy uniqueName="[rArtikli_HR_Analiza].[Количина]" caption="Количина" attribute="1" defaultMemberUniqueName="[rArtikli_HR_Analiza].[Количина].[All]" allUniqueName="[rArtikli_HR_Analiza].[Количина].[All]" dimensionUniqueName="[rArtikli_HR_Analiza]" displayFolder="" count="0" memberValueDatatype="5" unbalanced="0"/>
    <cacheHierarchy uniqueName="[rArtikli_HR_Analiza].[Единечна цена]" caption="Единечна цена" attribute="1" defaultMemberUniqueName="[rArtikli_HR_Analiza].[Единечна цена].[All]" allUniqueName="[rArtikli_HR_Analiza].[Единечна цена].[All]" dimensionUniqueName="[rArtikli_HR_Analiza]" displayFolder="" count="0" memberValueDatatype="20" unbalanced="0"/>
    <cacheHierarchy uniqueName="[rArtikli_HR_Analiza].[Вкупно трошок]" caption="Вкупно трошок" attribute="1" defaultMemberUniqueName="[rArtikli_HR_Analiza].[Вкупно трошок].[All]" allUniqueName="[rArtikli_HR_Analiza].[Вкупно трошок].[All]" dimensionUniqueName="[rArtikli_HR_Analiza]" displayFolder="" count="0" memberValueDatatype="5" unbalanced="0"/>
    <cacheHierarchy uniqueName="[rArtikli_HR_Analiza].[ДДВ]" caption="ДДВ" attribute="1" defaultMemberUniqueName="[rArtikli_HR_Analiza].[ДДВ].[All]" allUniqueName="[rArtikli_HR_Analiza].[ДДВ].[All]" dimensionUniqueName="[rArtikli_HR_Analiza]" displayFolder="" count="0" memberValueDatatype="5" unbalanced="0"/>
    <cacheHierarchy uniqueName="[rArtikli_HR_Analiza].[Износ]" caption="Износ" attribute="1" defaultMemberUniqueName="[rArtikli_HR_Analiza].[Износ].[All]" allUniqueName="[rArtikli_HR_Analiza].[Износ].[All]" dimensionUniqueName="[rArtikli_HR_Analiza]" displayFolder="" count="0" memberValueDatatype="5" unbalanced="0"/>
    <cacheHierarchy uniqueName="[rArtikli_HR_Analiza].[Конто]" caption="Конто" attribute="1" defaultMemberUniqueName="[rArtikli_HR_Analiza].[Конто].[All]" allUniqueName="[rArtikli_HR_Analiza].[Конто].[All]" dimensionUniqueName="[rArtikli_HR_Analiza]" displayFolder="" count="0" memberValueDatatype="130" unbalanced="0"/>
    <cacheHierarchy uniqueName="[rArtikli_HR_Analiza].[ReportType]" caption="ReportType" attribute="1" defaultMemberUniqueName="[rArtikli_HR_Analiza].[ReportType].[All]" allUniqueName="[rArtikli_HR_Analiza].[ReportType].[All]" dimensionUniqueName="[rArtikli_HR_Analiza]" displayFolder="" count="0" memberValueDatatype="130" unbalanced="0"/>
    <cacheHierarchy uniqueName="[rArtikli_HR_Analiza].[Период]" caption="Период" attribute="1" time="1" defaultMemberUniqueName="[rArtikli_HR_Analiza].[Период].[All]" allUniqueName="[rArtikli_HR_Analiza].[Период].[All]" dimensionUniqueName="[rArtikli_HR_Analiza]" displayFolder="" count="0" memberValueDatatype="7" unbalanced="0"/>
    <cacheHierarchy uniqueName="[rArtikli_HR_Analiza].[StavkaImeMK]" caption="StavkaImeMK" attribute="1" defaultMemberUniqueName="[rArtikli_HR_Analiza].[StavkaImeMK].[All]" allUniqueName="[rArtikli_HR_Analiza].[StavkaImeMK].[All]" dimensionUniqueName="[rArtikli_HR_Analiza]" displayFolder="" count="0" memberValueDatatype="130" unbalanced="0"/>
    <cacheHierarchy uniqueName="[rArtikli_HR_Analiza].[StavkaAOP]" caption="StavkaAOP" attribute="1" defaultMemberUniqueName="[rArtikli_HR_Analiza].[StavkaAOP].[All]" allUniqueName="[rArtikli_HR_Analiza].[StavkaAOP].[All]" dimensionUniqueName="[rArtikli_HR_Analiza]" displayFolder="" count="0" memberValueDatatype="130" unbalanced="0"/>
    <cacheHierarchy uniqueName="[rArtikli_HR_Analiza].[StavkaGrupa]" caption="StavkaGrupa" attribute="1" defaultMemberUniqueName="[rArtikli_HR_Analiza].[StavkaGrupa].[All]" allUniqueName="[rArtikli_HR_Analiza].[StavkaGrupa].[All]" dimensionUniqueName="[rArtikli_HR_Analiza]" displayFolder="" count="0" memberValueDatatype="130" unbalanced="0"/>
    <cacheHierarchy uniqueName="[rArtikli_HR_Analiza].[StavkaKategorija]" caption="StavkaKategorija" attribute="1" defaultMemberUniqueName="[rArtikli_HR_Analiza].[StavkaKategorija].[All]" allUniqueName="[rArtikli_HR_Analiza].[StavkaKategorija].[All]" dimensionUniqueName="[rArtikli_HR_Analiza]" displayFolder="" count="0" memberValueDatatype="130" unbalanced="0"/>
    <cacheHierarchy uniqueName="[rArtikli_HR_Analiza].[ObrazecIme]" caption="ObrazecIme" attribute="1" defaultMemberUniqueName="[rArtikli_HR_Analiza].[ObrazecIme].[All]" allUniqueName="[rArtikli_HR_Analiza].[ObrazecIme].[All]" dimensionUniqueName="[rArtikli_HR_Analiza]" displayFolder="" count="0" memberValueDatatype="130" unbalanced="0"/>
    <cacheHierarchy uniqueName="[rArtikli_HR_Analiza].[StavkaKategorija.1]" caption="StavkaKategorija.1" attribute="1" defaultMemberUniqueName="[rArtikli_HR_Analiza].[StavkaKategorija.1].[All]" allUniqueName="[rArtikli_HR_Analiza].[StavkaKategorija.1].[All]" dimensionUniqueName="[rArtikli_HR_Analiza]" displayFolder="" count="0" memberValueDatatype="130" unbalanced="0"/>
    <cacheHierarchy uniqueName="[rArtikliAnaliza].[Артикл ИД]" caption="Артикл ИД" attribute="1" defaultMemberUniqueName="[rArtikliAnaliza].[Артикл ИД].[All]" allUniqueName="[rArtikliAnaliza].[Артикл ИД].[All]" dimensionUniqueName="[rArtikliAnaliza]" displayFolder="" count="0" memberValueDatatype="20" unbalanced="0"/>
    <cacheHierarchy uniqueName="[rArtikliAnaliza].[Ставка]" caption="Ставка" attribute="1" defaultMemberUniqueName="[rArtikliAnaliza].[Ставка].[All]" allUniqueName="[rArtikliAnaliza].[Ставка].[All]" dimensionUniqueName="[rArtikliAnaliza]" displayFolder="" count="0" memberValueDatatype="130" unbalanced="0"/>
    <cacheHierarchy uniqueName="[rArtikliAnaliza].[Категорија Артикл ИД]" caption="Категорија Артикл ИД" attribute="1" defaultMemberUniqueName="[rArtikliAnaliza].[Категорија Артикл ИД].[All]" allUniqueName="[rArtikliAnaliza].[Категорија Артикл ИД].[All]" dimensionUniqueName="[rArtikliAnaliza]" displayFolder="" count="0" memberValueDatatype="20" unbalanced="0"/>
    <cacheHierarchy uniqueName="[rArtikliAnaliza].[Категорија Артикл]" caption="Категорија Артикл" attribute="1" defaultMemberUniqueName="[rArtikliAnaliza].[Категорија Артикл].[All]" allUniqueName="[rArtikliAnaliza].[Категорија Артикл].[All]" dimensionUniqueName="[rArtikliAnaliza]" displayFolder="" count="0" memberValueDatatype="130" unbalanced="0"/>
    <cacheHierarchy uniqueName="[rArtikliAnaliza].[Тип на артикл]" caption="Тип на артикл" attribute="1" defaultMemberUniqueName="[rArtikliAnaliza].[Тип на артикл].[All]" allUniqueName="[rArtikliAnaliza].[Тип на артикл].[All]" dimensionUniqueName="[rArtikliAnaliza]" displayFolder="" count="0" memberValueDatatype="130" unbalanced="0"/>
    <cacheHierarchy uniqueName="[rArtikliAnaliza].[Единечна мерка]" caption="Единечна мерка" attribute="1" defaultMemberUniqueName="[rArtikliAnaliza].[Единечна мерка].[All]" allUniqueName="[rArtikliAnaliza].[Единечна мерка].[All]" dimensionUniqueName="[rArtikliAnaliza]" displayFolder="" count="0" memberValueDatatype="130" unbalanced="0"/>
    <cacheHierarchy uniqueName="[rArtikliAnaliza].[Количина]" caption="Количина" attribute="1" defaultMemberUniqueName="[rArtikliAnaliza].[Количина].[All]" allUniqueName="[rArtikliAnaliza].[Количина].[All]" dimensionUniqueName="[rArtikliAnaliza]" displayFolder="" count="0" memberValueDatatype="5" unbalanced="0"/>
    <cacheHierarchy uniqueName="[rArtikliAnaliza].[Единечна цена]" caption="Единечна цена" attribute="1" defaultMemberUniqueName="[rArtikliAnaliza].[Единечна цена].[All]" allUniqueName="[rArtikliAnaliza].[Единечна цена].[All]" dimensionUniqueName="[rArtikliAnaliza]" displayFolder="" count="0" memberValueDatatype="20" unbalanced="0"/>
    <cacheHierarchy uniqueName="[rArtikliAnaliza].[Износ]" caption="Износ" attribute="1" defaultMemberUniqueName="[rArtikliAnaliza].[Износ].[All]" allUniqueName="[rArtikliAnaliza].[Износ].[All]" dimensionUniqueName="[rArtikliAnaliza]" displayFolder="" count="0" memberValueDatatype="5" unbalanced="0"/>
    <cacheHierarchy uniqueName="[rArtikliAnaliza].[ДДВ]" caption="ДДВ" attribute="1" defaultMemberUniqueName="[rArtikliAnaliza].[ДДВ].[All]" allUniqueName="[rArtikliAnaliza].[ДДВ].[All]" dimensionUniqueName="[rArtikliAnaliza]" displayFolder="" count="0" memberValueDatatype="5" unbalanced="0"/>
    <cacheHierarchy uniqueName="[rArtikliAnaliza].[Вкупно трошок со ДДВ]" caption="Вкупно трошок со ДДВ" attribute="1" defaultMemberUniqueName="[rArtikliAnaliza].[Вкупно трошок со ДДВ].[All]" allUniqueName="[rArtikliAnaliza].[Вкупно трошок со ДДВ].[All]" dimensionUniqueName="[rArtikliAnaliza]" displayFolder="" count="0" memberValueDatatype="5" unbalanced="0"/>
    <cacheHierarchy uniqueName="[rArtikliAnaliza].[Конто]" caption="Конто" attribute="1" defaultMemberUniqueName="[rArtikliAnaliza].[Конто].[All]" allUniqueName="[rArtikliAnaliza].[Конто].[All]" dimensionUniqueName="[rArtikliAnaliza]" displayFolder="" count="0" memberValueDatatype="130" unbalanced="0"/>
    <cacheHierarchy uniqueName="[rArtikliAnaliza].[Период]" caption="Период" attribute="1" time="1" defaultMemberUniqueName="[rArtikliAnaliza].[Период].[All]" allUniqueName="[rArtikliAnaliza].[Период].[All]" dimensionUniqueName="[rArtikliAnaliza]" displayFolder="" count="0" memberValueDatatype="7" unbalanced="0"/>
    <cacheHierarchy uniqueName="[rArtikliAnaliza].[ReportType]" caption="ReportType" attribute="1" defaultMemberUniqueName="[rArtikliAnaliza].[ReportType].[All]" allUniqueName="[rArtikliAnaliza].[ReportType].[All]" dimensionUniqueName="[rArtikliAnaliza]" displayFolder="" count="0" memberValueDatatype="130" unbalanced="0"/>
    <cacheHierarchy uniqueName="[rArtikliAnaliza].[StavkaImeMK]" caption="StavkaImeMK" attribute="1" defaultMemberUniqueName="[rArtikliAnaliza].[StavkaImeMK].[All]" allUniqueName="[rArtikliAnaliza].[StavkaImeMK].[All]" dimensionUniqueName="[rArtikliAnaliza]" displayFolder="" count="0" memberValueDatatype="130" unbalanced="0"/>
    <cacheHierarchy uniqueName="[rArtikliAnaliza].[StavkaKategorija]" caption="StavkaKategorija" attribute="1" defaultMemberUniqueName="[rArtikliAnaliza].[StavkaKategorija].[All]" allUniqueName="[rArtikliAnaliza].[StavkaKategorija].[All]" dimensionUniqueName="[rArtikliAnaliza]" displayFolder="" count="0" memberValueDatatype="130" unbalanced="0"/>
    <cacheHierarchy uniqueName="[rArtikliAnaliza].[Период (Year)]" caption="Период (Year)" attribute="1" defaultMemberUniqueName="[rArtikliAnaliza].[Период (Year)].[All]" allUniqueName="[rArtikliAnaliza].[Период (Year)].[All]" dimensionUniqueName="[rArtikliAnaliza]" displayFolder="" count="0" memberValueDatatype="130" unbalanced="0"/>
    <cacheHierarchy uniqueName="[rArtikliAnaliza].[Период (Quarter)]" caption="Период (Quarter)" attribute="1" defaultMemberUniqueName="[rArtikliAnaliza].[Период (Quarter)].[All]" allUniqueName="[rArtikliAnaliza].[Период (Quarter)].[All]" dimensionUniqueName="[rArtikliAnaliza]" displayFolder="" count="0" memberValueDatatype="130" unbalanced="0"/>
    <cacheHierarchy uniqueName="[rArtikliAnaliza].[Период (Month)]" caption="Период (Month)" attribute="1" defaultMemberUniqueName="[rArtikliAnaliza].[Период (Month)].[All]" allUniqueName="[rArtikliAnaliza].[Период (Month)].[All]" dimensionUniqueName="[rArtikliAnaliza]" displayFolder="" count="0" memberValueDatatype="130" unbalanced="0"/>
    <cacheHierarchy uniqueName="[CAPEX].[Очекуван датум за ставање во употреба (месец) (Month Index)]" caption="Очекуван датум за ставање во употреба (месец) (Month Index)" attribute="1" defaultMemberUniqueName="[CAPEX].[Очекуван датум за ставање во употреба (месец) (Month Index)].[All]" allUniqueName="[CAPEX].[Очекуван датум за ставање во употреба (месец) (Month Index)].[All]" dimensionUniqueName="[CAPEX]" displayFolder="" count="0" memberValueDatatype="20" unbalanced="0" hidden="1"/>
    <cacheHierarchy uniqueName="[CAPEX].[Очекуван датум на плаќање (Month Index)]" caption="Очекуван датум на плаќање (Month Index)" attribute="1" defaultMemberUniqueName="[CAPEX].[Очекуван датум на плаќање (Month Index)].[All]" allUniqueName="[CAPEX].[Очекуван датум на плаќање (Month Index)].[All]" dimensionUniqueName="[CAPEX]" displayFolder="" count="0" memberValueDatatype="20" unbalanced="0" hidden="1"/>
    <cacheHierarchy uniqueName="[fActualAndBudget].[StavkaID]" caption="StavkaID" attribute="1" defaultMemberUniqueName="[fActualAndBudget].[StavkaID].[All]" allUniqueName="[fActualAndBudget].[StavkaID].[All]" dimensionUniqueName="[fActualAndBudget]" displayFolder="" count="0" memberValueDatatype="20" unbalanced="0" hidden="1"/>
    <cacheHierarchy uniqueName="[fCoveckiResursi].[Период (Month Index)]" caption="Период (Month Index)" attribute="1" defaultMemberUniqueName="[fCoveckiResursi].[Период (Month Index)].[All]" allUniqueName="[fCoveckiResursi].[Период (Month Index)].[All]" dimensionUniqueName="[fCoveckiResursi]" displayFolder="" count="0" memberValueDatatype="20" unbalanced="0" hidden="1"/>
    <cacheHierarchy uniqueName="[fCoveckiResursi].[Период (Month Index) 1]" caption="Период (Month Index) 1" attribute="1" defaultMemberUniqueName="[fCoveckiResursi].[Период (Month Index) 1].[All]" allUniqueName="[fCoveckiResursi].[Период (Month Index) 1].[All]" dimensionUniqueName="[fCoveckiResursi]" displayFolder="" count="0" memberValueDatatype="20" unbalanced="0" hidden="1"/>
    <cacheHierarchy uniqueName="[OPEXAnaliza].[Период (Month Index)]" caption="Период (Month Index)" attribute="1" defaultMemberUniqueName="[OPEXAnaliza].[Период (Month Index)].[All]" allUniqueName="[OPEXAnaliza].[Период (Month Index)].[All]" dimensionUniqueName="[OPEXAnaliza]" displayFolder="" count="0" memberValueDatatype="20" unbalanced="0" hidden="1"/>
    <cacheHierarchy uniqueName="[rArtikli_HR_Analiza].[Крајна состојба вработени]" caption="Крајна состојба вработени" attribute="1" defaultMemberUniqueName="[rArtikli_HR_Analiza].[Крајна состојба вработени].[All]" allUniqueName="[rArtikli_HR_Analiza].[Крајна состојба вработени].[All]" dimensionUniqueName="[rArtikli_HR_Analiza]" displayFolder="" count="0" memberValueDatatype="20" unbalanced="0" hidden="1"/>
    <cacheHierarchy uniqueName="[rArtikli_HR_Analiza].[Планиран прилив/(одлив)]" caption="Планиран прилив/(одлив)" attribute="1" defaultMemberUniqueName="[rArtikli_HR_Analiza].[Планиран прилив/(одлив)].[All]" allUniqueName="[rArtikli_HR_Analiza].[Планиран прилив/(одлив)].[All]" dimensionUniqueName="[rArtikli_HR_Analiza]" displayFolder="" count="0" memberValueDatatype="20" unbalanced="0" hidden="1"/>
    <cacheHierarchy uniqueName="[rArtikli_HR_Analiza].[Тип на вработување]" caption="Тип на вработување" attribute="1" defaultMemberUniqueName="[rArtikli_HR_Analiza].[Тип на вработување].[All]" allUniqueName="[rArtikli_HR_Analiza].[Тип на вработување].[All]" dimensionUniqueName="[rArtikli_HR_Analiza]" displayFolder="" count="0" memberValueDatatype="130" unbalanced="0" hidden="1"/>
    <cacheHierarchy uniqueName="[rArtikliAnaliza].[Период (Month Index)]" caption="Период (Month Index)" attribute="1" defaultMemberUniqueName="[rArtikliAnaliza].[Период (Month Index)].[All]" allUniqueName="[rArtikliAnaliza].[Период (Month Index)].[All]" dimensionUniqueName="[rArtikliAnaliza]" displayFolder="" count="0" memberValueDatatype="20" unbalanced="0" hidden="1"/>
    <cacheHierarchy uniqueName="[Measures].[__XL_Count Calendar]" caption="__XL_Count Calendar" measure="1" displayFolder="" measureGroup="Calendar" count="0" hidden="1"/>
    <cacheHierarchy uniqueName="[Measures].[__XL_Count CAPEX]" caption="__XL_Count CAPEX" measure="1" displayFolder="" measureGroup="CAPEX" count="0" hidden="1"/>
    <cacheHierarchy uniqueName="[Measures].[__XL_Count Amortizacija]" caption="__XL_Count Amortizacija" measure="1" displayFolder="" measureGroup="Amortizacija" count="0" hidden="1"/>
    <cacheHierarchy uniqueName="[Measures].[__XL_Count fCoveckiResursi]" caption="__XL_Count fCoveckiResursi" measure="1" displayFolder="" measureGroup="fCoveckiResursi" count="0" hidden="1"/>
    <cacheHierarchy uniqueName="[Measures].[__XL_Count fActualAndBudget]" caption="__XL_Count fActualAndBudget" measure="1" displayFolder="" measureGroup="fActualAndBudget" count="0" hidden="1"/>
    <cacheHierarchy uniqueName="[Measures].[__XL_Count fOPEX]" caption="__XL_Count fOPEX" measure="1" displayFolder="" measureGroup="fOPEX" count="0" hidden="1"/>
    <cacheHierarchy uniqueName="[Measures].[__XL_Count OPEXAnaliza]" caption="__XL_Count OPEXAnaliza" measure="1" displayFolder="" measureGroup="OPEXAnaliza" count="0" hidden="1"/>
    <cacheHierarchy uniqueName="[Measures].[__XL_Count rArtikliAnaliza]" caption="__XL_Count rArtikliAnaliza" measure="1" displayFolder="" measureGroup="rArtikliAnaliza" count="0" hidden="1"/>
    <cacheHierarchy uniqueName="[Measures].[__XL_Count fArtikliCeni]" caption="__XL_Count fArtikliCeni" measure="1" displayFolder="" measureGroup="fArtikliCeni" count="0" hidden="1"/>
    <cacheHierarchy uniqueName="[Measures].[__XL_Count rArtikli_HR_Analiza]" caption="__XL_Count rArtikli_HR_Analiza" measure="1" displayFolder="" measureGroup="rArtikli_HR_Analiza" count="0" hidden="1"/>
    <cacheHierarchy uniqueName="[Measures].[__XL_Count fCoveckiResursi  2]" caption="__XL_Count fCoveckiResursi  2" measure="1" displayFolder="" measureGroup="fCoveckiResursi  2" count="0" hidden="1"/>
    <cacheHierarchy uniqueName="[Measures].[__No measures defined]" caption="__No measures defined" measure="1" displayFolder="" count="0" hidden="1"/>
    <cacheHierarchy uniqueName="[Measures].[Sum of Износ 3]" caption="Sum of Износ 3" measure="1" displayFolder="" measureGroup="fCoveckiResursi" count="0" hidden="1">
      <extLst>
        <ext xmlns:x15="http://schemas.microsoft.com/office/spreadsheetml/2010/11/main" uri="{B97F6D7D-B522-45F9-BDA1-12C45D357490}">
          <x15:cacheHierarchy aggregatedColumn="71"/>
        </ext>
      </extLst>
    </cacheHierarchy>
    <cacheHierarchy uniqueName="[Measures].[Sum of Крајна состојба вработени]" caption="Sum of Крајна состојба вработени" measure="1" displayFolder="" measureGroup="fCoveckiResursi" count="0" hidden="1">
      <extLst>
        <ext xmlns:x15="http://schemas.microsoft.com/office/spreadsheetml/2010/11/main" uri="{B97F6D7D-B522-45F9-BDA1-12C45D357490}">
          <x15:cacheHierarchy aggregatedColumn="70"/>
        </ext>
      </extLst>
    </cacheHierarchy>
    <cacheHierarchy uniqueName="[Measures].[Sum of Планиран прилив/(одлив)]" caption="Sum of Планиран прилив/(одлив)" measure="1" displayFolder="" measureGroup="fCoveckiResursi" count="0" hidden="1">
      <extLst>
        <ext xmlns:x15="http://schemas.microsoft.com/office/spreadsheetml/2010/11/main" uri="{B97F6D7D-B522-45F9-BDA1-12C45D357490}">
          <x15:cacheHierarchy aggregatedColumn="68"/>
        </ext>
      </extLst>
    </cacheHierarchy>
    <cacheHierarchy uniqueName="[Measures].[Sum of Износ]" caption="Sum of Износ" measure="1" displayFolder="" measureGroup="fActualAndBudget" count="0" oneField="1" hidden="1">
      <fieldsUsage count="1">
        <fieldUsage x="5"/>
      </fieldsUsage>
      <extLst>
        <ext xmlns:x15="http://schemas.microsoft.com/office/spreadsheetml/2010/11/main" uri="{B97F6D7D-B522-45F9-BDA1-12C45D357490}">
          <x15:cacheHierarchy aggregatedColumn="45"/>
        </ext>
      </extLst>
    </cacheHierarchy>
    <cacheHierarchy uniqueName="[Measures].[Sum of Износ (илјади)]" caption="Sum of Износ (илјади)" measure="1" displayFolder="" measureGroup="fActualAndBudget" count="0" hidden="1">
      <extLst>
        <ext xmlns:x15="http://schemas.microsoft.com/office/spreadsheetml/2010/11/main" uri="{B97F6D7D-B522-45F9-BDA1-12C45D357490}">
          <x15:cacheHierarchy aggregatedColumn="46"/>
        </ext>
      </extLst>
    </cacheHierarchy>
    <cacheHierarchy uniqueName="[Measures].[Sum of Износ1]" caption="Sum of Износ1" measure="1" displayFolder="" measureGroup="fActualAndBudget" count="0" hidden="1">
      <extLst>
        <ext xmlns:x15="http://schemas.microsoft.com/office/spreadsheetml/2010/11/main" uri="{B97F6D7D-B522-45F9-BDA1-12C45D357490}">
          <x15:cacheHierarchy aggregatedColumn="34"/>
        </ext>
      </extLst>
    </cacheHierarchy>
    <cacheHierarchy uniqueName="[Measures].[Sum of Износ 2]" caption="Sum of Износ 2" measure="1" displayFolder="" measureGroup="Amortizacija" count="0" hidden="1">
      <extLst>
        <ext xmlns:x15="http://schemas.microsoft.com/office/spreadsheetml/2010/11/main" uri="{B97F6D7D-B522-45F9-BDA1-12C45D357490}">
          <x15:cacheHierarchy aggregatedColumn="3"/>
        </ext>
      </extLst>
    </cacheHierarchy>
    <cacheHierarchy uniqueName="[Measures].[Sum of Износ 4]" caption="Sum of Износ 4" measure="1" displayFolder="" measureGroup="OPEXAnaliza" count="0" hidden="1">
      <extLst>
        <ext xmlns:x15="http://schemas.microsoft.com/office/spreadsheetml/2010/11/main" uri="{B97F6D7D-B522-45F9-BDA1-12C45D357490}">
          <x15:cacheHierarchy aggregatedColumn="101"/>
        </ext>
      </extLst>
    </cacheHierarchy>
    <cacheHierarchy uniqueName="[Measures].[Sum of Износ донација]" caption="Sum of Износ донација" measure="1" displayFolder="" measureGroup="CAPEX" count="0" hidden="1">
      <extLst>
        <ext xmlns:x15="http://schemas.microsoft.com/office/spreadsheetml/2010/11/main" uri="{B97F6D7D-B522-45F9-BDA1-12C45D357490}">
          <x15:cacheHierarchy aggregatedColumn="24"/>
        </ext>
      </extLst>
    </cacheHierarchy>
    <cacheHierarchy uniqueName="[Measures].[Sum of Вкупно трошок]" caption="Sum of Вкупно трошок" measure="1" displayFolder="" measureGroup="fArtikliCeni" count="0" hidden="1">
      <extLst>
        <ext xmlns:x15="http://schemas.microsoft.com/office/spreadsheetml/2010/11/main" uri="{B97F6D7D-B522-45F9-BDA1-12C45D357490}">
          <x15:cacheHierarchy aggregatedColumn="55"/>
        </ext>
      </extLst>
    </cacheHierarchy>
    <cacheHierarchy uniqueName="[Measures].[Sum of Количина]" caption="Sum of Количина" measure="1" displayFolder="" measureGroup="fArtikliCeni" count="0" hidden="1">
      <extLst>
        <ext xmlns:x15="http://schemas.microsoft.com/office/spreadsheetml/2010/11/main" uri="{B97F6D7D-B522-45F9-BDA1-12C45D357490}">
          <x15:cacheHierarchy aggregatedColumn="53"/>
        </ext>
      </extLst>
    </cacheHierarchy>
    <cacheHierarchy uniqueName="[Measures].[Sum of Единечна цена]" caption="Sum of Единечна цена" measure="1" displayFolder="" measureGroup="fArtikliCeni" count="0" hidden="1">
      <extLst>
        <ext xmlns:x15="http://schemas.microsoft.com/office/spreadsheetml/2010/11/main" uri="{B97F6D7D-B522-45F9-BDA1-12C45D357490}">
          <x15:cacheHierarchy aggregatedColumn="54"/>
        </ext>
      </extLst>
    </cacheHierarchy>
    <cacheHierarchy uniqueName="[Measures].[Sum of ДДВ]" caption="Sum of ДДВ" measure="1" displayFolder="" measureGroup="fArtikliCeni" count="0" hidden="1">
      <extLst>
        <ext xmlns:x15="http://schemas.microsoft.com/office/spreadsheetml/2010/11/main" uri="{B97F6D7D-B522-45F9-BDA1-12C45D357490}">
          <x15:cacheHierarchy aggregatedColumn="56"/>
        </ext>
      </extLst>
    </cacheHierarchy>
    <cacheHierarchy uniqueName="[Measures].[Sum of Износ 6]" caption="Sum of Износ 6" measure="1" displayFolder="" measureGroup="fArtikliCeni" count="0" hidden="1">
      <extLst>
        <ext xmlns:x15="http://schemas.microsoft.com/office/spreadsheetml/2010/11/main" uri="{B97F6D7D-B522-45F9-BDA1-12C45D357490}">
          <x15:cacheHierarchy aggregatedColumn="57"/>
        </ext>
      </extLst>
    </cacheHierarchy>
    <cacheHierarchy uniqueName="[Measures].[Count of Единечна мерка]" caption="Count of Единечна мерка" measure="1" displayFolder="" measureGroup="fArtikliCeni" count="0" hidden="1">
      <extLst>
        <ext xmlns:x15="http://schemas.microsoft.com/office/spreadsheetml/2010/11/main" uri="{B97F6D7D-B522-45F9-BDA1-12C45D357490}">
          <x15:cacheHierarchy aggregatedColumn="52"/>
        </ext>
      </extLst>
    </cacheHierarchy>
    <cacheHierarchy uniqueName="[Measures].[Sum of Количина 2]" caption="Sum of Количина 2" measure="1" displayFolder="" measureGroup="rArtikli_HR_Analiza" count="0" hidden="1">
      <extLst>
        <ext xmlns:x15="http://schemas.microsoft.com/office/spreadsheetml/2010/11/main" uri="{B97F6D7D-B522-45F9-BDA1-12C45D357490}">
          <x15:cacheHierarchy aggregatedColumn="118"/>
        </ext>
      </extLst>
    </cacheHierarchy>
    <cacheHierarchy uniqueName="[Measures].[Sum of Единечна цена 2]" caption="Sum of Единечна цена 2" measure="1" displayFolder="" measureGroup="rArtikli_HR_Analiza" count="0" hidden="1">
      <extLst>
        <ext xmlns:x15="http://schemas.microsoft.com/office/spreadsheetml/2010/11/main" uri="{B97F6D7D-B522-45F9-BDA1-12C45D357490}">
          <x15:cacheHierarchy aggregatedColumn="119"/>
        </ext>
      </extLst>
    </cacheHierarchy>
    <cacheHierarchy uniqueName="[Measures].[Sum of Вкупно трошок 2]" caption="Sum of Вкупно трошок 2" measure="1" displayFolder="" measureGroup="rArtikli_HR_Analiza" count="0" hidden="1">
      <extLst>
        <ext xmlns:x15="http://schemas.microsoft.com/office/spreadsheetml/2010/11/main" uri="{B97F6D7D-B522-45F9-BDA1-12C45D357490}">
          <x15:cacheHierarchy aggregatedColumn="120"/>
        </ext>
      </extLst>
    </cacheHierarchy>
    <cacheHierarchy uniqueName="[Measures].[Sum of ДДВ 2]" caption="Sum of ДДВ 2" measure="1" displayFolder="" measureGroup="rArtikli_HR_Analiza" count="0" hidden="1">
      <extLst>
        <ext xmlns:x15="http://schemas.microsoft.com/office/spreadsheetml/2010/11/main" uri="{B97F6D7D-B522-45F9-BDA1-12C45D357490}">
          <x15:cacheHierarchy aggregatedColumn="121"/>
        </ext>
      </extLst>
    </cacheHierarchy>
    <cacheHierarchy uniqueName="[Measures].[Sum of Износ 7]" caption="Sum of Износ 7" measure="1" displayFolder="" measureGroup="rArtikli_HR_Analiza" count="0" hidden="1">
      <extLst>
        <ext xmlns:x15="http://schemas.microsoft.com/office/spreadsheetml/2010/11/main" uri="{B97F6D7D-B522-45F9-BDA1-12C45D357490}">
          <x15:cacheHierarchy aggregatedColumn="122"/>
        </ext>
      </extLst>
    </cacheHierarchy>
    <cacheHierarchy uniqueName="[Measures].[Sum of Износ 5]" caption="Sum of Износ 5" measure="1" displayFolder="" measureGroup="fCoveckiResursi  2" count="0" hidden="1">
      <extLst>
        <ext xmlns:x15="http://schemas.microsoft.com/office/spreadsheetml/2010/11/main" uri="{B97F6D7D-B522-45F9-BDA1-12C45D357490}">
          <x15:cacheHierarchy aggregatedColumn="82"/>
        </ext>
      </extLst>
    </cacheHierarchy>
    <cacheHierarchy uniqueName="[Measures].[Sum of Проценета вредност на набавка со ДДВ (денари)]" caption="Sum of Проценета вредност на набавка со ДДВ (денари)" measure="1" displayFolder="" measureGroup="CAPEX" count="0" hidden="1">
      <extLst>
        <ext xmlns:x15="http://schemas.microsoft.com/office/spreadsheetml/2010/11/main" uri="{B97F6D7D-B522-45F9-BDA1-12C45D357490}">
          <x15:cacheHierarchy aggregatedColumn="20"/>
        </ext>
      </extLst>
    </cacheHierarchy>
  </cacheHierarchies>
  <kpis count="0"/>
  <dimensions count="12">
    <dimension name="Amortizacija" uniqueName="[Amortizacija]" caption="Amortizacija"/>
    <dimension name="Calendar" uniqueName="[Calendar]" caption="Calendar"/>
    <dimension name="CAPEX" uniqueName="[CAPEX]" caption="CAPEX"/>
    <dimension name="fActualAndBudget" uniqueName="[fActualAndBudget]" caption="fActualAndBudget"/>
    <dimension name="fArtikliCeni" uniqueName="[fArtikliCeni]" caption="fArtikliCeni"/>
    <dimension name="fCoveckiResursi" uniqueName="[fCoveckiResursi]" caption="fCoveckiResursi"/>
    <dimension name="fCoveckiResursi  2" uniqueName="[fCoveckiResursi  2]" caption="fCoveckiResursi  2"/>
    <dimension name="fOPEX" uniqueName="[fOPEX]" caption="fOPEX"/>
    <dimension measure="1" name="Measures" uniqueName="[Measures]" caption="Measures"/>
    <dimension name="OPEXAnaliza" uniqueName="[OPEXAnaliza]" caption="OPEXAnaliza"/>
    <dimension name="rArtikli_HR_Analiza" uniqueName="[rArtikli_HR_Analiza]" caption="rArtikli_HR_Analiza"/>
    <dimension name="rArtikliAnaliza" uniqueName="[rArtikliAnaliza]" caption="rArtikliAnaliza"/>
  </dimensions>
  <measureGroups count="11">
    <measureGroup name="Amortizacija" caption="Amortizacija"/>
    <measureGroup name="Calendar" caption="Calendar"/>
    <measureGroup name="CAPEX" caption="CAPEX"/>
    <measureGroup name="fActualAndBudget" caption="fActualAndBudget"/>
    <measureGroup name="fArtikliCeni" caption="fArtikliCeni"/>
    <measureGroup name="fCoveckiResursi" caption="fCoveckiResursi"/>
    <measureGroup name="fCoveckiResursi  2" caption="fCoveckiResursi  2"/>
    <measureGroup name="fOPEX" caption="fOPEX"/>
    <measureGroup name="OPEXAnaliza" caption="OPEXAnaliza"/>
    <measureGroup name="rArtikli_HR_Analiza" caption="rArtikli_HR_Analiza"/>
    <measureGroup name="rArtikliAnaliza" caption="rArtikliAnaliza"/>
  </measureGroups>
  <maps count="19">
    <map measureGroup="0" dimension="0"/>
    <map measureGroup="0" dimension="1"/>
    <map measureGroup="1" dimension="1"/>
    <map measureGroup="2" dimension="1"/>
    <map measureGroup="2" dimension="2"/>
    <map measureGroup="3" dimension="1"/>
    <map measureGroup="3" dimension="3"/>
    <map measureGroup="4" dimension="4"/>
    <map measureGroup="5" dimension="1"/>
    <map measureGroup="5" dimension="5"/>
    <map measureGroup="6" dimension="1"/>
    <map measureGroup="6" dimension="6"/>
    <map measureGroup="7" dimension="1"/>
    <map measureGroup="7" dimension="7"/>
    <map measureGroup="8" dimension="1"/>
    <map measureGroup="8" dimension="9"/>
    <map measureGroup="9" dimension="10"/>
    <map measureGroup="10" dimension="1"/>
    <map measureGroup="10" dimension="1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ngela Sazdova - Doneva" refreshedDate="44900.417619791668" createdVersion="5" refreshedVersion="6" minRefreshableVersion="3" recordCount="0" supportSubquery="1" supportAdvancedDrill="1" xr:uid="{00000000-000A-0000-FFFF-FFFF1C000000}">
  <cacheSource type="external" connectionId="22"/>
  <cacheFields count="7">
    <cacheField name="[CAPEX].[Број на јавна набавка (план)].[Број на јавна набавка (план)]" caption="Број на јавна набавка (план)" numFmtId="0" hierarchy="16" level="1">
      <sharedItems count="28">
        <s v="2019-006"/>
        <s v="2021-010"/>
        <s v="2021-011"/>
        <s v="2021-012"/>
        <s v="2021-013"/>
        <s v="2021-014"/>
        <s v="2021-017"/>
        <s v="2022-002"/>
        <s v="2022-003"/>
        <s v="2022-005"/>
        <s v="2022-006"/>
        <s v="2022-007"/>
        <s v="2022-012"/>
        <s v="2022-013"/>
        <s v="2022-016"/>
        <s v="2023-001"/>
        <s v="2023-002"/>
        <s v="2023-003"/>
        <s v="2023-004"/>
        <s v="2023-005"/>
        <s v="2023-006"/>
        <s v="2023-007"/>
        <s v="2023-009"/>
        <s v="2023-010"/>
        <s v="2023-011"/>
        <s v="2023-012"/>
        <s v="2023-013"/>
        <s v="2023-014"/>
      </sharedItems>
    </cacheField>
    <cacheField name="[CAPEX].[Предмет на договорот за јавна набавка].[Предмет на договорот за јавна набавка]" caption="Предмет на договорот за јавна набавка" numFmtId="0" hierarchy="17" level="1">
      <sharedItems count="30" longText="1">
        <s v="Систем за сметководствена евиденција- напредно електронско решение"/>
        <s v="Софтверско решение за активација на банкарската сметка преку ЕШС"/>
        <s v="Софтверско решение за водење на порамнувања во регистар на годишни сметки за неподнесена завршна сметка - I фаза бизнис анализа и  функционална  спецификација"/>
        <s v="Софтверско решение за водење на порамнувања во регистар на годишни сметки за неподнесена завршна сметка - II фаза техничка спецификација"/>
        <s v="Софтверско решение за водење на порамнувања во регистар на годишни сметки за неподнесена завршна сметка - III фаза испорака на софтверско решение"/>
        <s v="Надградба на Едношалтерскиот систем, заедничката платформа за отпочнување со бизнис, вклучувајќи го системот за размена на податоци со институциите, со нови услуги: интеграција со УЈП и Царинска управа за автоматско добивање на податоци од Потврди за платени даноци и царнски давачки, банките размена на договор и други документи за отворање на сметка) и технолошка надградба на сите постојни сервиси за размена на податоци (со УЈП и банките) - спецификации функционална и бизнис околина"/>
        <s v="Градежно занатски работи во деловниот простор (СИТ) - во тек, ќе се плаќа во 2023"/>
        <s v="Периферна компјутерска опрема проект од 2021"/>
        <s v="Надградба на дистрибутивниот систем, системот за е-потврди и системот за електронско плаќање, со нов модерен интерфејс  согласно дизајнот на новиот портал и можност за динамично формирање на пакети на услуги и можност за нивно користење во определен временски период, со задржување на постојните функционалности, вклучувајќи и нарачка и плаќање на било која услуга, испорака на домашна адреса и нови производи"/>
        <s v="Мрежно каблирање"/>
        <s v="Надградба на Софтверско решение за управување со IT процеси"/>
        <s v="Надградба на софтверско решение за водење на Регистарот на вистински сопственици"/>
        <s v="Софтверско решение за генерирање извештаи"/>
        <s v="Систем за складирање на податоци"/>
        <s v="Возобновување на регистар за залог и лизинг и други побарувања што се евидентираат во ЦР во Регистар на обезбедени трансакции"/>
        <s v="Тековна состојба со додадена вредност - дополнително поле за издедена валидна дозвола за работа или лиценца"/>
        <s v="Надградба и интеграција на Системот за централизирано управување на корисници (ЦМК) со Националниот систем за единствена најава (ССО)"/>
        <s v="Microsoft софтверски лиценци и обуки Износот е даден за една година"/>
        <s v="Системи за мрежна безбедност"/>
        <s v="Серверска инфраструктура"/>
        <s v="Систем за безбедност на електронска пошта"/>
        <s v="Систем за заштита и архивирање на податоци"/>
        <s v="Мрежна опрема за дистрибуција Скопје и Штип"/>
        <s v="Надградба на системот за централизирано управување со корисници и интеграција со дигитална услуга за потврдување на идентитетот на корисниците"/>
        <s v="ЕРТС"/>
        <s v="Надградба на системите за водењето на регистри"/>
        <s v="МЕБЕЛ - РАФТОВИ И ПЛАКАРИ ЗА РК И РРК"/>
        <s v="МЕБЕЛ - КЛИМИ"/>
        <s v="Набавка на софтверско решение за Q-radar за  Vulnerability скенирање (за скенирање на 150 уреди)"/>
        <s v="Регистар на политички изложени лица"/>
      </sharedItems>
    </cacheField>
    <cacheField name="[Measures].[Sum of Износ донација]" caption="Sum of Износ донација" numFmtId="0" hierarchy="181" level="32767"/>
    <cacheField name="[CAPEX].[Конто Средства].[Конто Средства]" caption="Конто Средства" numFmtId="0" hierarchy="22" level="1">
      <sharedItems containsSemiMixedTypes="0" containsNonDate="0" containsString="0"/>
    </cacheField>
    <cacheField name="[CAPEX].[Очекуван датум на плаќање (Year)].[Очекуван датум на плаќање (Year)]" caption="Очекуван датум на плаќање (Year)" numFmtId="0" hierarchy="25" level="1">
      <sharedItems count="3">
        <s v="2022"/>
        <s v="2023"/>
        <s v="2024"/>
      </sharedItems>
    </cacheField>
    <cacheField name="[CAPEX].[Очекуван датум за ставање во употреба (месец) (Year)].[Очекуван датум за ставање во употреба (месец) (Year)]" caption="Очекуван датум за ставање во употреба (месец) (Year)" numFmtId="0" hierarchy="28" level="1">
      <sharedItems count="3">
        <s v="2023"/>
        <s v="2024"/>
        <s v="2025"/>
      </sharedItems>
    </cacheField>
    <cacheField name="[Measures].[Sum of Проценета вредност на набавка со ДДВ (денари)]" caption="Sum of Проценета вредност на набавка со ДДВ (денари)" numFmtId="0" hierarchy="194" level="32767"/>
  </cacheFields>
  <cacheHierarchies count="195">
    <cacheHierarchy uniqueName="[Amortizacija].[Број на јавна набавка (план)]" caption="Број на јавна набавка (план)" attribute="1" defaultMemberUniqueName="[Amortizacija].[Број на јавна набавка (план)].[All]" allUniqueName="[Amortizacija].[Број на јавна набавка (план)].[All]" dimensionUniqueName="[Amortizacija]" displayFolder="" count="0" memberValueDatatype="130" unbalanced="0"/>
    <cacheHierarchy uniqueName="[Amortizacija].[Ставка]" caption="Ставка" attribute="1" defaultMemberUniqueName="[Amortizacija].[Ставка].[All]" allUniqueName="[Amortizacija].[Ставка].[All]" dimensionUniqueName="[Amortizacija]" displayFolder="" count="0" memberValueDatatype="130" unbalanced="0"/>
    <cacheHierarchy uniqueName="[Amortizacija].[Период]" caption="Период" attribute="1" time="1" defaultMemberUniqueName="[Amortizacija].[Период].[All]" allUniqueName="[Amortizacija].[Период].[All]" dimensionUniqueName="[Amortizacija]" displayFolder="" count="0" memberValueDatatype="7" unbalanced="0"/>
    <cacheHierarchy uniqueName="[Amortizacija].[Износ]" caption="Износ" attribute="1" defaultMemberUniqueName="[Amortizacija].[Износ].[All]" allUniqueName="[Amortizacija].[Износ].[All]" dimensionUniqueName="[Amortizacija]" displayFolder="" count="0" memberValueDatatype="20" unbalanced="0"/>
    <cacheHierarchy uniqueName="[Amortizacija].[Конто]" caption="Конто" attribute="1" defaultMemberUniqueName="[Amortizacija].[Конто].[All]" allUniqueName="[Amortizacija].[Конто].[All]" dimensionUniqueName="[Amortizacija]" displayFolder="" count="0" memberValueDatatype="130" unbalanced="0"/>
    <cacheHierarchy uniqueName="[Amortizacija].[ReportType]" caption="ReportType" attribute="1" defaultMemberUniqueName="[Amortizacija].[ReportType].[All]" allUniqueName="[Amortizacija].[ReportType].[All]" dimensionUniqueName="[Amortizacija]" displayFolder="" count="0" memberValueDatatype="130" unbalanced="0"/>
    <cacheHierarchy uniqueName="[Calendar].[Date]" caption="Date" attribute="1" time="1" keyAttribute="1" defaultMemberUniqueName="[Calendar].[Date].[All]" allUniqueName="[Calendar].[Date].[All]" dimensionUniqueName="[Calendar]" displayFolder="" count="0" memberValueDatatype="7" unbalanced="0"/>
    <cacheHierarchy uniqueName="[Calendar].[Date Hierarchy]" caption="Date Hierarchy" time="1" defaultMemberUniqueName="[Calendar].[Date Hierarchy].[All]" allUniqueName="[Calendar].[Date Hierarchy].[All]" dimensionUniqueName="[Calendar]" displayFolder="" count="0" unbalanced="0"/>
    <cacheHierarchy uniqueName="[Calendar].[Година]" caption="Година" attribute="1" time="1" defaultMemberUniqueName="[Calendar].[Година].[All]" allUniqueName="[Calendar].[Година].[All]" dimensionUniqueName="[Calendar]" displayFolder="" count="0" memberValueDatatype="20" unbalanced="0"/>
    <cacheHierarchy uniqueName="[Calendar].[Month Number]" caption="Month Number" attribute="1" time="1" defaultMemberUniqueName="[Calendar].[Month Number].[All]" allUniqueName="[Calendar].[Month Number].[All]" dimensionUniqueName="[Calendar]" displayFolder="" count="0" memberValueDatatype="20" unbalanced="0"/>
    <cacheHierarchy uniqueName="[Calendar].[Месец]" caption="Месец" attribute="1" time="1" defaultMemberUniqueName="[Calendar].[Месец].[All]" allUniqueName="[Calendar].[Месец].[All]" dimensionUniqueName="[Calendar]" displayFolder="" count="0" memberValueDatatype="130" unbalanced="0"/>
    <cacheHierarchy uniqueName="[Calendar].[MMM-YYYY]" caption="MMM-YYYY" attribute="1" time="1" defaultMemberUniqueName="[Calendar].[MMM-YYYY].[All]" allUniqueName="[Calendar].[MMM-YYYY].[All]" dimensionUniqueName="[Calendar]" displayFolder="" count="0" memberValueDatatype="130" unbalanced="0"/>
    <cacheHierarchy uniqueName="[Calendar].[Day Of Week Number]" caption="Day Of Week Number" attribute="1" time="1" defaultMemberUniqueName="[Calendar].[Day Of Week Number].[All]" allUniqueName="[Calendar].[Day Of Week Number].[All]" dimensionUniqueName="[Calendar]" displayFolder="" count="0" memberValueDatatype="20" unbalanced="0"/>
    <cacheHierarchy uniqueName="[Calendar].[Day Of Week]" caption="Day Of Week" attribute="1" time="1" defaultMemberUniqueName="[Calendar].[Day Of Week].[All]" allUniqueName="[Calendar].[Day Of Week].[All]" dimensionUniqueName="[Calendar]" displayFolder="" count="0" memberValueDatatype="130" unbalanced="0"/>
    <cacheHierarchy uniqueName="[Calendar].[Квартал]" caption="Квартал" attribute="1" time="1" defaultMemberUniqueName="[Calendar].[Квартал].[All]" allUniqueName="[Calendar].[Квартал].[All]" dimensionUniqueName="[Calendar]" displayFolder="" count="0" memberValueDatatype="7" unbalanced="0"/>
    <cacheHierarchy uniqueName="[CAPEX].[Година за реализација на проект]" caption="Година за реализација на проект" attribute="1" defaultMemberUniqueName="[CAPEX].[Година за реализација на проект].[All]" allUniqueName="[CAPEX].[Година за реализација на проект].[All]" dimensionUniqueName="[CAPEX]" displayFolder="" count="0" memberValueDatatype="20" unbalanced="0"/>
    <cacheHierarchy uniqueName="[CAPEX].[Број на јавна набавка (план)]" caption="Број на јавна набавка (план)" attribute="1" defaultMemberUniqueName="[CAPEX].[Број на јавна набавка (план)].[All]" allUniqueName="[CAPEX].[Број на јавна набавка (план)].[All]" dimensionUniqueName="[CAPEX]" displayFolder="" count="2" memberValueDatatype="130" unbalanced="0">
      <fieldsUsage count="2">
        <fieldUsage x="-1"/>
        <fieldUsage x="0"/>
      </fieldsUsage>
    </cacheHierarchy>
    <cacheHierarchy uniqueName="[CAPEX].[Предмет на договорот за јавна набавка]" caption="Предмет на договорот за јавна набавка" attribute="1" defaultMemberUniqueName="[CAPEX].[Предмет на договорот за јавна набавка].[All]" allUniqueName="[CAPEX].[Предмет на договорот за јавна набавка].[All]" dimensionUniqueName="[CAPEX]" displayFolder="" count="2" memberValueDatatype="130" unbalanced="0">
      <fieldsUsage count="2">
        <fieldUsage x="-1"/>
        <fieldUsage x="1"/>
      </fieldsUsage>
    </cacheHierarchy>
    <cacheHierarchy uniqueName="[CAPEX].[Очекуван датум на плаќање]" caption="Очекуван датум на плаќање" attribute="1" time="1" defaultMemberUniqueName="[CAPEX].[Очекуван датум на плаќање].[All]" allUniqueName="[CAPEX].[Очекуван датум на плаќање].[All]" dimensionUniqueName="[CAPEX]" displayFolder="" count="0" memberValueDatatype="7" unbalanced="0"/>
    <cacheHierarchy uniqueName="[CAPEX].[Очекуван датум за ставање во употреба (месец)]" caption="Очекуван датум за ставање во употреба (месец)" attribute="1" time="1" defaultMemberUniqueName="[CAPEX].[Очекуван датум за ставање во употреба (месец)].[All]" allUniqueName="[CAPEX].[Очекуван датум за ставање во употреба (месец)].[All]" dimensionUniqueName="[CAPEX]" displayFolder="" count="0" memberValueDatatype="7" unbalanced="0"/>
    <cacheHierarchy uniqueName="[CAPEX].[Проценета вредност на набавка со ДДВ (денари)]" caption="Проценета вредност на набавка со ДДВ (денари)" attribute="1" defaultMemberUniqueName="[CAPEX].[Проценета вредност на набавка со ДДВ (денари)].[All]" allUniqueName="[CAPEX].[Проценета вредност на набавка со ДДВ (денари)].[All]" dimensionUniqueName="[CAPEX]" displayFolder="" count="0" memberValueDatatype="20" unbalanced="0"/>
    <cacheHierarchy uniqueName="[CAPEX].[Стапка на амортизација]" caption="Стапка на амортизација" attribute="1" defaultMemberUniqueName="[CAPEX].[Стапка на амортизација].[All]" allUniqueName="[CAPEX].[Стапка на амортизација].[All]" dimensionUniqueName="[CAPEX]" displayFolder="" count="0" memberValueDatatype="5" unbalanced="0"/>
    <cacheHierarchy uniqueName="[CAPEX].[Конто Средства]" caption="Конто Средства" attribute="1" defaultMemberUniqueName="[CAPEX].[Конто Средства].[All]" allUniqueName="[CAPEX].[Конто Средства].[All]" dimensionUniqueName="[CAPEX]" displayFolder="" count="2" memberValueDatatype="130" unbalanced="0">
      <fieldsUsage count="2">
        <fieldUsage x="-1"/>
        <fieldUsage x="3"/>
      </fieldsUsage>
    </cacheHierarchy>
    <cacheHierarchy uniqueName="[CAPEX].[Конто Амортизација]" caption="Конто Амортизација" attribute="1" defaultMemberUniqueName="[CAPEX].[Конто Амортизација].[All]" allUniqueName="[CAPEX].[Конто Амортизација].[All]" dimensionUniqueName="[CAPEX]" displayFolder="" count="0" memberValueDatatype="130" unbalanced="0"/>
    <cacheHierarchy uniqueName="[CAPEX].[Износ донација]" caption="Износ донација" attribute="1" defaultMemberUniqueName="[CAPEX].[Износ донација].[All]" allUniqueName="[CAPEX].[Износ донација].[All]" dimensionUniqueName="[CAPEX]" displayFolder="" count="0" memberValueDatatype="20" unbalanced="0"/>
    <cacheHierarchy uniqueName="[CAPEX].[Очекуван датум на плаќање (Year)]" caption="Очекуван датум на плаќање (Year)" attribute="1" defaultMemberUniqueName="[CAPEX].[Очекуван датум на плаќање (Year)].[All]" allUniqueName="[CAPEX].[Очекуван датум на плаќање (Year)].[All]" dimensionUniqueName="[CAPEX]" displayFolder="" count="2" memberValueDatatype="130" unbalanced="0">
      <fieldsUsage count="2">
        <fieldUsage x="-1"/>
        <fieldUsage x="4"/>
      </fieldsUsage>
    </cacheHierarchy>
    <cacheHierarchy uniqueName="[CAPEX].[Очекуван датум на плаќање (Quarter)]" caption="Очекуван датум на плаќање (Quarter)" attribute="1" defaultMemberUniqueName="[CAPEX].[Очекуван датум на плаќање (Quarter)].[All]" allUniqueName="[CAPEX].[Очекуван датум на плаќање (Quarter)].[All]" dimensionUniqueName="[CAPEX]" displayFolder="" count="0" memberValueDatatype="130" unbalanced="0"/>
    <cacheHierarchy uniqueName="[CAPEX].[Очекуван датум на плаќање (Month)]" caption="Очекуван датум на плаќање (Month)" attribute="1" defaultMemberUniqueName="[CAPEX].[Очекуван датум на плаќање (Month)].[All]" allUniqueName="[CAPEX].[Очекуван датум на плаќање (Month)].[All]" dimensionUniqueName="[CAPEX]" displayFolder="" count="0" memberValueDatatype="130" unbalanced="0"/>
    <cacheHierarchy uniqueName="[CAPEX].[Очекуван датум за ставање во употреба (месец) (Year)]" caption="Очекуван датум за ставање во употреба (месец) (Year)" attribute="1" defaultMemberUniqueName="[CAPEX].[Очекуван датум за ставање во употреба (месец) (Year)].[All]" allUniqueName="[CAPEX].[Очекуван датум за ставање во употреба (месец) (Year)].[All]" dimensionUniqueName="[CAPEX]" displayFolder="" count="2" memberValueDatatype="130" unbalanced="0">
      <fieldsUsage count="2">
        <fieldUsage x="-1"/>
        <fieldUsage x="5"/>
      </fieldsUsage>
    </cacheHierarchy>
    <cacheHierarchy uniqueName="[CAPEX].[Очекуван датум за ставање во употреба (месец) (Quarter)]" caption="Очекуван датум за ставање во употреба (месец) (Quarter)" attribute="1" defaultMemberUniqueName="[CAPEX].[Очекуван датум за ставање во употреба (месец) (Quarter)].[All]" allUniqueName="[CAPEX].[Очекуван датум за ставање во употреба (месец) (Quarter)].[All]" dimensionUniqueName="[CAPEX]" displayFolder="" count="0" memberValueDatatype="130" unbalanced="0"/>
    <cacheHierarchy uniqueName="[CAPEX].[Очекуван датум за ставање во употреба (месец) (Month)]" caption="Очекуван датум за ставање во употреба (месец) (Month)" attribute="1" defaultMemberUniqueName="[CAPEX].[Очекуван датум за ставање во употреба (месец) (Month)].[All]" allUniqueName="[CAPEX].[Очекуван датум за ставање во употреба (месец) (Month)].[All]" dimensionUniqueName="[CAPEX]" displayFolder="" count="0" memberValueDatatype="130" unbalanced="0"/>
    <cacheHierarchy uniqueName="[fActualAndBudget].[Конто]" caption="Конто" attribute="1" defaultMemberUniqueName="[fActualAndBudget].[Конто].[All]" allUniqueName="[fActualAndBudget].[Конто].[All]" dimensionUniqueName="[fActualAndBudget]" displayFolder="" count="0" memberValueDatatype="130" unbalanced="0"/>
    <cacheHierarchy uniqueName="[fActualAndBudget].[Назив на конто]" caption="Назив на конто" attribute="1" defaultMemberUniqueName="[fActualAndBudget].[Назив на конто].[All]" allUniqueName="[fActualAndBudget].[Назив на конто].[All]" dimensionUniqueName="[fActualAndBudget]" displayFolder="" count="0" memberValueDatatype="130" unbalanced="0"/>
    <cacheHierarchy uniqueName="[fActualAndBudget].[Период]" caption="Период" attribute="1" time="1" defaultMemberUniqueName="[fActualAndBudget].[Период].[All]" allUniqueName="[fActualAndBudget].[Период].[All]" dimensionUniqueName="[fActualAndBudget]" displayFolder="" count="0" memberValueDatatype="7" unbalanced="0"/>
    <cacheHierarchy uniqueName="[fActualAndBudget].[Износ1]" caption="Износ1" attribute="1" defaultMemberUniqueName="[fActualAndBudget].[Износ1].[All]" allUniqueName="[fActualAndBudget].[Износ1].[All]" dimensionUniqueName="[fActualAndBudget]" displayFolder="" count="0" memberValueDatatype="20" unbalanced="0"/>
    <cacheHierarchy uniqueName="[fActualAndBudget].[ReportType]" caption="ReportType" attribute="1" defaultMemberUniqueName="[fActualAndBudget].[ReportType].[All]" allUniqueName="[fActualAndBudget].[ReportType].[All]" dimensionUniqueName="[fActualAndBudget]" displayFolder="" count="0" memberValueDatatype="130" unbalanced="0"/>
    <cacheHierarchy uniqueName="[fActualAndBudget].[Ставка]" caption="Ставка" attribute="1" defaultMemberUniqueName="[fActualAndBudget].[Ставка].[All]" allUniqueName="[fActualAndBudget].[Ставка].[All]" dimensionUniqueName="[fActualAndBudget]" displayFolder="" count="0" memberValueDatatype="130" unbalanced="0"/>
    <cacheHierarchy uniqueName="[fActualAndBudget].[Број на јавна набавка (план)]" caption="Број на јавна набавка (план)" attribute="1" defaultMemberUniqueName="[fActualAndBudget].[Број на јавна набавка (план)].[All]" allUniqueName="[fActualAndBudget].[Број на јавна набавка (план)].[All]" dimensionUniqueName="[fActualAndBudget]" displayFolder="" count="0" memberValueDatatype="130" unbalanced="0"/>
    <cacheHierarchy uniqueName="[fActualAndBudget].[StavkaImeMK]" caption="StavkaImeMK" attribute="1" defaultMemberUniqueName="[fActualAndBudget].[StavkaImeMK].[All]" allUniqueName="[fActualAndBudget].[StavkaImeMK].[All]" dimensionUniqueName="[fActualAndBudget]" displayFolder="" count="0" memberValueDatatype="130" unbalanced="0"/>
    <cacheHierarchy uniqueName="[fActualAndBudget].[StavkaGrupa]" caption="StavkaGrupa" attribute="1" defaultMemberUniqueName="[fActualAndBudget].[StavkaGrupa].[All]" allUniqueName="[fActualAndBudget].[StavkaGrupa].[All]" dimensionUniqueName="[fActualAndBudget]" displayFolder="" count="0" memberValueDatatype="130" unbalanced="0"/>
    <cacheHierarchy uniqueName="[fActualAndBudget].[StavkaKategorija]" caption="StavkaKategorija" attribute="1" defaultMemberUniqueName="[fActualAndBudget].[StavkaKategorija].[All]" allUniqueName="[fActualAndBudget].[StavkaKategorija].[All]" dimensionUniqueName="[fActualAndBudget]" displayFolder="" count="0" memberValueDatatype="130" unbalanced="0"/>
    <cacheHierarchy uniqueName="[fActualAndBudget].[ZnakIzvestaj]" caption="ZnakIzvestaj" attribute="1" defaultMemberUniqueName="[fActualAndBudget].[ZnakIzvestaj].[All]" allUniqueName="[fActualAndBudget].[ZnakIzvestaj].[All]" dimensionUniqueName="[fActualAndBudget]" displayFolder="" count="0" memberValueDatatype="20" unbalanced="0"/>
    <cacheHierarchy uniqueName="[fActualAndBudget].[ObrazecID]" caption="ObrazecID" attribute="1" defaultMemberUniqueName="[fActualAndBudget].[ObrazecID].[All]" allUniqueName="[fActualAndBudget].[ObrazecID].[All]" dimensionUniqueName="[fActualAndBudget]" displayFolder="" count="0" memberValueDatatype="20" unbalanced="0"/>
    <cacheHierarchy uniqueName="[fActualAndBudget].[StavkaAOP]" caption="StavkaAOP" attribute="1" defaultMemberUniqueName="[fActualAndBudget].[StavkaAOP].[All]" allUniqueName="[fActualAndBudget].[StavkaAOP].[All]" dimensionUniqueName="[fActualAndBudget]" displayFolder="" count="0" memberValueDatatype="130" unbalanced="0"/>
    <cacheHierarchy uniqueName="[fActualAndBudget].[ObrazecIme]" caption="ObrazecIme" attribute="1" defaultMemberUniqueName="[fActualAndBudget].[ObrazecIme].[All]" allUniqueName="[fActualAndBudget].[ObrazecIme].[All]" dimensionUniqueName="[fActualAndBudget]" displayFolder="" count="0" memberValueDatatype="130" unbalanced="0"/>
    <cacheHierarchy uniqueName="[fActualAndBudget].[Износ]" caption="Износ" attribute="1" defaultMemberUniqueName="[fActualAndBudget].[Износ].[All]" allUniqueName="[fActualAndBudget].[Износ].[All]" dimensionUniqueName="[fActualAndBudget]" displayFolder="" count="0" memberValueDatatype="20" unbalanced="0"/>
    <cacheHierarchy uniqueName="[fActualAndBudget].[Износ (илјади)]" caption="Износ (илјади)" attribute="1" defaultMemberUniqueName="[fActualAndBudget].[Износ (илјади)].[All]" allUniqueName="[fActualAndBudget].[Износ (илјади)].[All]" dimensionUniqueName="[fActualAndBudget]" displayFolder="" count="0" memberValueDatatype="5" unbalanced="0"/>
    <cacheHierarchy uniqueName="[fActualAndBudget].[StavkaImeAOP]" caption="StavkaImeAOP" attribute="1" defaultMemberUniqueName="[fActualAndBudget].[StavkaImeAOP].[All]" allUniqueName="[fActualAndBudget].[StavkaImeAOP].[All]" dimensionUniqueName="[fActualAndBudget]" displayFolder="" count="0" memberValueDatatype="130" unbalanced="0"/>
    <cacheHierarchy uniqueName="[fActualAndBudget].[Конто Ставка]" caption="Конто Ставка" attribute="1" defaultMemberUniqueName="[fActualAndBudget].[Конто Ставка].[All]" allUniqueName="[fActualAndBudget].[Конто Ставка].[All]" dimensionUniqueName="[fActualAndBudget]" displayFolder="" count="0" memberValueDatatype="130" unbalanced="0"/>
    <cacheHierarchy uniqueName="[fArtikliCeni].[Ставка]" caption="Ставка" attribute="1" defaultMemberUniqueName="[fArtikliCeni].[Ставка].[All]" allUniqueName="[fArtikliCeni].[Ставка].[All]" dimensionUniqueName="[fArtikliCeni]" displayFolder="" count="0" memberValueDatatype="130" unbalanced="0"/>
    <cacheHierarchy uniqueName="[fArtikliCeni].[Категорија Артикл]" caption="Категорија Артикл" attribute="1" defaultMemberUniqueName="[fArtikliCeni].[Категорија Артикл].[All]" allUniqueName="[fArtikliCeni].[Категорија Артикл].[All]" dimensionUniqueName="[fArtikliCeni]" displayFolder="" count="0" memberValueDatatype="130" unbalanced="0"/>
    <cacheHierarchy uniqueName="[fArtikliCeni].[Тип на артикл]" caption="Тип на артикл" attribute="1" defaultMemberUniqueName="[fArtikliCeni].[Тип на артикл].[All]" allUniqueName="[fArtikliCeni].[Тип на артикл].[All]" dimensionUniqueName="[fArtikliCeni]" displayFolder="" count="0" memberValueDatatype="130" unbalanced="0"/>
    <cacheHierarchy uniqueName="[fArtikliCeni].[Единечна мерка]" caption="Единечна мерка" attribute="1" defaultMemberUniqueName="[fArtikliCeni].[Единечна мерка].[All]" allUniqueName="[fArtikliCeni].[Единечна мерка].[All]" dimensionUniqueName="[fArtikliCeni]" displayFolder="" count="0" memberValueDatatype="130" unbalanced="0"/>
    <cacheHierarchy uniqueName="[fArtikliCeni].[Количина]" caption="Количина" attribute="1" defaultMemberUniqueName="[fArtikliCeni].[Количина].[All]" allUniqueName="[fArtikliCeni].[Количина].[All]" dimensionUniqueName="[fArtikliCeni]" displayFolder="" count="0" memberValueDatatype="5" unbalanced="0"/>
    <cacheHierarchy uniqueName="[fArtikliCeni].[Единечна цена]" caption="Единечна цена" attribute="1" defaultMemberUniqueName="[fArtikliCeni].[Единечна цена].[All]" allUniqueName="[fArtikliCeni].[Единечна цена].[All]" dimensionUniqueName="[fArtikliCeni]" displayFolder="" count="0" memberValueDatatype="20" unbalanced="0"/>
    <cacheHierarchy uniqueName="[fArtikliCeni].[Вкупно трошок]" caption="Вкупно трошок" attribute="1" defaultMemberUniqueName="[fArtikliCeni].[Вкупно трошок].[All]" allUniqueName="[fArtikliCeni].[Вкупно трошок].[All]" dimensionUniqueName="[fArtikliCeni]" displayFolder="" count="0" memberValueDatatype="5" unbalanced="0"/>
    <cacheHierarchy uniqueName="[fArtikliCeni].[ДДВ]" caption="ДДВ" attribute="1" defaultMemberUniqueName="[fArtikliCeni].[ДДВ].[All]" allUniqueName="[fArtikliCeni].[ДДВ].[All]" dimensionUniqueName="[fArtikliCeni]" displayFolder="" count="0" memberValueDatatype="5" unbalanced="0"/>
    <cacheHierarchy uniqueName="[fArtikliCeni].[Износ]" caption="Износ" attribute="1" defaultMemberUniqueName="[fArtikliCeni].[Износ].[All]" allUniqueName="[fArtikliCeni].[Износ].[All]" dimensionUniqueName="[fArtikliCeni]" displayFolder="" count="0" memberValueDatatype="5" unbalanced="0"/>
    <cacheHierarchy uniqueName="[fArtikliCeni].[Конто]" caption="Конто" attribute="1" defaultMemberUniqueName="[fArtikliCeni].[Конто].[All]" allUniqueName="[fArtikliCeni].[Конто].[All]" dimensionUniqueName="[fArtikliCeni]" displayFolder="" count="0" memberValueDatatype="130" unbalanced="0"/>
    <cacheHierarchy uniqueName="[fArtikliCeni].[ReportType]" caption="ReportType" attribute="1" defaultMemberUniqueName="[fArtikliCeni].[ReportType].[All]" allUniqueName="[fArtikliCeni].[ReportType].[All]" dimensionUniqueName="[fArtikliCeni]" displayFolder="" count="0" memberValueDatatype="130" unbalanced="0"/>
    <cacheHierarchy uniqueName="[fArtikliCeni].[Период]" caption="Период" attribute="1" time="1" defaultMemberUniqueName="[fArtikliCeni].[Период].[All]" allUniqueName="[fArtikliCeni].[Период].[All]" dimensionUniqueName="[fArtikliCeni]" displayFolder="" count="0" memberValueDatatype="7" unbalanced="0"/>
    <cacheHierarchy uniqueName="[fArtikliCeni].[StavkaImeMK]" caption="StavkaImeMK" attribute="1" defaultMemberUniqueName="[fArtikliCeni].[StavkaImeMK].[All]" allUniqueName="[fArtikliCeni].[StavkaImeMK].[All]" dimensionUniqueName="[fArtikliCeni]" displayFolder="" count="0" memberValueDatatype="130" unbalanced="0"/>
    <cacheHierarchy uniqueName="[fArtikliCeni].[StavkaAOP]" caption="StavkaAOP" attribute="1" defaultMemberUniqueName="[fArtikliCeni].[StavkaAOP].[All]" allUniqueName="[fArtikliCeni].[StavkaAOP].[All]" dimensionUniqueName="[fArtikliCeni]" displayFolder="" count="0" memberValueDatatype="130" unbalanced="0"/>
    <cacheHierarchy uniqueName="[fArtikliCeni].[StavkaGrupa]" caption="StavkaGrupa" attribute="1" defaultMemberUniqueName="[fArtikliCeni].[StavkaGrupa].[All]" allUniqueName="[fArtikliCeni].[StavkaGrupa].[All]" dimensionUniqueName="[fArtikliCeni]" displayFolder="" count="0" memberValueDatatype="130" unbalanced="0"/>
    <cacheHierarchy uniqueName="[fArtikliCeni].[StavkaKategorija]" caption="StavkaKategorija" attribute="1" defaultMemberUniqueName="[fArtikliCeni].[StavkaKategorija].[All]" allUniqueName="[fArtikliCeni].[StavkaKategorija].[All]" dimensionUniqueName="[fArtikliCeni]" displayFolder="" count="0" memberValueDatatype="130" unbalanced="0"/>
    <cacheHierarchy uniqueName="[fArtikliCeni].[ObrazecIme]" caption="ObrazecIme" attribute="1" defaultMemberUniqueName="[fArtikliCeni].[ObrazecIme].[All]" allUniqueName="[fArtikliCeni].[ObrazecIme].[All]" dimensionUniqueName="[fArtikliCeni]" displayFolder="" count="0" memberValueDatatype="130" unbalanced="0"/>
    <cacheHierarchy uniqueName="[fCoveckiResursi].[Ставка]" caption="Ставка" attribute="1" defaultMemberUniqueName="[fCoveckiResursi].[Ставка].[All]" allUniqueName="[fCoveckiResursi].[Ставка].[All]" dimensionUniqueName="[fCoveckiResursi]" displayFolder="" count="0" memberValueDatatype="130" unbalanced="0"/>
    <cacheHierarchy uniqueName="[fCoveckiResursi].[Тип на вработување]" caption="Тип на вработување" attribute="1" defaultMemberUniqueName="[fCoveckiResursi].[Тип на вработување].[All]" allUniqueName="[fCoveckiResursi].[Тип на вработување].[All]" dimensionUniqueName="[fCoveckiResursi]" displayFolder="" count="0" memberValueDatatype="130" unbalanced="0"/>
    <cacheHierarchy uniqueName="[fCoveckiResursi].[Планиран прилив/(одлив)]" caption="Планиран прилив/(одлив)" attribute="1" defaultMemberUniqueName="[fCoveckiResursi].[Планиран прилив/(одлив)].[All]" allUniqueName="[fCoveckiResursi].[Планиран прилив/(одлив)].[All]" dimensionUniqueName="[fCoveckiResursi]" displayFolder="" count="0" memberValueDatatype="20" unbalanced="0"/>
    <cacheHierarchy uniqueName="[fCoveckiResursi].[Период]" caption="Период" attribute="1" time="1" defaultMemberUniqueName="[fCoveckiResursi].[Период].[All]" allUniqueName="[fCoveckiResursi].[Период].[All]" dimensionUniqueName="[fCoveckiResursi]" displayFolder="" count="0" memberValueDatatype="7" unbalanced="0"/>
    <cacheHierarchy uniqueName="[fCoveckiResursi].[Крајна состојба вработени]" caption="Крајна состојба вработени" attribute="1" defaultMemberUniqueName="[fCoveckiResursi].[Крајна состојба вработени].[All]" allUniqueName="[fCoveckiResursi].[Крајна состојба вработени].[All]" dimensionUniqueName="[fCoveckiResursi]" displayFolder="" count="0" memberValueDatatype="20" unbalanced="0"/>
    <cacheHierarchy uniqueName="[fCoveckiResursi].[Износ]" caption="Износ" attribute="1" defaultMemberUniqueName="[fCoveckiResursi].[Износ].[All]" allUniqueName="[fCoveckiResursi].[Износ].[All]" dimensionUniqueName="[fCoveckiResursi]" displayFolder="" count="0" memberValueDatatype="20" unbalanced="0"/>
    <cacheHierarchy uniqueName="[fCoveckiResursi].[Конто]" caption="Конто" attribute="1" defaultMemberUniqueName="[fCoveckiResursi].[Конто].[All]" allUniqueName="[fCoveckiResursi].[Конто].[All]" dimensionUniqueName="[fCoveckiResursi]" displayFolder="" count="0" memberValueDatatype="130" unbalanced="0"/>
    <cacheHierarchy uniqueName="[fCoveckiResursi].[ReportType]" caption="ReportType" attribute="1" defaultMemberUniqueName="[fCoveckiResursi].[ReportType].[All]" allUniqueName="[fCoveckiResursi].[ReportType].[All]" dimensionUniqueName="[fCoveckiResursi]" displayFolder="" count="0" memberValueDatatype="130" unbalanced="0"/>
    <cacheHierarchy uniqueName="[fCoveckiResursi].[Период (Year)]" caption="Период (Year)" attribute="1" defaultMemberUniqueName="[fCoveckiResursi].[Период (Year)].[All]" allUniqueName="[fCoveckiResursi].[Период (Year)].[All]" dimensionUniqueName="[fCoveckiResursi]" displayFolder="" count="0" memberValueDatatype="130" unbalanced="0"/>
    <cacheHierarchy uniqueName="[fCoveckiResursi].[Период (Quarter)]" caption="Период (Quarter)" attribute="1" defaultMemberUniqueName="[fCoveckiResursi].[Период (Quarter)].[All]" allUniqueName="[fCoveckiResursi].[Период (Quarter)].[All]" dimensionUniqueName="[fCoveckiResursi]" displayFolder="" count="0" memberValueDatatype="130" unbalanced="0"/>
    <cacheHierarchy uniqueName="[fCoveckiResursi].[Период (Month)]" caption="Период (Month)" attribute="1" defaultMemberUniqueName="[fCoveckiResursi].[Период (Month)].[All]" allUniqueName="[fCoveckiResursi].[Период (Month)].[All]" dimensionUniqueName="[fCoveckiResursi]" displayFolder="" count="0" memberValueDatatype="130" unbalanced="0"/>
    <cacheHierarchy uniqueName="[fCoveckiResursi].[Период (Year) 1]" caption="Период (Year) 1" attribute="1" defaultMemberUniqueName="[fCoveckiResursi].[Период (Year) 1].[All]" allUniqueName="[fCoveckiResursi].[Период (Year) 1].[All]" dimensionUniqueName="[fCoveckiResursi]" displayFolder="" count="0" memberValueDatatype="130" unbalanced="0"/>
    <cacheHierarchy uniqueName="[fCoveckiResursi].[Период (Quarter) 1]" caption="Период (Quarter) 1" attribute="1" defaultMemberUniqueName="[fCoveckiResursi].[Период (Quarter) 1].[All]" allUniqueName="[fCoveckiResursi].[Период (Quarter) 1].[All]" dimensionUniqueName="[fCoveckiResursi]" displayFolder="" count="0" memberValueDatatype="130" unbalanced="0"/>
    <cacheHierarchy uniqueName="[fCoveckiResursi].[Период (Month) 1]" caption="Период (Month) 1" attribute="1" defaultMemberUniqueName="[fCoveckiResursi].[Период (Month) 1].[All]" allUniqueName="[fCoveckiResursi].[Период (Month) 1].[All]" dimensionUniqueName="[fCoveckiResursi]" displayFolder="" count="0" memberValueDatatype="130" unbalanced="0"/>
    <cacheHierarchy uniqueName="[fCoveckiResursi  2].[Ставка]" caption="Ставка" attribute="1" defaultMemberUniqueName="[fCoveckiResursi  2].[Ставка].[All]" allUniqueName="[fCoveckiResursi  2].[Ставка].[All]" dimensionUniqueName="[fCoveckiResursi  2]" displayFolder="" count="0" memberValueDatatype="130" unbalanced="0"/>
    <cacheHierarchy uniqueName="[fCoveckiResursi  2].[Период]" caption="Период" attribute="1" time="1" defaultMemberUniqueName="[fCoveckiResursi  2].[Период].[All]" allUniqueName="[fCoveckiResursi  2].[Период].[All]" dimensionUniqueName="[fCoveckiResursi  2]" displayFolder="" count="0" memberValueDatatype="7" unbalanced="0"/>
    <cacheHierarchy uniqueName="[fCoveckiResursi  2].[Износ]" caption="Износ" attribute="1" defaultMemberUniqueName="[fCoveckiResursi  2].[Износ].[All]" allUniqueName="[fCoveckiResursi  2].[Износ].[All]" dimensionUniqueName="[fCoveckiResursi  2]" displayFolder="" count="0" memberValueDatatype="20" unbalanced="0"/>
    <cacheHierarchy uniqueName="[fCoveckiResursi  2].[Конто]" caption="Конто" attribute="1" defaultMemberUniqueName="[fCoveckiResursi  2].[Конто].[All]" allUniqueName="[fCoveckiResursi  2].[Конто].[All]" dimensionUniqueName="[fCoveckiResursi  2]" displayFolder="" count="0" memberValueDatatype="130" unbalanced="0"/>
    <cacheHierarchy uniqueName="[fCoveckiResursi  2].[ReportType]" caption="ReportType" attribute="1" defaultMemberUniqueName="[fCoveckiResursi  2].[ReportType].[All]" allUniqueName="[fCoveckiResursi  2].[ReportType].[All]" dimensionUniqueName="[fCoveckiResursi  2]" displayFolder="" count="0" memberValueDatatype="130" unbalanced="0"/>
    <cacheHierarchy uniqueName="[fCoveckiResursi  2].[StavkaImeMK]" caption="StavkaImeMK" attribute="1" defaultMemberUniqueName="[fCoveckiResursi  2].[StavkaImeMK].[All]" allUniqueName="[fCoveckiResursi  2].[StavkaImeMK].[All]" dimensionUniqueName="[fCoveckiResursi  2]" displayFolder="" count="0" memberValueDatatype="130" unbalanced="0"/>
    <cacheHierarchy uniqueName="[fCoveckiResursi  2].[StavkaKategorija]" caption="StavkaKategorija" attribute="1" defaultMemberUniqueName="[fCoveckiResursi  2].[StavkaKategorija].[All]" allUniqueName="[fCoveckiResursi  2].[StavkaKategorija].[All]" dimensionUniqueName="[fCoveckiResursi  2]" displayFolder="" count="0" memberValueDatatype="130" unbalanced="0"/>
    <cacheHierarchy uniqueName="[fCoveckiResursi  2].[ObrazecIme]" caption="ObrazecIme" attribute="1" defaultMemberUniqueName="[fCoveckiResursi  2].[ObrazecIme].[All]" allUniqueName="[fCoveckiResursi  2].[ObrazecIme].[All]" dimensionUniqueName="[fCoveckiResursi  2]" displayFolder="" count="0" memberValueDatatype="130" unbalanced="0"/>
    <cacheHierarchy uniqueName="[fOPEX].[Конто]" caption="Конто" attribute="1" defaultMemberUniqueName="[fOPEX].[Конто].[All]" allUniqueName="[fOPEX].[Конто].[All]" dimensionUniqueName="[fOPEX]" displayFolder="" count="0" memberValueDatatype="130" unbalanced="0"/>
    <cacheHierarchy uniqueName="[fOPEX].[Ставка]" caption="Ставка" attribute="1" defaultMemberUniqueName="[fOPEX].[Ставка].[All]" allUniqueName="[fOPEX].[Ставка].[All]" dimensionUniqueName="[fOPEX]" displayFolder="" count="0" memberValueDatatype="130" unbalanced="0"/>
    <cacheHierarchy uniqueName="[fOPEX].[Период]" caption="Период" attribute="1" time="1" defaultMemberUniqueName="[fOPEX].[Период].[All]" allUniqueName="[fOPEX].[Период].[All]" dimensionUniqueName="[fOPEX]" displayFolder="" count="0" memberValueDatatype="7" unbalanced="0"/>
    <cacheHierarchy uniqueName="[fOPEX].[Износ]" caption="Износ" attribute="1" defaultMemberUniqueName="[fOPEX].[Износ].[All]" allUniqueName="[fOPEX].[Износ].[All]" dimensionUniqueName="[fOPEX]" displayFolder="" count="0" memberValueDatatype="20" unbalanced="0"/>
    <cacheHierarchy uniqueName="[fOPEX].[ReportType]" caption="ReportType" attribute="1" defaultMemberUniqueName="[fOPEX].[ReportType].[All]" allUniqueName="[fOPEX].[ReportType].[All]" dimensionUniqueName="[fOPEX]" displayFolder="" count="0" memberValueDatatype="130" unbalanced="0"/>
    <cacheHierarchy uniqueName="[OPEXAnaliza].[Артикл ИД]" caption="Артикл ИД" attribute="1" defaultMemberUniqueName="[OPEXAnaliza].[Артикл ИД].[All]" allUniqueName="[OPEXAnaliza].[Артикл ИД].[All]" dimensionUniqueName="[OPEXAnaliza]" displayFolder="" count="0" memberValueDatatype="20" unbalanced="0"/>
    <cacheHierarchy uniqueName="[OPEXAnaliza].[Ставка]" caption="Ставка" attribute="1" defaultMemberUniqueName="[OPEXAnaliza].[Ставка].[All]" allUniqueName="[OPEXAnaliza].[Ставка].[All]" dimensionUniqueName="[OPEXAnaliza]" displayFolder="" count="0" memberValueDatatype="130" unbalanced="0"/>
    <cacheHierarchy uniqueName="[OPEXAnaliza].[Категорија Артикл ИД]" caption="Категорија Артикл ИД" attribute="1" defaultMemberUniqueName="[OPEXAnaliza].[Категорија Артикл ИД].[All]" allUniqueName="[OPEXAnaliza].[Категорија Артикл ИД].[All]" dimensionUniqueName="[OPEXAnaliza]" displayFolder="" count="0" memberValueDatatype="20" unbalanced="0"/>
    <cacheHierarchy uniqueName="[OPEXAnaliza].[Категорија Артикл]" caption="Категорија Артикл" attribute="1" defaultMemberUniqueName="[OPEXAnaliza].[Категорија Артикл].[All]" allUniqueName="[OPEXAnaliza].[Категорија Артикл].[All]" dimensionUniqueName="[OPEXAnaliza]" displayFolder="" count="0" memberValueDatatype="130" unbalanced="0"/>
    <cacheHierarchy uniqueName="[OPEXAnaliza].[Тип на артикл]" caption="Тип на артикл" attribute="1" defaultMemberUniqueName="[OPEXAnaliza].[Тип на артикл].[All]" allUniqueName="[OPEXAnaliza].[Тип на артикл].[All]" dimensionUniqueName="[OPEXAnaliza]" displayFolder="" count="0" memberValueDatatype="130" unbalanced="0"/>
    <cacheHierarchy uniqueName="[OPEXAnaliza].[Единечна мерка]" caption="Единечна мерка" attribute="1" defaultMemberUniqueName="[OPEXAnaliza].[Единечна мерка].[All]" allUniqueName="[OPEXAnaliza].[Единечна мерка].[All]" dimensionUniqueName="[OPEXAnaliza]" displayFolder="" count="0" memberValueDatatype="130" unbalanced="0"/>
    <cacheHierarchy uniqueName="[OPEXAnaliza].[Количина]" caption="Количина" attribute="1" defaultMemberUniqueName="[OPEXAnaliza].[Количина].[All]" allUniqueName="[OPEXAnaliza].[Количина].[All]" dimensionUniqueName="[OPEXAnaliza]" displayFolder="" count="0" memberValueDatatype="5" unbalanced="0"/>
    <cacheHierarchy uniqueName="[OPEXAnaliza].[Единечна цена]" caption="Единечна цена" attribute="1" defaultMemberUniqueName="[OPEXAnaliza].[Единечна цена].[All]" allUniqueName="[OPEXAnaliza].[Единечна цена].[All]" dimensionUniqueName="[OPEXAnaliza]" displayFolder="" count="0" memberValueDatatype="20" unbalanced="0"/>
    <cacheHierarchy uniqueName="[OPEXAnaliza].[Износ]" caption="Износ" attribute="1" defaultMemberUniqueName="[OPEXAnaliza].[Износ].[All]" allUniqueName="[OPEXAnaliza].[Износ].[All]" dimensionUniqueName="[OPEXAnaliza]" displayFolder="" count="0" memberValueDatatype="5" unbalanced="0"/>
    <cacheHierarchy uniqueName="[OPEXAnaliza].[ДДВ]" caption="ДДВ" attribute="1" defaultMemberUniqueName="[OPEXAnaliza].[ДДВ].[All]" allUniqueName="[OPEXAnaliza].[ДДВ].[All]" dimensionUniqueName="[OPEXAnaliza]" displayFolder="" count="0" memberValueDatatype="5" unbalanced="0"/>
    <cacheHierarchy uniqueName="[OPEXAnaliza].[Вкупно трошок со ДДВ]" caption="Вкупно трошок со ДДВ" attribute="1" defaultMemberUniqueName="[OPEXAnaliza].[Вкупно трошок со ДДВ].[All]" allUniqueName="[OPEXAnaliza].[Вкупно трошок со ДДВ].[All]" dimensionUniqueName="[OPEXAnaliza]" displayFolder="" count="0" memberValueDatatype="5" unbalanced="0"/>
    <cacheHierarchy uniqueName="[OPEXAnaliza].[Конто]" caption="Конто" attribute="1" defaultMemberUniqueName="[OPEXAnaliza].[Конто].[All]" allUniqueName="[OPEXAnaliza].[Конто].[All]" dimensionUniqueName="[OPEXAnaliza]" displayFolder="" count="0" memberValueDatatype="130" unbalanced="0"/>
    <cacheHierarchy uniqueName="[OPEXAnaliza].[Период]" caption="Период" attribute="1" time="1" defaultMemberUniqueName="[OPEXAnaliza].[Период].[All]" allUniqueName="[OPEXAnaliza].[Период].[All]" dimensionUniqueName="[OPEXAnaliza]" displayFolder="" count="0" memberValueDatatype="7" unbalanced="0"/>
    <cacheHierarchy uniqueName="[OPEXAnaliza].[ReportType]" caption="ReportType" attribute="1" defaultMemberUniqueName="[OPEXAnaliza].[ReportType].[All]" allUniqueName="[OPEXAnaliza].[ReportType].[All]" dimensionUniqueName="[OPEXAnaliza]" displayFolder="" count="0" memberValueDatatype="130" unbalanced="0"/>
    <cacheHierarchy uniqueName="[OPEXAnaliza].[StavkaImeMK]" caption="StavkaImeMK" attribute="1" defaultMemberUniqueName="[OPEXAnaliza].[StavkaImeMK].[All]" allUniqueName="[OPEXAnaliza].[StavkaImeMK].[All]" dimensionUniqueName="[OPEXAnaliza]" displayFolder="" count="0" memberValueDatatype="130" unbalanced="0"/>
    <cacheHierarchy uniqueName="[OPEXAnaliza].[StavkaKategorija]" caption="StavkaKategorija" attribute="1" defaultMemberUniqueName="[OPEXAnaliza].[StavkaKategorija].[All]" allUniqueName="[OPEXAnaliza].[StavkaKategorija].[All]" dimensionUniqueName="[OPEXAnaliza]" displayFolder="" count="0" memberValueDatatype="130" unbalanced="0"/>
    <cacheHierarchy uniqueName="[OPEXAnaliza].[ObrazecIme]" caption="ObrazecIme" attribute="1" defaultMemberUniqueName="[OPEXAnaliza].[ObrazecIme].[All]" allUniqueName="[OPEXAnaliza].[ObrazecIme].[All]" dimensionUniqueName="[OPEXAnaliza]" displayFolder="" count="0" memberValueDatatype="130" unbalanced="0"/>
    <cacheHierarchy uniqueName="[OPEXAnaliza].[StavkaImeAOP]" caption="StavkaImeAOP" attribute="1" defaultMemberUniqueName="[OPEXAnaliza].[StavkaImeAOP].[All]" allUniqueName="[OPEXAnaliza].[StavkaImeAOP].[All]" dimensionUniqueName="[OPEXAnaliza]" displayFolder="" count="0" memberValueDatatype="20" unbalanced="0"/>
    <cacheHierarchy uniqueName="[OPEXAnaliza].[Период (Year)]" caption="Период (Year)" attribute="1" defaultMemberUniqueName="[OPEXAnaliza].[Период (Year)].[All]" allUniqueName="[OPEXAnaliza].[Период (Year)].[All]" dimensionUniqueName="[OPEXAnaliza]" displayFolder="" count="0" memberValueDatatype="130" unbalanced="0"/>
    <cacheHierarchy uniqueName="[OPEXAnaliza].[Период (Quarter)]" caption="Период (Quarter)" attribute="1" defaultMemberUniqueName="[OPEXAnaliza].[Период (Quarter)].[All]" allUniqueName="[OPEXAnaliza].[Период (Quarter)].[All]" dimensionUniqueName="[OPEXAnaliza]" displayFolder="" count="0" memberValueDatatype="130" unbalanced="0"/>
    <cacheHierarchy uniqueName="[OPEXAnaliza].[Период (Month)]" caption="Период (Month)" attribute="1" defaultMemberUniqueName="[OPEXAnaliza].[Период (Month)].[All]" allUniqueName="[OPEXAnaliza].[Период (Month)].[All]" dimensionUniqueName="[OPEXAnaliza]" displayFolder="" count="0" memberValueDatatype="130" unbalanced="0"/>
    <cacheHierarchy uniqueName="[rArtikli_HR_Analiza].[Ставка]" caption="Ставка" attribute="1" defaultMemberUniqueName="[rArtikli_HR_Analiza].[Ставка].[All]" allUniqueName="[rArtikli_HR_Analiza].[Ставка].[All]" dimensionUniqueName="[rArtikli_HR_Analiza]" displayFolder="" count="0" memberValueDatatype="130" unbalanced="0"/>
    <cacheHierarchy uniqueName="[rArtikli_HR_Analiza].[Категорија Артикл]" caption="Категорија Артикл" attribute="1" defaultMemberUniqueName="[rArtikli_HR_Analiza].[Категорија Артикл].[All]" allUniqueName="[rArtikli_HR_Analiza].[Категорија Артикл].[All]" dimensionUniqueName="[rArtikli_HR_Analiza]" displayFolder="" count="0" memberValueDatatype="130" unbalanced="0"/>
    <cacheHierarchy uniqueName="[rArtikli_HR_Analiza].[Тип на артикл]" caption="Тип на артикл" attribute="1" defaultMemberUniqueName="[rArtikli_HR_Analiza].[Тип на артикл].[All]" allUniqueName="[rArtikli_HR_Analiza].[Тип на артикл].[All]" dimensionUniqueName="[rArtikli_HR_Analiza]" displayFolder="" count="0" memberValueDatatype="130" unbalanced="0"/>
    <cacheHierarchy uniqueName="[rArtikli_HR_Analiza].[Единечна мерка]" caption="Единечна мерка" attribute="1" defaultMemberUniqueName="[rArtikli_HR_Analiza].[Единечна мерка].[All]" allUniqueName="[rArtikli_HR_Analiza].[Единечна мерка].[All]" dimensionUniqueName="[rArtikli_HR_Analiza]" displayFolder="" count="0" memberValueDatatype="130" unbalanced="0"/>
    <cacheHierarchy uniqueName="[rArtikli_HR_Analiza].[Количина]" caption="Количина" attribute="1" defaultMemberUniqueName="[rArtikli_HR_Analiza].[Количина].[All]" allUniqueName="[rArtikli_HR_Analiza].[Количина].[All]" dimensionUniqueName="[rArtikli_HR_Analiza]" displayFolder="" count="0" memberValueDatatype="5" unbalanced="0"/>
    <cacheHierarchy uniqueName="[rArtikli_HR_Analiza].[Единечна цена]" caption="Единечна цена" attribute="1" defaultMemberUniqueName="[rArtikli_HR_Analiza].[Единечна цена].[All]" allUniqueName="[rArtikli_HR_Analiza].[Единечна цена].[All]" dimensionUniqueName="[rArtikli_HR_Analiza]" displayFolder="" count="0" memberValueDatatype="20" unbalanced="0"/>
    <cacheHierarchy uniqueName="[rArtikli_HR_Analiza].[Вкупно трошок]" caption="Вкупно трошок" attribute="1" defaultMemberUniqueName="[rArtikli_HR_Analiza].[Вкупно трошок].[All]" allUniqueName="[rArtikli_HR_Analiza].[Вкупно трошок].[All]" dimensionUniqueName="[rArtikli_HR_Analiza]" displayFolder="" count="0" memberValueDatatype="5" unbalanced="0"/>
    <cacheHierarchy uniqueName="[rArtikli_HR_Analiza].[ДДВ]" caption="ДДВ" attribute="1" defaultMemberUniqueName="[rArtikli_HR_Analiza].[ДДВ].[All]" allUniqueName="[rArtikli_HR_Analiza].[ДДВ].[All]" dimensionUniqueName="[rArtikli_HR_Analiza]" displayFolder="" count="0" memberValueDatatype="5" unbalanced="0"/>
    <cacheHierarchy uniqueName="[rArtikli_HR_Analiza].[Износ]" caption="Износ" attribute="1" defaultMemberUniqueName="[rArtikli_HR_Analiza].[Износ].[All]" allUniqueName="[rArtikli_HR_Analiza].[Износ].[All]" dimensionUniqueName="[rArtikli_HR_Analiza]" displayFolder="" count="0" memberValueDatatype="5" unbalanced="0"/>
    <cacheHierarchy uniqueName="[rArtikli_HR_Analiza].[Конто]" caption="Конто" attribute="1" defaultMemberUniqueName="[rArtikli_HR_Analiza].[Конто].[All]" allUniqueName="[rArtikli_HR_Analiza].[Конто].[All]" dimensionUniqueName="[rArtikli_HR_Analiza]" displayFolder="" count="0" memberValueDatatype="130" unbalanced="0"/>
    <cacheHierarchy uniqueName="[rArtikli_HR_Analiza].[ReportType]" caption="ReportType" attribute="1" defaultMemberUniqueName="[rArtikli_HR_Analiza].[ReportType].[All]" allUniqueName="[rArtikli_HR_Analiza].[ReportType].[All]" dimensionUniqueName="[rArtikli_HR_Analiza]" displayFolder="" count="0" memberValueDatatype="130" unbalanced="0"/>
    <cacheHierarchy uniqueName="[rArtikli_HR_Analiza].[Период]" caption="Период" attribute="1" time="1" defaultMemberUniqueName="[rArtikli_HR_Analiza].[Период].[All]" allUniqueName="[rArtikli_HR_Analiza].[Период].[All]" dimensionUniqueName="[rArtikli_HR_Analiza]" displayFolder="" count="0" memberValueDatatype="7" unbalanced="0"/>
    <cacheHierarchy uniqueName="[rArtikli_HR_Analiza].[StavkaImeMK]" caption="StavkaImeMK" attribute="1" defaultMemberUniqueName="[rArtikli_HR_Analiza].[StavkaImeMK].[All]" allUniqueName="[rArtikli_HR_Analiza].[StavkaImeMK].[All]" dimensionUniqueName="[rArtikli_HR_Analiza]" displayFolder="" count="0" memberValueDatatype="130" unbalanced="0"/>
    <cacheHierarchy uniqueName="[rArtikli_HR_Analiza].[StavkaAOP]" caption="StavkaAOP" attribute="1" defaultMemberUniqueName="[rArtikli_HR_Analiza].[StavkaAOP].[All]" allUniqueName="[rArtikli_HR_Analiza].[StavkaAOP].[All]" dimensionUniqueName="[rArtikli_HR_Analiza]" displayFolder="" count="0" memberValueDatatype="130" unbalanced="0"/>
    <cacheHierarchy uniqueName="[rArtikli_HR_Analiza].[StavkaGrupa]" caption="StavkaGrupa" attribute="1" defaultMemberUniqueName="[rArtikli_HR_Analiza].[StavkaGrupa].[All]" allUniqueName="[rArtikli_HR_Analiza].[StavkaGrupa].[All]" dimensionUniqueName="[rArtikli_HR_Analiza]" displayFolder="" count="0" memberValueDatatype="130" unbalanced="0"/>
    <cacheHierarchy uniqueName="[rArtikli_HR_Analiza].[StavkaKategorija]" caption="StavkaKategorija" attribute="1" defaultMemberUniqueName="[rArtikli_HR_Analiza].[StavkaKategorija].[All]" allUniqueName="[rArtikli_HR_Analiza].[StavkaKategorija].[All]" dimensionUniqueName="[rArtikli_HR_Analiza]" displayFolder="" count="0" memberValueDatatype="130" unbalanced="0"/>
    <cacheHierarchy uniqueName="[rArtikli_HR_Analiza].[ObrazecIme]" caption="ObrazecIme" attribute="1" defaultMemberUniqueName="[rArtikli_HR_Analiza].[ObrazecIme].[All]" allUniqueName="[rArtikli_HR_Analiza].[ObrazecIme].[All]" dimensionUniqueName="[rArtikli_HR_Analiza]" displayFolder="" count="0" memberValueDatatype="130" unbalanced="0"/>
    <cacheHierarchy uniqueName="[rArtikli_HR_Analiza].[StavkaKategorija.1]" caption="StavkaKategorija.1" attribute="1" defaultMemberUniqueName="[rArtikli_HR_Analiza].[StavkaKategorija.1].[All]" allUniqueName="[rArtikli_HR_Analiza].[StavkaKategorija.1].[All]" dimensionUniqueName="[rArtikli_HR_Analiza]" displayFolder="" count="0" memberValueDatatype="130" unbalanced="0"/>
    <cacheHierarchy uniqueName="[rArtikliAnaliza].[Артикл ИД]" caption="Артикл ИД" attribute="1" defaultMemberUniqueName="[rArtikliAnaliza].[Артикл ИД].[All]" allUniqueName="[rArtikliAnaliza].[Артикл ИД].[All]" dimensionUniqueName="[rArtikliAnaliza]" displayFolder="" count="0" memberValueDatatype="20" unbalanced="0"/>
    <cacheHierarchy uniqueName="[rArtikliAnaliza].[Ставка]" caption="Ставка" attribute="1" defaultMemberUniqueName="[rArtikliAnaliza].[Ставка].[All]" allUniqueName="[rArtikliAnaliza].[Ставка].[All]" dimensionUniqueName="[rArtikliAnaliza]" displayFolder="" count="0" memberValueDatatype="130" unbalanced="0"/>
    <cacheHierarchy uniqueName="[rArtikliAnaliza].[Категорија Артикл ИД]" caption="Категорија Артикл ИД" attribute="1" defaultMemberUniqueName="[rArtikliAnaliza].[Категорија Артикл ИД].[All]" allUniqueName="[rArtikliAnaliza].[Категорија Артикл ИД].[All]" dimensionUniqueName="[rArtikliAnaliza]" displayFolder="" count="0" memberValueDatatype="20" unbalanced="0"/>
    <cacheHierarchy uniqueName="[rArtikliAnaliza].[Категорија Артикл]" caption="Категорија Артикл" attribute="1" defaultMemberUniqueName="[rArtikliAnaliza].[Категорија Артикл].[All]" allUniqueName="[rArtikliAnaliza].[Категорија Артикл].[All]" dimensionUniqueName="[rArtikliAnaliza]" displayFolder="" count="0" memberValueDatatype="130" unbalanced="0"/>
    <cacheHierarchy uniqueName="[rArtikliAnaliza].[Тип на артикл]" caption="Тип на артикл" attribute="1" defaultMemberUniqueName="[rArtikliAnaliza].[Тип на артикл].[All]" allUniqueName="[rArtikliAnaliza].[Тип на артикл].[All]" dimensionUniqueName="[rArtikliAnaliza]" displayFolder="" count="0" memberValueDatatype="130" unbalanced="0"/>
    <cacheHierarchy uniqueName="[rArtikliAnaliza].[Единечна мерка]" caption="Единечна мерка" attribute="1" defaultMemberUniqueName="[rArtikliAnaliza].[Единечна мерка].[All]" allUniqueName="[rArtikliAnaliza].[Единечна мерка].[All]" dimensionUniqueName="[rArtikliAnaliza]" displayFolder="" count="0" memberValueDatatype="130" unbalanced="0"/>
    <cacheHierarchy uniqueName="[rArtikliAnaliza].[Количина]" caption="Количина" attribute="1" defaultMemberUniqueName="[rArtikliAnaliza].[Количина].[All]" allUniqueName="[rArtikliAnaliza].[Количина].[All]" dimensionUniqueName="[rArtikliAnaliza]" displayFolder="" count="0" memberValueDatatype="5" unbalanced="0"/>
    <cacheHierarchy uniqueName="[rArtikliAnaliza].[Единечна цена]" caption="Единечна цена" attribute="1" defaultMemberUniqueName="[rArtikliAnaliza].[Единечна цена].[All]" allUniqueName="[rArtikliAnaliza].[Единечна цена].[All]" dimensionUniqueName="[rArtikliAnaliza]" displayFolder="" count="0" memberValueDatatype="20" unbalanced="0"/>
    <cacheHierarchy uniqueName="[rArtikliAnaliza].[Износ]" caption="Износ" attribute="1" defaultMemberUniqueName="[rArtikliAnaliza].[Износ].[All]" allUniqueName="[rArtikliAnaliza].[Износ].[All]" dimensionUniqueName="[rArtikliAnaliza]" displayFolder="" count="0" memberValueDatatype="5" unbalanced="0"/>
    <cacheHierarchy uniqueName="[rArtikliAnaliza].[ДДВ]" caption="ДДВ" attribute="1" defaultMemberUniqueName="[rArtikliAnaliza].[ДДВ].[All]" allUniqueName="[rArtikliAnaliza].[ДДВ].[All]" dimensionUniqueName="[rArtikliAnaliza]" displayFolder="" count="0" memberValueDatatype="5" unbalanced="0"/>
    <cacheHierarchy uniqueName="[rArtikliAnaliza].[Вкупно трошок со ДДВ]" caption="Вкупно трошок со ДДВ" attribute="1" defaultMemberUniqueName="[rArtikliAnaliza].[Вкупно трошок со ДДВ].[All]" allUniqueName="[rArtikliAnaliza].[Вкупно трошок со ДДВ].[All]" dimensionUniqueName="[rArtikliAnaliza]" displayFolder="" count="0" memberValueDatatype="5" unbalanced="0"/>
    <cacheHierarchy uniqueName="[rArtikliAnaliza].[Конто]" caption="Конто" attribute="1" defaultMemberUniqueName="[rArtikliAnaliza].[Конто].[All]" allUniqueName="[rArtikliAnaliza].[Конто].[All]" dimensionUniqueName="[rArtikliAnaliza]" displayFolder="" count="0" memberValueDatatype="130" unbalanced="0"/>
    <cacheHierarchy uniqueName="[rArtikliAnaliza].[Период]" caption="Период" attribute="1" time="1" defaultMemberUniqueName="[rArtikliAnaliza].[Период].[All]" allUniqueName="[rArtikliAnaliza].[Период].[All]" dimensionUniqueName="[rArtikliAnaliza]" displayFolder="" count="0" memberValueDatatype="7" unbalanced="0"/>
    <cacheHierarchy uniqueName="[rArtikliAnaliza].[ReportType]" caption="ReportType" attribute="1" defaultMemberUniqueName="[rArtikliAnaliza].[ReportType].[All]" allUniqueName="[rArtikliAnaliza].[ReportType].[All]" dimensionUniqueName="[rArtikliAnaliza]" displayFolder="" count="0" memberValueDatatype="130" unbalanced="0"/>
    <cacheHierarchy uniqueName="[rArtikliAnaliza].[StavkaImeMK]" caption="StavkaImeMK" attribute="1" defaultMemberUniqueName="[rArtikliAnaliza].[StavkaImeMK].[All]" allUniqueName="[rArtikliAnaliza].[StavkaImeMK].[All]" dimensionUniqueName="[rArtikliAnaliza]" displayFolder="" count="0" memberValueDatatype="130" unbalanced="0"/>
    <cacheHierarchy uniqueName="[rArtikliAnaliza].[StavkaKategorija]" caption="StavkaKategorija" attribute="1" defaultMemberUniqueName="[rArtikliAnaliza].[StavkaKategorija].[All]" allUniqueName="[rArtikliAnaliza].[StavkaKategorija].[All]" dimensionUniqueName="[rArtikliAnaliza]" displayFolder="" count="0" memberValueDatatype="130" unbalanced="0"/>
    <cacheHierarchy uniqueName="[rArtikliAnaliza].[Период (Year)]" caption="Период (Year)" attribute="1" defaultMemberUniqueName="[rArtikliAnaliza].[Период (Year)].[All]" allUniqueName="[rArtikliAnaliza].[Период (Year)].[All]" dimensionUniqueName="[rArtikliAnaliza]" displayFolder="" count="0" memberValueDatatype="130" unbalanced="0"/>
    <cacheHierarchy uniqueName="[rArtikliAnaliza].[Период (Quarter)]" caption="Период (Quarter)" attribute="1" defaultMemberUniqueName="[rArtikliAnaliza].[Период (Quarter)].[All]" allUniqueName="[rArtikliAnaliza].[Период (Quarter)].[All]" dimensionUniqueName="[rArtikliAnaliza]" displayFolder="" count="0" memberValueDatatype="130" unbalanced="0"/>
    <cacheHierarchy uniqueName="[rArtikliAnaliza].[Период (Month)]" caption="Период (Month)" attribute="1" defaultMemberUniqueName="[rArtikliAnaliza].[Период (Month)].[All]" allUniqueName="[rArtikliAnaliza].[Период (Month)].[All]" dimensionUniqueName="[rArtikliAnaliza]" displayFolder="" count="0" memberValueDatatype="130" unbalanced="0"/>
    <cacheHierarchy uniqueName="[CAPEX].[Очекуван датум за ставање во употреба (месец) (Month Index)]" caption="Очекуван датум за ставање во употреба (месец) (Month Index)" attribute="1" defaultMemberUniqueName="[CAPEX].[Очекуван датум за ставање во употреба (месец) (Month Index)].[All]" allUniqueName="[CAPEX].[Очекуван датум за ставање во употреба (месец) (Month Index)].[All]" dimensionUniqueName="[CAPEX]" displayFolder="" count="0" memberValueDatatype="20" unbalanced="0" hidden="1"/>
    <cacheHierarchy uniqueName="[CAPEX].[Очекуван датум на плаќање (Month Index)]" caption="Очекуван датум на плаќање (Month Index)" attribute="1" defaultMemberUniqueName="[CAPEX].[Очекуван датум на плаќање (Month Index)].[All]" allUniqueName="[CAPEX].[Очекуван датум на плаќање (Month Index)].[All]" dimensionUniqueName="[CAPEX]" displayFolder="" count="0" memberValueDatatype="20" unbalanced="0" hidden="1"/>
    <cacheHierarchy uniqueName="[fActualAndBudget].[StavkaID]" caption="StavkaID" attribute="1" defaultMemberUniqueName="[fActualAndBudget].[StavkaID].[All]" allUniqueName="[fActualAndBudget].[StavkaID].[All]" dimensionUniqueName="[fActualAndBudget]" displayFolder="" count="0" memberValueDatatype="20" unbalanced="0" hidden="1"/>
    <cacheHierarchy uniqueName="[fCoveckiResursi].[Период (Month Index)]" caption="Период (Month Index)" attribute="1" defaultMemberUniqueName="[fCoveckiResursi].[Период (Month Index)].[All]" allUniqueName="[fCoveckiResursi].[Период (Month Index)].[All]" dimensionUniqueName="[fCoveckiResursi]" displayFolder="" count="0" memberValueDatatype="20" unbalanced="0" hidden="1"/>
    <cacheHierarchy uniqueName="[fCoveckiResursi].[Период (Month Index) 1]" caption="Период (Month Index) 1" attribute="1" defaultMemberUniqueName="[fCoveckiResursi].[Период (Month Index) 1].[All]" allUniqueName="[fCoveckiResursi].[Период (Month Index) 1].[All]" dimensionUniqueName="[fCoveckiResursi]" displayFolder="" count="0" memberValueDatatype="20" unbalanced="0" hidden="1"/>
    <cacheHierarchy uniqueName="[OPEXAnaliza].[Период (Month Index)]" caption="Период (Month Index)" attribute="1" defaultMemberUniqueName="[OPEXAnaliza].[Период (Month Index)].[All]" allUniqueName="[OPEXAnaliza].[Период (Month Index)].[All]" dimensionUniqueName="[OPEXAnaliza]" displayFolder="" count="0" memberValueDatatype="20" unbalanced="0" hidden="1"/>
    <cacheHierarchy uniqueName="[rArtikli_HR_Analiza].[Крајна состојба вработени]" caption="Крајна состојба вработени" attribute="1" defaultMemberUniqueName="[rArtikli_HR_Analiza].[Крајна состојба вработени].[All]" allUniqueName="[rArtikli_HR_Analiza].[Крајна состојба вработени].[All]" dimensionUniqueName="[rArtikli_HR_Analiza]" displayFolder="" count="0" memberValueDatatype="20" unbalanced="0" hidden="1"/>
    <cacheHierarchy uniqueName="[rArtikli_HR_Analiza].[Планиран прилив/(одлив)]" caption="Планиран прилив/(одлив)" attribute="1" defaultMemberUniqueName="[rArtikli_HR_Analiza].[Планиран прилив/(одлив)].[All]" allUniqueName="[rArtikli_HR_Analiza].[Планиран прилив/(одлив)].[All]" dimensionUniqueName="[rArtikli_HR_Analiza]" displayFolder="" count="0" memberValueDatatype="20" unbalanced="0" hidden="1"/>
    <cacheHierarchy uniqueName="[rArtikli_HR_Analiza].[Тип на вработување]" caption="Тип на вработување" attribute="1" defaultMemberUniqueName="[rArtikli_HR_Analiza].[Тип на вработување].[All]" allUniqueName="[rArtikli_HR_Analiza].[Тип на вработување].[All]" dimensionUniqueName="[rArtikli_HR_Analiza]" displayFolder="" count="0" memberValueDatatype="130" unbalanced="0" hidden="1"/>
    <cacheHierarchy uniqueName="[rArtikliAnaliza].[Период (Month Index)]" caption="Период (Month Index)" attribute="1" defaultMemberUniqueName="[rArtikliAnaliza].[Период (Month Index)].[All]" allUniqueName="[rArtikliAnaliza].[Период (Month Index)].[All]" dimensionUniqueName="[rArtikliAnaliza]" displayFolder="" count="0" memberValueDatatype="20" unbalanced="0" hidden="1"/>
    <cacheHierarchy uniqueName="[Measures].[__XL_Count Calendar]" caption="__XL_Count Calendar" measure="1" displayFolder="" measureGroup="Calendar" count="0" hidden="1"/>
    <cacheHierarchy uniqueName="[Measures].[__XL_Count CAPEX]" caption="__XL_Count CAPEX" measure="1" displayFolder="" measureGroup="CAPEX" count="0" hidden="1"/>
    <cacheHierarchy uniqueName="[Measures].[__XL_Count Amortizacija]" caption="__XL_Count Amortizacija" measure="1" displayFolder="" measureGroup="Amortizacija" count="0" hidden="1"/>
    <cacheHierarchy uniqueName="[Measures].[__XL_Count fCoveckiResursi]" caption="__XL_Count fCoveckiResursi" measure="1" displayFolder="" measureGroup="fCoveckiResursi" count="0" hidden="1"/>
    <cacheHierarchy uniqueName="[Measures].[__XL_Count fActualAndBudget]" caption="__XL_Count fActualAndBudget" measure="1" displayFolder="" measureGroup="fActualAndBudget" count="0" hidden="1"/>
    <cacheHierarchy uniqueName="[Measures].[__XL_Count fOPEX]" caption="__XL_Count fOPEX" measure="1" displayFolder="" measureGroup="fOPEX" count="0" hidden="1"/>
    <cacheHierarchy uniqueName="[Measures].[__XL_Count OPEXAnaliza]" caption="__XL_Count OPEXAnaliza" measure="1" displayFolder="" measureGroup="OPEXAnaliza" count="0" hidden="1"/>
    <cacheHierarchy uniqueName="[Measures].[__XL_Count rArtikliAnaliza]" caption="__XL_Count rArtikliAnaliza" measure="1" displayFolder="" measureGroup="rArtikliAnaliza" count="0" hidden="1"/>
    <cacheHierarchy uniqueName="[Measures].[__XL_Count fArtikliCeni]" caption="__XL_Count fArtikliCeni" measure="1" displayFolder="" measureGroup="fArtikliCeni" count="0" hidden="1"/>
    <cacheHierarchy uniqueName="[Measures].[__XL_Count rArtikli_HR_Analiza]" caption="__XL_Count rArtikli_HR_Analiza" measure="1" displayFolder="" measureGroup="rArtikli_HR_Analiza" count="0" hidden="1"/>
    <cacheHierarchy uniqueName="[Measures].[__XL_Count fCoveckiResursi  2]" caption="__XL_Count fCoveckiResursi  2" measure="1" displayFolder="" measureGroup="fCoveckiResursi  2" count="0" hidden="1"/>
    <cacheHierarchy uniqueName="[Measures].[__No measures defined]" caption="__No measures defined" measure="1" displayFolder="" count="0" hidden="1"/>
    <cacheHierarchy uniqueName="[Measures].[Sum of Износ 3]" caption="Sum of Износ 3" measure="1" displayFolder="" measureGroup="fCoveckiResursi" count="0" hidden="1">
      <extLst>
        <ext xmlns:x15="http://schemas.microsoft.com/office/spreadsheetml/2010/11/main" uri="{B97F6D7D-B522-45F9-BDA1-12C45D357490}">
          <x15:cacheHierarchy aggregatedColumn="71"/>
        </ext>
      </extLst>
    </cacheHierarchy>
    <cacheHierarchy uniqueName="[Measures].[Sum of Крајна состојба вработени]" caption="Sum of Крајна состојба вработени" measure="1" displayFolder="" measureGroup="fCoveckiResursi" count="0" hidden="1">
      <extLst>
        <ext xmlns:x15="http://schemas.microsoft.com/office/spreadsheetml/2010/11/main" uri="{B97F6D7D-B522-45F9-BDA1-12C45D357490}">
          <x15:cacheHierarchy aggregatedColumn="70"/>
        </ext>
      </extLst>
    </cacheHierarchy>
    <cacheHierarchy uniqueName="[Measures].[Sum of Планиран прилив/(одлив)]" caption="Sum of Планиран прилив/(одлив)" measure="1" displayFolder="" measureGroup="fCoveckiResursi" count="0" hidden="1">
      <extLst>
        <ext xmlns:x15="http://schemas.microsoft.com/office/spreadsheetml/2010/11/main" uri="{B97F6D7D-B522-45F9-BDA1-12C45D357490}">
          <x15:cacheHierarchy aggregatedColumn="68"/>
        </ext>
      </extLst>
    </cacheHierarchy>
    <cacheHierarchy uniqueName="[Measures].[Sum of Износ]" caption="Sum of Износ" measure="1" displayFolder="" measureGroup="fActualAndBudget" count="0" hidden="1">
      <extLst>
        <ext xmlns:x15="http://schemas.microsoft.com/office/spreadsheetml/2010/11/main" uri="{B97F6D7D-B522-45F9-BDA1-12C45D357490}">
          <x15:cacheHierarchy aggregatedColumn="45"/>
        </ext>
      </extLst>
    </cacheHierarchy>
    <cacheHierarchy uniqueName="[Measures].[Sum of Износ (илјади)]" caption="Sum of Износ (илјади)" measure="1" displayFolder="" measureGroup="fActualAndBudget" count="0" hidden="1">
      <extLst>
        <ext xmlns:x15="http://schemas.microsoft.com/office/spreadsheetml/2010/11/main" uri="{B97F6D7D-B522-45F9-BDA1-12C45D357490}">
          <x15:cacheHierarchy aggregatedColumn="46"/>
        </ext>
      </extLst>
    </cacheHierarchy>
    <cacheHierarchy uniqueName="[Measures].[Sum of Износ1]" caption="Sum of Износ1" measure="1" displayFolder="" measureGroup="fActualAndBudget" count="0" hidden="1">
      <extLst>
        <ext xmlns:x15="http://schemas.microsoft.com/office/spreadsheetml/2010/11/main" uri="{B97F6D7D-B522-45F9-BDA1-12C45D357490}">
          <x15:cacheHierarchy aggregatedColumn="34"/>
        </ext>
      </extLst>
    </cacheHierarchy>
    <cacheHierarchy uniqueName="[Measures].[Sum of Износ 2]" caption="Sum of Износ 2" measure="1" displayFolder="" measureGroup="Amortizacija" count="0" hidden="1">
      <extLst>
        <ext xmlns:x15="http://schemas.microsoft.com/office/spreadsheetml/2010/11/main" uri="{B97F6D7D-B522-45F9-BDA1-12C45D357490}">
          <x15:cacheHierarchy aggregatedColumn="3"/>
        </ext>
      </extLst>
    </cacheHierarchy>
    <cacheHierarchy uniqueName="[Measures].[Sum of Износ 4]" caption="Sum of Износ 4" measure="1" displayFolder="" measureGroup="OPEXAnaliza" count="0" hidden="1">
      <extLst>
        <ext xmlns:x15="http://schemas.microsoft.com/office/spreadsheetml/2010/11/main" uri="{B97F6D7D-B522-45F9-BDA1-12C45D357490}">
          <x15:cacheHierarchy aggregatedColumn="101"/>
        </ext>
      </extLst>
    </cacheHierarchy>
    <cacheHierarchy uniqueName="[Measures].[Sum of Износ донација]" caption="Sum of Износ донација" measure="1" displayFolder="" measureGroup="CAPEX" count="0" oneField="1" hidden="1">
      <fieldsUsage count="1">
        <fieldUsage x="2"/>
      </fieldsUsage>
      <extLst>
        <ext xmlns:x15="http://schemas.microsoft.com/office/spreadsheetml/2010/11/main" uri="{B97F6D7D-B522-45F9-BDA1-12C45D357490}">
          <x15:cacheHierarchy aggregatedColumn="24"/>
        </ext>
      </extLst>
    </cacheHierarchy>
    <cacheHierarchy uniqueName="[Measures].[Sum of Вкупно трошок]" caption="Sum of Вкупно трошок" measure="1" displayFolder="" measureGroup="fArtikliCeni" count="0" hidden="1">
      <extLst>
        <ext xmlns:x15="http://schemas.microsoft.com/office/spreadsheetml/2010/11/main" uri="{B97F6D7D-B522-45F9-BDA1-12C45D357490}">
          <x15:cacheHierarchy aggregatedColumn="55"/>
        </ext>
      </extLst>
    </cacheHierarchy>
    <cacheHierarchy uniqueName="[Measures].[Sum of Количина]" caption="Sum of Количина" measure="1" displayFolder="" measureGroup="fArtikliCeni" count="0" hidden="1">
      <extLst>
        <ext xmlns:x15="http://schemas.microsoft.com/office/spreadsheetml/2010/11/main" uri="{B97F6D7D-B522-45F9-BDA1-12C45D357490}">
          <x15:cacheHierarchy aggregatedColumn="53"/>
        </ext>
      </extLst>
    </cacheHierarchy>
    <cacheHierarchy uniqueName="[Measures].[Sum of Единечна цена]" caption="Sum of Единечна цена" measure="1" displayFolder="" measureGroup="fArtikliCeni" count="0" hidden="1">
      <extLst>
        <ext xmlns:x15="http://schemas.microsoft.com/office/spreadsheetml/2010/11/main" uri="{B97F6D7D-B522-45F9-BDA1-12C45D357490}">
          <x15:cacheHierarchy aggregatedColumn="54"/>
        </ext>
      </extLst>
    </cacheHierarchy>
    <cacheHierarchy uniqueName="[Measures].[Sum of ДДВ]" caption="Sum of ДДВ" measure="1" displayFolder="" measureGroup="fArtikliCeni" count="0" hidden="1">
      <extLst>
        <ext xmlns:x15="http://schemas.microsoft.com/office/spreadsheetml/2010/11/main" uri="{B97F6D7D-B522-45F9-BDA1-12C45D357490}">
          <x15:cacheHierarchy aggregatedColumn="56"/>
        </ext>
      </extLst>
    </cacheHierarchy>
    <cacheHierarchy uniqueName="[Measures].[Sum of Износ 6]" caption="Sum of Износ 6" measure="1" displayFolder="" measureGroup="fArtikliCeni" count="0" hidden="1">
      <extLst>
        <ext xmlns:x15="http://schemas.microsoft.com/office/spreadsheetml/2010/11/main" uri="{B97F6D7D-B522-45F9-BDA1-12C45D357490}">
          <x15:cacheHierarchy aggregatedColumn="57"/>
        </ext>
      </extLst>
    </cacheHierarchy>
    <cacheHierarchy uniqueName="[Measures].[Count of Единечна мерка]" caption="Count of Единечна мерка" measure="1" displayFolder="" measureGroup="fArtikliCeni" count="0" hidden="1">
      <extLst>
        <ext xmlns:x15="http://schemas.microsoft.com/office/spreadsheetml/2010/11/main" uri="{B97F6D7D-B522-45F9-BDA1-12C45D357490}">
          <x15:cacheHierarchy aggregatedColumn="52"/>
        </ext>
      </extLst>
    </cacheHierarchy>
    <cacheHierarchy uniqueName="[Measures].[Sum of Количина 2]" caption="Sum of Количина 2" measure="1" displayFolder="" measureGroup="rArtikli_HR_Analiza" count="0" hidden="1">
      <extLst>
        <ext xmlns:x15="http://schemas.microsoft.com/office/spreadsheetml/2010/11/main" uri="{B97F6D7D-B522-45F9-BDA1-12C45D357490}">
          <x15:cacheHierarchy aggregatedColumn="118"/>
        </ext>
      </extLst>
    </cacheHierarchy>
    <cacheHierarchy uniqueName="[Measures].[Sum of Единечна цена 2]" caption="Sum of Единечна цена 2" measure="1" displayFolder="" measureGroup="rArtikli_HR_Analiza" count="0" hidden="1">
      <extLst>
        <ext xmlns:x15="http://schemas.microsoft.com/office/spreadsheetml/2010/11/main" uri="{B97F6D7D-B522-45F9-BDA1-12C45D357490}">
          <x15:cacheHierarchy aggregatedColumn="119"/>
        </ext>
      </extLst>
    </cacheHierarchy>
    <cacheHierarchy uniqueName="[Measures].[Sum of Вкупно трошок 2]" caption="Sum of Вкупно трошок 2" measure="1" displayFolder="" measureGroup="rArtikli_HR_Analiza" count="0" hidden="1">
      <extLst>
        <ext xmlns:x15="http://schemas.microsoft.com/office/spreadsheetml/2010/11/main" uri="{B97F6D7D-B522-45F9-BDA1-12C45D357490}">
          <x15:cacheHierarchy aggregatedColumn="120"/>
        </ext>
      </extLst>
    </cacheHierarchy>
    <cacheHierarchy uniqueName="[Measures].[Sum of ДДВ 2]" caption="Sum of ДДВ 2" measure="1" displayFolder="" measureGroup="rArtikli_HR_Analiza" count="0" hidden="1">
      <extLst>
        <ext xmlns:x15="http://schemas.microsoft.com/office/spreadsheetml/2010/11/main" uri="{B97F6D7D-B522-45F9-BDA1-12C45D357490}">
          <x15:cacheHierarchy aggregatedColumn="121"/>
        </ext>
      </extLst>
    </cacheHierarchy>
    <cacheHierarchy uniqueName="[Measures].[Sum of Износ 7]" caption="Sum of Износ 7" measure="1" displayFolder="" measureGroup="rArtikli_HR_Analiza" count="0" hidden="1">
      <extLst>
        <ext xmlns:x15="http://schemas.microsoft.com/office/spreadsheetml/2010/11/main" uri="{B97F6D7D-B522-45F9-BDA1-12C45D357490}">
          <x15:cacheHierarchy aggregatedColumn="122"/>
        </ext>
      </extLst>
    </cacheHierarchy>
    <cacheHierarchy uniqueName="[Measures].[Sum of Износ 5]" caption="Sum of Износ 5" measure="1" displayFolder="" measureGroup="fCoveckiResursi  2" count="0" hidden="1">
      <extLst>
        <ext xmlns:x15="http://schemas.microsoft.com/office/spreadsheetml/2010/11/main" uri="{B97F6D7D-B522-45F9-BDA1-12C45D357490}">
          <x15:cacheHierarchy aggregatedColumn="82"/>
        </ext>
      </extLst>
    </cacheHierarchy>
    <cacheHierarchy uniqueName="[Measures].[Sum of Проценета вредност на набавка со ДДВ (денари)]" caption="Sum of Проценета вредност на набавка со ДДВ (денари)" measure="1" displayFolder="" measureGroup="CAPEX" count="0" oneField="1" hidden="1">
      <fieldsUsage count="1">
        <fieldUsage x="6"/>
      </fieldsUsage>
      <extLst>
        <ext xmlns:x15="http://schemas.microsoft.com/office/spreadsheetml/2010/11/main" uri="{B97F6D7D-B522-45F9-BDA1-12C45D357490}">
          <x15:cacheHierarchy aggregatedColumn="20"/>
        </ext>
      </extLst>
    </cacheHierarchy>
  </cacheHierarchies>
  <kpis count="0"/>
  <dimensions count="12">
    <dimension name="Amortizacija" uniqueName="[Amortizacija]" caption="Amortizacija"/>
    <dimension name="Calendar" uniqueName="[Calendar]" caption="Calendar"/>
    <dimension name="CAPEX" uniqueName="[CAPEX]" caption="CAPEX"/>
    <dimension name="fActualAndBudget" uniqueName="[fActualAndBudget]" caption="fActualAndBudget"/>
    <dimension name="fArtikliCeni" uniqueName="[fArtikliCeni]" caption="fArtikliCeni"/>
    <dimension name="fCoveckiResursi" uniqueName="[fCoveckiResursi]" caption="fCoveckiResursi"/>
    <dimension name="fCoveckiResursi  2" uniqueName="[fCoveckiResursi  2]" caption="fCoveckiResursi  2"/>
    <dimension name="fOPEX" uniqueName="[fOPEX]" caption="fOPEX"/>
    <dimension measure="1" name="Measures" uniqueName="[Measures]" caption="Measures"/>
    <dimension name="OPEXAnaliza" uniqueName="[OPEXAnaliza]" caption="OPEXAnaliza"/>
    <dimension name="rArtikli_HR_Analiza" uniqueName="[rArtikli_HR_Analiza]" caption="rArtikli_HR_Analiza"/>
    <dimension name="rArtikliAnaliza" uniqueName="[rArtikliAnaliza]" caption="rArtikliAnaliza"/>
  </dimensions>
  <measureGroups count="11">
    <measureGroup name="Amortizacija" caption="Amortizacija"/>
    <measureGroup name="Calendar" caption="Calendar"/>
    <measureGroup name="CAPEX" caption="CAPEX"/>
    <measureGroup name="fActualAndBudget" caption="fActualAndBudget"/>
    <measureGroup name="fArtikliCeni" caption="fArtikliCeni"/>
    <measureGroup name="fCoveckiResursi" caption="fCoveckiResursi"/>
    <measureGroup name="fCoveckiResursi  2" caption="fCoveckiResursi  2"/>
    <measureGroup name="fOPEX" caption="fOPEX"/>
    <measureGroup name="OPEXAnaliza" caption="OPEXAnaliza"/>
    <measureGroup name="rArtikli_HR_Analiza" caption="rArtikli_HR_Analiza"/>
    <measureGroup name="rArtikliAnaliza" caption="rArtikliAnaliza"/>
  </measureGroups>
  <maps count="19">
    <map measureGroup="0" dimension="0"/>
    <map measureGroup="0" dimension="1"/>
    <map measureGroup="1" dimension="1"/>
    <map measureGroup="2" dimension="1"/>
    <map measureGroup="2" dimension="2"/>
    <map measureGroup="3" dimension="1"/>
    <map measureGroup="3" dimension="3"/>
    <map measureGroup="4" dimension="4"/>
    <map measureGroup="5" dimension="1"/>
    <map measureGroup="5" dimension="5"/>
    <map measureGroup="6" dimension="1"/>
    <map measureGroup="6" dimension="6"/>
    <map measureGroup="7" dimension="1"/>
    <map measureGroup="7" dimension="7"/>
    <map measureGroup="8" dimension="1"/>
    <map measureGroup="8" dimension="9"/>
    <map measureGroup="9" dimension="10"/>
    <map measureGroup="10" dimension="1"/>
    <map measureGroup="10" dimension="1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8.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ngela Sazdova - Doneva" refreshedDate="44900.417828819445" createdVersion="5" refreshedVersion="6" minRefreshableVersion="3" recordCount="0" supportSubquery="1" supportAdvancedDrill="1" xr:uid="{00000000-000A-0000-FFFF-FFFF09000000}">
  <cacheSource type="external" connectionId="22"/>
  <cacheFields count="10">
    <cacheField name="[Calendar].[Година].[Година]" caption="Година" numFmtId="0" hierarchy="8" level="1">
      <sharedItems containsSemiMixedTypes="0" containsString="0" containsNumber="1" containsInteger="1" minValue="2018" maxValue="2020" count="3">
        <n v="2020"/>
        <n v="2019" u="1"/>
        <n v="2018" u="1"/>
      </sharedItems>
      <extLst>
        <ext xmlns:x15="http://schemas.microsoft.com/office/spreadsheetml/2010/11/main" uri="{4F2E5C28-24EA-4eb8-9CBF-B6C8F9C3D259}">
          <x15:cachedUniqueNames>
            <x15:cachedUniqueName index="0" name="[Calendar].[Година].&amp;[2020]"/>
            <x15:cachedUniqueName index="1" name="[Calendar].[Година].&amp;[2019]"/>
            <x15:cachedUniqueName index="2" name="[Calendar].[Година].&amp;[2018]"/>
          </x15:cachedUniqueNames>
        </ext>
      </extLst>
    </cacheField>
    <cacheField name="[fActualAndBudget].[ObrazecIme].[ObrazecIme]" caption="ObrazecIme" numFmtId="0" hierarchy="44" level="1">
      <sharedItems containsSemiMixedTypes="0" containsNonDate="0" containsString="0"/>
    </cacheField>
    <cacheField name="[fActualAndBudget].[ReportType].[ReportType]" caption="ReportType" numFmtId="0" hierarchy="35" level="1">
      <sharedItems count="1">
        <s v="План"/>
      </sharedItems>
    </cacheField>
    <cacheField name="[fActualAndBudget].[StavkaKategorija].[StavkaKategorija]" caption="StavkaKategorija" numFmtId="0" hierarchy="40" level="1">
      <sharedItems containsSemiMixedTypes="0" containsNonDate="0" containsString="0"/>
    </cacheField>
    <cacheField name="[OPEXAnaliza].[ReportType].[ReportType]" caption="ReportType" numFmtId="0" hierarchy="106" level="1">
      <sharedItems containsSemiMixedTypes="0" containsNonDate="0" containsString="0"/>
    </cacheField>
    <cacheField name="[fCoveckiResursi  2].[Ставка].[Ставка]" caption="Ставка" numFmtId="0" hierarchy="80" level="1">
      <sharedItems count="16">
        <s v="Бруто плата"/>
        <s v="Награди-интерни"/>
        <s v="Отпремнина за пензија"/>
        <s v="Помош за болест и смрт-бруто"/>
        <s v="Регрес за годишен одмор"/>
        <s v="NADOMEST ZA ODVOEN @IVOT"/>
        <s v="Дневници за службени патувања во странство"/>
        <s v="Надоместоци за членови на комисија за жалби"/>
        <s v="Надоместоци за членови на УО"/>
        <s v="Трошоци за синдикат"/>
        <s v="Трошоци за спорт и рекреација на вработени"/>
        <s v="Агенција за привремени вработувања"/>
        <s v="Договор на дело"/>
        <s v="Систематски прегледи"/>
        <s v="Услуги за советувања и семинари"/>
        <s v="Услуги за стручно усовршување и обуки"/>
      </sharedItems>
    </cacheField>
    <cacheField name="[fCoveckiResursi  2].[StavkaKategorija].[StavkaKategorija]" caption="StavkaKategorija" numFmtId="0" hierarchy="86" level="1">
      <sharedItems count="2">
        <s v="2.33. Трошоци за вработените"/>
        <s v="2.37. Останати оперативни расходи"/>
      </sharedItems>
    </cacheField>
    <cacheField name="[Measures].[Sum of Износ 5]" caption="Sum of Износ 5" numFmtId="0" hierarchy="193" level="32767"/>
    <cacheField name="[fCoveckiResursi  2].[ObrazecIme].[ObrazecIme]" caption="ObrazecIme" numFmtId="0" hierarchy="87" level="1">
      <sharedItems containsSemiMixedTypes="0" containsNonDate="0" containsString="0"/>
    </cacheField>
    <cacheField name="[fCoveckiResursi  2].[StavkaImeMK].[StavkaImeMK]" caption="StavkaImeMK" numFmtId="0" hierarchy="85" level="1">
      <sharedItems count="4">
        <s v="Надомест на трошоци на вработените, подароци и помошти"/>
        <s v="Дневници за службени патувања и патни трошоци"/>
        <s v="Останати нематеријални трошоци"/>
        <s v="Останати услуги"/>
      </sharedItems>
    </cacheField>
  </cacheFields>
  <cacheHierarchies count="195">
    <cacheHierarchy uniqueName="[Amortizacija].[Број на јавна набавка (план)]" caption="Број на јавна набавка (план)" attribute="1" defaultMemberUniqueName="[Amortizacija].[Број на јавна набавка (план)].[All]" allUniqueName="[Amortizacija].[Број на јавна набавка (план)].[All]" dimensionUniqueName="[Amortizacija]" displayFolder="" count="0" memberValueDatatype="130" unbalanced="0"/>
    <cacheHierarchy uniqueName="[Amortizacija].[Ставка]" caption="Ставка" attribute="1" defaultMemberUniqueName="[Amortizacija].[Ставка].[All]" allUniqueName="[Amortizacija].[Ставка].[All]" dimensionUniqueName="[Amortizacija]" displayFolder="" count="0" memberValueDatatype="130" unbalanced="0"/>
    <cacheHierarchy uniqueName="[Amortizacija].[Период]" caption="Период" attribute="1" time="1" defaultMemberUniqueName="[Amortizacija].[Период].[All]" allUniqueName="[Amortizacija].[Период].[All]" dimensionUniqueName="[Amortizacija]" displayFolder="" count="0" memberValueDatatype="7" unbalanced="0"/>
    <cacheHierarchy uniqueName="[Amortizacija].[Износ]" caption="Износ" attribute="1" defaultMemberUniqueName="[Amortizacija].[Износ].[All]" allUniqueName="[Amortizacija].[Износ].[All]" dimensionUniqueName="[Amortizacija]" displayFolder="" count="0" memberValueDatatype="20" unbalanced="0"/>
    <cacheHierarchy uniqueName="[Amortizacija].[Конто]" caption="Конто" attribute="1" defaultMemberUniqueName="[Amortizacija].[Конто].[All]" allUniqueName="[Amortizacija].[Конто].[All]" dimensionUniqueName="[Amortizacija]" displayFolder="" count="0" memberValueDatatype="130" unbalanced="0"/>
    <cacheHierarchy uniqueName="[Amortizacija].[ReportType]" caption="ReportType" attribute="1" defaultMemberUniqueName="[Amortizacija].[ReportType].[All]" allUniqueName="[Amortizacija].[ReportType].[All]" dimensionUniqueName="[Amortizacija]" displayFolder="" count="0" memberValueDatatype="130" unbalanced="0"/>
    <cacheHierarchy uniqueName="[Calendar].[Date]" caption="Date" attribute="1" time="1" keyAttribute="1" defaultMemberUniqueName="[Calendar].[Date].[All]" allUniqueName="[Calendar].[Date].[All]" dimensionUniqueName="[Calendar]" displayFolder="" count="0" memberValueDatatype="7" unbalanced="0"/>
    <cacheHierarchy uniqueName="[Calendar].[Date Hierarchy]" caption="Date Hierarchy" time="1" defaultMemberUniqueName="[Calendar].[Date Hierarchy].[All]" allUniqueName="[Calendar].[Date Hierarchy].[All]" dimensionUniqueName="[Calendar]" displayFolder="" count="0" unbalanced="0"/>
    <cacheHierarchy uniqueName="[Calendar].[Година]" caption="Година" attribute="1" time="1" defaultMemberUniqueName="[Calendar].[Година].[All]" allUniqueName="[Calendar].[Година].[All]" dimensionUniqueName="[Calendar]" displayFolder="" count="2" memberValueDatatype="20" unbalanced="0">
      <fieldsUsage count="2">
        <fieldUsage x="-1"/>
        <fieldUsage x="0"/>
      </fieldsUsage>
    </cacheHierarchy>
    <cacheHierarchy uniqueName="[Calendar].[Month Number]" caption="Month Number" attribute="1" time="1" defaultMemberUniqueName="[Calendar].[Month Number].[All]" allUniqueName="[Calendar].[Month Number].[All]" dimensionUniqueName="[Calendar]" displayFolder="" count="0" memberValueDatatype="20" unbalanced="0"/>
    <cacheHierarchy uniqueName="[Calendar].[Месец]" caption="Месец" attribute="1" time="1" defaultMemberUniqueName="[Calendar].[Месец].[All]" allUniqueName="[Calendar].[Месец].[All]" dimensionUniqueName="[Calendar]" displayFolder="" count="0" memberValueDatatype="130" unbalanced="0"/>
    <cacheHierarchy uniqueName="[Calendar].[MMM-YYYY]" caption="MMM-YYYY" attribute="1" time="1" defaultMemberUniqueName="[Calendar].[MMM-YYYY].[All]" allUniqueName="[Calendar].[MMM-YYYY].[All]" dimensionUniqueName="[Calendar]" displayFolder="" count="0" memberValueDatatype="130" unbalanced="0"/>
    <cacheHierarchy uniqueName="[Calendar].[Day Of Week Number]" caption="Day Of Week Number" attribute="1" time="1" defaultMemberUniqueName="[Calendar].[Day Of Week Number].[All]" allUniqueName="[Calendar].[Day Of Week Number].[All]" dimensionUniqueName="[Calendar]" displayFolder="" count="0" memberValueDatatype="20" unbalanced="0"/>
    <cacheHierarchy uniqueName="[Calendar].[Day Of Week]" caption="Day Of Week" attribute="1" time="1" defaultMemberUniqueName="[Calendar].[Day Of Week].[All]" allUniqueName="[Calendar].[Day Of Week].[All]" dimensionUniqueName="[Calendar]" displayFolder="" count="0" memberValueDatatype="130" unbalanced="0"/>
    <cacheHierarchy uniqueName="[Calendar].[Квартал]" caption="Квартал" attribute="1" time="1" defaultMemberUniqueName="[Calendar].[Квартал].[All]" allUniqueName="[Calendar].[Квартал].[All]" dimensionUniqueName="[Calendar]" displayFolder="" count="0" memberValueDatatype="7" unbalanced="0"/>
    <cacheHierarchy uniqueName="[CAPEX].[Година за реализација на проект]" caption="Година за реализација на проект" attribute="1" defaultMemberUniqueName="[CAPEX].[Година за реализација на проект].[All]" allUniqueName="[CAPEX].[Година за реализација на проект].[All]" dimensionUniqueName="[CAPEX]" displayFolder="" count="0" memberValueDatatype="20" unbalanced="0"/>
    <cacheHierarchy uniqueName="[CAPEX].[Број на јавна набавка (план)]" caption="Број на јавна набавка (план)" attribute="1" defaultMemberUniqueName="[CAPEX].[Број на јавна набавка (план)].[All]" allUniqueName="[CAPEX].[Број на јавна набавка (план)].[All]" dimensionUniqueName="[CAPEX]" displayFolder="" count="0" memberValueDatatype="130" unbalanced="0"/>
    <cacheHierarchy uniqueName="[CAPEX].[Предмет на договорот за јавна набавка]" caption="Предмет на договорот за јавна набавка" attribute="1" defaultMemberUniqueName="[CAPEX].[Предмет на договорот за јавна набавка].[All]" allUniqueName="[CAPEX].[Предмет на договорот за јавна набавка].[All]" dimensionUniqueName="[CAPEX]" displayFolder="" count="0" memberValueDatatype="130" unbalanced="0"/>
    <cacheHierarchy uniqueName="[CAPEX].[Очекуван датум на плаќање]" caption="Очекуван датум на плаќање" attribute="1" time="1" defaultMemberUniqueName="[CAPEX].[Очекуван датум на плаќање].[All]" allUniqueName="[CAPEX].[Очекуван датум на плаќање].[All]" dimensionUniqueName="[CAPEX]" displayFolder="" count="0" memberValueDatatype="7" unbalanced="0"/>
    <cacheHierarchy uniqueName="[CAPEX].[Очекуван датум за ставање во употреба (месец)]" caption="Очекуван датум за ставање во употреба (месец)" attribute="1" time="1" defaultMemberUniqueName="[CAPEX].[Очекуван датум за ставање во употреба (месец)].[All]" allUniqueName="[CAPEX].[Очекуван датум за ставање во употреба (месец)].[All]" dimensionUniqueName="[CAPEX]" displayFolder="" count="0" memberValueDatatype="7" unbalanced="0"/>
    <cacheHierarchy uniqueName="[CAPEX].[Проценета вредност на набавка со ДДВ (денари)]" caption="Проценета вредност на набавка со ДДВ (денари)" attribute="1" defaultMemberUniqueName="[CAPEX].[Проценета вредност на набавка со ДДВ (денари)].[All]" allUniqueName="[CAPEX].[Проценета вредност на набавка со ДДВ (денари)].[All]" dimensionUniqueName="[CAPEX]" displayFolder="" count="0" memberValueDatatype="20" unbalanced="0"/>
    <cacheHierarchy uniqueName="[CAPEX].[Стапка на амортизација]" caption="Стапка на амортизација" attribute="1" defaultMemberUniqueName="[CAPEX].[Стапка на амортизација].[All]" allUniqueName="[CAPEX].[Стапка на амортизација].[All]" dimensionUniqueName="[CAPEX]" displayFolder="" count="0" memberValueDatatype="5" unbalanced="0"/>
    <cacheHierarchy uniqueName="[CAPEX].[Конто Средства]" caption="Конто Средства" attribute="1" defaultMemberUniqueName="[CAPEX].[Конто Средства].[All]" allUniqueName="[CAPEX].[Конто Средства].[All]" dimensionUniqueName="[CAPEX]" displayFolder="" count="0" memberValueDatatype="130" unbalanced="0"/>
    <cacheHierarchy uniqueName="[CAPEX].[Конто Амортизација]" caption="Конто Амортизација" attribute="1" defaultMemberUniqueName="[CAPEX].[Конто Амортизација].[All]" allUniqueName="[CAPEX].[Конто Амортизација].[All]" dimensionUniqueName="[CAPEX]" displayFolder="" count="0" memberValueDatatype="130" unbalanced="0"/>
    <cacheHierarchy uniqueName="[CAPEX].[Износ донација]" caption="Износ донација" attribute="1" defaultMemberUniqueName="[CAPEX].[Износ донација].[All]" allUniqueName="[CAPEX].[Износ донација].[All]" dimensionUniqueName="[CAPEX]" displayFolder="" count="0" memberValueDatatype="20" unbalanced="0"/>
    <cacheHierarchy uniqueName="[CAPEX].[Очекуван датум на плаќање (Year)]" caption="Очекуван датум на плаќање (Year)" attribute="1" defaultMemberUniqueName="[CAPEX].[Очекуван датум на плаќање (Year)].[All]" allUniqueName="[CAPEX].[Очекуван датум на плаќање (Year)].[All]" dimensionUniqueName="[CAPEX]" displayFolder="" count="0" memberValueDatatype="130" unbalanced="0"/>
    <cacheHierarchy uniqueName="[CAPEX].[Очекуван датум на плаќање (Quarter)]" caption="Очекуван датум на плаќање (Quarter)" attribute="1" defaultMemberUniqueName="[CAPEX].[Очекуван датум на плаќање (Quarter)].[All]" allUniqueName="[CAPEX].[Очекуван датум на плаќање (Quarter)].[All]" dimensionUniqueName="[CAPEX]" displayFolder="" count="0" memberValueDatatype="130" unbalanced="0"/>
    <cacheHierarchy uniqueName="[CAPEX].[Очекуван датум на плаќање (Month)]" caption="Очекуван датум на плаќање (Month)" attribute="1" defaultMemberUniqueName="[CAPEX].[Очекуван датум на плаќање (Month)].[All]" allUniqueName="[CAPEX].[Очекуван датум на плаќање (Month)].[All]" dimensionUniqueName="[CAPEX]" displayFolder="" count="0" memberValueDatatype="130" unbalanced="0"/>
    <cacheHierarchy uniqueName="[CAPEX].[Очекуван датум за ставање во употреба (месец) (Year)]" caption="Очекуван датум за ставање во употреба (месец) (Year)" attribute="1" defaultMemberUniqueName="[CAPEX].[Очекуван датум за ставање во употреба (месец) (Year)].[All]" allUniqueName="[CAPEX].[Очекуван датум за ставање во употреба (месец) (Year)].[All]" dimensionUniqueName="[CAPEX]" displayFolder="" count="0" memberValueDatatype="130" unbalanced="0"/>
    <cacheHierarchy uniqueName="[CAPEX].[Очекуван датум за ставање во употреба (месец) (Quarter)]" caption="Очекуван датум за ставање во употреба (месец) (Quarter)" attribute="1" defaultMemberUniqueName="[CAPEX].[Очекуван датум за ставање во употреба (месец) (Quarter)].[All]" allUniqueName="[CAPEX].[Очекуван датум за ставање во употреба (месец) (Quarter)].[All]" dimensionUniqueName="[CAPEX]" displayFolder="" count="0" memberValueDatatype="130" unbalanced="0"/>
    <cacheHierarchy uniqueName="[CAPEX].[Очекуван датум за ставање во употреба (месец) (Month)]" caption="Очекуван датум за ставање во употреба (месец) (Month)" attribute="1" defaultMemberUniqueName="[CAPEX].[Очекуван датум за ставање во употреба (месец) (Month)].[All]" allUniqueName="[CAPEX].[Очекуван датум за ставање во употреба (месец) (Month)].[All]" dimensionUniqueName="[CAPEX]" displayFolder="" count="0" memberValueDatatype="130" unbalanced="0"/>
    <cacheHierarchy uniqueName="[fActualAndBudget].[Конто]" caption="Конто" attribute="1" defaultMemberUniqueName="[fActualAndBudget].[Конто].[All]" allUniqueName="[fActualAndBudget].[Конто].[All]" dimensionUniqueName="[fActualAndBudget]" displayFolder="" count="0" memberValueDatatype="130" unbalanced="0"/>
    <cacheHierarchy uniqueName="[fActualAndBudget].[Назив на конто]" caption="Назив на конто" attribute="1" defaultMemberUniqueName="[fActualAndBudget].[Назив на конто].[All]" allUniqueName="[fActualAndBudget].[Назив на конто].[All]" dimensionUniqueName="[fActualAndBudget]" displayFolder="" count="0" memberValueDatatype="130" unbalanced="0"/>
    <cacheHierarchy uniqueName="[fActualAndBudget].[Период]" caption="Период" attribute="1" time="1" defaultMemberUniqueName="[fActualAndBudget].[Период].[All]" allUniqueName="[fActualAndBudget].[Период].[All]" dimensionUniqueName="[fActualAndBudget]" displayFolder="" count="0" memberValueDatatype="7" unbalanced="0"/>
    <cacheHierarchy uniqueName="[fActualAndBudget].[Износ1]" caption="Износ1" attribute="1" defaultMemberUniqueName="[fActualAndBudget].[Износ1].[All]" allUniqueName="[fActualAndBudget].[Износ1].[All]" dimensionUniqueName="[fActualAndBudget]" displayFolder="" count="0" memberValueDatatype="20" unbalanced="0"/>
    <cacheHierarchy uniqueName="[fActualAndBudget].[ReportType]" caption="ReportType" attribute="1" defaultMemberUniqueName="[fActualAndBudget].[ReportType].[All]" allUniqueName="[fActualAndBudget].[ReportType].[All]" dimensionUniqueName="[fActualAndBudget]" displayFolder="" count="2" memberValueDatatype="130" unbalanced="0">
      <fieldsUsage count="2">
        <fieldUsage x="-1"/>
        <fieldUsage x="2"/>
      </fieldsUsage>
    </cacheHierarchy>
    <cacheHierarchy uniqueName="[fActualAndBudget].[Ставка]" caption="Ставка" attribute="1" defaultMemberUniqueName="[fActualAndBudget].[Ставка].[All]" allUniqueName="[fActualAndBudget].[Ставка].[All]" dimensionUniqueName="[fActualAndBudget]" displayFolder="" count="0" memberValueDatatype="130" unbalanced="0"/>
    <cacheHierarchy uniqueName="[fActualAndBudget].[Број на јавна набавка (план)]" caption="Број на јавна набавка (план)" attribute="1" defaultMemberUniqueName="[fActualAndBudget].[Број на јавна набавка (план)].[All]" allUniqueName="[fActualAndBudget].[Број на јавна набавка (план)].[All]" dimensionUniqueName="[fActualAndBudget]" displayFolder="" count="0" memberValueDatatype="130" unbalanced="0"/>
    <cacheHierarchy uniqueName="[fActualAndBudget].[StavkaImeMK]" caption="StavkaImeMK" attribute="1" defaultMemberUniqueName="[fActualAndBudget].[StavkaImeMK].[All]" allUniqueName="[fActualAndBudget].[StavkaImeMK].[All]" dimensionUniqueName="[fActualAndBudget]" displayFolder="" count="0" memberValueDatatype="130" unbalanced="0"/>
    <cacheHierarchy uniqueName="[fActualAndBudget].[StavkaGrupa]" caption="StavkaGrupa" attribute="1" defaultMemberUniqueName="[fActualAndBudget].[StavkaGrupa].[All]" allUniqueName="[fActualAndBudget].[StavkaGrupa].[All]" dimensionUniqueName="[fActualAndBudget]" displayFolder="" count="0" memberValueDatatype="130" unbalanced="0"/>
    <cacheHierarchy uniqueName="[fActualAndBudget].[StavkaKategorija]" caption="StavkaKategorija" attribute="1" defaultMemberUniqueName="[fActualAndBudget].[StavkaKategorija].[All]" allUniqueName="[fActualAndBudget].[StavkaKategorija].[All]" dimensionUniqueName="[fActualAndBudget]" displayFolder="" count="2" memberValueDatatype="130" unbalanced="0">
      <fieldsUsage count="2">
        <fieldUsage x="-1"/>
        <fieldUsage x="3"/>
      </fieldsUsage>
    </cacheHierarchy>
    <cacheHierarchy uniqueName="[fActualAndBudget].[ZnakIzvestaj]" caption="ZnakIzvestaj" attribute="1" defaultMemberUniqueName="[fActualAndBudget].[ZnakIzvestaj].[All]" allUniqueName="[fActualAndBudget].[ZnakIzvestaj].[All]" dimensionUniqueName="[fActualAndBudget]" displayFolder="" count="0" memberValueDatatype="20" unbalanced="0"/>
    <cacheHierarchy uniqueName="[fActualAndBudget].[ObrazecID]" caption="ObrazecID" attribute="1" defaultMemberUniqueName="[fActualAndBudget].[ObrazecID].[All]" allUniqueName="[fActualAndBudget].[ObrazecID].[All]" dimensionUniqueName="[fActualAndBudget]" displayFolder="" count="0" memberValueDatatype="20" unbalanced="0"/>
    <cacheHierarchy uniqueName="[fActualAndBudget].[StavkaAOP]" caption="StavkaAOP" attribute="1" defaultMemberUniqueName="[fActualAndBudget].[StavkaAOP].[All]" allUniqueName="[fActualAndBudget].[StavkaAOP].[All]" dimensionUniqueName="[fActualAndBudget]" displayFolder="" count="0" memberValueDatatype="130" unbalanced="0"/>
    <cacheHierarchy uniqueName="[fActualAndBudget].[ObrazecIme]" caption="ObrazecIme" attribute="1" defaultMemberUniqueName="[fActualAndBudget].[ObrazecIme].[All]" allUniqueName="[fActualAndBudget].[ObrazecIme].[All]" dimensionUniqueName="[fActualAndBudget]" displayFolder="" count="2" memberValueDatatype="130" unbalanced="0">
      <fieldsUsage count="2">
        <fieldUsage x="-1"/>
        <fieldUsage x="1"/>
      </fieldsUsage>
    </cacheHierarchy>
    <cacheHierarchy uniqueName="[fActualAndBudget].[Износ]" caption="Износ" attribute="1" defaultMemberUniqueName="[fActualAndBudget].[Износ].[All]" allUniqueName="[fActualAndBudget].[Износ].[All]" dimensionUniqueName="[fActualAndBudget]" displayFolder="" count="0" memberValueDatatype="20" unbalanced="0"/>
    <cacheHierarchy uniqueName="[fActualAndBudget].[Износ (илјади)]" caption="Износ (илјади)" attribute="1" defaultMemberUniqueName="[fActualAndBudget].[Износ (илјади)].[All]" allUniqueName="[fActualAndBudget].[Износ (илјади)].[All]" dimensionUniqueName="[fActualAndBudget]" displayFolder="" count="0" memberValueDatatype="5" unbalanced="0"/>
    <cacheHierarchy uniqueName="[fActualAndBudget].[StavkaImeAOP]" caption="StavkaImeAOP" attribute="1" defaultMemberUniqueName="[fActualAndBudget].[StavkaImeAOP].[All]" allUniqueName="[fActualAndBudget].[StavkaImeAOP].[All]" dimensionUniqueName="[fActualAndBudget]" displayFolder="" count="0" memberValueDatatype="130" unbalanced="0"/>
    <cacheHierarchy uniqueName="[fActualAndBudget].[Конто Ставка]" caption="Конто Ставка" attribute="1" defaultMemberUniqueName="[fActualAndBudget].[Конто Ставка].[All]" allUniqueName="[fActualAndBudget].[Конто Ставка].[All]" dimensionUniqueName="[fActualAndBudget]" displayFolder="" count="0" memberValueDatatype="130" unbalanced="0"/>
    <cacheHierarchy uniqueName="[fArtikliCeni].[Ставка]" caption="Ставка" attribute="1" defaultMemberUniqueName="[fArtikliCeni].[Ставка].[All]" allUniqueName="[fArtikliCeni].[Ставка].[All]" dimensionUniqueName="[fArtikliCeni]" displayFolder="" count="0" memberValueDatatype="130" unbalanced="0"/>
    <cacheHierarchy uniqueName="[fArtikliCeni].[Категорија Артикл]" caption="Категорија Артикл" attribute="1" defaultMemberUniqueName="[fArtikliCeni].[Категорија Артикл].[All]" allUniqueName="[fArtikliCeni].[Категорија Артикл].[All]" dimensionUniqueName="[fArtikliCeni]" displayFolder="" count="0" memberValueDatatype="130" unbalanced="0"/>
    <cacheHierarchy uniqueName="[fArtikliCeni].[Тип на артикл]" caption="Тип на артикл" attribute="1" defaultMemberUniqueName="[fArtikliCeni].[Тип на артикл].[All]" allUniqueName="[fArtikliCeni].[Тип на артикл].[All]" dimensionUniqueName="[fArtikliCeni]" displayFolder="" count="0" memberValueDatatype="130" unbalanced="0"/>
    <cacheHierarchy uniqueName="[fArtikliCeni].[Единечна мерка]" caption="Единечна мерка" attribute="1" defaultMemberUniqueName="[fArtikliCeni].[Единечна мерка].[All]" allUniqueName="[fArtikliCeni].[Единечна мерка].[All]" dimensionUniqueName="[fArtikliCeni]" displayFolder="" count="0" memberValueDatatype="130" unbalanced="0"/>
    <cacheHierarchy uniqueName="[fArtikliCeni].[Количина]" caption="Количина" attribute="1" defaultMemberUniqueName="[fArtikliCeni].[Количина].[All]" allUniqueName="[fArtikliCeni].[Количина].[All]" dimensionUniqueName="[fArtikliCeni]" displayFolder="" count="0" memberValueDatatype="5" unbalanced="0"/>
    <cacheHierarchy uniqueName="[fArtikliCeni].[Единечна цена]" caption="Единечна цена" attribute="1" defaultMemberUniqueName="[fArtikliCeni].[Единечна цена].[All]" allUniqueName="[fArtikliCeni].[Единечна цена].[All]" dimensionUniqueName="[fArtikliCeni]" displayFolder="" count="0" memberValueDatatype="20" unbalanced="0"/>
    <cacheHierarchy uniqueName="[fArtikliCeni].[Вкупно трошок]" caption="Вкупно трошок" attribute="1" defaultMemberUniqueName="[fArtikliCeni].[Вкупно трошок].[All]" allUniqueName="[fArtikliCeni].[Вкупно трошок].[All]" dimensionUniqueName="[fArtikliCeni]" displayFolder="" count="0" memberValueDatatype="5" unbalanced="0"/>
    <cacheHierarchy uniqueName="[fArtikliCeni].[ДДВ]" caption="ДДВ" attribute="1" defaultMemberUniqueName="[fArtikliCeni].[ДДВ].[All]" allUniqueName="[fArtikliCeni].[ДДВ].[All]" dimensionUniqueName="[fArtikliCeni]" displayFolder="" count="0" memberValueDatatype="5" unbalanced="0"/>
    <cacheHierarchy uniqueName="[fArtikliCeni].[Износ]" caption="Износ" attribute="1" defaultMemberUniqueName="[fArtikliCeni].[Износ].[All]" allUniqueName="[fArtikliCeni].[Износ].[All]" dimensionUniqueName="[fArtikliCeni]" displayFolder="" count="0" memberValueDatatype="5" unbalanced="0"/>
    <cacheHierarchy uniqueName="[fArtikliCeni].[Конто]" caption="Конто" attribute="1" defaultMemberUniqueName="[fArtikliCeni].[Конто].[All]" allUniqueName="[fArtikliCeni].[Конто].[All]" dimensionUniqueName="[fArtikliCeni]" displayFolder="" count="0" memberValueDatatype="130" unbalanced="0"/>
    <cacheHierarchy uniqueName="[fArtikliCeni].[ReportType]" caption="ReportType" attribute="1" defaultMemberUniqueName="[fArtikliCeni].[ReportType].[All]" allUniqueName="[fArtikliCeni].[ReportType].[All]" dimensionUniqueName="[fArtikliCeni]" displayFolder="" count="0" memberValueDatatype="130" unbalanced="0"/>
    <cacheHierarchy uniqueName="[fArtikliCeni].[Период]" caption="Период" attribute="1" time="1" defaultMemberUniqueName="[fArtikliCeni].[Период].[All]" allUniqueName="[fArtikliCeni].[Период].[All]" dimensionUniqueName="[fArtikliCeni]" displayFolder="" count="0" memberValueDatatype="7" unbalanced="0"/>
    <cacheHierarchy uniqueName="[fArtikliCeni].[StavkaImeMK]" caption="StavkaImeMK" attribute="1" defaultMemberUniqueName="[fArtikliCeni].[StavkaImeMK].[All]" allUniqueName="[fArtikliCeni].[StavkaImeMK].[All]" dimensionUniqueName="[fArtikliCeni]" displayFolder="" count="0" memberValueDatatype="130" unbalanced="0"/>
    <cacheHierarchy uniqueName="[fArtikliCeni].[StavkaAOP]" caption="StavkaAOP" attribute="1" defaultMemberUniqueName="[fArtikliCeni].[StavkaAOP].[All]" allUniqueName="[fArtikliCeni].[StavkaAOP].[All]" dimensionUniqueName="[fArtikliCeni]" displayFolder="" count="0" memberValueDatatype="130" unbalanced="0"/>
    <cacheHierarchy uniqueName="[fArtikliCeni].[StavkaGrupa]" caption="StavkaGrupa" attribute="1" defaultMemberUniqueName="[fArtikliCeni].[StavkaGrupa].[All]" allUniqueName="[fArtikliCeni].[StavkaGrupa].[All]" dimensionUniqueName="[fArtikliCeni]" displayFolder="" count="0" memberValueDatatype="130" unbalanced="0"/>
    <cacheHierarchy uniqueName="[fArtikliCeni].[StavkaKategorija]" caption="StavkaKategorija" attribute="1" defaultMemberUniqueName="[fArtikliCeni].[StavkaKategorija].[All]" allUniqueName="[fArtikliCeni].[StavkaKategorija].[All]" dimensionUniqueName="[fArtikliCeni]" displayFolder="" count="0" memberValueDatatype="130" unbalanced="0"/>
    <cacheHierarchy uniqueName="[fArtikliCeni].[ObrazecIme]" caption="ObrazecIme" attribute="1" defaultMemberUniqueName="[fArtikliCeni].[ObrazecIme].[All]" allUniqueName="[fArtikliCeni].[ObrazecIme].[All]" dimensionUniqueName="[fArtikliCeni]" displayFolder="" count="0" memberValueDatatype="130" unbalanced="0"/>
    <cacheHierarchy uniqueName="[fCoveckiResursi].[Ставка]" caption="Ставка" attribute="1" defaultMemberUniqueName="[fCoveckiResursi].[Ставка].[All]" allUniqueName="[fCoveckiResursi].[Ставка].[All]" dimensionUniqueName="[fCoveckiResursi]" displayFolder="" count="0" memberValueDatatype="130" unbalanced="0"/>
    <cacheHierarchy uniqueName="[fCoveckiResursi].[Тип на вработување]" caption="Тип на вработување" attribute="1" defaultMemberUniqueName="[fCoveckiResursi].[Тип на вработување].[All]" allUniqueName="[fCoveckiResursi].[Тип на вработување].[All]" dimensionUniqueName="[fCoveckiResursi]" displayFolder="" count="0" memberValueDatatype="130" unbalanced="0"/>
    <cacheHierarchy uniqueName="[fCoveckiResursi].[Планиран прилив/(одлив)]" caption="Планиран прилив/(одлив)" attribute="1" defaultMemberUniqueName="[fCoveckiResursi].[Планиран прилив/(одлив)].[All]" allUniqueName="[fCoveckiResursi].[Планиран прилив/(одлив)].[All]" dimensionUniqueName="[fCoveckiResursi]" displayFolder="" count="0" memberValueDatatype="20" unbalanced="0"/>
    <cacheHierarchy uniqueName="[fCoveckiResursi].[Период]" caption="Период" attribute="1" time="1" defaultMemberUniqueName="[fCoveckiResursi].[Период].[All]" allUniqueName="[fCoveckiResursi].[Период].[All]" dimensionUniqueName="[fCoveckiResursi]" displayFolder="" count="0" memberValueDatatype="7" unbalanced="0"/>
    <cacheHierarchy uniqueName="[fCoveckiResursi].[Крајна состојба вработени]" caption="Крајна состојба вработени" attribute="1" defaultMemberUniqueName="[fCoveckiResursi].[Крајна состојба вработени].[All]" allUniqueName="[fCoveckiResursi].[Крајна состојба вработени].[All]" dimensionUniqueName="[fCoveckiResursi]" displayFolder="" count="0" memberValueDatatype="20" unbalanced="0"/>
    <cacheHierarchy uniqueName="[fCoveckiResursi].[Износ]" caption="Износ" attribute="1" defaultMemberUniqueName="[fCoveckiResursi].[Износ].[All]" allUniqueName="[fCoveckiResursi].[Износ].[All]" dimensionUniqueName="[fCoveckiResursi]" displayFolder="" count="0" memberValueDatatype="20" unbalanced="0"/>
    <cacheHierarchy uniqueName="[fCoveckiResursi].[Конто]" caption="Конто" attribute="1" defaultMemberUniqueName="[fCoveckiResursi].[Конто].[All]" allUniqueName="[fCoveckiResursi].[Конто].[All]" dimensionUniqueName="[fCoveckiResursi]" displayFolder="" count="0" memberValueDatatype="130" unbalanced="0"/>
    <cacheHierarchy uniqueName="[fCoveckiResursi].[ReportType]" caption="ReportType" attribute="1" defaultMemberUniqueName="[fCoveckiResursi].[ReportType].[All]" allUniqueName="[fCoveckiResursi].[ReportType].[All]" dimensionUniqueName="[fCoveckiResursi]" displayFolder="" count="0" memberValueDatatype="130" unbalanced="0"/>
    <cacheHierarchy uniqueName="[fCoveckiResursi].[Период (Year)]" caption="Период (Year)" attribute="1" defaultMemberUniqueName="[fCoveckiResursi].[Период (Year)].[All]" allUniqueName="[fCoveckiResursi].[Период (Year)].[All]" dimensionUniqueName="[fCoveckiResursi]" displayFolder="" count="0" memberValueDatatype="130" unbalanced="0"/>
    <cacheHierarchy uniqueName="[fCoveckiResursi].[Период (Quarter)]" caption="Период (Quarter)" attribute="1" defaultMemberUniqueName="[fCoveckiResursi].[Период (Quarter)].[All]" allUniqueName="[fCoveckiResursi].[Период (Quarter)].[All]" dimensionUniqueName="[fCoveckiResursi]" displayFolder="" count="0" memberValueDatatype="130" unbalanced="0"/>
    <cacheHierarchy uniqueName="[fCoveckiResursi].[Период (Month)]" caption="Период (Month)" attribute="1" defaultMemberUniqueName="[fCoveckiResursi].[Период (Month)].[All]" allUniqueName="[fCoveckiResursi].[Период (Month)].[All]" dimensionUniqueName="[fCoveckiResursi]" displayFolder="" count="0" memberValueDatatype="130" unbalanced="0"/>
    <cacheHierarchy uniqueName="[fCoveckiResursi].[Период (Year) 1]" caption="Период (Year) 1" attribute="1" defaultMemberUniqueName="[fCoveckiResursi].[Период (Year) 1].[All]" allUniqueName="[fCoveckiResursi].[Период (Year) 1].[All]" dimensionUniqueName="[fCoveckiResursi]" displayFolder="" count="0" memberValueDatatype="130" unbalanced="0"/>
    <cacheHierarchy uniqueName="[fCoveckiResursi].[Период (Quarter) 1]" caption="Период (Quarter) 1" attribute="1" defaultMemberUniqueName="[fCoveckiResursi].[Период (Quarter) 1].[All]" allUniqueName="[fCoveckiResursi].[Период (Quarter) 1].[All]" dimensionUniqueName="[fCoveckiResursi]" displayFolder="" count="0" memberValueDatatype="130" unbalanced="0"/>
    <cacheHierarchy uniqueName="[fCoveckiResursi].[Период (Month) 1]" caption="Период (Month) 1" attribute="1" defaultMemberUniqueName="[fCoveckiResursi].[Период (Month) 1].[All]" allUniqueName="[fCoveckiResursi].[Период (Month) 1].[All]" dimensionUniqueName="[fCoveckiResursi]" displayFolder="" count="0" memberValueDatatype="130" unbalanced="0"/>
    <cacheHierarchy uniqueName="[fCoveckiResursi  2].[Ставка]" caption="Ставка" attribute="1" defaultMemberUniqueName="[fCoveckiResursi  2].[Ставка].[All]" allUniqueName="[fCoveckiResursi  2].[Ставка].[All]" dimensionUniqueName="[fCoveckiResursi  2]" displayFolder="" count="2" memberValueDatatype="130" unbalanced="0">
      <fieldsUsage count="2">
        <fieldUsage x="-1"/>
        <fieldUsage x="5"/>
      </fieldsUsage>
    </cacheHierarchy>
    <cacheHierarchy uniqueName="[fCoveckiResursi  2].[Период]" caption="Период" attribute="1" time="1" defaultMemberUniqueName="[fCoveckiResursi  2].[Период].[All]" allUniqueName="[fCoveckiResursi  2].[Период].[All]" dimensionUniqueName="[fCoveckiResursi  2]" displayFolder="" count="0" memberValueDatatype="7" unbalanced="0"/>
    <cacheHierarchy uniqueName="[fCoveckiResursi  2].[Износ]" caption="Износ" attribute="1" defaultMemberUniqueName="[fCoveckiResursi  2].[Износ].[All]" allUniqueName="[fCoveckiResursi  2].[Износ].[All]" dimensionUniqueName="[fCoveckiResursi  2]" displayFolder="" count="0" memberValueDatatype="20" unbalanced="0"/>
    <cacheHierarchy uniqueName="[fCoveckiResursi  2].[Конто]" caption="Конто" attribute="1" defaultMemberUniqueName="[fCoveckiResursi  2].[Конто].[All]" allUniqueName="[fCoveckiResursi  2].[Конто].[All]" dimensionUniqueName="[fCoveckiResursi  2]" displayFolder="" count="0" memberValueDatatype="130" unbalanced="0"/>
    <cacheHierarchy uniqueName="[fCoveckiResursi  2].[ReportType]" caption="ReportType" attribute="1" defaultMemberUniqueName="[fCoveckiResursi  2].[ReportType].[All]" allUniqueName="[fCoveckiResursi  2].[ReportType].[All]" dimensionUniqueName="[fCoveckiResursi  2]" displayFolder="" count="0" memberValueDatatype="130" unbalanced="0"/>
    <cacheHierarchy uniqueName="[fCoveckiResursi  2].[StavkaImeMK]" caption="StavkaImeMK" attribute="1" defaultMemberUniqueName="[fCoveckiResursi  2].[StavkaImeMK].[All]" allUniqueName="[fCoveckiResursi  2].[StavkaImeMK].[All]" dimensionUniqueName="[fCoveckiResursi  2]" displayFolder="" count="2" memberValueDatatype="130" unbalanced="0">
      <fieldsUsage count="2">
        <fieldUsage x="-1"/>
        <fieldUsage x="9"/>
      </fieldsUsage>
    </cacheHierarchy>
    <cacheHierarchy uniqueName="[fCoveckiResursi  2].[StavkaKategorija]" caption="StavkaKategorija" attribute="1" defaultMemberUniqueName="[fCoveckiResursi  2].[StavkaKategorija].[All]" allUniqueName="[fCoveckiResursi  2].[StavkaKategorija].[All]" dimensionUniqueName="[fCoveckiResursi  2]" displayFolder="" count="2" memberValueDatatype="130" unbalanced="0">
      <fieldsUsage count="2">
        <fieldUsage x="-1"/>
        <fieldUsage x="6"/>
      </fieldsUsage>
    </cacheHierarchy>
    <cacheHierarchy uniqueName="[fCoveckiResursi  2].[ObrazecIme]" caption="ObrazecIme" attribute="1" defaultMemberUniqueName="[fCoveckiResursi  2].[ObrazecIme].[All]" allUniqueName="[fCoveckiResursi  2].[ObrazecIme].[All]" dimensionUniqueName="[fCoveckiResursi  2]" displayFolder="" count="2" memberValueDatatype="130" unbalanced="0">
      <fieldsUsage count="2">
        <fieldUsage x="-1"/>
        <fieldUsage x="8"/>
      </fieldsUsage>
    </cacheHierarchy>
    <cacheHierarchy uniqueName="[fOPEX].[Конто]" caption="Конто" attribute="1" defaultMemberUniqueName="[fOPEX].[Конто].[All]" allUniqueName="[fOPEX].[Конто].[All]" dimensionUniqueName="[fOPEX]" displayFolder="" count="0" memberValueDatatype="130" unbalanced="0"/>
    <cacheHierarchy uniqueName="[fOPEX].[Ставка]" caption="Ставка" attribute="1" defaultMemberUniqueName="[fOPEX].[Ставка].[All]" allUniqueName="[fOPEX].[Ставка].[All]" dimensionUniqueName="[fOPEX]" displayFolder="" count="0" memberValueDatatype="130" unbalanced="0"/>
    <cacheHierarchy uniqueName="[fOPEX].[Период]" caption="Период" attribute="1" time="1" defaultMemberUniqueName="[fOPEX].[Период].[All]" allUniqueName="[fOPEX].[Период].[All]" dimensionUniqueName="[fOPEX]" displayFolder="" count="0" memberValueDatatype="7" unbalanced="0"/>
    <cacheHierarchy uniqueName="[fOPEX].[Износ]" caption="Износ" attribute="1" defaultMemberUniqueName="[fOPEX].[Износ].[All]" allUniqueName="[fOPEX].[Износ].[All]" dimensionUniqueName="[fOPEX]" displayFolder="" count="0" memberValueDatatype="20" unbalanced="0"/>
    <cacheHierarchy uniqueName="[fOPEX].[ReportType]" caption="ReportType" attribute="1" defaultMemberUniqueName="[fOPEX].[ReportType].[All]" allUniqueName="[fOPEX].[ReportType].[All]" dimensionUniqueName="[fOPEX]" displayFolder="" count="0" memberValueDatatype="130" unbalanced="0"/>
    <cacheHierarchy uniqueName="[OPEXAnaliza].[Артикл ИД]" caption="Артикл ИД" attribute="1" defaultMemberUniqueName="[OPEXAnaliza].[Артикл ИД].[All]" allUniqueName="[OPEXAnaliza].[Артикл ИД].[All]" dimensionUniqueName="[OPEXAnaliza]" displayFolder="" count="0" memberValueDatatype="20" unbalanced="0"/>
    <cacheHierarchy uniqueName="[OPEXAnaliza].[Ставка]" caption="Ставка" attribute="1" defaultMemberUniqueName="[OPEXAnaliza].[Ставка].[All]" allUniqueName="[OPEXAnaliza].[Ставка].[All]" dimensionUniqueName="[OPEXAnaliza]" displayFolder="" count="0" memberValueDatatype="130" unbalanced="0"/>
    <cacheHierarchy uniqueName="[OPEXAnaliza].[Категорија Артикл ИД]" caption="Категорија Артикл ИД" attribute="1" defaultMemberUniqueName="[OPEXAnaliza].[Категорија Артикл ИД].[All]" allUniqueName="[OPEXAnaliza].[Категорија Артикл ИД].[All]" dimensionUniqueName="[OPEXAnaliza]" displayFolder="" count="0" memberValueDatatype="20" unbalanced="0"/>
    <cacheHierarchy uniqueName="[OPEXAnaliza].[Категорија Артикл]" caption="Категорија Артикл" attribute="1" defaultMemberUniqueName="[OPEXAnaliza].[Категорија Артикл].[All]" allUniqueName="[OPEXAnaliza].[Категорија Артикл].[All]" dimensionUniqueName="[OPEXAnaliza]" displayFolder="" count="0" memberValueDatatype="130" unbalanced="0"/>
    <cacheHierarchy uniqueName="[OPEXAnaliza].[Тип на артикл]" caption="Тип на артикл" attribute="1" defaultMemberUniqueName="[OPEXAnaliza].[Тип на артикл].[All]" allUniqueName="[OPEXAnaliza].[Тип на артикл].[All]" dimensionUniqueName="[OPEXAnaliza]" displayFolder="" count="0" memberValueDatatype="130" unbalanced="0"/>
    <cacheHierarchy uniqueName="[OPEXAnaliza].[Единечна мерка]" caption="Единечна мерка" attribute="1" defaultMemberUniqueName="[OPEXAnaliza].[Единечна мерка].[All]" allUniqueName="[OPEXAnaliza].[Единечна мерка].[All]" dimensionUniqueName="[OPEXAnaliza]" displayFolder="" count="0" memberValueDatatype="130" unbalanced="0"/>
    <cacheHierarchy uniqueName="[OPEXAnaliza].[Количина]" caption="Количина" attribute="1" defaultMemberUniqueName="[OPEXAnaliza].[Количина].[All]" allUniqueName="[OPEXAnaliza].[Количина].[All]" dimensionUniqueName="[OPEXAnaliza]" displayFolder="" count="0" memberValueDatatype="5" unbalanced="0"/>
    <cacheHierarchy uniqueName="[OPEXAnaliza].[Единечна цена]" caption="Единечна цена" attribute="1" defaultMemberUniqueName="[OPEXAnaliza].[Единечна цена].[All]" allUniqueName="[OPEXAnaliza].[Единечна цена].[All]" dimensionUniqueName="[OPEXAnaliza]" displayFolder="" count="0" memberValueDatatype="20" unbalanced="0"/>
    <cacheHierarchy uniqueName="[OPEXAnaliza].[Износ]" caption="Износ" attribute="1" defaultMemberUniqueName="[OPEXAnaliza].[Износ].[All]" allUniqueName="[OPEXAnaliza].[Износ].[All]" dimensionUniqueName="[OPEXAnaliza]" displayFolder="" count="0" memberValueDatatype="5" unbalanced="0"/>
    <cacheHierarchy uniqueName="[OPEXAnaliza].[ДДВ]" caption="ДДВ" attribute="1" defaultMemberUniqueName="[OPEXAnaliza].[ДДВ].[All]" allUniqueName="[OPEXAnaliza].[ДДВ].[All]" dimensionUniqueName="[OPEXAnaliza]" displayFolder="" count="0" memberValueDatatype="5" unbalanced="0"/>
    <cacheHierarchy uniqueName="[OPEXAnaliza].[Вкупно трошок со ДДВ]" caption="Вкупно трошок со ДДВ" attribute="1" defaultMemberUniqueName="[OPEXAnaliza].[Вкупно трошок со ДДВ].[All]" allUniqueName="[OPEXAnaliza].[Вкупно трошок со ДДВ].[All]" dimensionUniqueName="[OPEXAnaliza]" displayFolder="" count="0" memberValueDatatype="5" unbalanced="0"/>
    <cacheHierarchy uniqueName="[OPEXAnaliza].[Конто]" caption="Конто" attribute="1" defaultMemberUniqueName="[OPEXAnaliza].[Конто].[All]" allUniqueName="[OPEXAnaliza].[Конто].[All]" dimensionUniqueName="[OPEXAnaliza]" displayFolder="" count="0" memberValueDatatype="130" unbalanced="0"/>
    <cacheHierarchy uniqueName="[OPEXAnaliza].[Период]" caption="Период" attribute="1" time="1" defaultMemberUniqueName="[OPEXAnaliza].[Период].[All]" allUniqueName="[OPEXAnaliza].[Период].[All]" dimensionUniqueName="[OPEXAnaliza]" displayFolder="" count="0" memberValueDatatype="7" unbalanced="0"/>
    <cacheHierarchy uniqueName="[OPEXAnaliza].[ReportType]" caption="ReportType" attribute="1" defaultMemberUniqueName="[OPEXAnaliza].[ReportType].[All]" allUniqueName="[OPEXAnaliza].[ReportType].[All]" dimensionUniqueName="[OPEXAnaliza]" displayFolder="" count="2" memberValueDatatype="130" unbalanced="0">
      <fieldsUsage count="2">
        <fieldUsage x="-1"/>
        <fieldUsage x="4"/>
      </fieldsUsage>
    </cacheHierarchy>
    <cacheHierarchy uniqueName="[OPEXAnaliza].[StavkaImeMK]" caption="StavkaImeMK" attribute="1" defaultMemberUniqueName="[OPEXAnaliza].[StavkaImeMK].[All]" allUniqueName="[OPEXAnaliza].[StavkaImeMK].[All]" dimensionUniqueName="[OPEXAnaliza]" displayFolder="" count="0" memberValueDatatype="130" unbalanced="0"/>
    <cacheHierarchy uniqueName="[OPEXAnaliza].[StavkaKategorija]" caption="StavkaKategorija" attribute="1" defaultMemberUniqueName="[OPEXAnaliza].[StavkaKategorija].[All]" allUniqueName="[OPEXAnaliza].[StavkaKategorija].[All]" dimensionUniqueName="[OPEXAnaliza]" displayFolder="" count="0" memberValueDatatype="130" unbalanced="0"/>
    <cacheHierarchy uniqueName="[OPEXAnaliza].[ObrazecIme]" caption="ObrazecIme" attribute="1" defaultMemberUniqueName="[OPEXAnaliza].[ObrazecIme].[All]" allUniqueName="[OPEXAnaliza].[ObrazecIme].[All]" dimensionUniqueName="[OPEXAnaliza]" displayFolder="" count="0" memberValueDatatype="130" unbalanced="0"/>
    <cacheHierarchy uniqueName="[OPEXAnaliza].[StavkaImeAOP]" caption="StavkaImeAOP" attribute="1" defaultMemberUniqueName="[OPEXAnaliza].[StavkaImeAOP].[All]" allUniqueName="[OPEXAnaliza].[StavkaImeAOP].[All]" dimensionUniqueName="[OPEXAnaliza]" displayFolder="" count="0" memberValueDatatype="20" unbalanced="0"/>
    <cacheHierarchy uniqueName="[OPEXAnaliza].[Период (Year)]" caption="Период (Year)" attribute="1" defaultMemberUniqueName="[OPEXAnaliza].[Период (Year)].[All]" allUniqueName="[OPEXAnaliza].[Период (Year)].[All]" dimensionUniqueName="[OPEXAnaliza]" displayFolder="" count="0" memberValueDatatype="130" unbalanced="0"/>
    <cacheHierarchy uniqueName="[OPEXAnaliza].[Период (Quarter)]" caption="Период (Quarter)" attribute="1" defaultMemberUniqueName="[OPEXAnaliza].[Период (Quarter)].[All]" allUniqueName="[OPEXAnaliza].[Период (Quarter)].[All]" dimensionUniqueName="[OPEXAnaliza]" displayFolder="" count="0" memberValueDatatype="130" unbalanced="0"/>
    <cacheHierarchy uniqueName="[OPEXAnaliza].[Период (Month)]" caption="Период (Month)" attribute="1" defaultMemberUniqueName="[OPEXAnaliza].[Период (Month)].[All]" allUniqueName="[OPEXAnaliza].[Период (Month)].[All]" dimensionUniqueName="[OPEXAnaliza]" displayFolder="" count="0" memberValueDatatype="130" unbalanced="0"/>
    <cacheHierarchy uniqueName="[rArtikli_HR_Analiza].[Ставка]" caption="Ставка" attribute="1" defaultMemberUniqueName="[rArtikli_HR_Analiza].[Ставка].[All]" allUniqueName="[rArtikli_HR_Analiza].[Ставка].[All]" dimensionUniqueName="[rArtikli_HR_Analiza]" displayFolder="" count="0" memberValueDatatype="130" unbalanced="0"/>
    <cacheHierarchy uniqueName="[rArtikli_HR_Analiza].[Категорија Артикл]" caption="Категорија Артикл" attribute="1" defaultMemberUniqueName="[rArtikli_HR_Analiza].[Категорија Артикл].[All]" allUniqueName="[rArtikli_HR_Analiza].[Категорија Артикл].[All]" dimensionUniqueName="[rArtikli_HR_Analiza]" displayFolder="" count="0" memberValueDatatype="130" unbalanced="0"/>
    <cacheHierarchy uniqueName="[rArtikli_HR_Analiza].[Тип на артикл]" caption="Тип на артикл" attribute="1" defaultMemberUniqueName="[rArtikli_HR_Analiza].[Тип на артикл].[All]" allUniqueName="[rArtikli_HR_Analiza].[Тип на артикл].[All]" dimensionUniqueName="[rArtikli_HR_Analiza]" displayFolder="" count="0" memberValueDatatype="130" unbalanced="0"/>
    <cacheHierarchy uniqueName="[rArtikli_HR_Analiza].[Единечна мерка]" caption="Единечна мерка" attribute="1" defaultMemberUniqueName="[rArtikli_HR_Analiza].[Единечна мерка].[All]" allUniqueName="[rArtikli_HR_Analiza].[Единечна мерка].[All]" dimensionUniqueName="[rArtikli_HR_Analiza]" displayFolder="" count="0" memberValueDatatype="130" unbalanced="0"/>
    <cacheHierarchy uniqueName="[rArtikli_HR_Analiza].[Количина]" caption="Количина" attribute="1" defaultMemberUniqueName="[rArtikli_HR_Analiza].[Количина].[All]" allUniqueName="[rArtikli_HR_Analiza].[Количина].[All]" dimensionUniqueName="[rArtikli_HR_Analiza]" displayFolder="" count="0" memberValueDatatype="5" unbalanced="0"/>
    <cacheHierarchy uniqueName="[rArtikli_HR_Analiza].[Единечна цена]" caption="Единечна цена" attribute="1" defaultMemberUniqueName="[rArtikli_HR_Analiza].[Единечна цена].[All]" allUniqueName="[rArtikli_HR_Analiza].[Единечна цена].[All]" dimensionUniqueName="[rArtikli_HR_Analiza]" displayFolder="" count="0" memberValueDatatype="20" unbalanced="0"/>
    <cacheHierarchy uniqueName="[rArtikli_HR_Analiza].[Вкупно трошок]" caption="Вкупно трошок" attribute="1" defaultMemberUniqueName="[rArtikli_HR_Analiza].[Вкупно трошок].[All]" allUniqueName="[rArtikli_HR_Analiza].[Вкупно трошок].[All]" dimensionUniqueName="[rArtikli_HR_Analiza]" displayFolder="" count="0" memberValueDatatype="5" unbalanced="0"/>
    <cacheHierarchy uniqueName="[rArtikli_HR_Analiza].[ДДВ]" caption="ДДВ" attribute="1" defaultMemberUniqueName="[rArtikli_HR_Analiza].[ДДВ].[All]" allUniqueName="[rArtikli_HR_Analiza].[ДДВ].[All]" dimensionUniqueName="[rArtikli_HR_Analiza]" displayFolder="" count="0" memberValueDatatype="5" unbalanced="0"/>
    <cacheHierarchy uniqueName="[rArtikli_HR_Analiza].[Износ]" caption="Износ" attribute="1" defaultMemberUniqueName="[rArtikli_HR_Analiza].[Износ].[All]" allUniqueName="[rArtikli_HR_Analiza].[Износ].[All]" dimensionUniqueName="[rArtikli_HR_Analiza]" displayFolder="" count="0" memberValueDatatype="5" unbalanced="0"/>
    <cacheHierarchy uniqueName="[rArtikli_HR_Analiza].[Конто]" caption="Конто" attribute="1" defaultMemberUniqueName="[rArtikli_HR_Analiza].[Конто].[All]" allUniqueName="[rArtikli_HR_Analiza].[Конто].[All]" dimensionUniqueName="[rArtikli_HR_Analiza]" displayFolder="" count="0" memberValueDatatype="130" unbalanced="0"/>
    <cacheHierarchy uniqueName="[rArtikli_HR_Analiza].[ReportType]" caption="ReportType" attribute="1" defaultMemberUniqueName="[rArtikli_HR_Analiza].[ReportType].[All]" allUniqueName="[rArtikli_HR_Analiza].[ReportType].[All]" dimensionUniqueName="[rArtikli_HR_Analiza]" displayFolder="" count="0" memberValueDatatype="130" unbalanced="0"/>
    <cacheHierarchy uniqueName="[rArtikli_HR_Analiza].[Период]" caption="Период" attribute="1" time="1" defaultMemberUniqueName="[rArtikli_HR_Analiza].[Период].[All]" allUniqueName="[rArtikli_HR_Analiza].[Период].[All]" dimensionUniqueName="[rArtikli_HR_Analiza]" displayFolder="" count="0" memberValueDatatype="7" unbalanced="0"/>
    <cacheHierarchy uniqueName="[rArtikli_HR_Analiza].[StavkaImeMK]" caption="StavkaImeMK" attribute="1" defaultMemberUniqueName="[rArtikli_HR_Analiza].[StavkaImeMK].[All]" allUniqueName="[rArtikli_HR_Analiza].[StavkaImeMK].[All]" dimensionUniqueName="[rArtikli_HR_Analiza]" displayFolder="" count="0" memberValueDatatype="130" unbalanced="0"/>
    <cacheHierarchy uniqueName="[rArtikli_HR_Analiza].[StavkaAOP]" caption="StavkaAOP" attribute="1" defaultMemberUniqueName="[rArtikli_HR_Analiza].[StavkaAOP].[All]" allUniqueName="[rArtikli_HR_Analiza].[StavkaAOP].[All]" dimensionUniqueName="[rArtikli_HR_Analiza]" displayFolder="" count="0" memberValueDatatype="130" unbalanced="0"/>
    <cacheHierarchy uniqueName="[rArtikli_HR_Analiza].[StavkaGrupa]" caption="StavkaGrupa" attribute="1" defaultMemberUniqueName="[rArtikli_HR_Analiza].[StavkaGrupa].[All]" allUniqueName="[rArtikli_HR_Analiza].[StavkaGrupa].[All]" dimensionUniqueName="[rArtikli_HR_Analiza]" displayFolder="" count="0" memberValueDatatype="130" unbalanced="0"/>
    <cacheHierarchy uniqueName="[rArtikli_HR_Analiza].[StavkaKategorija]" caption="StavkaKategorija" attribute="1" defaultMemberUniqueName="[rArtikli_HR_Analiza].[StavkaKategorija].[All]" allUniqueName="[rArtikli_HR_Analiza].[StavkaKategorija].[All]" dimensionUniqueName="[rArtikli_HR_Analiza]" displayFolder="" count="0" memberValueDatatype="130" unbalanced="0"/>
    <cacheHierarchy uniqueName="[rArtikli_HR_Analiza].[ObrazecIme]" caption="ObrazecIme" attribute="1" defaultMemberUniqueName="[rArtikli_HR_Analiza].[ObrazecIme].[All]" allUniqueName="[rArtikli_HR_Analiza].[ObrazecIme].[All]" dimensionUniqueName="[rArtikli_HR_Analiza]" displayFolder="" count="0" memberValueDatatype="130" unbalanced="0"/>
    <cacheHierarchy uniqueName="[rArtikli_HR_Analiza].[StavkaKategorija.1]" caption="StavkaKategorija.1" attribute="1" defaultMemberUniqueName="[rArtikli_HR_Analiza].[StavkaKategorija.1].[All]" allUniqueName="[rArtikli_HR_Analiza].[StavkaKategorija.1].[All]" dimensionUniqueName="[rArtikli_HR_Analiza]" displayFolder="" count="0" memberValueDatatype="130" unbalanced="0"/>
    <cacheHierarchy uniqueName="[rArtikliAnaliza].[Артикл ИД]" caption="Артикл ИД" attribute="1" defaultMemberUniqueName="[rArtikliAnaliza].[Артикл ИД].[All]" allUniqueName="[rArtikliAnaliza].[Артикл ИД].[All]" dimensionUniqueName="[rArtikliAnaliza]" displayFolder="" count="0" memberValueDatatype="20" unbalanced="0"/>
    <cacheHierarchy uniqueName="[rArtikliAnaliza].[Ставка]" caption="Ставка" attribute="1" defaultMemberUniqueName="[rArtikliAnaliza].[Ставка].[All]" allUniqueName="[rArtikliAnaliza].[Ставка].[All]" dimensionUniqueName="[rArtikliAnaliza]" displayFolder="" count="0" memberValueDatatype="130" unbalanced="0"/>
    <cacheHierarchy uniqueName="[rArtikliAnaliza].[Категорија Артикл ИД]" caption="Категорија Артикл ИД" attribute="1" defaultMemberUniqueName="[rArtikliAnaliza].[Категорија Артикл ИД].[All]" allUniqueName="[rArtikliAnaliza].[Категорија Артикл ИД].[All]" dimensionUniqueName="[rArtikliAnaliza]" displayFolder="" count="0" memberValueDatatype="20" unbalanced="0"/>
    <cacheHierarchy uniqueName="[rArtikliAnaliza].[Категорија Артикл]" caption="Категорија Артикл" attribute="1" defaultMemberUniqueName="[rArtikliAnaliza].[Категорија Артикл].[All]" allUniqueName="[rArtikliAnaliza].[Категорија Артикл].[All]" dimensionUniqueName="[rArtikliAnaliza]" displayFolder="" count="0" memberValueDatatype="130" unbalanced="0"/>
    <cacheHierarchy uniqueName="[rArtikliAnaliza].[Тип на артикл]" caption="Тип на артикл" attribute="1" defaultMemberUniqueName="[rArtikliAnaliza].[Тип на артикл].[All]" allUniqueName="[rArtikliAnaliza].[Тип на артикл].[All]" dimensionUniqueName="[rArtikliAnaliza]" displayFolder="" count="0" memberValueDatatype="130" unbalanced="0"/>
    <cacheHierarchy uniqueName="[rArtikliAnaliza].[Единечна мерка]" caption="Единечна мерка" attribute="1" defaultMemberUniqueName="[rArtikliAnaliza].[Единечна мерка].[All]" allUniqueName="[rArtikliAnaliza].[Единечна мерка].[All]" dimensionUniqueName="[rArtikliAnaliza]" displayFolder="" count="0" memberValueDatatype="130" unbalanced="0"/>
    <cacheHierarchy uniqueName="[rArtikliAnaliza].[Количина]" caption="Количина" attribute="1" defaultMemberUniqueName="[rArtikliAnaliza].[Количина].[All]" allUniqueName="[rArtikliAnaliza].[Количина].[All]" dimensionUniqueName="[rArtikliAnaliza]" displayFolder="" count="0" memberValueDatatype="5" unbalanced="0"/>
    <cacheHierarchy uniqueName="[rArtikliAnaliza].[Единечна цена]" caption="Единечна цена" attribute="1" defaultMemberUniqueName="[rArtikliAnaliza].[Единечна цена].[All]" allUniqueName="[rArtikliAnaliza].[Единечна цена].[All]" dimensionUniqueName="[rArtikliAnaliza]" displayFolder="" count="0" memberValueDatatype="20" unbalanced="0"/>
    <cacheHierarchy uniqueName="[rArtikliAnaliza].[Износ]" caption="Износ" attribute="1" defaultMemberUniqueName="[rArtikliAnaliza].[Износ].[All]" allUniqueName="[rArtikliAnaliza].[Износ].[All]" dimensionUniqueName="[rArtikliAnaliza]" displayFolder="" count="0" memberValueDatatype="5" unbalanced="0"/>
    <cacheHierarchy uniqueName="[rArtikliAnaliza].[ДДВ]" caption="ДДВ" attribute="1" defaultMemberUniqueName="[rArtikliAnaliza].[ДДВ].[All]" allUniqueName="[rArtikliAnaliza].[ДДВ].[All]" dimensionUniqueName="[rArtikliAnaliza]" displayFolder="" count="0" memberValueDatatype="5" unbalanced="0"/>
    <cacheHierarchy uniqueName="[rArtikliAnaliza].[Вкупно трошок со ДДВ]" caption="Вкупно трошок со ДДВ" attribute="1" defaultMemberUniqueName="[rArtikliAnaliza].[Вкупно трошок со ДДВ].[All]" allUniqueName="[rArtikliAnaliza].[Вкупно трошок со ДДВ].[All]" dimensionUniqueName="[rArtikliAnaliza]" displayFolder="" count="0" memberValueDatatype="5" unbalanced="0"/>
    <cacheHierarchy uniqueName="[rArtikliAnaliza].[Конто]" caption="Конто" attribute="1" defaultMemberUniqueName="[rArtikliAnaliza].[Конто].[All]" allUniqueName="[rArtikliAnaliza].[Конто].[All]" dimensionUniqueName="[rArtikliAnaliza]" displayFolder="" count="0" memberValueDatatype="130" unbalanced="0"/>
    <cacheHierarchy uniqueName="[rArtikliAnaliza].[Период]" caption="Период" attribute="1" time="1" defaultMemberUniqueName="[rArtikliAnaliza].[Период].[All]" allUniqueName="[rArtikliAnaliza].[Период].[All]" dimensionUniqueName="[rArtikliAnaliza]" displayFolder="" count="0" memberValueDatatype="7" unbalanced="0"/>
    <cacheHierarchy uniqueName="[rArtikliAnaliza].[ReportType]" caption="ReportType" attribute="1" defaultMemberUniqueName="[rArtikliAnaliza].[ReportType].[All]" allUniqueName="[rArtikliAnaliza].[ReportType].[All]" dimensionUniqueName="[rArtikliAnaliza]" displayFolder="" count="0" memberValueDatatype="130" unbalanced="0"/>
    <cacheHierarchy uniqueName="[rArtikliAnaliza].[StavkaImeMK]" caption="StavkaImeMK" attribute="1" defaultMemberUniqueName="[rArtikliAnaliza].[StavkaImeMK].[All]" allUniqueName="[rArtikliAnaliza].[StavkaImeMK].[All]" dimensionUniqueName="[rArtikliAnaliza]" displayFolder="" count="0" memberValueDatatype="130" unbalanced="0"/>
    <cacheHierarchy uniqueName="[rArtikliAnaliza].[StavkaKategorija]" caption="StavkaKategorija" attribute="1" defaultMemberUniqueName="[rArtikliAnaliza].[StavkaKategorija].[All]" allUniqueName="[rArtikliAnaliza].[StavkaKategorija].[All]" dimensionUniqueName="[rArtikliAnaliza]" displayFolder="" count="0" memberValueDatatype="130" unbalanced="0"/>
    <cacheHierarchy uniqueName="[rArtikliAnaliza].[Период (Year)]" caption="Период (Year)" attribute="1" defaultMemberUniqueName="[rArtikliAnaliza].[Период (Year)].[All]" allUniqueName="[rArtikliAnaliza].[Период (Year)].[All]" dimensionUniqueName="[rArtikliAnaliza]" displayFolder="" count="0" memberValueDatatype="130" unbalanced="0"/>
    <cacheHierarchy uniqueName="[rArtikliAnaliza].[Период (Quarter)]" caption="Период (Quarter)" attribute="1" defaultMemberUniqueName="[rArtikliAnaliza].[Период (Quarter)].[All]" allUniqueName="[rArtikliAnaliza].[Период (Quarter)].[All]" dimensionUniqueName="[rArtikliAnaliza]" displayFolder="" count="0" memberValueDatatype="130" unbalanced="0"/>
    <cacheHierarchy uniqueName="[rArtikliAnaliza].[Период (Month)]" caption="Период (Month)" attribute="1" defaultMemberUniqueName="[rArtikliAnaliza].[Период (Month)].[All]" allUniqueName="[rArtikliAnaliza].[Период (Month)].[All]" dimensionUniqueName="[rArtikliAnaliza]" displayFolder="" count="0" memberValueDatatype="130" unbalanced="0"/>
    <cacheHierarchy uniqueName="[CAPEX].[Очекуван датум за ставање во употреба (месец) (Month Index)]" caption="Очекуван датум за ставање во употреба (месец) (Month Index)" attribute="1" defaultMemberUniqueName="[CAPEX].[Очекуван датум за ставање во употреба (месец) (Month Index)].[All]" allUniqueName="[CAPEX].[Очекуван датум за ставање во употреба (месец) (Month Index)].[All]" dimensionUniqueName="[CAPEX]" displayFolder="" count="0" memberValueDatatype="20" unbalanced="0" hidden="1"/>
    <cacheHierarchy uniqueName="[CAPEX].[Очекуван датум на плаќање (Month Index)]" caption="Очекуван датум на плаќање (Month Index)" attribute="1" defaultMemberUniqueName="[CAPEX].[Очекуван датум на плаќање (Month Index)].[All]" allUniqueName="[CAPEX].[Очекуван датум на плаќање (Month Index)].[All]" dimensionUniqueName="[CAPEX]" displayFolder="" count="0" memberValueDatatype="20" unbalanced="0" hidden="1"/>
    <cacheHierarchy uniqueName="[fActualAndBudget].[StavkaID]" caption="StavkaID" attribute="1" defaultMemberUniqueName="[fActualAndBudget].[StavkaID].[All]" allUniqueName="[fActualAndBudget].[StavkaID].[All]" dimensionUniqueName="[fActualAndBudget]" displayFolder="" count="0" memberValueDatatype="20" unbalanced="0" hidden="1"/>
    <cacheHierarchy uniqueName="[fCoveckiResursi].[Период (Month Index)]" caption="Период (Month Index)" attribute="1" defaultMemberUniqueName="[fCoveckiResursi].[Период (Month Index)].[All]" allUniqueName="[fCoveckiResursi].[Период (Month Index)].[All]" dimensionUniqueName="[fCoveckiResursi]" displayFolder="" count="0" memberValueDatatype="20" unbalanced="0" hidden="1"/>
    <cacheHierarchy uniqueName="[fCoveckiResursi].[Период (Month Index) 1]" caption="Период (Month Index) 1" attribute="1" defaultMemberUniqueName="[fCoveckiResursi].[Период (Month Index) 1].[All]" allUniqueName="[fCoveckiResursi].[Период (Month Index) 1].[All]" dimensionUniqueName="[fCoveckiResursi]" displayFolder="" count="0" memberValueDatatype="20" unbalanced="0" hidden="1"/>
    <cacheHierarchy uniqueName="[OPEXAnaliza].[Период (Month Index)]" caption="Период (Month Index)" attribute="1" defaultMemberUniqueName="[OPEXAnaliza].[Период (Month Index)].[All]" allUniqueName="[OPEXAnaliza].[Период (Month Index)].[All]" dimensionUniqueName="[OPEXAnaliza]" displayFolder="" count="0" memberValueDatatype="20" unbalanced="0" hidden="1"/>
    <cacheHierarchy uniqueName="[rArtikli_HR_Analiza].[Крајна состојба вработени]" caption="Крајна состојба вработени" attribute="1" defaultMemberUniqueName="[rArtikli_HR_Analiza].[Крајна состојба вработени].[All]" allUniqueName="[rArtikli_HR_Analiza].[Крајна состојба вработени].[All]" dimensionUniqueName="[rArtikli_HR_Analiza]" displayFolder="" count="0" memberValueDatatype="20" unbalanced="0" hidden="1"/>
    <cacheHierarchy uniqueName="[rArtikli_HR_Analiza].[Планиран прилив/(одлив)]" caption="Планиран прилив/(одлив)" attribute="1" defaultMemberUniqueName="[rArtikli_HR_Analiza].[Планиран прилив/(одлив)].[All]" allUniqueName="[rArtikli_HR_Analiza].[Планиран прилив/(одлив)].[All]" dimensionUniqueName="[rArtikli_HR_Analiza]" displayFolder="" count="0" memberValueDatatype="20" unbalanced="0" hidden="1"/>
    <cacheHierarchy uniqueName="[rArtikli_HR_Analiza].[Тип на вработување]" caption="Тип на вработување" attribute="1" defaultMemberUniqueName="[rArtikli_HR_Analiza].[Тип на вработување].[All]" allUniqueName="[rArtikli_HR_Analiza].[Тип на вработување].[All]" dimensionUniqueName="[rArtikli_HR_Analiza]" displayFolder="" count="0" memberValueDatatype="130" unbalanced="0" hidden="1"/>
    <cacheHierarchy uniqueName="[rArtikliAnaliza].[Период (Month Index)]" caption="Период (Month Index)" attribute="1" defaultMemberUniqueName="[rArtikliAnaliza].[Период (Month Index)].[All]" allUniqueName="[rArtikliAnaliza].[Период (Month Index)].[All]" dimensionUniqueName="[rArtikliAnaliza]" displayFolder="" count="0" memberValueDatatype="20" unbalanced="0" hidden="1"/>
    <cacheHierarchy uniqueName="[Measures].[__XL_Count Calendar]" caption="__XL_Count Calendar" measure="1" displayFolder="" measureGroup="Calendar" count="0" hidden="1"/>
    <cacheHierarchy uniqueName="[Measures].[__XL_Count CAPEX]" caption="__XL_Count CAPEX" measure="1" displayFolder="" measureGroup="CAPEX" count="0" hidden="1"/>
    <cacheHierarchy uniqueName="[Measures].[__XL_Count Amortizacija]" caption="__XL_Count Amortizacija" measure="1" displayFolder="" measureGroup="Amortizacija" count="0" hidden="1"/>
    <cacheHierarchy uniqueName="[Measures].[__XL_Count fCoveckiResursi]" caption="__XL_Count fCoveckiResursi" measure="1" displayFolder="" measureGroup="fCoveckiResursi" count="0" hidden="1"/>
    <cacheHierarchy uniqueName="[Measures].[__XL_Count fActualAndBudget]" caption="__XL_Count fActualAndBudget" measure="1" displayFolder="" measureGroup="fActualAndBudget" count="0" hidden="1"/>
    <cacheHierarchy uniqueName="[Measures].[__XL_Count fOPEX]" caption="__XL_Count fOPEX" measure="1" displayFolder="" measureGroup="fOPEX" count="0" hidden="1"/>
    <cacheHierarchy uniqueName="[Measures].[__XL_Count OPEXAnaliza]" caption="__XL_Count OPEXAnaliza" measure="1" displayFolder="" measureGroup="OPEXAnaliza" count="0" hidden="1"/>
    <cacheHierarchy uniqueName="[Measures].[__XL_Count rArtikliAnaliza]" caption="__XL_Count rArtikliAnaliza" measure="1" displayFolder="" measureGroup="rArtikliAnaliza" count="0" hidden="1"/>
    <cacheHierarchy uniqueName="[Measures].[__XL_Count fArtikliCeni]" caption="__XL_Count fArtikliCeni" measure="1" displayFolder="" measureGroup="fArtikliCeni" count="0" hidden="1"/>
    <cacheHierarchy uniqueName="[Measures].[__XL_Count rArtikli_HR_Analiza]" caption="__XL_Count rArtikli_HR_Analiza" measure="1" displayFolder="" measureGroup="rArtikli_HR_Analiza" count="0" hidden="1"/>
    <cacheHierarchy uniqueName="[Measures].[__XL_Count fCoveckiResursi  2]" caption="__XL_Count fCoveckiResursi  2" measure="1" displayFolder="" measureGroup="fCoveckiResursi  2" count="0" hidden="1"/>
    <cacheHierarchy uniqueName="[Measures].[__No measures defined]" caption="__No measures defined" measure="1" displayFolder="" count="0" hidden="1"/>
    <cacheHierarchy uniqueName="[Measures].[Sum of Износ 3]" caption="Sum of Износ 3" measure="1" displayFolder="" measureGroup="fCoveckiResursi" count="0" hidden="1">
      <extLst>
        <ext xmlns:x15="http://schemas.microsoft.com/office/spreadsheetml/2010/11/main" uri="{B97F6D7D-B522-45F9-BDA1-12C45D357490}">
          <x15:cacheHierarchy aggregatedColumn="71"/>
        </ext>
      </extLst>
    </cacheHierarchy>
    <cacheHierarchy uniqueName="[Measures].[Sum of Крајна состојба вработени]" caption="Sum of Крајна состојба вработени" measure="1" displayFolder="" measureGroup="fCoveckiResursi" count="0" hidden="1">
      <extLst>
        <ext xmlns:x15="http://schemas.microsoft.com/office/spreadsheetml/2010/11/main" uri="{B97F6D7D-B522-45F9-BDA1-12C45D357490}">
          <x15:cacheHierarchy aggregatedColumn="70"/>
        </ext>
      </extLst>
    </cacheHierarchy>
    <cacheHierarchy uniqueName="[Measures].[Sum of Планиран прилив/(одлив)]" caption="Sum of Планиран прилив/(одлив)" measure="1" displayFolder="" measureGroup="fCoveckiResursi" count="0" hidden="1">
      <extLst>
        <ext xmlns:x15="http://schemas.microsoft.com/office/spreadsheetml/2010/11/main" uri="{B97F6D7D-B522-45F9-BDA1-12C45D357490}">
          <x15:cacheHierarchy aggregatedColumn="68"/>
        </ext>
      </extLst>
    </cacheHierarchy>
    <cacheHierarchy uniqueName="[Measures].[Sum of Износ]" caption="Sum of Износ" measure="1" displayFolder="" measureGroup="fActualAndBudget" count="0" hidden="1">
      <extLst>
        <ext xmlns:x15="http://schemas.microsoft.com/office/spreadsheetml/2010/11/main" uri="{B97F6D7D-B522-45F9-BDA1-12C45D357490}">
          <x15:cacheHierarchy aggregatedColumn="45"/>
        </ext>
      </extLst>
    </cacheHierarchy>
    <cacheHierarchy uniqueName="[Measures].[Sum of Износ (илјади)]" caption="Sum of Износ (илјади)" measure="1" displayFolder="" measureGroup="fActualAndBudget" count="0" hidden="1">
      <extLst>
        <ext xmlns:x15="http://schemas.microsoft.com/office/spreadsheetml/2010/11/main" uri="{B97F6D7D-B522-45F9-BDA1-12C45D357490}">
          <x15:cacheHierarchy aggregatedColumn="46"/>
        </ext>
      </extLst>
    </cacheHierarchy>
    <cacheHierarchy uniqueName="[Measures].[Sum of Износ1]" caption="Sum of Износ1" measure="1" displayFolder="" measureGroup="fActualAndBudget" count="0" hidden="1">
      <extLst>
        <ext xmlns:x15="http://schemas.microsoft.com/office/spreadsheetml/2010/11/main" uri="{B97F6D7D-B522-45F9-BDA1-12C45D357490}">
          <x15:cacheHierarchy aggregatedColumn="34"/>
        </ext>
      </extLst>
    </cacheHierarchy>
    <cacheHierarchy uniqueName="[Measures].[Sum of Износ 2]" caption="Sum of Износ 2" measure="1" displayFolder="" measureGroup="Amortizacija" count="0" hidden="1">
      <extLst>
        <ext xmlns:x15="http://schemas.microsoft.com/office/spreadsheetml/2010/11/main" uri="{B97F6D7D-B522-45F9-BDA1-12C45D357490}">
          <x15:cacheHierarchy aggregatedColumn="3"/>
        </ext>
      </extLst>
    </cacheHierarchy>
    <cacheHierarchy uniqueName="[Measures].[Sum of Износ 4]" caption="Sum of Износ 4" measure="1" displayFolder="" measureGroup="OPEXAnaliza" count="0" hidden="1">
      <extLst>
        <ext xmlns:x15="http://schemas.microsoft.com/office/spreadsheetml/2010/11/main" uri="{B97F6D7D-B522-45F9-BDA1-12C45D357490}">
          <x15:cacheHierarchy aggregatedColumn="101"/>
        </ext>
      </extLst>
    </cacheHierarchy>
    <cacheHierarchy uniqueName="[Measures].[Sum of Износ донација]" caption="Sum of Износ донација" measure="1" displayFolder="" measureGroup="CAPEX" count="0" hidden="1">
      <extLst>
        <ext xmlns:x15="http://schemas.microsoft.com/office/spreadsheetml/2010/11/main" uri="{B97F6D7D-B522-45F9-BDA1-12C45D357490}">
          <x15:cacheHierarchy aggregatedColumn="24"/>
        </ext>
      </extLst>
    </cacheHierarchy>
    <cacheHierarchy uniqueName="[Measures].[Sum of Вкупно трошок]" caption="Sum of Вкупно трошок" measure="1" displayFolder="" measureGroup="fArtikliCeni" count="0" hidden="1">
      <extLst>
        <ext xmlns:x15="http://schemas.microsoft.com/office/spreadsheetml/2010/11/main" uri="{B97F6D7D-B522-45F9-BDA1-12C45D357490}">
          <x15:cacheHierarchy aggregatedColumn="55"/>
        </ext>
      </extLst>
    </cacheHierarchy>
    <cacheHierarchy uniqueName="[Measures].[Sum of Количина]" caption="Sum of Количина" measure="1" displayFolder="" measureGroup="fArtikliCeni" count="0" hidden="1">
      <extLst>
        <ext xmlns:x15="http://schemas.microsoft.com/office/spreadsheetml/2010/11/main" uri="{B97F6D7D-B522-45F9-BDA1-12C45D357490}">
          <x15:cacheHierarchy aggregatedColumn="53"/>
        </ext>
      </extLst>
    </cacheHierarchy>
    <cacheHierarchy uniqueName="[Measures].[Sum of Единечна цена]" caption="Sum of Единечна цена" measure="1" displayFolder="" measureGroup="fArtikliCeni" count="0" hidden="1">
      <extLst>
        <ext xmlns:x15="http://schemas.microsoft.com/office/spreadsheetml/2010/11/main" uri="{B97F6D7D-B522-45F9-BDA1-12C45D357490}">
          <x15:cacheHierarchy aggregatedColumn="54"/>
        </ext>
      </extLst>
    </cacheHierarchy>
    <cacheHierarchy uniqueName="[Measures].[Sum of ДДВ]" caption="Sum of ДДВ" measure="1" displayFolder="" measureGroup="fArtikliCeni" count="0" hidden="1">
      <extLst>
        <ext xmlns:x15="http://schemas.microsoft.com/office/spreadsheetml/2010/11/main" uri="{B97F6D7D-B522-45F9-BDA1-12C45D357490}">
          <x15:cacheHierarchy aggregatedColumn="56"/>
        </ext>
      </extLst>
    </cacheHierarchy>
    <cacheHierarchy uniqueName="[Measures].[Sum of Износ 6]" caption="Sum of Износ 6" measure="1" displayFolder="" measureGroup="fArtikliCeni" count="0" hidden="1">
      <extLst>
        <ext xmlns:x15="http://schemas.microsoft.com/office/spreadsheetml/2010/11/main" uri="{B97F6D7D-B522-45F9-BDA1-12C45D357490}">
          <x15:cacheHierarchy aggregatedColumn="57"/>
        </ext>
      </extLst>
    </cacheHierarchy>
    <cacheHierarchy uniqueName="[Measures].[Count of Единечна мерка]" caption="Count of Единечна мерка" measure="1" displayFolder="" measureGroup="fArtikliCeni" count="0" hidden="1">
      <extLst>
        <ext xmlns:x15="http://schemas.microsoft.com/office/spreadsheetml/2010/11/main" uri="{B97F6D7D-B522-45F9-BDA1-12C45D357490}">
          <x15:cacheHierarchy aggregatedColumn="52"/>
        </ext>
      </extLst>
    </cacheHierarchy>
    <cacheHierarchy uniqueName="[Measures].[Sum of Количина 2]" caption="Sum of Количина 2" measure="1" displayFolder="" measureGroup="rArtikli_HR_Analiza" count="0" hidden="1">
      <extLst>
        <ext xmlns:x15="http://schemas.microsoft.com/office/spreadsheetml/2010/11/main" uri="{B97F6D7D-B522-45F9-BDA1-12C45D357490}">
          <x15:cacheHierarchy aggregatedColumn="118"/>
        </ext>
      </extLst>
    </cacheHierarchy>
    <cacheHierarchy uniqueName="[Measures].[Sum of Единечна цена 2]" caption="Sum of Единечна цена 2" measure="1" displayFolder="" measureGroup="rArtikli_HR_Analiza" count="0" hidden="1">
      <extLst>
        <ext xmlns:x15="http://schemas.microsoft.com/office/spreadsheetml/2010/11/main" uri="{B97F6D7D-B522-45F9-BDA1-12C45D357490}">
          <x15:cacheHierarchy aggregatedColumn="119"/>
        </ext>
      </extLst>
    </cacheHierarchy>
    <cacheHierarchy uniqueName="[Measures].[Sum of Вкупно трошок 2]" caption="Sum of Вкупно трошок 2" measure="1" displayFolder="" measureGroup="rArtikli_HR_Analiza" count="0" hidden="1">
      <extLst>
        <ext xmlns:x15="http://schemas.microsoft.com/office/spreadsheetml/2010/11/main" uri="{B97F6D7D-B522-45F9-BDA1-12C45D357490}">
          <x15:cacheHierarchy aggregatedColumn="120"/>
        </ext>
      </extLst>
    </cacheHierarchy>
    <cacheHierarchy uniqueName="[Measures].[Sum of ДДВ 2]" caption="Sum of ДДВ 2" measure="1" displayFolder="" measureGroup="rArtikli_HR_Analiza" count="0" hidden="1">
      <extLst>
        <ext xmlns:x15="http://schemas.microsoft.com/office/spreadsheetml/2010/11/main" uri="{B97F6D7D-B522-45F9-BDA1-12C45D357490}">
          <x15:cacheHierarchy aggregatedColumn="121"/>
        </ext>
      </extLst>
    </cacheHierarchy>
    <cacheHierarchy uniqueName="[Measures].[Sum of Износ 7]" caption="Sum of Износ 7" measure="1" displayFolder="" measureGroup="rArtikli_HR_Analiza" count="0" hidden="1">
      <extLst>
        <ext xmlns:x15="http://schemas.microsoft.com/office/spreadsheetml/2010/11/main" uri="{B97F6D7D-B522-45F9-BDA1-12C45D357490}">
          <x15:cacheHierarchy aggregatedColumn="122"/>
        </ext>
      </extLst>
    </cacheHierarchy>
    <cacheHierarchy uniqueName="[Measures].[Sum of Износ 5]" caption="Sum of Износ 5" measure="1" displayFolder="" measureGroup="fCoveckiResursi  2" count="0" oneField="1" hidden="1">
      <fieldsUsage count="1">
        <fieldUsage x="7"/>
      </fieldsUsage>
      <extLst>
        <ext xmlns:x15="http://schemas.microsoft.com/office/spreadsheetml/2010/11/main" uri="{B97F6D7D-B522-45F9-BDA1-12C45D357490}">
          <x15:cacheHierarchy aggregatedColumn="82"/>
        </ext>
      </extLst>
    </cacheHierarchy>
    <cacheHierarchy uniqueName="[Measures].[Sum of Проценета вредност на набавка со ДДВ (денари)]" caption="Sum of Проценета вредност на набавка со ДДВ (денари)" measure="1" displayFolder="" measureGroup="CAPEX" count="0" hidden="1">
      <extLst>
        <ext xmlns:x15="http://schemas.microsoft.com/office/spreadsheetml/2010/11/main" uri="{B97F6D7D-B522-45F9-BDA1-12C45D357490}">
          <x15:cacheHierarchy aggregatedColumn="20"/>
        </ext>
      </extLst>
    </cacheHierarchy>
  </cacheHierarchies>
  <kpis count="0"/>
  <dimensions count="12">
    <dimension name="Amortizacija" uniqueName="[Amortizacija]" caption="Amortizacija"/>
    <dimension name="Calendar" uniqueName="[Calendar]" caption="Calendar"/>
    <dimension name="CAPEX" uniqueName="[CAPEX]" caption="CAPEX"/>
    <dimension name="fActualAndBudget" uniqueName="[fActualAndBudget]" caption="fActualAndBudget"/>
    <dimension name="fArtikliCeni" uniqueName="[fArtikliCeni]" caption="fArtikliCeni"/>
    <dimension name="fCoveckiResursi" uniqueName="[fCoveckiResursi]" caption="fCoveckiResursi"/>
    <dimension name="fCoveckiResursi  2" uniqueName="[fCoveckiResursi  2]" caption="fCoveckiResursi  2"/>
    <dimension name="fOPEX" uniqueName="[fOPEX]" caption="fOPEX"/>
    <dimension measure="1" name="Measures" uniqueName="[Measures]" caption="Measures"/>
    <dimension name="OPEXAnaliza" uniqueName="[OPEXAnaliza]" caption="OPEXAnaliza"/>
    <dimension name="rArtikli_HR_Analiza" uniqueName="[rArtikli_HR_Analiza]" caption="rArtikli_HR_Analiza"/>
    <dimension name="rArtikliAnaliza" uniqueName="[rArtikliAnaliza]" caption="rArtikliAnaliza"/>
  </dimensions>
  <measureGroups count="11">
    <measureGroup name="Amortizacija" caption="Amortizacija"/>
    <measureGroup name="Calendar" caption="Calendar"/>
    <measureGroup name="CAPEX" caption="CAPEX"/>
    <measureGroup name="fActualAndBudget" caption="fActualAndBudget"/>
    <measureGroup name="fArtikliCeni" caption="fArtikliCeni"/>
    <measureGroup name="fCoveckiResursi" caption="fCoveckiResursi"/>
    <measureGroup name="fCoveckiResursi  2" caption="fCoveckiResursi  2"/>
    <measureGroup name="fOPEX" caption="fOPEX"/>
    <measureGroup name="OPEXAnaliza" caption="OPEXAnaliza"/>
    <measureGroup name="rArtikli_HR_Analiza" caption="rArtikli_HR_Analiza"/>
    <measureGroup name="rArtikliAnaliza" caption="rArtikliAnaliza"/>
  </measureGroups>
  <maps count="19">
    <map measureGroup="0" dimension="0"/>
    <map measureGroup="0" dimension="1"/>
    <map measureGroup="1" dimension="1"/>
    <map measureGroup="2" dimension="1"/>
    <map measureGroup="2" dimension="2"/>
    <map measureGroup="3" dimension="1"/>
    <map measureGroup="3" dimension="3"/>
    <map measureGroup="4" dimension="4"/>
    <map measureGroup="5" dimension="1"/>
    <map measureGroup="5" dimension="5"/>
    <map measureGroup="6" dimension="1"/>
    <map measureGroup="6" dimension="6"/>
    <map measureGroup="7" dimension="1"/>
    <map measureGroup="7" dimension="7"/>
    <map measureGroup="8" dimension="1"/>
    <map measureGroup="8" dimension="9"/>
    <map measureGroup="9" dimension="10"/>
    <map measureGroup="10" dimension="1"/>
    <map measureGroup="10" dimension="1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9.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ngela Sazdova - Doneva" refreshedDate="44900.418479629632" createdVersion="5" refreshedVersion="6" minRefreshableVersion="3" recordCount="0" supportSubquery="1" supportAdvancedDrill="1" xr:uid="{00000000-000A-0000-FFFF-FFFF05000000}">
  <cacheSource type="external" connectionId="22"/>
  <cacheFields count="10">
    <cacheField name="[Calendar].[Година].[Година]" caption="Година" numFmtId="0" hierarchy="8" level="1">
      <sharedItems containsSemiMixedTypes="0" containsString="0" containsNumber="1" containsInteger="1" minValue="2018" maxValue="2020" count="3">
        <n v="2020"/>
        <n v="2019" u="1"/>
        <n v="2018" u="1"/>
      </sharedItems>
      <extLst>
        <ext xmlns:x15="http://schemas.microsoft.com/office/spreadsheetml/2010/11/main" uri="{4F2E5C28-24EA-4eb8-9CBF-B6C8F9C3D259}">
          <x15:cachedUniqueNames>
            <x15:cachedUniqueName index="0" name="[Calendar].[Година].&amp;[2020]"/>
            <x15:cachedUniqueName index="1" name="[Calendar].[Година].&amp;[2019]"/>
            <x15:cachedUniqueName index="2" name="[Calendar].[Година].&amp;[2018]"/>
          </x15:cachedUniqueNames>
        </ext>
      </extLst>
    </cacheField>
    <cacheField name="[fActualAndBudget].[ObrazecIme].[ObrazecIme]" caption="ObrazecIme" numFmtId="0" hierarchy="44" level="1">
      <sharedItems containsSemiMixedTypes="0" containsNonDate="0" containsString="0"/>
    </cacheField>
    <cacheField name="[fActualAndBudget].[ReportType].[ReportType]" caption="ReportType" numFmtId="0" hierarchy="35" level="1">
      <sharedItems count="1">
        <s v="План"/>
      </sharedItems>
    </cacheField>
    <cacheField name="[fActualAndBudget].[StavkaKategorija].[StavkaKategorija]" caption="StavkaKategorija" numFmtId="0" hierarchy="40" level="1">
      <sharedItems containsSemiMixedTypes="0" containsNonDate="0" containsString="0"/>
    </cacheField>
    <cacheField name="[OPEXAnaliza].[ReportType].[ReportType]" caption="ReportType" numFmtId="0" hierarchy="106" level="1">
      <sharedItems containsSemiMixedTypes="0" containsNonDate="0" containsString="0"/>
    </cacheField>
    <cacheField name="[fArtikliCeni].[Ставка].[Ставка]" caption="Ставка" numFmtId="0" hierarchy="49" level="1">
      <sharedItems count="170" longText="1">
        <s v="POTRO[ENO GORIVO SK 0601 АС"/>
        <s v="POTRO[ENO GORIVO SK 0602 АС"/>
        <s v="POTRO[ENO GORIVO SK 0603 АС"/>
        <s v="POTRO[ENO GORIVO SK 0604 АС"/>
        <s v="POTRO[ENO GORIVO SK 0605 АС"/>
        <s v="POTRO[ENO GORIVO SK 0606 АС"/>
        <s v="POTRO[ENO GORIVO SK 0607 АС"/>
        <s v="POTRO[ENO GORIVO SK 0608 АС"/>
        <s v="POTRO[ENO GORIVO SK 0609 АС"/>
        <s v="POTRO[ENO GORIVO SK 0610 АС"/>
        <s v="POTRO[ENO GORIVO SK 0611 АС"/>
        <s v="POTRO[ENO GORIVO SK 2083 AI"/>
        <s v="POTRO[ENO GORIVO SK 2084 AI"/>
        <s v="POTRO[ENO GORIVO SK 2085 AI"/>
        <s v="POTRO[ENO GORVO SK 2082 AI"/>
        <s v="Потрошена електрична енергија - ЕВН"/>
        <s v="Потрошена електрична енергија - оператор"/>
        <s v="Трошоци за нафта за затоплување со склучен договор"/>
        <s v="Резервни делови - батерии"/>
        <s v="Резервни делови - брави, клучеви"/>
        <s v="Резервни делови - вентили"/>
        <s v="Резервни делови - кабли, штекери"/>
        <s v="Резервни делови - силикони, лепаци"/>
        <s v="Вреќи за отпад, ПВЦ, големи од  90 до 120 литри, од мин. 10 во пакување"/>
        <s v="Дератизација, дезинфекција и дезинскеција"/>
        <s v="Крпи за бришење со моќ на впивање на течност, со димензии 200x190x4 мм +/- 20%"/>
        <s v="Крпи за чистење на маси и други површини (микрофибер), со димензии330х330 мм +/- 20%"/>
        <s v="Лопатки за ѓубре"/>
        <s v="Метли"/>
        <s v="Останат канцелариски материјал"/>
        <s v="ПВЦ Кофа за цедење на џогер мин. 10 литри"/>
        <s v="Ракавици гумени хигиеничарски големина М,L,XL"/>
        <s v="Резерва за џогер пуцвал"/>
        <s v="Средство за миење на садови: 5-15% анјонски активни материи, &lt; 5% нејонски активни материи, парфем, 750 -1000мл"/>
        <s v="Средство за чистење на плочки, пакување од  0,5л - 1 литар"/>
        <s v="Средство за чистење на подови  кое се состои најмалку од &lt;5% Non-Ionic Surfactants, Perfume, Benzisothiazolinone, алкохол, боја"/>
        <s v="Средство за чистење на тоалет санитарии антибигор против наслаги од каменец, рѓа и сапун, &lt;5% ензиоактиви нејонски, тензиоактиви анфотери, фосфонати, парфем, 750 -1000мл."/>
        <s v="Средство за чистење стаклени површини со пумпа распрскувач кое се состои најмалку од &lt;5% Non-Ionic Surfactants, Perfume, Benzisothiazolinone"/>
        <s v="Сунѓери со абразивна подлога за миење на садови, димензии мин. 9х5 см"/>
        <s v="Течен сапун за миење на раце со ph неутрален фактор, антибактериски, во пакување од 300 мл до 1 литар со пумпица"/>
        <s v="Тонери"/>
        <s v="Трослојна абсорбентна хартија 100% целулоза, бела боја со најмалку 100 ливчиња во ролна со димензии најмалку 230 х 100 mm во поединечно пакување во кеса со должина на хартија во ролната од најмалку 25 метри"/>
        <s v="Трослојна тоалетна хартија во ролна 100% целулоза, бела боја со најмалку 200 листови со димензии најмалку 100 х 205mm"/>
        <s v="Хартија"/>
        <s v="Четка за WC шоља со пластична рачка"/>
        <s v="Четка за собирање на пајажина со димензии на рачка од 80 см до 120 см"/>
        <s v="Џогер Пуцвал со рачка во висина минимум 140 см"/>
        <s v="Зимски пневматици"/>
        <s v="Летни пневматици"/>
        <s v="Печати"/>
        <s v="Вредносно усогласување на ситен инвентар и автогуми"/>
        <s v="Вредносно усогласување на суровини и материјали"/>
        <s v="Редовен трошок за банкарски услуги и трошоци за платен промет"/>
        <s v="Чланарина за ЕБРА"/>
        <s v="Чланарина за ИАСА"/>
        <s v="Чланарина за ЦРФ"/>
        <s v="Авионски билети повратни - BIFIDEX"/>
        <s v="Авионски билети повратни - EBRA"/>
        <s v="Авионски билети повратни -Брисел"/>
        <s v="Патни трошоци во земјата"/>
        <s v="Сместување за службено патување во Брисел"/>
        <s v="Сместување за службено патување за Бифидекс"/>
        <s v="Сместување за службено патување за присуство на работни групи на ЕБРА"/>
        <s v="Хотелско сместување во земјата на пописната комисија за попис на средства за 3 члена"/>
        <s v="Гаранција со поддршка за критична опрема во систем сали"/>
        <s v="Електронски систем за е-анкети и истражување - surveymonkey (Годишно продолжување на основната партиципација за користење на апликацијата)"/>
        <s v="Набавка на лиценци за Софтверско решение за управување со IT процеси"/>
        <s v="Набавка на софтверски лиценци (продолжување на постоечки лиценци за софтвер за анкети, за валидација на емаил адреси (се користи во сите софтверски решенија), сертификати за системите, софтвер за автоматско испраќање на емаил пораки, софтвер за далечински пристап)"/>
        <s v="Набавка на софтверско решение за Q-radar за  Vulnerability скенирање (за скенирање на 150 уреди)"/>
        <s v="Обновување на услуги за поддршка - управување со компјутерска безбедност  - Q-radar"/>
        <s v="Услуга за издавање на временски печат (800000 транскации) (за 24 месеци вредноста е 1416000)"/>
        <s v="Услуга-Компонента за дигитално потпишување - по постоен договор"/>
        <s v="Услуги за поддршка за Софтверско решение за управување со резервни копии - COMMVAULT"/>
        <s v="Годишен просечен трошок за вода"/>
        <s v="Годишен просечен трошок за смет"/>
        <s v="Годишен трошок за објава на огласи во весници"/>
        <s v="Просечен годишен трошок за објава на отворен повик"/>
        <s v="Трошоци за возила за гаражирање и паркинг"/>
        <s v="Трошоци за одржување на зеленило"/>
        <s v="Закуп ( сала - обука за професионалните заедници за новини во законските решенија"/>
        <s v="Закуп за канцеларија за РРК/PK"/>
        <s v="Весници - претплати Правник"/>
        <s v="Вода за канистри во Централа, РРК и СИТ"/>
        <s v="Газирани пијалоци"/>
        <s v="Давање на парична помош на физички лица"/>
        <s v="Дневни весници"/>
        <s v="Други неспомнати нематеријални трошоци : погрешно уплатени средства и непредвидени трошоци"/>
        <s v="Кафе"/>
        <s v="Млеко"/>
        <s v="Останата литература"/>
        <s v="Останата репрезентација"/>
        <s v="ПВЦ чаши и цевки"/>
        <s v="Портал за законски прописи - договор со оператор"/>
        <s v="Просечен годишен трошок за судски такси"/>
        <s v="Растворливо кафе во гранули"/>
        <s v="Службен весник- електронска верзија"/>
        <s v="Службен весник- хартија"/>
        <s v="Службеник весник - ел.претплата"/>
        <s v="Угостителски услуги - останати"/>
        <s v="Угостителски услуги - репрезентација ( деловни средби на 4 до 6 лица)"/>
        <s v="Чај"/>
        <s v="Шеќер"/>
        <s v="Авторска агенција за посредување"/>
        <s v="Адвокатски услуги - рочишта"/>
        <s v="Вулканизерски услуги"/>
        <s v="Договор за дигитални сертификати ( вкупна вредност за 2 години е 160000)"/>
        <s v="Договор со КИБС за банкарски сметки"/>
        <s v="Заверка за обнова на сертификат"/>
        <s v="Заеднички трошоци со НБРМ по договор за одржување на објекти"/>
        <s v="Замена на пневматици (зимски и летни; за 15 возила промена на гуми два пати годишно)"/>
        <s v="Интервентни поправки"/>
        <s v="ИСО надзорна проверка за 3 стандарди (ИСО 9001, ИСО 14001 и ИСО 45001)"/>
        <s v="ИСО ресертификација и надзорни проверки на систем за управување со безбедност на информации согласно ИСО 27001 за три години"/>
        <s v="Клипинг сервиси"/>
        <s v="Консултантски услуги од домен на регистри, транспонирање на ЕУ директиви"/>
        <s v="Меѓународна возачка дозвола"/>
        <s v="Надомест за јавни патишта"/>
        <s v="Нотарски награди"/>
        <s v="Перење на возила"/>
        <s v="Печатење на билтен со статистички податоци"/>
        <s v="Процена на вредност на расходувани средства од попис"/>
        <s v="Процена на средства на вработени кои заминуваат во пензија"/>
        <s v="Регистарција на возила"/>
        <s v="Редовен сервис на Opel Insignia"/>
        <s v="Редовен сервис на мали возила"/>
        <s v="Сијалички и други трошоци за возила"/>
        <s v="Стручно лице за здравје и безбедност при работа  и услуги од таа област"/>
        <s v="Технички преглед за возила"/>
        <s v="Течност за стакло"/>
        <s v="Трошоци за возила за таксена марка"/>
        <s v="Трошоци за патарина"/>
        <s v="Услуга – пенетрациско тестирање на безбедноста на информациските системи"/>
        <s v="Услуги за преписи и преводи исполнување на законските обврски од Закон за јазиците"/>
        <s v="Услуги за ревизија и проценка на завршна годишна сметка, давање на мислење"/>
        <s v="Услуги од проценители"/>
        <s v="Автоодговорност и каско осигурување"/>
        <s v="Други премии за осигурување -Патничко осигурување"/>
        <s v="Осигурување на градежни објекти"/>
        <s v="Премија за осигурување на компјутерска опрема"/>
        <s v="Премија за осигурување на транспортни средства"/>
        <s v="Премија за осигурување од професионална одговорност за штети према трети лица"/>
        <s v="Економски оператор за карго услуги - други транспортни услуги"/>
        <s v="Интернет"/>
        <s v="Мобилна телефонија"/>
        <s v="Поштенски услуги"/>
        <s v="Поштенски услуги до 50 грама"/>
        <s v="Претплата за тв"/>
        <s v="Такси превоз"/>
        <s v="Услуга – Податочно Ethernet приватно поврзување"/>
        <s v="Фиксна телефонија и IPVPN по договор"/>
        <s v="Беџови"/>
        <s v="Вода (за панелисти)"/>
        <s v="Изведувачи (за време на коктел)"/>
        <s v="Календарчиња"/>
        <s v="Кафе (за гости)"/>
        <s v="Коктел шведска маса"/>
        <s v="Освежителни пијалоци"/>
        <s v="Персонал за 200 гости"/>
        <s v="Просторија за коктел"/>
        <s v="Работни тетратки"/>
        <s v="Репрезентативни комплети"/>
        <s v="Сала"/>
        <s v="Техника / осветлување, бим"/>
        <s v="Набавка на услуги за одржување, поправка и поддршка на информатичка инфраструктура (на 24 месеци), даден е годишниот износ на трошок"/>
        <s v="Одржување на систем за фср - износ по договор"/>
        <s v="Поправки и одржување на делови од систем сала"/>
        <s v="Тековно одржување на хигиена во деловниот простор на Централен регистар"/>
        <s v="Техничко одржување и поправки на објекти во РРК и РК - белеење, тековни поправки, санации"/>
        <s v="Услуги за одржување и поправка на против пожарни системи за систем сали  - износ по договор"/>
        <s v="Услуги за одржување на системи за напојување и климатизација во СС и РК/РРК - износ по договор"/>
      </sharedItems>
    </cacheField>
    <cacheField name="[fArtikliCeni].[StavkaKategorija].[StavkaKategorija]" caption="StavkaKategorija" numFmtId="0" hierarchy="64" level="1">
      <sharedItems count="4">
        <s v="2.32. Потрошени суровини и материјали"/>
        <s v="2.35. Вредносно усогласување на тековни средства"/>
        <s v="2.37. Останати оперативни расходи"/>
        <s v="2.41. Расходи од финансирање"/>
      </sharedItems>
    </cacheField>
    <cacheField name="[fArtikliCeni].[StavkaImeMK].[StavkaImeMK]" caption="StavkaImeMK" numFmtId="0" hierarchy="61" level="1">
      <sharedItems count="19">
        <s v="Потрoшена енергија и гориво за возила"/>
        <s v="Потрошени резервни делови"/>
        <s v="Потрошени суровини и материјали"/>
        <s v="Потрошок на ситен инвентар и автогуми"/>
        <s v="Вредносно усогласување на тековни и нетековни средства"/>
        <s v="Банкарски услуги и трошоци за платен промет"/>
        <s v="Даноци,чланарини и други давачки кои не зависат од резултатот"/>
        <s v="Дневници за службени патувања и патни трошоци"/>
        <s v="Лиценци за разни софтвери (едногодишни, обновливи)"/>
        <s v="Надворешни услуги"/>
        <s v="Наемнини и лизинг"/>
        <s v="Останати нематеријални трошоци"/>
        <s v="Останати услуги"/>
        <s v="Премии за осигурување"/>
        <s v="Транспортни услуги"/>
        <s v="Трошоци за промоција,пропаганда, реклама, репрезентација и спонзорство"/>
        <s v="Услуги за одржување и заштита"/>
        <s v="Курсни разлики"/>
        <s v="Останати расходи"/>
      </sharedItems>
    </cacheField>
    <cacheField name="[fArtikliCeni].[ObrazecIme].[ObrazecIme]" caption="ObrazecIme" numFmtId="0" hierarchy="65" level="1">
      <sharedItems containsSemiMixedTypes="0" containsNonDate="0" containsString="0"/>
    </cacheField>
    <cacheField name="[Measures].[Sum of Вкупно трошок]" caption="Sum of Вкупно трошок" numFmtId="0" hierarchy="182" level="32767"/>
  </cacheFields>
  <cacheHierarchies count="195">
    <cacheHierarchy uniqueName="[Amortizacija].[Број на јавна набавка (план)]" caption="Број на јавна набавка (план)" attribute="1" defaultMemberUniqueName="[Amortizacija].[Број на јавна набавка (план)].[All]" allUniqueName="[Amortizacija].[Број на јавна набавка (план)].[All]" dimensionUniqueName="[Amortizacija]" displayFolder="" count="0" memberValueDatatype="130" unbalanced="0"/>
    <cacheHierarchy uniqueName="[Amortizacija].[Ставка]" caption="Ставка" attribute="1" defaultMemberUniqueName="[Amortizacija].[Ставка].[All]" allUniqueName="[Amortizacija].[Ставка].[All]" dimensionUniqueName="[Amortizacija]" displayFolder="" count="0" memberValueDatatype="130" unbalanced="0"/>
    <cacheHierarchy uniqueName="[Amortizacija].[Период]" caption="Период" attribute="1" time="1" defaultMemberUniqueName="[Amortizacija].[Период].[All]" allUniqueName="[Amortizacija].[Период].[All]" dimensionUniqueName="[Amortizacija]" displayFolder="" count="0" memberValueDatatype="7" unbalanced="0"/>
    <cacheHierarchy uniqueName="[Amortizacija].[Износ]" caption="Износ" attribute="1" defaultMemberUniqueName="[Amortizacija].[Износ].[All]" allUniqueName="[Amortizacija].[Износ].[All]" dimensionUniqueName="[Amortizacija]" displayFolder="" count="0" memberValueDatatype="20" unbalanced="0"/>
    <cacheHierarchy uniqueName="[Amortizacija].[Конто]" caption="Конто" attribute="1" defaultMemberUniqueName="[Amortizacija].[Конто].[All]" allUniqueName="[Amortizacija].[Конто].[All]" dimensionUniqueName="[Amortizacija]" displayFolder="" count="0" memberValueDatatype="130" unbalanced="0"/>
    <cacheHierarchy uniqueName="[Amortizacija].[ReportType]" caption="ReportType" attribute="1" defaultMemberUniqueName="[Amortizacija].[ReportType].[All]" allUniqueName="[Amortizacija].[ReportType].[All]" dimensionUniqueName="[Amortizacija]" displayFolder="" count="0" memberValueDatatype="130" unbalanced="0"/>
    <cacheHierarchy uniqueName="[Calendar].[Date]" caption="Date" attribute="1" time="1" keyAttribute="1" defaultMemberUniqueName="[Calendar].[Date].[All]" allUniqueName="[Calendar].[Date].[All]" dimensionUniqueName="[Calendar]" displayFolder="" count="0" memberValueDatatype="7" unbalanced="0"/>
    <cacheHierarchy uniqueName="[Calendar].[Date Hierarchy]" caption="Date Hierarchy" time="1" defaultMemberUniqueName="[Calendar].[Date Hierarchy].[All]" allUniqueName="[Calendar].[Date Hierarchy].[All]" dimensionUniqueName="[Calendar]" displayFolder="" count="0" unbalanced="0"/>
    <cacheHierarchy uniqueName="[Calendar].[Година]" caption="Година" attribute="1" time="1" defaultMemberUniqueName="[Calendar].[Година].[All]" allUniqueName="[Calendar].[Година].[All]" dimensionUniqueName="[Calendar]" displayFolder="" count="2" memberValueDatatype="20" unbalanced="0">
      <fieldsUsage count="2">
        <fieldUsage x="-1"/>
        <fieldUsage x="0"/>
      </fieldsUsage>
    </cacheHierarchy>
    <cacheHierarchy uniqueName="[Calendar].[Month Number]" caption="Month Number" attribute="1" time="1" defaultMemberUniqueName="[Calendar].[Month Number].[All]" allUniqueName="[Calendar].[Month Number].[All]" dimensionUniqueName="[Calendar]" displayFolder="" count="0" memberValueDatatype="20" unbalanced="0"/>
    <cacheHierarchy uniqueName="[Calendar].[Месец]" caption="Месец" attribute="1" time="1" defaultMemberUniqueName="[Calendar].[Месец].[All]" allUniqueName="[Calendar].[Месец].[All]" dimensionUniqueName="[Calendar]" displayFolder="" count="0" memberValueDatatype="130" unbalanced="0"/>
    <cacheHierarchy uniqueName="[Calendar].[MMM-YYYY]" caption="MMM-YYYY" attribute="1" time="1" defaultMemberUniqueName="[Calendar].[MMM-YYYY].[All]" allUniqueName="[Calendar].[MMM-YYYY].[All]" dimensionUniqueName="[Calendar]" displayFolder="" count="0" memberValueDatatype="130" unbalanced="0"/>
    <cacheHierarchy uniqueName="[Calendar].[Day Of Week Number]" caption="Day Of Week Number" attribute="1" time="1" defaultMemberUniqueName="[Calendar].[Day Of Week Number].[All]" allUniqueName="[Calendar].[Day Of Week Number].[All]" dimensionUniqueName="[Calendar]" displayFolder="" count="0" memberValueDatatype="20" unbalanced="0"/>
    <cacheHierarchy uniqueName="[Calendar].[Day Of Week]" caption="Day Of Week" attribute="1" time="1" defaultMemberUniqueName="[Calendar].[Day Of Week].[All]" allUniqueName="[Calendar].[Day Of Week].[All]" dimensionUniqueName="[Calendar]" displayFolder="" count="0" memberValueDatatype="130" unbalanced="0"/>
    <cacheHierarchy uniqueName="[Calendar].[Квартал]" caption="Квартал" attribute="1" time="1" defaultMemberUniqueName="[Calendar].[Квартал].[All]" allUniqueName="[Calendar].[Квартал].[All]" dimensionUniqueName="[Calendar]" displayFolder="" count="0" memberValueDatatype="7" unbalanced="0"/>
    <cacheHierarchy uniqueName="[CAPEX].[Година за реализација на проект]" caption="Година за реализација на проект" attribute="1" defaultMemberUniqueName="[CAPEX].[Година за реализација на проект].[All]" allUniqueName="[CAPEX].[Година за реализација на проект].[All]" dimensionUniqueName="[CAPEX]" displayFolder="" count="0" memberValueDatatype="20" unbalanced="0"/>
    <cacheHierarchy uniqueName="[CAPEX].[Број на јавна набавка (план)]" caption="Број на јавна набавка (план)" attribute="1" defaultMemberUniqueName="[CAPEX].[Број на јавна набавка (план)].[All]" allUniqueName="[CAPEX].[Број на јавна набавка (план)].[All]" dimensionUniqueName="[CAPEX]" displayFolder="" count="0" memberValueDatatype="130" unbalanced="0"/>
    <cacheHierarchy uniqueName="[CAPEX].[Предмет на договорот за јавна набавка]" caption="Предмет на договорот за јавна набавка" attribute="1" defaultMemberUniqueName="[CAPEX].[Предмет на договорот за јавна набавка].[All]" allUniqueName="[CAPEX].[Предмет на договорот за јавна набавка].[All]" dimensionUniqueName="[CAPEX]" displayFolder="" count="0" memberValueDatatype="130" unbalanced="0"/>
    <cacheHierarchy uniqueName="[CAPEX].[Очекуван датум на плаќање]" caption="Очекуван датум на плаќање" attribute="1" time="1" defaultMemberUniqueName="[CAPEX].[Очекуван датум на плаќање].[All]" allUniqueName="[CAPEX].[Очекуван датум на плаќање].[All]" dimensionUniqueName="[CAPEX]" displayFolder="" count="0" memberValueDatatype="7" unbalanced="0"/>
    <cacheHierarchy uniqueName="[CAPEX].[Очекуван датум за ставање во употреба (месец)]" caption="Очекуван датум за ставање во употреба (месец)" attribute="1" time="1" defaultMemberUniqueName="[CAPEX].[Очекуван датум за ставање во употреба (месец)].[All]" allUniqueName="[CAPEX].[Очекуван датум за ставање во употреба (месец)].[All]" dimensionUniqueName="[CAPEX]" displayFolder="" count="0" memberValueDatatype="7" unbalanced="0"/>
    <cacheHierarchy uniqueName="[CAPEX].[Проценета вредност на набавка со ДДВ (денари)]" caption="Проценета вредност на набавка со ДДВ (денари)" attribute="1" defaultMemberUniqueName="[CAPEX].[Проценета вредност на набавка со ДДВ (денари)].[All]" allUniqueName="[CAPEX].[Проценета вредност на набавка со ДДВ (денари)].[All]" dimensionUniqueName="[CAPEX]" displayFolder="" count="0" memberValueDatatype="20" unbalanced="0"/>
    <cacheHierarchy uniqueName="[CAPEX].[Стапка на амортизација]" caption="Стапка на амортизација" attribute="1" defaultMemberUniqueName="[CAPEX].[Стапка на амортизација].[All]" allUniqueName="[CAPEX].[Стапка на амортизација].[All]" dimensionUniqueName="[CAPEX]" displayFolder="" count="0" memberValueDatatype="5" unbalanced="0"/>
    <cacheHierarchy uniqueName="[CAPEX].[Конто Средства]" caption="Конто Средства" attribute="1" defaultMemberUniqueName="[CAPEX].[Конто Средства].[All]" allUniqueName="[CAPEX].[Конто Средства].[All]" dimensionUniqueName="[CAPEX]" displayFolder="" count="0" memberValueDatatype="130" unbalanced="0"/>
    <cacheHierarchy uniqueName="[CAPEX].[Конто Амортизација]" caption="Конто Амортизација" attribute="1" defaultMemberUniqueName="[CAPEX].[Конто Амортизација].[All]" allUniqueName="[CAPEX].[Конто Амортизација].[All]" dimensionUniqueName="[CAPEX]" displayFolder="" count="0" memberValueDatatype="130" unbalanced="0"/>
    <cacheHierarchy uniqueName="[CAPEX].[Износ донација]" caption="Износ донација" attribute="1" defaultMemberUniqueName="[CAPEX].[Износ донација].[All]" allUniqueName="[CAPEX].[Износ донација].[All]" dimensionUniqueName="[CAPEX]" displayFolder="" count="0" memberValueDatatype="20" unbalanced="0"/>
    <cacheHierarchy uniqueName="[CAPEX].[Очекуван датум на плаќање (Year)]" caption="Очекуван датум на плаќање (Year)" attribute="1" defaultMemberUniqueName="[CAPEX].[Очекуван датум на плаќање (Year)].[All]" allUniqueName="[CAPEX].[Очекуван датум на плаќање (Year)].[All]" dimensionUniqueName="[CAPEX]" displayFolder="" count="0" memberValueDatatype="130" unbalanced="0"/>
    <cacheHierarchy uniqueName="[CAPEX].[Очекуван датум на плаќање (Quarter)]" caption="Очекуван датум на плаќање (Quarter)" attribute="1" defaultMemberUniqueName="[CAPEX].[Очекуван датум на плаќање (Quarter)].[All]" allUniqueName="[CAPEX].[Очекуван датум на плаќање (Quarter)].[All]" dimensionUniqueName="[CAPEX]" displayFolder="" count="0" memberValueDatatype="130" unbalanced="0"/>
    <cacheHierarchy uniqueName="[CAPEX].[Очекуван датум на плаќање (Month)]" caption="Очекуван датум на плаќање (Month)" attribute="1" defaultMemberUniqueName="[CAPEX].[Очекуван датум на плаќање (Month)].[All]" allUniqueName="[CAPEX].[Очекуван датум на плаќање (Month)].[All]" dimensionUniqueName="[CAPEX]" displayFolder="" count="0" memberValueDatatype="130" unbalanced="0"/>
    <cacheHierarchy uniqueName="[CAPEX].[Очекуван датум за ставање во употреба (месец) (Year)]" caption="Очекуван датум за ставање во употреба (месец) (Year)" attribute="1" defaultMemberUniqueName="[CAPEX].[Очекуван датум за ставање во употреба (месец) (Year)].[All]" allUniqueName="[CAPEX].[Очекуван датум за ставање во употреба (месец) (Year)].[All]" dimensionUniqueName="[CAPEX]" displayFolder="" count="0" memberValueDatatype="130" unbalanced="0"/>
    <cacheHierarchy uniqueName="[CAPEX].[Очекуван датум за ставање во употреба (месец) (Quarter)]" caption="Очекуван датум за ставање во употреба (месец) (Quarter)" attribute="1" defaultMemberUniqueName="[CAPEX].[Очекуван датум за ставање во употреба (месец) (Quarter)].[All]" allUniqueName="[CAPEX].[Очекуван датум за ставање во употреба (месец) (Quarter)].[All]" dimensionUniqueName="[CAPEX]" displayFolder="" count="0" memberValueDatatype="130" unbalanced="0"/>
    <cacheHierarchy uniqueName="[CAPEX].[Очекуван датум за ставање во употреба (месец) (Month)]" caption="Очекуван датум за ставање во употреба (месец) (Month)" attribute="1" defaultMemberUniqueName="[CAPEX].[Очекуван датум за ставање во употреба (месец) (Month)].[All]" allUniqueName="[CAPEX].[Очекуван датум за ставање во употреба (месец) (Month)].[All]" dimensionUniqueName="[CAPEX]" displayFolder="" count="0" memberValueDatatype="130" unbalanced="0"/>
    <cacheHierarchy uniqueName="[fActualAndBudget].[Конто]" caption="Конто" attribute="1" defaultMemberUniqueName="[fActualAndBudget].[Конто].[All]" allUniqueName="[fActualAndBudget].[Конто].[All]" dimensionUniqueName="[fActualAndBudget]" displayFolder="" count="0" memberValueDatatype="130" unbalanced="0"/>
    <cacheHierarchy uniqueName="[fActualAndBudget].[Назив на конто]" caption="Назив на конто" attribute="1" defaultMemberUniqueName="[fActualAndBudget].[Назив на конто].[All]" allUniqueName="[fActualAndBudget].[Назив на конто].[All]" dimensionUniqueName="[fActualAndBudget]" displayFolder="" count="0" memberValueDatatype="130" unbalanced="0"/>
    <cacheHierarchy uniqueName="[fActualAndBudget].[Период]" caption="Период" attribute="1" time="1" defaultMemberUniqueName="[fActualAndBudget].[Период].[All]" allUniqueName="[fActualAndBudget].[Период].[All]" dimensionUniqueName="[fActualAndBudget]" displayFolder="" count="0" memberValueDatatype="7" unbalanced="0"/>
    <cacheHierarchy uniqueName="[fActualAndBudget].[Износ1]" caption="Износ1" attribute="1" defaultMemberUniqueName="[fActualAndBudget].[Износ1].[All]" allUniqueName="[fActualAndBudget].[Износ1].[All]" dimensionUniqueName="[fActualAndBudget]" displayFolder="" count="0" memberValueDatatype="20" unbalanced="0"/>
    <cacheHierarchy uniqueName="[fActualAndBudget].[ReportType]" caption="ReportType" attribute="1" defaultMemberUniqueName="[fActualAndBudget].[ReportType].[All]" allUniqueName="[fActualAndBudget].[ReportType].[All]" dimensionUniqueName="[fActualAndBudget]" displayFolder="" count="2" memberValueDatatype="130" unbalanced="0">
      <fieldsUsage count="2">
        <fieldUsage x="-1"/>
        <fieldUsage x="2"/>
      </fieldsUsage>
    </cacheHierarchy>
    <cacheHierarchy uniqueName="[fActualAndBudget].[Ставка]" caption="Ставка" attribute="1" defaultMemberUniqueName="[fActualAndBudget].[Ставка].[All]" allUniqueName="[fActualAndBudget].[Ставка].[All]" dimensionUniqueName="[fActualAndBudget]" displayFolder="" count="0" memberValueDatatype="130" unbalanced="0"/>
    <cacheHierarchy uniqueName="[fActualAndBudget].[Број на јавна набавка (план)]" caption="Број на јавна набавка (план)" attribute="1" defaultMemberUniqueName="[fActualAndBudget].[Број на јавна набавка (план)].[All]" allUniqueName="[fActualAndBudget].[Број на јавна набавка (план)].[All]" dimensionUniqueName="[fActualAndBudget]" displayFolder="" count="0" memberValueDatatype="130" unbalanced="0"/>
    <cacheHierarchy uniqueName="[fActualAndBudget].[StavkaImeMK]" caption="StavkaImeMK" attribute="1" defaultMemberUniqueName="[fActualAndBudget].[StavkaImeMK].[All]" allUniqueName="[fActualAndBudget].[StavkaImeMK].[All]" dimensionUniqueName="[fActualAndBudget]" displayFolder="" count="0" memberValueDatatype="130" unbalanced="0"/>
    <cacheHierarchy uniqueName="[fActualAndBudget].[StavkaGrupa]" caption="StavkaGrupa" attribute="1" defaultMemberUniqueName="[fActualAndBudget].[StavkaGrupa].[All]" allUniqueName="[fActualAndBudget].[StavkaGrupa].[All]" dimensionUniqueName="[fActualAndBudget]" displayFolder="" count="0" memberValueDatatype="130" unbalanced="0"/>
    <cacheHierarchy uniqueName="[fActualAndBudget].[StavkaKategorija]" caption="StavkaKategorija" attribute="1" defaultMemberUniqueName="[fActualAndBudget].[StavkaKategorija].[All]" allUniqueName="[fActualAndBudget].[StavkaKategorija].[All]" dimensionUniqueName="[fActualAndBudget]" displayFolder="" count="2" memberValueDatatype="130" unbalanced="0">
      <fieldsUsage count="2">
        <fieldUsage x="-1"/>
        <fieldUsage x="3"/>
      </fieldsUsage>
    </cacheHierarchy>
    <cacheHierarchy uniqueName="[fActualAndBudget].[ZnakIzvestaj]" caption="ZnakIzvestaj" attribute="1" defaultMemberUniqueName="[fActualAndBudget].[ZnakIzvestaj].[All]" allUniqueName="[fActualAndBudget].[ZnakIzvestaj].[All]" dimensionUniqueName="[fActualAndBudget]" displayFolder="" count="0" memberValueDatatype="20" unbalanced="0"/>
    <cacheHierarchy uniqueName="[fActualAndBudget].[ObrazecID]" caption="ObrazecID" attribute="1" defaultMemberUniqueName="[fActualAndBudget].[ObrazecID].[All]" allUniqueName="[fActualAndBudget].[ObrazecID].[All]" dimensionUniqueName="[fActualAndBudget]" displayFolder="" count="0" memberValueDatatype="20" unbalanced="0"/>
    <cacheHierarchy uniqueName="[fActualAndBudget].[StavkaAOP]" caption="StavkaAOP" attribute="1" defaultMemberUniqueName="[fActualAndBudget].[StavkaAOP].[All]" allUniqueName="[fActualAndBudget].[StavkaAOP].[All]" dimensionUniqueName="[fActualAndBudget]" displayFolder="" count="0" memberValueDatatype="130" unbalanced="0"/>
    <cacheHierarchy uniqueName="[fActualAndBudget].[ObrazecIme]" caption="ObrazecIme" attribute="1" defaultMemberUniqueName="[fActualAndBudget].[ObrazecIme].[All]" allUniqueName="[fActualAndBudget].[ObrazecIme].[All]" dimensionUniqueName="[fActualAndBudget]" displayFolder="" count="2" memberValueDatatype="130" unbalanced="0">
      <fieldsUsage count="2">
        <fieldUsage x="-1"/>
        <fieldUsage x="1"/>
      </fieldsUsage>
    </cacheHierarchy>
    <cacheHierarchy uniqueName="[fActualAndBudget].[Износ]" caption="Износ" attribute="1" defaultMemberUniqueName="[fActualAndBudget].[Износ].[All]" allUniqueName="[fActualAndBudget].[Износ].[All]" dimensionUniqueName="[fActualAndBudget]" displayFolder="" count="0" memberValueDatatype="20" unbalanced="0"/>
    <cacheHierarchy uniqueName="[fActualAndBudget].[Износ (илјади)]" caption="Износ (илјади)" attribute="1" defaultMemberUniqueName="[fActualAndBudget].[Износ (илјади)].[All]" allUniqueName="[fActualAndBudget].[Износ (илјади)].[All]" dimensionUniqueName="[fActualAndBudget]" displayFolder="" count="0" memberValueDatatype="5" unbalanced="0"/>
    <cacheHierarchy uniqueName="[fActualAndBudget].[StavkaImeAOP]" caption="StavkaImeAOP" attribute="1" defaultMemberUniqueName="[fActualAndBudget].[StavkaImeAOP].[All]" allUniqueName="[fActualAndBudget].[StavkaImeAOP].[All]" dimensionUniqueName="[fActualAndBudget]" displayFolder="" count="0" memberValueDatatype="130" unbalanced="0"/>
    <cacheHierarchy uniqueName="[fActualAndBudget].[Конто Ставка]" caption="Конто Ставка" attribute="1" defaultMemberUniqueName="[fActualAndBudget].[Конто Ставка].[All]" allUniqueName="[fActualAndBudget].[Конто Ставка].[All]" dimensionUniqueName="[fActualAndBudget]" displayFolder="" count="0" memberValueDatatype="130" unbalanced="0"/>
    <cacheHierarchy uniqueName="[fArtikliCeni].[Ставка]" caption="Ставка" attribute="1" defaultMemberUniqueName="[fArtikliCeni].[Ставка].[All]" allUniqueName="[fArtikliCeni].[Ставка].[All]" dimensionUniqueName="[fArtikliCeni]" displayFolder="" count="2" memberValueDatatype="130" unbalanced="0">
      <fieldsUsage count="2">
        <fieldUsage x="-1"/>
        <fieldUsage x="5"/>
      </fieldsUsage>
    </cacheHierarchy>
    <cacheHierarchy uniqueName="[fArtikliCeni].[Категорија Артикл]" caption="Категорија Артикл" attribute="1" defaultMemberUniqueName="[fArtikliCeni].[Категорија Артикл].[All]" allUniqueName="[fArtikliCeni].[Категорија Артикл].[All]" dimensionUniqueName="[fArtikliCeni]" displayFolder="" count="0" memberValueDatatype="130" unbalanced="0"/>
    <cacheHierarchy uniqueName="[fArtikliCeni].[Тип на артикл]" caption="Тип на артикл" attribute="1" defaultMemberUniqueName="[fArtikliCeni].[Тип на артикл].[All]" allUniqueName="[fArtikliCeni].[Тип на артикл].[All]" dimensionUniqueName="[fArtikliCeni]" displayFolder="" count="0" memberValueDatatype="130" unbalanced="0"/>
    <cacheHierarchy uniqueName="[fArtikliCeni].[Единечна мерка]" caption="Единечна мерка" attribute="1" defaultMemberUniqueName="[fArtikliCeni].[Единечна мерка].[All]" allUniqueName="[fArtikliCeni].[Единечна мерка].[All]" dimensionUniqueName="[fArtikliCeni]" displayFolder="" count="0" memberValueDatatype="130" unbalanced="0"/>
    <cacheHierarchy uniqueName="[fArtikliCeni].[Количина]" caption="Количина" attribute="1" defaultMemberUniqueName="[fArtikliCeni].[Количина].[All]" allUniqueName="[fArtikliCeni].[Количина].[All]" dimensionUniqueName="[fArtikliCeni]" displayFolder="" count="0" memberValueDatatype="5" unbalanced="0"/>
    <cacheHierarchy uniqueName="[fArtikliCeni].[Единечна цена]" caption="Единечна цена" attribute="1" defaultMemberUniqueName="[fArtikliCeni].[Единечна цена].[All]" allUniqueName="[fArtikliCeni].[Единечна цена].[All]" dimensionUniqueName="[fArtikliCeni]" displayFolder="" count="0" memberValueDatatype="20" unbalanced="0"/>
    <cacheHierarchy uniqueName="[fArtikliCeni].[Вкупно трошок]" caption="Вкупно трошок" attribute="1" defaultMemberUniqueName="[fArtikliCeni].[Вкупно трошок].[All]" allUniqueName="[fArtikliCeni].[Вкупно трошок].[All]" dimensionUniqueName="[fArtikliCeni]" displayFolder="" count="0" memberValueDatatype="5" unbalanced="0"/>
    <cacheHierarchy uniqueName="[fArtikliCeni].[ДДВ]" caption="ДДВ" attribute="1" defaultMemberUniqueName="[fArtikliCeni].[ДДВ].[All]" allUniqueName="[fArtikliCeni].[ДДВ].[All]" dimensionUniqueName="[fArtikliCeni]" displayFolder="" count="0" memberValueDatatype="5" unbalanced="0"/>
    <cacheHierarchy uniqueName="[fArtikliCeni].[Износ]" caption="Износ" attribute="1" defaultMemberUniqueName="[fArtikliCeni].[Износ].[All]" allUniqueName="[fArtikliCeni].[Износ].[All]" dimensionUniqueName="[fArtikliCeni]" displayFolder="" count="0" memberValueDatatype="5" unbalanced="0"/>
    <cacheHierarchy uniqueName="[fArtikliCeni].[Конто]" caption="Конто" attribute="1" defaultMemberUniqueName="[fArtikliCeni].[Конто].[All]" allUniqueName="[fArtikliCeni].[Конто].[All]" dimensionUniqueName="[fArtikliCeni]" displayFolder="" count="0" memberValueDatatype="130" unbalanced="0"/>
    <cacheHierarchy uniqueName="[fArtikliCeni].[ReportType]" caption="ReportType" attribute="1" defaultMemberUniqueName="[fArtikliCeni].[ReportType].[All]" allUniqueName="[fArtikliCeni].[ReportType].[All]" dimensionUniqueName="[fArtikliCeni]" displayFolder="" count="0" memberValueDatatype="130" unbalanced="0"/>
    <cacheHierarchy uniqueName="[fArtikliCeni].[Период]" caption="Период" attribute="1" time="1" defaultMemberUniqueName="[fArtikliCeni].[Период].[All]" allUniqueName="[fArtikliCeni].[Период].[All]" dimensionUniqueName="[fArtikliCeni]" displayFolder="" count="0" memberValueDatatype="7" unbalanced="0"/>
    <cacheHierarchy uniqueName="[fArtikliCeni].[StavkaImeMK]" caption="StavkaImeMK" attribute="1" defaultMemberUniqueName="[fArtikliCeni].[StavkaImeMK].[All]" allUniqueName="[fArtikliCeni].[StavkaImeMK].[All]" dimensionUniqueName="[fArtikliCeni]" displayFolder="" count="2" memberValueDatatype="130" unbalanced="0">
      <fieldsUsage count="2">
        <fieldUsage x="-1"/>
        <fieldUsage x="7"/>
      </fieldsUsage>
    </cacheHierarchy>
    <cacheHierarchy uniqueName="[fArtikliCeni].[StavkaAOP]" caption="StavkaAOP" attribute="1" defaultMemberUniqueName="[fArtikliCeni].[StavkaAOP].[All]" allUniqueName="[fArtikliCeni].[StavkaAOP].[All]" dimensionUniqueName="[fArtikliCeni]" displayFolder="" count="0" memberValueDatatype="130" unbalanced="0"/>
    <cacheHierarchy uniqueName="[fArtikliCeni].[StavkaGrupa]" caption="StavkaGrupa" attribute="1" defaultMemberUniqueName="[fArtikliCeni].[StavkaGrupa].[All]" allUniqueName="[fArtikliCeni].[StavkaGrupa].[All]" dimensionUniqueName="[fArtikliCeni]" displayFolder="" count="0" memberValueDatatype="130" unbalanced="0"/>
    <cacheHierarchy uniqueName="[fArtikliCeni].[StavkaKategorija]" caption="StavkaKategorija" attribute="1" defaultMemberUniqueName="[fArtikliCeni].[StavkaKategorija].[All]" allUniqueName="[fArtikliCeni].[StavkaKategorija].[All]" dimensionUniqueName="[fArtikliCeni]" displayFolder="" count="2" memberValueDatatype="130" unbalanced="0">
      <fieldsUsage count="2">
        <fieldUsage x="-1"/>
        <fieldUsage x="6"/>
      </fieldsUsage>
    </cacheHierarchy>
    <cacheHierarchy uniqueName="[fArtikliCeni].[ObrazecIme]" caption="ObrazecIme" attribute="1" defaultMemberUniqueName="[fArtikliCeni].[ObrazecIme].[All]" allUniqueName="[fArtikliCeni].[ObrazecIme].[All]" dimensionUniqueName="[fArtikliCeni]" displayFolder="" count="2" memberValueDatatype="130" unbalanced="0">
      <fieldsUsage count="2">
        <fieldUsage x="-1"/>
        <fieldUsage x="8"/>
      </fieldsUsage>
    </cacheHierarchy>
    <cacheHierarchy uniqueName="[fCoveckiResursi].[Ставка]" caption="Ставка" attribute="1" defaultMemberUniqueName="[fCoveckiResursi].[Ставка].[All]" allUniqueName="[fCoveckiResursi].[Ставка].[All]" dimensionUniqueName="[fCoveckiResursi]" displayFolder="" count="0" memberValueDatatype="130" unbalanced="0"/>
    <cacheHierarchy uniqueName="[fCoveckiResursi].[Тип на вработување]" caption="Тип на вработување" attribute="1" defaultMemberUniqueName="[fCoveckiResursi].[Тип на вработување].[All]" allUniqueName="[fCoveckiResursi].[Тип на вработување].[All]" dimensionUniqueName="[fCoveckiResursi]" displayFolder="" count="0" memberValueDatatype="130" unbalanced="0"/>
    <cacheHierarchy uniqueName="[fCoveckiResursi].[Планиран прилив/(одлив)]" caption="Планиран прилив/(одлив)" attribute="1" defaultMemberUniqueName="[fCoveckiResursi].[Планиран прилив/(одлив)].[All]" allUniqueName="[fCoveckiResursi].[Планиран прилив/(одлив)].[All]" dimensionUniqueName="[fCoveckiResursi]" displayFolder="" count="0" memberValueDatatype="20" unbalanced="0"/>
    <cacheHierarchy uniqueName="[fCoveckiResursi].[Период]" caption="Период" attribute="1" time="1" defaultMemberUniqueName="[fCoveckiResursi].[Период].[All]" allUniqueName="[fCoveckiResursi].[Период].[All]" dimensionUniqueName="[fCoveckiResursi]" displayFolder="" count="0" memberValueDatatype="7" unbalanced="0"/>
    <cacheHierarchy uniqueName="[fCoveckiResursi].[Крајна состојба вработени]" caption="Крајна состојба вработени" attribute="1" defaultMemberUniqueName="[fCoveckiResursi].[Крајна состојба вработени].[All]" allUniqueName="[fCoveckiResursi].[Крајна состојба вработени].[All]" dimensionUniqueName="[fCoveckiResursi]" displayFolder="" count="0" memberValueDatatype="20" unbalanced="0"/>
    <cacheHierarchy uniqueName="[fCoveckiResursi].[Износ]" caption="Износ" attribute="1" defaultMemberUniqueName="[fCoveckiResursi].[Износ].[All]" allUniqueName="[fCoveckiResursi].[Износ].[All]" dimensionUniqueName="[fCoveckiResursi]" displayFolder="" count="0" memberValueDatatype="20" unbalanced="0"/>
    <cacheHierarchy uniqueName="[fCoveckiResursi].[Конто]" caption="Конто" attribute="1" defaultMemberUniqueName="[fCoveckiResursi].[Конто].[All]" allUniqueName="[fCoveckiResursi].[Конто].[All]" dimensionUniqueName="[fCoveckiResursi]" displayFolder="" count="0" memberValueDatatype="130" unbalanced="0"/>
    <cacheHierarchy uniqueName="[fCoveckiResursi].[ReportType]" caption="ReportType" attribute="1" defaultMemberUniqueName="[fCoveckiResursi].[ReportType].[All]" allUniqueName="[fCoveckiResursi].[ReportType].[All]" dimensionUniqueName="[fCoveckiResursi]" displayFolder="" count="0" memberValueDatatype="130" unbalanced="0"/>
    <cacheHierarchy uniqueName="[fCoveckiResursi].[Период (Year)]" caption="Период (Year)" attribute="1" defaultMemberUniqueName="[fCoveckiResursi].[Период (Year)].[All]" allUniqueName="[fCoveckiResursi].[Период (Year)].[All]" dimensionUniqueName="[fCoveckiResursi]" displayFolder="" count="0" memberValueDatatype="130" unbalanced="0"/>
    <cacheHierarchy uniqueName="[fCoveckiResursi].[Период (Quarter)]" caption="Период (Quarter)" attribute="1" defaultMemberUniqueName="[fCoveckiResursi].[Период (Quarter)].[All]" allUniqueName="[fCoveckiResursi].[Период (Quarter)].[All]" dimensionUniqueName="[fCoveckiResursi]" displayFolder="" count="0" memberValueDatatype="130" unbalanced="0"/>
    <cacheHierarchy uniqueName="[fCoveckiResursi].[Период (Month)]" caption="Период (Month)" attribute="1" defaultMemberUniqueName="[fCoveckiResursi].[Период (Month)].[All]" allUniqueName="[fCoveckiResursi].[Период (Month)].[All]" dimensionUniqueName="[fCoveckiResursi]" displayFolder="" count="0" memberValueDatatype="130" unbalanced="0"/>
    <cacheHierarchy uniqueName="[fCoveckiResursi].[Период (Year) 1]" caption="Период (Year) 1" attribute="1" defaultMemberUniqueName="[fCoveckiResursi].[Период (Year) 1].[All]" allUniqueName="[fCoveckiResursi].[Период (Year) 1].[All]" dimensionUniqueName="[fCoveckiResursi]" displayFolder="" count="0" memberValueDatatype="130" unbalanced="0"/>
    <cacheHierarchy uniqueName="[fCoveckiResursi].[Период (Quarter) 1]" caption="Период (Quarter) 1" attribute="1" defaultMemberUniqueName="[fCoveckiResursi].[Период (Quarter) 1].[All]" allUniqueName="[fCoveckiResursi].[Период (Quarter) 1].[All]" dimensionUniqueName="[fCoveckiResursi]" displayFolder="" count="0" memberValueDatatype="130" unbalanced="0"/>
    <cacheHierarchy uniqueName="[fCoveckiResursi].[Период (Month) 1]" caption="Период (Month) 1" attribute="1" defaultMemberUniqueName="[fCoveckiResursi].[Период (Month) 1].[All]" allUniqueName="[fCoveckiResursi].[Период (Month) 1].[All]" dimensionUniqueName="[fCoveckiResursi]" displayFolder="" count="0" memberValueDatatype="130" unbalanced="0"/>
    <cacheHierarchy uniqueName="[fCoveckiResursi  2].[Ставка]" caption="Ставка" attribute="1" defaultMemberUniqueName="[fCoveckiResursi  2].[Ставка].[All]" allUniqueName="[fCoveckiResursi  2].[Ставка].[All]" dimensionUniqueName="[fCoveckiResursi  2]" displayFolder="" count="0" memberValueDatatype="130" unbalanced="0"/>
    <cacheHierarchy uniqueName="[fCoveckiResursi  2].[Период]" caption="Период" attribute="1" time="1" defaultMemberUniqueName="[fCoveckiResursi  2].[Период].[All]" allUniqueName="[fCoveckiResursi  2].[Период].[All]" dimensionUniqueName="[fCoveckiResursi  2]" displayFolder="" count="0" memberValueDatatype="7" unbalanced="0"/>
    <cacheHierarchy uniqueName="[fCoveckiResursi  2].[Износ]" caption="Износ" attribute="1" defaultMemberUniqueName="[fCoveckiResursi  2].[Износ].[All]" allUniqueName="[fCoveckiResursi  2].[Износ].[All]" dimensionUniqueName="[fCoveckiResursi  2]" displayFolder="" count="0" memberValueDatatype="20" unbalanced="0"/>
    <cacheHierarchy uniqueName="[fCoveckiResursi  2].[Конто]" caption="Конто" attribute="1" defaultMemberUniqueName="[fCoveckiResursi  2].[Конто].[All]" allUniqueName="[fCoveckiResursi  2].[Конто].[All]" dimensionUniqueName="[fCoveckiResursi  2]" displayFolder="" count="0" memberValueDatatype="130" unbalanced="0"/>
    <cacheHierarchy uniqueName="[fCoveckiResursi  2].[ReportType]" caption="ReportType" attribute="1" defaultMemberUniqueName="[fCoveckiResursi  2].[ReportType].[All]" allUniqueName="[fCoveckiResursi  2].[ReportType].[All]" dimensionUniqueName="[fCoveckiResursi  2]" displayFolder="" count="0" memberValueDatatype="130" unbalanced="0"/>
    <cacheHierarchy uniqueName="[fCoveckiResursi  2].[StavkaImeMK]" caption="StavkaImeMK" attribute="1" defaultMemberUniqueName="[fCoveckiResursi  2].[StavkaImeMK].[All]" allUniqueName="[fCoveckiResursi  2].[StavkaImeMK].[All]" dimensionUniqueName="[fCoveckiResursi  2]" displayFolder="" count="0" memberValueDatatype="130" unbalanced="0"/>
    <cacheHierarchy uniqueName="[fCoveckiResursi  2].[StavkaKategorija]" caption="StavkaKategorija" attribute="1" defaultMemberUniqueName="[fCoveckiResursi  2].[StavkaKategorija].[All]" allUniqueName="[fCoveckiResursi  2].[StavkaKategorija].[All]" dimensionUniqueName="[fCoveckiResursi  2]" displayFolder="" count="0" memberValueDatatype="130" unbalanced="0"/>
    <cacheHierarchy uniqueName="[fCoveckiResursi  2].[ObrazecIme]" caption="ObrazecIme" attribute="1" defaultMemberUniqueName="[fCoveckiResursi  2].[ObrazecIme].[All]" allUniqueName="[fCoveckiResursi  2].[ObrazecIme].[All]" dimensionUniqueName="[fCoveckiResursi  2]" displayFolder="" count="0" memberValueDatatype="130" unbalanced="0"/>
    <cacheHierarchy uniqueName="[fOPEX].[Конто]" caption="Конто" attribute="1" defaultMemberUniqueName="[fOPEX].[Конто].[All]" allUniqueName="[fOPEX].[Конто].[All]" dimensionUniqueName="[fOPEX]" displayFolder="" count="0" memberValueDatatype="130" unbalanced="0"/>
    <cacheHierarchy uniqueName="[fOPEX].[Ставка]" caption="Ставка" attribute="1" defaultMemberUniqueName="[fOPEX].[Ставка].[All]" allUniqueName="[fOPEX].[Ставка].[All]" dimensionUniqueName="[fOPEX]" displayFolder="" count="0" memberValueDatatype="130" unbalanced="0"/>
    <cacheHierarchy uniqueName="[fOPEX].[Период]" caption="Период" attribute="1" time="1" defaultMemberUniqueName="[fOPEX].[Период].[All]" allUniqueName="[fOPEX].[Период].[All]" dimensionUniqueName="[fOPEX]" displayFolder="" count="0" memberValueDatatype="7" unbalanced="0"/>
    <cacheHierarchy uniqueName="[fOPEX].[Износ]" caption="Износ" attribute="1" defaultMemberUniqueName="[fOPEX].[Износ].[All]" allUniqueName="[fOPEX].[Износ].[All]" dimensionUniqueName="[fOPEX]" displayFolder="" count="0" memberValueDatatype="20" unbalanced="0"/>
    <cacheHierarchy uniqueName="[fOPEX].[ReportType]" caption="ReportType" attribute="1" defaultMemberUniqueName="[fOPEX].[ReportType].[All]" allUniqueName="[fOPEX].[ReportType].[All]" dimensionUniqueName="[fOPEX]" displayFolder="" count="0" memberValueDatatype="130" unbalanced="0"/>
    <cacheHierarchy uniqueName="[OPEXAnaliza].[Артикл ИД]" caption="Артикл ИД" attribute="1" defaultMemberUniqueName="[OPEXAnaliza].[Артикл ИД].[All]" allUniqueName="[OPEXAnaliza].[Артикл ИД].[All]" dimensionUniqueName="[OPEXAnaliza]" displayFolder="" count="0" memberValueDatatype="20" unbalanced="0"/>
    <cacheHierarchy uniqueName="[OPEXAnaliza].[Ставка]" caption="Ставка" attribute="1" defaultMemberUniqueName="[OPEXAnaliza].[Ставка].[All]" allUniqueName="[OPEXAnaliza].[Ставка].[All]" dimensionUniqueName="[OPEXAnaliza]" displayFolder="" count="0" memberValueDatatype="130" unbalanced="0"/>
    <cacheHierarchy uniqueName="[OPEXAnaliza].[Категорија Артикл ИД]" caption="Категорија Артикл ИД" attribute="1" defaultMemberUniqueName="[OPEXAnaliza].[Категорија Артикл ИД].[All]" allUniqueName="[OPEXAnaliza].[Категорија Артикл ИД].[All]" dimensionUniqueName="[OPEXAnaliza]" displayFolder="" count="0" memberValueDatatype="20" unbalanced="0"/>
    <cacheHierarchy uniqueName="[OPEXAnaliza].[Категорија Артикл]" caption="Категорија Артикл" attribute="1" defaultMemberUniqueName="[OPEXAnaliza].[Категорија Артикл].[All]" allUniqueName="[OPEXAnaliza].[Категорија Артикл].[All]" dimensionUniqueName="[OPEXAnaliza]" displayFolder="" count="0" memberValueDatatype="130" unbalanced="0"/>
    <cacheHierarchy uniqueName="[OPEXAnaliza].[Тип на артикл]" caption="Тип на артикл" attribute="1" defaultMemberUniqueName="[OPEXAnaliza].[Тип на артикл].[All]" allUniqueName="[OPEXAnaliza].[Тип на артикл].[All]" dimensionUniqueName="[OPEXAnaliza]" displayFolder="" count="0" memberValueDatatype="130" unbalanced="0"/>
    <cacheHierarchy uniqueName="[OPEXAnaliza].[Единечна мерка]" caption="Единечна мерка" attribute="1" defaultMemberUniqueName="[OPEXAnaliza].[Единечна мерка].[All]" allUniqueName="[OPEXAnaliza].[Единечна мерка].[All]" dimensionUniqueName="[OPEXAnaliza]" displayFolder="" count="0" memberValueDatatype="130" unbalanced="0"/>
    <cacheHierarchy uniqueName="[OPEXAnaliza].[Количина]" caption="Количина" attribute="1" defaultMemberUniqueName="[OPEXAnaliza].[Количина].[All]" allUniqueName="[OPEXAnaliza].[Количина].[All]" dimensionUniqueName="[OPEXAnaliza]" displayFolder="" count="0" memberValueDatatype="5" unbalanced="0"/>
    <cacheHierarchy uniqueName="[OPEXAnaliza].[Единечна цена]" caption="Единечна цена" attribute="1" defaultMemberUniqueName="[OPEXAnaliza].[Единечна цена].[All]" allUniqueName="[OPEXAnaliza].[Единечна цена].[All]" dimensionUniqueName="[OPEXAnaliza]" displayFolder="" count="0" memberValueDatatype="20" unbalanced="0"/>
    <cacheHierarchy uniqueName="[OPEXAnaliza].[Износ]" caption="Износ" attribute="1" defaultMemberUniqueName="[OPEXAnaliza].[Износ].[All]" allUniqueName="[OPEXAnaliza].[Износ].[All]" dimensionUniqueName="[OPEXAnaliza]" displayFolder="" count="0" memberValueDatatype="5" unbalanced="0"/>
    <cacheHierarchy uniqueName="[OPEXAnaliza].[ДДВ]" caption="ДДВ" attribute="1" defaultMemberUniqueName="[OPEXAnaliza].[ДДВ].[All]" allUniqueName="[OPEXAnaliza].[ДДВ].[All]" dimensionUniqueName="[OPEXAnaliza]" displayFolder="" count="0" memberValueDatatype="5" unbalanced="0"/>
    <cacheHierarchy uniqueName="[OPEXAnaliza].[Вкупно трошок со ДДВ]" caption="Вкупно трошок со ДДВ" attribute="1" defaultMemberUniqueName="[OPEXAnaliza].[Вкупно трошок со ДДВ].[All]" allUniqueName="[OPEXAnaliza].[Вкупно трошок со ДДВ].[All]" dimensionUniqueName="[OPEXAnaliza]" displayFolder="" count="0" memberValueDatatype="5" unbalanced="0"/>
    <cacheHierarchy uniqueName="[OPEXAnaliza].[Конто]" caption="Конто" attribute="1" defaultMemberUniqueName="[OPEXAnaliza].[Конто].[All]" allUniqueName="[OPEXAnaliza].[Конто].[All]" dimensionUniqueName="[OPEXAnaliza]" displayFolder="" count="0" memberValueDatatype="130" unbalanced="0"/>
    <cacheHierarchy uniqueName="[OPEXAnaliza].[Период]" caption="Период" attribute="1" time="1" defaultMemberUniqueName="[OPEXAnaliza].[Период].[All]" allUniqueName="[OPEXAnaliza].[Период].[All]" dimensionUniqueName="[OPEXAnaliza]" displayFolder="" count="0" memberValueDatatype="7" unbalanced="0"/>
    <cacheHierarchy uniqueName="[OPEXAnaliza].[ReportType]" caption="ReportType" attribute="1" defaultMemberUniqueName="[OPEXAnaliza].[ReportType].[All]" allUniqueName="[OPEXAnaliza].[ReportType].[All]" dimensionUniqueName="[OPEXAnaliza]" displayFolder="" count="2" memberValueDatatype="130" unbalanced="0">
      <fieldsUsage count="2">
        <fieldUsage x="-1"/>
        <fieldUsage x="4"/>
      </fieldsUsage>
    </cacheHierarchy>
    <cacheHierarchy uniqueName="[OPEXAnaliza].[StavkaImeMK]" caption="StavkaImeMK" attribute="1" defaultMemberUniqueName="[OPEXAnaliza].[StavkaImeMK].[All]" allUniqueName="[OPEXAnaliza].[StavkaImeMK].[All]" dimensionUniqueName="[OPEXAnaliza]" displayFolder="" count="0" memberValueDatatype="130" unbalanced="0"/>
    <cacheHierarchy uniqueName="[OPEXAnaliza].[StavkaKategorija]" caption="StavkaKategorija" attribute="1" defaultMemberUniqueName="[OPEXAnaliza].[StavkaKategorija].[All]" allUniqueName="[OPEXAnaliza].[StavkaKategorija].[All]" dimensionUniqueName="[OPEXAnaliza]" displayFolder="" count="0" memberValueDatatype="130" unbalanced="0"/>
    <cacheHierarchy uniqueName="[OPEXAnaliza].[ObrazecIme]" caption="ObrazecIme" attribute="1" defaultMemberUniqueName="[OPEXAnaliza].[ObrazecIme].[All]" allUniqueName="[OPEXAnaliza].[ObrazecIme].[All]" dimensionUniqueName="[OPEXAnaliza]" displayFolder="" count="0" memberValueDatatype="130" unbalanced="0"/>
    <cacheHierarchy uniqueName="[OPEXAnaliza].[StavkaImeAOP]" caption="StavkaImeAOP" attribute="1" defaultMemberUniqueName="[OPEXAnaliza].[StavkaImeAOP].[All]" allUniqueName="[OPEXAnaliza].[StavkaImeAOP].[All]" dimensionUniqueName="[OPEXAnaliza]" displayFolder="" count="0" memberValueDatatype="20" unbalanced="0"/>
    <cacheHierarchy uniqueName="[OPEXAnaliza].[Период (Year)]" caption="Период (Year)" attribute="1" defaultMemberUniqueName="[OPEXAnaliza].[Период (Year)].[All]" allUniqueName="[OPEXAnaliza].[Период (Year)].[All]" dimensionUniqueName="[OPEXAnaliza]" displayFolder="" count="0" memberValueDatatype="130" unbalanced="0"/>
    <cacheHierarchy uniqueName="[OPEXAnaliza].[Период (Quarter)]" caption="Период (Quarter)" attribute="1" defaultMemberUniqueName="[OPEXAnaliza].[Период (Quarter)].[All]" allUniqueName="[OPEXAnaliza].[Период (Quarter)].[All]" dimensionUniqueName="[OPEXAnaliza]" displayFolder="" count="0" memberValueDatatype="130" unbalanced="0"/>
    <cacheHierarchy uniqueName="[OPEXAnaliza].[Период (Month)]" caption="Период (Month)" attribute="1" defaultMemberUniqueName="[OPEXAnaliza].[Период (Month)].[All]" allUniqueName="[OPEXAnaliza].[Период (Month)].[All]" dimensionUniqueName="[OPEXAnaliza]" displayFolder="" count="0" memberValueDatatype="130" unbalanced="0"/>
    <cacheHierarchy uniqueName="[rArtikli_HR_Analiza].[Ставка]" caption="Ставка" attribute="1" defaultMemberUniqueName="[rArtikli_HR_Analiza].[Ставка].[All]" allUniqueName="[rArtikli_HR_Analiza].[Ставка].[All]" dimensionUniqueName="[rArtikli_HR_Analiza]" displayFolder="" count="0" memberValueDatatype="130" unbalanced="0"/>
    <cacheHierarchy uniqueName="[rArtikli_HR_Analiza].[Категорија Артикл]" caption="Категорија Артикл" attribute="1" defaultMemberUniqueName="[rArtikli_HR_Analiza].[Категорија Артикл].[All]" allUniqueName="[rArtikli_HR_Analiza].[Категорија Артикл].[All]" dimensionUniqueName="[rArtikli_HR_Analiza]" displayFolder="" count="0" memberValueDatatype="130" unbalanced="0"/>
    <cacheHierarchy uniqueName="[rArtikli_HR_Analiza].[Тип на артикл]" caption="Тип на артикл" attribute="1" defaultMemberUniqueName="[rArtikli_HR_Analiza].[Тип на артикл].[All]" allUniqueName="[rArtikli_HR_Analiza].[Тип на артикл].[All]" dimensionUniqueName="[rArtikli_HR_Analiza]" displayFolder="" count="0" memberValueDatatype="130" unbalanced="0"/>
    <cacheHierarchy uniqueName="[rArtikli_HR_Analiza].[Единечна мерка]" caption="Единечна мерка" attribute="1" defaultMemberUniqueName="[rArtikli_HR_Analiza].[Единечна мерка].[All]" allUniqueName="[rArtikli_HR_Analiza].[Единечна мерка].[All]" dimensionUniqueName="[rArtikli_HR_Analiza]" displayFolder="" count="0" memberValueDatatype="130" unbalanced="0"/>
    <cacheHierarchy uniqueName="[rArtikli_HR_Analiza].[Количина]" caption="Количина" attribute="1" defaultMemberUniqueName="[rArtikli_HR_Analiza].[Количина].[All]" allUniqueName="[rArtikli_HR_Analiza].[Количина].[All]" dimensionUniqueName="[rArtikli_HR_Analiza]" displayFolder="" count="0" memberValueDatatype="5" unbalanced="0"/>
    <cacheHierarchy uniqueName="[rArtikli_HR_Analiza].[Единечна цена]" caption="Единечна цена" attribute="1" defaultMemberUniqueName="[rArtikli_HR_Analiza].[Единечна цена].[All]" allUniqueName="[rArtikli_HR_Analiza].[Единечна цена].[All]" dimensionUniqueName="[rArtikli_HR_Analiza]" displayFolder="" count="0" memberValueDatatype="20" unbalanced="0"/>
    <cacheHierarchy uniqueName="[rArtikli_HR_Analiza].[Вкупно трошок]" caption="Вкупно трошок" attribute="1" defaultMemberUniqueName="[rArtikli_HR_Analiza].[Вкупно трошок].[All]" allUniqueName="[rArtikli_HR_Analiza].[Вкупно трошок].[All]" dimensionUniqueName="[rArtikli_HR_Analiza]" displayFolder="" count="0" memberValueDatatype="5" unbalanced="0"/>
    <cacheHierarchy uniqueName="[rArtikli_HR_Analiza].[ДДВ]" caption="ДДВ" attribute="1" defaultMemberUniqueName="[rArtikli_HR_Analiza].[ДДВ].[All]" allUniqueName="[rArtikli_HR_Analiza].[ДДВ].[All]" dimensionUniqueName="[rArtikli_HR_Analiza]" displayFolder="" count="0" memberValueDatatype="5" unbalanced="0"/>
    <cacheHierarchy uniqueName="[rArtikli_HR_Analiza].[Износ]" caption="Износ" attribute="1" defaultMemberUniqueName="[rArtikli_HR_Analiza].[Износ].[All]" allUniqueName="[rArtikli_HR_Analiza].[Износ].[All]" dimensionUniqueName="[rArtikli_HR_Analiza]" displayFolder="" count="0" memberValueDatatype="5" unbalanced="0"/>
    <cacheHierarchy uniqueName="[rArtikli_HR_Analiza].[Конто]" caption="Конто" attribute="1" defaultMemberUniqueName="[rArtikli_HR_Analiza].[Конто].[All]" allUniqueName="[rArtikli_HR_Analiza].[Конто].[All]" dimensionUniqueName="[rArtikli_HR_Analiza]" displayFolder="" count="0" memberValueDatatype="130" unbalanced="0"/>
    <cacheHierarchy uniqueName="[rArtikli_HR_Analiza].[ReportType]" caption="ReportType" attribute="1" defaultMemberUniqueName="[rArtikli_HR_Analiza].[ReportType].[All]" allUniqueName="[rArtikli_HR_Analiza].[ReportType].[All]" dimensionUniqueName="[rArtikli_HR_Analiza]" displayFolder="" count="0" memberValueDatatype="130" unbalanced="0"/>
    <cacheHierarchy uniqueName="[rArtikli_HR_Analiza].[Период]" caption="Период" attribute="1" time="1" defaultMemberUniqueName="[rArtikli_HR_Analiza].[Период].[All]" allUniqueName="[rArtikli_HR_Analiza].[Период].[All]" dimensionUniqueName="[rArtikli_HR_Analiza]" displayFolder="" count="0" memberValueDatatype="7" unbalanced="0"/>
    <cacheHierarchy uniqueName="[rArtikli_HR_Analiza].[StavkaImeMK]" caption="StavkaImeMK" attribute="1" defaultMemberUniqueName="[rArtikli_HR_Analiza].[StavkaImeMK].[All]" allUniqueName="[rArtikli_HR_Analiza].[StavkaImeMK].[All]" dimensionUniqueName="[rArtikli_HR_Analiza]" displayFolder="" count="0" memberValueDatatype="130" unbalanced="0"/>
    <cacheHierarchy uniqueName="[rArtikli_HR_Analiza].[StavkaAOP]" caption="StavkaAOP" attribute="1" defaultMemberUniqueName="[rArtikli_HR_Analiza].[StavkaAOP].[All]" allUniqueName="[rArtikli_HR_Analiza].[StavkaAOP].[All]" dimensionUniqueName="[rArtikli_HR_Analiza]" displayFolder="" count="0" memberValueDatatype="130" unbalanced="0"/>
    <cacheHierarchy uniqueName="[rArtikli_HR_Analiza].[StavkaGrupa]" caption="StavkaGrupa" attribute="1" defaultMemberUniqueName="[rArtikli_HR_Analiza].[StavkaGrupa].[All]" allUniqueName="[rArtikli_HR_Analiza].[StavkaGrupa].[All]" dimensionUniqueName="[rArtikli_HR_Analiza]" displayFolder="" count="0" memberValueDatatype="130" unbalanced="0"/>
    <cacheHierarchy uniqueName="[rArtikli_HR_Analiza].[StavkaKategorija]" caption="StavkaKategorija" attribute="1" defaultMemberUniqueName="[rArtikli_HR_Analiza].[StavkaKategorija].[All]" allUniqueName="[rArtikli_HR_Analiza].[StavkaKategorija].[All]" dimensionUniqueName="[rArtikli_HR_Analiza]" displayFolder="" count="0" memberValueDatatype="130" unbalanced="0"/>
    <cacheHierarchy uniqueName="[rArtikli_HR_Analiza].[ObrazecIme]" caption="ObrazecIme" attribute="1" defaultMemberUniqueName="[rArtikli_HR_Analiza].[ObrazecIme].[All]" allUniqueName="[rArtikli_HR_Analiza].[ObrazecIme].[All]" dimensionUniqueName="[rArtikli_HR_Analiza]" displayFolder="" count="0" memberValueDatatype="130" unbalanced="0"/>
    <cacheHierarchy uniqueName="[rArtikli_HR_Analiza].[StavkaKategorija.1]" caption="StavkaKategorija.1" attribute="1" defaultMemberUniqueName="[rArtikli_HR_Analiza].[StavkaKategorija.1].[All]" allUniqueName="[rArtikli_HR_Analiza].[StavkaKategorija.1].[All]" dimensionUniqueName="[rArtikli_HR_Analiza]" displayFolder="" count="0" memberValueDatatype="130" unbalanced="0"/>
    <cacheHierarchy uniqueName="[rArtikliAnaliza].[Артикл ИД]" caption="Артикл ИД" attribute="1" defaultMemberUniqueName="[rArtikliAnaliza].[Артикл ИД].[All]" allUniqueName="[rArtikliAnaliza].[Артикл ИД].[All]" dimensionUniqueName="[rArtikliAnaliza]" displayFolder="" count="0" memberValueDatatype="20" unbalanced="0"/>
    <cacheHierarchy uniqueName="[rArtikliAnaliza].[Ставка]" caption="Ставка" attribute="1" defaultMemberUniqueName="[rArtikliAnaliza].[Ставка].[All]" allUniqueName="[rArtikliAnaliza].[Ставка].[All]" dimensionUniqueName="[rArtikliAnaliza]" displayFolder="" count="0" memberValueDatatype="130" unbalanced="0"/>
    <cacheHierarchy uniqueName="[rArtikliAnaliza].[Категорија Артикл ИД]" caption="Категорија Артикл ИД" attribute="1" defaultMemberUniqueName="[rArtikliAnaliza].[Категорија Артикл ИД].[All]" allUniqueName="[rArtikliAnaliza].[Категорија Артикл ИД].[All]" dimensionUniqueName="[rArtikliAnaliza]" displayFolder="" count="0" memberValueDatatype="20" unbalanced="0"/>
    <cacheHierarchy uniqueName="[rArtikliAnaliza].[Категорија Артикл]" caption="Категорија Артикл" attribute="1" defaultMemberUniqueName="[rArtikliAnaliza].[Категорија Артикл].[All]" allUniqueName="[rArtikliAnaliza].[Категорија Артикл].[All]" dimensionUniqueName="[rArtikliAnaliza]" displayFolder="" count="0" memberValueDatatype="130" unbalanced="0"/>
    <cacheHierarchy uniqueName="[rArtikliAnaliza].[Тип на артикл]" caption="Тип на артикл" attribute="1" defaultMemberUniqueName="[rArtikliAnaliza].[Тип на артикл].[All]" allUniqueName="[rArtikliAnaliza].[Тип на артикл].[All]" dimensionUniqueName="[rArtikliAnaliza]" displayFolder="" count="0" memberValueDatatype="130" unbalanced="0"/>
    <cacheHierarchy uniqueName="[rArtikliAnaliza].[Единечна мерка]" caption="Единечна мерка" attribute="1" defaultMemberUniqueName="[rArtikliAnaliza].[Единечна мерка].[All]" allUniqueName="[rArtikliAnaliza].[Единечна мерка].[All]" dimensionUniqueName="[rArtikliAnaliza]" displayFolder="" count="0" memberValueDatatype="130" unbalanced="0"/>
    <cacheHierarchy uniqueName="[rArtikliAnaliza].[Количина]" caption="Количина" attribute="1" defaultMemberUniqueName="[rArtikliAnaliza].[Количина].[All]" allUniqueName="[rArtikliAnaliza].[Количина].[All]" dimensionUniqueName="[rArtikliAnaliza]" displayFolder="" count="0" memberValueDatatype="5" unbalanced="0"/>
    <cacheHierarchy uniqueName="[rArtikliAnaliza].[Единечна цена]" caption="Единечна цена" attribute="1" defaultMemberUniqueName="[rArtikliAnaliza].[Единечна цена].[All]" allUniqueName="[rArtikliAnaliza].[Единечна цена].[All]" dimensionUniqueName="[rArtikliAnaliza]" displayFolder="" count="0" memberValueDatatype="20" unbalanced="0"/>
    <cacheHierarchy uniqueName="[rArtikliAnaliza].[Износ]" caption="Износ" attribute="1" defaultMemberUniqueName="[rArtikliAnaliza].[Износ].[All]" allUniqueName="[rArtikliAnaliza].[Износ].[All]" dimensionUniqueName="[rArtikliAnaliza]" displayFolder="" count="0" memberValueDatatype="5" unbalanced="0"/>
    <cacheHierarchy uniqueName="[rArtikliAnaliza].[ДДВ]" caption="ДДВ" attribute="1" defaultMemberUniqueName="[rArtikliAnaliza].[ДДВ].[All]" allUniqueName="[rArtikliAnaliza].[ДДВ].[All]" dimensionUniqueName="[rArtikliAnaliza]" displayFolder="" count="0" memberValueDatatype="5" unbalanced="0"/>
    <cacheHierarchy uniqueName="[rArtikliAnaliza].[Вкупно трошок со ДДВ]" caption="Вкупно трошок со ДДВ" attribute="1" defaultMemberUniqueName="[rArtikliAnaliza].[Вкупно трошок со ДДВ].[All]" allUniqueName="[rArtikliAnaliza].[Вкупно трошок со ДДВ].[All]" dimensionUniqueName="[rArtikliAnaliza]" displayFolder="" count="0" memberValueDatatype="5" unbalanced="0"/>
    <cacheHierarchy uniqueName="[rArtikliAnaliza].[Конто]" caption="Конто" attribute="1" defaultMemberUniqueName="[rArtikliAnaliza].[Конто].[All]" allUniqueName="[rArtikliAnaliza].[Конто].[All]" dimensionUniqueName="[rArtikliAnaliza]" displayFolder="" count="0" memberValueDatatype="130" unbalanced="0"/>
    <cacheHierarchy uniqueName="[rArtikliAnaliza].[Период]" caption="Период" attribute="1" time="1" defaultMemberUniqueName="[rArtikliAnaliza].[Период].[All]" allUniqueName="[rArtikliAnaliza].[Период].[All]" dimensionUniqueName="[rArtikliAnaliza]" displayFolder="" count="0" memberValueDatatype="7" unbalanced="0"/>
    <cacheHierarchy uniqueName="[rArtikliAnaliza].[ReportType]" caption="ReportType" attribute="1" defaultMemberUniqueName="[rArtikliAnaliza].[ReportType].[All]" allUniqueName="[rArtikliAnaliza].[ReportType].[All]" dimensionUniqueName="[rArtikliAnaliza]" displayFolder="" count="0" memberValueDatatype="130" unbalanced="0"/>
    <cacheHierarchy uniqueName="[rArtikliAnaliza].[StavkaImeMK]" caption="StavkaImeMK" attribute="1" defaultMemberUniqueName="[rArtikliAnaliza].[StavkaImeMK].[All]" allUniqueName="[rArtikliAnaliza].[StavkaImeMK].[All]" dimensionUniqueName="[rArtikliAnaliza]" displayFolder="" count="0" memberValueDatatype="130" unbalanced="0"/>
    <cacheHierarchy uniqueName="[rArtikliAnaliza].[StavkaKategorija]" caption="StavkaKategorija" attribute="1" defaultMemberUniqueName="[rArtikliAnaliza].[StavkaKategorija].[All]" allUniqueName="[rArtikliAnaliza].[StavkaKategorija].[All]" dimensionUniqueName="[rArtikliAnaliza]" displayFolder="" count="0" memberValueDatatype="130" unbalanced="0"/>
    <cacheHierarchy uniqueName="[rArtikliAnaliza].[Период (Year)]" caption="Период (Year)" attribute="1" defaultMemberUniqueName="[rArtikliAnaliza].[Период (Year)].[All]" allUniqueName="[rArtikliAnaliza].[Период (Year)].[All]" dimensionUniqueName="[rArtikliAnaliza]" displayFolder="" count="0" memberValueDatatype="130" unbalanced="0"/>
    <cacheHierarchy uniqueName="[rArtikliAnaliza].[Период (Quarter)]" caption="Период (Quarter)" attribute="1" defaultMemberUniqueName="[rArtikliAnaliza].[Период (Quarter)].[All]" allUniqueName="[rArtikliAnaliza].[Период (Quarter)].[All]" dimensionUniqueName="[rArtikliAnaliza]" displayFolder="" count="0" memberValueDatatype="130" unbalanced="0"/>
    <cacheHierarchy uniqueName="[rArtikliAnaliza].[Период (Month)]" caption="Период (Month)" attribute="1" defaultMemberUniqueName="[rArtikliAnaliza].[Период (Month)].[All]" allUniqueName="[rArtikliAnaliza].[Период (Month)].[All]" dimensionUniqueName="[rArtikliAnaliza]" displayFolder="" count="0" memberValueDatatype="130" unbalanced="0"/>
    <cacheHierarchy uniqueName="[CAPEX].[Очекуван датум за ставање во употреба (месец) (Month Index)]" caption="Очекуван датум за ставање во употреба (месец) (Month Index)" attribute="1" defaultMemberUniqueName="[CAPEX].[Очекуван датум за ставање во употреба (месец) (Month Index)].[All]" allUniqueName="[CAPEX].[Очекуван датум за ставање во употреба (месец) (Month Index)].[All]" dimensionUniqueName="[CAPEX]" displayFolder="" count="0" memberValueDatatype="20" unbalanced="0" hidden="1"/>
    <cacheHierarchy uniqueName="[CAPEX].[Очекуван датум на плаќање (Month Index)]" caption="Очекуван датум на плаќање (Month Index)" attribute="1" defaultMemberUniqueName="[CAPEX].[Очекуван датум на плаќање (Month Index)].[All]" allUniqueName="[CAPEX].[Очекуван датум на плаќање (Month Index)].[All]" dimensionUniqueName="[CAPEX]" displayFolder="" count="0" memberValueDatatype="20" unbalanced="0" hidden="1"/>
    <cacheHierarchy uniqueName="[fActualAndBudget].[StavkaID]" caption="StavkaID" attribute="1" defaultMemberUniqueName="[fActualAndBudget].[StavkaID].[All]" allUniqueName="[fActualAndBudget].[StavkaID].[All]" dimensionUniqueName="[fActualAndBudget]" displayFolder="" count="0" memberValueDatatype="20" unbalanced="0" hidden="1"/>
    <cacheHierarchy uniqueName="[fCoveckiResursi].[Период (Month Index)]" caption="Период (Month Index)" attribute="1" defaultMemberUniqueName="[fCoveckiResursi].[Период (Month Index)].[All]" allUniqueName="[fCoveckiResursi].[Период (Month Index)].[All]" dimensionUniqueName="[fCoveckiResursi]" displayFolder="" count="0" memberValueDatatype="20" unbalanced="0" hidden="1"/>
    <cacheHierarchy uniqueName="[fCoveckiResursi].[Период (Month Index) 1]" caption="Период (Month Index) 1" attribute="1" defaultMemberUniqueName="[fCoveckiResursi].[Период (Month Index) 1].[All]" allUniqueName="[fCoveckiResursi].[Период (Month Index) 1].[All]" dimensionUniqueName="[fCoveckiResursi]" displayFolder="" count="0" memberValueDatatype="20" unbalanced="0" hidden="1"/>
    <cacheHierarchy uniqueName="[OPEXAnaliza].[Период (Month Index)]" caption="Период (Month Index)" attribute="1" defaultMemberUniqueName="[OPEXAnaliza].[Период (Month Index)].[All]" allUniqueName="[OPEXAnaliza].[Период (Month Index)].[All]" dimensionUniqueName="[OPEXAnaliza]" displayFolder="" count="0" memberValueDatatype="20" unbalanced="0" hidden="1"/>
    <cacheHierarchy uniqueName="[rArtikli_HR_Analiza].[Крајна состојба вработени]" caption="Крајна состојба вработени" attribute="1" defaultMemberUniqueName="[rArtikli_HR_Analiza].[Крајна состојба вработени].[All]" allUniqueName="[rArtikli_HR_Analiza].[Крајна состојба вработени].[All]" dimensionUniqueName="[rArtikli_HR_Analiza]" displayFolder="" count="0" memberValueDatatype="20" unbalanced="0" hidden="1"/>
    <cacheHierarchy uniqueName="[rArtikli_HR_Analiza].[Планиран прилив/(одлив)]" caption="Планиран прилив/(одлив)" attribute="1" defaultMemberUniqueName="[rArtikli_HR_Analiza].[Планиран прилив/(одлив)].[All]" allUniqueName="[rArtikli_HR_Analiza].[Планиран прилив/(одлив)].[All]" dimensionUniqueName="[rArtikli_HR_Analiza]" displayFolder="" count="0" memberValueDatatype="20" unbalanced="0" hidden="1"/>
    <cacheHierarchy uniqueName="[rArtikli_HR_Analiza].[Тип на вработување]" caption="Тип на вработување" attribute="1" defaultMemberUniqueName="[rArtikli_HR_Analiza].[Тип на вработување].[All]" allUniqueName="[rArtikli_HR_Analiza].[Тип на вработување].[All]" dimensionUniqueName="[rArtikli_HR_Analiza]" displayFolder="" count="0" memberValueDatatype="130" unbalanced="0" hidden="1"/>
    <cacheHierarchy uniqueName="[rArtikliAnaliza].[Период (Month Index)]" caption="Период (Month Index)" attribute="1" defaultMemberUniqueName="[rArtikliAnaliza].[Период (Month Index)].[All]" allUniqueName="[rArtikliAnaliza].[Период (Month Index)].[All]" dimensionUniqueName="[rArtikliAnaliza]" displayFolder="" count="0" memberValueDatatype="20" unbalanced="0" hidden="1"/>
    <cacheHierarchy uniqueName="[Measures].[__XL_Count Calendar]" caption="__XL_Count Calendar" measure="1" displayFolder="" measureGroup="Calendar" count="0" hidden="1"/>
    <cacheHierarchy uniqueName="[Measures].[__XL_Count CAPEX]" caption="__XL_Count CAPEX" measure="1" displayFolder="" measureGroup="CAPEX" count="0" hidden="1"/>
    <cacheHierarchy uniqueName="[Measures].[__XL_Count Amortizacija]" caption="__XL_Count Amortizacija" measure="1" displayFolder="" measureGroup="Amortizacija" count="0" hidden="1"/>
    <cacheHierarchy uniqueName="[Measures].[__XL_Count fCoveckiResursi]" caption="__XL_Count fCoveckiResursi" measure="1" displayFolder="" measureGroup="fCoveckiResursi" count="0" hidden="1"/>
    <cacheHierarchy uniqueName="[Measures].[__XL_Count fActualAndBudget]" caption="__XL_Count fActualAndBudget" measure="1" displayFolder="" measureGroup="fActualAndBudget" count="0" hidden="1"/>
    <cacheHierarchy uniqueName="[Measures].[__XL_Count fOPEX]" caption="__XL_Count fOPEX" measure="1" displayFolder="" measureGroup="fOPEX" count="0" hidden="1"/>
    <cacheHierarchy uniqueName="[Measures].[__XL_Count OPEXAnaliza]" caption="__XL_Count OPEXAnaliza" measure="1" displayFolder="" measureGroup="OPEXAnaliza" count="0" hidden="1"/>
    <cacheHierarchy uniqueName="[Measures].[__XL_Count rArtikliAnaliza]" caption="__XL_Count rArtikliAnaliza" measure="1" displayFolder="" measureGroup="rArtikliAnaliza" count="0" hidden="1"/>
    <cacheHierarchy uniqueName="[Measures].[__XL_Count fArtikliCeni]" caption="__XL_Count fArtikliCeni" measure="1" displayFolder="" measureGroup="fArtikliCeni" count="0" hidden="1"/>
    <cacheHierarchy uniqueName="[Measures].[__XL_Count rArtikli_HR_Analiza]" caption="__XL_Count rArtikli_HR_Analiza" measure="1" displayFolder="" measureGroup="rArtikli_HR_Analiza" count="0" hidden="1"/>
    <cacheHierarchy uniqueName="[Measures].[__XL_Count fCoveckiResursi  2]" caption="__XL_Count fCoveckiResursi  2" measure="1" displayFolder="" measureGroup="fCoveckiResursi  2" count="0" hidden="1"/>
    <cacheHierarchy uniqueName="[Measures].[__No measures defined]" caption="__No measures defined" measure="1" displayFolder="" count="0" hidden="1"/>
    <cacheHierarchy uniqueName="[Measures].[Sum of Износ 3]" caption="Sum of Износ 3" measure="1" displayFolder="" measureGroup="fCoveckiResursi" count="0" hidden="1">
      <extLst>
        <ext xmlns:x15="http://schemas.microsoft.com/office/spreadsheetml/2010/11/main" uri="{B97F6D7D-B522-45F9-BDA1-12C45D357490}">
          <x15:cacheHierarchy aggregatedColumn="71"/>
        </ext>
      </extLst>
    </cacheHierarchy>
    <cacheHierarchy uniqueName="[Measures].[Sum of Крајна состојба вработени]" caption="Sum of Крајна состојба вработени" measure="1" displayFolder="" measureGroup="fCoveckiResursi" count="0" hidden="1">
      <extLst>
        <ext xmlns:x15="http://schemas.microsoft.com/office/spreadsheetml/2010/11/main" uri="{B97F6D7D-B522-45F9-BDA1-12C45D357490}">
          <x15:cacheHierarchy aggregatedColumn="70"/>
        </ext>
      </extLst>
    </cacheHierarchy>
    <cacheHierarchy uniqueName="[Measures].[Sum of Планиран прилив/(одлив)]" caption="Sum of Планиран прилив/(одлив)" measure="1" displayFolder="" measureGroup="fCoveckiResursi" count="0" hidden="1">
      <extLst>
        <ext xmlns:x15="http://schemas.microsoft.com/office/spreadsheetml/2010/11/main" uri="{B97F6D7D-B522-45F9-BDA1-12C45D357490}">
          <x15:cacheHierarchy aggregatedColumn="68"/>
        </ext>
      </extLst>
    </cacheHierarchy>
    <cacheHierarchy uniqueName="[Measures].[Sum of Износ]" caption="Sum of Износ" measure="1" displayFolder="" measureGroup="fActualAndBudget" count="0" hidden="1">
      <extLst>
        <ext xmlns:x15="http://schemas.microsoft.com/office/spreadsheetml/2010/11/main" uri="{B97F6D7D-B522-45F9-BDA1-12C45D357490}">
          <x15:cacheHierarchy aggregatedColumn="45"/>
        </ext>
      </extLst>
    </cacheHierarchy>
    <cacheHierarchy uniqueName="[Measures].[Sum of Износ (илјади)]" caption="Sum of Износ (илјади)" measure="1" displayFolder="" measureGroup="fActualAndBudget" count="0" hidden="1">
      <extLst>
        <ext xmlns:x15="http://schemas.microsoft.com/office/spreadsheetml/2010/11/main" uri="{B97F6D7D-B522-45F9-BDA1-12C45D357490}">
          <x15:cacheHierarchy aggregatedColumn="46"/>
        </ext>
      </extLst>
    </cacheHierarchy>
    <cacheHierarchy uniqueName="[Measures].[Sum of Износ1]" caption="Sum of Износ1" measure="1" displayFolder="" measureGroup="fActualAndBudget" count="0" hidden="1">
      <extLst>
        <ext xmlns:x15="http://schemas.microsoft.com/office/spreadsheetml/2010/11/main" uri="{B97F6D7D-B522-45F9-BDA1-12C45D357490}">
          <x15:cacheHierarchy aggregatedColumn="34"/>
        </ext>
      </extLst>
    </cacheHierarchy>
    <cacheHierarchy uniqueName="[Measures].[Sum of Износ 2]" caption="Sum of Износ 2" measure="1" displayFolder="" measureGroup="Amortizacija" count="0" hidden="1">
      <extLst>
        <ext xmlns:x15="http://schemas.microsoft.com/office/spreadsheetml/2010/11/main" uri="{B97F6D7D-B522-45F9-BDA1-12C45D357490}">
          <x15:cacheHierarchy aggregatedColumn="3"/>
        </ext>
      </extLst>
    </cacheHierarchy>
    <cacheHierarchy uniqueName="[Measures].[Sum of Износ 4]" caption="Sum of Износ 4" measure="1" displayFolder="" measureGroup="OPEXAnaliza" count="0" hidden="1">
      <extLst>
        <ext xmlns:x15="http://schemas.microsoft.com/office/spreadsheetml/2010/11/main" uri="{B97F6D7D-B522-45F9-BDA1-12C45D357490}">
          <x15:cacheHierarchy aggregatedColumn="101"/>
        </ext>
      </extLst>
    </cacheHierarchy>
    <cacheHierarchy uniqueName="[Measures].[Sum of Износ донација]" caption="Sum of Износ донација" measure="1" displayFolder="" measureGroup="CAPEX" count="0" hidden="1">
      <extLst>
        <ext xmlns:x15="http://schemas.microsoft.com/office/spreadsheetml/2010/11/main" uri="{B97F6D7D-B522-45F9-BDA1-12C45D357490}">
          <x15:cacheHierarchy aggregatedColumn="24"/>
        </ext>
      </extLst>
    </cacheHierarchy>
    <cacheHierarchy uniqueName="[Measures].[Sum of Вкупно трошок]" caption="Sum of Вкупно трошок" measure="1" displayFolder="" measureGroup="fArtikliCeni" count="0" oneField="1" hidden="1">
      <fieldsUsage count="1">
        <fieldUsage x="9"/>
      </fieldsUsage>
      <extLst>
        <ext xmlns:x15="http://schemas.microsoft.com/office/spreadsheetml/2010/11/main" uri="{B97F6D7D-B522-45F9-BDA1-12C45D357490}">
          <x15:cacheHierarchy aggregatedColumn="55"/>
        </ext>
      </extLst>
    </cacheHierarchy>
    <cacheHierarchy uniqueName="[Measures].[Sum of Количина]" caption="Sum of Количина" measure="1" displayFolder="" measureGroup="fArtikliCeni" count="0" hidden="1">
      <extLst>
        <ext xmlns:x15="http://schemas.microsoft.com/office/spreadsheetml/2010/11/main" uri="{B97F6D7D-B522-45F9-BDA1-12C45D357490}">
          <x15:cacheHierarchy aggregatedColumn="53"/>
        </ext>
      </extLst>
    </cacheHierarchy>
    <cacheHierarchy uniqueName="[Measures].[Sum of Единечна цена]" caption="Sum of Единечна цена" measure="1" displayFolder="" measureGroup="fArtikliCeni" count="0" hidden="1">
      <extLst>
        <ext xmlns:x15="http://schemas.microsoft.com/office/spreadsheetml/2010/11/main" uri="{B97F6D7D-B522-45F9-BDA1-12C45D357490}">
          <x15:cacheHierarchy aggregatedColumn="54"/>
        </ext>
      </extLst>
    </cacheHierarchy>
    <cacheHierarchy uniqueName="[Measures].[Sum of ДДВ]" caption="Sum of ДДВ" measure="1" displayFolder="" measureGroup="fArtikliCeni" count="0" hidden="1">
      <extLst>
        <ext xmlns:x15="http://schemas.microsoft.com/office/spreadsheetml/2010/11/main" uri="{B97F6D7D-B522-45F9-BDA1-12C45D357490}">
          <x15:cacheHierarchy aggregatedColumn="56"/>
        </ext>
      </extLst>
    </cacheHierarchy>
    <cacheHierarchy uniqueName="[Measures].[Sum of Износ 6]" caption="Sum of Износ 6" measure="1" displayFolder="" measureGroup="fArtikliCeni" count="0" hidden="1">
      <extLst>
        <ext xmlns:x15="http://schemas.microsoft.com/office/spreadsheetml/2010/11/main" uri="{B97F6D7D-B522-45F9-BDA1-12C45D357490}">
          <x15:cacheHierarchy aggregatedColumn="57"/>
        </ext>
      </extLst>
    </cacheHierarchy>
    <cacheHierarchy uniqueName="[Measures].[Count of Единечна мерка]" caption="Count of Единечна мерка" measure="1" displayFolder="" measureGroup="fArtikliCeni" count="0" hidden="1">
      <extLst>
        <ext xmlns:x15="http://schemas.microsoft.com/office/spreadsheetml/2010/11/main" uri="{B97F6D7D-B522-45F9-BDA1-12C45D357490}">
          <x15:cacheHierarchy aggregatedColumn="52"/>
        </ext>
      </extLst>
    </cacheHierarchy>
    <cacheHierarchy uniqueName="[Measures].[Sum of Количина 2]" caption="Sum of Количина 2" measure="1" displayFolder="" measureGroup="rArtikli_HR_Analiza" count="0" hidden="1">
      <extLst>
        <ext xmlns:x15="http://schemas.microsoft.com/office/spreadsheetml/2010/11/main" uri="{B97F6D7D-B522-45F9-BDA1-12C45D357490}">
          <x15:cacheHierarchy aggregatedColumn="118"/>
        </ext>
      </extLst>
    </cacheHierarchy>
    <cacheHierarchy uniqueName="[Measures].[Sum of Единечна цена 2]" caption="Sum of Единечна цена 2" measure="1" displayFolder="" measureGroup="rArtikli_HR_Analiza" count="0" hidden="1">
      <extLst>
        <ext xmlns:x15="http://schemas.microsoft.com/office/spreadsheetml/2010/11/main" uri="{B97F6D7D-B522-45F9-BDA1-12C45D357490}">
          <x15:cacheHierarchy aggregatedColumn="119"/>
        </ext>
      </extLst>
    </cacheHierarchy>
    <cacheHierarchy uniqueName="[Measures].[Sum of Вкупно трошок 2]" caption="Sum of Вкупно трошок 2" measure="1" displayFolder="" measureGroup="rArtikli_HR_Analiza" count="0" hidden="1">
      <extLst>
        <ext xmlns:x15="http://schemas.microsoft.com/office/spreadsheetml/2010/11/main" uri="{B97F6D7D-B522-45F9-BDA1-12C45D357490}">
          <x15:cacheHierarchy aggregatedColumn="120"/>
        </ext>
      </extLst>
    </cacheHierarchy>
    <cacheHierarchy uniqueName="[Measures].[Sum of ДДВ 2]" caption="Sum of ДДВ 2" measure="1" displayFolder="" measureGroup="rArtikli_HR_Analiza" count="0" hidden="1">
      <extLst>
        <ext xmlns:x15="http://schemas.microsoft.com/office/spreadsheetml/2010/11/main" uri="{B97F6D7D-B522-45F9-BDA1-12C45D357490}">
          <x15:cacheHierarchy aggregatedColumn="121"/>
        </ext>
      </extLst>
    </cacheHierarchy>
    <cacheHierarchy uniqueName="[Measures].[Sum of Износ 7]" caption="Sum of Износ 7" measure="1" displayFolder="" measureGroup="rArtikli_HR_Analiza" count="0" hidden="1">
      <extLst>
        <ext xmlns:x15="http://schemas.microsoft.com/office/spreadsheetml/2010/11/main" uri="{B97F6D7D-B522-45F9-BDA1-12C45D357490}">
          <x15:cacheHierarchy aggregatedColumn="122"/>
        </ext>
      </extLst>
    </cacheHierarchy>
    <cacheHierarchy uniqueName="[Measures].[Sum of Износ 5]" caption="Sum of Износ 5" measure="1" displayFolder="" measureGroup="fCoveckiResursi  2" count="0" hidden="1">
      <extLst>
        <ext xmlns:x15="http://schemas.microsoft.com/office/spreadsheetml/2010/11/main" uri="{B97F6D7D-B522-45F9-BDA1-12C45D357490}">
          <x15:cacheHierarchy aggregatedColumn="82"/>
        </ext>
      </extLst>
    </cacheHierarchy>
    <cacheHierarchy uniqueName="[Measures].[Sum of Проценета вредност на набавка со ДДВ (денари)]" caption="Sum of Проценета вредност на набавка со ДДВ (денари)" measure="1" displayFolder="" measureGroup="CAPEX" count="0" hidden="1">
      <extLst>
        <ext xmlns:x15="http://schemas.microsoft.com/office/spreadsheetml/2010/11/main" uri="{B97F6D7D-B522-45F9-BDA1-12C45D357490}">
          <x15:cacheHierarchy aggregatedColumn="20"/>
        </ext>
      </extLst>
    </cacheHierarchy>
  </cacheHierarchies>
  <kpis count="0"/>
  <dimensions count="12">
    <dimension name="Amortizacija" uniqueName="[Amortizacija]" caption="Amortizacija"/>
    <dimension name="Calendar" uniqueName="[Calendar]" caption="Calendar"/>
    <dimension name="CAPEX" uniqueName="[CAPEX]" caption="CAPEX"/>
    <dimension name="fActualAndBudget" uniqueName="[fActualAndBudget]" caption="fActualAndBudget"/>
    <dimension name="fArtikliCeni" uniqueName="[fArtikliCeni]" caption="fArtikliCeni"/>
    <dimension name="fCoveckiResursi" uniqueName="[fCoveckiResursi]" caption="fCoveckiResursi"/>
    <dimension name="fCoveckiResursi  2" uniqueName="[fCoveckiResursi  2]" caption="fCoveckiResursi  2"/>
    <dimension name="fOPEX" uniqueName="[fOPEX]" caption="fOPEX"/>
    <dimension measure="1" name="Measures" uniqueName="[Measures]" caption="Measures"/>
    <dimension name="OPEXAnaliza" uniqueName="[OPEXAnaliza]" caption="OPEXAnaliza"/>
    <dimension name="rArtikli_HR_Analiza" uniqueName="[rArtikli_HR_Analiza]" caption="rArtikli_HR_Analiza"/>
    <dimension name="rArtikliAnaliza" uniqueName="[rArtikliAnaliza]" caption="rArtikliAnaliza"/>
  </dimensions>
  <measureGroups count="11">
    <measureGroup name="Amortizacija" caption="Amortizacija"/>
    <measureGroup name="Calendar" caption="Calendar"/>
    <measureGroup name="CAPEX" caption="CAPEX"/>
    <measureGroup name="fActualAndBudget" caption="fActualAndBudget"/>
    <measureGroup name="fArtikliCeni" caption="fArtikliCeni"/>
    <measureGroup name="fCoveckiResursi" caption="fCoveckiResursi"/>
    <measureGroup name="fCoveckiResursi  2" caption="fCoveckiResursi  2"/>
    <measureGroup name="fOPEX" caption="fOPEX"/>
    <measureGroup name="OPEXAnaliza" caption="OPEXAnaliza"/>
    <measureGroup name="rArtikli_HR_Analiza" caption="rArtikli_HR_Analiza"/>
    <measureGroup name="rArtikliAnaliza" caption="rArtikliAnaliza"/>
  </measureGroups>
  <maps count="19">
    <map measureGroup="0" dimension="0"/>
    <map measureGroup="0" dimension="1"/>
    <map measureGroup="1" dimension="1"/>
    <map measureGroup="2" dimension="1"/>
    <map measureGroup="2" dimension="2"/>
    <map measureGroup="3" dimension="1"/>
    <map measureGroup="3" dimension="3"/>
    <map measureGroup="4" dimension="4"/>
    <map measureGroup="5" dimension="1"/>
    <map measureGroup="5" dimension="5"/>
    <map measureGroup="6" dimension="1"/>
    <map measureGroup="6" dimension="6"/>
    <map measureGroup="7" dimension="1"/>
    <map measureGroup="7" dimension="7"/>
    <map measureGroup="8" dimension="1"/>
    <map measureGroup="8" dimension="9"/>
    <map measureGroup="9" dimension="10"/>
    <map measureGroup="10" dimension="1"/>
    <map measureGroup="10" dimension="1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ngela Sazdova - Doneva" refreshedDate="44899.978484722225" createdVersion="5" refreshedVersion="6" minRefreshableVersion="3" recordCount="0" supportSubquery="1" supportAdvancedDrill="1" xr:uid="{00000000-000A-0000-FFFF-FFFF02000000}">
  <cacheSource type="external" connectionId="22"/>
  <cacheFields count="6">
    <cacheField name="[Calendar].[Date Hierarchy].[Year]" caption="Year" numFmtId="0" hierarchy="7" level="1">
      <sharedItems containsSemiMixedTypes="0" containsNonDate="0" containsString="0"/>
    </cacheField>
    <cacheField name="[Calendar].[Date Hierarchy].[Month]" caption="Month" numFmtId="0" hierarchy="7" level="2">
      <sharedItems containsSemiMixedTypes="0" containsNonDate="0" containsString="0"/>
    </cacheField>
    <cacheField name="[Calendar].[Date Hierarchy].[DateColumn]" caption="DateColumn" numFmtId="0" hierarchy="7" level="3">
      <sharedItems containsSemiMixedTypes="0" containsNonDate="0" containsString="0"/>
    </cacheField>
    <cacheField name="[fActualAndBudget].[ReportType].[ReportType]" caption="ReportType" numFmtId="0" hierarchy="35" level="1">
      <sharedItems containsSemiMixedTypes="0" containsNonDate="0" containsString="0"/>
    </cacheField>
    <cacheField name="[Calendar].[Година].[Година]" caption="Година" numFmtId="0" hierarchy="8" level="1">
      <sharedItems containsSemiMixedTypes="0" containsNonDate="0" containsString="0"/>
    </cacheField>
    <cacheField name="[fActualAndBudget].[ObrazecIme].[ObrazecIme]" caption="ObrazecIme" numFmtId="0" hierarchy="44" level="1">
      <sharedItems containsSemiMixedTypes="0" containsNonDate="0" containsString="0"/>
    </cacheField>
  </cacheFields>
  <cacheHierarchies count="195">
    <cacheHierarchy uniqueName="[Amortizacija].[Број на јавна набавка (план)]" caption="Број на јавна набавка (план)" attribute="1" defaultMemberUniqueName="[Amortizacija].[Број на јавна набавка (план)].[All]" allUniqueName="[Amortizacija].[Број на јавна набавка (план)].[All]" dimensionUniqueName="[Amortizacija]" displayFolder="" count="0" memberValueDatatype="130" unbalanced="0"/>
    <cacheHierarchy uniqueName="[Amortizacija].[Ставка]" caption="Ставка" attribute="1" defaultMemberUniqueName="[Amortizacija].[Ставка].[All]" allUniqueName="[Amortizacija].[Ставка].[All]" dimensionUniqueName="[Amortizacija]" displayFolder="" count="0" memberValueDatatype="130" unbalanced="0"/>
    <cacheHierarchy uniqueName="[Amortizacija].[Период]" caption="Период" attribute="1" time="1" defaultMemberUniqueName="[Amortizacija].[Период].[All]" allUniqueName="[Amortizacija].[Период].[All]" dimensionUniqueName="[Amortizacija]" displayFolder="" count="0" memberValueDatatype="7" unbalanced="0"/>
    <cacheHierarchy uniqueName="[Amortizacija].[Износ]" caption="Износ" attribute="1" defaultMemberUniqueName="[Amortizacija].[Износ].[All]" allUniqueName="[Amortizacija].[Износ].[All]" dimensionUniqueName="[Amortizacija]" displayFolder="" count="0" memberValueDatatype="20" unbalanced="0"/>
    <cacheHierarchy uniqueName="[Amortizacija].[Конто]" caption="Конто" attribute="1" defaultMemberUniqueName="[Amortizacija].[Конто].[All]" allUniqueName="[Amortizacija].[Конто].[All]" dimensionUniqueName="[Amortizacija]" displayFolder="" count="0" memberValueDatatype="130" unbalanced="0"/>
    <cacheHierarchy uniqueName="[Amortizacija].[ReportType]" caption="ReportType" attribute="1" defaultMemberUniqueName="[Amortizacija].[ReportType].[All]" allUniqueName="[Amortizacija].[ReportType].[All]" dimensionUniqueName="[Amortizacija]" displayFolder="" count="0" memberValueDatatype="130" unbalanced="0"/>
    <cacheHierarchy uniqueName="[Calendar].[Date]" caption="Date" attribute="1" time="1" keyAttribute="1" defaultMemberUniqueName="[Calendar].[Date].[All]" allUniqueName="[Calendar].[Date].[All]" dimensionUniqueName="[Calendar]" displayFolder="" count="0" memberValueDatatype="7" unbalanced="0"/>
    <cacheHierarchy uniqueName="[Calendar].[Date Hierarchy]" caption="Date Hierarchy" time="1" defaultMemberUniqueName="[Calendar].[Date Hierarchy].[All]" allUniqueName="[Calendar].[Date Hierarchy].[All]" dimensionUniqueName="[Calendar]" displayFolder="" count="4" unbalanced="0">
      <fieldsUsage count="4">
        <fieldUsage x="-1"/>
        <fieldUsage x="0"/>
        <fieldUsage x="1"/>
        <fieldUsage x="2"/>
      </fieldsUsage>
    </cacheHierarchy>
    <cacheHierarchy uniqueName="[Calendar].[Година]" caption="Година" attribute="1" time="1" defaultMemberUniqueName="[Calendar].[Година].[All]" allUniqueName="[Calendar].[Година].[All]" dimensionUniqueName="[Calendar]" displayFolder="" count="2" memberValueDatatype="20" unbalanced="0">
      <fieldsUsage count="2">
        <fieldUsage x="-1"/>
        <fieldUsage x="4"/>
      </fieldsUsage>
    </cacheHierarchy>
    <cacheHierarchy uniqueName="[Calendar].[Month Number]" caption="Month Number" attribute="1" time="1" defaultMemberUniqueName="[Calendar].[Month Number].[All]" allUniqueName="[Calendar].[Month Number].[All]" dimensionUniqueName="[Calendar]" displayFolder="" count="0" memberValueDatatype="20" unbalanced="0"/>
    <cacheHierarchy uniqueName="[Calendar].[Месец]" caption="Месец" attribute="1" time="1" defaultMemberUniqueName="[Calendar].[Месец].[All]" allUniqueName="[Calendar].[Месец].[All]" dimensionUniqueName="[Calendar]" displayFolder="" count="0" memberValueDatatype="130" unbalanced="0"/>
    <cacheHierarchy uniqueName="[Calendar].[MMM-YYYY]" caption="MMM-YYYY" attribute="1" time="1" defaultMemberUniqueName="[Calendar].[MMM-YYYY].[All]" allUniqueName="[Calendar].[MMM-YYYY].[All]" dimensionUniqueName="[Calendar]" displayFolder="" count="0" memberValueDatatype="130" unbalanced="0"/>
    <cacheHierarchy uniqueName="[Calendar].[Day Of Week Number]" caption="Day Of Week Number" attribute="1" time="1" defaultMemberUniqueName="[Calendar].[Day Of Week Number].[All]" allUniqueName="[Calendar].[Day Of Week Number].[All]" dimensionUniqueName="[Calendar]" displayFolder="" count="0" memberValueDatatype="20" unbalanced="0"/>
    <cacheHierarchy uniqueName="[Calendar].[Day Of Week]" caption="Day Of Week" attribute="1" time="1" defaultMemberUniqueName="[Calendar].[Day Of Week].[All]" allUniqueName="[Calendar].[Day Of Week].[All]" dimensionUniqueName="[Calendar]" displayFolder="" count="0" memberValueDatatype="130" unbalanced="0"/>
    <cacheHierarchy uniqueName="[Calendar].[Квартал]" caption="Квартал" attribute="1" time="1" defaultMemberUniqueName="[Calendar].[Квартал].[All]" allUniqueName="[Calendar].[Квартал].[All]" dimensionUniqueName="[Calendar]" displayFolder="" count="0" memberValueDatatype="7" unbalanced="0"/>
    <cacheHierarchy uniqueName="[CAPEX].[Година за реализација на проект]" caption="Година за реализација на проект" attribute="1" defaultMemberUniqueName="[CAPEX].[Година за реализација на проект].[All]" allUniqueName="[CAPEX].[Година за реализација на проект].[All]" dimensionUniqueName="[CAPEX]" displayFolder="" count="0" memberValueDatatype="20" unbalanced="0"/>
    <cacheHierarchy uniqueName="[CAPEX].[Број на јавна набавка (план)]" caption="Број на јавна набавка (план)" attribute="1" defaultMemberUniqueName="[CAPEX].[Број на јавна набавка (план)].[All]" allUniqueName="[CAPEX].[Број на јавна набавка (план)].[All]" dimensionUniqueName="[CAPEX]" displayFolder="" count="0" memberValueDatatype="130" unbalanced="0"/>
    <cacheHierarchy uniqueName="[CAPEX].[Предмет на договорот за јавна набавка]" caption="Предмет на договорот за јавна набавка" attribute="1" defaultMemberUniqueName="[CAPEX].[Предмет на договорот за јавна набавка].[All]" allUniqueName="[CAPEX].[Предмет на договорот за јавна набавка].[All]" dimensionUniqueName="[CAPEX]" displayFolder="" count="0" memberValueDatatype="130" unbalanced="0"/>
    <cacheHierarchy uniqueName="[CAPEX].[Очекуван датум на плаќање]" caption="Очекуван датум на плаќање" attribute="1" time="1" defaultMemberUniqueName="[CAPEX].[Очекуван датум на плаќање].[All]" allUniqueName="[CAPEX].[Очекуван датум на плаќање].[All]" dimensionUniqueName="[CAPEX]" displayFolder="" count="0" memberValueDatatype="7" unbalanced="0"/>
    <cacheHierarchy uniqueName="[CAPEX].[Очекуван датум за ставање во употреба (месец)]" caption="Очекуван датум за ставање во употреба (месец)" attribute="1" time="1" defaultMemberUniqueName="[CAPEX].[Очекуван датум за ставање во употреба (месец)].[All]" allUniqueName="[CAPEX].[Очекуван датум за ставање во употреба (месец)].[All]" dimensionUniqueName="[CAPEX]" displayFolder="" count="0" memberValueDatatype="7" unbalanced="0"/>
    <cacheHierarchy uniqueName="[CAPEX].[Проценета вредност на набавка со ДДВ (денари)]" caption="Проценета вредност на набавка со ДДВ (денари)" attribute="1" defaultMemberUniqueName="[CAPEX].[Проценета вредност на набавка со ДДВ (денари)].[All]" allUniqueName="[CAPEX].[Проценета вредност на набавка со ДДВ (денари)].[All]" dimensionUniqueName="[CAPEX]" displayFolder="" count="0" memberValueDatatype="20" unbalanced="0"/>
    <cacheHierarchy uniqueName="[CAPEX].[Стапка на амортизација]" caption="Стапка на амортизација" attribute="1" defaultMemberUniqueName="[CAPEX].[Стапка на амортизација].[All]" allUniqueName="[CAPEX].[Стапка на амортизација].[All]" dimensionUniqueName="[CAPEX]" displayFolder="" count="0" memberValueDatatype="5" unbalanced="0"/>
    <cacheHierarchy uniqueName="[CAPEX].[Конто Средства]" caption="Конто Средства" attribute="1" defaultMemberUniqueName="[CAPEX].[Конто Средства].[All]" allUniqueName="[CAPEX].[Конто Средства].[All]" dimensionUniqueName="[CAPEX]" displayFolder="" count="0" memberValueDatatype="130" unbalanced="0"/>
    <cacheHierarchy uniqueName="[CAPEX].[Конто Амортизација]" caption="Конто Амортизација" attribute="1" defaultMemberUniqueName="[CAPEX].[Конто Амортизација].[All]" allUniqueName="[CAPEX].[Конто Амортизација].[All]" dimensionUniqueName="[CAPEX]" displayFolder="" count="0" memberValueDatatype="130" unbalanced="0"/>
    <cacheHierarchy uniqueName="[CAPEX].[Износ донација]" caption="Износ донација" attribute="1" defaultMemberUniqueName="[CAPEX].[Износ донација].[All]" allUniqueName="[CAPEX].[Износ донација].[All]" dimensionUniqueName="[CAPEX]" displayFolder="" count="0" memberValueDatatype="20" unbalanced="0"/>
    <cacheHierarchy uniqueName="[CAPEX].[Очекуван датум на плаќање (Year)]" caption="Очекуван датум на плаќање (Year)" attribute="1" defaultMemberUniqueName="[CAPEX].[Очекуван датум на плаќање (Year)].[All]" allUniqueName="[CAPEX].[Очекуван датум на плаќање (Year)].[All]" dimensionUniqueName="[CAPEX]" displayFolder="" count="0" memberValueDatatype="130" unbalanced="0"/>
    <cacheHierarchy uniqueName="[CAPEX].[Очекуван датум на плаќање (Quarter)]" caption="Очекуван датум на плаќање (Quarter)" attribute="1" defaultMemberUniqueName="[CAPEX].[Очекуван датум на плаќање (Quarter)].[All]" allUniqueName="[CAPEX].[Очекуван датум на плаќање (Quarter)].[All]" dimensionUniqueName="[CAPEX]" displayFolder="" count="0" memberValueDatatype="130" unbalanced="0"/>
    <cacheHierarchy uniqueName="[CAPEX].[Очекуван датум на плаќање (Month)]" caption="Очекуван датум на плаќање (Month)" attribute="1" defaultMemberUniqueName="[CAPEX].[Очекуван датум на плаќање (Month)].[All]" allUniqueName="[CAPEX].[Очекуван датум на плаќање (Month)].[All]" dimensionUniqueName="[CAPEX]" displayFolder="" count="0" memberValueDatatype="130" unbalanced="0"/>
    <cacheHierarchy uniqueName="[CAPEX].[Очекуван датум за ставање во употреба (месец) (Year)]" caption="Очекуван датум за ставање во употреба (месец) (Year)" attribute="1" defaultMemberUniqueName="[CAPEX].[Очекуван датум за ставање во употреба (месец) (Year)].[All]" allUniqueName="[CAPEX].[Очекуван датум за ставање во употреба (месец) (Year)].[All]" dimensionUniqueName="[CAPEX]" displayFolder="" count="0" memberValueDatatype="130" unbalanced="0"/>
    <cacheHierarchy uniqueName="[CAPEX].[Очекуван датум за ставање во употреба (месец) (Quarter)]" caption="Очекуван датум за ставање во употреба (месец) (Quarter)" attribute="1" defaultMemberUniqueName="[CAPEX].[Очекуван датум за ставање во употреба (месец) (Quarter)].[All]" allUniqueName="[CAPEX].[Очекуван датум за ставање во употреба (месец) (Quarter)].[All]" dimensionUniqueName="[CAPEX]" displayFolder="" count="0" memberValueDatatype="130" unbalanced="0"/>
    <cacheHierarchy uniqueName="[CAPEX].[Очекуван датум за ставање во употреба (месец) (Month)]" caption="Очекуван датум за ставање во употреба (месец) (Month)" attribute="1" defaultMemberUniqueName="[CAPEX].[Очекуван датум за ставање во употреба (месец) (Month)].[All]" allUniqueName="[CAPEX].[Очекуван датум за ставање во употреба (месец) (Month)].[All]" dimensionUniqueName="[CAPEX]" displayFolder="" count="0" memberValueDatatype="130" unbalanced="0"/>
    <cacheHierarchy uniqueName="[fActualAndBudget].[Конто]" caption="Конто" attribute="1" defaultMemberUniqueName="[fActualAndBudget].[Конто].[All]" allUniqueName="[fActualAndBudget].[Конто].[All]" dimensionUniqueName="[fActualAndBudget]" displayFolder="" count="0" memberValueDatatype="130" unbalanced="0"/>
    <cacheHierarchy uniqueName="[fActualAndBudget].[Назив на конто]" caption="Назив на конто" attribute="1" defaultMemberUniqueName="[fActualAndBudget].[Назив на конто].[All]" allUniqueName="[fActualAndBudget].[Назив на конто].[All]" dimensionUniqueName="[fActualAndBudget]" displayFolder="" count="0" memberValueDatatype="130" unbalanced="0"/>
    <cacheHierarchy uniqueName="[fActualAndBudget].[Период]" caption="Период" attribute="1" time="1" defaultMemberUniqueName="[fActualAndBudget].[Период].[All]" allUniqueName="[fActualAndBudget].[Период].[All]" dimensionUniqueName="[fActualAndBudget]" displayFolder="" count="0" memberValueDatatype="7" unbalanced="0"/>
    <cacheHierarchy uniqueName="[fActualAndBudget].[Износ1]" caption="Износ1" attribute="1" defaultMemberUniqueName="[fActualAndBudget].[Износ1].[All]" allUniqueName="[fActualAndBudget].[Износ1].[All]" dimensionUniqueName="[fActualAndBudget]" displayFolder="" count="0" memberValueDatatype="20" unbalanced="0"/>
    <cacheHierarchy uniqueName="[fActualAndBudget].[ReportType]" caption="ReportType" attribute="1" defaultMemberUniqueName="[fActualAndBudget].[ReportType].[All]" allUniqueName="[fActualAndBudget].[ReportType].[All]" dimensionUniqueName="[fActualAndBudget]" displayFolder="" count="2" memberValueDatatype="130" unbalanced="0">
      <fieldsUsage count="2">
        <fieldUsage x="-1"/>
        <fieldUsage x="3"/>
      </fieldsUsage>
    </cacheHierarchy>
    <cacheHierarchy uniqueName="[fActualAndBudget].[Ставка]" caption="Ставка" attribute="1" defaultMemberUniqueName="[fActualAndBudget].[Ставка].[All]" allUniqueName="[fActualAndBudget].[Ставка].[All]" dimensionUniqueName="[fActualAndBudget]" displayFolder="" count="0" memberValueDatatype="130" unbalanced="0"/>
    <cacheHierarchy uniqueName="[fActualAndBudget].[Број на јавна набавка (план)]" caption="Број на јавна набавка (план)" attribute="1" defaultMemberUniqueName="[fActualAndBudget].[Број на јавна набавка (план)].[All]" allUniqueName="[fActualAndBudget].[Број на јавна набавка (план)].[All]" dimensionUniqueName="[fActualAndBudget]" displayFolder="" count="0" memberValueDatatype="130" unbalanced="0"/>
    <cacheHierarchy uniqueName="[fActualAndBudget].[StavkaImeMK]" caption="StavkaImeMK" attribute="1" defaultMemberUniqueName="[fActualAndBudget].[StavkaImeMK].[All]" allUniqueName="[fActualAndBudget].[StavkaImeMK].[All]" dimensionUniqueName="[fActualAndBudget]" displayFolder="" count="0" memberValueDatatype="130" unbalanced="0"/>
    <cacheHierarchy uniqueName="[fActualAndBudget].[StavkaGrupa]" caption="StavkaGrupa" attribute="1" defaultMemberUniqueName="[fActualAndBudget].[StavkaGrupa].[All]" allUniqueName="[fActualAndBudget].[StavkaGrupa].[All]" dimensionUniqueName="[fActualAndBudget]" displayFolder="" count="0" memberValueDatatype="130" unbalanced="0"/>
    <cacheHierarchy uniqueName="[fActualAndBudget].[StavkaKategorija]" caption="StavkaKategorija" attribute="1" defaultMemberUniqueName="[fActualAndBudget].[StavkaKategorija].[All]" allUniqueName="[fActualAndBudget].[StavkaKategorija].[All]" dimensionUniqueName="[fActualAndBudget]" displayFolder="" count="0" memberValueDatatype="130" unbalanced="0"/>
    <cacheHierarchy uniqueName="[fActualAndBudget].[ZnakIzvestaj]" caption="ZnakIzvestaj" attribute="1" defaultMemberUniqueName="[fActualAndBudget].[ZnakIzvestaj].[All]" allUniqueName="[fActualAndBudget].[ZnakIzvestaj].[All]" dimensionUniqueName="[fActualAndBudget]" displayFolder="" count="0" memberValueDatatype="20" unbalanced="0"/>
    <cacheHierarchy uniqueName="[fActualAndBudget].[ObrazecID]" caption="ObrazecID" attribute="1" defaultMemberUniqueName="[fActualAndBudget].[ObrazecID].[All]" allUniqueName="[fActualAndBudget].[ObrazecID].[All]" dimensionUniqueName="[fActualAndBudget]" displayFolder="" count="0" memberValueDatatype="20" unbalanced="0"/>
    <cacheHierarchy uniqueName="[fActualAndBudget].[StavkaAOP]" caption="StavkaAOP" attribute="1" defaultMemberUniqueName="[fActualAndBudget].[StavkaAOP].[All]" allUniqueName="[fActualAndBudget].[StavkaAOP].[All]" dimensionUniqueName="[fActualAndBudget]" displayFolder="" count="0" memberValueDatatype="130" unbalanced="0"/>
    <cacheHierarchy uniqueName="[fActualAndBudget].[ObrazecIme]" caption="ObrazecIme" attribute="1" defaultMemberUniqueName="[fActualAndBudget].[ObrazecIme].[All]" allUniqueName="[fActualAndBudget].[ObrazecIme].[All]" dimensionUniqueName="[fActualAndBudget]" displayFolder="" count="2" memberValueDatatype="130" unbalanced="0">
      <fieldsUsage count="2">
        <fieldUsage x="-1"/>
        <fieldUsage x="5"/>
      </fieldsUsage>
    </cacheHierarchy>
    <cacheHierarchy uniqueName="[fActualAndBudget].[Износ]" caption="Износ" attribute="1" defaultMemberUniqueName="[fActualAndBudget].[Износ].[All]" allUniqueName="[fActualAndBudget].[Износ].[All]" dimensionUniqueName="[fActualAndBudget]" displayFolder="" count="0" memberValueDatatype="20" unbalanced="0"/>
    <cacheHierarchy uniqueName="[fActualAndBudget].[Износ (илјади)]" caption="Износ (илјади)" attribute="1" defaultMemberUniqueName="[fActualAndBudget].[Износ (илјади)].[All]" allUniqueName="[fActualAndBudget].[Износ (илјади)].[All]" dimensionUniqueName="[fActualAndBudget]" displayFolder="" count="0" memberValueDatatype="5" unbalanced="0"/>
    <cacheHierarchy uniqueName="[fActualAndBudget].[StavkaImeAOP]" caption="StavkaImeAOP" attribute="1" defaultMemberUniqueName="[fActualAndBudget].[StavkaImeAOP].[All]" allUniqueName="[fActualAndBudget].[StavkaImeAOP].[All]" dimensionUniqueName="[fActualAndBudget]" displayFolder="" count="0" memberValueDatatype="130" unbalanced="0"/>
    <cacheHierarchy uniqueName="[fActualAndBudget].[Конто Ставка]" caption="Конто Ставка" attribute="1" defaultMemberUniqueName="[fActualAndBudget].[Конто Ставка].[All]" allUniqueName="[fActualAndBudget].[Конто Ставка].[All]" dimensionUniqueName="[fActualAndBudget]" displayFolder="" count="0" memberValueDatatype="130" unbalanced="0"/>
    <cacheHierarchy uniqueName="[fArtikliCeni].[Ставка]" caption="Ставка" attribute="1" defaultMemberUniqueName="[fArtikliCeni].[Ставка].[All]" allUniqueName="[fArtikliCeni].[Ставка].[All]" dimensionUniqueName="[fArtikliCeni]" displayFolder="" count="0" memberValueDatatype="130" unbalanced="0"/>
    <cacheHierarchy uniqueName="[fArtikliCeni].[Категорија Артикл]" caption="Категорија Артикл" attribute="1" defaultMemberUniqueName="[fArtikliCeni].[Категорија Артикл].[All]" allUniqueName="[fArtikliCeni].[Категорија Артикл].[All]" dimensionUniqueName="[fArtikliCeni]" displayFolder="" count="0" memberValueDatatype="130" unbalanced="0"/>
    <cacheHierarchy uniqueName="[fArtikliCeni].[Тип на артикл]" caption="Тип на артикл" attribute="1" defaultMemberUniqueName="[fArtikliCeni].[Тип на артикл].[All]" allUniqueName="[fArtikliCeni].[Тип на артикл].[All]" dimensionUniqueName="[fArtikliCeni]" displayFolder="" count="0" memberValueDatatype="130" unbalanced="0"/>
    <cacheHierarchy uniqueName="[fArtikliCeni].[Единечна мерка]" caption="Единечна мерка" attribute="1" defaultMemberUniqueName="[fArtikliCeni].[Единечна мерка].[All]" allUniqueName="[fArtikliCeni].[Единечна мерка].[All]" dimensionUniqueName="[fArtikliCeni]" displayFolder="" count="0" memberValueDatatype="130" unbalanced="0"/>
    <cacheHierarchy uniqueName="[fArtikliCeni].[Количина]" caption="Количина" attribute="1" defaultMemberUniqueName="[fArtikliCeni].[Количина].[All]" allUniqueName="[fArtikliCeni].[Количина].[All]" dimensionUniqueName="[fArtikliCeni]" displayFolder="" count="0" memberValueDatatype="5" unbalanced="0"/>
    <cacheHierarchy uniqueName="[fArtikliCeni].[Единечна цена]" caption="Единечна цена" attribute="1" defaultMemberUniqueName="[fArtikliCeni].[Единечна цена].[All]" allUniqueName="[fArtikliCeni].[Единечна цена].[All]" dimensionUniqueName="[fArtikliCeni]" displayFolder="" count="0" memberValueDatatype="20" unbalanced="0"/>
    <cacheHierarchy uniqueName="[fArtikliCeni].[Вкупно трошок]" caption="Вкупно трошок" attribute="1" defaultMemberUniqueName="[fArtikliCeni].[Вкупно трошок].[All]" allUniqueName="[fArtikliCeni].[Вкупно трошок].[All]" dimensionUniqueName="[fArtikliCeni]" displayFolder="" count="0" memberValueDatatype="5" unbalanced="0"/>
    <cacheHierarchy uniqueName="[fArtikliCeni].[ДДВ]" caption="ДДВ" attribute="1" defaultMemberUniqueName="[fArtikliCeni].[ДДВ].[All]" allUniqueName="[fArtikliCeni].[ДДВ].[All]" dimensionUniqueName="[fArtikliCeni]" displayFolder="" count="0" memberValueDatatype="5" unbalanced="0"/>
    <cacheHierarchy uniqueName="[fArtikliCeni].[Износ]" caption="Износ" attribute="1" defaultMemberUniqueName="[fArtikliCeni].[Износ].[All]" allUniqueName="[fArtikliCeni].[Износ].[All]" dimensionUniqueName="[fArtikliCeni]" displayFolder="" count="0" memberValueDatatype="5" unbalanced="0"/>
    <cacheHierarchy uniqueName="[fArtikliCeni].[Конто]" caption="Конто" attribute="1" defaultMemberUniqueName="[fArtikliCeni].[Конто].[All]" allUniqueName="[fArtikliCeni].[Конто].[All]" dimensionUniqueName="[fArtikliCeni]" displayFolder="" count="0" memberValueDatatype="130" unbalanced="0"/>
    <cacheHierarchy uniqueName="[fArtikliCeni].[ReportType]" caption="ReportType" attribute="1" defaultMemberUniqueName="[fArtikliCeni].[ReportType].[All]" allUniqueName="[fArtikliCeni].[ReportType].[All]" dimensionUniqueName="[fArtikliCeni]" displayFolder="" count="0" memberValueDatatype="130" unbalanced="0"/>
    <cacheHierarchy uniqueName="[fArtikliCeni].[Период]" caption="Период" attribute="1" time="1" defaultMemberUniqueName="[fArtikliCeni].[Период].[All]" allUniqueName="[fArtikliCeni].[Период].[All]" dimensionUniqueName="[fArtikliCeni]" displayFolder="" count="0" memberValueDatatype="7" unbalanced="0"/>
    <cacheHierarchy uniqueName="[fArtikliCeni].[StavkaImeMK]" caption="StavkaImeMK" attribute="1" defaultMemberUniqueName="[fArtikliCeni].[StavkaImeMK].[All]" allUniqueName="[fArtikliCeni].[StavkaImeMK].[All]" dimensionUniqueName="[fArtikliCeni]" displayFolder="" count="0" memberValueDatatype="130" unbalanced="0"/>
    <cacheHierarchy uniqueName="[fArtikliCeni].[StavkaAOP]" caption="StavkaAOP" attribute="1" defaultMemberUniqueName="[fArtikliCeni].[StavkaAOP].[All]" allUniqueName="[fArtikliCeni].[StavkaAOP].[All]" dimensionUniqueName="[fArtikliCeni]" displayFolder="" count="0" memberValueDatatype="130" unbalanced="0"/>
    <cacheHierarchy uniqueName="[fArtikliCeni].[StavkaGrupa]" caption="StavkaGrupa" attribute="1" defaultMemberUniqueName="[fArtikliCeni].[StavkaGrupa].[All]" allUniqueName="[fArtikliCeni].[StavkaGrupa].[All]" dimensionUniqueName="[fArtikliCeni]" displayFolder="" count="0" memberValueDatatype="130" unbalanced="0"/>
    <cacheHierarchy uniqueName="[fArtikliCeni].[StavkaKategorija]" caption="StavkaKategorija" attribute="1" defaultMemberUniqueName="[fArtikliCeni].[StavkaKategorija].[All]" allUniqueName="[fArtikliCeni].[StavkaKategorija].[All]" dimensionUniqueName="[fArtikliCeni]" displayFolder="" count="0" memberValueDatatype="130" unbalanced="0"/>
    <cacheHierarchy uniqueName="[fArtikliCeni].[ObrazecIme]" caption="ObrazecIme" attribute="1" defaultMemberUniqueName="[fArtikliCeni].[ObrazecIme].[All]" allUniqueName="[fArtikliCeni].[ObrazecIme].[All]" dimensionUniqueName="[fArtikliCeni]" displayFolder="" count="0" memberValueDatatype="130" unbalanced="0"/>
    <cacheHierarchy uniqueName="[fCoveckiResursi].[Ставка]" caption="Ставка" attribute="1" defaultMemberUniqueName="[fCoveckiResursi].[Ставка].[All]" allUniqueName="[fCoveckiResursi].[Ставка].[All]" dimensionUniqueName="[fCoveckiResursi]" displayFolder="" count="0" memberValueDatatype="130" unbalanced="0"/>
    <cacheHierarchy uniqueName="[fCoveckiResursi].[Тип на вработување]" caption="Тип на вработување" attribute="1" defaultMemberUniqueName="[fCoveckiResursi].[Тип на вработување].[All]" allUniqueName="[fCoveckiResursi].[Тип на вработување].[All]" dimensionUniqueName="[fCoveckiResursi]" displayFolder="" count="0" memberValueDatatype="130" unbalanced="0"/>
    <cacheHierarchy uniqueName="[fCoveckiResursi].[Планиран прилив/(одлив)]" caption="Планиран прилив/(одлив)" attribute="1" defaultMemberUniqueName="[fCoveckiResursi].[Планиран прилив/(одлив)].[All]" allUniqueName="[fCoveckiResursi].[Планиран прилив/(одлив)].[All]" dimensionUniqueName="[fCoveckiResursi]" displayFolder="" count="0" memberValueDatatype="20" unbalanced="0"/>
    <cacheHierarchy uniqueName="[fCoveckiResursi].[Период]" caption="Период" attribute="1" time="1" defaultMemberUniqueName="[fCoveckiResursi].[Период].[All]" allUniqueName="[fCoveckiResursi].[Период].[All]" dimensionUniqueName="[fCoveckiResursi]" displayFolder="" count="0" memberValueDatatype="7" unbalanced="0"/>
    <cacheHierarchy uniqueName="[fCoveckiResursi].[Крајна состојба вработени]" caption="Крајна состојба вработени" attribute="1" defaultMemberUniqueName="[fCoveckiResursi].[Крајна состојба вработени].[All]" allUniqueName="[fCoveckiResursi].[Крајна состојба вработени].[All]" dimensionUniqueName="[fCoveckiResursi]" displayFolder="" count="0" memberValueDatatype="20" unbalanced="0"/>
    <cacheHierarchy uniqueName="[fCoveckiResursi].[Износ]" caption="Износ" attribute="1" defaultMemberUniqueName="[fCoveckiResursi].[Износ].[All]" allUniqueName="[fCoveckiResursi].[Износ].[All]" dimensionUniqueName="[fCoveckiResursi]" displayFolder="" count="0" memberValueDatatype="20" unbalanced="0"/>
    <cacheHierarchy uniqueName="[fCoveckiResursi].[Конто]" caption="Конто" attribute="1" defaultMemberUniqueName="[fCoveckiResursi].[Конто].[All]" allUniqueName="[fCoveckiResursi].[Конто].[All]" dimensionUniqueName="[fCoveckiResursi]" displayFolder="" count="0" memberValueDatatype="130" unbalanced="0"/>
    <cacheHierarchy uniqueName="[fCoveckiResursi].[ReportType]" caption="ReportType" attribute="1" defaultMemberUniqueName="[fCoveckiResursi].[ReportType].[All]" allUniqueName="[fCoveckiResursi].[ReportType].[All]" dimensionUniqueName="[fCoveckiResursi]" displayFolder="" count="0" memberValueDatatype="130" unbalanced="0"/>
    <cacheHierarchy uniqueName="[fCoveckiResursi].[Период (Year)]" caption="Период (Year)" attribute="1" defaultMemberUniqueName="[fCoveckiResursi].[Период (Year)].[All]" allUniqueName="[fCoveckiResursi].[Период (Year)].[All]" dimensionUniqueName="[fCoveckiResursi]" displayFolder="" count="0" memberValueDatatype="130" unbalanced="0"/>
    <cacheHierarchy uniqueName="[fCoveckiResursi].[Период (Quarter)]" caption="Период (Quarter)" attribute="1" defaultMemberUniqueName="[fCoveckiResursi].[Период (Quarter)].[All]" allUniqueName="[fCoveckiResursi].[Период (Quarter)].[All]" dimensionUniqueName="[fCoveckiResursi]" displayFolder="" count="0" memberValueDatatype="130" unbalanced="0"/>
    <cacheHierarchy uniqueName="[fCoveckiResursi].[Период (Month)]" caption="Период (Month)" attribute="1" defaultMemberUniqueName="[fCoveckiResursi].[Период (Month)].[All]" allUniqueName="[fCoveckiResursi].[Период (Month)].[All]" dimensionUniqueName="[fCoveckiResursi]" displayFolder="" count="0" memberValueDatatype="130" unbalanced="0"/>
    <cacheHierarchy uniqueName="[fCoveckiResursi].[Период (Year) 1]" caption="Период (Year) 1" attribute="1" defaultMemberUniqueName="[fCoveckiResursi].[Период (Year) 1].[All]" allUniqueName="[fCoveckiResursi].[Период (Year) 1].[All]" dimensionUniqueName="[fCoveckiResursi]" displayFolder="" count="0" memberValueDatatype="130" unbalanced="0"/>
    <cacheHierarchy uniqueName="[fCoveckiResursi].[Период (Quarter) 1]" caption="Период (Quarter) 1" attribute="1" defaultMemberUniqueName="[fCoveckiResursi].[Период (Quarter) 1].[All]" allUniqueName="[fCoveckiResursi].[Период (Quarter) 1].[All]" dimensionUniqueName="[fCoveckiResursi]" displayFolder="" count="0" memberValueDatatype="130" unbalanced="0"/>
    <cacheHierarchy uniqueName="[fCoveckiResursi].[Период (Month) 1]" caption="Период (Month) 1" attribute="1" defaultMemberUniqueName="[fCoveckiResursi].[Период (Month) 1].[All]" allUniqueName="[fCoveckiResursi].[Период (Month) 1].[All]" dimensionUniqueName="[fCoveckiResursi]" displayFolder="" count="0" memberValueDatatype="130" unbalanced="0"/>
    <cacheHierarchy uniqueName="[fCoveckiResursi  2].[Ставка]" caption="Ставка" attribute="1" defaultMemberUniqueName="[fCoveckiResursi  2].[Ставка].[All]" allUniqueName="[fCoveckiResursi  2].[Ставка].[All]" dimensionUniqueName="[fCoveckiResursi  2]" displayFolder="" count="0" memberValueDatatype="130" unbalanced="0"/>
    <cacheHierarchy uniqueName="[fCoveckiResursi  2].[Период]" caption="Период" attribute="1" time="1" defaultMemberUniqueName="[fCoveckiResursi  2].[Период].[All]" allUniqueName="[fCoveckiResursi  2].[Период].[All]" dimensionUniqueName="[fCoveckiResursi  2]" displayFolder="" count="0" memberValueDatatype="7" unbalanced="0"/>
    <cacheHierarchy uniqueName="[fCoveckiResursi  2].[Износ]" caption="Износ" attribute="1" defaultMemberUniqueName="[fCoveckiResursi  2].[Износ].[All]" allUniqueName="[fCoveckiResursi  2].[Износ].[All]" dimensionUniqueName="[fCoveckiResursi  2]" displayFolder="" count="0" memberValueDatatype="20" unbalanced="0"/>
    <cacheHierarchy uniqueName="[fCoveckiResursi  2].[Конто]" caption="Конто" attribute="1" defaultMemberUniqueName="[fCoveckiResursi  2].[Конто].[All]" allUniqueName="[fCoveckiResursi  2].[Конто].[All]" dimensionUniqueName="[fCoveckiResursi  2]" displayFolder="" count="0" memberValueDatatype="130" unbalanced="0"/>
    <cacheHierarchy uniqueName="[fCoveckiResursi  2].[ReportType]" caption="ReportType" attribute="1" defaultMemberUniqueName="[fCoveckiResursi  2].[ReportType].[All]" allUniqueName="[fCoveckiResursi  2].[ReportType].[All]" dimensionUniqueName="[fCoveckiResursi  2]" displayFolder="" count="0" memberValueDatatype="130" unbalanced="0"/>
    <cacheHierarchy uniqueName="[fCoveckiResursi  2].[StavkaImeMK]" caption="StavkaImeMK" attribute="1" defaultMemberUniqueName="[fCoveckiResursi  2].[StavkaImeMK].[All]" allUniqueName="[fCoveckiResursi  2].[StavkaImeMK].[All]" dimensionUniqueName="[fCoveckiResursi  2]" displayFolder="" count="0" memberValueDatatype="130" unbalanced="0"/>
    <cacheHierarchy uniqueName="[fCoveckiResursi  2].[StavkaKategorija]" caption="StavkaKategorija" attribute="1" defaultMemberUniqueName="[fCoveckiResursi  2].[StavkaKategorija].[All]" allUniqueName="[fCoveckiResursi  2].[StavkaKategorija].[All]" dimensionUniqueName="[fCoveckiResursi  2]" displayFolder="" count="0" memberValueDatatype="130" unbalanced="0"/>
    <cacheHierarchy uniqueName="[fCoveckiResursi  2].[ObrazecIme]" caption="ObrazecIme" attribute="1" defaultMemberUniqueName="[fCoveckiResursi  2].[ObrazecIme].[All]" allUniqueName="[fCoveckiResursi  2].[ObrazecIme].[All]" dimensionUniqueName="[fCoveckiResursi  2]" displayFolder="" count="0" memberValueDatatype="130" unbalanced="0"/>
    <cacheHierarchy uniqueName="[fOPEX].[Конто]" caption="Конто" attribute="1" defaultMemberUniqueName="[fOPEX].[Конто].[All]" allUniqueName="[fOPEX].[Конто].[All]" dimensionUniqueName="[fOPEX]" displayFolder="" count="0" memberValueDatatype="130" unbalanced="0"/>
    <cacheHierarchy uniqueName="[fOPEX].[Ставка]" caption="Ставка" attribute="1" defaultMemberUniqueName="[fOPEX].[Ставка].[All]" allUniqueName="[fOPEX].[Ставка].[All]" dimensionUniqueName="[fOPEX]" displayFolder="" count="0" memberValueDatatype="130" unbalanced="0"/>
    <cacheHierarchy uniqueName="[fOPEX].[Период]" caption="Период" attribute="1" time="1" defaultMemberUniqueName="[fOPEX].[Период].[All]" allUniqueName="[fOPEX].[Период].[All]" dimensionUniqueName="[fOPEX]" displayFolder="" count="0" memberValueDatatype="7" unbalanced="0"/>
    <cacheHierarchy uniqueName="[fOPEX].[Износ]" caption="Износ" attribute="1" defaultMemberUniqueName="[fOPEX].[Износ].[All]" allUniqueName="[fOPEX].[Износ].[All]" dimensionUniqueName="[fOPEX]" displayFolder="" count="0" memberValueDatatype="20" unbalanced="0"/>
    <cacheHierarchy uniqueName="[fOPEX].[ReportType]" caption="ReportType" attribute="1" defaultMemberUniqueName="[fOPEX].[ReportType].[All]" allUniqueName="[fOPEX].[ReportType].[All]" dimensionUniqueName="[fOPEX]" displayFolder="" count="0" memberValueDatatype="130" unbalanced="0"/>
    <cacheHierarchy uniqueName="[OPEXAnaliza].[Артикл ИД]" caption="Артикл ИД" attribute="1" defaultMemberUniqueName="[OPEXAnaliza].[Артикл ИД].[All]" allUniqueName="[OPEXAnaliza].[Артикл ИД].[All]" dimensionUniqueName="[OPEXAnaliza]" displayFolder="" count="0" memberValueDatatype="20" unbalanced="0"/>
    <cacheHierarchy uniqueName="[OPEXAnaliza].[Ставка]" caption="Ставка" attribute="1" defaultMemberUniqueName="[OPEXAnaliza].[Ставка].[All]" allUniqueName="[OPEXAnaliza].[Ставка].[All]" dimensionUniqueName="[OPEXAnaliza]" displayFolder="" count="0" memberValueDatatype="130" unbalanced="0"/>
    <cacheHierarchy uniqueName="[OPEXAnaliza].[Категорија Артикл ИД]" caption="Категорија Артикл ИД" attribute="1" defaultMemberUniqueName="[OPEXAnaliza].[Категорија Артикл ИД].[All]" allUniqueName="[OPEXAnaliza].[Категорија Артикл ИД].[All]" dimensionUniqueName="[OPEXAnaliza]" displayFolder="" count="0" memberValueDatatype="20" unbalanced="0"/>
    <cacheHierarchy uniqueName="[OPEXAnaliza].[Категорија Артикл]" caption="Категорија Артикл" attribute="1" defaultMemberUniqueName="[OPEXAnaliza].[Категорија Артикл].[All]" allUniqueName="[OPEXAnaliza].[Категорија Артикл].[All]" dimensionUniqueName="[OPEXAnaliza]" displayFolder="" count="0" memberValueDatatype="130" unbalanced="0"/>
    <cacheHierarchy uniqueName="[OPEXAnaliza].[Тип на артикл]" caption="Тип на артикл" attribute="1" defaultMemberUniqueName="[OPEXAnaliza].[Тип на артикл].[All]" allUniqueName="[OPEXAnaliza].[Тип на артикл].[All]" dimensionUniqueName="[OPEXAnaliza]" displayFolder="" count="0" memberValueDatatype="130" unbalanced="0"/>
    <cacheHierarchy uniqueName="[OPEXAnaliza].[Единечна мерка]" caption="Единечна мерка" attribute="1" defaultMemberUniqueName="[OPEXAnaliza].[Единечна мерка].[All]" allUniqueName="[OPEXAnaliza].[Единечна мерка].[All]" dimensionUniqueName="[OPEXAnaliza]" displayFolder="" count="0" memberValueDatatype="130" unbalanced="0"/>
    <cacheHierarchy uniqueName="[OPEXAnaliza].[Количина]" caption="Количина" attribute="1" defaultMemberUniqueName="[OPEXAnaliza].[Количина].[All]" allUniqueName="[OPEXAnaliza].[Количина].[All]" dimensionUniqueName="[OPEXAnaliza]" displayFolder="" count="0" memberValueDatatype="5" unbalanced="0"/>
    <cacheHierarchy uniqueName="[OPEXAnaliza].[Единечна цена]" caption="Единечна цена" attribute="1" defaultMemberUniqueName="[OPEXAnaliza].[Единечна цена].[All]" allUniqueName="[OPEXAnaliza].[Единечна цена].[All]" dimensionUniqueName="[OPEXAnaliza]" displayFolder="" count="0" memberValueDatatype="20" unbalanced="0"/>
    <cacheHierarchy uniqueName="[OPEXAnaliza].[Износ]" caption="Износ" attribute="1" defaultMemberUniqueName="[OPEXAnaliza].[Износ].[All]" allUniqueName="[OPEXAnaliza].[Износ].[All]" dimensionUniqueName="[OPEXAnaliza]" displayFolder="" count="0" memberValueDatatype="5" unbalanced="0"/>
    <cacheHierarchy uniqueName="[OPEXAnaliza].[ДДВ]" caption="ДДВ" attribute="1" defaultMemberUniqueName="[OPEXAnaliza].[ДДВ].[All]" allUniqueName="[OPEXAnaliza].[ДДВ].[All]" dimensionUniqueName="[OPEXAnaliza]" displayFolder="" count="0" memberValueDatatype="5" unbalanced="0"/>
    <cacheHierarchy uniqueName="[OPEXAnaliza].[Вкупно трошок со ДДВ]" caption="Вкупно трошок со ДДВ" attribute="1" defaultMemberUniqueName="[OPEXAnaliza].[Вкупно трошок со ДДВ].[All]" allUniqueName="[OPEXAnaliza].[Вкупно трошок со ДДВ].[All]" dimensionUniqueName="[OPEXAnaliza]" displayFolder="" count="0" memberValueDatatype="5" unbalanced="0"/>
    <cacheHierarchy uniqueName="[OPEXAnaliza].[Конто]" caption="Конто" attribute="1" defaultMemberUniqueName="[OPEXAnaliza].[Конто].[All]" allUniqueName="[OPEXAnaliza].[Конто].[All]" dimensionUniqueName="[OPEXAnaliza]" displayFolder="" count="0" memberValueDatatype="130" unbalanced="0"/>
    <cacheHierarchy uniqueName="[OPEXAnaliza].[Период]" caption="Период" attribute="1" time="1" defaultMemberUniqueName="[OPEXAnaliza].[Период].[All]" allUniqueName="[OPEXAnaliza].[Период].[All]" dimensionUniqueName="[OPEXAnaliza]" displayFolder="" count="0" memberValueDatatype="7" unbalanced="0"/>
    <cacheHierarchy uniqueName="[OPEXAnaliza].[ReportType]" caption="ReportType" attribute="1" defaultMemberUniqueName="[OPEXAnaliza].[ReportType].[All]" allUniqueName="[OPEXAnaliza].[ReportType].[All]" dimensionUniqueName="[OPEXAnaliza]" displayFolder="" count="0" memberValueDatatype="130" unbalanced="0"/>
    <cacheHierarchy uniqueName="[OPEXAnaliza].[StavkaImeMK]" caption="StavkaImeMK" attribute="1" defaultMemberUniqueName="[OPEXAnaliza].[StavkaImeMK].[All]" allUniqueName="[OPEXAnaliza].[StavkaImeMK].[All]" dimensionUniqueName="[OPEXAnaliza]" displayFolder="" count="0" memberValueDatatype="130" unbalanced="0"/>
    <cacheHierarchy uniqueName="[OPEXAnaliza].[StavkaKategorija]" caption="StavkaKategorija" attribute="1" defaultMemberUniqueName="[OPEXAnaliza].[StavkaKategorija].[All]" allUniqueName="[OPEXAnaliza].[StavkaKategorija].[All]" dimensionUniqueName="[OPEXAnaliza]" displayFolder="" count="0" memberValueDatatype="130" unbalanced="0"/>
    <cacheHierarchy uniqueName="[OPEXAnaliza].[ObrazecIme]" caption="ObrazecIme" attribute="1" defaultMemberUniqueName="[OPEXAnaliza].[ObrazecIme].[All]" allUniqueName="[OPEXAnaliza].[ObrazecIme].[All]" dimensionUniqueName="[OPEXAnaliza]" displayFolder="" count="0" memberValueDatatype="130" unbalanced="0"/>
    <cacheHierarchy uniqueName="[OPEXAnaliza].[StavkaImeAOP]" caption="StavkaImeAOP" attribute="1" defaultMemberUniqueName="[OPEXAnaliza].[StavkaImeAOP].[All]" allUniqueName="[OPEXAnaliza].[StavkaImeAOP].[All]" dimensionUniqueName="[OPEXAnaliza]" displayFolder="" count="0" memberValueDatatype="20" unbalanced="0"/>
    <cacheHierarchy uniqueName="[OPEXAnaliza].[Период (Year)]" caption="Период (Year)" attribute="1" defaultMemberUniqueName="[OPEXAnaliza].[Период (Year)].[All]" allUniqueName="[OPEXAnaliza].[Период (Year)].[All]" dimensionUniqueName="[OPEXAnaliza]" displayFolder="" count="0" memberValueDatatype="130" unbalanced="0"/>
    <cacheHierarchy uniqueName="[OPEXAnaliza].[Период (Quarter)]" caption="Период (Quarter)" attribute="1" defaultMemberUniqueName="[OPEXAnaliza].[Период (Quarter)].[All]" allUniqueName="[OPEXAnaliza].[Период (Quarter)].[All]" dimensionUniqueName="[OPEXAnaliza]" displayFolder="" count="0" memberValueDatatype="130" unbalanced="0"/>
    <cacheHierarchy uniqueName="[OPEXAnaliza].[Период (Month)]" caption="Период (Month)" attribute="1" defaultMemberUniqueName="[OPEXAnaliza].[Период (Month)].[All]" allUniqueName="[OPEXAnaliza].[Период (Month)].[All]" dimensionUniqueName="[OPEXAnaliza]" displayFolder="" count="0" memberValueDatatype="130" unbalanced="0"/>
    <cacheHierarchy uniqueName="[rArtikli_HR_Analiza].[Ставка]" caption="Ставка" attribute="1" defaultMemberUniqueName="[rArtikli_HR_Analiza].[Ставка].[All]" allUniqueName="[rArtikli_HR_Analiza].[Ставка].[All]" dimensionUniqueName="[rArtikli_HR_Analiza]" displayFolder="" count="0" memberValueDatatype="130" unbalanced="0"/>
    <cacheHierarchy uniqueName="[rArtikli_HR_Analiza].[Категорија Артикл]" caption="Категорија Артикл" attribute="1" defaultMemberUniqueName="[rArtikli_HR_Analiza].[Категорија Артикл].[All]" allUniqueName="[rArtikli_HR_Analiza].[Категорија Артикл].[All]" dimensionUniqueName="[rArtikli_HR_Analiza]" displayFolder="" count="0" memberValueDatatype="130" unbalanced="0"/>
    <cacheHierarchy uniqueName="[rArtikli_HR_Analiza].[Тип на артикл]" caption="Тип на артикл" attribute="1" defaultMemberUniqueName="[rArtikli_HR_Analiza].[Тип на артикл].[All]" allUniqueName="[rArtikli_HR_Analiza].[Тип на артикл].[All]" dimensionUniqueName="[rArtikli_HR_Analiza]" displayFolder="" count="0" memberValueDatatype="130" unbalanced="0"/>
    <cacheHierarchy uniqueName="[rArtikli_HR_Analiza].[Единечна мерка]" caption="Единечна мерка" attribute="1" defaultMemberUniqueName="[rArtikli_HR_Analiza].[Единечна мерка].[All]" allUniqueName="[rArtikli_HR_Analiza].[Единечна мерка].[All]" dimensionUniqueName="[rArtikli_HR_Analiza]" displayFolder="" count="0" memberValueDatatype="130" unbalanced="0"/>
    <cacheHierarchy uniqueName="[rArtikli_HR_Analiza].[Количина]" caption="Количина" attribute="1" defaultMemberUniqueName="[rArtikli_HR_Analiza].[Количина].[All]" allUniqueName="[rArtikli_HR_Analiza].[Количина].[All]" dimensionUniqueName="[rArtikli_HR_Analiza]" displayFolder="" count="0" memberValueDatatype="5" unbalanced="0"/>
    <cacheHierarchy uniqueName="[rArtikli_HR_Analiza].[Единечна цена]" caption="Единечна цена" attribute="1" defaultMemberUniqueName="[rArtikli_HR_Analiza].[Единечна цена].[All]" allUniqueName="[rArtikli_HR_Analiza].[Единечна цена].[All]" dimensionUniqueName="[rArtikli_HR_Analiza]" displayFolder="" count="0" memberValueDatatype="20" unbalanced="0"/>
    <cacheHierarchy uniqueName="[rArtikli_HR_Analiza].[Вкупно трошок]" caption="Вкупно трошок" attribute="1" defaultMemberUniqueName="[rArtikli_HR_Analiza].[Вкупно трошок].[All]" allUniqueName="[rArtikli_HR_Analiza].[Вкупно трошок].[All]" dimensionUniqueName="[rArtikli_HR_Analiza]" displayFolder="" count="0" memberValueDatatype="5" unbalanced="0"/>
    <cacheHierarchy uniqueName="[rArtikli_HR_Analiza].[ДДВ]" caption="ДДВ" attribute="1" defaultMemberUniqueName="[rArtikli_HR_Analiza].[ДДВ].[All]" allUniqueName="[rArtikli_HR_Analiza].[ДДВ].[All]" dimensionUniqueName="[rArtikli_HR_Analiza]" displayFolder="" count="0" memberValueDatatype="5" unbalanced="0"/>
    <cacheHierarchy uniqueName="[rArtikli_HR_Analiza].[Износ]" caption="Износ" attribute="1" defaultMemberUniqueName="[rArtikli_HR_Analiza].[Износ].[All]" allUniqueName="[rArtikli_HR_Analiza].[Износ].[All]" dimensionUniqueName="[rArtikli_HR_Analiza]" displayFolder="" count="0" memberValueDatatype="5" unbalanced="0"/>
    <cacheHierarchy uniqueName="[rArtikli_HR_Analiza].[Конто]" caption="Конто" attribute="1" defaultMemberUniqueName="[rArtikli_HR_Analiza].[Конто].[All]" allUniqueName="[rArtikli_HR_Analiza].[Конто].[All]" dimensionUniqueName="[rArtikli_HR_Analiza]" displayFolder="" count="0" memberValueDatatype="130" unbalanced="0"/>
    <cacheHierarchy uniqueName="[rArtikli_HR_Analiza].[ReportType]" caption="ReportType" attribute="1" defaultMemberUniqueName="[rArtikli_HR_Analiza].[ReportType].[All]" allUniqueName="[rArtikli_HR_Analiza].[ReportType].[All]" dimensionUniqueName="[rArtikli_HR_Analiza]" displayFolder="" count="0" memberValueDatatype="130" unbalanced="0"/>
    <cacheHierarchy uniqueName="[rArtikli_HR_Analiza].[Период]" caption="Период" attribute="1" time="1" defaultMemberUniqueName="[rArtikli_HR_Analiza].[Период].[All]" allUniqueName="[rArtikli_HR_Analiza].[Период].[All]" dimensionUniqueName="[rArtikli_HR_Analiza]" displayFolder="" count="0" memberValueDatatype="7" unbalanced="0"/>
    <cacheHierarchy uniqueName="[rArtikli_HR_Analiza].[StavkaImeMK]" caption="StavkaImeMK" attribute="1" defaultMemberUniqueName="[rArtikli_HR_Analiza].[StavkaImeMK].[All]" allUniqueName="[rArtikli_HR_Analiza].[StavkaImeMK].[All]" dimensionUniqueName="[rArtikli_HR_Analiza]" displayFolder="" count="0" memberValueDatatype="130" unbalanced="0"/>
    <cacheHierarchy uniqueName="[rArtikli_HR_Analiza].[StavkaAOP]" caption="StavkaAOP" attribute="1" defaultMemberUniqueName="[rArtikli_HR_Analiza].[StavkaAOP].[All]" allUniqueName="[rArtikli_HR_Analiza].[StavkaAOP].[All]" dimensionUniqueName="[rArtikli_HR_Analiza]" displayFolder="" count="0" memberValueDatatype="130" unbalanced="0"/>
    <cacheHierarchy uniqueName="[rArtikli_HR_Analiza].[StavkaGrupa]" caption="StavkaGrupa" attribute="1" defaultMemberUniqueName="[rArtikli_HR_Analiza].[StavkaGrupa].[All]" allUniqueName="[rArtikli_HR_Analiza].[StavkaGrupa].[All]" dimensionUniqueName="[rArtikli_HR_Analiza]" displayFolder="" count="0" memberValueDatatype="130" unbalanced="0"/>
    <cacheHierarchy uniqueName="[rArtikli_HR_Analiza].[StavkaKategorija]" caption="StavkaKategorija" attribute="1" defaultMemberUniqueName="[rArtikli_HR_Analiza].[StavkaKategorija].[All]" allUniqueName="[rArtikli_HR_Analiza].[StavkaKategorija].[All]" dimensionUniqueName="[rArtikli_HR_Analiza]" displayFolder="" count="0" memberValueDatatype="130" unbalanced="0"/>
    <cacheHierarchy uniqueName="[rArtikli_HR_Analiza].[ObrazecIme]" caption="ObrazecIme" attribute="1" defaultMemberUniqueName="[rArtikli_HR_Analiza].[ObrazecIme].[All]" allUniqueName="[rArtikli_HR_Analiza].[ObrazecIme].[All]" dimensionUniqueName="[rArtikli_HR_Analiza]" displayFolder="" count="0" memberValueDatatype="130" unbalanced="0"/>
    <cacheHierarchy uniqueName="[rArtikli_HR_Analiza].[StavkaKategorija.1]" caption="StavkaKategorija.1" attribute="1" defaultMemberUniqueName="[rArtikli_HR_Analiza].[StavkaKategorija.1].[All]" allUniqueName="[rArtikli_HR_Analiza].[StavkaKategorija.1].[All]" dimensionUniqueName="[rArtikli_HR_Analiza]" displayFolder="" count="0" memberValueDatatype="130" unbalanced="0"/>
    <cacheHierarchy uniqueName="[rArtikliAnaliza].[Артикл ИД]" caption="Артикл ИД" attribute="1" defaultMemberUniqueName="[rArtikliAnaliza].[Артикл ИД].[All]" allUniqueName="[rArtikliAnaliza].[Артикл ИД].[All]" dimensionUniqueName="[rArtikliAnaliza]" displayFolder="" count="0" memberValueDatatype="20" unbalanced="0"/>
    <cacheHierarchy uniqueName="[rArtikliAnaliza].[Ставка]" caption="Ставка" attribute="1" defaultMemberUniqueName="[rArtikliAnaliza].[Ставка].[All]" allUniqueName="[rArtikliAnaliza].[Ставка].[All]" dimensionUniqueName="[rArtikliAnaliza]" displayFolder="" count="0" memberValueDatatype="130" unbalanced="0"/>
    <cacheHierarchy uniqueName="[rArtikliAnaliza].[Категорија Артикл ИД]" caption="Категорија Артикл ИД" attribute="1" defaultMemberUniqueName="[rArtikliAnaliza].[Категорија Артикл ИД].[All]" allUniqueName="[rArtikliAnaliza].[Категорија Артикл ИД].[All]" dimensionUniqueName="[rArtikliAnaliza]" displayFolder="" count="0" memberValueDatatype="20" unbalanced="0"/>
    <cacheHierarchy uniqueName="[rArtikliAnaliza].[Категорија Артикл]" caption="Категорија Артикл" attribute="1" defaultMemberUniqueName="[rArtikliAnaliza].[Категорија Артикл].[All]" allUniqueName="[rArtikliAnaliza].[Категорија Артикл].[All]" dimensionUniqueName="[rArtikliAnaliza]" displayFolder="" count="0" memberValueDatatype="130" unbalanced="0"/>
    <cacheHierarchy uniqueName="[rArtikliAnaliza].[Тип на артикл]" caption="Тип на артикл" attribute="1" defaultMemberUniqueName="[rArtikliAnaliza].[Тип на артикл].[All]" allUniqueName="[rArtikliAnaliza].[Тип на артикл].[All]" dimensionUniqueName="[rArtikliAnaliza]" displayFolder="" count="0" memberValueDatatype="130" unbalanced="0"/>
    <cacheHierarchy uniqueName="[rArtikliAnaliza].[Единечна мерка]" caption="Единечна мерка" attribute="1" defaultMemberUniqueName="[rArtikliAnaliza].[Единечна мерка].[All]" allUniqueName="[rArtikliAnaliza].[Единечна мерка].[All]" dimensionUniqueName="[rArtikliAnaliza]" displayFolder="" count="0" memberValueDatatype="130" unbalanced="0"/>
    <cacheHierarchy uniqueName="[rArtikliAnaliza].[Количина]" caption="Количина" attribute="1" defaultMemberUniqueName="[rArtikliAnaliza].[Количина].[All]" allUniqueName="[rArtikliAnaliza].[Количина].[All]" dimensionUniqueName="[rArtikliAnaliza]" displayFolder="" count="0" memberValueDatatype="5" unbalanced="0"/>
    <cacheHierarchy uniqueName="[rArtikliAnaliza].[Единечна цена]" caption="Единечна цена" attribute="1" defaultMemberUniqueName="[rArtikliAnaliza].[Единечна цена].[All]" allUniqueName="[rArtikliAnaliza].[Единечна цена].[All]" dimensionUniqueName="[rArtikliAnaliza]" displayFolder="" count="0" memberValueDatatype="20" unbalanced="0"/>
    <cacheHierarchy uniqueName="[rArtikliAnaliza].[Износ]" caption="Износ" attribute="1" defaultMemberUniqueName="[rArtikliAnaliza].[Износ].[All]" allUniqueName="[rArtikliAnaliza].[Износ].[All]" dimensionUniqueName="[rArtikliAnaliza]" displayFolder="" count="0" memberValueDatatype="5" unbalanced="0"/>
    <cacheHierarchy uniqueName="[rArtikliAnaliza].[ДДВ]" caption="ДДВ" attribute="1" defaultMemberUniqueName="[rArtikliAnaliza].[ДДВ].[All]" allUniqueName="[rArtikliAnaliza].[ДДВ].[All]" dimensionUniqueName="[rArtikliAnaliza]" displayFolder="" count="0" memberValueDatatype="5" unbalanced="0"/>
    <cacheHierarchy uniqueName="[rArtikliAnaliza].[Вкупно трошок со ДДВ]" caption="Вкупно трошок со ДДВ" attribute="1" defaultMemberUniqueName="[rArtikliAnaliza].[Вкупно трошок со ДДВ].[All]" allUniqueName="[rArtikliAnaliza].[Вкупно трошок со ДДВ].[All]" dimensionUniqueName="[rArtikliAnaliza]" displayFolder="" count="0" memberValueDatatype="5" unbalanced="0"/>
    <cacheHierarchy uniqueName="[rArtikliAnaliza].[Конто]" caption="Конто" attribute="1" defaultMemberUniqueName="[rArtikliAnaliza].[Конто].[All]" allUniqueName="[rArtikliAnaliza].[Конто].[All]" dimensionUniqueName="[rArtikliAnaliza]" displayFolder="" count="0" memberValueDatatype="130" unbalanced="0"/>
    <cacheHierarchy uniqueName="[rArtikliAnaliza].[Период]" caption="Период" attribute="1" time="1" defaultMemberUniqueName="[rArtikliAnaliza].[Период].[All]" allUniqueName="[rArtikliAnaliza].[Период].[All]" dimensionUniqueName="[rArtikliAnaliza]" displayFolder="" count="0" memberValueDatatype="7" unbalanced="0"/>
    <cacheHierarchy uniqueName="[rArtikliAnaliza].[ReportType]" caption="ReportType" attribute="1" defaultMemberUniqueName="[rArtikliAnaliza].[ReportType].[All]" allUniqueName="[rArtikliAnaliza].[ReportType].[All]" dimensionUniqueName="[rArtikliAnaliza]" displayFolder="" count="0" memberValueDatatype="130" unbalanced="0"/>
    <cacheHierarchy uniqueName="[rArtikliAnaliza].[StavkaImeMK]" caption="StavkaImeMK" attribute="1" defaultMemberUniqueName="[rArtikliAnaliza].[StavkaImeMK].[All]" allUniqueName="[rArtikliAnaliza].[StavkaImeMK].[All]" dimensionUniqueName="[rArtikliAnaliza]" displayFolder="" count="0" memberValueDatatype="130" unbalanced="0"/>
    <cacheHierarchy uniqueName="[rArtikliAnaliza].[StavkaKategorija]" caption="StavkaKategorija" attribute="1" defaultMemberUniqueName="[rArtikliAnaliza].[StavkaKategorija].[All]" allUniqueName="[rArtikliAnaliza].[StavkaKategorija].[All]" dimensionUniqueName="[rArtikliAnaliza]" displayFolder="" count="0" memberValueDatatype="130" unbalanced="0"/>
    <cacheHierarchy uniqueName="[rArtikliAnaliza].[Период (Year)]" caption="Период (Year)" attribute="1" defaultMemberUniqueName="[rArtikliAnaliza].[Период (Year)].[All]" allUniqueName="[rArtikliAnaliza].[Период (Year)].[All]" dimensionUniqueName="[rArtikliAnaliza]" displayFolder="" count="0" memberValueDatatype="130" unbalanced="0"/>
    <cacheHierarchy uniqueName="[rArtikliAnaliza].[Период (Quarter)]" caption="Период (Quarter)" attribute="1" defaultMemberUniqueName="[rArtikliAnaliza].[Период (Quarter)].[All]" allUniqueName="[rArtikliAnaliza].[Период (Quarter)].[All]" dimensionUniqueName="[rArtikliAnaliza]" displayFolder="" count="0" memberValueDatatype="130" unbalanced="0"/>
    <cacheHierarchy uniqueName="[rArtikliAnaliza].[Период (Month)]" caption="Период (Month)" attribute="1" defaultMemberUniqueName="[rArtikliAnaliza].[Период (Month)].[All]" allUniqueName="[rArtikliAnaliza].[Период (Month)].[All]" dimensionUniqueName="[rArtikliAnaliza]" displayFolder="" count="0" memberValueDatatype="130" unbalanced="0"/>
    <cacheHierarchy uniqueName="[CAPEX].[Очекуван датум за ставање во употреба (месец) (Month Index)]" caption="Очекуван датум за ставање во употреба (месец) (Month Index)" attribute="1" defaultMemberUniqueName="[CAPEX].[Очекуван датум за ставање во употреба (месец) (Month Index)].[All]" allUniqueName="[CAPEX].[Очекуван датум за ставање во употреба (месец) (Month Index)].[All]" dimensionUniqueName="[CAPEX]" displayFolder="" count="0" memberValueDatatype="20" unbalanced="0" hidden="1"/>
    <cacheHierarchy uniqueName="[CAPEX].[Очекуван датум на плаќање (Month Index)]" caption="Очекуван датум на плаќање (Month Index)" attribute="1" defaultMemberUniqueName="[CAPEX].[Очекуван датум на плаќање (Month Index)].[All]" allUniqueName="[CAPEX].[Очекуван датум на плаќање (Month Index)].[All]" dimensionUniqueName="[CAPEX]" displayFolder="" count="0" memberValueDatatype="20" unbalanced="0" hidden="1"/>
    <cacheHierarchy uniqueName="[fActualAndBudget].[StavkaID]" caption="StavkaID" attribute="1" defaultMemberUniqueName="[fActualAndBudget].[StavkaID].[All]" allUniqueName="[fActualAndBudget].[StavkaID].[All]" dimensionUniqueName="[fActualAndBudget]" displayFolder="" count="0" memberValueDatatype="20" unbalanced="0" hidden="1"/>
    <cacheHierarchy uniqueName="[fCoveckiResursi].[Период (Month Index)]" caption="Период (Month Index)" attribute="1" defaultMemberUniqueName="[fCoveckiResursi].[Период (Month Index)].[All]" allUniqueName="[fCoveckiResursi].[Период (Month Index)].[All]" dimensionUniqueName="[fCoveckiResursi]" displayFolder="" count="0" memberValueDatatype="20" unbalanced="0" hidden="1"/>
    <cacheHierarchy uniqueName="[fCoveckiResursi].[Период (Month Index) 1]" caption="Период (Month Index) 1" attribute="1" defaultMemberUniqueName="[fCoveckiResursi].[Период (Month Index) 1].[All]" allUniqueName="[fCoveckiResursi].[Период (Month Index) 1].[All]" dimensionUniqueName="[fCoveckiResursi]" displayFolder="" count="0" memberValueDatatype="20" unbalanced="0" hidden="1"/>
    <cacheHierarchy uniqueName="[OPEXAnaliza].[Период (Month Index)]" caption="Период (Month Index)" attribute="1" defaultMemberUniqueName="[OPEXAnaliza].[Период (Month Index)].[All]" allUniqueName="[OPEXAnaliza].[Период (Month Index)].[All]" dimensionUniqueName="[OPEXAnaliza]" displayFolder="" count="0" memberValueDatatype="20" unbalanced="0" hidden="1"/>
    <cacheHierarchy uniqueName="[rArtikli_HR_Analiza].[Крајна состојба вработени]" caption="Крајна состојба вработени" attribute="1" defaultMemberUniqueName="[rArtikli_HR_Analiza].[Крајна состојба вработени].[All]" allUniqueName="[rArtikli_HR_Analiza].[Крајна состојба вработени].[All]" dimensionUniqueName="[rArtikli_HR_Analiza]" displayFolder="" count="0" memberValueDatatype="20" unbalanced="0" hidden="1"/>
    <cacheHierarchy uniqueName="[rArtikli_HR_Analiza].[Планиран прилив/(одлив)]" caption="Планиран прилив/(одлив)" attribute="1" defaultMemberUniqueName="[rArtikli_HR_Analiza].[Планиран прилив/(одлив)].[All]" allUniqueName="[rArtikli_HR_Analiza].[Планиран прилив/(одлив)].[All]" dimensionUniqueName="[rArtikli_HR_Analiza]" displayFolder="" count="0" memberValueDatatype="20" unbalanced="0" hidden="1"/>
    <cacheHierarchy uniqueName="[rArtikli_HR_Analiza].[Тип на вработување]" caption="Тип на вработување" attribute="1" defaultMemberUniqueName="[rArtikli_HR_Analiza].[Тип на вработување].[All]" allUniqueName="[rArtikli_HR_Analiza].[Тип на вработување].[All]" dimensionUniqueName="[rArtikli_HR_Analiza]" displayFolder="" count="0" memberValueDatatype="130" unbalanced="0" hidden="1"/>
    <cacheHierarchy uniqueName="[rArtikliAnaliza].[Период (Month Index)]" caption="Период (Month Index)" attribute="1" defaultMemberUniqueName="[rArtikliAnaliza].[Период (Month Index)].[All]" allUniqueName="[rArtikliAnaliza].[Период (Month Index)].[All]" dimensionUniqueName="[rArtikliAnaliza]" displayFolder="" count="0" memberValueDatatype="20" unbalanced="0" hidden="1"/>
    <cacheHierarchy uniqueName="[Measures].[__XL_Count Calendar]" caption="__XL_Count Calendar" measure="1" displayFolder="" measureGroup="Calendar" count="0" hidden="1"/>
    <cacheHierarchy uniqueName="[Measures].[__XL_Count CAPEX]" caption="__XL_Count CAPEX" measure="1" displayFolder="" measureGroup="CAPEX" count="0" hidden="1"/>
    <cacheHierarchy uniqueName="[Measures].[__XL_Count Amortizacija]" caption="__XL_Count Amortizacija" measure="1" displayFolder="" measureGroup="Amortizacija" count="0" hidden="1"/>
    <cacheHierarchy uniqueName="[Measures].[__XL_Count fCoveckiResursi]" caption="__XL_Count fCoveckiResursi" measure="1" displayFolder="" measureGroup="fCoveckiResursi" count="0" hidden="1"/>
    <cacheHierarchy uniqueName="[Measures].[__XL_Count fActualAndBudget]" caption="__XL_Count fActualAndBudget" measure="1" displayFolder="" measureGroup="fActualAndBudget" count="0" hidden="1"/>
    <cacheHierarchy uniqueName="[Measures].[__XL_Count fOPEX]" caption="__XL_Count fOPEX" measure="1" displayFolder="" measureGroup="fOPEX" count="0" hidden="1"/>
    <cacheHierarchy uniqueName="[Measures].[__XL_Count OPEXAnaliza]" caption="__XL_Count OPEXAnaliza" measure="1" displayFolder="" measureGroup="OPEXAnaliza" count="0" hidden="1"/>
    <cacheHierarchy uniqueName="[Measures].[__XL_Count rArtikliAnaliza]" caption="__XL_Count rArtikliAnaliza" measure="1" displayFolder="" measureGroup="rArtikliAnaliza" count="0" hidden="1"/>
    <cacheHierarchy uniqueName="[Measures].[__XL_Count fArtikliCeni]" caption="__XL_Count fArtikliCeni" measure="1" displayFolder="" measureGroup="fArtikliCeni" count="0" hidden="1"/>
    <cacheHierarchy uniqueName="[Measures].[__XL_Count rArtikli_HR_Analiza]" caption="__XL_Count rArtikli_HR_Analiza" measure="1" displayFolder="" measureGroup="rArtikli_HR_Analiza" count="0" hidden="1"/>
    <cacheHierarchy uniqueName="[Measures].[__XL_Count fCoveckiResursi  2]" caption="__XL_Count fCoveckiResursi  2" measure="1" displayFolder="" measureGroup="fCoveckiResursi  2" count="0" hidden="1"/>
    <cacheHierarchy uniqueName="[Measures].[__No measures defined]" caption="__No measures defined" measure="1" displayFolder="" count="0" hidden="1"/>
    <cacheHierarchy uniqueName="[Measures].[Sum of Износ 3]" caption="Sum of Износ 3" measure="1" displayFolder="" measureGroup="fCoveckiResursi" count="0" hidden="1">
      <extLst>
        <ext xmlns:x15="http://schemas.microsoft.com/office/spreadsheetml/2010/11/main" uri="{B97F6D7D-B522-45F9-BDA1-12C45D357490}">
          <x15:cacheHierarchy aggregatedColumn="71"/>
        </ext>
      </extLst>
    </cacheHierarchy>
    <cacheHierarchy uniqueName="[Measures].[Sum of Крајна состојба вработени]" caption="Sum of Крајна состојба вработени" measure="1" displayFolder="" measureGroup="fCoveckiResursi" count="0" hidden="1">
      <extLst>
        <ext xmlns:x15="http://schemas.microsoft.com/office/spreadsheetml/2010/11/main" uri="{B97F6D7D-B522-45F9-BDA1-12C45D357490}">
          <x15:cacheHierarchy aggregatedColumn="70"/>
        </ext>
      </extLst>
    </cacheHierarchy>
    <cacheHierarchy uniqueName="[Measures].[Sum of Планиран прилив/(одлив)]" caption="Sum of Планиран прилив/(одлив)" measure="1" displayFolder="" measureGroup="fCoveckiResursi" count="0" hidden="1">
      <extLst>
        <ext xmlns:x15="http://schemas.microsoft.com/office/spreadsheetml/2010/11/main" uri="{B97F6D7D-B522-45F9-BDA1-12C45D357490}">
          <x15:cacheHierarchy aggregatedColumn="68"/>
        </ext>
      </extLst>
    </cacheHierarchy>
    <cacheHierarchy uniqueName="[Measures].[Sum of Износ]" caption="Sum of Износ" measure="1" displayFolder="" measureGroup="fActualAndBudget" count="0" hidden="1">
      <extLst>
        <ext xmlns:x15="http://schemas.microsoft.com/office/spreadsheetml/2010/11/main" uri="{B97F6D7D-B522-45F9-BDA1-12C45D357490}">
          <x15:cacheHierarchy aggregatedColumn="45"/>
        </ext>
      </extLst>
    </cacheHierarchy>
    <cacheHierarchy uniqueName="[Measures].[Sum of Износ (илјади)]" caption="Sum of Износ (илјади)" measure="1" displayFolder="" measureGroup="fActualAndBudget" count="0" hidden="1">
      <extLst>
        <ext xmlns:x15="http://schemas.microsoft.com/office/spreadsheetml/2010/11/main" uri="{B97F6D7D-B522-45F9-BDA1-12C45D357490}">
          <x15:cacheHierarchy aggregatedColumn="46"/>
        </ext>
      </extLst>
    </cacheHierarchy>
    <cacheHierarchy uniqueName="[Measures].[Sum of Износ1]" caption="Sum of Износ1" measure="1" displayFolder="" measureGroup="fActualAndBudget" count="0" hidden="1">
      <extLst>
        <ext xmlns:x15="http://schemas.microsoft.com/office/spreadsheetml/2010/11/main" uri="{B97F6D7D-B522-45F9-BDA1-12C45D357490}">
          <x15:cacheHierarchy aggregatedColumn="34"/>
        </ext>
      </extLst>
    </cacheHierarchy>
    <cacheHierarchy uniqueName="[Measures].[Sum of Износ 2]" caption="Sum of Износ 2" measure="1" displayFolder="" measureGroup="Amortizacija" count="0" hidden="1">
      <extLst>
        <ext xmlns:x15="http://schemas.microsoft.com/office/spreadsheetml/2010/11/main" uri="{B97F6D7D-B522-45F9-BDA1-12C45D357490}">
          <x15:cacheHierarchy aggregatedColumn="3"/>
        </ext>
      </extLst>
    </cacheHierarchy>
    <cacheHierarchy uniqueName="[Measures].[Sum of Износ 4]" caption="Sum of Износ 4" measure="1" displayFolder="" measureGroup="OPEXAnaliza" count="0" hidden="1">
      <extLst>
        <ext xmlns:x15="http://schemas.microsoft.com/office/spreadsheetml/2010/11/main" uri="{B97F6D7D-B522-45F9-BDA1-12C45D357490}">
          <x15:cacheHierarchy aggregatedColumn="101"/>
        </ext>
      </extLst>
    </cacheHierarchy>
    <cacheHierarchy uniqueName="[Measures].[Sum of Износ донација]" caption="Sum of Износ донација" measure="1" displayFolder="" measureGroup="CAPEX" count="0" hidden="1">
      <extLst>
        <ext xmlns:x15="http://schemas.microsoft.com/office/spreadsheetml/2010/11/main" uri="{B97F6D7D-B522-45F9-BDA1-12C45D357490}">
          <x15:cacheHierarchy aggregatedColumn="24"/>
        </ext>
      </extLst>
    </cacheHierarchy>
    <cacheHierarchy uniqueName="[Measures].[Sum of Вкупно трошок]" caption="Sum of Вкупно трошок" measure="1" displayFolder="" measureGroup="fArtikliCeni" count="0" hidden="1">
      <extLst>
        <ext xmlns:x15="http://schemas.microsoft.com/office/spreadsheetml/2010/11/main" uri="{B97F6D7D-B522-45F9-BDA1-12C45D357490}">
          <x15:cacheHierarchy aggregatedColumn="55"/>
        </ext>
      </extLst>
    </cacheHierarchy>
    <cacheHierarchy uniqueName="[Measures].[Sum of Количина]" caption="Sum of Количина" measure="1" displayFolder="" measureGroup="fArtikliCeni" count="0" hidden="1">
      <extLst>
        <ext xmlns:x15="http://schemas.microsoft.com/office/spreadsheetml/2010/11/main" uri="{B97F6D7D-B522-45F9-BDA1-12C45D357490}">
          <x15:cacheHierarchy aggregatedColumn="53"/>
        </ext>
      </extLst>
    </cacheHierarchy>
    <cacheHierarchy uniqueName="[Measures].[Sum of Единечна цена]" caption="Sum of Единечна цена" measure="1" displayFolder="" measureGroup="fArtikliCeni" count="0" hidden="1">
      <extLst>
        <ext xmlns:x15="http://schemas.microsoft.com/office/spreadsheetml/2010/11/main" uri="{B97F6D7D-B522-45F9-BDA1-12C45D357490}">
          <x15:cacheHierarchy aggregatedColumn="54"/>
        </ext>
      </extLst>
    </cacheHierarchy>
    <cacheHierarchy uniqueName="[Measures].[Sum of ДДВ]" caption="Sum of ДДВ" measure="1" displayFolder="" measureGroup="fArtikliCeni" count="0" hidden="1">
      <extLst>
        <ext xmlns:x15="http://schemas.microsoft.com/office/spreadsheetml/2010/11/main" uri="{B97F6D7D-B522-45F9-BDA1-12C45D357490}">
          <x15:cacheHierarchy aggregatedColumn="56"/>
        </ext>
      </extLst>
    </cacheHierarchy>
    <cacheHierarchy uniqueName="[Measures].[Sum of Износ 6]" caption="Sum of Износ 6" measure="1" displayFolder="" measureGroup="fArtikliCeni" count="0" hidden="1">
      <extLst>
        <ext xmlns:x15="http://schemas.microsoft.com/office/spreadsheetml/2010/11/main" uri="{B97F6D7D-B522-45F9-BDA1-12C45D357490}">
          <x15:cacheHierarchy aggregatedColumn="57"/>
        </ext>
      </extLst>
    </cacheHierarchy>
    <cacheHierarchy uniqueName="[Measures].[Count of Единечна мерка]" caption="Count of Единечна мерка" measure="1" displayFolder="" measureGroup="fArtikliCeni" count="0" hidden="1">
      <extLst>
        <ext xmlns:x15="http://schemas.microsoft.com/office/spreadsheetml/2010/11/main" uri="{B97F6D7D-B522-45F9-BDA1-12C45D357490}">
          <x15:cacheHierarchy aggregatedColumn="52"/>
        </ext>
      </extLst>
    </cacheHierarchy>
    <cacheHierarchy uniqueName="[Measures].[Sum of Количина 2]" caption="Sum of Количина 2" measure="1" displayFolder="" measureGroup="rArtikli_HR_Analiza" count="0" hidden="1">
      <extLst>
        <ext xmlns:x15="http://schemas.microsoft.com/office/spreadsheetml/2010/11/main" uri="{B97F6D7D-B522-45F9-BDA1-12C45D357490}">
          <x15:cacheHierarchy aggregatedColumn="118"/>
        </ext>
      </extLst>
    </cacheHierarchy>
    <cacheHierarchy uniqueName="[Measures].[Sum of Единечна цена 2]" caption="Sum of Единечна цена 2" measure="1" displayFolder="" measureGroup="rArtikli_HR_Analiza" count="0" hidden="1">
      <extLst>
        <ext xmlns:x15="http://schemas.microsoft.com/office/spreadsheetml/2010/11/main" uri="{B97F6D7D-B522-45F9-BDA1-12C45D357490}">
          <x15:cacheHierarchy aggregatedColumn="119"/>
        </ext>
      </extLst>
    </cacheHierarchy>
    <cacheHierarchy uniqueName="[Measures].[Sum of Вкупно трошок 2]" caption="Sum of Вкупно трошок 2" measure="1" displayFolder="" measureGroup="rArtikli_HR_Analiza" count="0" hidden="1">
      <extLst>
        <ext xmlns:x15="http://schemas.microsoft.com/office/spreadsheetml/2010/11/main" uri="{B97F6D7D-B522-45F9-BDA1-12C45D357490}">
          <x15:cacheHierarchy aggregatedColumn="120"/>
        </ext>
      </extLst>
    </cacheHierarchy>
    <cacheHierarchy uniqueName="[Measures].[Sum of ДДВ 2]" caption="Sum of ДДВ 2" measure="1" displayFolder="" measureGroup="rArtikli_HR_Analiza" count="0" hidden="1">
      <extLst>
        <ext xmlns:x15="http://schemas.microsoft.com/office/spreadsheetml/2010/11/main" uri="{B97F6D7D-B522-45F9-BDA1-12C45D357490}">
          <x15:cacheHierarchy aggregatedColumn="121"/>
        </ext>
      </extLst>
    </cacheHierarchy>
    <cacheHierarchy uniqueName="[Measures].[Sum of Износ 7]" caption="Sum of Износ 7" measure="1" displayFolder="" measureGroup="rArtikli_HR_Analiza" count="0" hidden="1">
      <extLst>
        <ext xmlns:x15="http://schemas.microsoft.com/office/spreadsheetml/2010/11/main" uri="{B97F6D7D-B522-45F9-BDA1-12C45D357490}">
          <x15:cacheHierarchy aggregatedColumn="122"/>
        </ext>
      </extLst>
    </cacheHierarchy>
    <cacheHierarchy uniqueName="[Measures].[Sum of Износ 5]" caption="Sum of Износ 5" measure="1" displayFolder="" measureGroup="fCoveckiResursi  2" count="0" hidden="1">
      <extLst>
        <ext xmlns:x15="http://schemas.microsoft.com/office/spreadsheetml/2010/11/main" uri="{B97F6D7D-B522-45F9-BDA1-12C45D357490}">
          <x15:cacheHierarchy aggregatedColumn="82"/>
        </ext>
      </extLst>
    </cacheHierarchy>
    <cacheHierarchy uniqueName="[Measures].[Sum of Проценета вредност на набавка со ДДВ (денари)]" caption="Sum of Проценета вредност на набавка со ДДВ (денари)" measure="1" displayFolder="" measureGroup="CAPEX" count="0" hidden="1">
      <extLst>
        <ext xmlns:x15="http://schemas.microsoft.com/office/spreadsheetml/2010/11/main" uri="{B97F6D7D-B522-45F9-BDA1-12C45D357490}">
          <x15:cacheHierarchy aggregatedColumn="20"/>
        </ext>
      </extLst>
    </cacheHierarchy>
  </cacheHierarchies>
  <kpis count="0"/>
  <dimensions count="12">
    <dimension name="Amortizacija" uniqueName="[Amortizacija]" caption="Amortizacija"/>
    <dimension name="Calendar" uniqueName="[Calendar]" caption="Calendar"/>
    <dimension name="CAPEX" uniqueName="[CAPEX]" caption="CAPEX"/>
    <dimension name="fActualAndBudget" uniqueName="[fActualAndBudget]" caption="fActualAndBudget"/>
    <dimension name="fArtikliCeni" uniqueName="[fArtikliCeni]" caption="fArtikliCeni"/>
    <dimension name="fCoveckiResursi" uniqueName="[fCoveckiResursi]" caption="fCoveckiResursi"/>
    <dimension name="fCoveckiResursi  2" uniqueName="[fCoveckiResursi  2]" caption="fCoveckiResursi  2"/>
    <dimension name="fOPEX" uniqueName="[fOPEX]" caption="fOPEX"/>
    <dimension measure="1" name="Measures" uniqueName="[Measures]" caption="Measures"/>
    <dimension name="OPEXAnaliza" uniqueName="[OPEXAnaliza]" caption="OPEXAnaliza"/>
    <dimension name="rArtikli_HR_Analiza" uniqueName="[rArtikli_HR_Analiza]" caption="rArtikli_HR_Analiza"/>
    <dimension name="rArtikliAnaliza" uniqueName="[rArtikliAnaliza]" caption="rArtikliAnaliza"/>
  </dimensions>
  <measureGroups count="11">
    <measureGroup name="Amortizacija" caption="Amortizacija"/>
    <measureGroup name="Calendar" caption="Calendar"/>
    <measureGroup name="CAPEX" caption="CAPEX"/>
    <measureGroup name="fActualAndBudget" caption="fActualAndBudget"/>
    <measureGroup name="fArtikliCeni" caption="fArtikliCeni"/>
    <measureGroup name="fCoveckiResursi" caption="fCoveckiResursi"/>
    <measureGroup name="fCoveckiResursi  2" caption="fCoveckiResursi  2"/>
    <measureGroup name="fOPEX" caption="fOPEX"/>
    <measureGroup name="OPEXAnaliza" caption="OPEXAnaliza"/>
    <measureGroup name="rArtikli_HR_Analiza" caption="rArtikli_HR_Analiza"/>
    <measureGroup name="rArtikliAnaliza" caption="rArtikliAnaliza"/>
  </measureGroups>
  <maps count="19">
    <map measureGroup="0" dimension="0"/>
    <map measureGroup="0" dimension="1"/>
    <map measureGroup="1" dimension="1"/>
    <map measureGroup="2" dimension="1"/>
    <map measureGroup="2" dimension="2"/>
    <map measureGroup="3" dimension="1"/>
    <map measureGroup="3" dimension="3"/>
    <map measureGroup="4" dimension="4"/>
    <map measureGroup="5" dimension="1"/>
    <map measureGroup="5" dimension="5"/>
    <map measureGroup="6" dimension="1"/>
    <map measureGroup="6" dimension="6"/>
    <map measureGroup="7" dimension="1"/>
    <map measureGroup="7" dimension="7"/>
    <map measureGroup="8" dimension="1"/>
    <map measureGroup="8" dimension="9"/>
    <map measureGroup="9" dimension="10"/>
    <map measureGroup="10" dimension="1"/>
    <map measureGroup="10" dimension="1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0.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na Binov" refreshedDate="44899.95899363426" createdVersion="3" refreshedVersion="8" minRefreshableVersion="3" recordCount="0" supportSubquery="1" supportAdvancedDrill="1" xr:uid="{00000000-000A-0000-FFFF-FFFF1D000000}">
  <cacheSource type="external" connectionId="22">
    <extLst>
      <ext xmlns:x14="http://schemas.microsoft.com/office/spreadsheetml/2009/9/main" uri="{F057638F-6D5F-4e77-A914-E7F072B9BCA8}">
        <x14:sourceConnection name="ThisWorkbookDataModel"/>
      </ext>
    </extLst>
  </cacheSource>
  <cacheFields count="0"/>
  <cacheHierarchies count="194">
    <cacheHierarchy uniqueName="[Amortizacija].[Број на јавна набавка (план)]" caption="Број на јавна набавка (план)" attribute="1" defaultMemberUniqueName="[Amortizacija].[Број на јавна набавка (план)].[All]" allUniqueName="[Amortizacija].[Број на јавна набавка (план)].[All]" dimensionUniqueName="[Amortizacija]" displayFolder="" count="0" memberValueDatatype="130" unbalanced="0"/>
    <cacheHierarchy uniqueName="[Amortizacija].[Ставка]" caption="Ставка" attribute="1" defaultMemberUniqueName="[Amortizacija].[Ставка].[All]" allUniqueName="[Amortizacija].[Ставка].[All]" dimensionUniqueName="[Amortizacija]" displayFolder="" count="0" memberValueDatatype="130" unbalanced="0"/>
    <cacheHierarchy uniqueName="[Amortizacija].[Период]" caption="Период" attribute="1" time="1" defaultMemberUniqueName="[Amortizacija].[Период].[All]" allUniqueName="[Amortizacija].[Период].[All]" dimensionUniqueName="[Amortizacija]" displayFolder="" count="0" memberValueDatatype="7" unbalanced="0"/>
    <cacheHierarchy uniqueName="[Amortizacija].[Износ]" caption="Износ" attribute="1" defaultMemberUniqueName="[Amortizacija].[Износ].[All]" allUniqueName="[Amortizacija].[Износ].[All]" dimensionUniqueName="[Amortizacija]" displayFolder="" count="0" memberValueDatatype="20" unbalanced="0"/>
    <cacheHierarchy uniqueName="[Amortizacija].[Конто]" caption="Конто" attribute="1" defaultMemberUniqueName="[Amortizacija].[Конто].[All]" allUniqueName="[Amortizacija].[Конто].[All]" dimensionUniqueName="[Amortizacija]" displayFolder="" count="0" memberValueDatatype="130" unbalanced="0"/>
    <cacheHierarchy uniqueName="[Amortizacija].[ReportType]" caption="ReportType" attribute="1" defaultMemberUniqueName="[Amortizacija].[ReportType].[All]" allUniqueName="[Amortizacija].[ReportType].[All]" dimensionUniqueName="[Amortizacija]" displayFolder="" count="0" memberValueDatatype="130" unbalanced="0"/>
    <cacheHierarchy uniqueName="[Calendar].[Date]" caption="Date" attribute="1" time="1" keyAttribute="1" defaultMemberUniqueName="[Calendar].[Date].[All]" allUniqueName="[Calendar].[Date].[All]" dimensionUniqueName="[Calendar]" displayFolder="" count="0" memberValueDatatype="7" unbalanced="0"/>
    <cacheHierarchy uniqueName="[Calendar].[Date Hierarchy]" caption="Date Hierarchy" time="1" defaultMemberUniqueName="[Calendar].[Date Hierarchy].[All]" allUniqueName="[Calendar].[Date Hierarchy].[All]" dimensionUniqueName="[Calendar]" displayFolder="" count="0" unbalanced="0"/>
    <cacheHierarchy uniqueName="[Calendar].[Година]" caption="Година" attribute="1" time="1" defaultMemberUniqueName="[Calendar].[Година].[All]" allUniqueName="[Calendar].[Година].[All]" dimensionUniqueName="[Calendar]" displayFolder="" count="0" memberValueDatatype="20" unbalanced="0"/>
    <cacheHierarchy uniqueName="[Calendar].[Month Number]" caption="Month Number" attribute="1" time="1" defaultMemberUniqueName="[Calendar].[Month Number].[All]" allUniqueName="[Calendar].[Month Number].[All]" dimensionUniqueName="[Calendar]" displayFolder="" count="0" memberValueDatatype="20" unbalanced="0"/>
    <cacheHierarchy uniqueName="[Calendar].[Месец]" caption="Месец" attribute="1" time="1" defaultMemberUniqueName="[Calendar].[Месец].[All]" allUniqueName="[Calendar].[Месец].[All]" dimensionUniqueName="[Calendar]" displayFolder="" count="2" memberValueDatatype="130" unbalanced="0"/>
    <cacheHierarchy uniqueName="[Calendar].[MMM-YYYY]" caption="MMM-YYYY" attribute="1" time="1" defaultMemberUniqueName="[Calendar].[MMM-YYYY].[All]" allUniqueName="[Calendar].[MMM-YYYY].[All]" dimensionUniqueName="[Calendar]" displayFolder="" count="0" memberValueDatatype="130" unbalanced="0"/>
    <cacheHierarchy uniqueName="[Calendar].[Day Of Week Number]" caption="Day Of Week Number" attribute="1" time="1" defaultMemberUniqueName="[Calendar].[Day Of Week Number].[All]" allUniqueName="[Calendar].[Day Of Week Number].[All]" dimensionUniqueName="[Calendar]" displayFolder="" count="0" memberValueDatatype="20" unbalanced="0"/>
    <cacheHierarchy uniqueName="[Calendar].[Day Of Week]" caption="Day Of Week" attribute="1" time="1" defaultMemberUniqueName="[Calendar].[Day Of Week].[All]" allUniqueName="[Calendar].[Day Of Week].[All]" dimensionUniqueName="[Calendar]" displayFolder="" count="0" memberValueDatatype="130" unbalanced="0"/>
    <cacheHierarchy uniqueName="[Calendar].[Квартал]" caption="Квартал" attribute="1" time="1" defaultMemberUniqueName="[Calendar].[Квартал].[All]" allUniqueName="[Calendar].[Квартал].[All]" dimensionUniqueName="[Calendar]" displayFolder="" count="0" memberValueDatatype="7" unbalanced="0"/>
    <cacheHierarchy uniqueName="[CAPEX].[Година за реализација на проект]" caption="Година за реализација на проект" attribute="1" defaultMemberUniqueName="[CAPEX].[Година за реализација на проект].[All]" allUniqueName="[CAPEX].[Година за реализација на проект].[All]" dimensionUniqueName="[CAPEX]" displayFolder="" count="0" memberValueDatatype="20" unbalanced="0"/>
    <cacheHierarchy uniqueName="[CAPEX].[Број на јавна набавка (план)]" caption="Број на јавна набавка (план)" attribute="1" defaultMemberUniqueName="[CAPEX].[Број на јавна набавка (план)].[All]" allUniqueName="[CAPEX].[Број на јавна набавка (план)].[All]" dimensionUniqueName="[CAPEX]" displayFolder="" count="0" memberValueDatatype="130" unbalanced="0"/>
    <cacheHierarchy uniqueName="[CAPEX].[Предмет на договорот за јавна набавка]" caption="Предмет на договорот за јавна набавка" attribute="1" defaultMemberUniqueName="[CAPEX].[Предмет на договорот за јавна набавка].[All]" allUniqueName="[CAPEX].[Предмет на договорот за јавна набавка].[All]" dimensionUniqueName="[CAPEX]" displayFolder="" count="0" memberValueDatatype="130" unbalanced="0"/>
    <cacheHierarchy uniqueName="[CAPEX].[Очекуван датум на плаќање]" caption="Очекуван датум на плаќање" attribute="1" time="1" defaultMemberUniqueName="[CAPEX].[Очекуван датум на плаќање].[All]" allUniqueName="[CAPEX].[Очекуван датум на плаќање].[All]" dimensionUniqueName="[CAPEX]" displayFolder="" count="0" memberValueDatatype="7" unbalanced="0"/>
    <cacheHierarchy uniqueName="[CAPEX].[Очекуван датум за ставање во употреба (месец)]" caption="Очекуван датум за ставање во употреба (месец)" attribute="1" time="1" defaultMemberUniqueName="[CAPEX].[Очекуван датум за ставање во употреба (месец)].[All]" allUniqueName="[CAPEX].[Очекуван датум за ставање во употреба (месец)].[All]" dimensionUniqueName="[CAPEX]" displayFolder="" count="0" memberValueDatatype="7" unbalanced="0"/>
    <cacheHierarchy uniqueName="[CAPEX].[Проценета вредност на набавка со ДДВ (денари)]" caption="Проценета вредност на набавка со ДДВ (денари)" attribute="1" defaultMemberUniqueName="[CAPEX].[Проценета вредност на набавка со ДДВ (денари)].[All]" allUniqueName="[CAPEX].[Проценета вредност на набавка со ДДВ (денари)].[All]" dimensionUniqueName="[CAPEX]" displayFolder="" count="0" memberValueDatatype="20" unbalanced="0"/>
    <cacheHierarchy uniqueName="[CAPEX].[Стапка на амортизација]" caption="Стапка на амортизација" attribute="1" defaultMemberUniqueName="[CAPEX].[Стапка на амортизација].[All]" allUniqueName="[CAPEX].[Стапка на амортизација].[All]" dimensionUniqueName="[CAPEX]" displayFolder="" count="0" memberValueDatatype="5" unbalanced="0"/>
    <cacheHierarchy uniqueName="[CAPEX].[Конто Средства]" caption="Конто Средства" attribute="1" defaultMemberUniqueName="[CAPEX].[Конто Средства].[All]" allUniqueName="[CAPEX].[Конто Средства].[All]" dimensionUniqueName="[CAPEX]" displayFolder="" count="0" memberValueDatatype="130" unbalanced="0"/>
    <cacheHierarchy uniqueName="[CAPEX].[Конто Амортизација]" caption="Конто Амортизација" attribute="1" defaultMemberUniqueName="[CAPEX].[Конто Амортизација].[All]" allUniqueName="[CAPEX].[Конто Амортизација].[All]" dimensionUniqueName="[CAPEX]" displayFolder="" count="0" memberValueDatatype="130" unbalanced="0"/>
    <cacheHierarchy uniqueName="[CAPEX].[Износ донација]" caption="Износ донација" attribute="1" defaultMemberUniqueName="[CAPEX].[Износ донација].[All]" allUniqueName="[CAPEX].[Износ донација].[All]" dimensionUniqueName="[CAPEX]" displayFolder="" count="0" memberValueDatatype="20" unbalanced="0"/>
    <cacheHierarchy uniqueName="[CAPEX].[Очекуван датум на плаќање (Year)]" caption="Очекуван датум на плаќање (Year)" attribute="1" defaultMemberUniqueName="[CAPEX].[Очекуван датум на плаќање (Year)].[All]" allUniqueName="[CAPEX].[Очекуван датум на плаќање (Year)].[All]" dimensionUniqueName="[CAPEX]" displayFolder="" count="0" memberValueDatatype="130" unbalanced="0"/>
    <cacheHierarchy uniqueName="[CAPEX].[Очекуван датум на плаќање (Quarter)]" caption="Очекуван датум на плаќање (Quarter)" attribute="1" defaultMemberUniqueName="[CAPEX].[Очекуван датум на плаќање (Quarter)].[All]" allUniqueName="[CAPEX].[Очекуван датум на плаќање (Quarter)].[All]" dimensionUniqueName="[CAPEX]" displayFolder="" count="0" memberValueDatatype="130" unbalanced="0"/>
    <cacheHierarchy uniqueName="[CAPEX].[Очекуван датум на плаќање (Month)]" caption="Очекуван датум на плаќање (Month)" attribute="1" defaultMemberUniqueName="[CAPEX].[Очекуван датум на плаќање (Month)].[All]" allUniqueName="[CAPEX].[Очекуван датум на плаќање (Month)].[All]" dimensionUniqueName="[CAPEX]" displayFolder="" count="0" memberValueDatatype="130" unbalanced="0"/>
    <cacheHierarchy uniqueName="[CAPEX].[Очекуван датум за ставање во употреба (месец) (Year)]" caption="Очекуван датум за ставање во употреба (месец) (Year)" attribute="1" defaultMemberUniqueName="[CAPEX].[Очекуван датум за ставање во употреба (месец) (Year)].[All]" allUniqueName="[CAPEX].[Очекуван датум за ставање во употреба (месец) (Year)].[All]" dimensionUniqueName="[CAPEX]" displayFolder="" count="0" memberValueDatatype="130" unbalanced="0"/>
    <cacheHierarchy uniqueName="[CAPEX].[Очекуван датум за ставање во употреба (месец) (Quarter)]" caption="Очекуван датум за ставање во употреба (месец) (Quarter)" attribute="1" defaultMemberUniqueName="[CAPEX].[Очекуван датум за ставање во употреба (месец) (Quarter)].[All]" allUniqueName="[CAPEX].[Очекуван датум за ставање во употреба (месец) (Quarter)].[All]" dimensionUniqueName="[CAPEX]" displayFolder="" count="0" memberValueDatatype="130" unbalanced="0"/>
    <cacheHierarchy uniqueName="[CAPEX].[Очекуван датум за ставање во употреба (месец) (Month)]" caption="Очекуван датум за ставање во употреба (месец) (Month)" attribute="1" defaultMemberUniqueName="[CAPEX].[Очекуван датум за ставање во употреба (месец) (Month)].[All]" allUniqueName="[CAPEX].[Очекуван датум за ставање во употреба (месец) (Month)].[All]" dimensionUniqueName="[CAPEX]" displayFolder="" count="0" memberValueDatatype="130" unbalanced="0"/>
    <cacheHierarchy uniqueName="[fActualAndBudget].[Конто]" caption="Конто" attribute="1" defaultMemberUniqueName="[fActualAndBudget].[Конто].[All]" allUniqueName="[fActualAndBudget].[Конто].[All]" dimensionUniqueName="[fActualAndBudget]" displayFolder="" count="0" memberValueDatatype="130" unbalanced="0"/>
    <cacheHierarchy uniqueName="[fActualAndBudget].[Назив на конто]" caption="Назив на конто" attribute="1" defaultMemberUniqueName="[fActualAndBudget].[Назив на конто].[All]" allUniqueName="[fActualAndBudget].[Назив на конто].[All]" dimensionUniqueName="[fActualAndBudget]" displayFolder="" count="0" memberValueDatatype="130" unbalanced="0"/>
    <cacheHierarchy uniqueName="[fActualAndBudget].[Период]" caption="Период" attribute="1" time="1" defaultMemberUniqueName="[fActualAndBudget].[Период].[All]" allUniqueName="[fActualAndBudget].[Период].[All]" dimensionUniqueName="[fActualAndBudget]" displayFolder="" count="0" memberValueDatatype="7" unbalanced="0"/>
    <cacheHierarchy uniqueName="[fActualAndBudget].[Износ1]" caption="Износ1" attribute="1" defaultMemberUniqueName="[fActualAndBudget].[Износ1].[All]" allUniqueName="[fActualAndBudget].[Износ1].[All]" dimensionUniqueName="[fActualAndBudget]" displayFolder="" count="0" memberValueDatatype="20" unbalanced="0"/>
    <cacheHierarchy uniqueName="[fActualAndBudget].[ReportType]" caption="ReportType" attribute="1" defaultMemberUniqueName="[fActualAndBudget].[ReportType].[All]" allUniqueName="[fActualAndBudget].[ReportType].[All]" dimensionUniqueName="[fActualAndBudget]" displayFolder="" count="0" memberValueDatatype="130" unbalanced="0"/>
    <cacheHierarchy uniqueName="[fActualAndBudget].[Ставка]" caption="Ставка" attribute="1" defaultMemberUniqueName="[fActualAndBudget].[Ставка].[All]" allUniqueName="[fActualAndBudget].[Ставка].[All]" dimensionUniqueName="[fActualAndBudget]" displayFolder="" count="0" memberValueDatatype="130" unbalanced="0"/>
    <cacheHierarchy uniqueName="[fActualAndBudget].[Број на јавна набавка (план)]" caption="Број на јавна набавка (план)" attribute="1" defaultMemberUniqueName="[fActualAndBudget].[Број на јавна набавка (план)].[All]" allUniqueName="[fActualAndBudget].[Број на јавна набавка (план)].[All]" dimensionUniqueName="[fActualAndBudget]" displayFolder="" count="0" memberValueDatatype="130" unbalanced="0"/>
    <cacheHierarchy uniqueName="[fActualAndBudget].[StavkaImeMK]" caption="StavkaImeMK" attribute="1" defaultMemberUniqueName="[fActualAndBudget].[StavkaImeMK].[All]" allUniqueName="[fActualAndBudget].[StavkaImeMK].[All]" dimensionUniqueName="[fActualAndBudget]" displayFolder="" count="0" memberValueDatatype="130" unbalanced="0"/>
    <cacheHierarchy uniqueName="[fActualAndBudget].[StavkaGrupa]" caption="StavkaGrupa" attribute="1" defaultMemberUniqueName="[fActualAndBudget].[StavkaGrupa].[All]" allUniqueName="[fActualAndBudget].[StavkaGrupa].[All]" dimensionUniqueName="[fActualAndBudget]" displayFolder="" count="0" memberValueDatatype="130" unbalanced="0"/>
    <cacheHierarchy uniqueName="[fActualAndBudget].[StavkaKategorija]" caption="StavkaKategorija" attribute="1" defaultMemberUniqueName="[fActualAndBudget].[StavkaKategorija].[All]" allUniqueName="[fActualAndBudget].[StavkaKategorija].[All]" dimensionUniqueName="[fActualAndBudget]" displayFolder="" count="0" memberValueDatatype="130" unbalanced="0"/>
    <cacheHierarchy uniqueName="[fActualAndBudget].[ZnakIzvestaj]" caption="ZnakIzvestaj" attribute="1" defaultMemberUniqueName="[fActualAndBudget].[ZnakIzvestaj].[All]" allUniqueName="[fActualAndBudget].[ZnakIzvestaj].[All]" dimensionUniqueName="[fActualAndBudget]" displayFolder="" count="0" memberValueDatatype="20" unbalanced="0"/>
    <cacheHierarchy uniqueName="[fActualAndBudget].[ObrazecID]" caption="ObrazecID" attribute="1" defaultMemberUniqueName="[fActualAndBudget].[ObrazecID].[All]" allUniqueName="[fActualAndBudget].[ObrazecID].[All]" dimensionUniqueName="[fActualAndBudget]" displayFolder="" count="0" memberValueDatatype="20" unbalanced="0"/>
    <cacheHierarchy uniqueName="[fActualAndBudget].[StavkaAOP]" caption="StavkaAOP" attribute="1" defaultMemberUniqueName="[fActualAndBudget].[StavkaAOP].[All]" allUniqueName="[fActualAndBudget].[StavkaAOP].[All]" dimensionUniqueName="[fActualAndBudget]" displayFolder="" count="0" memberValueDatatype="130" unbalanced="0"/>
    <cacheHierarchy uniqueName="[fActualAndBudget].[ObrazecIme]" caption="ObrazecIme" attribute="1" defaultMemberUniqueName="[fActualAndBudget].[ObrazecIme].[All]" allUniqueName="[fActualAndBudget].[ObrazecIme].[All]" dimensionUniqueName="[fActualAndBudget]" displayFolder="" count="0" memberValueDatatype="130" unbalanced="0"/>
    <cacheHierarchy uniqueName="[fActualAndBudget].[Износ]" caption="Износ" attribute="1" defaultMemberUniqueName="[fActualAndBudget].[Износ].[All]" allUniqueName="[fActualAndBudget].[Износ].[All]" dimensionUniqueName="[fActualAndBudget]" displayFolder="" count="0" memberValueDatatype="20" unbalanced="0"/>
    <cacheHierarchy uniqueName="[fActualAndBudget].[Износ (илјади)]" caption="Износ (илјади)" attribute="1" defaultMemberUniqueName="[fActualAndBudget].[Износ (илјади)].[All]" allUniqueName="[fActualAndBudget].[Износ (илјади)].[All]" dimensionUniqueName="[fActualAndBudget]" displayFolder="" count="0" memberValueDatatype="5" unbalanced="0"/>
    <cacheHierarchy uniqueName="[fActualAndBudget].[StavkaImeAOP]" caption="StavkaImeAOP" attribute="1" defaultMemberUniqueName="[fActualAndBudget].[StavkaImeAOP].[All]" allUniqueName="[fActualAndBudget].[StavkaImeAOP].[All]" dimensionUniqueName="[fActualAndBudget]" displayFolder="" count="0" memberValueDatatype="130" unbalanced="0"/>
    <cacheHierarchy uniqueName="[fActualAndBudget].[Конто Ставка]" caption="Конто Ставка" attribute="1" defaultMemberUniqueName="[fActualAndBudget].[Конто Ставка].[All]" allUniqueName="[fActualAndBudget].[Конто Ставка].[All]" dimensionUniqueName="[fActualAndBudget]" displayFolder="" count="0" memberValueDatatype="130" unbalanced="0"/>
    <cacheHierarchy uniqueName="[fArtikliCeni].[Ставка]" caption="Ставка" attribute="1" defaultMemberUniqueName="[fArtikliCeni].[Ставка].[All]" allUniqueName="[fArtikliCeni].[Ставка].[All]" dimensionUniqueName="[fArtikliCeni]" displayFolder="" count="0" memberValueDatatype="130" unbalanced="0"/>
    <cacheHierarchy uniqueName="[fArtikliCeni].[Категорија Артикл]" caption="Категорија Артикл" attribute="1" defaultMemberUniqueName="[fArtikliCeni].[Категорија Артикл].[All]" allUniqueName="[fArtikliCeni].[Категорија Артикл].[All]" dimensionUniqueName="[fArtikliCeni]" displayFolder="" count="0" memberValueDatatype="130" unbalanced="0"/>
    <cacheHierarchy uniqueName="[fArtikliCeni].[Тип на артикл]" caption="Тип на артикл" attribute="1" defaultMemberUniqueName="[fArtikliCeni].[Тип на артикл].[All]" allUniqueName="[fArtikliCeni].[Тип на артикл].[All]" dimensionUniqueName="[fArtikliCeni]" displayFolder="" count="0" memberValueDatatype="130" unbalanced="0"/>
    <cacheHierarchy uniqueName="[fArtikliCeni].[Единечна мерка]" caption="Единечна мерка" attribute="1" defaultMemberUniqueName="[fArtikliCeni].[Единечна мерка].[All]" allUniqueName="[fArtikliCeni].[Единечна мерка].[All]" dimensionUniqueName="[fArtikliCeni]" displayFolder="" count="0" memberValueDatatype="130" unbalanced="0"/>
    <cacheHierarchy uniqueName="[fArtikliCeni].[Количина]" caption="Количина" attribute="1" defaultMemberUniqueName="[fArtikliCeni].[Количина].[All]" allUniqueName="[fArtikliCeni].[Количина].[All]" dimensionUniqueName="[fArtikliCeni]" displayFolder="" count="0" memberValueDatatype="5" unbalanced="0"/>
    <cacheHierarchy uniqueName="[fArtikliCeni].[Единечна цена]" caption="Единечна цена" attribute="1" defaultMemberUniqueName="[fArtikliCeni].[Единечна цена].[All]" allUniqueName="[fArtikliCeni].[Единечна цена].[All]" dimensionUniqueName="[fArtikliCeni]" displayFolder="" count="0" memberValueDatatype="20" unbalanced="0"/>
    <cacheHierarchy uniqueName="[fArtikliCeni].[Вкупно трошок]" caption="Вкупно трошок" attribute="1" defaultMemberUniqueName="[fArtikliCeni].[Вкупно трошок].[All]" allUniqueName="[fArtikliCeni].[Вкупно трошок].[All]" dimensionUniqueName="[fArtikliCeni]" displayFolder="" count="0" memberValueDatatype="5" unbalanced="0"/>
    <cacheHierarchy uniqueName="[fArtikliCeni].[ДДВ]" caption="ДДВ" attribute="1" defaultMemberUniqueName="[fArtikliCeni].[ДДВ].[All]" allUniqueName="[fArtikliCeni].[ДДВ].[All]" dimensionUniqueName="[fArtikliCeni]" displayFolder="" count="0" memberValueDatatype="5" unbalanced="0"/>
    <cacheHierarchy uniqueName="[fArtikliCeni].[Износ]" caption="Износ" attribute="1" defaultMemberUniqueName="[fArtikliCeni].[Износ].[All]" allUniqueName="[fArtikliCeni].[Износ].[All]" dimensionUniqueName="[fArtikliCeni]" displayFolder="" count="0" memberValueDatatype="5" unbalanced="0"/>
    <cacheHierarchy uniqueName="[fArtikliCeni].[Конто]" caption="Конто" attribute="1" defaultMemberUniqueName="[fArtikliCeni].[Конто].[All]" allUniqueName="[fArtikliCeni].[Конто].[All]" dimensionUniqueName="[fArtikliCeni]" displayFolder="" count="0" memberValueDatatype="130" unbalanced="0"/>
    <cacheHierarchy uniqueName="[fArtikliCeni].[ReportType]" caption="ReportType" attribute="1" defaultMemberUniqueName="[fArtikliCeni].[ReportType].[All]" allUniqueName="[fArtikliCeni].[ReportType].[All]" dimensionUniqueName="[fArtikliCeni]" displayFolder="" count="0" memberValueDatatype="130" unbalanced="0"/>
    <cacheHierarchy uniqueName="[fArtikliCeni].[Период]" caption="Период" attribute="1" time="1" defaultMemberUniqueName="[fArtikliCeni].[Период].[All]" allUniqueName="[fArtikliCeni].[Период].[All]" dimensionUniqueName="[fArtikliCeni]" displayFolder="" count="0" memberValueDatatype="7" unbalanced="0"/>
    <cacheHierarchy uniqueName="[fArtikliCeni].[StavkaImeMK]" caption="StavkaImeMK" attribute="1" defaultMemberUniqueName="[fArtikliCeni].[StavkaImeMK].[All]" allUniqueName="[fArtikliCeni].[StavkaImeMK].[All]" dimensionUniqueName="[fArtikliCeni]" displayFolder="" count="0" memberValueDatatype="130" unbalanced="0"/>
    <cacheHierarchy uniqueName="[fArtikliCeni].[StavkaAOP]" caption="StavkaAOP" attribute="1" defaultMemberUniqueName="[fArtikliCeni].[StavkaAOP].[All]" allUniqueName="[fArtikliCeni].[StavkaAOP].[All]" dimensionUniqueName="[fArtikliCeni]" displayFolder="" count="0" memberValueDatatype="130" unbalanced="0"/>
    <cacheHierarchy uniqueName="[fArtikliCeni].[StavkaGrupa]" caption="StavkaGrupa" attribute="1" defaultMemberUniqueName="[fArtikliCeni].[StavkaGrupa].[All]" allUniqueName="[fArtikliCeni].[StavkaGrupa].[All]" dimensionUniqueName="[fArtikliCeni]" displayFolder="" count="0" memberValueDatatype="130" unbalanced="0"/>
    <cacheHierarchy uniqueName="[fArtikliCeni].[StavkaKategorija]" caption="StavkaKategorija" attribute="1" defaultMemberUniqueName="[fArtikliCeni].[StavkaKategorija].[All]" allUniqueName="[fArtikliCeni].[StavkaKategorija].[All]" dimensionUniqueName="[fArtikliCeni]" displayFolder="" count="0" memberValueDatatype="130" unbalanced="0"/>
    <cacheHierarchy uniqueName="[fArtikliCeni].[ObrazecIme]" caption="ObrazecIme" attribute="1" defaultMemberUniqueName="[fArtikliCeni].[ObrazecIme].[All]" allUniqueName="[fArtikliCeni].[ObrazecIme].[All]" dimensionUniqueName="[fArtikliCeni]" displayFolder="" count="0" memberValueDatatype="130" unbalanced="0"/>
    <cacheHierarchy uniqueName="[fCoveckiResursi].[Ставка]" caption="Ставка" attribute="1" defaultMemberUniqueName="[fCoveckiResursi].[Ставка].[All]" allUniqueName="[fCoveckiResursi].[Ставка].[All]" dimensionUniqueName="[fCoveckiResursi]" displayFolder="" count="0" memberValueDatatype="130" unbalanced="0"/>
    <cacheHierarchy uniqueName="[fCoveckiResursi].[Тип на вработување]" caption="Тип на вработување" attribute="1" defaultMemberUniqueName="[fCoveckiResursi].[Тип на вработување].[All]" allUniqueName="[fCoveckiResursi].[Тип на вработување].[All]" dimensionUniqueName="[fCoveckiResursi]" displayFolder="" count="0" memberValueDatatype="130" unbalanced="0"/>
    <cacheHierarchy uniqueName="[fCoveckiResursi].[Планиран прилив/(одлив)]" caption="Планиран прилив/(одлив)" attribute="1" defaultMemberUniqueName="[fCoveckiResursi].[Планиран прилив/(одлив)].[All]" allUniqueName="[fCoveckiResursi].[Планиран прилив/(одлив)].[All]" dimensionUniqueName="[fCoveckiResursi]" displayFolder="" count="0" memberValueDatatype="20" unbalanced="0"/>
    <cacheHierarchy uniqueName="[fCoveckiResursi].[Период]" caption="Период" attribute="1" time="1" defaultMemberUniqueName="[fCoveckiResursi].[Период].[All]" allUniqueName="[fCoveckiResursi].[Период].[All]" dimensionUniqueName="[fCoveckiResursi]" displayFolder="" count="0" memberValueDatatype="7" unbalanced="0"/>
    <cacheHierarchy uniqueName="[fCoveckiResursi].[Крајна состојба вработени]" caption="Крајна состојба вработени" attribute="1" defaultMemberUniqueName="[fCoveckiResursi].[Крајна состојба вработени].[All]" allUniqueName="[fCoveckiResursi].[Крајна состојба вработени].[All]" dimensionUniqueName="[fCoveckiResursi]" displayFolder="" count="0" memberValueDatatype="20" unbalanced="0"/>
    <cacheHierarchy uniqueName="[fCoveckiResursi].[Износ]" caption="Износ" attribute="1" defaultMemberUniqueName="[fCoveckiResursi].[Износ].[All]" allUniqueName="[fCoveckiResursi].[Износ].[All]" dimensionUniqueName="[fCoveckiResursi]" displayFolder="" count="0" memberValueDatatype="20" unbalanced="0"/>
    <cacheHierarchy uniqueName="[fCoveckiResursi].[Конто]" caption="Конто" attribute="1" defaultMemberUniqueName="[fCoveckiResursi].[Конто].[All]" allUniqueName="[fCoveckiResursi].[Конто].[All]" dimensionUniqueName="[fCoveckiResursi]" displayFolder="" count="0" memberValueDatatype="130" unbalanced="0"/>
    <cacheHierarchy uniqueName="[fCoveckiResursi].[ReportType]" caption="ReportType" attribute="1" defaultMemberUniqueName="[fCoveckiResursi].[ReportType].[All]" allUniqueName="[fCoveckiResursi].[ReportType].[All]" dimensionUniqueName="[fCoveckiResursi]" displayFolder="" count="0" memberValueDatatype="130" unbalanced="0"/>
    <cacheHierarchy uniqueName="[fCoveckiResursi].[Период (Year)]" caption="Период (Year)" attribute="1" defaultMemberUniqueName="[fCoveckiResursi].[Период (Year)].[All]" allUniqueName="[fCoveckiResursi].[Период (Year)].[All]" dimensionUniqueName="[fCoveckiResursi]" displayFolder="" count="0" memberValueDatatype="130" unbalanced="0"/>
    <cacheHierarchy uniqueName="[fCoveckiResursi].[Период (Quarter)]" caption="Период (Quarter)" attribute="1" defaultMemberUniqueName="[fCoveckiResursi].[Период (Quarter)].[All]" allUniqueName="[fCoveckiResursi].[Период (Quarter)].[All]" dimensionUniqueName="[fCoveckiResursi]" displayFolder="" count="0" memberValueDatatype="130" unbalanced="0"/>
    <cacheHierarchy uniqueName="[fCoveckiResursi].[Период (Month)]" caption="Период (Month)" attribute="1" defaultMemberUniqueName="[fCoveckiResursi].[Период (Month)].[All]" allUniqueName="[fCoveckiResursi].[Период (Month)].[All]" dimensionUniqueName="[fCoveckiResursi]" displayFolder="" count="0" memberValueDatatype="130" unbalanced="0"/>
    <cacheHierarchy uniqueName="[fCoveckiResursi].[Период (Year) 1]" caption="Период (Year) 1" attribute="1" defaultMemberUniqueName="[fCoveckiResursi].[Период (Year) 1].[All]" allUniqueName="[fCoveckiResursi].[Период (Year) 1].[All]" dimensionUniqueName="[fCoveckiResursi]" displayFolder="" count="0" memberValueDatatype="130" unbalanced="0"/>
    <cacheHierarchy uniqueName="[fCoveckiResursi].[Период (Quarter) 1]" caption="Период (Quarter) 1" attribute="1" defaultMemberUniqueName="[fCoveckiResursi].[Период (Quarter) 1].[All]" allUniqueName="[fCoveckiResursi].[Период (Quarter) 1].[All]" dimensionUniqueName="[fCoveckiResursi]" displayFolder="" count="0" memberValueDatatype="130" unbalanced="0"/>
    <cacheHierarchy uniqueName="[fCoveckiResursi].[Период (Month) 1]" caption="Период (Month) 1" attribute="1" defaultMemberUniqueName="[fCoveckiResursi].[Период (Month) 1].[All]" allUniqueName="[fCoveckiResursi].[Период (Month) 1].[All]" dimensionUniqueName="[fCoveckiResursi]" displayFolder="" count="0" memberValueDatatype="130" unbalanced="0"/>
    <cacheHierarchy uniqueName="[fCoveckiResursi  2].[Ставка]" caption="Ставка" attribute="1" defaultMemberUniqueName="[fCoveckiResursi  2].[Ставка].[All]" allUniqueName="[fCoveckiResursi  2].[Ставка].[All]" dimensionUniqueName="[fCoveckiResursi  2]" displayFolder="" count="0" memberValueDatatype="130" unbalanced="0"/>
    <cacheHierarchy uniqueName="[fCoveckiResursi  2].[Период]" caption="Период" attribute="1" time="1" defaultMemberUniqueName="[fCoveckiResursi  2].[Период].[All]" allUniqueName="[fCoveckiResursi  2].[Период].[All]" dimensionUniqueName="[fCoveckiResursi  2]" displayFolder="" count="0" memberValueDatatype="7" unbalanced="0"/>
    <cacheHierarchy uniqueName="[fCoveckiResursi  2].[Износ]" caption="Износ" attribute="1" defaultMemberUniqueName="[fCoveckiResursi  2].[Износ].[All]" allUniqueName="[fCoveckiResursi  2].[Износ].[All]" dimensionUniqueName="[fCoveckiResursi  2]" displayFolder="" count="0" memberValueDatatype="20" unbalanced="0"/>
    <cacheHierarchy uniqueName="[fCoveckiResursi  2].[Конто]" caption="Конто" attribute="1" defaultMemberUniqueName="[fCoveckiResursi  2].[Конто].[All]" allUniqueName="[fCoveckiResursi  2].[Конто].[All]" dimensionUniqueName="[fCoveckiResursi  2]" displayFolder="" count="0" memberValueDatatype="130" unbalanced="0"/>
    <cacheHierarchy uniqueName="[fCoveckiResursi  2].[ReportType]" caption="ReportType" attribute="1" defaultMemberUniqueName="[fCoveckiResursi  2].[ReportType].[All]" allUniqueName="[fCoveckiResursi  2].[ReportType].[All]" dimensionUniqueName="[fCoveckiResursi  2]" displayFolder="" count="0" memberValueDatatype="130" unbalanced="0"/>
    <cacheHierarchy uniqueName="[fCoveckiResursi  2].[StavkaImeMK]" caption="StavkaImeMK" attribute="1" defaultMemberUniqueName="[fCoveckiResursi  2].[StavkaImeMK].[All]" allUniqueName="[fCoveckiResursi  2].[StavkaImeMK].[All]" dimensionUniqueName="[fCoveckiResursi  2]" displayFolder="" count="0" memberValueDatatype="130" unbalanced="0"/>
    <cacheHierarchy uniqueName="[fCoveckiResursi  2].[StavkaKategorija]" caption="StavkaKategorija" attribute="1" defaultMemberUniqueName="[fCoveckiResursi  2].[StavkaKategorija].[All]" allUniqueName="[fCoveckiResursi  2].[StavkaKategorija].[All]" dimensionUniqueName="[fCoveckiResursi  2]" displayFolder="" count="0" memberValueDatatype="130" unbalanced="0"/>
    <cacheHierarchy uniqueName="[fCoveckiResursi  2].[ObrazecIme]" caption="ObrazecIme" attribute="1" defaultMemberUniqueName="[fCoveckiResursi  2].[ObrazecIme].[All]" allUniqueName="[fCoveckiResursi  2].[ObrazecIme].[All]" dimensionUniqueName="[fCoveckiResursi  2]" displayFolder="" count="0" memberValueDatatype="130" unbalanced="0"/>
    <cacheHierarchy uniqueName="[fOPEX].[Конто]" caption="Конто" attribute="1" defaultMemberUniqueName="[fOPEX].[Конто].[All]" allUniqueName="[fOPEX].[Конто].[All]" dimensionUniqueName="[fOPEX]" displayFolder="" count="0" memberValueDatatype="130" unbalanced="0"/>
    <cacheHierarchy uniqueName="[fOPEX].[Ставка]" caption="Ставка" attribute="1" defaultMemberUniqueName="[fOPEX].[Ставка].[All]" allUniqueName="[fOPEX].[Ставка].[All]" dimensionUniqueName="[fOPEX]" displayFolder="" count="0" memberValueDatatype="130" unbalanced="0"/>
    <cacheHierarchy uniqueName="[fOPEX].[Период]" caption="Период" attribute="1" time="1" defaultMemberUniqueName="[fOPEX].[Период].[All]" allUniqueName="[fOPEX].[Период].[All]" dimensionUniqueName="[fOPEX]" displayFolder="" count="0" memberValueDatatype="7" unbalanced="0"/>
    <cacheHierarchy uniqueName="[fOPEX].[Износ]" caption="Износ" attribute="1" defaultMemberUniqueName="[fOPEX].[Износ].[All]" allUniqueName="[fOPEX].[Износ].[All]" dimensionUniqueName="[fOPEX]" displayFolder="" count="0" memberValueDatatype="20" unbalanced="0"/>
    <cacheHierarchy uniqueName="[fOPEX].[ReportType]" caption="ReportType" attribute="1" defaultMemberUniqueName="[fOPEX].[ReportType].[All]" allUniqueName="[fOPEX].[ReportType].[All]" dimensionUniqueName="[fOPEX]" displayFolder="" count="0" memberValueDatatype="130" unbalanced="0"/>
    <cacheHierarchy uniqueName="[OPEXAnaliza].[Артикл ИД]" caption="Артикл ИД" attribute="1" defaultMemberUniqueName="[OPEXAnaliza].[Артикл ИД].[All]" allUniqueName="[OPEXAnaliza].[Артикл ИД].[All]" dimensionUniqueName="[OPEXAnaliza]" displayFolder="" count="0" memberValueDatatype="20" unbalanced="0"/>
    <cacheHierarchy uniqueName="[OPEXAnaliza].[Ставка]" caption="Ставка" attribute="1" defaultMemberUniqueName="[OPEXAnaliza].[Ставка].[All]" allUniqueName="[OPEXAnaliza].[Ставка].[All]" dimensionUniqueName="[OPEXAnaliza]" displayFolder="" count="0" memberValueDatatype="130" unbalanced="0"/>
    <cacheHierarchy uniqueName="[OPEXAnaliza].[Категорија Артикл ИД]" caption="Категорија Артикл ИД" attribute="1" defaultMemberUniqueName="[OPEXAnaliza].[Категорија Артикл ИД].[All]" allUniqueName="[OPEXAnaliza].[Категорија Артикл ИД].[All]" dimensionUniqueName="[OPEXAnaliza]" displayFolder="" count="0" memberValueDatatype="20" unbalanced="0"/>
    <cacheHierarchy uniqueName="[OPEXAnaliza].[Категорија Артикл]" caption="Категорија Артикл" attribute="1" defaultMemberUniqueName="[OPEXAnaliza].[Категорија Артикл].[All]" allUniqueName="[OPEXAnaliza].[Категорија Артикл].[All]" dimensionUniqueName="[OPEXAnaliza]" displayFolder="" count="0" memberValueDatatype="130" unbalanced="0"/>
    <cacheHierarchy uniqueName="[OPEXAnaliza].[Тип на артикл]" caption="Тип на артикл" attribute="1" defaultMemberUniqueName="[OPEXAnaliza].[Тип на артикл].[All]" allUniqueName="[OPEXAnaliza].[Тип на артикл].[All]" dimensionUniqueName="[OPEXAnaliza]" displayFolder="" count="0" memberValueDatatype="130" unbalanced="0"/>
    <cacheHierarchy uniqueName="[OPEXAnaliza].[Единечна мерка]" caption="Единечна мерка" attribute="1" defaultMemberUniqueName="[OPEXAnaliza].[Единечна мерка].[All]" allUniqueName="[OPEXAnaliza].[Единечна мерка].[All]" dimensionUniqueName="[OPEXAnaliza]" displayFolder="" count="0" memberValueDatatype="130" unbalanced="0"/>
    <cacheHierarchy uniqueName="[OPEXAnaliza].[Количина]" caption="Количина" attribute="1" defaultMemberUniqueName="[OPEXAnaliza].[Количина].[All]" allUniqueName="[OPEXAnaliza].[Количина].[All]" dimensionUniqueName="[OPEXAnaliza]" displayFolder="" count="0" memberValueDatatype="5" unbalanced="0"/>
    <cacheHierarchy uniqueName="[OPEXAnaliza].[Единечна цена]" caption="Единечна цена" attribute="1" defaultMemberUniqueName="[OPEXAnaliza].[Единечна цена].[All]" allUniqueName="[OPEXAnaliza].[Единечна цена].[All]" dimensionUniqueName="[OPEXAnaliza]" displayFolder="" count="0" memberValueDatatype="20" unbalanced="0"/>
    <cacheHierarchy uniqueName="[OPEXAnaliza].[Износ]" caption="Износ" attribute="1" defaultMemberUniqueName="[OPEXAnaliza].[Износ].[All]" allUniqueName="[OPEXAnaliza].[Износ].[All]" dimensionUniqueName="[OPEXAnaliza]" displayFolder="" count="0" memberValueDatatype="5" unbalanced="0"/>
    <cacheHierarchy uniqueName="[OPEXAnaliza].[ДДВ]" caption="ДДВ" attribute="1" defaultMemberUniqueName="[OPEXAnaliza].[ДДВ].[All]" allUniqueName="[OPEXAnaliza].[ДДВ].[All]" dimensionUniqueName="[OPEXAnaliza]" displayFolder="" count="0" memberValueDatatype="5" unbalanced="0"/>
    <cacheHierarchy uniqueName="[OPEXAnaliza].[Вкупно трошок со ДДВ]" caption="Вкупно трошок со ДДВ" attribute="1" defaultMemberUniqueName="[OPEXAnaliza].[Вкупно трошок со ДДВ].[All]" allUniqueName="[OPEXAnaliza].[Вкупно трошок со ДДВ].[All]" dimensionUniqueName="[OPEXAnaliza]" displayFolder="" count="0" memberValueDatatype="5" unbalanced="0"/>
    <cacheHierarchy uniqueName="[OPEXAnaliza].[Конто]" caption="Конто" attribute="1" defaultMemberUniqueName="[OPEXAnaliza].[Конто].[All]" allUniqueName="[OPEXAnaliza].[Конто].[All]" dimensionUniqueName="[OPEXAnaliza]" displayFolder="" count="0" memberValueDatatype="130" unbalanced="0"/>
    <cacheHierarchy uniqueName="[OPEXAnaliza].[Период]" caption="Период" attribute="1" time="1" defaultMemberUniqueName="[OPEXAnaliza].[Период].[All]" allUniqueName="[OPEXAnaliza].[Период].[All]" dimensionUniqueName="[OPEXAnaliza]" displayFolder="" count="0" memberValueDatatype="7" unbalanced="0"/>
    <cacheHierarchy uniqueName="[OPEXAnaliza].[ReportType]" caption="ReportType" attribute="1" defaultMemberUniqueName="[OPEXAnaliza].[ReportType].[All]" allUniqueName="[OPEXAnaliza].[ReportType].[All]" dimensionUniqueName="[OPEXAnaliza]" displayFolder="" count="0" memberValueDatatype="130" unbalanced="0"/>
    <cacheHierarchy uniqueName="[OPEXAnaliza].[StavkaImeMK]" caption="StavkaImeMK" attribute="1" defaultMemberUniqueName="[OPEXAnaliza].[StavkaImeMK].[All]" allUniqueName="[OPEXAnaliza].[StavkaImeMK].[All]" dimensionUniqueName="[OPEXAnaliza]" displayFolder="" count="0" memberValueDatatype="130" unbalanced="0"/>
    <cacheHierarchy uniqueName="[OPEXAnaliza].[StavkaKategorija]" caption="StavkaKategorija" attribute="1" defaultMemberUniqueName="[OPEXAnaliza].[StavkaKategorija].[All]" allUniqueName="[OPEXAnaliza].[StavkaKategorija].[All]" dimensionUniqueName="[OPEXAnaliza]" displayFolder="" count="0" memberValueDatatype="130" unbalanced="0"/>
    <cacheHierarchy uniqueName="[OPEXAnaliza].[ObrazecIme]" caption="ObrazecIme" attribute="1" defaultMemberUniqueName="[OPEXAnaliza].[ObrazecIme].[All]" allUniqueName="[OPEXAnaliza].[ObrazecIme].[All]" dimensionUniqueName="[OPEXAnaliza]" displayFolder="" count="0" memberValueDatatype="130" unbalanced="0"/>
    <cacheHierarchy uniqueName="[OPEXAnaliza].[StavkaImeAOP]" caption="StavkaImeAOP" attribute="1" defaultMemberUniqueName="[OPEXAnaliza].[StavkaImeAOP].[All]" allUniqueName="[OPEXAnaliza].[StavkaImeAOP].[All]" dimensionUniqueName="[OPEXAnaliza]" displayFolder="" count="0" memberValueDatatype="20" unbalanced="0"/>
    <cacheHierarchy uniqueName="[OPEXAnaliza].[Период (Year)]" caption="Период (Year)" attribute="1" defaultMemberUniqueName="[OPEXAnaliza].[Период (Year)].[All]" allUniqueName="[OPEXAnaliza].[Период (Year)].[All]" dimensionUniqueName="[OPEXAnaliza]" displayFolder="" count="0" memberValueDatatype="130" unbalanced="0"/>
    <cacheHierarchy uniqueName="[OPEXAnaliza].[Период (Quarter)]" caption="Период (Quarter)" attribute="1" defaultMemberUniqueName="[OPEXAnaliza].[Период (Quarter)].[All]" allUniqueName="[OPEXAnaliza].[Период (Quarter)].[All]" dimensionUniqueName="[OPEXAnaliza]" displayFolder="" count="0" memberValueDatatype="130" unbalanced="0"/>
    <cacheHierarchy uniqueName="[OPEXAnaliza].[Период (Month)]" caption="Период (Month)" attribute="1" defaultMemberUniqueName="[OPEXAnaliza].[Период (Month)].[All]" allUniqueName="[OPEXAnaliza].[Период (Month)].[All]" dimensionUniqueName="[OPEXAnaliza]" displayFolder="" count="0" memberValueDatatype="130" unbalanced="0"/>
    <cacheHierarchy uniqueName="[rArtikli_HR_Analiza].[Ставка]" caption="Ставка" attribute="1" defaultMemberUniqueName="[rArtikli_HR_Analiza].[Ставка].[All]" allUniqueName="[rArtikli_HR_Analiza].[Ставка].[All]" dimensionUniqueName="[rArtikli_HR_Analiza]" displayFolder="" count="0" memberValueDatatype="130" unbalanced="0"/>
    <cacheHierarchy uniqueName="[rArtikli_HR_Analiza].[Категорија Артикл]" caption="Категорија Артикл" attribute="1" defaultMemberUniqueName="[rArtikli_HR_Analiza].[Категорија Артикл].[All]" allUniqueName="[rArtikli_HR_Analiza].[Категорија Артикл].[All]" dimensionUniqueName="[rArtikli_HR_Analiza]" displayFolder="" count="0" memberValueDatatype="130" unbalanced="0"/>
    <cacheHierarchy uniqueName="[rArtikli_HR_Analiza].[Тип на артикл]" caption="Тип на артикл" attribute="1" defaultMemberUniqueName="[rArtikli_HR_Analiza].[Тип на артикл].[All]" allUniqueName="[rArtikli_HR_Analiza].[Тип на артикл].[All]" dimensionUniqueName="[rArtikli_HR_Analiza]" displayFolder="" count="0" memberValueDatatype="130" unbalanced="0"/>
    <cacheHierarchy uniqueName="[rArtikli_HR_Analiza].[Единечна мерка]" caption="Единечна мерка" attribute="1" defaultMemberUniqueName="[rArtikli_HR_Analiza].[Единечна мерка].[All]" allUniqueName="[rArtikli_HR_Analiza].[Единечна мерка].[All]" dimensionUniqueName="[rArtikli_HR_Analiza]" displayFolder="" count="0" memberValueDatatype="130" unbalanced="0"/>
    <cacheHierarchy uniqueName="[rArtikli_HR_Analiza].[Количина]" caption="Количина" attribute="1" defaultMemberUniqueName="[rArtikli_HR_Analiza].[Количина].[All]" allUniqueName="[rArtikli_HR_Analiza].[Количина].[All]" dimensionUniqueName="[rArtikli_HR_Analiza]" displayFolder="" count="0" memberValueDatatype="5" unbalanced="0"/>
    <cacheHierarchy uniqueName="[rArtikli_HR_Analiza].[Единечна цена]" caption="Единечна цена" attribute="1" defaultMemberUniqueName="[rArtikli_HR_Analiza].[Единечна цена].[All]" allUniqueName="[rArtikli_HR_Analiza].[Единечна цена].[All]" dimensionUniqueName="[rArtikli_HR_Analiza]" displayFolder="" count="0" memberValueDatatype="20" unbalanced="0"/>
    <cacheHierarchy uniqueName="[rArtikli_HR_Analiza].[Вкупно трошок]" caption="Вкупно трошок" attribute="1" defaultMemberUniqueName="[rArtikli_HR_Analiza].[Вкупно трошок].[All]" allUniqueName="[rArtikli_HR_Analiza].[Вкупно трошок].[All]" dimensionUniqueName="[rArtikli_HR_Analiza]" displayFolder="" count="0" memberValueDatatype="5" unbalanced="0"/>
    <cacheHierarchy uniqueName="[rArtikli_HR_Analiza].[ДДВ]" caption="ДДВ" attribute="1" defaultMemberUniqueName="[rArtikli_HR_Analiza].[ДДВ].[All]" allUniqueName="[rArtikli_HR_Analiza].[ДДВ].[All]" dimensionUniqueName="[rArtikli_HR_Analiza]" displayFolder="" count="0" memberValueDatatype="5" unbalanced="0"/>
    <cacheHierarchy uniqueName="[rArtikli_HR_Analiza].[Износ]" caption="Износ" attribute="1" defaultMemberUniqueName="[rArtikli_HR_Analiza].[Износ].[All]" allUniqueName="[rArtikli_HR_Analiza].[Износ].[All]" dimensionUniqueName="[rArtikli_HR_Analiza]" displayFolder="" count="0" memberValueDatatype="5" unbalanced="0"/>
    <cacheHierarchy uniqueName="[rArtikli_HR_Analiza].[Конто]" caption="Конто" attribute="1" defaultMemberUniqueName="[rArtikli_HR_Analiza].[Конто].[All]" allUniqueName="[rArtikli_HR_Analiza].[Конто].[All]" dimensionUniqueName="[rArtikli_HR_Analiza]" displayFolder="" count="0" memberValueDatatype="130" unbalanced="0"/>
    <cacheHierarchy uniqueName="[rArtikli_HR_Analiza].[ReportType]" caption="ReportType" attribute="1" defaultMemberUniqueName="[rArtikli_HR_Analiza].[ReportType].[All]" allUniqueName="[rArtikli_HR_Analiza].[ReportType].[All]" dimensionUniqueName="[rArtikli_HR_Analiza]" displayFolder="" count="0" memberValueDatatype="130" unbalanced="0"/>
    <cacheHierarchy uniqueName="[rArtikli_HR_Analiza].[Период]" caption="Период" attribute="1" time="1" defaultMemberUniqueName="[rArtikli_HR_Analiza].[Период].[All]" allUniqueName="[rArtikli_HR_Analiza].[Период].[All]" dimensionUniqueName="[rArtikli_HR_Analiza]" displayFolder="" count="0" memberValueDatatype="7" unbalanced="0"/>
    <cacheHierarchy uniqueName="[rArtikli_HR_Analiza].[StavkaImeMK]" caption="StavkaImeMK" attribute="1" defaultMemberUniqueName="[rArtikli_HR_Analiza].[StavkaImeMK].[All]" allUniqueName="[rArtikli_HR_Analiza].[StavkaImeMK].[All]" dimensionUniqueName="[rArtikli_HR_Analiza]" displayFolder="" count="0" memberValueDatatype="130" unbalanced="0"/>
    <cacheHierarchy uniqueName="[rArtikli_HR_Analiza].[StavkaAOP]" caption="StavkaAOP" attribute="1" defaultMemberUniqueName="[rArtikli_HR_Analiza].[StavkaAOP].[All]" allUniqueName="[rArtikli_HR_Analiza].[StavkaAOP].[All]" dimensionUniqueName="[rArtikli_HR_Analiza]" displayFolder="" count="0" memberValueDatatype="130" unbalanced="0"/>
    <cacheHierarchy uniqueName="[rArtikli_HR_Analiza].[StavkaGrupa]" caption="StavkaGrupa" attribute="1" defaultMemberUniqueName="[rArtikli_HR_Analiza].[StavkaGrupa].[All]" allUniqueName="[rArtikli_HR_Analiza].[StavkaGrupa].[All]" dimensionUniqueName="[rArtikli_HR_Analiza]" displayFolder="" count="0" memberValueDatatype="130" unbalanced="0"/>
    <cacheHierarchy uniqueName="[rArtikli_HR_Analiza].[StavkaKategorija]" caption="StavkaKategorija" attribute="1" defaultMemberUniqueName="[rArtikli_HR_Analiza].[StavkaKategorija].[All]" allUniqueName="[rArtikli_HR_Analiza].[StavkaKategorija].[All]" dimensionUniqueName="[rArtikli_HR_Analiza]" displayFolder="" count="0" memberValueDatatype="130" unbalanced="0"/>
    <cacheHierarchy uniqueName="[rArtikli_HR_Analiza].[ObrazecIme]" caption="ObrazecIme" attribute="1" defaultMemberUniqueName="[rArtikli_HR_Analiza].[ObrazecIme].[All]" allUniqueName="[rArtikli_HR_Analiza].[ObrazecIme].[All]" dimensionUniqueName="[rArtikli_HR_Analiza]" displayFolder="" count="0" memberValueDatatype="130" unbalanced="0"/>
    <cacheHierarchy uniqueName="[rArtikli_HR_Analiza].[StavkaKategorija.1]" caption="StavkaKategorija.1" attribute="1" defaultMemberUniqueName="[rArtikli_HR_Analiza].[StavkaKategorija.1].[All]" allUniqueName="[rArtikli_HR_Analiza].[StavkaKategorija.1].[All]" dimensionUniqueName="[rArtikli_HR_Analiza]" displayFolder="" count="0" memberValueDatatype="130" unbalanced="0"/>
    <cacheHierarchy uniqueName="[rArtikliAnaliza].[Артикл ИД]" caption="Артикл ИД" attribute="1" defaultMemberUniqueName="[rArtikliAnaliza].[Артикл ИД].[All]" allUniqueName="[rArtikliAnaliza].[Артикл ИД].[All]" dimensionUniqueName="[rArtikliAnaliza]" displayFolder="" count="0" memberValueDatatype="20" unbalanced="0"/>
    <cacheHierarchy uniqueName="[rArtikliAnaliza].[Ставка]" caption="Ставка" attribute="1" defaultMemberUniqueName="[rArtikliAnaliza].[Ставка].[All]" allUniqueName="[rArtikliAnaliza].[Ставка].[All]" dimensionUniqueName="[rArtikliAnaliza]" displayFolder="" count="0" memberValueDatatype="130" unbalanced="0"/>
    <cacheHierarchy uniqueName="[rArtikliAnaliza].[Категорија Артикл ИД]" caption="Категорија Артикл ИД" attribute="1" defaultMemberUniqueName="[rArtikliAnaliza].[Категорија Артикл ИД].[All]" allUniqueName="[rArtikliAnaliza].[Категорија Артикл ИД].[All]" dimensionUniqueName="[rArtikliAnaliza]" displayFolder="" count="0" memberValueDatatype="20" unbalanced="0"/>
    <cacheHierarchy uniqueName="[rArtikliAnaliza].[Категорија Артикл]" caption="Категорија Артикл" attribute="1" defaultMemberUniqueName="[rArtikliAnaliza].[Категорија Артикл].[All]" allUniqueName="[rArtikliAnaliza].[Категорија Артикл].[All]" dimensionUniqueName="[rArtikliAnaliza]" displayFolder="" count="0" memberValueDatatype="130" unbalanced="0"/>
    <cacheHierarchy uniqueName="[rArtikliAnaliza].[Тип на артикл]" caption="Тип на артикл" attribute="1" defaultMemberUniqueName="[rArtikliAnaliza].[Тип на артикл].[All]" allUniqueName="[rArtikliAnaliza].[Тип на артикл].[All]" dimensionUniqueName="[rArtikliAnaliza]" displayFolder="" count="0" memberValueDatatype="130" unbalanced="0"/>
    <cacheHierarchy uniqueName="[rArtikliAnaliza].[Единечна мерка]" caption="Единечна мерка" attribute="1" defaultMemberUniqueName="[rArtikliAnaliza].[Единечна мерка].[All]" allUniqueName="[rArtikliAnaliza].[Единечна мерка].[All]" dimensionUniqueName="[rArtikliAnaliza]" displayFolder="" count="0" memberValueDatatype="130" unbalanced="0"/>
    <cacheHierarchy uniqueName="[rArtikliAnaliza].[Количина]" caption="Количина" attribute="1" defaultMemberUniqueName="[rArtikliAnaliza].[Количина].[All]" allUniqueName="[rArtikliAnaliza].[Количина].[All]" dimensionUniqueName="[rArtikliAnaliza]" displayFolder="" count="0" memberValueDatatype="5" unbalanced="0"/>
    <cacheHierarchy uniqueName="[rArtikliAnaliza].[Единечна цена]" caption="Единечна цена" attribute="1" defaultMemberUniqueName="[rArtikliAnaliza].[Единечна цена].[All]" allUniqueName="[rArtikliAnaliza].[Единечна цена].[All]" dimensionUniqueName="[rArtikliAnaliza]" displayFolder="" count="0" memberValueDatatype="20" unbalanced="0"/>
    <cacheHierarchy uniqueName="[rArtikliAnaliza].[Износ]" caption="Износ" attribute="1" defaultMemberUniqueName="[rArtikliAnaliza].[Износ].[All]" allUniqueName="[rArtikliAnaliza].[Износ].[All]" dimensionUniqueName="[rArtikliAnaliza]" displayFolder="" count="0" memberValueDatatype="5" unbalanced="0"/>
    <cacheHierarchy uniqueName="[rArtikliAnaliza].[ДДВ]" caption="ДДВ" attribute="1" defaultMemberUniqueName="[rArtikliAnaliza].[ДДВ].[All]" allUniqueName="[rArtikliAnaliza].[ДДВ].[All]" dimensionUniqueName="[rArtikliAnaliza]" displayFolder="" count="0" memberValueDatatype="5" unbalanced="0"/>
    <cacheHierarchy uniqueName="[rArtikliAnaliza].[Вкупно трошок со ДДВ]" caption="Вкупно трошок со ДДВ" attribute="1" defaultMemberUniqueName="[rArtikliAnaliza].[Вкупно трошок со ДДВ].[All]" allUniqueName="[rArtikliAnaliza].[Вкупно трошок со ДДВ].[All]" dimensionUniqueName="[rArtikliAnaliza]" displayFolder="" count="0" memberValueDatatype="5" unbalanced="0"/>
    <cacheHierarchy uniqueName="[rArtikliAnaliza].[Конто]" caption="Конто" attribute="1" defaultMemberUniqueName="[rArtikliAnaliza].[Конто].[All]" allUniqueName="[rArtikliAnaliza].[Конто].[All]" dimensionUniqueName="[rArtikliAnaliza]" displayFolder="" count="0" memberValueDatatype="130" unbalanced="0"/>
    <cacheHierarchy uniqueName="[rArtikliAnaliza].[Период]" caption="Период" attribute="1" time="1" defaultMemberUniqueName="[rArtikliAnaliza].[Период].[All]" allUniqueName="[rArtikliAnaliza].[Период].[All]" dimensionUniqueName="[rArtikliAnaliza]" displayFolder="" count="0" memberValueDatatype="7" unbalanced="0"/>
    <cacheHierarchy uniqueName="[rArtikliAnaliza].[ReportType]" caption="ReportType" attribute="1" defaultMemberUniqueName="[rArtikliAnaliza].[ReportType].[All]" allUniqueName="[rArtikliAnaliza].[ReportType].[All]" dimensionUniqueName="[rArtikliAnaliza]" displayFolder="" count="0" memberValueDatatype="130" unbalanced="0"/>
    <cacheHierarchy uniqueName="[rArtikliAnaliza].[StavkaImeMK]" caption="StavkaImeMK" attribute="1" defaultMemberUniqueName="[rArtikliAnaliza].[StavkaImeMK].[All]" allUniqueName="[rArtikliAnaliza].[StavkaImeMK].[All]" dimensionUniqueName="[rArtikliAnaliza]" displayFolder="" count="0" memberValueDatatype="130" unbalanced="0"/>
    <cacheHierarchy uniqueName="[rArtikliAnaliza].[StavkaKategorija]" caption="StavkaKategorija" attribute="1" defaultMemberUniqueName="[rArtikliAnaliza].[StavkaKategorija].[All]" allUniqueName="[rArtikliAnaliza].[StavkaKategorija].[All]" dimensionUniqueName="[rArtikliAnaliza]" displayFolder="" count="0" memberValueDatatype="130" unbalanced="0"/>
    <cacheHierarchy uniqueName="[rArtikliAnaliza].[Период (Year)]" caption="Период (Year)" attribute="1" defaultMemberUniqueName="[rArtikliAnaliza].[Период (Year)].[All]" allUniqueName="[rArtikliAnaliza].[Период (Year)].[All]" dimensionUniqueName="[rArtikliAnaliza]" displayFolder="" count="0" memberValueDatatype="130" unbalanced="0"/>
    <cacheHierarchy uniqueName="[rArtikliAnaliza].[Период (Quarter)]" caption="Период (Quarter)" attribute="1" defaultMemberUniqueName="[rArtikliAnaliza].[Период (Quarter)].[All]" allUniqueName="[rArtikliAnaliza].[Период (Quarter)].[All]" dimensionUniqueName="[rArtikliAnaliza]" displayFolder="" count="0" memberValueDatatype="130" unbalanced="0"/>
    <cacheHierarchy uniqueName="[rArtikliAnaliza].[Период (Month)]" caption="Период (Month)" attribute="1" defaultMemberUniqueName="[rArtikliAnaliza].[Период (Month)].[All]" allUniqueName="[rArtikliAnaliza].[Период (Month)].[All]" dimensionUniqueName="[rArtikliAnaliza]" displayFolder="" count="0" memberValueDatatype="130" unbalanced="0"/>
    <cacheHierarchy uniqueName="[CAPEX].[Очекуван датум за ставање во употреба (месец) (Month Index)]" caption="Очекуван датум за ставање во употреба (месец) (Month Index)" attribute="1" defaultMemberUniqueName="[CAPEX].[Очекуван датум за ставање во употреба (месец) (Month Index)].[All]" allUniqueName="[CAPEX].[Очекуван датум за ставање во употреба (месец) (Month Index)].[All]" dimensionUniqueName="[CAPEX]" displayFolder="" count="0" memberValueDatatype="20" unbalanced="0" hidden="1"/>
    <cacheHierarchy uniqueName="[CAPEX].[Очекуван датум на плаќање (Month Index)]" caption="Очекуван датум на плаќање (Month Index)" attribute="1" defaultMemberUniqueName="[CAPEX].[Очекуван датум на плаќање (Month Index)].[All]" allUniqueName="[CAPEX].[Очекуван датум на плаќање (Month Index)].[All]" dimensionUniqueName="[CAPEX]" displayFolder="" count="0" memberValueDatatype="20" unbalanced="0" hidden="1"/>
    <cacheHierarchy uniqueName="[fActualAndBudget].[StavkaID]" caption="StavkaID" attribute="1" defaultMemberUniqueName="[fActualAndBudget].[StavkaID].[All]" allUniqueName="[fActualAndBudget].[StavkaID].[All]" dimensionUniqueName="[fActualAndBudget]" displayFolder="" count="0" memberValueDatatype="20" unbalanced="0" hidden="1"/>
    <cacheHierarchy uniqueName="[fCoveckiResursi].[Период (Month Index)]" caption="Период (Month Index)" attribute="1" defaultMemberUniqueName="[fCoveckiResursi].[Период (Month Index)].[All]" allUniqueName="[fCoveckiResursi].[Период (Month Index)].[All]" dimensionUniqueName="[fCoveckiResursi]" displayFolder="" count="0" memberValueDatatype="20" unbalanced="0" hidden="1"/>
    <cacheHierarchy uniqueName="[fCoveckiResursi].[Период (Month Index) 1]" caption="Период (Month Index) 1" attribute="1" defaultMemberUniqueName="[fCoveckiResursi].[Период (Month Index) 1].[All]" allUniqueName="[fCoveckiResursi].[Период (Month Index) 1].[All]" dimensionUniqueName="[fCoveckiResursi]" displayFolder="" count="0" memberValueDatatype="20" unbalanced="0" hidden="1"/>
    <cacheHierarchy uniqueName="[OPEXAnaliza].[Период (Month Index)]" caption="Период (Month Index)" attribute="1" defaultMemberUniqueName="[OPEXAnaliza].[Период (Month Index)].[All]" allUniqueName="[OPEXAnaliza].[Период (Month Index)].[All]" dimensionUniqueName="[OPEXAnaliza]" displayFolder="" count="0" memberValueDatatype="20" unbalanced="0" hidden="1"/>
    <cacheHierarchy uniqueName="[rArtikli_HR_Analiza].[Крајна состојба вработени]" caption="Крајна состојба вработени" attribute="1" defaultMemberUniqueName="[rArtikli_HR_Analiza].[Крајна состојба вработени].[All]" allUniqueName="[rArtikli_HR_Analiza].[Крајна состојба вработени].[All]" dimensionUniqueName="[rArtikli_HR_Analiza]" displayFolder="" count="0" memberValueDatatype="20" unbalanced="0" hidden="1"/>
    <cacheHierarchy uniqueName="[rArtikli_HR_Analiza].[Планиран прилив/(одлив)]" caption="Планиран прилив/(одлив)" attribute="1" defaultMemberUniqueName="[rArtikli_HR_Analiza].[Планиран прилив/(одлив)].[All]" allUniqueName="[rArtikli_HR_Analiza].[Планиран прилив/(одлив)].[All]" dimensionUniqueName="[rArtikli_HR_Analiza]" displayFolder="" count="0" memberValueDatatype="20" unbalanced="0" hidden="1"/>
    <cacheHierarchy uniqueName="[rArtikli_HR_Analiza].[Тип на вработување]" caption="Тип на вработување" attribute="1" defaultMemberUniqueName="[rArtikli_HR_Analiza].[Тип на вработување].[All]" allUniqueName="[rArtikli_HR_Analiza].[Тип на вработување].[All]" dimensionUniqueName="[rArtikli_HR_Analiza]" displayFolder="" count="0" memberValueDatatype="130" unbalanced="0" hidden="1"/>
    <cacheHierarchy uniqueName="[rArtikliAnaliza].[Период (Month Index)]" caption="Период (Month Index)" attribute="1" defaultMemberUniqueName="[rArtikliAnaliza].[Период (Month Index)].[All]" allUniqueName="[rArtikliAnaliza].[Период (Month Index)].[All]" dimensionUniqueName="[rArtikliAnaliza]" displayFolder="" count="0" memberValueDatatype="20" unbalanced="0" hidden="1"/>
    <cacheHierarchy uniqueName="[Measures].[__XL_Count Calendar]" caption="__XL_Count Calendar" measure="1" displayFolder="" measureGroup="Calendar" count="0" hidden="1"/>
    <cacheHierarchy uniqueName="[Measures].[__XL_Count CAPEX]" caption="__XL_Count CAPEX" measure="1" displayFolder="" measureGroup="CAPEX" count="0" hidden="1"/>
    <cacheHierarchy uniqueName="[Measures].[__XL_Count Amortizacija]" caption="__XL_Count Amortizacija" measure="1" displayFolder="" measureGroup="Amortizacija" count="0" hidden="1"/>
    <cacheHierarchy uniqueName="[Measures].[__XL_Count fCoveckiResursi]" caption="__XL_Count fCoveckiResursi" measure="1" displayFolder="" measureGroup="fCoveckiResursi" count="0" hidden="1"/>
    <cacheHierarchy uniqueName="[Measures].[__XL_Count fActualAndBudget]" caption="__XL_Count fActualAndBudget" measure="1" displayFolder="" measureGroup="fActualAndBudget" count="0" hidden="1"/>
    <cacheHierarchy uniqueName="[Measures].[__XL_Count fOPEX]" caption="__XL_Count fOPEX" measure="1" displayFolder="" measureGroup="fOPEX" count="0" hidden="1"/>
    <cacheHierarchy uniqueName="[Measures].[__XL_Count OPEXAnaliza]" caption="__XL_Count OPEXAnaliza" measure="1" displayFolder="" measureGroup="OPEXAnaliza" count="0" hidden="1"/>
    <cacheHierarchy uniqueName="[Measures].[__XL_Count rArtikliAnaliza]" caption="__XL_Count rArtikliAnaliza" measure="1" displayFolder="" measureGroup="rArtikliAnaliza" count="0" hidden="1"/>
    <cacheHierarchy uniqueName="[Measures].[__XL_Count fArtikliCeni]" caption="__XL_Count fArtikliCeni" measure="1" displayFolder="" measureGroup="fArtikliCeni" count="0" hidden="1"/>
    <cacheHierarchy uniqueName="[Measures].[__XL_Count rArtikli_HR_Analiza]" caption="__XL_Count rArtikli_HR_Analiza" measure="1" displayFolder="" measureGroup="rArtikli_HR_Analiza" count="0" hidden="1"/>
    <cacheHierarchy uniqueName="[Measures].[__XL_Count fCoveckiResursi  2]" caption="__XL_Count fCoveckiResursi  2" measure="1" displayFolder="" measureGroup="fCoveckiResursi  2" count="0" hidden="1"/>
    <cacheHierarchy uniqueName="[Measures].[__No measures defined]" caption="__No measures defined" measure="1" displayFolder="" count="0" hidden="1"/>
    <cacheHierarchy uniqueName="[Measures].[Sum of Износ 3]" caption="Sum of Износ 3" measure="1" displayFolder="" measureGroup="fCoveckiResursi" count="0" hidden="1">
      <extLst>
        <ext xmlns:x15="http://schemas.microsoft.com/office/spreadsheetml/2010/11/main" uri="{B97F6D7D-B522-45F9-BDA1-12C45D357490}">
          <x15:cacheHierarchy aggregatedColumn="71"/>
        </ext>
      </extLst>
    </cacheHierarchy>
    <cacheHierarchy uniqueName="[Measures].[Sum of Крајна состојба вработени]" caption="Sum of Крајна состојба вработени" measure="1" displayFolder="" measureGroup="fCoveckiResursi" count="0" hidden="1">
      <extLst>
        <ext xmlns:x15="http://schemas.microsoft.com/office/spreadsheetml/2010/11/main" uri="{B97F6D7D-B522-45F9-BDA1-12C45D357490}">
          <x15:cacheHierarchy aggregatedColumn="70"/>
        </ext>
      </extLst>
    </cacheHierarchy>
    <cacheHierarchy uniqueName="[Measures].[Sum of Планиран прилив/(одлив)]" caption="Sum of Планиран прилив/(одлив)" measure="1" displayFolder="" measureGroup="fCoveckiResursi" count="0" hidden="1">
      <extLst>
        <ext xmlns:x15="http://schemas.microsoft.com/office/spreadsheetml/2010/11/main" uri="{B97F6D7D-B522-45F9-BDA1-12C45D357490}">
          <x15:cacheHierarchy aggregatedColumn="68"/>
        </ext>
      </extLst>
    </cacheHierarchy>
    <cacheHierarchy uniqueName="[Measures].[Sum of Износ]" caption="Sum of Износ" measure="1" displayFolder="" measureGroup="fActualAndBudget" count="0" hidden="1">
      <extLst>
        <ext xmlns:x15="http://schemas.microsoft.com/office/spreadsheetml/2010/11/main" uri="{B97F6D7D-B522-45F9-BDA1-12C45D357490}">
          <x15:cacheHierarchy aggregatedColumn="45"/>
        </ext>
      </extLst>
    </cacheHierarchy>
    <cacheHierarchy uniqueName="[Measures].[Sum of Износ (илјади)]" caption="Sum of Износ (илјади)" measure="1" displayFolder="" measureGroup="fActualAndBudget" count="0" hidden="1">
      <extLst>
        <ext xmlns:x15="http://schemas.microsoft.com/office/spreadsheetml/2010/11/main" uri="{B97F6D7D-B522-45F9-BDA1-12C45D357490}">
          <x15:cacheHierarchy aggregatedColumn="46"/>
        </ext>
      </extLst>
    </cacheHierarchy>
    <cacheHierarchy uniqueName="[Measures].[Sum of Износ1]" caption="Sum of Износ1" measure="1" displayFolder="" measureGroup="fActualAndBudget" count="0" hidden="1">
      <extLst>
        <ext xmlns:x15="http://schemas.microsoft.com/office/spreadsheetml/2010/11/main" uri="{B97F6D7D-B522-45F9-BDA1-12C45D357490}">
          <x15:cacheHierarchy aggregatedColumn="34"/>
        </ext>
      </extLst>
    </cacheHierarchy>
    <cacheHierarchy uniqueName="[Measures].[Sum of Износ 2]" caption="Sum of Износ 2" measure="1" displayFolder="" measureGroup="Amortizacija" count="0" hidden="1">
      <extLst>
        <ext xmlns:x15="http://schemas.microsoft.com/office/spreadsheetml/2010/11/main" uri="{B97F6D7D-B522-45F9-BDA1-12C45D357490}">
          <x15:cacheHierarchy aggregatedColumn="3"/>
        </ext>
      </extLst>
    </cacheHierarchy>
    <cacheHierarchy uniqueName="[Measures].[Sum of Износ 4]" caption="Sum of Износ 4" measure="1" displayFolder="" measureGroup="OPEXAnaliza" count="0" hidden="1">
      <extLst>
        <ext xmlns:x15="http://schemas.microsoft.com/office/spreadsheetml/2010/11/main" uri="{B97F6D7D-B522-45F9-BDA1-12C45D357490}">
          <x15:cacheHierarchy aggregatedColumn="101"/>
        </ext>
      </extLst>
    </cacheHierarchy>
    <cacheHierarchy uniqueName="[Measures].[Sum of Износ донација]" caption="Sum of Износ донација" measure="1" displayFolder="" measureGroup="CAPEX" count="0" hidden="1">
      <extLst>
        <ext xmlns:x15="http://schemas.microsoft.com/office/spreadsheetml/2010/11/main" uri="{B97F6D7D-B522-45F9-BDA1-12C45D357490}">
          <x15:cacheHierarchy aggregatedColumn="24"/>
        </ext>
      </extLst>
    </cacheHierarchy>
    <cacheHierarchy uniqueName="[Measures].[Sum of Вкупно трошок]" caption="Sum of Вкупно трошок" measure="1" displayFolder="" measureGroup="fArtikliCeni" count="0" hidden="1">
      <extLst>
        <ext xmlns:x15="http://schemas.microsoft.com/office/spreadsheetml/2010/11/main" uri="{B97F6D7D-B522-45F9-BDA1-12C45D357490}">
          <x15:cacheHierarchy aggregatedColumn="55"/>
        </ext>
      </extLst>
    </cacheHierarchy>
    <cacheHierarchy uniqueName="[Measures].[Sum of Количина]" caption="Sum of Количина" measure="1" displayFolder="" measureGroup="fArtikliCeni" count="0" hidden="1">
      <extLst>
        <ext xmlns:x15="http://schemas.microsoft.com/office/spreadsheetml/2010/11/main" uri="{B97F6D7D-B522-45F9-BDA1-12C45D357490}">
          <x15:cacheHierarchy aggregatedColumn="53"/>
        </ext>
      </extLst>
    </cacheHierarchy>
    <cacheHierarchy uniqueName="[Measures].[Sum of Единечна цена]" caption="Sum of Единечна цена" measure="1" displayFolder="" measureGroup="fArtikliCeni" count="0" hidden="1">
      <extLst>
        <ext xmlns:x15="http://schemas.microsoft.com/office/spreadsheetml/2010/11/main" uri="{B97F6D7D-B522-45F9-BDA1-12C45D357490}">
          <x15:cacheHierarchy aggregatedColumn="54"/>
        </ext>
      </extLst>
    </cacheHierarchy>
    <cacheHierarchy uniqueName="[Measures].[Sum of ДДВ]" caption="Sum of ДДВ" measure="1" displayFolder="" measureGroup="fArtikliCeni" count="0" hidden="1">
      <extLst>
        <ext xmlns:x15="http://schemas.microsoft.com/office/spreadsheetml/2010/11/main" uri="{B97F6D7D-B522-45F9-BDA1-12C45D357490}">
          <x15:cacheHierarchy aggregatedColumn="56"/>
        </ext>
      </extLst>
    </cacheHierarchy>
    <cacheHierarchy uniqueName="[Measures].[Sum of Износ 6]" caption="Sum of Износ 6" measure="1" displayFolder="" measureGroup="fArtikliCeni" count="0" hidden="1">
      <extLst>
        <ext xmlns:x15="http://schemas.microsoft.com/office/spreadsheetml/2010/11/main" uri="{B97F6D7D-B522-45F9-BDA1-12C45D357490}">
          <x15:cacheHierarchy aggregatedColumn="57"/>
        </ext>
      </extLst>
    </cacheHierarchy>
    <cacheHierarchy uniqueName="[Measures].[Count of Единечна мерка]" caption="Count of Единечна мерка" measure="1" displayFolder="" measureGroup="fArtikliCeni" count="0" hidden="1">
      <extLst>
        <ext xmlns:x15="http://schemas.microsoft.com/office/spreadsheetml/2010/11/main" uri="{B97F6D7D-B522-45F9-BDA1-12C45D357490}">
          <x15:cacheHierarchy aggregatedColumn="52"/>
        </ext>
      </extLst>
    </cacheHierarchy>
    <cacheHierarchy uniqueName="[Measures].[Sum of Количина 2]" caption="Sum of Количина 2" measure="1" displayFolder="" measureGroup="rArtikli_HR_Analiza" count="0" hidden="1">
      <extLst>
        <ext xmlns:x15="http://schemas.microsoft.com/office/spreadsheetml/2010/11/main" uri="{B97F6D7D-B522-45F9-BDA1-12C45D357490}">
          <x15:cacheHierarchy aggregatedColumn="118"/>
        </ext>
      </extLst>
    </cacheHierarchy>
    <cacheHierarchy uniqueName="[Measures].[Sum of Единечна цена 2]" caption="Sum of Единечна цена 2" measure="1" displayFolder="" measureGroup="rArtikli_HR_Analiza" count="0" hidden="1">
      <extLst>
        <ext xmlns:x15="http://schemas.microsoft.com/office/spreadsheetml/2010/11/main" uri="{B97F6D7D-B522-45F9-BDA1-12C45D357490}">
          <x15:cacheHierarchy aggregatedColumn="119"/>
        </ext>
      </extLst>
    </cacheHierarchy>
    <cacheHierarchy uniqueName="[Measures].[Sum of Вкупно трошок 2]" caption="Sum of Вкупно трошок 2" measure="1" displayFolder="" measureGroup="rArtikli_HR_Analiza" count="0" hidden="1">
      <extLst>
        <ext xmlns:x15="http://schemas.microsoft.com/office/spreadsheetml/2010/11/main" uri="{B97F6D7D-B522-45F9-BDA1-12C45D357490}">
          <x15:cacheHierarchy aggregatedColumn="120"/>
        </ext>
      </extLst>
    </cacheHierarchy>
    <cacheHierarchy uniqueName="[Measures].[Sum of ДДВ 2]" caption="Sum of ДДВ 2" measure="1" displayFolder="" measureGroup="rArtikli_HR_Analiza" count="0" hidden="1">
      <extLst>
        <ext xmlns:x15="http://schemas.microsoft.com/office/spreadsheetml/2010/11/main" uri="{B97F6D7D-B522-45F9-BDA1-12C45D357490}">
          <x15:cacheHierarchy aggregatedColumn="121"/>
        </ext>
      </extLst>
    </cacheHierarchy>
    <cacheHierarchy uniqueName="[Measures].[Sum of Износ 7]" caption="Sum of Износ 7" measure="1" displayFolder="" measureGroup="rArtikli_HR_Analiza" count="0" hidden="1">
      <extLst>
        <ext xmlns:x15="http://schemas.microsoft.com/office/spreadsheetml/2010/11/main" uri="{B97F6D7D-B522-45F9-BDA1-12C45D357490}">
          <x15:cacheHierarchy aggregatedColumn="122"/>
        </ext>
      </extLst>
    </cacheHierarchy>
    <cacheHierarchy uniqueName="[Measures].[Sum of Износ 5]" caption="Sum of Износ 5" measure="1" displayFolder="" measureGroup="fCoveckiResursi  2" count="0" hidden="1">
      <extLst>
        <ext xmlns:x15="http://schemas.microsoft.com/office/spreadsheetml/2010/11/main" uri="{B97F6D7D-B522-45F9-BDA1-12C45D357490}">
          <x15:cacheHierarchy aggregatedColumn="82"/>
        </ext>
      </extLst>
    </cacheHierarchy>
  </cacheHierarchies>
  <kpis count="0"/>
  <extLst>
    <ext xmlns:x14="http://schemas.microsoft.com/office/spreadsheetml/2009/9/main" uri="{725AE2AE-9491-48be-B2B4-4EB974FC3084}">
      <x14:pivotCacheDefinition slicerData="1" pivotCacheId="1819734876" supportSubqueryNonVisual="1" supportSubqueryCalcMem="1" supportAddCalcMems="1"/>
    </ext>
  </extLst>
</pivotCacheDefinition>
</file>

<file path=xl/pivotCache/pivotCacheDefinition3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ngela Sazdova - Doneva" refreshedDate="44899.978505902778" createdVersion="3" refreshedVersion="6" minRefreshableVersion="3" recordCount="0" supportSubquery="1" supportAdvancedDrill="1" xr:uid="{00000000-000A-0000-FFFF-FFFF1E000000}">
  <cacheSource type="external" connectionId="22">
    <extLst>
      <ext xmlns:x14="http://schemas.microsoft.com/office/spreadsheetml/2009/9/main" uri="{F057638F-6D5F-4e77-A914-E7F072B9BCA8}">
        <x14:sourceConnection name="ThisWorkbookDataModel"/>
      </ext>
    </extLst>
  </cacheSource>
  <cacheFields count="0"/>
  <cacheHierarchies count="195">
    <cacheHierarchy uniqueName="[Amortizacija].[Број на јавна набавка (план)]" caption="Број на јавна набавка (план)" attribute="1" defaultMemberUniqueName="[Amortizacija].[Број на јавна набавка (план)].[All]" allUniqueName="[Amortizacija].[Број на јавна набавка (план)].[All]" dimensionUniqueName="[Amortizacija]" displayFolder="" count="0" memberValueDatatype="130" unbalanced="0"/>
    <cacheHierarchy uniqueName="[Amortizacija].[Ставка]" caption="Ставка" attribute="1" defaultMemberUniqueName="[Amortizacija].[Ставка].[All]" allUniqueName="[Amortizacija].[Ставка].[All]" dimensionUniqueName="[Amortizacija]" displayFolder="" count="0" memberValueDatatype="130" unbalanced="0"/>
    <cacheHierarchy uniqueName="[Amortizacija].[Период]" caption="Период" attribute="1" time="1" defaultMemberUniqueName="[Amortizacija].[Период].[All]" allUniqueName="[Amortizacija].[Период].[All]" dimensionUniqueName="[Amortizacija]" displayFolder="" count="0" memberValueDatatype="7" unbalanced="0"/>
    <cacheHierarchy uniqueName="[Amortizacija].[Износ]" caption="Износ" attribute="1" defaultMemberUniqueName="[Amortizacija].[Износ].[All]" allUniqueName="[Amortizacija].[Износ].[All]" dimensionUniqueName="[Amortizacija]" displayFolder="" count="0" memberValueDatatype="20" unbalanced="0"/>
    <cacheHierarchy uniqueName="[Amortizacija].[Конто]" caption="Конто" attribute="1" defaultMemberUniqueName="[Amortizacija].[Конто].[All]" allUniqueName="[Amortizacija].[Конто].[All]" dimensionUniqueName="[Amortizacija]" displayFolder="" count="0" memberValueDatatype="130" unbalanced="0"/>
    <cacheHierarchy uniqueName="[Amortizacija].[ReportType]" caption="ReportType" attribute="1" defaultMemberUniqueName="[Amortizacija].[ReportType].[All]" allUniqueName="[Amortizacija].[ReportType].[All]" dimensionUniqueName="[Amortizacija]" displayFolder="" count="0" memberValueDatatype="130" unbalanced="0"/>
    <cacheHierarchy uniqueName="[Calendar].[Date]" caption="Date" attribute="1" time="1" keyAttribute="1" defaultMemberUniqueName="[Calendar].[Date].[All]" allUniqueName="[Calendar].[Date].[All]" dimensionUniqueName="[Calendar]" displayFolder="" count="0" memberValueDatatype="7" unbalanced="0"/>
    <cacheHierarchy uniqueName="[Calendar].[Date Hierarchy]" caption="Date Hierarchy" time="1" defaultMemberUniqueName="[Calendar].[Date Hierarchy].[All]" allUniqueName="[Calendar].[Date Hierarchy].[All]" dimensionUniqueName="[Calendar]" displayFolder="" count="0" unbalanced="0"/>
    <cacheHierarchy uniqueName="[Calendar].[Година]" caption="Година" attribute="1" time="1" defaultMemberUniqueName="[Calendar].[Година].[All]" allUniqueName="[Calendar].[Година].[All]" dimensionUniqueName="[Calendar]" displayFolder="" count="0" memberValueDatatype="20" unbalanced="0"/>
    <cacheHierarchy uniqueName="[Calendar].[Month Number]" caption="Month Number" attribute="1" time="1" defaultMemberUniqueName="[Calendar].[Month Number].[All]" allUniqueName="[Calendar].[Month Number].[All]" dimensionUniqueName="[Calendar]" displayFolder="" count="0" memberValueDatatype="20" unbalanced="0"/>
    <cacheHierarchy uniqueName="[Calendar].[Месец]" caption="Месец" attribute="1" time="1" defaultMemberUniqueName="[Calendar].[Месец].[All]" allUniqueName="[Calendar].[Месец].[All]" dimensionUniqueName="[Calendar]" displayFolder="" count="0" memberValueDatatype="130" unbalanced="0"/>
    <cacheHierarchy uniqueName="[Calendar].[MMM-YYYY]" caption="MMM-YYYY" attribute="1" time="1" defaultMemberUniqueName="[Calendar].[MMM-YYYY].[All]" allUniqueName="[Calendar].[MMM-YYYY].[All]" dimensionUniqueName="[Calendar]" displayFolder="" count="0" memberValueDatatype="130" unbalanced="0"/>
    <cacheHierarchy uniqueName="[Calendar].[Day Of Week Number]" caption="Day Of Week Number" attribute="1" time="1" defaultMemberUniqueName="[Calendar].[Day Of Week Number].[All]" allUniqueName="[Calendar].[Day Of Week Number].[All]" dimensionUniqueName="[Calendar]" displayFolder="" count="0" memberValueDatatype="20" unbalanced="0"/>
    <cacheHierarchy uniqueName="[Calendar].[Day Of Week]" caption="Day Of Week" attribute="1" time="1" defaultMemberUniqueName="[Calendar].[Day Of Week].[All]" allUniqueName="[Calendar].[Day Of Week].[All]" dimensionUniqueName="[Calendar]" displayFolder="" count="0" memberValueDatatype="130" unbalanced="0"/>
    <cacheHierarchy uniqueName="[Calendar].[Квартал]" caption="Квартал" attribute="1" time="1" defaultMemberUniqueName="[Calendar].[Квартал].[All]" allUniqueName="[Calendar].[Квартал].[All]" dimensionUniqueName="[Calendar]" displayFolder="" count="0" memberValueDatatype="7" unbalanced="0"/>
    <cacheHierarchy uniqueName="[CAPEX].[Година за реализација на проект]" caption="Година за реализација на проект" attribute="1" defaultMemberUniqueName="[CAPEX].[Година за реализација на проект].[All]" allUniqueName="[CAPEX].[Година за реализација на проект].[All]" dimensionUniqueName="[CAPEX]" displayFolder="" count="0" memberValueDatatype="20" unbalanced="0"/>
    <cacheHierarchy uniqueName="[CAPEX].[Број на јавна набавка (план)]" caption="Број на јавна набавка (план)" attribute="1" defaultMemberUniqueName="[CAPEX].[Број на јавна набавка (план)].[All]" allUniqueName="[CAPEX].[Број на јавна набавка (план)].[All]" dimensionUniqueName="[CAPEX]" displayFolder="" count="0" memberValueDatatype="130" unbalanced="0"/>
    <cacheHierarchy uniqueName="[CAPEX].[Предмет на договорот за јавна набавка]" caption="Предмет на договорот за јавна набавка" attribute="1" defaultMemberUniqueName="[CAPEX].[Предмет на договорот за јавна набавка].[All]" allUniqueName="[CAPEX].[Предмет на договорот за јавна набавка].[All]" dimensionUniqueName="[CAPEX]" displayFolder="" count="0" memberValueDatatype="130" unbalanced="0"/>
    <cacheHierarchy uniqueName="[CAPEX].[Очекуван датум на плаќање]" caption="Очекуван датум на плаќање" attribute="1" time="1" defaultMemberUniqueName="[CAPEX].[Очекуван датум на плаќање].[All]" allUniqueName="[CAPEX].[Очекуван датум на плаќање].[All]" dimensionUniqueName="[CAPEX]" displayFolder="" count="0" memberValueDatatype="7" unbalanced="0"/>
    <cacheHierarchy uniqueName="[CAPEX].[Очекуван датум за ставање во употреба (месец)]" caption="Очекуван датум за ставање во употреба (месец)" attribute="1" time="1" defaultMemberUniqueName="[CAPEX].[Очекуван датум за ставање во употреба (месец)].[All]" allUniqueName="[CAPEX].[Очекуван датум за ставање во употреба (месец)].[All]" dimensionUniqueName="[CAPEX]" displayFolder="" count="0" memberValueDatatype="7" unbalanced="0"/>
    <cacheHierarchy uniqueName="[CAPEX].[Проценета вредност на набавка со ДДВ (денари)]" caption="Проценета вредност на набавка со ДДВ (денари)" attribute="1" defaultMemberUniqueName="[CAPEX].[Проценета вредност на набавка со ДДВ (денари)].[All]" allUniqueName="[CAPEX].[Проценета вредност на набавка со ДДВ (денари)].[All]" dimensionUniqueName="[CAPEX]" displayFolder="" count="0" memberValueDatatype="20" unbalanced="0"/>
    <cacheHierarchy uniqueName="[CAPEX].[Стапка на амортизација]" caption="Стапка на амортизација" attribute="1" defaultMemberUniqueName="[CAPEX].[Стапка на амортизација].[All]" allUniqueName="[CAPEX].[Стапка на амортизација].[All]" dimensionUniqueName="[CAPEX]" displayFolder="" count="0" memberValueDatatype="5" unbalanced="0"/>
    <cacheHierarchy uniqueName="[CAPEX].[Конто Средства]" caption="Конто Средства" attribute="1" defaultMemberUniqueName="[CAPEX].[Конто Средства].[All]" allUniqueName="[CAPEX].[Конто Средства].[All]" dimensionUniqueName="[CAPEX]" displayFolder="" count="0" memberValueDatatype="130" unbalanced="0"/>
    <cacheHierarchy uniqueName="[CAPEX].[Конто Амортизација]" caption="Конто Амортизација" attribute="1" defaultMemberUniqueName="[CAPEX].[Конто Амортизација].[All]" allUniqueName="[CAPEX].[Конто Амортизација].[All]" dimensionUniqueName="[CAPEX]" displayFolder="" count="0" memberValueDatatype="130" unbalanced="0"/>
    <cacheHierarchy uniqueName="[CAPEX].[Износ донација]" caption="Износ донација" attribute="1" defaultMemberUniqueName="[CAPEX].[Износ донација].[All]" allUniqueName="[CAPEX].[Износ донација].[All]" dimensionUniqueName="[CAPEX]" displayFolder="" count="0" memberValueDatatype="20" unbalanced="0"/>
    <cacheHierarchy uniqueName="[CAPEX].[Очекуван датум на плаќање (Year)]" caption="Очекуван датум на плаќање (Year)" attribute="1" defaultMemberUniqueName="[CAPEX].[Очекуван датум на плаќање (Year)].[All]" allUniqueName="[CAPEX].[Очекуван датум на плаќање (Year)].[All]" dimensionUniqueName="[CAPEX]" displayFolder="" count="0" memberValueDatatype="130" unbalanced="0"/>
    <cacheHierarchy uniqueName="[CAPEX].[Очекуван датум на плаќање (Quarter)]" caption="Очекуван датум на плаќање (Quarter)" attribute="1" defaultMemberUniqueName="[CAPEX].[Очекуван датум на плаќање (Quarter)].[All]" allUniqueName="[CAPEX].[Очекуван датум на плаќање (Quarter)].[All]" dimensionUniqueName="[CAPEX]" displayFolder="" count="0" memberValueDatatype="130" unbalanced="0"/>
    <cacheHierarchy uniqueName="[CAPEX].[Очекуван датум на плаќање (Month)]" caption="Очекуван датум на плаќање (Month)" attribute="1" defaultMemberUniqueName="[CAPEX].[Очекуван датум на плаќање (Month)].[All]" allUniqueName="[CAPEX].[Очекуван датум на плаќање (Month)].[All]" dimensionUniqueName="[CAPEX]" displayFolder="" count="0" memberValueDatatype="130" unbalanced="0"/>
    <cacheHierarchy uniqueName="[CAPEX].[Очекуван датум за ставање во употреба (месец) (Year)]" caption="Очекуван датум за ставање во употреба (месец) (Year)" attribute="1" defaultMemberUniqueName="[CAPEX].[Очекуван датум за ставање во употреба (месец) (Year)].[All]" allUniqueName="[CAPEX].[Очекуван датум за ставање во употреба (месец) (Year)].[All]" dimensionUniqueName="[CAPEX]" displayFolder="" count="0" memberValueDatatype="130" unbalanced="0"/>
    <cacheHierarchy uniqueName="[CAPEX].[Очекуван датум за ставање во употреба (месец) (Quarter)]" caption="Очекуван датум за ставање во употреба (месец) (Quarter)" attribute="1" defaultMemberUniqueName="[CAPEX].[Очекуван датум за ставање во употреба (месец) (Quarter)].[All]" allUniqueName="[CAPEX].[Очекуван датум за ставање во употреба (месец) (Quarter)].[All]" dimensionUniqueName="[CAPEX]" displayFolder="" count="0" memberValueDatatype="130" unbalanced="0"/>
    <cacheHierarchy uniqueName="[CAPEX].[Очекуван датум за ставање во употреба (месец) (Month)]" caption="Очекуван датум за ставање во употреба (месец) (Month)" attribute="1" defaultMemberUniqueName="[CAPEX].[Очекуван датум за ставање во употреба (месец) (Month)].[All]" allUniqueName="[CAPEX].[Очекуван датум за ставање во употреба (месец) (Month)].[All]" dimensionUniqueName="[CAPEX]" displayFolder="" count="0" memberValueDatatype="130" unbalanced="0"/>
    <cacheHierarchy uniqueName="[fActualAndBudget].[Конто]" caption="Конто" attribute="1" defaultMemberUniqueName="[fActualAndBudget].[Конто].[All]" allUniqueName="[fActualAndBudget].[Конто].[All]" dimensionUniqueName="[fActualAndBudget]" displayFolder="" count="0" memberValueDatatype="130" unbalanced="0"/>
    <cacheHierarchy uniqueName="[fActualAndBudget].[Назив на конто]" caption="Назив на конто" attribute="1" defaultMemberUniqueName="[fActualAndBudget].[Назив на конто].[All]" allUniqueName="[fActualAndBudget].[Назив на конто].[All]" dimensionUniqueName="[fActualAndBudget]" displayFolder="" count="0" memberValueDatatype="130" unbalanced="0"/>
    <cacheHierarchy uniqueName="[fActualAndBudget].[Период]" caption="Период" attribute="1" time="1" defaultMemberUniqueName="[fActualAndBudget].[Период].[All]" allUniqueName="[fActualAndBudget].[Период].[All]" dimensionUniqueName="[fActualAndBudget]" displayFolder="" count="0" memberValueDatatype="7" unbalanced="0"/>
    <cacheHierarchy uniqueName="[fActualAndBudget].[Износ1]" caption="Износ1" attribute="1" defaultMemberUniqueName="[fActualAndBudget].[Износ1].[All]" allUniqueName="[fActualAndBudget].[Износ1].[All]" dimensionUniqueName="[fActualAndBudget]" displayFolder="" count="0" memberValueDatatype="20" unbalanced="0"/>
    <cacheHierarchy uniqueName="[fActualAndBudget].[ReportType]" caption="ReportType" attribute="1" defaultMemberUniqueName="[fActualAndBudget].[ReportType].[All]" allUniqueName="[fActualAndBudget].[ReportType].[All]" dimensionUniqueName="[fActualAndBudget]" displayFolder="" count="0" memberValueDatatype="130" unbalanced="0"/>
    <cacheHierarchy uniqueName="[fActualAndBudget].[Ставка]" caption="Ставка" attribute="1" defaultMemberUniqueName="[fActualAndBudget].[Ставка].[All]" allUniqueName="[fActualAndBudget].[Ставка].[All]" dimensionUniqueName="[fActualAndBudget]" displayFolder="" count="0" memberValueDatatype="130" unbalanced="0"/>
    <cacheHierarchy uniqueName="[fActualAndBudget].[Број на јавна набавка (план)]" caption="Број на јавна набавка (план)" attribute="1" defaultMemberUniqueName="[fActualAndBudget].[Број на јавна набавка (план)].[All]" allUniqueName="[fActualAndBudget].[Број на јавна набавка (план)].[All]" dimensionUniqueName="[fActualAndBudget]" displayFolder="" count="0" memberValueDatatype="130" unbalanced="0"/>
    <cacheHierarchy uniqueName="[fActualAndBudget].[StavkaImeMK]" caption="StavkaImeMK" attribute="1" defaultMemberUniqueName="[fActualAndBudget].[StavkaImeMK].[All]" allUniqueName="[fActualAndBudget].[StavkaImeMK].[All]" dimensionUniqueName="[fActualAndBudget]" displayFolder="" count="0" memberValueDatatype="130" unbalanced="0"/>
    <cacheHierarchy uniqueName="[fActualAndBudget].[StavkaGrupa]" caption="StavkaGrupa" attribute="1" defaultMemberUniqueName="[fActualAndBudget].[StavkaGrupa].[All]" allUniqueName="[fActualAndBudget].[StavkaGrupa].[All]" dimensionUniqueName="[fActualAndBudget]" displayFolder="" count="2" memberValueDatatype="130" unbalanced="0"/>
    <cacheHierarchy uniqueName="[fActualAndBudget].[StavkaKategorija]" caption="StavkaKategorija" attribute="1" defaultMemberUniqueName="[fActualAndBudget].[StavkaKategorija].[All]" allUniqueName="[fActualAndBudget].[StavkaKategorija].[All]" dimensionUniqueName="[fActualAndBudget]" displayFolder="" count="2" memberValueDatatype="130" unbalanced="0"/>
    <cacheHierarchy uniqueName="[fActualAndBudget].[ZnakIzvestaj]" caption="ZnakIzvestaj" attribute="1" defaultMemberUniqueName="[fActualAndBudget].[ZnakIzvestaj].[All]" allUniqueName="[fActualAndBudget].[ZnakIzvestaj].[All]" dimensionUniqueName="[fActualAndBudget]" displayFolder="" count="0" memberValueDatatype="20" unbalanced="0"/>
    <cacheHierarchy uniqueName="[fActualAndBudget].[ObrazecID]" caption="ObrazecID" attribute="1" defaultMemberUniqueName="[fActualAndBudget].[ObrazecID].[All]" allUniqueName="[fActualAndBudget].[ObrazecID].[All]" dimensionUniqueName="[fActualAndBudget]" displayFolder="" count="0" memberValueDatatype="20" unbalanced="0"/>
    <cacheHierarchy uniqueName="[fActualAndBudget].[StavkaAOP]" caption="StavkaAOP" attribute="1" defaultMemberUniqueName="[fActualAndBudget].[StavkaAOP].[All]" allUniqueName="[fActualAndBudget].[StavkaAOP].[All]" dimensionUniqueName="[fActualAndBudget]" displayFolder="" count="0" memberValueDatatype="130" unbalanced="0"/>
    <cacheHierarchy uniqueName="[fActualAndBudget].[ObrazecIme]" caption="ObrazecIme" attribute="1" defaultMemberUniqueName="[fActualAndBudget].[ObrazecIme].[All]" allUniqueName="[fActualAndBudget].[ObrazecIme].[All]" dimensionUniqueName="[fActualAndBudget]" displayFolder="" count="0" memberValueDatatype="130" unbalanced="0"/>
    <cacheHierarchy uniqueName="[fActualAndBudget].[Износ]" caption="Износ" attribute="1" defaultMemberUniqueName="[fActualAndBudget].[Износ].[All]" allUniqueName="[fActualAndBudget].[Износ].[All]" dimensionUniqueName="[fActualAndBudget]" displayFolder="" count="0" memberValueDatatype="20" unbalanced="0"/>
    <cacheHierarchy uniqueName="[fActualAndBudget].[Износ (илјади)]" caption="Износ (илјади)" attribute="1" defaultMemberUniqueName="[fActualAndBudget].[Износ (илјади)].[All]" allUniqueName="[fActualAndBudget].[Износ (илјади)].[All]" dimensionUniqueName="[fActualAndBudget]" displayFolder="" count="0" memberValueDatatype="5" unbalanced="0"/>
    <cacheHierarchy uniqueName="[fActualAndBudget].[StavkaImeAOP]" caption="StavkaImeAOP" attribute="1" defaultMemberUniqueName="[fActualAndBudget].[StavkaImeAOP].[All]" allUniqueName="[fActualAndBudget].[StavkaImeAOP].[All]" dimensionUniqueName="[fActualAndBudget]" displayFolder="" count="0" memberValueDatatype="130" unbalanced="0"/>
    <cacheHierarchy uniqueName="[fActualAndBudget].[Конто Ставка]" caption="Конто Ставка" attribute="1" defaultMemberUniqueName="[fActualAndBudget].[Конто Ставка].[All]" allUniqueName="[fActualAndBudget].[Конто Ставка].[All]" dimensionUniqueName="[fActualAndBudget]" displayFolder="" count="0" memberValueDatatype="130" unbalanced="0"/>
    <cacheHierarchy uniqueName="[fArtikliCeni].[Ставка]" caption="Ставка" attribute="1" defaultMemberUniqueName="[fArtikliCeni].[Ставка].[All]" allUniqueName="[fArtikliCeni].[Ставка].[All]" dimensionUniqueName="[fArtikliCeni]" displayFolder="" count="0" memberValueDatatype="130" unbalanced="0"/>
    <cacheHierarchy uniqueName="[fArtikliCeni].[Категорија Артикл]" caption="Категорија Артикл" attribute="1" defaultMemberUniqueName="[fArtikliCeni].[Категорија Артикл].[All]" allUniqueName="[fArtikliCeni].[Категорија Артикл].[All]" dimensionUniqueName="[fArtikliCeni]" displayFolder="" count="0" memberValueDatatype="130" unbalanced="0"/>
    <cacheHierarchy uniqueName="[fArtikliCeni].[Тип на артикл]" caption="Тип на артикл" attribute="1" defaultMemberUniqueName="[fArtikliCeni].[Тип на артикл].[All]" allUniqueName="[fArtikliCeni].[Тип на артикл].[All]" dimensionUniqueName="[fArtikliCeni]" displayFolder="" count="0" memberValueDatatype="130" unbalanced="0"/>
    <cacheHierarchy uniqueName="[fArtikliCeni].[Единечна мерка]" caption="Единечна мерка" attribute="1" defaultMemberUniqueName="[fArtikliCeni].[Единечна мерка].[All]" allUniqueName="[fArtikliCeni].[Единечна мерка].[All]" dimensionUniqueName="[fArtikliCeni]" displayFolder="" count="0" memberValueDatatype="130" unbalanced="0"/>
    <cacheHierarchy uniqueName="[fArtikliCeni].[Количина]" caption="Количина" attribute="1" defaultMemberUniqueName="[fArtikliCeni].[Количина].[All]" allUniqueName="[fArtikliCeni].[Количина].[All]" dimensionUniqueName="[fArtikliCeni]" displayFolder="" count="0" memberValueDatatype="5" unbalanced="0"/>
    <cacheHierarchy uniqueName="[fArtikliCeni].[Единечна цена]" caption="Единечна цена" attribute="1" defaultMemberUniqueName="[fArtikliCeni].[Единечна цена].[All]" allUniqueName="[fArtikliCeni].[Единечна цена].[All]" dimensionUniqueName="[fArtikliCeni]" displayFolder="" count="0" memberValueDatatype="20" unbalanced="0"/>
    <cacheHierarchy uniqueName="[fArtikliCeni].[Вкупно трошок]" caption="Вкупно трошок" attribute="1" defaultMemberUniqueName="[fArtikliCeni].[Вкупно трошок].[All]" allUniqueName="[fArtikliCeni].[Вкупно трошок].[All]" dimensionUniqueName="[fArtikliCeni]" displayFolder="" count="0" memberValueDatatype="5" unbalanced="0"/>
    <cacheHierarchy uniqueName="[fArtikliCeni].[ДДВ]" caption="ДДВ" attribute="1" defaultMemberUniqueName="[fArtikliCeni].[ДДВ].[All]" allUniqueName="[fArtikliCeni].[ДДВ].[All]" dimensionUniqueName="[fArtikliCeni]" displayFolder="" count="0" memberValueDatatype="5" unbalanced="0"/>
    <cacheHierarchy uniqueName="[fArtikliCeni].[Износ]" caption="Износ" attribute="1" defaultMemberUniqueName="[fArtikliCeni].[Износ].[All]" allUniqueName="[fArtikliCeni].[Износ].[All]" dimensionUniqueName="[fArtikliCeni]" displayFolder="" count="0" memberValueDatatype="5" unbalanced="0"/>
    <cacheHierarchy uniqueName="[fArtikliCeni].[Конто]" caption="Конто" attribute="1" defaultMemberUniqueName="[fArtikliCeni].[Конто].[All]" allUniqueName="[fArtikliCeni].[Конто].[All]" dimensionUniqueName="[fArtikliCeni]" displayFolder="" count="0" memberValueDatatype="130" unbalanced="0"/>
    <cacheHierarchy uniqueName="[fArtikliCeni].[ReportType]" caption="ReportType" attribute="1" defaultMemberUniqueName="[fArtikliCeni].[ReportType].[All]" allUniqueName="[fArtikliCeni].[ReportType].[All]" dimensionUniqueName="[fArtikliCeni]" displayFolder="" count="0" memberValueDatatype="130" unbalanced="0"/>
    <cacheHierarchy uniqueName="[fArtikliCeni].[Период]" caption="Период" attribute="1" time="1" defaultMemberUniqueName="[fArtikliCeni].[Период].[All]" allUniqueName="[fArtikliCeni].[Период].[All]" dimensionUniqueName="[fArtikliCeni]" displayFolder="" count="0" memberValueDatatype="7" unbalanced="0"/>
    <cacheHierarchy uniqueName="[fArtikliCeni].[StavkaImeMK]" caption="StavkaImeMK" attribute="1" defaultMemberUniqueName="[fArtikliCeni].[StavkaImeMK].[All]" allUniqueName="[fArtikliCeni].[StavkaImeMK].[All]" dimensionUniqueName="[fArtikliCeni]" displayFolder="" count="0" memberValueDatatype="130" unbalanced="0"/>
    <cacheHierarchy uniqueName="[fArtikliCeni].[StavkaAOP]" caption="StavkaAOP" attribute="1" defaultMemberUniqueName="[fArtikliCeni].[StavkaAOP].[All]" allUniqueName="[fArtikliCeni].[StavkaAOP].[All]" dimensionUniqueName="[fArtikliCeni]" displayFolder="" count="0" memberValueDatatype="130" unbalanced="0"/>
    <cacheHierarchy uniqueName="[fArtikliCeni].[StavkaGrupa]" caption="StavkaGrupa" attribute="1" defaultMemberUniqueName="[fArtikliCeni].[StavkaGrupa].[All]" allUniqueName="[fArtikliCeni].[StavkaGrupa].[All]" dimensionUniqueName="[fArtikliCeni]" displayFolder="" count="0" memberValueDatatype="130" unbalanced="0"/>
    <cacheHierarchy uniqueName="[fArtikliCeni].[StavkaKategorija]" caption="StavkaKategorija" attribute="1" defaultMemberUniqueName="[fArtikliCeni].[StavkaKategorija].[All]" allUniqueName="[fArtikliCeni].[StavkaKategorija].[All]" dimensionUniqueName="[fArtikliCeni]" displayFolder="" count="0" memberValueDatatype="130" unbalanced="0"/>
    <cacheHierarchy uniqueName="[fArtikliCeni].[ObrazecIme]" caption="ObrazecIme" attribute="1" defaultMemberUniqueName="[fArtikliCeni].[ObrazecIme].[All]" allUniqueName="[fArtikliCeni].[ObrazecIme].[All]" dimensionUniqueName="[fArtikliCeni]" displayFolder="" count="0" memberValueDatatype="130" unbalanced="0"/>
    <cacheHierarchy uniqueName="[fCoveckiResursi].[Ставка]" caption="Ставка" attribute="1" defaultMemberUniqueName="[fCoveckiResursi].[Ставка].[All]" allUniqueName="[fCoveckiResursi].[Ставка].[All]" dimensionUniqueName="[fCoveckiResursi]" displayFolder="" count="0" memberValueDatatype="130" unbalanced="0"/>
    <cacheHierarchy uniqueName="[fCoveckiResursi].[Тип на вработување]" caption="Тип на вработување" attribute="1" defaultMemberUniqueName="[fCoveckiResursi].[Тип на вработување].[All]" allUniqueName="[fCoveckiResursi].[Тип на вработување].[All]" dimensionUniqueName="[fCoveckiResursi]" displayFolder="" count="0" memberValueDatatype="130" unbalanced="0"/>
    <cacheHierarchy uniqueName="[fCoveckiResursi].[Планиран прилив/(одлив)]" caption="Планиран прилив/(одлив)" attribute="1" defaultMemberUniqueName="[fCoveckiResursi].[Планиран прилив/(одлив)].[All]" allUniqueName="[fCoveckiResursi].[Планиран прилив/(одлив)].[All]" dimensionUniqueName="[fCoveckiResursi]" displayFolder="" count="0" memberValueDatatype="20" unbalanced="0"/>
    <cacheHierarchy uniqueName="[fCoveckiResursi].[Период]" caption="Период" attribute="1" time="1" defaultMemberUniqueName="[fCoveckiResursi].[Период].[All]" allUniqueName="[fCoveckiResursi].[Период].[All]" dimensionUniqueName="[fCoveckiResursi]" displayFolder="" count="0" memberValueDatatype="7" unbalanced="0"/>
    <cacheHierarchy uniqueName="[fCoveckiResursi].[Крајна состојба вработени]" caption="Крајна состојба вработени" attribute="1" defaultMemberUniqueName="[fCoveckiResursi].[Крајна состојба вработени].[All]" allUniqueName="[fCoveckiResursi].[Крајна состојба вработени].[All]" dimensionUniqueName="[fCoveckiResursi]" displayFolder="" count="0" memberValueDatatype="20" unbalanced="0"/>
    <cacheHierarchy uniqueName="[fCoveckiResursi].[Износ]" caption="Износ" attribute="1" defaultMemberUniqueName="[fCoveckiResursi].[Износ].[All]" allUniqueName="[fCoveckiResursi].[Износ].[All]" dimensionUniqueName="[fCoveckiResursi]" displayFolder="" count="0" memberValueDatatype="20" unbalanced="0"/>
    <cacheHierarchy uniqueName="[fCoveckiResursi].[Конто]" caption="Конто" attribute="1" defaultMemberUniqueName="[fCoveckiResursi].[Конто].[All]" allUniqueName="[fCoveckiResursi].[Конто].[All]" dimensionUniqueName="[fCoveckiResursi]" displayFolder="" count="0" memberValueDatatype="130" unbalanced="0"/>
    <cacheHierarchy uniqueName="[fCoveckiResursi].[ReportType]" caption="ReportType" attribute="1" defaultMemberUniqueName="[fCoveckiResursi].[ReportType].[All]" allUniqueName="[fCoveckiResursi].[ReportType].[All]" dimensionUniqueName="[fCoveckiResursi]" displayFolder="" count="0" memberValueDatatype="130" unbalanced="0"/>
    <cacheHierarchy uniqueName="[fCoveckiResursi].[Период (Year)]" caption="Период (Year)" attribute="1" defaultMemberUniqueName="[fCoveckiResursi].[Период (Year)].[All]" allUniqueName="[fCoveckiResursi].[Период (Year)].[All]" dimensionUniqueName="[fCoveckiResursi]" displayFolder="" count="0" memberValueDatatype="130" unbalanced="0"/>
    <cacheHierarchy uniqueName="[fCoveckiResursi].[Период (Quarter)]" caption="Период (Quarter)" attribute="1" defaultMemberUniqueName="[fCoveckiResursi].[Период (Quarter)].[All]" allUniqueName="[fCoveckiResursi].[Период (Quarter)].[All]" dimensionUniqueName="[fCoveckiResursi]" displayFolder="" count="0" memberValueDatatype="130" unbalanced="0"/>
    <cacheHierarchy uniqueName="[fCoveckiResursi].[Период (Month)]" caption="Период (Month)" attribute="1" defaultMemberUniqueName="[fCoveckiResursi].[Период (Month)].[All]" allUniqueName="[fCoveckiResursi].[Период (Month)].[All]" dimensionUniqueName="[fCoveckiResursi]" displayFolder="" count="0" memberValueDatatype="130" unbalanced="0"/>
    <cacheHierarchy uniqueName="[fCoveckiResursi].[Период (Year) 1]" caption="Период (Year) 1" attribute="1" defaultMemberUniqueName="[fCoveckiResursi].[Период (Year) 1].[All]" allUniqueName="[fCoveckiResursi].[Период (Year) 1].[All]" dimensionUniqueName="[fCoveckiResursi]" displayFolder="" count="0" memberValueDatatype="130" unbalanced="0"/>
    <cacheHierarchy uniqueName="[fCoveckiResursi].[Период (Quarter) 1]" caption="Период (Quarter) 1" attribute="1" defaultMemberUniqueName="[fCoveckiResursi].[Период (Quarter) 1].[All]" allUniqueName="[fCoveckiResursi].[Период (Quarter) 1].[All]" dimensionUniqueName="[fCoveckiResursi]" displayFolder="" count="0" memberValueDatatype="130" unbalanced="0"/>
    <cacheHierarchy uniqueName="[fCoveckiResursi].[Период (Month) 1]" caption="Период (Month) 1" attribute="1" defaultMemberUniqueName="[fCoveckiResursi].[Период (Month) 1].[All]" allUniqueName="[fCoveckiResursi].[Период (Month) 1].[All]" dimensionUniqueName="[fCoveckiResursi]" displayFolder="" count="0" memberValueDatatype="130" unbalanced="0"/>
    <cacheHierarchy uniqueName="[fCoveckiResursi  2].[Ставка]" caption="Ставка" attribute="1" defaultMemberUniqueName="[fCoveckiResursi  2].[Ставка].[All]" allUniqueName="[fCoveckiResursi  2].[Ставка].[All]" dimensionUniqueName="[fCoveckiResursi  2]" displayFolder="" count="0" memberValueDatatype="130" unbalanced="0"/>
    <cacheHierarchy uniqueName="[fCoveckiResursi  2].[Период]" caption="Период" attribute="1" time="1" defaultMemberUniqueName="[fCoveckiResursi  2].[Период].[All]" allUniqueName="[fCoveckiResursi  2].[Период].[All]" dimensionUniqueName="[fCoveckiResursi  2]" displayFolder="" count="0" memberValueDatatype="7" unbalanced="0"/>
    <cacheHierarchy uniqueName="[fCoveckiResursi  2].[Износ]" caption="Износ" attribute="1" defaultMemberUniqueName="[fCoveckiResursi  2].[Износ].[All]" allUniqueName="[fCoveckiResursi  2].[Износ].[All]" dimensionUniqueName="[fCoveckiResursi  2]" displayFolder="" count="0" memberValueDatatype="20" unbalanced="0"/>
    <cacheHierarchy uniqueName="[fCoveckiResursi  2].[Конто]" caption="Конто" attribute="1" defaultMemberUniqueName="[fCoveckiResursi  2].[Конто].[All]" allUniqueName="[fCoveckiResursi  2].[Конто].[All]" dimensionUniqueName="[fCoveckiResursi  2]" displayFolder="" count="0" memberValueDatatype="130" unbalanced="0"/>
    <cacheHierarchy uniqueName="[fCoveckiResursi  2].[ReportType]" caption="ReportType" attribute="1" defaultMemberUniqueName="[fCoveckiResursi  2].[ReportType].[All]" allUniqueName="[fCoveckiResursi  2].[ReportType].[All]" dimensionUniqueName="[fCoveckiResursi  2]" displayFolder="" count="0" memberValueDatatype="130" unbalanced="0"/>
    <cacheHierarchy uniqueName="[fCoveckiResursi  2].[StavkaImeMK]" caption="StavkaImeMK" attribute="1" defaultMemberUniqueName="[fCoveckiResursi  2].[StavkaImeMK].[All]" allUniqueName="[fCoveckiResursi  2].[StavkaImeMK].[All]" dimensionUniqueName="[fCoveckiResursi  2]" displayFolder="" count="0" memberValueDatatype="130" unbalanced="0"/>
    <cacheHierarchy uniqueName="[fCoveckiResursi  2].[StavkaKategorija]" caption="StavkaKategorija" attribute="1" defaultMemberUniqueName="[fCoveckiResursi  2].[StavkaKategorija].[All]" allUniqueName="[fCoveckiResursi  2].[StavkaKategorija].[All]" dimensionUniqueName="[fCoveckiResursi  2]" displayFolder="" count="0" memberValueDatatype="130" unbalanced="0"/>
    <cacheHierarchy uniqueName="[fCoveckiResursi  2].[ObrazecIme]" caption="ObrazecIme" attribute="1" defaultMemberUniqueName="[fCoveckiResursi  2].[ObrazecIme].[All]" allUniqueName="[fCoveckiResursi  2].[ObrazecIme].[All]" dimensionUniqueName="[fCoveckiResursi  2]" displayFolder="" count="0" memberValueDatatype="130" unbalanced="0"/>
    <cacheHierarchy uniqueName="[fOPEX].[Конто]" caption="Конто" attribute="1" defaultMemberUniqueName="[fOPEX].[Конто].[All]" allUniqueName="[fOPEX].[Конто].[All]" dimensionUniqueName="[fOPEX]" displayFolder="" count="0" memberValueDatatype="130" unbalanced="0"/>
    <cacheHierarchy uniqueName="[fOPEX].[Ставка]" caption="Ставка" attribute="1" defaultMemberUniqueName="[fOPEX].[Ставка].[All]" allUniqueName="[fOPEX].[Ставка].[All]" dimensionUniqueName="[fOPEX]" displayFolder="" count="0" memberValueDatatype="130" unbalanced="0"/>
    <cacheHierarchy uniqueName="[fOPEX].[Период]" caption="Период" attribute="1" time="1" defaultMemberUniqueName="[fOPEX].[Период].[All]" allUniqueName="[fOPEX].[Период].[All]" dimensionUniqueName="[fOPEX]" displayFolder="" count="0" memberValueDatatype="7" unbalanced="0"/>
    <cacheHierarchy uniqueName="[fOPEX].[Износ]" caption="Износ" attribute="1" defaultMemberUniqueName="[fOPEX].[Износ].[All]" allUniqueName="[fOPEX].[Износ].[All]" dimensionUniqueName="[fOPEX]" displayFolder="" count="0" memberValueDatatype="20" unbalanced="0"/>
    <cacheHierarchy uniqueName="[fOPEX].[ReportType]" caption="ReportType" attribute="1" defaultMemberUniqueName="[fOPEX].[ReportType].[All]" allUniqueName="[fOPEX].[ReportType].[All]" dimensionUniqueName="[fOPEX]" displayFolder="" count="0" memberValueDatatype="130" unbalanced="0"/>
    <cacheHierarchy uniqueName="[OPEXAnaliza].[Артикл ИД]" caption="Артикл ИД" attribute="1" defaultMemberUniqueName="[OPEXAnaliza].[Артикл ИД].[All]" allUniqueName="[OPEXAnaliza].[Артикл ИД].[All]" dimensionUniqueName="[OPEXAnaliza]" displayFolder="" count="0" memberValueDatatype="20" unbalanced="0"/>
    <cacheHierarchy uniqueName="[OPEXAnaliza].[Ставка]" caption="Ставка" attribute="1" defaultMemberUniqueName="[OPEXAnaliza].[Ставка].[All]" allUniqueName="[OPEXAnaliza].[Ставка].[All]" dimensionUniqueName="[OPEXAnaliza]" displayFolder="" count="0" memberValueDatatype="130" unbalanced="0"/>
    <cacheHierarchy uniqueName="[OPEXAnaliza].[Категорија Артикл ИД]" caption="Категорија Артикл ИД" attribute="1" defaultMemberUniqueName="[OPEXAnaliza].[Категорија Артикл ИД].[All]" allUniqueName="[OPEXAnaliza].[Категорија Артикл ИД].[All]" dimensionUniqueName="[OPEXAnaliza]" displayFolder="" count="0" memberValueDatatype="20" unbalanced="0"/>
    <cacheHierarchy uniqueName="[OPEXAnaliza].[Категорија Артикл]" caption="Категорија Артикл" attribute="1" defaultMemberUniqueName="[OPEXAnaliza].[Категорија Артикл].[All]" allUniqueName="[OPEXAnaliza].[Категорија Артикл].[All]" dimensionUniqueName="[OPEXAnaliza]" displayFolder="" count="0" memberValueDatatype="130" unbalanced="0"/>
    <cacheHierarchy uniqueName="[OPEXAnaliza].[Тип на артикл]" caption="Тип на артикл" attribute="1" defaultMemberUniqueName="[OPEXAnaliza].[Тип на артикл].[All]" allUniqueName="[OPEXAnaliza].[Тип на артикл].[All]" dimensionUniqueName="[OPEXAnaliza]" displayFolder="" count="0" memberValueDatatype="130" unbalanced="0"/>
    <cacheHierarchy uniqueName="[OPEXAnaliza].[Единечна мерка]" caption="Единечна мерка" attribute="1" defaultMemberUniqueName="[OPEXAnaliza].[Единечна мерка].[All]" allUniqueName="[OPEXAnaliza].[Единечна мерка].[All]" dimensionUniqueName="[OPEXAnaliza]" displayFolder="" count="0" memberValueDatatype="130" unbalanced="0"/>
    <cacheHierarchy uniqueName="[OPEXAnaliza].[Количина]" caption="Количина" attribute="1" defaultMemberUniqueName="[OPEXAnaliza].[Количина].[All]" allUniqueName="[OPEXAnaliza].[Количина].[All]" dimensionUniqueName="[OPEXAnaliza]" displayFolder="" count="0" memberValueDatatype="5" unbalanced="0"/>
    <cacheHierarchy uniqueName="[OPEXAnaliza].[Единечна цена]" caption="Единечна цена" attribute="1" defaultMemberUniqueName="[OPEXAnaliza].[Единечна цена].[All]" allUniqueName="[OPEXAnaliza].[Единечна цена].[All]" dimensionUniqueName="[OPEXAnaliza]" displayFolder="" count="0" memberValueDatatype="20" unbalanced="0"/>
    <cacheHierarchy uniqueName="[OPEXAnaliza].[Износ]" caption="Износ" attribute="1" defaultMemberUniqueName="[OPEXAnaliza].[Износ].[All]" allUniqueName="[OPEXAnaliza].[Износ].[All]" dimensionUniqueName="[OPEXAnaliza]" displayFolder="" count="0" memberValueDatatype="5" unbalanced="0"/>
    <cacheHierarchy uniqueName="[OPEXAnaliza].[ДДВ]" caption="ДДВ" attribute="1" defaultMemberUniqueName="[OPEXAnaliza].[ДДВ].[All]" allUniqueName="[OPEXAnaliza].[ДДВ].[All]" dimensionUniqueName="[OPEXAnaliza]" displayFolder="" count="0" memberValueDatatype="5" unbalanced="0"/>
    <cacheHierarchy uniqueName="[OPEXAnaliza].[Вкупно трошок со ДДВ]" caption="Вкупно трошок со ДДВ" attribute="1" defaultMemberUniqueName="[OPEXAnaliza].[Вкупно трошок со ДДВ].[All]" allUniqueName="[OPEXAnaliza].[Вкупно трошок со ДДВ].[All]" dimensionUniqueName="[OPEXAnaliza]" displayFolder="" count="0" memberValueDatatype="5" unbalanced="0"/>
    <cacheHierarchy uniqueName="[OPEXAnaliza].[Конто]" caption="Конто" attribute="1" defaultMemberUniqueName="[OPEXAnaliza].[Конто].[All]" allUniqueName="[OPEXAnaliza].[Конто].[All]" dimensionUniqueName="[OPEXAnaliza]" displayFolder="" count="0" memberValueDatatype="130" unbalanced="0"/>
    <cacheHierarchy uniqueName="[OPEXAnaliza].[Период]" caption="Период" attribute="1" time="1" defaultMemberUniqueName="[OPEXAnaliza].[Период].[All]" allUniqueName="[OPEXAnaliza].[Период].[All]" dimensionUniqueName="[OPEXAnaliza]" displayFolder="" count="0" memberValueDatatype="7" unbalanced="0"/>
    <cacheHierarchy uniqueName="[OPEXAnaliza].[ReportType]" caption="ReportType" attribute="1" defaultMemberUniqueName="[OPEXAnaliza].[ReportType].[All]" allUniqueName="[OPEXAnaliza].[ReportType].[All]" dimensionUniqueName="[OPEXAnaliza]" displayFolder="" count="0" memberValueDatatype="130" unbalanced="0"/>
    <cacheHierarchy uniqueName="[OPEXAnaliza].[StavkaImeMK]" caption="StavkaImeMK" attribute="1" defaultMemberUniqueName="[OPEXAnaliza].[StavkaImeMK].[All]" allUniqueName="[OPEXAnaliza].[StavkaImeMK].[All]" dimensionUniqueName="[OPEXAnaliza]" displayFolder="" count="0" memberValueDatatype="130" unbalanced="0"/>
    <cacheHierarchy uniqueName="[OPEXAnaliza].[StavkaKategorija]" caption="StavkaKategorija" attribute="1" defaultMemberUniqueName="[OPEXAnaliza].[StavkaKategorija].[All]" allUniqueName="[OPEXAnaliza].[StavkaKategorija].[All]" dimensionUniqueName="[OPEXAnaliza]" displayFolder="" count="0" memberValueDatatype="130" unbalanced="0"/>
    <cacheHierarchy uniqueName="[OPEXAnaliza].[ObrazecIme]" caption="ObrazecIme" attribute="1" defaultMemberUniqueName="[OPEXAnaliza].[ObrazecIme].[All]" allUniqueName="[OPEXAnaliza].[ObrazecIme].[All]" dimensionUniqueName="[OPEXAnaliza]" displayFolder="" count="0" memberValueDatatype="130" unbalanced="0"/>
    <cacheHierarchy uniqueName="[OPEXAnaliza].[StavkaImeAOP]" caption="StavkaImeAOP" attribute="1" defaultMemberUniqueName="[OPEXAnaliza].[StavkaImeAOP].[All]" allUniqueName="[OPEXAnaliza].[StavkaImeAOP].[All]" dimensionUniqueName="[OPEXAnaliza]" displayFolder="" count="0" memberValueDatatype="20" unbalanced="0"/>
    <cacheHierarchy uniqueName="[OPEXAnaliza].[Период (Year)]" caption="Период (Year)" attribute="1" defaultMemberUniqueName="[OPEXAnaliza].[Период (Year)].[All]" allUniqueName="[OPEXAnaliza].[Период (Year)].[All]" dimensionUniqueName="[OPEXAnaliza]" displayFolder="" count="0" memberValueDatatype="130" unbalanced="0"/>
    <cacheHierarchy uniqueName="[OPEXAnaliza].[Период (Quarter)]" caption="Период (Quarter)" attribute="1" defaultMemberUniqueName="[OPEXAnaliza].[Период (Quarter)].[All]" allUniqueName="[OPEXAnaliza].[Период (Quarter)].[All]" dimensionUniqueName="[OPEXAnaliza]" displayFolder="" count="0" memberValueDatatype="130" unbalanced="0"/>
    <cacheHierarchy uniqueName="[OPEXAnaliza].[Период (Month)]" caption="Период (Month)" attribute="1" defaultMemberUniqueName="[OPEXAnaliza].[Период (Month)].[All]" allUniqueName="[OPEXAnaliza].[Период (Month)].[All]" dimensionUniqueName="[OPEXAnaliza]" displayFolder="" count="0" memberValueDatatype="130" unbalanced="0"/>
    <cacheHierarchy uniqueName="[rArtikli_HR_Analiza].[Ставка]" caption="Ставка" attribute="1" defaultMemberUniqueName="[rArtikli_HR_Analiza].[Ставка].[All]" allUniqueName="[rArtikli_HR_Analiza].[Ставка].[All]" dimensionUniqueName="[rArtikli_HR_Analiza]" displayFolder="" count="0" memberValueDatatype="130" unbalanced="0"/>
    <cacheHierarchy uniqueName="[rArtikli_HR_Analiza].[Категорија Артикл]" caption="Категорија Артикл" attribute="1" defaultMemberUniqueName="[rArtikli_HR_Analiza].[Категорија Артикл].[All]" allUniqueName="[rArtikli_HR_Analiza].[Категорија Артикл].[All]" dimensionUniqueName="[rArtikli_HR_Analiza]" displayFolder="" count="0" memberValueDatatype="130" unbalanced="0"/>
    <cacheHierarchy uniqueName="[rArtikli_HR_Analiza].[Тип на артикл]" caption="Тип на артикл" attribute="1" defaultMemberUniqueName="[rArtikli_HR_Analiza].[Тип на артикл].[All]" allUniqueName="[rArtikli_HR_Analiza].[Тип на артикл].[All]" dimensionUniqueName="[rArtikli_HR_Analiza]" displayFolder="" count="0" memberValueDatatype="130" unbalanced="0"/>
    <cacheHierarchy uniqueName="[rArtikli_HR_Analiza].[Единечна мерка]" caption="Единечна мерка" attribute="1" defaultMemberUniqueName="[rArtikli_HR_Analiza].[Единечна мерка].[All]" allUniqueName="[rArtikli_HR_Analiza].[Единечна мерка].[All]" dimensionUniqueName="[rArtikli_HR_Analiza]" displayFolder="" count="0" memberValueDatatype="130" unbalanced="0"/>
    <cacheHierarchy uniqueName="[rArtikli_HR_Analiza].[Количина]" caption="Количина" attribute="1" defaultMemberUniqueName="[rArtikli_HR_Analiza].[Количина].[All]" allUniqueName="[rArtikli_HR_Analiza].[Количина].[All]" dimensionUniqueName="[rArtikli_HR_Analiza]" displayFolder="" count="0" memberValueDatatype="5" unbalanced="0"/>
    <cacheHierarchy uniqueName="[rArtikli_HR_Analiza].[Единечна цена]" caption="Единечна цена" attribute="1" defaultMemberUniqueName="[rArtikli_HR_Analiza].[Единечна цена].[All]" allUniqueName="[rArtikli_HR_Analiza].[Единечна цена].[All]" dimensionUniqueName="[rArtikli_HR_Analiza]" displayFolder="" count="0" memberValueDatatype="20" unbalanced="0"/>
    <cacheHierarchy uniqueName="[rArtikli_HR_Analiza].[Вкупно трошок]" caption="Вкупно трошок" attribute="1" defaultMemberUniqueName="[rArtikli_HR_Analiza].[Вкупно трошок].[All]" allUniqueName="[rArtikli_HR_Analiza].[Вкупно трошок].[All]" dimensionUniqueName="[rArtikli_HR_Analiza]" displayFolder="" count="0" memberValueDatatype="5" unbalanced="0"/>
    <cacheHierarchy uniqueName="[rArtikli_HR_Analiza].[ДДВ]" caption="ДДВ" attribute="1" defaultMemberUniqueName="[rArtikli_HR_Analiza].[ДДВ].[All]" allUniqueName="[rArtikli_HR_Analiza].[ДДВ].[All]" dimensionUniqueName="[rArtikli_HR_Analiza]" displayFolder="" count="0" memberValueDatatype="5" unbalanced="0"/>
    <cacheHierarchy uniqueName="[rArtikli_HR_Analiza].[Износ]" caption="Износ" attribute="1" defaultMemberUniqueName="[rArtikli_HR_Analiza].[Износ].[All]" allUniqueName="[rArtikli_HR_Analiza].[Износ].[All]" dimensionUniqueName="[rArtikli_HR_Analiza]" displayFolder="" count="0" memberValueDatatype="5" unbalanced="0"/>
    <cacheHierarchy uniqueName="[rArtikli_HR_Analiza].[Конто]" caption="Конто" attribute="1" defaultMemberUniqueName="[rArtikli_HR_Analiza].[Конто].[All]" allUniqueName="[rArtikli_HR_Analiza].[Конто].[All]" dimensionUniqueName="[rArtikli_HR_Analiza]" displayFolder="" count="0" memberValueDatatype="130" unbalanced="0"/>
    <cacheHierarchy uniqueName="[rArtikli_HR_Analiza].[ReportType]" caption="ReportType" attribute="1" defaultMemberUniqueName="[rArtikli_HR_Analiza].[ReportType].[All]" allUniqueName="[rArtikli_HR_Analiza].[ReportType].[All]" dimensionUniqueName="[rArtikli_HR_Analiza]" displayFolder="" count="0" memberValueDatatype="130" unbalanced="0"/>
    <cacheHierarchy uniqueName="[rArtikli_HR_Analiza].[Период]" caption="Период" attribute="1" time="1" defaultMemberUniqueName="[rArtikli_HR_Analiza].[Период].[All]" allUniqueName="[rArtikli_HR_Analiza].[Период].[All]" dimensionUniqueName="[rArtikli_HR_Analiza]" displayFolder="" count="0" memberValueDatatype="7" unbalanced="0"/>
    <cacheHierarchy uniqueName="[rArtikli_HR_Analiza].[StavkaImeMK]" caption="StavkaImeMK" attribute="1" defaultMemberUniqueName="[rArtikli_HR_Analiza].[StavkaImeMK].[All]" allUniqueName="[rArtikli_HR_Analiza].[StavkaImeMK].[All]" dimensionUniqueName="[rArtikli_HR_Analiza]" displayFolder="" count="0" memberValueDatatype="130" unbalanced="0"/>
    <cacheHierarchy uniqueName="[rArtikli_HR_Analiza].[StavkaAOP]" caption="StavkaAOP" attribute="1" defaultMemberUniqueName="[rArtikli_HR_Analiza].[StavkaAOP].[All]" allUniqueName="[rArtikli_HR_Analiza].[StavkaAOP].[All]" dimensionUniqueName="[rArtikli_HR_Analiza]" displayFolder="" count="0" memberValueDatatype="130" unbalanced="0"/>
    <cacheHierarchy uniqueName="[rArtikli_HR_Analiza].[StavkaGrupa]" caption="StavkaGrupa" attribute="1" defaultMemberUniqueName="[rArtikli_HR_Analiza].[StavkaGrupa].[All]" allUniqueName="[rArtikli_HR_Analiza].[StavkaGrupa].[All]" dimensionUniqueName="[rArtikli_HR_Analiza]" displayFolder="" count="0" memberValueDatatype="130" unbalanced="0"/>
    <cacheHierarchy uniqueName="[rArtikli_HR_Analiza].[StavkaKategorija]" caption="StavkaKategorija" attribute="1" defaultMemberUniqueName="[rArtikli_HR_Analiza].[StavkaKategorija].[All]" allUniqueName="[rArtikli_HR_Analiza].[StavkaKategorija].[All]" dimensionUniqueName="[rArtikli_HR_Analiza]" displayFolder="" count="0" memberValueDatatype="130" unbalanced="0"/>
    <cacheHierarchy uniqueName="[rArtikli_HR_Analiza].[ObrazecIme]" caption="ObrazecIme" attribute="1" defaultMemberUniqueName="[rArtikli_HR_Analiza].[ObrazecIme].[All]" allUniqueName="[rArtikli_HR_Analiza].[ObrazecIme].[All]" dimensionUniqueName="[rArtikli_HR_Analiza]" displayFolder="" count="0" memberValueDatatype="130" unbalanced="0"/>
    <cacheHierarchy uniqueName="[rArtikli_HR_Analiza].[StavkaKategorija.1]" caption="StavkaKategorija.1" attribute="1" defaultMemberUniqueName="[rArtikli_HR_Analiza].[StavkaKategorija.1].[All]" allUniqueName="[rArtikli_HR_Analiza].[StavkaKategorija.1].[All]" dimensionUniqueName="[rArtikli_HR_Analiza]" displayFolder="" count="0" memberValueDatatype="130" unbalanced="0"/>
    <cacheHierarchy uniqueName="[rArtikliAnaliza].[Артикл ИД]" caption="Артикл ИД" attribute="1" defaultMemberUniqueName="[rArtikliAnaliza].[Артикл ИД].[All]" allUniqueName="[rArtikliAnaliza].[Артикл ИД].[All]" dimensionUniqueName="[rArtikliAnaliza]" displayFolder="" count="0" memberValueDatatype="20" unbalanced="0"/>
    <cacheHierarchy uniqueName="[rArtikliAnaliza].[Ставка]" caption="Ставка" attribute="1" defaultMemberUniqueName="[rArtikliAnaliza].[Ставка].[All]" allUniqueName="[rArtikliAnaliza].[Ставка].[All]" dimensionUniqueName="[rArtikliAnaliza]" displayFolder="" count="0" memberValueDatatype="130" unbalanced="0"/>
    <cacheHierarchy uniqueName="[rArtikliAnaliza].[Категорија Артикл ИД]" caption="Категорија Артикл ИД" attribute="1" defaultMemberUniqueName="[rArtikliAnaliza].[Категорија Артикл ИД].[All]" allUniqueName="[rArtikliAnaliza].[Категорија Артикл ИД].[All]" dimensionUniqueName="[rArtikliAnaliza]" displayFolder="" count="0" memberValueDatatype="20" unbalanced="0"/>
    <cacheHierarchy uniqueName="[rArtikliAnaliza].[Категорија Артикл]" caption="Категорија Артикл" attribute="1" defaultMemberUniqueName="[rArtikliAnaliza].[Категорија Артикл].[All]" allUniqueName="[rArtikliAnaliza].[Категорија Артикл].[All]" dimensionUniqueName="[rArtikliAnaliza]" displayFolder="" count="0" memberValueDatatype="130" unbalanced="0"/>
    <cacheHierarchy uniqueName="[rArtikliAnaliza].[Тип на артикл]" caption="Тип на артикл" attribute="1" defaultMemberUniqueName="[rArtikliAnaliza].[Тип на артикл].[All]" allUniqueName="[rArtikliAnaliza].[Тип на артикл].[All]" dimensionUniqueName="[rArtikliAnaliza]" displayFolder="" count="0" memberValueDatatype="130" unbalanced="0"/>
    <cacheHierarchy uniqueName="[rArtikliAnaliza].[Единечна мерка]" caption="Единечна мерка" attribute="1" defaultMemberUniqueName="[rArtikliAnaliza].[Единечна мерка].[All]" allUniqueName="[rArtikliAnaliza].[Единечна мерка].[All]" dimensionUniqueName="[rArtikliAnaliza]" displayFolder="" count="0" memberValueDatatype="130" unbalanced="0"/>
    <cacheHierarchy uniqueName="[rArtikliAnaliza].[Количина]" caption="Количина" attribute="1" defaultMemberUniqueName="[rArtikliAnaliza].[Количина].[All]" allUniqueName="[rArtikliAnaliza].[Количина].[All]" dimensionUniqueName="[rArtikliAnaliza]" displayFolder="" count="0" memberValueDatatype="5" unbalanced="0"/>
    <cacheHierarchy uniqueName="[rArtikliAnaliza].[Единечна цена]" caption="Единечна цена" attribute="1" defaultMemberUniqueName="[rArtikliAnaliza].[Единечна цена].[All]" allUniqueName="[rArtikliAnaliza].[Единечна цена].[All]" dimensionUniqueName="[rArtikliAnaliza]" displayFolder="" count="0" memberValueDatatype="20" unbalanced="0"/>
    <cacheHierarchy uniqueName="[rArtikliAnaliza].[Износ]" caption="Износ" attribute="1" defaultMemberUniqueName="[rArtikliAnaliza].[Износ].[All]" allUniqueName="[rArtikliAnaliza].[Износ].[All]" dimensionUniqueName="[rArtikliAnaliza]" displayFolder="" count="0" memberValueDatatype="5" unbalanced="0"/>
    <cacheHierarchy uniqueName="[rArtikliAnaliza].[ДДВ]" caption="ДДВ" attribute="1" defaultMemberUniqueName="[rArtikliAnaliza].[ДДВ].[All]" allUniqueName="[rArtikliAnaliza].[ДДВ].[All]" dimensionUniqueName="[rArtikliAnaliza]" displayFolder="" count="0" memberValueDatatype="5" unbalanced="0"/>
    <cacheHierarchy uniqueName="[rArtikliAnaliza].[Вкупно трошок со ДДВ]" caption="Вкупно трошок со ДДВ" attribute="1" defaultMemberUniqueName="[rArtikliAnaliza].[Вкупно трошок со ДДВ].[All]" allUniqueName="[rArtikliAnaliza].[Вкупно трошок со ДДВ].[All]" dimensionUniqueName="[rArtikliAnaliza]" displayFolder="" count="0" memberValueDatatype="5" unbalanced="0"/>
    <cacheHierarchy uniqueName="[rArtikliAnaliza].[Конто]" caption="Конто" attribute="1" defaultMemberUniqueName="[rArtikliAnaliza].[Конто].[All]" allUniqueName="[rArtikliAnaliza].[Конто].[All]" dimensionUniqueName="[rArtikliAnaliza]" displayFolder="" count="0" memberValueDatatype="130" unbalanced="0"/>
    <cacheHierarchy uniqueName="[rArtikliAnaliza].[Период]" caption="Период" attribute="1" time="1" defaultMemberUniqueName="[rArtikliAnaliza].[Период].[All]" allUniqueName="[rArtikliAnaliza].[Период].[All]" dimensionUniqueName="[rArtikliAnaliza]" displayFolder="" count="0" memberValueDatatype="7" unbalanced="0"/>
    <cacheHierarchy uniqueName="[rArtikliAnaliza].[ReportType]" caption="ReportType" attribute="1" defaultMemberUniqueName="[rArtikliAnaliza].[ReportType].[All]" allUniqueName="[rArtikliAnaliza].[ReportType].[All]" dimensionUniqueName="[rArtikliAnaliza]" displayFolder="" count="0" memberValueDatatype="130" unbalanced="0"/>
    <cacheHierarchy uniqueName="[rArtikliAnaliza].[StavkaImeMK]" caption="StavkaImeMK" attribute="1" defaultMemberUniqueName="[rArtikliAnaliza].[StavkaImeMK].[All]" allUniqueName="[rArtikliAnaliza].[StavkaImeMK].[All]" dimensionUniqueName="[rArtikliAnaliza]" displayFolder="" count="0" memberValueDatatype="130" unbalanced="0"/>
    <cacheHierarchy uniqueName="[rArtikliAnaliza].[StavkaKategorija]" caption="StavkaKategorija" attribute="1" defaultMemberUniqueName="[rArtikliAnaliza].[StavkaKategorija].[All]" allUniqueName="[rArtikliAnaliza].[StavkaKategorija].[All]" dimensionUniqueName="[rArtikliAnaliza]" displayFolder="" count="0" memberValueDatatype="130" unbalanced="0"/>
    <cacheHierarchy uniqueName="[rArtikliAnaliza].[Период (Year)]" caption="Период (Year)" attribute="1" defaultMemberUniqueName="[rArtikliAnaliza].[Период (Year)].[All]" allUniqueName="[rArtikliAnaliza].[Период (Year)].[All]" dimensionUniqueName="[rArtikliAnaliza]" displayFolder="" count="0" memberValueDatatype="130" unbalanced="0"/>
    <cacheHierarchy uniqueName="[rArtikliAnaliza].[Период (Quarter)]" caption="Период (Quarter)" attribute="1" defaultMemberUniqueName="[rArtikliAnaliza].[Период (Quarter)].[All]" allUniqueName="[rArtikliAnaliza].[Период (Quarter)].[All]" dimensionUniqueName="[rArtikliAnaliza]" displayFolder="" count="0" memberValueDatatype="130" unbalanced="0"/>
    <cacheHierarchy uniqueName="[rArtikliAnaliza].[Период (Month)]" caption="Период (Month)" attribute="1" defaultMemberUniqueName="[rArtikliAnaliza].[Период (Month)].[All]" allUniqueName="[rArtikliAnaliza].[Период (Month)].[All]" dimensionUniqueName="[rArtikliAnaliza]" displayFolder="" count="0" memberValueDatatype="130" unbalanced="0"/>
    <cacheHierarchy uniqueName="[CAPEX].[Очекуван датум за ставање во употреба (месец) (Month Index)]" caption="Очекуван датум за ставање во употреба (месец) (Month Index)" attribute="1" defaultMemberUniqueName="[CAPEX].[Очекуван датум за ставање во употреба (месец) (Month Index)].[All]" allUniqueName="[CAPEX].[Очекуван датум за ставање во употреба (месец) (Month Index)].[All]" dimensionUniqueName="[CAPEX]" displayFolder="" count="0" memberValueDatatype="20" unbalanced="0" hidden="1"/>
    <cacheHierarchy uniqueName="[CAPEX].[Очекуван датум на плаќање (Month Index)]" caption="Очекуван датум на плаќање (Month Index)" attribute="1" defaultMemberUniqueName="[CAPEX].[Очекуван датум на плаќање (Month Index)].[All]" allUniqueName="[CAPEX].[Очекуван датум на плаќање (Month Index)].[All]" dimensionUniqueName="[CAPEX]" displayFolder="" count="0" memberValueDatatype="20" unbalanced="0" hidden="1"/>
    <cacheHierarchy uniqueName="[fActualAndBudget].[StavkaID]" caption="StavkaID" attribute="1" defaultMemberUniqueName="[fActualAndBudget].[StavkaID].[All]" allUniqueName="[fActualAndBudget].[StavkaID].[All]" dimensionUniqueName="[fActualAndBudget]" displayFolder="" count="0" memberValueDatatype="20" unbalanced="0" hidden="1"/>
    <cacheHierarchy uniqueName="[fCoveckiResursi].[Период (Month Index)]" caption="Период (Month Index)" attribute="1" defaultMemberUniqueName="[fCoveckiResursi].[Период (Month Index)].[All]" allUniqueName="[fCoveckiResursi].[Период (Month Index)].[All]" dimensionUniqueName="[fCoveckiResursi]" displayFolder="" count="0" memberValueDatatype="20" unbalanced="0" hidden="1"/>
    <cacheHierarchy uniqueName="[fCoveckiResursi].[Период (Month Index) 1]" caption="Период (Month Index) 1" attribute="1" defaultMemberUniqueName="[fCoveckiResursi].[Период (Month Index) 1].[All]" allUniqueName="[fCoveckiResursi].[Период (Month Index) 1].[All]" dimensionUniqueName="[fCoveckiResursi]" displayFolder="" count="0" memberValueDatatype="20" unbalanced="0" hidden="1"/>
    <cacheHierarchy uniqueName="[OPEXAnaliza].[Период (Month Index)]" caption="Период (Month Index)" attribute="1" defaultMemberUniqueName="[OPEXAnaliza].[Период (Month Index)].[All]" allUniqueName="[OPEXAnaliza].[Период (Month Index)].[All]" dimensionUniqueName="[OPEXAnaliza]" displayFolder="" count="0" memberValueDatatype="20" unbalanced="0" hidden="1"/>
    <cacheHierarchy uniqueName="[rArtikli_HR_Analiza].[Крајна состојба вработени]" caption="Крајна состојба вработени" attribute="1" defaultMemberUniqueName="[rArtikli_HR_Analiza].[Крајна состојба вработени].[All]" allUniqueName="[rArtikli_HR_Analiza].[Крајна состојба вработени].[All]" dimensionUniqueName="[rArtikli_HR_Analiza]" displayFolder="" count="0" memberValueDatatype="20" unbalanced="0" hidden="1"/>
    <cacheHierarchy uniqueName="[rArtikli_HR_Analiza].[Планиран прилив/(одлив)]" caption="Планиран прилив/(одлив)" attribute="1" defaultMemberUniqueName="[rArtikli_HR_Analiza].[Планиран прилив/(одлив)].[All]" allUniqueName="[rArtikli_HR_Analiza].[Планиран прилив/(одлив)].[All]" dimensionUniqueName="[rArtikli_HR_Analiza]" displayFolder="" count="0" memberValueDatatype="20" unbalanced="0" hidden="1"/>
    <cacheHierarchy uniqueName="[rArtikli_HR_Analiza].[Тип на вработување]" caption="Тип на вработување" attribute="1" defaultMemberUniqueName="[rArtikli_HR_Analiza].[Тип на вработување].[All]" allUniqueName="[rArtikli_HR_Analiza].[Тип на вработување].[All]" dimensionUniqueName="[rArtikli_HR_Analiza]" displayFolder="" count="0" memberValueDatatype="130" unbalanced="0" hidden="1"/>
    <cacheHierarchy uniqueName="[rArtikliAnaliza].[Период (Month Index)]" caption="Период (Month Index)" attribute="1" defaultMemberUniqueName="[rArtikliAnaliza].[Период (Month Index)].[All]" allUniqueName="[rArtikliAnaliza].[Период (Month Index)].[All]" dimensionUniqueName="[rArtikliAnaliza]" displayFolder="" count="0" memberValueDatatype="20" unbalanced="0" hidden="1"/>
    <cacheHierarchy uniqueName="[Measures].[__XL_Count Calendar]" caption="__XL_Count Calendar" measure="1" displayFolder="" measureGroup="Calendar" count="0" hidden="1"/>
    <cacheHierarchy uniqueName="[Measures].[__XL_Count CAPEX]" caption="__XL_Count CAPEX" measure="1" displayFolder="" measureGroup="CAPEX" count="0" hidden="1"/>
    <cacheHierarchy uniqueName="[Measures].[__XL_Count Amortizacija]" caption="__XL_Count Amortizacija" measure="1" displayFolder="" measureGroup="Amortizacija" count="0" hidden="1"/>
    <cacheHierarchy uniqueName="[Measures].[__XL_Count fCoveckiResursi]" caption="__XL_Count fCoveckiResursi" measure="1" displayFolder="" measureGroup="fCoveckiResursi" count="0" hidden="1"/>
    <cacheHierarchy uniqueName="[Measures].[__XL_Count fActualAndBudget]" caption="__XL_Count fActualAndBudget" measure="1" displayFolder="" measureGroup="fActualAndBudget" count="0" hidden="1"/>
    <cacheHierarchy uniqueName="[Measures].[__XL_Count fOPEX]" caption="__XL_Count fOPEX" measure="1" displayFolder="" measureGroup="fOPEX" count="0" hidden="1"/>
    <cacheHierarchy uniqueName="[Measures].[__XL_Count OPEXAnaliza]" caption="__XL_Count OPEXAnaliza" measure="1" displayFolder="" measureGroup="OPEXAnaliza" count="0" hidden="1"/>
    <cacheHierarchy uniqueName="[Measures].[__XL_Count rArtikliAnaliza]" caption="__XL_Count rArtikliAnaliza" measure="1" displayFolder="" measureGroup="rArtikliAnaliza" count="0" hidden="1"/>
    <cacheHierarchy uniqueName="[Measures].[__XL_Count fArtikliCeni]" caption="__XL_Count fArtikliCeni" measure="1" displayFolder="" measureGroup="fArtikliCeni" count="0" hidden="1"/>
    <cacheHierarchy uniqueName="[Measures].[__XL_Count rArtikli_HR_Analiza]" caption="__XL_Count rArtikli_HR_Analiza" measure="1" displayFolder="" measureGroup="rArtikli_HR_Analiza" count="0" hidden="1"/>
    <cacheHierarchy uniqueName="[Measures].[__XL_Count fCoveckiResursi  2]" caption="__XL_Count fCoveckiResursi  2" measure="1" displayFolder="" measureGroup="fCoveckiResursi  2" count="0" hidden="1"/>
    <cacheHierarchy uniqueName="[Measures].[__No measures defined]" caption="__No measures defined" measure="1" displayFolder="" count="0" hidden="1"/>
    <cacheHierarchy uniqueName="[Measures].[Sum of Износ 3]" caption="Sum of Износ 3" measure="1" displayFolder="" measureGroup="fCoveckiResursi" count="0" hidden="1">
      <extLst>
        <ext xmlns:x15="http://schemas.microsoft.com/office/spreadsheetml/2010/11/main" uri="{B97F6D7D-B522-45F9-BDA1-12C45D357490}">
          <x15:cacheHierarchy aggregatedColumn="71"/>
        </ext>
      </extLst>
    </cacheHierarchy>
    <cacheHierarchy uniqueName="[Measures].[Sum of Крајна состојба вработени]" caption="Sum of Крајна состојба вработени" measure="1" displayFolder="" measureGroup="fCoveckiResursi" count="0" hidden="1">
      <extLst>
        <ext xmlns:x15="http://schemas.microsoft.com/office/spreadsheetml/2010/11/main" uri="{B97F6D7D-B522-45F9-BDA1-12C45D357490}">
          <x15:cacheHierarchy aggregatedColumn="70"/>
        </ext>
      </extLst>
    </cacheHierarchy>
    <cacheHierarchy uniqueName="[Measures].[Sum of Планиран прилив/(одлив)]" caption="Sum of Планиран прилив/(одлив)" measure="1" displayFolder="" measureGroup="fCoveckiResursi" count="0" hidden="1">
      <extLst>
        <ext xmlns:x15="http://schemas.microsoft.com/office/spreadsheetml/2010/11/main" uri="{B97F6D7D-B522-45F9-BDA1-12C45D357490}">
          <x15:cacheHierarchy aggregatedColumn="68"/>
        </ext>
      </extLst>
    </cacheHierarchy>
    <cacheHierarchy uniqueName="[Measures].[Sum of Износ]" caption="Sum of Износ" measure="1" displayFolder="" measureGroup="fActualAndBudget" count="0" hidden="1">
      <extLst>
        <ext xmlns:x15="http://schemas.microsoft.com/office/spreadsheetml/2010/11/main" uri="{B97F6D7D-B522-45F9-BDA1-12C45D357490}">
          <x15:cacheHierarchy aggregatedColumn="45"/>
        </ext>
      </extLst>
    </cacheHierarchy>
    <cacheHierarchy uniqueName="[Measures].[Sum of Износ (илјади)]" caption="Sum of Износ (илјади)" measure="1" displayFolder="" measureGroup="fActualAndBudget" count="0" hidden="1">
      <extLst>
        <ext xmlns:x15="http://schemas.microsoft.com/office/spreadsheetml/2010/11/main" uri="{B97F6D7D-B522-45F9-BDA1-12C45D357490}">
          <x15:cacheHierarchy aggregatedColumn="46"/>
        </ext>
      </extLst>
    </cacheHierarchy>
    <cacheHierarchy uniqueName="[Measures].[Sum of Износ1]" caption="Sum of Износ1" measure="1" displayFolder="" measureGroup="fActualAndBudget" count="0" hidden="1">
      <extLst>
        <ext xmlns:x15="http://schemas.microsoft.com/office/spreadsheetml/2010/11/main" uri="{B97F6D7D-B522-45F9-BDA1-12C45D357490}">
          <x15:cacheHierarchy aggregatedColumn="34"/>
        </ext>
      </extLst>
    </cacheHierarchy>
    <cacheHierarchy uniqueName="[Measures].[Sum of Износ 2]" caption="Sum of Износ 2" measure="1" displayFolder="" measureGroup="Amortizacija" count="0" hidden="1">
      <extLst>
        <ext xmlns:x15="http://schemas.microsoft.com/office/spreadsheetml/2010/11/main" uri="{B97F6D7D-B522-45F9-BDA1-12C45D357490}">
          <x15:cacheHierarchy aggregatedColumn="3"/>
        </ext>
      </extLst>
    </cacheHierarchy>
    <cacheHierarchy uniqueName="[Measures].[Sum of Износ 4]" caption="Sum of Износ 4" measure="1" displayFolder="" measureGroup="OPEXAnaliza" count="0" hidden="1">
      <extLst>
        <ext xmlns:x15="http://schemas.microsoft.com/office/spreadsheetml/2010/11/main" uri="{B97F6D7D-B522-45F9-BDA1-12C45D357490}">
          <x15:cacheHierarchy aggregatedColumn="101"/>
        </ext>
      </extLst>
    </cacheHierarchy>
    <cacheHierarchy uniqueName="[Measures].[Sum of Износ донација]" caption="Sum of Износ донација" measure="1" displayFolder="" measureGroup="CAPEX" count="0" hidden="1">
      <extLst>
        <ext xmlns:x15="http://schemas.microsoft.com/office/spreadsheetml/2010/11/main" uri="{B97F6D7D-B522-45F9-BDA1-12C45D357490}">
          <x15:cacheHierarchy aggregatedColumn="24"/>
        </ext>
      </extLst>
    </cacheHierarchy>
    <cacheHierarchy uniqueName="[Measures].[Sum of Вкупно трошок]" caption="Sum of Вкупно трошок" measure="1" displayFolder="" measureGroup="fArtikliCeni" count="0" hidden="1">
      <extLst>
        <ext xmlns:x15="http://schemas.microsoft.com/office/spreadsheetml/2010/11/main" uri="{B97F6D7D-B522-45F9-BDA1-12C45D357490}">
          <x15:cacheHierarchy aggregatedColumn="55"/>
        </ext>
      </extLst>
    </cacheHierarchy>
    <cacheHierarchy uniqueName="[Measures].[Sum of Количина]" caption="Sum of Количина" measure="1" displayFolder="" measureGroup="fArtikliCeni" count="0" hidden="1">
      <extLst>
        <ext xmlns:x15="http://schemas.microsoft.com/office/spreadsheetml/2010/11/main" uri="{B97F6D7D-B522-45F9-BDA1-12C45D357490}">
          <x15:cacheHierarchy aggregatedColumn="53"/>
        </ext>
      </extLst>
    </cacheHierarchy>
    <cacheHierarchy uniqueName="[Measures].[Sum of Единечна цена]" caption="Sum of Единечна цена" measure="1" displayFolder="" measureGroup="fArtikliCeni" count="0" hidden="1">
      <extLst>
        <ext xmlns:x15="http://schemas.microsoft.com/office/spreadsheetml/2010/11/main" uri="{B97F6D7D-B522-45F9-BDA1-12C45D357490}">
          <x15:cacheHierarchy aggregatedColumn="54"/>
        </ext>
      </extLst>
    </cacheHierarchy>
    <cacheHierarchy uniqueName="[Measures].[Sum of ДДВ]" caption="Sum of ДДВ" measure="1" displayFolder="" measureGroup="fArtikliCeni" count="0" hidden="1">
      <extLst>
        <ext xmlns:x15="http://schemas.microsoft.com/office/spreadsheetml/2010/11/main" uri="{B97F6D7D-B522-45F9-BDA1-12C45D357490}">
          <x15:cacheHierarchy aggregatedColumn="56"/>
        </ext>
      </extLst>
    </cacheHierarchy>
    <cacheHierarchy uniqueName="[Measures].[Sum of Износ 6]" caption="Sum of Износ 6" measure="1" displayFolder="" measureGroup="fArtikliCeni" count="0" hidden="1">
      <extLst>
        <ext xmlns:x15="http://schemas.microsoft.com/office/spreadsheetml/2010/11/main" uri="{B97F6D7D-B522-45F9-BDA1-12C45D357490}">
          <x15:cacheHierarchy aggregatedColumn="57"/>
        </ext>
      </extLst>
    </cacheHierarchy>
    <cacheHierarchy uniqueName="[Measures].[Count of Единечна мерка]" caption="Count of Единечна мерка" measure="1" displayFolder="" measureGroup="fArtikliCeni" count="0" hidden="1">
      <extLst>
        <ext xmlns:x15="http://schemas.microsoft.com/office/spreadsheetml/2010/11/main" uri="{B97F6D7D-B522-45F9-BDA1-12C45D357490}">
          <x15:cacheHierarchy aggregatedColumn="52"/>
        </ext>
      </extLst>
    </cacheHierarchy>
    <cacheHierarchy uniqueName="[Measures].[Sum of Количина 2]" caption="Sum of Количина 2" measure="1" displayFolder="" measureGroup="rArtikli_HR_Analiza" count="0" hidden="1">
      <extLst>
        <ext xmlns:x15="http://schemas.microsoft.com/office/spreadsheetml/2010/11/main" uri="{B97F6D7D-B522-45F9-BDA1-12C45D357490}">
          <x15:cacheHierarchy aggregatedColumn="118"/>
        </ext>
      </extLst>
    </cacheHierarchy>
    <cacheHierarchy uniqueName="[Measures].[Sum of Единечна цена 2]" caption="Sum of Единечна цена 2" measure="1" displayFolder="" measureGroup="rArtikli_HR_Analiza" count="0" hidden="1">
      <extLst>
        <ext xmlns:x15="http://schemas.microsoft.com/office/spreadsheetml/2010/11/main" uri="{B97F6D7D-B522-45F9-BDA1-12C45D357490}">
          <x15:cacheHierarchy aggregatedColumn="119"/>
        </ext>
      </extLst>
    </cacheHierarchy>
    <cacheHierarchy uniqueName="[Measures].[Sum of Вкупно трошок 2]" caption="Sum of Вкупно трошок 2" measure="1" displayFolder="" measureGroup="rArtikli_HR_Analiza" count="0" hidden="1">
      <extLst>
        <ext xmlns:x15="http://schemas.microsoft.com/office/spreadsheetml/2010/11/main" uri="{B97F6D7D-B522-45F9-BDA1-12C45D357490}">
          <x15:cacheHierarchy aggregatedColumn="120"/>
        </ext>
      </extLst>
    </cacheHierarchy>
    <cacheHierarchy uniqueName="[Measures].[Sum of ДДВ 2]" caption="Sum of ДДВ 2" measure="1" displayFolder="" measureGroup="rArtikli_HR_Analiza" count="0" hidden="1">
      <extLst>
        <ext xmlns:x15="http://schemas.microsoft.com/office/spreadsheetml/2010/11/main" uri="{B97F6D7D-B522-45F9-BDA1-12C45D357490}">
          <x15:cacheHierarchy aggregatedColumn="121"/>
        </ext>
      </extLst>
    </cacheHierarchy>
    <cacheHierarchy uniqueName="[Measures].[Sum of Износ 7]" caption="Sum of Износ 7" measure="1" displayFolder="" measureGroup="rArtikli_HR_Analiza" count="0" hidden="1">
      <extLst>
        <ext xmlns:x15="http://schemas.microsoft.com/office/spreadsheetml/2010/11/main" uri="{B97F6D7D-B522-45F9-BDA1-12C45D357490}">
          <x15:cacheHierarchy aggregatedColumn="122"/>
        </ext>
      </extLst>
    </cacheHierarchy>
    <cacheHierarchy uniqueName="[Measures].[Sum of Износ 5]" caption="Sum of Износ 5" measure="1" displayFolder="" measureGroup="fCoveckiResursi  2" count="0" hidden="1">
      <extLst>
        <ext xmlns:x15="http://schemas.microsoft.com/office/spreadsheetml/2010/11/main" uri="{B97F6D7D-B522-45F9-BDA1-12C45D357490}">
          <x15:cacheHierarchy aggregatedColumn="82"/>
        </ext>
      </extLst>
    </cacheHierarchy>
    <cacheHierarchy uniqueName="[Measures].[Sum of Проценета вредност на набавка со ДДВ (денари)]" caption="Sum of Проценета вредност на набавка со ДДВ (денари)" measure="1" displayFolder="" measureGroup="CAPEX" count="0" hidden="1">
      <extLst>
        <ext xmlns:x15="http://schemas.microsoft.com/office/spreadsheetml/2010/11/main" uri="{B97F6D7D-B522-45F9-BDA1-12C45D357490}">
          <x15:cacheHierarchy aggregatedColumn="20"/>
        </ext>
      </extLst>
    </cacheHierarchy>
  </cacheHierarchies>
  <kpis count="0"/>
  <extLst>
    <ext xmlns:x14="http://schemas.microsoft.com/office/spreadsheetml/2009/9/main" uri="{725AE2AE-9491-48be-B2B4-4EB974FC3084}">
      <x14:pivotCacheDefinition slicerData="1" pivotCacheId="1790257277" supportSubqueryNonVisual="1" supportSubqueryCalcMem="1" supportAddCalcMems="1"/>
    </ext>
  </extLst>
</pivotCacheDefinition>
</file>

<file path=xl/pivotCache/pivotCacheDefinition3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ngela Sazdova - Doneva" refreshedDate="44899.978510995374" createdVersion="3" refreshedVersion="6" minRefreshableVersion="3" recordCount="0" supportSubquery="1" supportAdvancedDrill="1" xr:uid="{00000000-000A-0000-FFFF-FFFF1F000000}">
  <cacheSource type="external" connectionId="22">
    <extLst>
      <ext xmlns:x14="http://schemas.microsoft.com/office/spreadsheetml/2009/9/main" uri="{F057638F-6D5F-4e77-A914-E7F072B9BCA8}">
        <x14:sourceConnection name="ThisWorkbookDataModel"/>
      </ext>
    </extLst>
  </cacheSource>
  <cacheFields count="0"/>
  <cacheHierarchies count="195">
    <cacheHierarchy uniqueName="[Amortizacija].[Број на јавна набавка (план)]" caption="Број на јавна набавка (план)" attribute="1" defaultMemberUniqueName="[Amortizacija].[Број на јавна набавка (план)].[All]" allUniqueName="[Amortizacija].[Број на јавна набавка (план)].[All]" dimensionUniqueName="[Amortizacija]" displayFolder="" count="0" memberValueDatatype="130" unbalanced="0"/>
    <cacheHierarchy uniqueName="[Amortizacija].[Ставка]" caption="Ставка" attribute="1" defaultMemberUniqueName="[Amortizacija].[Ставка].[All]" allUniqueName="[Amortizacija].[Ставка].[All]" dimensionUniqueName="[Amortizacija]" displayFolder="" count="0" memberValueDatatype="130" unbalanced="0"/>
    <cacheHierarchy uniqueName="[Amortizacija].[Период]" caption="Период" attribute="1" time="1" defaultMemberUniqueName="[Amortizacija].[Период].[All]" allUniqueName="[Amortizacija].[Период].[All]" dimensionUniqueName="[Amortizacija]" displayFolder="" count="0" memberValueDatatype="7" unbalanced="0"/>
    <cacheHierarchy uniqueName="[Amortizacija].[Износ]" caption="Износ" attribute="1" defaultMemberUniqueName="[Amortizacija].[Износ].[All]" allUniqueName="[Amortizacija].[Износ].[All]" dimensionUniqueName="[Amortizacija]" displayFolder="" count="0" memberValueDatatype="20" unbalanced="0"/>
    <cacheHierarchy uniqueName="[Amortizacija].[Конто]" caption="Конто" attribute="1" defaultMemberUniqueName="[Amortizacija].[Конто].[All]" allUniqueName="[Amortizacija].[Конто].[All]" dimensionUniqueName="[Amortizacija]" displayFolder="" count="0" memberValueDatatype="130" unbalanced="0"/>
    <cacheHierarchy uniqueName="[Amortizacija].[ReportType]" caption="ReportType" attribute="1" defaultMemberUniqueName="[Amortizacija].[ReportType].[All]" allUniqueName="[Amortizacija].[ReportType].[All]" dimensionUniqueName="[Amortizacija]" displayFolder="" count="0" memberValueDatatype="130" unbalanced="0"/>
    <cacheHierarchy uniqueName="[Calendar].[Date]" caption="Date" attribute="1" time="1" keyAttribute="1" defaultMemberUniqueName="[Calendar].[Date].[All]" allUniqueName="[Calendar].[Date].[All]" dimensionUniqueName="[Calendar]" displayFolder="" count="0" memberValueDatatype="7" unbalanced="0"/>
    <cacheHierarchy uniqueName="[Calendar].[Date Hierarchy]" caption="Date Hierarchy" time="1" defaultMemberUniqueName="[Calendar].[Date Hierarchy].[All]" allUniqueName="[Calendar].[Date Hierarchy].[All]" dimensionUniqueName="[Calendar]" displayFolder="" count="4" unbalanced="0"/>
    <cacheHierarchy uniqueName="[Calendar].[Година]" caption="Година" attribute="1" time="1" defaultMemberUniqueName="[Calendar].[Година].[All]" allUniqueName="[Calendar].[Година].[All]" dimensionUniqueName="[Calendar]" displayFolder="" count="0" memberValueDatatype="20" unbalanced="0"/>
    <cacheHierarchy uniqueName="[Calendar].[Month Number]" caption="Month Number" attribute="1" time="1" defaultMemberUniqueName="[Calendar].[Month Number].[All]" allUniqueName="[Calendar].[Month Number].[All]" dimensionUniqueName="[Calendar]" displayFolder="" count="0" memberValueDatatype="20" unbalanced="0"/>
    <cacheHierarchy uniqueName="[Calendar].[Месец]" caption="Месец" attribute="1" time="1" defaultMemberUniqueName="[Calendar].[Месец].[All]" allUniqueName="[Calendar].[Месец].[All]" dimensionUniqueName="[Calendar]" displayFolder="" count="0" memberValueDatatype="130" unbalanced="0"/>
    <cacheHierarchy uniqueName="[Calendar].[MMM-YYYY]" caption="MMM-YYYY" attribute="1" time="1" defaultMemberUniqueName="[Calendar].[MMM-YYYY].[All]" allUniqueName="[Calendar].[MMM-YYYY].[All]" dimensionUniqueName="[Calendar]" displayFolder="" count="0" memberValueDatatype="130" unbalanced="0"/>
    <cacheHierarchy uniqueName="[Calendar].[Day Of Week Number]" caption="Day Of Week Number" attribute="1" time="1" defaultMemberUniqueName="[Calendar].[Day Of Week Number].[All]" allUniqueName="[Calendar].[Day Of Week Number].[All]" dimensionUniqueName="[Calendar]" displayFolder="" count="0" memberValueDatatype="20" unbalanced="0"/>
    <cacheHierarchy uniqueName="[Calendar].[Day Of Week]" caption="Day Of Week" attribute="1" time="1" defaultMemberUniqueName="[Calendar].[Day Of Week].[All]" allUniqueName="[Calendar].[Day Of Week].[All]" dimensionUniqueName="[Calendar]" displayFolder="" count="0" memberValueDatatype="130" unbalanced="0"/>
    <cacheHierarchy uniqueName="[Calendar].[Квартал]" caption="Квартал" attribute="1" time="1" defaultMemberUniqueName="[Calendar].[Квартал].[All]" allUniqueName="[Calendar].[Квартал].[All]" dimensionUniqueName="[Calendar]" displayFolder="" count="0" memberValueDatatype="7" unbalanced="0"/>
    <cacheHierarchy uniqueName="[CAPEX].[Година за реализација на проект]" caption="Година за реализација на проект" attribute="1" defaultMemberUniqueName="[CAPEX].[Година за реализација на проект].[All]" allUniqueName="[CAPEX].[Година за реализација на проект].[All]" dimensionUniqueName="[CAPEX]" displayFolder="" count="0" memberValueDatatype="20" unbalanced="0"/>
    <cacheHierarchy uniqueName="[CAPEX].[Број на јавна набавка (план)]" caption="Број на јавна набавка (план)" attribute="1" defaultMemberUniqueName="[CAPEX].[Број на јавна набавка (план)].[All]" allUniqueName="[CAPEX].[Број на јавна набавка (план)].[All]" dimensionUniqueName="[CAPEX]" displayFolder="" count="0" memberValueDatatype="130" unbalanced="0"/>
    <cacheHierarchy uniqueName="[CAPEX].[Предмет на договорот за јавна набавка]" caption="Предмет на договорот за јавна набавка" attribute="1" defaultMemberUniqueName="[CAPEX].[Предмет на договорот за јавна набавка].[All]" allUniqueName="[CAPEX].[Предмет на договорот за јавна набавка].[All]" dimensionUniqueName="[CAPEX]" displayFolder="" count="0" memberValueDatatype="130" unbalanced="0"/>
    <cacheHierarchy uniqueName="[CAPEX].[Очекуван датум на плаќање]" caption="Очекуван датум на плаќање" attribute="1" time="1" defaultMemberUniqueName="[CAPEX].[Очекуван датум на плаќање].[All]" allUniqueName="[CAPEX].[Очекуван датум на плаќање].[All]" dimensionUniqueName="[CAPEX]" displayFolder="" count="0" memberValueDatatype="7" unbalanced="0"/>
    <cacheHierarchy uniqueName="[CAPEX].[Очекуван датум за ставање во употреба (месец)]" caption="Очекуван датум за ставање во употреба (месец)" attribute="1" time="1" defaultMemberUniqueName="[CAPEX].[Очекуван датум за ставање во употреба (месец)].[All]" allUniqueName="[CAPEX].[Очекуван датум за ставање во употреба (месец)].[All]" dimensionUniqueName="[CAPEX]" displayFolder="" count="0" memberValueDatatype="7" unbalanced="0"/>
    <cacheHierarchy uniqueName="[CAPEX].[Проценета вредност на набавка со ДДВ (денари)]" caption="Проценета вредност на набавка со ДДВ (денари)" attribute="1" defaultMemberUniqueName="[CAPEX].[Проценета вредност на набавка со ДДВ (денари)].[All]" allUniqueName="[CAPEX].[Проценета вредност на набавка со ДДВ (денари)].[All]" dimensionUniqueName="[CAPEX]" displayFolder="" count="0" memberValueDatatype="20" unbalanced="0"/>
    <cacheHierarchy uniqueName="[CAPEX].[Стапка на амортизација]" caption="Стапка на амортизација" attribute="1" defaultMemberUniqueName="[CAPEX].[Стапка на амортизација].[All]" allUniqueName="[CAPEX].[Стапка на амортизација].[All]" dimensionUniqueName="[CAPEX]" displayFolder="" count="0" memberValueDatatype="5" unbalanced="0"/>
    <cacheHierarchy uniqueName="[CAPEX].[Конто Средства]" caption="Конто Средства" attribute="1" defaultMemberUniqueName="[CAPEX].[Конто Средства].[All]" allUniqueName="[CAPEX].[Конто Средства].[All]" dimensionUniqueName="[CAPEX]" displayFolder="" count="0" memberValueDatatype="130" unbalanced="0"/>
    <cacheHierarchy uniqueName="[CAPEX].[Конто Амортизација]" caption="Конто Амортизација" attribute="1" defaultMemberUniqueName="[CAPEX].[Конто Амортизација].[All]" allUniqueName="[CAPEX].[Конто Амортизација].[All]" dimensionUniqueName="[CAPEX]" displayFolder="" count="0" memberValueDatatype="130" unbalanced="0"/>
    <cacheHierarchy uniqueName="[CAPEX].[Износ донација]" caption="Износ донација" attribute="1" defaultMemberUniqueName="[CAPEX].[Износ донација].[All]" allUniqueName="[CAPEX].[Износ донација].[All]" dimensionUniqueName="[CAPEX]" displayFolder="" count="0" memberValueDatatype="20" unbalanced="0"/>
    <cacheHierarchy uniqueName="[CAPEX].[Очекуван датум на плаќање (Year)]" caption="Очекуван датум на плаќање (Year)" attribute="1" defaultMemberUniqueName="[CAPEX].[Очекуван датум на плаќање (Year)].[All]" allUniqueName="[CAPEX].[Очекуван датум на плаќање (Year)].[All]" dimensionUniqueName="[CAPEX]" displayFolder="" count="0" memberValueDatatype="130" unbalanced="0"/>
    <cacheHierarchy uniqueName="[CAPEX].[Очекуван датум на плаќање (Quarter)]" caption="Очекуван датум на плаќање (Quarter)" attribute="1" defaultMemberUniqueName="[CAPEX].[Очекуван датум на плаќање (Quarter)].[All]" allUniqueName="[CAPEX].[Очекуван датум на плаќање (Quarter)].[All]" dimensionUniqueName="[CAPEX]" displayFolder="" count="0" memberValueDatatype="130" unbalanced="0"/>
    <cacheHierarchy uniqueName="[CAPEX].[Очекуван датум на плаќање (Month)]" caption="Очекуван датум на плаќање (Month)" attribute="1" defaultMemberUniqueName="[CAPEX].[Очекуван датум на плаќање (Month)].[All]" allUniqueName="[CAPEX].[Очекуван датум на плаќање (Month)].[All]" dimensionUniqueName="[CAPEX]" displayFolder="" count="0" memberValueDatatype="130" unbalanced="0"/>
    <cacheHierarchy uniqueName="[CAPEX].[Очекуван датум за ставање во употреба (месец) (Year)]" caption="Очекуван датум за ставање во употреба (месец) (Year)" attribute="1" defaultMemberUniqueName="[CAPEX].[Очекуван датум за ставање во употреба (месец) (Year)].[All]" allUniqueName="[CAPEX].[Очекуван датум за ставање во употреба (месец) (Year)].[All]" dimensionUniqueName="[CAPEX]" displayFolder="" count="0" memberValueDatatype="130" unbalanced="0"/>
    <cacheHierarchy uniqueName="[CAPEX].[Очекуван датум за ставање во употреба (месец) (Quarter)]" caption="Очекуван датум за ставање во употреба (месец) (Quarter)" attribute="1" defaultMemberUniqueName="[CAPEX].[Очекуван датум за ставање во употреба (месец) (Quarter)].[All]" allUniqueName="[CAPEX].[Очекуван датум за ставање во употреба (месец) (Quarter)].[All]" dimensionUniqueName="[CAPEX]" displayFolder="" count="0" memberValueDatatype="130" unbalanced="0"/>
    <cacheHierarchy uniqueName="[CAPEX].[Очекуван датум за ставање во употреба (месец) (Month)]" caption="Очекуван датум за ставање во употреба (месец) (Month)" attribute="1" defaultMemberUniqueName="[CAPEX].[Очекуван датум за ставање во употреба (месец) (Month)].[All]" allUniqueName="[CAPEX].[Очекуван датум за ставање во употреба (месец) (Month)].[All]" dimensionUniqueName="[CAPEX]" displayFolder="" count="0" memberValueDatatype="130" unbalanced="0"/>
    <cacheHierarchy uniqueName="[fActualAndBudget].[Конто]" caption="Конто" attribute="1" defaultMemberUniqueName="[fActualAndBudget].[Конто].[All]" allUniqueName="[fActualAndBudget].[Конто].[All]" dimensionUniqueName="[fActualAndBudget]" displayFolder="" count="0" memberValueDatatype="130" unbalanced="0"/>
    <cacheHierarchy uniqueName="[fActualAndBudget].[Назив на конто]" caption="Назив на конто" attribute="1" defaultMemberUniqueName="[fActualAndBudget].[Назив на конто].[All]" allUniqueName="[fActualAndBudget].[Назив на конто].[All]" dimensionUniqueName="[fActualAndBudget]" displayFolder="" count="0" memberValueDatatype="130" unbalanced="0"/>
    <cacheHierarchy uniqueName="[fActualAndBudget].[Период]" caption="Период" attribute="1" time="1" defaultMemberUniqueName="[fActualAndBudget].[Период].[All]" allUniqueName="[fActualAndBudget].[Период].[All]" dimensionUniqueName="[fActualAndBudget]" displayFolder="" count="0" memberValueDatatype="7" unbalanced="0"/>
    <cacheHierarchy uniqueName="[fActualAndBudget].[Износ1]" caption="Износ1" attribute="1" defaultMemberUniqueName="[fActualAndBudget].[Износ1].[All]" allUniqueName="[fActualAndBudget].[Износ1].[All]" dimensionUniqueName="[fActualAndBudget]" displayFolder="" count="0" memberValueDatatype="20" unbalanced="0"/>
    <cacheHierarchy uniqueName="[fActualAndBudget].[ReportType]" caption="ReportType" attribute="1" defaultMemberUniqueName="[fActualAndBudget].[ReportType].[All]" allUniqueName="[fActualAndBudget].[ReportType].[All]" dimensionUniqueName="[fActualAndBudget]" displayFolder="" count="0" memberValueDatatype="130" unbalanced="0"/>
    <cacheHierarchy uniqueName="[fActualAndBudget].[Ставка]" caption="Ставка" attribute="1" defaultMemberUniqueName="[fActualAndBudget].[Ставка].[All]" allUniqueName="[fActualAndBudget].[Ставка].[All]" dimensionUniqueName="[fActualAndBudget]" displayFolder="" count="0" memberValueDatatype="130" unbalanced="0"/>
    <cacheHierarchy uniqueName="[fActualAndBudget].[Број на јавна набавка (план)]" caption="Број на јавна набавка (план)" attribute="1" defaultMemberUniqueName="[fActualAndBudget].[Број на јавна набавка (план)].[All]" allUniqueName="[fActualAndBudget].[Број на јавна набавка (план)].[All]" dimensionUniqueName="[fActualAndBudget]" displayFolder="" count="0" memberValueDatatype="130" unbalanced="0"/>
    <cacheHierarchy uniqueName="[fActualAndBudget].[StavkaImeMK]" caption="StavkaImeMK" attribute="1" defaultMemberUniqueName="[fActualAndBudget].[StavkaImeMK].[All]" allUniqueName="[fActualAndBudget].[StavkaImeMK].[All]" dimensionUniqueName="[fActualAndBudget]" displayFolder="" count="0" memberValueDatatype="130" unbalanced="0"/>
    <cacheHierarchy uniqueName="[fActualAndBudget].[StavkaGrupa]" caption="StavkaGrupa" attribute="1" defaultMemberUniqueName="[fActualAndBudget].[StavkaGrupa].[All]" allUniqueName="[fActualAndBudget].[StavkaGrupa].[All]" dimensionUniqueName="[fActualAndBudget]" displayFolder="" count="0" memberValueDatatype="130" unbalanced="0"/>
    <cacheHierarchy uniqueName="[fActualAndBudget].[StavkaKategorija]" caption="StavkaKategorija" attribute="1" defaultMemberUniqueName="[fActualAndBudget].[StavkaKategorija].[All]" allUniqueName="[fActualAndBudget].[StavkaKategorija].[All]" dimensionUniqueName="[fActualAndBudget]" displayFolder="" count="2" memberValueDatatype="130" unbalanced="0"/>
    <cacheHierarchy uniqueName="[fActualAndBudget].[ZnakIzvestaj]" caption="ZnakIzvestaj" attribute="1" defaultMemberUniqueName="[fActualAndBudget].[ZnakIzvestaj].[All]" allUniqueName="[fActualAndBudget].[ZnakIzvestaj].[All]" dimensionUniqueName="[fActualAndBudget]" displayFolder="" count="0" memberValueDatatype="20" unbalanced="0"/>
    <cacheHierarchy uniqueName="[fActualAndBudget].[ObrazecID]" caption="ObrazecID" attribute="1" defaultMemberUniqueName="[fActualAndBudget].[ObrazecID].[All]" allUniqueName="[fActualAndBudget].[ObrazecID].[All]" dimensionUniqueName="[fActualAndBudget]" displayFolder="" count="0" memberValueDatatype="20" unbalanced="0"/>
    <cacheHierarchy uniqueName="[fActualAndBudget].[StavkaAOP]" caption="StavkaAOP" attribute="1" defaultMemberUniqueName="[fActualAndBudget].[StavkaAOP].[All]" allUniqueName="[fActualAndBudget].[StavkaAOP].[All]" dimensionUniqueName="[fActualAndBudget]" displayFolder="" count="0" memberValueDatatype="130" unbalanced="0"/>
    <cacheHierarchy uniqueName="[fActualAndBudget].[ObrazecIme]" caption="ObrazecIme" attribute="1" defaultMemberUniqueName="[fActualAndBudget].[ObrazecIme].[All]" allUniqueName="[fActualAndBudget].[ObrazecIme].[All]" dimensionUniqueName="[fActualAndBudget]" displayFolder="" count="0" memberValueDatatype="130" unbalanced="0"/>
    <cacheHierarchy uniqueName="[fActualAndBudget].[Износ]" caption="Износ" attribute="1" defaultMemberUniqueName="[fActualAndBudget].[Износ].[All]" allUniqueName="[fActualAndBudget].[Износ].[All]" dimensionUniqueName="[fActualAndBudget]" displayFolder="" count="0" memberValueDatatype="20" unbalanced="0"/>
    <cacheHierarchy uniqueName="[fActualAndBudget].[Износ (илјади)]" caption="Износ (илјади)" attribute="1" defaultMemberUniqueName="[fActualAndBudget].[Износ (илјади)].[All]" allUniqueName="[fActualAndBudget].[Износ (илјади)].[All]" dimensionUniqueName="[fActualAndBudget]" displayFolder="" count="0" memberValueDatatype="5" unbalanced="0"/>
    <cacheHierarchy uniqueName="[fActualAndBudget].[StavkaImeAOP]" caption="StavkaImeAOP" attribute="1" defaultMemberUniqueName="[fActualAndBudget].[StavkaImeAOP].[All]" allUniqueName="[fActualAndBudget].[StavkaImeAOP].[All]" dimensionUniqueName="[fActualAndBudget]" displayFolder="" count="2" memberValueDatatype="130" unbalanced="0"/>
    <cacheHierarchy uniqueName="[fActualAndBudget].[Конто Ставка]" caption="Конто Ставка" attribute="1" defaultMemberUniqueName="[fActualAndBudget].[Конто Ставка].[All]" allUniqueName="[fActualAndBudget].[Конто Ставка].[All]" dimensionUniqueName="[fActualAndBudget]" displayFolder="" count="0" memberValueDatatype="130" unbalanced="0"/>
    <cacheHierarchy uniqueName="[fArtikliCeni].[Ставка]" caption="Ставка" attribute="1" defaultMemberUniqueName="[fArtikliCeni].[Ставка].[All]" allUniqueName="[fArtikliCeni].[Ставка].[All]" dimensionUniqueName="[fArtikliCeni]" displayFolder="" count="0" memberValueDatatype="130" unbalanced="0"/>
    <cacheHierarchy uniqueName="[fArtikliCeni].[Категорија Артикл]" caption="Категорија Артикл" attribute="1" defaultMemberUniqueName="[fArtikliCeni].[Категорија Артикл].[All]" allUniqueName="[fArtikliCeni].[Категорија Артикл].[All]" dimensionUniqueName="[fArtikliCeni]" displayFolder="" count="0" memberValueDatatype="130" unbalanced="0"/>
    <cacheHierarchy uniqueName="[fArtikliCeni].[Тип на артикл]" caption="Тип на артикл" attribute="1" defaultMemberUniqueName="[fArtikliCeni].[Тип на артикл].[All]" allUniqueName="[fArtikliCeni].[Тип на артикл].[All]" dimensionUniqueName="[fArtikliCeni]" displayFolder="" count="0" memberValueDatatype="130" unbalanced="0"/>
    <cacheHierarchy uniqueName="[fArtikliCeni].[Единечна мерка]" caption="Единечна мерка" attribute="1" defaultMemberUniqueName="[fArtikliCeni].[Единечна мерка].[All]" allUniqueName="[fArtikliCeni].[Единечна мерка].[All]" dimensionUniqueName="[fArtikliCeni]" displayFolder="" count="0" memberValueDatatype="130" unbalanced="0"/>
    <cacheHierarchy uniqueName="[fArtikliCeni].[Количина]" caption="Количина" attribute="1" defaultMemberUniqueName="[fArtikliCeni].[Количина].[All]" allUniqueName="[fArtikliCeni].[Количина].[All]" dimensionUniqueName="[fArtikliCeni]" displayFolder="" count="0" memberValueDatatype="5" unbalanced="0"/>
    <cacheHierarchy uniqueName="[fArtikliCeni].[Единечна цена]" caption="Единечна цена" attribute="1" defaultMemberUniqueName="[fArtikliCeni].[Единечна цена].[All]" allUniqueName="[fArtikliCeni].[Единечна цена].[All]" dimensionUniqueName="[fArtikliCeni]" displayFolder="" count="0" memberValueDatatype="20" unbalanced="0"/>
    <cacheHierarchy uniqueName="[fArtikliCeni].[Вкупно трошок]" caption="Вкупно трошок" attribute="1" defaultMemberUniqueName="[fArtikliCeni].[Вкупно трошок].[All]" allUniqueName="[fArtikliCeni].[Вкупно трошок].[All]" dimensionUniqueName="[fArtikliCeni]" displayFolder="" count="0" memberValueDatatype="5" unbalanced="0"/>
    <cacheHierarchy uniqueName="[fArtikliCeni].[ДДВ]" caption="ДДВ" attribute="1" defaultMemberUniqueName="[fArtikliCeni].[ДДВ].[All]" allUniqueName="[fArtikliCeni].[ДДВ].[All]" dimensionUniqueName="[fArtikliCeni]" displayFolder="" count="0" memberValueDatatype="5" unbalanced="0"/>
    <cacheHierarchy uniqueName="[fArtikliCeni].[Износ]" caption="Износ" attribute="1" defaultMemberUniqueName="[fArtikliCeni].[Износ].[All]" allUniqueName="[fArtikliCeni].[Износ].[All]" dimensionUniqueName="[fArtikliCeni]" displayFolder="" count="0" memberValueDatatype="5" unbalanced="0"/>
    <cacheHierarchy uniqueName="[fArtikliCeni].[Конто]" caption="Конто" attribute="1" defaultMemberUniqueName="[fArtikliCeni].[Конто].[All]" allUniqueName="[fArtikliCeni].[Конто].[All]" dimensionUniqueName="[fArtikliCeni]" displayFolder="" count="0" memberValueDatatype="130" unbalanced="0"/>
    <cacheHierarchy uniqueName="[fArtikliCeni].[ReportType]" caption="ReportType" attribute="1" defaultMemberUniqueName="[fArtikliCeni].[ReportType].[All]" allUniqueName="[fArtikliCeni].[ReportType].[All]" dimensionUniqueName="[fArtikliCeni]" displayFolder="" count="0" memberValueDatatype="130" unbalanced="0"/>
    <cacheHierarchy uniqueName="[fArtikliCeni].[Период]" caption="Период" attribute="1" time="1" defaultMemberUniqueName="[fArtikliCeni].[Период].[All]" allUniqueName="[fArtikliCeni].[Период].[All]" dimensionUniqueName="[fArtikliCeni]" displayFolder="" count="0" memberValueDatatype="7" unbalanced="0"/>
    <cacheHierarchy uniqueName="[fArtikliCeni].[StavkaImeMK]" caption="StavkaImeMK" attribute="1" defaultMemberUniqueName="[fArtikliCeni].[StavkaImeMK].[All]" allUniqueName="[fArtikliCeni].[StavkaImeMK].[All]" dimensionUniqueName="[fArtikliCeni]" displayFolder="" count="0" memberValueDatatype="130" unbalanced="0"/>
    <cacheHierarchy uniqueName="[fArtikliCeni].[StavkaAOP]" caption="StavkaAOP" attribute="1" defaultMemberUniqueName="[fArtikliCeni].[StavkaAOP].[All]" allUniqueName="[fArtikliCeni].[StavkaAOP].[All]" dimensionUniqueName="[fArtikliCeni]" displayFolder="" count="0" memberValueDatatype="130" unbalanced="0"/>
    <cacheHierarchy uniqueName="[fArtikliCeni].[StavkaGrupa]" caption="StavkaGrupa" attribute="1" defaultMemberUniqueName="[fArtikliCeni].[StavkaGrupa].[All]" allUniqueName="[fArtikliCeni].[StavkaGrupa].[All]" dimensionUniqueName="[fArtikliCeni]" displayFolder="" count="0" memberValueDatatype="130" unbalanced="0"/>
    <cacheHierarchy uniqueName="[fArtikliCeni].[StavkaKategorija]" caption="StavkaKategorija" attribute="1" defaultMemberUniqueName="[fArtikliCeni].[StavkaKategorija].[All]" allUniqueName="[fArtikliCeni].[StavkaKategorija].[All]" dimensionUniqueName="[fArtikliCeni]" displayFolder="" count="0" memberValueDatatype="130" unbalanced="0"/>
    <cacheHierarchy uniqueName="[fArtikliCeni].[ObrazecIme]" caption="ObrazecIme" attribute="1" defaultMemberUniqueName="[fArtikliCeni].[ObrazecIme].[All]" allUniqueName="[fArtikliCeni].[ObrazecIme].[All]" dimensionUniqueName="[fArtikliCeni]" displayFolder="" count="0" memberValueDatatype="130" unbalanced="0"/>
    <cacheHierarchy uniqueName="[fCoveckiResursi].[Ставка]" caption="Ставка" attribute="1" defaultMemberUniqueName="[fCoveckiResursi].[Ставка].[All]" allUniqueName="[fCoveckiResursi].[Ставка].[All]" dimensionUniqueName="[fCoveckiResursi]" displayFolder="" count="0" memberValueDatatype="130" unbalanced="0"/>
    <cacheHierarchy uniqueName="[fCoveckiResursi].[Тип на вработување]" caption="Тип на вработување" attribute="1" defaultMemberUniqueName="[fCoveckiResursi].[Тип на вработување].[All]" allUniqueName="[fCoveckiResursi].[Тип на вработување].[All]" dimensionUniqueName="[fCoveckiResursi]" displayFolder="" count="0" memberValueDatatype="130" unbalanced="0"/>
    <cacheHierarchy uniqueName="[fCoveckiResursi].[Планиран прилив/(одлив)]" caption="Планиран прилив/(одлив)" attribute="1" defaultMemberUniqueName="[fCoveckiResursi].[Планиран прилив/(одлив)].[All]" allUniqueName="[fCoveckiResursi].[Планиран прилив/(одлив)].[All]" dimensionUniqueName="[fCoveckiResursi]" displayFolder="" count="0" memberValueDatatype="20" unbalanced="0"/>
    <cacheHierarchy uniqueName="[fCoveckiResursi].[Период]" caption="Период" attribute="1" time="1" defaultMemberUniqueName="[fCoveckiResursi].[Период].[All]" allUniqueName="[fCoveckiResursi].[Период].[All]" dimensionUniqueName="[fCoveckiResursi]" displayFolder="" count="0" memberValueDatatype="7" unbalanced="0"/>
    <cacheHierarchy uniqueName="[fCoveckiResursi].[Крајна состојба вработени]" caption="Крајна состојба вработени" attribute="1" defaultMemberUniqueName="[fCoveckiResursi].[Крајна состојба вработени].[All]" allUniqueName="[fCoveckiResursi].[Крајна состојба вработени].[All]" dimensionUniqueName="[fCoveckiResursi]" displayFolder="" count="0" memberValueDatatype="20" unbalanced="0"/>
    <cacheHierarchy uniqueName="[fCoveckiResursi].[Износ]" caption="Износ" attribute="1" defaultMemberUniqueName="[fCoveckiResursi].[Износ].[All]" allUniqueName="[fCoveckiResursi].[Износ].[All]" dimensionUniqueName="[fCoveckiResursi]" displayFolder="" count="0" memberValueDatatype="20" unbalanced="0"/>
    <cacheHierarchy uniqueName="[fCoveckiResursi].[Конто]" caption="Конто" attribute="1" defaultMemberUniqueName="[fCoveckiResursi].[Конто].[All]" allUniqueName="[fCoveckiResursi].[Конто].[All]" dimensionUniqueName="[fCoveckiResursi]" displayFolder="" count="0" memberValueDatatype="130" unbalanced="0"/>
    <cacheHierarchy uniqueName="[fCoveckiResursi].[ReportType]" caption="ReportType" attribute="1" defaultMemberUniqueName="[fCoveckiResursi].[ReportType].[All]" allUniqueName="[fCoveckiResursi].[ReportType].[All]" dimensionUniqueName="[fCoveckiResursi]" displayFolder="" count="0" memberValueDatatype="130" unbalanced="0"/>
    <cacheHierarchy uniqueName="[fCoveckiResursi].[Период (Year)]" caption="Период (Year)" attribute="1" defaultMemberUniqueName="[fCoveckiResursi].[Период (Year)].[All]" allUniqueName="[fCoveckiResursi].[Период (Year)].[All]" dimensionUniqueName="[fCoveckiResursi]" displayFolder="" count="0" memberValueDatatype="130" unbalanced="0"/>
    <cacheHierarchy uniqueName="[fCoveckiResursi].[Период (Quarter)]" caption="Период (Quarter)" attribute="1" defaultMemberUniqueName="[fCoveckiResursi].[Период (Quarter)].[All]" allUniqueName="[fCoveckiResursi].[Период (Quarter)].[All]" dimensionUniqueName="[fCoveckiResursi]" displayFolder="" count="0" memberValueDatatype="130" unbalanced="0"/>
    <cacheHierarchy uniqueName="[fCoveckiResursi].[Период (Month)]" caption="Период (Month)" attribute="1" defaultMemberUniqueName="[fCoveckiResursi].[Период (Month)].[All]" allUniqueName="[fCoveckiResursi].[Период (Month)].[All]" dimensionUniqueName="[fCoveckiResursi]" displayFolder="" count="0" memberValueDatatype="130" unbalanced="0"/>
    <cacheHierarchy uniqueName="[fCoveckiResursi].[Период (Year) 1]" caption="Период (Year) 1" attribute="1" defaultMemberUniqueName="[fCoveckiResursi].[Период (Year) 1].[All]" allUniqueName="[fCoveckiResursi].[Период (Year) 1].[All]" dimensionUniqueName="[fCoveckiResursi]" displayFolder="" count="0" memberValueDatatype="130" unbalanced="0"/>
    <cacheHierarchy uniqueName="[fCoveckiResursi].[Период (Quarter) 1]" caption="Период (Quarter) 1" attribute="1" defaultMemberUniqueName="[fCoveckiResursi].[Период (Quarter) 1].[All]" allUniqueName="[fCoveckiResursi].[Период (Quarter) 1].[All]" dimensionUniqueName="[fCoveckiResursi]" displayFolder="" count="0" memberValueDatatype="130" unbalanced="0"/>
    <cacheHierarchy uniqueName="[fCoveckiResursi].[Период (Month) 1]" caption="Период (Month) 1" attribute="1" defaultMemberUniqueName="[fCoveckiResursi].[Период (Month) 1].[All]" allUniqueName="[fCoveckiResursi].[Период (Month) 1].[All]" dimensionUniqueName="[fCoveckiResursi]" displayFolder="" count="0" memberValueDatatype="130" unbalanced="0"/>
    <cacheHierarchy uniqueName="[fCoveckiResursi  2].[Ставка]" caption="Ставка" attribute="1" defaultMemberUniqueName="[fCoveckiResursi  2].[Ставка].[All]" allUniqueName="[fCoveckiResursi  2].[Ставка].[All]" dimensionUniqueName="[fCoveckiResursi  2]" displayFolder="" count="0" memberValueDatatype="130" unbalanced="0"/>
    <cacheHierarchy uniqueName="[fCoveckiResursi  2].[Период]" caption="Период" attribute="1" time="1" defaultMemberUniqueName="[fCoveckiResursi  2].[Период].[All]" allUniqueName="[fCoveckiResursi  2].[Период].[All]" dimensionUniqueName="[fCoveckiResursi  2]" displayFolder="" count="0" memberValueDatatype="7" unbalanced="0"/>
    <cacheHierarchy uniqueName="[fCoveckiResursi  2].[Износ]" caption="Износ" attribute="1" defaultMemberUniqueName="[fCoveckiResursi  2].[Износ].[All]" allUniqueName="[fCoveckiResursi  2].[Износ].[All]" dimensionUniqueName="[fCoveckiResursi  2]" displayFolder="" count="0" memberValueDatatype="20" unbalanced="0"/>
    <cacheHierarchy uniqueName="[fCoveckiResursi  2].[Конто]" caption="Конто" attribute="1" defaultMemberUniqueName="[fCoveckiResursi  2].[Конто].[All]" allUniqueName="[fCoveckiResursi  2].[Конто].[All]" dimensionUniqueName="[fCoveckiResursi  2]" displayFolder="" count="0" memberValueDatatype="130" unbalanced="0"/>
    <cacheHierarchy uniqueName="[fCoveckiResursi  2].[ReportType]" caption="ReportType" attribute="1" defaultMemberUniqueName="[fCoveckiResursi  2].[ReportType].[All]" allUniqueName="[fCoveckiResursi  2].[ReportType].[All]" dimensionUniqueName="[fCoveckiResursi  2]" displayFolder="" count="0" memberValueDatatype="130" unbalanced="0"/>
    <cacheHierarchy uniqueName="[fCoveckiResursi  2].[StavkaImeMK]" caption="StavkaImeMK" attribute="1" defaultMemberUniqueName="[fCoveckiResursi  2].[StavkaImeMK].[All]" allUniqueName="[fCoveckiResursi  2].[StavkaImeMK].[All]" dimensionUniqueName="[fCoveckiResursi  2]" displayFolder="" count="0" memberValueDatatype="130" unbalanced="0"/>
    <cacheHierarchy uniqueName="[fCoveckiResursi  2].[StavkaKategorija]" caption="StavkaKategorija" attribute="1" defaultMemberUniqueName="[fCoveckiResursi  2].[StavkaKategorija].[All]" allUniqueName="[fCoveckiResursi  2].[StavkaKategorija].[All]" dimensionUniqueName="[fCoveckiResursi  2]" displayFolder="" count="0" memberValueDatatype="130" unbalanced="0"/>
    <cacheHierarchy uniqueName="[fCoveckiResursi  2].[ObrazecIme]" caption="ObrazecIme" attribute="1" defaultMemberUniqueName="[fCoveckiResursi  2].[ObrazecIme].[All]" allUniqueName="[fCoveckiResursi  2].[ObrazecIme].[All]" dimensionUniqueName="[fCoveckiResursi  2]" displayFolder="" count="0" memberValueDatatype="130" unbalanced="0"/>
    <cacheHierarchy uniqueName="[fOPEX].[Конто]" caption="Конто" attribute="1" defaultMemberUniqueName="[fOPEX].[Конто].[All]" allUniqueName="[fOPEX].[Конто].[All]" dimensionUniqueName="[fOPEX]" displayFolder="" count="0" memberValueDatatype="130" unbalanced="0"/>
    <cacheHierarchy uniqueName="[fOPEX].[Ставка]" caption="Ставка" attribute="1" defaultMemberUniqueName="[fOPEX].[Ставка].[All]" allUniqueName="[fOPEX].[Ставка].[All]" dimensionUniqueName="[fOPEX]" displayFolder="" count="0" memberValueDatatype="130" unbalanced="0"/>
    <cacheHierarchy uniqueName="[fOPEX].[Период]" caption="Период" attribute="1" time="1" defaultMemberUniqueName="[fOPEX].[Период].[All]" allUniqueName="[fOPEX].[Период].[All]" dimensionUniqueName="[fOPEX]" displayFolder="" count="0" memberValueDatatype="7" unbalanced="0"/>
    <cacheHierarchy uniqueName="[fOPEX].[Износ]" caption="Износ" attribute="1" defaultMemberUniqueName="[fOPEX].[Износ].[All]" allUniqueName="[fOPEX].[Износ].[All]" dimensionUniqueName="[fOPEX]" displayFolder="" count="0" memberValueDatatype="20" unbalanced="0"/>
    <cacheHierarchy uniqueName="[fOPEX].[ReportType]" caption="ReportType" attribute="1" defaultMemberUniqueName="[fOPEX].[ReportType].[All]" allUniqueName="[fOPEX].[ReportType].[All]" dimensionUniqueName="[fOPEX]" displayFolder="" count="0" memberValueDatatype="130" unbalanced="0"/>
    <cacheHierarchy uniqueName="[OPEXAnaliza].[Артикл ИД]" caption="Артикл ИД" attribute="1" defaultMemberUniqueName="[OPEXAnaliza].[Артикл ИД].[All]" allUniqueName="[OPEXAnaliza].[Артикл ИД].[All]" dimensionUniqueName="[OPEXAnaliza]" displayFolder="" count="0" memberValueDatatype="20" unbalanced="0"/>
    <cacheHierarchy uniqueName="[OPEXAnaliza].[Ставка]" caption="Ставка" attribute="1" defaultMemberUniqueName="[OPEXAnaliza].[Ставка].[All]" allUniqueName="[OPEXAnaliza].[Ставка].[All]" dimensionUniqueName="[OPEXAnaliza]" displayFolder="" count="0" memberValueDatatype="130" unbalanced="0"/>
    <cacheHierarchy uniqueName="[OPEXAnaliza].[Категорија Артикл ИД]" caption="Категорија Артикл ИД" attribute="1" defaultMemberUniqueName="[OPEXAnaliza].[Категорија Артикл ИД].[All]" allUniqueName="[OPEXAnaliza].[Категорија Артикл ИД].[All]" dimensionUniqueName="[OPEXAnaliza]" displayFolder="" count="0" memberValueDatatype="20" unbalanced="0"/>
    <cacheHierarchy uniqueName="[OPEXAnaliza].[Категорија Артикл]" caption="Категорија Артикл" attribute="1" defaultMemberUniqueName="[OPEXAnaliza].[Категорија Артикл].[All]" allUniqueName="[OPEXAnaliza].[Категорија Артикл].[All]" dimensionUniqueName="[OPEXAnaliza]" displayFolder="" count="0" memberValueDatatype="130" unbalanced="0"/>
    <cacheHierarchy uniqueName="[OPEXAnaliza].[Тип на артикл]" caption="Тип на артикл" attribute="1" defaultMemberUniqueName="[OPEXAnaliza].[Тип на артикл].[All]" allUniqueName="[OPEXAnaliza].[Тип на артикл].[All]" dimensionUniqueName="[OPEXAnaliza]" displayFolder="" count="0" memberValueDatatype="130" unbalanced="0"/>
    <cacheHierarchy uniqueName="[OPEXAnaliza].[Единечна мерка]" caption="Единечна мерка" attribute="1" defaultMemberUniqueName="[OPEXAnaliza].[Единечна мерка].[All]" allUniqueName="[OPEXAnaliza].[Единечна мерка].[All]" dimensionUniqueName="[OPEXAnaliza]" displayFolder="" count="0" memberValueDatatype="130" unbalanced="0"/>
    <cacheHierarchy uniqueName="[OPEXAnaliza].[Количина]" caption="Количина" attribute="1" defaultMemberUniqueName="[OPEXAnaliza].[Количина].[All]" allUniqueName="[OPEXAnaliza].[Количина].[All]" dimensionUniqueName="[OPEXAnaliza]" displayFolder="" count="0" memberValueDatatype="5" unbalanced="0"/>
    <cacheHierarchy uniqueName="[OPEXAnaliza].[Единечна цена]" caption="Единечна цена" attribute="1" defaultMemberUniqueName="[OPEXAnaliza].[Единечна цена].[All]" allUniqueName="[OPEXAnaliza].[Единечна цена].[All]" dimensionUniqueName="[OPEXAnaliza]" displayFolder="" count="0" memberValueDatatype="20" unbalanced="0"/>
    <cacheHierarchy uniqueName="[OPEXAnaliza].[Износ]" caption="Износ" attribute="1" defaultMemberUniqueName="[OPEXAnaliza].[Износ].[All]" allUniqueName="[OPEXAnaliza].[Износ].[All]" dimensionUniqueName="[OPEXAnaliza]" displayFolder="" count="0" memberValueDatatype="5" unbalanced="0"/>
    <cacheHierarchy uniqueName="[OPEXAnaliza].[ДДВ]" caption="ДДВ" attribute="1" defaultMemberUniqueName="[OPEXAnaliza].[ДДВ].[All]" allUniqueName="[OPEXAnaliza].[ДДВ].[All]" dimensionUniqueName="[OPEXAnaliza]" displayFolder="" count="0" memberValueDatatype="5" unbalanced="0"/>
    <cacheHierarchy uniqueName="[OPEXAnaliza].[Вкупно трошок со ДДВ]" caption="Вкупно трошок со ДДВ" attribute="1" defaultMemberUniqueName="[OPEXAnaliza].[Вкупно трошок со ДДВ].[All]" allUniqueName="[OPEXAnaliza].[Вкупно трошок со ДДВ].[All]" dimensionUniqueName="[OPEXAnaliza]" displayFolder="" count="0" memberValueDatatype="5" unbalanced="0"/>
    <cacheHierarchy uniqueName="[OPEXAnaliza].[Конто]" caption="Конто" attribute="1" defaultMemberUniqueName="[OPEXAnaliza].[Конто].[All]" allUniqueName="[OPEXAnaliza].[Конто].[All]" dimensionUniqueName="[OPEXAnaliza]" displayFolder="" count="0" memberValueDatatype="130" unbalanced="0"/>
    <cacheHierarchy uniqueName="[OPEXAnaliza].[Период]" caption="Период" attribute="1" time="1" defaultMemberUniqueName="[OPEXAnaliza].[Период].[All]" allUniqueName="[OPEXAnaliza].[Период].[All]" dimensionUniqueName="[OPEXAnaliza]" displayFolder="" count="0" memberValueDatatype="7" unbalanced="0"/>
    <cacheHierarchy uniqueName="[OPEXAnaliza].[ReportType]" caption="ReportType" attribute="1" defaultMemberUniqueName="[OPEXAnaliza].[ReportType].[All]" allUniqueName="[OPEXAnaliza].[ReportType].[All]" dimensionUniqueName="[OPEXAnaliza]" displayFolder="" count="0" memberValueDatatype="130" unbalanced="0"/>
    <cacheHierarchy uniqueName="[OPEXAnaliza].[StavkaImeMK]" caption="StavkaImeMK" attribute="1" defaultMemberUniqueName="[OPEXAnaliza].[StavkaImeMK].[All]" allUniqueName="[OPEXAnaliza].[StavkaImeMK].[All]" dimensionUniqueName="[OPEXAnaliza]" displayFolder="" count="0" memberValueDatatype="130" unbalanced="0"/>
    <cacheHierarchy uniqueName="[OPEXAnaliza].[StavkaKategorija]" caption="StavkaKategorija" attribute="1" defaultMemberUniqueName="[OPEXAnaliza].[StavkaKategorija].[All]" allUniqueName="[OPEXAnaliza].[StavkaKategorija].[All]" dimensionUniqueName="[OPEXAnaliza]" displayFolder="" count="0" memberValueDatatype="130" unbalanced="0"/>
    <cacheHierarchy uniqueName="[OPEXAnaliza].[ObrazecIme]" caption="ObrazecIme" attribute="1" defaultMemberUniqueName="[OPEXAnaliza].[ObrazecIme].[All]" allUniqueName="[OPEXAnaliza].[ObrazecIme].[All]" dimensionUniqueName="[OPEXAnaliza]" displayFolder="" count="0" memberValueDatatype="130" unbalanced="0"/>
    <cacheHierarchy uniqueName="[OPEXAnaliza].[StavkaImeAOP]" caption="StavkaImeAOP" attribute="1" defaultMemberUniqueName="[OPEXAnaliza].[StavkaImeAOP].[All]" allUniqueName="[OPEXAnaliza].[StavkaImeAOP].[All]" dimensionUniqueName="[OPEXAnaliza]" displayFolder="" count="0" memberValueDatatype="20" unbalanced="0"/>
    <cacheHierarchy uniqueName="[OPEXAnaliza].[Период (Year)]" caption="Период (Year)" attribute="1" defaultMemberUniqueName="[OPEXAnaliza].[Период (Year)].[All]" allUniqueName="[OPEXAnaliza].[Период (Year)].[All]" dimensionUniqueName="[OPEXAnaliza]" displayFolder="" count="0" memberValueDatatype="130" unbalanced="0"/>
    <cacheHierarchy uniqueName="[OPEXAnaliza].[Период (Quarter)]" caption="Период (Quarter)" attribute="1" defaultMemberUniqueName="[OPEXAnaliza].[Период (Quarter)].[All]" allUniqueName="[OPEXAnaliza].[Период (Quarter)].[All]" dimensionUniqueName="[OPEXAnaliza]" displayFolder="" count="0" memberValueDatatype="130" unbalanced="0"/>
    <cacheHierarchy uniqueName="[OPEXAnaliza].[Период (Month)]" caption="Период (Month)" attribute="1" defaultMemberUniqueName="[OPEXAnaliza].[Период (Month)].[All]" allUniqueName="[OPEXAnaliza].[Период (Month)].[All]" dimensionUniqueName="[OPEXAnaliza]" displayFolder="" count="0" memberValueDatatype="130" unbalanced="0"/>
    <cacheHierarchy uniqueName="[rArtikli_HR_Analiza].[Ставка]" caption="Ставка" attribute="1" defaultMemberUniqueName="[rArtikli_HR_Analiza].[Ставка].[All]" allUniqueName="[rArtikli_HR_Analiza].[Ставка].[All]" dimensionUniqueName="[rArtikli_HR_Analiza]" displayFolder="" count="0" memberValueDatatype="130" unbalanced="0"/>
    <cacheHierarchy uniqueName="[rArtikli_HR_Analiza].[Категорија Артикл]" caption="Категорија Артикл" attribute="1" defaultMemberUniqueName="[rArtikli_HR_Analiza].[Категорија Артикл].[All]" allUniqueName="[rArtikli_HR_Analiza].[Категорија Артикл].[All]" dimensionUniqueName="[rArtikli_HR_Analiza]" displayFolder="" count="0" memberValueDatatype="130" unbalanced="0"/>
    <cacheHierarchy uniqueName="[rArtikli_HR_Analiza].[Тип на артикл]" caption="Тип на артикл" attribute="1" defaultMemberUniqueName="[rArtikli_HR_Analiza].[Тип на артикл].[All]" allUniqueName="[rArtikli_HR_Analiza].[Тип на артикл].[All]" dimensionUniqueName="[rArtikli_HR_Analiza]" displayFolder="" count="0" memberValueDatatype="130" unbalanced="0"/>
    <cacheHierarchy uniqueName="[rArtikli_HR_Analiza].[Единечна мерка]" caption="Единечна мерка" attribute="1" defaultMemberUniqueName="[rArtikli_HR_Analiza].[Единечна мерка].[All]" allUniqueName="[rArtikli_HR_Analiza].[Единечна мерка].[All]" dimensionUniqueName="[rArtikli_HR_Analiza]" displayFolder="" count="0" memberValueDatatype="130" unbalanced="0"/>
    <cacheHierarchy uniqueName="[rArtikli_HR_Analiza].[Количина]" caption="Количина" attribute="1" defaultMemberUniqueName="[rArtikli_HR_Analiza].[Количина].[All]" allUniqueName="[rArtikli_HR_Analiza].[Количина].[All]" dimensionUniqueName="[rArtikli_HR_Analiza]" displayFolder="" count="0" memberValueDatatype="5" unbalanced="0"/>
    <cacheHierarchy uniqueName="[rArtikli_HR_Analiza].[Единечна цена]" caption="Единечна цена" attribute="1" defaultMemberUniqueName="[rArtikli_HR_Analiza].[Единечна цена].[All]" allUniqueName="[rArtikli_HR_Analiza].[Единечна цена].[All]" dimensionUniqueName="[rArtikli_HR_Analiza]" displayFolder="" count="0" memberValueDatatype="20" unbalanced="0"/>
    <cacheHierarchy uniqueName="[rArtikli_HR_Analiza].[Вкупно трошок]" caption="Вкупно трошок" attribute="1" defaultMemberUniqueName="[rArtikli_HR_Analiza].[Вкупно трошок].[All]" allUniqueName="[rArtikli_HR_Analiza].[Вкупно трошок].[All]" dimensionUniqueName="[rArtikli_HR_Analiza]" displayFolder="" count="0" memberValueDatatype="5" unbalanced="0"/>
    <cacheHierarchy uniqueName="[rArtikli_HR_Analiza].[ДДВ]" caption="ДДВ" attribute="1" defaultMemberUniqueName="[rArtikli_HR_Analiza].[ДДВ].[All]" allUniqueName="[rArtikli_HR_Analiza].[ДДВ].[All]" dimensionUniqueName="[rArtikli_HR_Analiza]" displayFolder="" count="0" memberValueDatatype="5" unbalanced="0"/>
    <cacheHierarchy uniqueName="[rArtikli_HR_Analiza].[Износ]" caption="Износ" attribute="1" defaultMemberUniqueName="[rArtikli_HR_Analiza].[Износ].[All]" allUniqueName="[rArtikli_HR_Analiza].[Износ].[All]" dimensionUniqueName="[rArtikli_HR_Analiza]" displayFolder="" count="0" memberValueDatatype="5" unbalanced="0"/>
    <cacheHierarchy uniqueName="[rArtikli_HR_Analiza].[Конто]" caption="Конто" attribute="1" defaultMemberUniqueName="[rArtikli_HR_Analiza].[Конто].[All]" allUniqueName="[rArtikli_HR_Analiza].[Конто].[All]" dimensionUniqueName="[rArtikli_HR_Analiza]" displayFolder="" count="0" memberValueDatatype="130" unbalanced="0"/>
    <cacheHierarchy uniqueName="[rArtikli_HR_Analiza].[ReportType]" caption="ReportType" attribute="1" defaultMemberUniqueName="[rArtikli_HR_Analiza].[ReportType].[All]" allUniqueName="[rArtikli_HR_Analiza].[ReportType].[All]" dimensionUniqueName="[rArtikli_HR_Analiza]" displayFolder="" count="0" memberValueDatatype="130" unbalanced="0"/>
    <cacheHierarchy uniqueName="[rArtikli_HR_Analiza].[Период]" caption="Период" attribute="1" time="1" defaultMemberUniqueName="[rArtikli_HR_Analiza].[Период].[All]" allUniqueName="[rArtikli_HR_Analiza].[Период].[All]" dimensionUniqueName="[rArtikli_HR_Analiza]" displayFolder="" count="0" memberValueDatatype="7" unbalanced="0"/>
    <cacheHierarchy uniqueName="[rArtikli_HR_Analiza].[StavkaImeMK]" caption="StavkaImeMK" attribute="1" defaultMemberUniqueName="[rArtikli_HR_Analiza].[StavkaImeMK].[All]" allUniqueName="[rArtikli_HR_Analiza].[StavkaImeMK].[All]" dimensionUniqueName="[rArtikli_HR_Analiza]" displayFolder="" count="0" memberValueDatatype="130" unbalanced="0"/>
    <cacheHierarchy uniqueName="[rArtikli_HR_Analiza].[StavkaAOP]" caption="StavkaAOP" attribute="1" defaultMemberUniqueName="[rArtikli_HR_Analiza].[StavkaAOP].[All]" allUniqueName="[rArtikli_HR_Analiza].[StavkaAOP].[All]" dimensionUniqueName="[rArtikli_HR_Analiza]" displayFolder="" count="0" memberValueDatatype="130" unbalanced="0"/>
    <cacheHierarchy uniqueName="[rArtikli_HR_Analiza].[StavkaGrupa]" caption="StavkaGrupa" attribute="1" defaultMemberUniqueName="[rArtikli_HR_Analiza].[StavkaGrupa].[All]" allUniqueName="[rArtikli_HR_Analiza].[StavkaGrupa].[All]" dimensionUniqueName="[rArtikli_HR_Analiza]" displayFolder="" count="0" memberValueDatatype="130" unbalanced="0"/>
    <cacheHierarchy uniqueName="[rArtikli_HR_Analiza].[StavkaKategorija]" caption="StavkaKategorija" attribute="1" defaultMemberUniqueName="[rArtikli_HR_Analiza].[StavkaKategorija].[All]" allUniqueName="[rArtikli_HR_Analiza].[StavkaKategorija].[All]" dimensionUniqueName="[rArtikli_HR_Analiza]" displayFolder="" count="0" memberValueDatatype="130" unbalanced="0"/>
    <cacheHierarchy uniqueName="[rArtikli_HR_Analiza].[ObrazecIme]" caption="ObrazecIme" attribute="1" defaultMemberUniqueName="[rArtikli_HR_Analiza].[ObrazecIme].[All]" allUniqueName="[rArtikli_HR_Analiza].[ObrazecIme].[All]" dimensionUniqueName="[rArtikli_HR_Analiza]" displayFolder="" count="0" memberValueDatatype="130" unbalanced="0"/>
    <cacheHierarchy uniqueName="[rArtikli_HR_Analiza].[StavkaKategorija.1]" caption="StavkaKategorija.1" attribute="1" defaultMemberUniqueName="[rArtikli_HR_Analiza].[StavkaKategorija.1].[All]" allUniqueName="[rArtikli_HR_Analiza].[StavkaKategorija.1].[All]" dimensionUniqueName="[rArtikli_HR_Analiza]" displayFolder="" count="0" memberValueDatatype="130" unbalanced="0"/>
    <cacheHierarchy uniqueName="[rArtikliAnaliza].[Артикл ИД]" caption="Артикл ИД" attribute="1" defaultMemberUniqueName="[rArtikliAnaliza].[Артикл ИД].[All]" allUniqueName="[rArtikliAnaliza].[Артикл ИД].[All]" dimensionUniqueName="[rArtikliAnaliza]" displayFolder="" count="0" memberValueDatatype="20" unbalanced="0"/>
    <cacheHierarchy uniqueName="[rArtikliAnaliza].[Ставка]" caption="Ставка" attribute="1" defaultMemberUniqueName="[rArtikliAnaliza].[Ставка].[All]" allUniqueName="[rArtikliAnaliza].[Ставка].[All]" dimensionUniqueName="[rArtikliAnaliza]" displayFolder="" count="0" memberValueDatatype="130" unbalanced="0"/>
    <cacheHierarchy uniqueName="[rArtikliAnaliza].[Категорија Артикл ИД]" caption="Категорија Артикл ИД" attribute="1" defaultMemberUniqueName="[rArtikliAnaliza].[Категорија Артикл ИД].[All]" allUniqueName="[rArtikliAnaliza].[Категорија Артикл ИД].[All]" dimensionUniqueName="[rArtikliAnaliza]" displayFolder="" count="0" memberValueDatatype="20" unbalanced="0"/>
    <cacheHierarchy uniqueName="[rArtikliAnaliza].[Категорија Артикл]" caption="Категорија Артикл" attribute="1" defaultMemberUniqueName="[rArtikliAnaliza].[Категорија Артикл].[All]" allUniqueName="[rArtikliAnaliza].[Категорија Артикл].[All]" dimensionUniqueName="[rArtikliAnaliza]" displayFolder="" count="0" memberValueDatatype="130" unbalanced="0"/>
    <cacheHierarchy uniqueName="[rArtikliAnaliza].[Тип на артикл]" caption="Тип на артикл" attribute="1" defaultMemberUniqueName="[rArtikliAnaliza].[Тип на артикл].[All]" allUniqueName="[rArtikliAnaliza].[Тип на артикл].[All]" dimensionUniqueName="[rArtikliAnaliza]" displayFolder="" count="0" memberValueDatatype="130" unbalanced="0"/>
    <cacheHierarchy uniqueName="[rArtikliAnaliza].[Единечна мерка]" caption="Единечна мерка" attribute="1" defaultMemberUniqueName="[rArtikliAnaliza].[Единечна мерка].[All]" allUniqueName="[rArtikliAnaliza].[Единечна мерка].[All]" dimensionUniqueName="[rArtikliAnaliza]" displayFolder="" count="0" memberValueDatatype="130" unbalanced="0"/>
    <cacheHierarchy uniqueName="[rArtikliAnaliza].[Количина]" caption="Количина" attribute="1" defaultMemberUniqueName="[rArtikliAnaliza].[Количина].[All]" allUniqueName="[rArtikliAnaliza].[Количина].[All]" dimensionUniqueName="[rArtikliAnaliza]" displayFolder="" count="0" memberValueDatatype="5" unbalanced="0"/>
    <cacheHierarchy uniqueName="[rArtikliAnaliza].[Единечна цена]" caption="Единечна цена" attribute="1" defaultMemberUniqueName="[rArtikliAnaliza].[Единечна цена].[All]" allUniqueName="[rArtikliAnaliza].[Единечна цена].[All]" dimensionUniqueName="[rArtikliAnaliza]" displayFolder="" count="0" memberValueDatatype="20" unbalanced="0"/>
    <cacheHierarchy uniqueName="[rArtikliAnaliza].[Износ]" caption="Износ" attribute="1" defaultMemberUniqueName="[rArtikliAnaliza].[Износ].[All]" allUniqueName="[rArtikliAnaliza].[Износ].[All]" dimensionUniqueName="[rArtikliAnaliza]" displayFolder="" count="0" memberValueDatatype="5" unbalanced="0"/>
    <cacheHierarchy uniqueName="[rArtikliAnaliza].[ДДВ]" caption="ДДВ" attribute="1" defaultMemberUniqueName="[rArtikliAnaliza].[ДДВ].[All]" allUniqueName="[rArtikliAnaliza].[ДДВ].[All]" dimensionUniqueName="[rArtikliAnaliza]" displayFolder="" count="0" memberValueDatatype="5" unbalanced="0"/>
    <cacheHierarchy uniqueName="[rArtikliAnaliza].[Вкупно трошок со ДДВ]" caption="Вкупно трошок со ДДВ" attribute="1" defaultMemberUniqueName="[rArtikliAnaliza].[Вкупно трошок со ДДВ].[All]" allUniqueName="[rArtikliAnaliza].[Вкупно трошок со ДДВ].[All]" dimensionUniqueName="[rArtikliAnaliza]" displayFolder="" count="0" memberValueDatatype="5" unbalanced="0"/>
    <cacheHierarchy uniqueName="[rArtikliAnaliza].[Конто]" caption="Конто" attribute="1" defaultMemberUniqueName="[rArtikliAnaliza].[Конто].[All]" allUniqueName="[rArtikliAnaliza].[Конто].[All]" dimensionUniqueName="[rArtikliAnaliza]" displayFolder="" count="0" memberValueDatatype="130" unbalanced="0"/>
    <cacheHierarchy uniqueName="[rArtikliAnaliza].[Период]" caption="Период" attribute="1" time="1" defaultMemberUniqueName="[rArtikliAnaliza].[Период].[All]" allUniqueName="[rArtikliAnaliza].[Период].[All]" dimensionUniqueName="[rArtikliAnaliza]" displayFolder="" count="0" memberValueDatatype="7" unbalanced="0"/>
    <cacheHierarchy uniqueName="[rArtikliAnaliza].[ReportType]" caption="ReportType" attribute="1" defaultMemberUniqueName="[rArtikliAnaliza].[ReportType].[All]" allUniqueName="[rArtikliAnaliza].[ReportType].[All]" dimensionUniqueName="[rArtikliAnaliza]" displayFolder="" count="0" memberValueDatatype="130" unbalanced="0"/>
    <cacheHierarchy uniqueName="[rArtikliAnaliza].[StavkaImeMK]" caption="StavkaImeMK" attribute="1" defaultMemberUniqueName="[rArtikliAnaliza].[StavkaImeMK].[All]" allUniqueName="[rArtikliAnaliza].[StavkaImeMK].[All]" dimensionUniqueName="[rArtikliAnaliza]" displayFolder="" count="0" memberValueDatatype="130" unbalanced="0"/>
    <cacheHierarchy uniqueName="[rArtikliAnaliza].[StavkaKategorija]" caption="StavkaKategorija" attribute="1" defaultMemberUniqueName="[rArtikliAnaliza].[StavkaKategorija].[All]" allUniqueName="[rArtikliAnaliza].[StavkaKategorija].[All]" dimensionUniqueName="[rArtikliAnaliza]" displayFolder="" count="0" memberValueDatatype="130" unbalanced="0"/>
    <cacheHierarchy uniqueName="[rArtikliAnaliza].[Период (Year)]" caption="Период (Year)" attribute="1" defaultMemberUniqueName="[rArtikliAnaliza].[Период (Year)].[All]" allUniqueName="[rArtikliAnaliza].[Период (Year)].[All]" dimensionUniqueName="[rArtikliAnaliza]" displayFolder="" count="0" memberValueDatatype="130" unbalanced="0"/>
    <cacheHierarchy uniqueName="[rArtikliAnaliza].[Период (Quarter)]" caption="Период (Quarter)" attribute="1" defaultMemberUniqueName="[rArtikliAnaliza].[Период (Quarter)].[All]" allUniqueName="[rArtikliAnaliza].[Период (Quarter)].[All]" dimensionUniqueName="[rArtikliAnaliza]" displayFolder="" count="0" memberValueDatatype="130" unbalanced="0"/>
    <cacheHierarchy uniqueName="[rArtikliAnaliza].[Период (Month)]" caption="Период (Month)" attribute="1" defaultMemberUniqueName="[rArtikliAnaliza].[Период (Month)].[All]" allUniqueName="[rArtikliAnaliza].[Период (Month)].[All]" dimensionUniqueName="[rArtikliAnaliza]" displayFolder="" count="0" memberValueDatatype="130" unbalanced="0"/>
    <cacheHierarchy uniqueName="[CAPEX].[Очекуван датум за ставање во употреба (месец) (Month Index)]" caption="Очекуван датум за ставање во употреба (месец) (Month Index)" attribute="1" defaultMemberUniqueName="[CAPEX].[Очекуван датум за ставање во употреба (месец) (Month Index)].[All]" allUniqueName="[CAPEX].[Очекуван датум за ставање во употреба (месец) (Month Index)].[All]" dimensionUniqueName="[CAPEX]" displayFolder="" count="0" memberValueDatatype="20" unbalanced="0" hidden="1"/>
    <cacheHierarchy uniqueName="[CAPEX].[Очекуван датум на плаќање (Month Index)]" caption="Очекуван датум на плаќање (Month Index)" attribute="1" defaultMemberUniqueName="[CAPEX].[Очекуван датум на плаќање (Month Index)].[All]" allUniqueName="[CAPEX].[Очекуван датум на плаќање (Month Index)].[All]" dimensionUniqueName="[CAPEX]" displayFolder="" count="0" memberValueDatatype="20" unbalanced="0" hidden="1"/>
    <cacheHierarchy uniqueName="[fActualAndBudget].[StavkaID]" caption="StavkaID" attribute="1" defaultMemberUniqueName="[fActualAndBudget].[StavkaID].[All]" allUniqueName="[fActualAndBudget].[StavkaID].[All]" dimensionUniqueName="[fActualAndBudget]" displayFolder="" count="0" memberValueDatatype="20" unbalanced="0" hidden="1"/>
    <cacheHierarchy uniqueName="[fCoveckiResursi].[Период (Month Index)]" caption="Период (Month Index)" attribute="1" defaultMemberUniqueName="[fCoveckiResursi].[Период (Month Index)].[All]" allUniqueName="[fCoveckiResursi].[Период (Month Index)].[All]" dimensionUniqueName="[fCoveckiResursi]" displayFolder="" count="0" memberValueDatatype="20" unbalanced="0" hidden="1"/>
    <cacheHierarchy uniqueName="[fCoveckiResursi].[Период (Month Index) 1]" caption="Период (Month Index) 1" attribute="1" defaultMemberUniqueName="[fCoveckiResursi].[Период (Month Index) 1].[All]" allUniqueName="[fCoveckiResursi].[Период (Month Index) 1].[All]" dimensionUniqueName="[fCoveckiResursi]" displayFolder="" count="0" memberValueDatatype="20" unbalanced="0" hidden="1"/>
    <cacheHierarchy uniqueName="[OPEXAnaliza].[Период (Month Index)]" caption="Период (Month Index)" attribute="1" defaultMemberUniqueName="[OPEXAnaliza].[Период (Month Index)].[All]" allUniqueName="[OPEXAnaliza].[Период (Month Index)].[All]" dimensionUniqueName="[OPEXAnaliza]" displayFolder="" count="0" memberValueDatatype="20" unbalanced="0" hidden="1"/>
    <cacheHierarchy uniqueName="[rArtikli_HR_Analiza].[Крајна состојба вработени]" caption="Крајна состојба вработени" attribute="1" defaultMemberUniqueName="[rArtikli_HR_Analiza].[Крајна состојба вработени].[All]" allUniqueName="[rArtikli_HR_Analiza].[Крајна состојба вработени].[All]" dimensionUniqueName="[rArtikli_HR_Analiza]" displayFolder="" count="0" memberValueDatatype="20" unbalanced="0" hidden="1"/>
    <cacheHierarchy uniqueName="[rArtikli_HR_Analiza].[Планиран прилив/(одлив)]" caption="Планиран прилив/(одлив)" attribute="1" defaultMemberUniqueName="[rArtikli_HR_Analiza].[Планиран прилив/(одлив)].[All]" allUniqueName="[rArtikli_HR_Analiza].[Планиран прилив/(одлив)].[All]" dimensionUniqueName="[rArtikli_HR_Analiza]" displayFolder="" count="0" memberValueDatatype="20" unbalanced="0" hidden="1"/>
    <cacheHierarchy uniqueName="[rArtikli_HR_Analiza].[Тип на вработување]" caption="Тип на вработување" attribute="1" defaultMemberUniqueName="[rArtikli_HR_Analiza].[Тип на вработување].[All]" allUniqueName="[rArtikli_HR_Analiza].[Тип на вработување].[All]" dimensionUniqueName="[rArtikli_HR_Analiza]" displayFolder="" count="0" memberValueDatatype="130" unbalanced="0" hidden="1"/>
    <cacheHierarchy uniqueName="[rArtikliAnaliza].[Период (Month Index)]" caption="Период (Month Index)" attribute="1" defaultMemberUniqueName="[rArtikliAnaliza].[Период (Month Index)].[All]" allUniqueName="[rArtikliAnaliza].[Период (Month Index)].[All]" dimensionUniqueName="[rArtikliAnaliza]" displayFolder="" count="0" memberValueDatatype="20" unbalanced="0" hidden="1"/>
    <cacheHierarchy uniqueName="[Measures].[__XL_Count Calendar]" caption="__XL_Count Calendar" measure="1" displayFolder="" measureGroup="Calendar" count="0" hidden="1"/>
    <cacheHierarchy uniqueName="[Measures].[__XL_Count CAPEX]" caption="__XL_Count CAPEX" measure="1" displayFolder="" measureGroup="CAPEX" count="0" hidden="1"/>
    <cacheHierarchy uniqueName="[Measures].[__XL_Count Amortizacija]" caption="__XL_Count Amortizacija" measure="1" displayFolder="" measureGroup="Amortizacija" count="0" hidden="1"/>
    <cacheHierarchy uniqueName="[Measures].[__XL_Count fCoveckiResursi]" caption="__XL_Count fCoveckiResursi" measure="1" displayFolder="" measureGroup="fCoveckiResursi" count="0" hidden="1"/>
    <cacheHierarchy uniqueName="[Measures].[__XL_Count fActualAndBudget]" caption="__XL_Count fActualAndBudget" measure="1" displayFolder="" measureGroup="fActualAndBudget" count="0" hidden="1"/>
    <cacheHierarchy uniqueName="[Measures].[__XL_Count fOPEX]" caption="__XL_Count fOPEX" measure="1" displayFolder="" measureGroup="fOPEX" count="0" hidden="1"/>
    <cacheHierarchy uniqueName="[Measures].[__XL_Count OPEXAnaliza]" caption="__XL_Count OPEXAnaliza" measure="1" displayFolder="" measureGroup="OPEXAnaliza" count="0" hidden="1"/>
    <cacheHierarchy uniqueName="[Measures].[__XL_Count rArtikliAnaliza]" caption="__XL_Count rArtikliAnaliza" measure="1" displayFolder="" measureGroup="rArtikliAnaliza" count="0" hidden="1"/>
    <cacheHierarchy uniqueName="[Measures].[__XL_Count fArtikliCeni]" caption="__XL_Count fArtikliCeni" measure="1" displayFolder="" measureGroup="fArtikliCeni" count="0" hidden="1"/>
    <cacheHierarchy uniqueName="[Measures].[__XL_Count rArtikli_HR_Analiza]" caption="__XL_Count rArtikli_HR_Analiza" measure="1" displayFolder="" measureGroup="rArtikli_HR_Analiza" count="0" hidden="1"/>
    <cacheHierarchy uniqueName="[Measures].[__XL_Count fCoveckiResursi  2]" caption="__XL_Count fCoveckiResursi  2" measure="1" displayFolder="" measureGroup="fCoveckiResursi  2" count="0" hidden="1"/>
    <cacheHierarchy uniqueName="[Measures].[__No measures defined]" caption="__No measures defined" measure="1" displayFolder="" count="0" hidden="1"/>
    <cacheHierarchy uniqueName="[Measures].[Sum of Износ 3]" caption="Sum of Износ 3" measure="1" displayFolder="" measureGroup="fCoveckiResursi" count="0" hidden="1">
      <extLst>
        <ext xmlns:x15="http://schemas.microsoft.com/office/spreadsheetml/2010/11/main" uri="{B97F6D7D-B522-45F9-BDA1-12C45D357490}">
          <x15:cacheHierarchy aggregatedColumn="71"/>
        </ext>
      </extLst>
    </cacheHierarchy>
    <cacheHierarchy uniqueName="[Measures].[Sum of Крајна состојба вработени]" caption="Sum of Крајна состојба вработени" measure="1" displayFolder="" measureGroup="fCoveckiResursi" count="0" hidden="1">
      <extLst>
        <ext xmlns:x15="http://schemas.microsoft.com/office/spreadsheetml/2010/11/main" uri="{B97F6D7D-B522-45F9-BDA1-12C45D357490}">
          <x15:cacheHierarchy aggregatedColumn="70"/>
        </ext>
      </extLst>
    </cacheHierarchy>
    <cacheHierarchy uniqueName="[Measures].[Sum of Планиран прилив/(одлив)]" caption="Sum of Планиран прилив/(одлив)" measure="1" displayFolder="" measureGroup="fCoveckiResursi" count="0" hidden="1">
      <extLst>
        <ext xmlns:x15="http://schemas.microsoft.com/office/spreadsheetml/2010/11/main" uri="{B97F6D7D-B522-45F9-BDA1-12C45D357490}">
          <x15:cacheHierarchy aggregatedColumn="68"/>
        </ext>
      </extLst>
    </cacheHierarchy>
    <cacheHierarchy uniqueName="[Measures].[Sum of Износ]" caption="Sum of Износ" measure="1" displayFolder="" measureGroup="fActualAndBudget" count="0" hidden="1">
      <extLst>
        <ext xmlns:x15="http://schemas.microsoft.com/office/spreadsheetml/2010/11/main" uri="{B97F6D7D-B522-45F9-BDA1-12C45D357490}">
          <x15:cacheHierarchy aggregatedColumn="45"/>
        </ext>
      </extLst>
    </cacheHierarchy>
    <cacheHierarchy uniqueName="[Measures].[Sum of Износ (илјади)]" caption="Sum of Износ (илјади)" measure="1" displayFolder="" measureGroup="fActualAndBudget" count="0" hidden="1">
      <extLst>
        <ext xmlns:x15="http://schemas.microsoft.com/office/spreadsheetml/2010/11/main" uri="{B97F6D7D-B522-45F9-BDA1-12C45D357490}">
          <x15:cacheHierarchy aggregatedColumn="46"/>
        </ext>
      </extLst>
    </cacheHierarchy>
    <cacheHierarchy uniqueName="[Measures].[Sum of Износ1]" caption="Sum of Износ1" measure="1" displayFolder="" measureGroup="fActualAndBudget" count="0" hidden="1">
      <extLst>
        <ext xmlns:x15="http://schemas.microsoft.com/office/spreadsheetml/2010/11/main" uri="{B97F6D7D-B522-45F9-BDA1-12C45D357490}">
          <x15:cacheHierarchy aggregatedColumn="34"/>
        </ext>
      </extLst>
    </cacheHierarchy>
    <cacheHierarchy uniqueName="[Measures].[Sum of Износ 2]" caption="Sum of Износ 2" measure="1" displayFolder="" measureGroup="Amortizacija" count="0" hidden="1">
      <extLst>
        <ext xmlns:x15="http://schemas.microsoft.com/office/spreadsheetml/2010/11/main" uri="{B97F6D7D-B522-45F9-BDA1-12C45D357490}">
          <x15:cacheHierarchy aggregatedColumn="3"/>
        </ext>
      </extLst>
    </cacheHierarchy>
    <cacheHierarchy uniqueName="[Measures].[Sum of Износ 4]" caption="Sum of Износ 4" measure="1" displayFolder="" measureGroup="OPEXAnaliza" count="0" hidden="1">
      <extLst>
        <ext xmlns:x15="http://schemas.microsoft.com/office/spreadsheetml/2010/11/main" uri="{B97F6D7D-B522-45F9-BDA1-12C45D357490}">
          <x15:cacheHierarchy aggregatedColumn="101"/>
        </ext>
      </extLst>
    </cacheHierarchy>
    <cacheHierarchy uniqueName="[Measures].[Sum of Износ донација]" caption="Sum of Износ донација" measure="1" displayFolder="" measureGroup="CAPEX" count="0" hidden="1">
      <extLst>
        <ext xmlns:x15="http://schemas.microsoft.com/office/spreadsheetml/2010/11/main" uri="{B97F6D7D-B522-45F9-BDA1-12C45D357490}">
          <x15:cacheHierarchy aggregatedColumn="24"/>
        </ext>
      </extLst>
    </cacheHierarchy>
    <cacheHierarchy uniqueName="[Measures].[Sum of Вкупно трошок]" caption="Sum of Вкупно трошок" measure="1" displayFolder="" measureGroup="fArtikliCeni" count="0" hidden="1">
      <extLst>
        <ext xmlns:x15="http://schemas.microsoft.com/office/spreadsheetml/2010/11/main" uri="{B97F6D7D-B522-45F9-BDA1-12C45D357490}">
          <x15:cacheHierarchy aggregatedColumn="55"/>
        </ext>
      </extLst>
    </cacheHierarchy>
    <cacheHierarchy uniqueName="[Measures].[Sum of Количина]" caption="Sum of Количина" measure="1" displayFolder="" measureGroup="fArtikliCeni" count="0" hidden="1">
      <extLst>
        <ext xmlns:x15="http://schemas.microsoft.com/office/spreadsheetml/2010/11/main" uri="{B97F6D7D-B522-45F9-BDA1-12C45D357490}">
          <x15:cacheHierarchy aggregatedColumn="53"/>
        </ext>
      </extLst>
    </cacheHierarchy>
    <cacheHierarchy uniqueName="[Measures].[Sum of Единечна цена]" caption="Sum of Единечна цена" measure="1" displayFolder="" measureGroup="fArtikliCeni" count="0" hidden="1">
      <extLst>
        <ext xmlns:x15="http://schemas.microsoft.com/office/spreadsheetml/2010/11/main" uri="{B97F6D7D-B522-45F9-BDA1-12C45D357490}">
          <x15:cacheHierarchy aggregatedColumn="54"/>
        </ext>
      </extLst>
    </cacheHierarchy>
    <cacheHierarchy uniqueName="[Measures].[Sum of ДДВ]" caption="Sum of ДДВ" measure="1" displayFolder="" measureGroup="fArtikliCeni" count="0" hidden="1">
      <extLst>
        <ext xmlns:x15="http://schemas.microsoft.com/office/spreadsheetml/2010/11/main" uri="{B97F6D7D-B522-45F9-BDA1-12C45D357490}">
          <x15:cacheHierarchy aggregatedColumn="56"/>
        </ext>
      </extLst>
    </cacheHierarchy>
    <cacheHierarchy uniqueName="[Measures].[Sum of Износ 6]" caption="Sum of Износ 6" measure="1" displayFolder="" measureGroup="fArtikliCeni" count="0" hidden="1">
      <extLst>
        <ext xmlns:x15="http://schemas.microsoft.com/office/spreadsheetml/2010/11/main" uri="{B97F6D7D-B522-45F9-BDA1-12C45D357490}">
          <x15:cacheHierarchy aggregatedColumn="57"/>
        </ext>
      </extLst>
    </cacheHierarchy>
    <cacheHierarchy uniqueName="[Measures].[Count of Единечна мерка]" caption="Count of Единечна мерка" measure="1" displayFolder="" measureGroup="fArtikliCeni" count="0" hidden="1">
      <extLst>
        <ext xmlns:x15="http://schemas.microsoft.com/office/spreadsheetml/2010/11/main" uri="{B97F6D7D-B522-45F9-BDA1-12C45D357490}">
          <x15:cacheHierarchy aggregatedColumn="52"/>
        </ext>
      </extLst>
    </cacheHierarchy>
    <cacheHierarchy uniqueName="[Measures].[Sum of Количина 2]" caption="Sum of Количина 2" measure="1" displayFolder="" measureGroup="rArtikli_HR_Analiza" count="0" hidden="1">
      <extLst>
        <ext xmlns:x15="http://schemas.microsoft.com/office/spreadsheetml/2010/11/main" uri="{B97F6D7D-B522-45F9-BDA1-12C45D357490}">
          <x15:cacheHierarchy aggregatedColumn="118"/>
        </ext>
      </extLst>
    </cacheHierarchy>
    <cacheHierarchy uniqueName="[Measures].[Sum of Единечна цена 2]" caption="Sum of Единечна цена 2" measure="1" displayFolder="" measureGroup="rArtikli_HR_Analiza" count="0" hidden="1">
      <extLst>
        <ext xmlns:x15="http://schemas.microsoft.com/office/spreadsheetml/2010/11/main" uri="{B97F6D7D-B522-45F9-BDA1-12C45D357490}">
          <x15:cacheHierarchy aggregatedColumn="119"/>
        </ext>
      </extLst>
    </cacheHierarchy>
    <cacheHierarchy uniqueName="[Measures].[Sum of Вкупно трошок 2]" caption="Sum of Вкупно трошок 2" measure="1" displayFolder="" measureGroup="rArtikli_HR_Analiza" count="0" hidden="1">
      <extLst>
        <ext xmlns:x15="http://schemas.microsoft.com/office/spreadsheetml/2010/11/main" uri="{B97F6D7D-B522-45F9-BDA1-12C45D357490}">
          <x15:cacheHierarchy aggregatedColumn="120"/>
        </ext>
      </extLst>
    </cacheHierarchy>
    <cacheHierarchy uniqueName="[Measures].[Sum of ДДВ 2]" caption="Sum of ДДВ 2" measure="1" displayFolder="" measureGroup="rArtikli_HR_Analiza" count="0" hidden="1">
      <extLst>
        <ext xmlns:x15="http://schemas.microsoft.com/office/spreadsheetml/2010/11/main" uri="{B97F6D7D-B522-45F9-BDA1-12C45D357490}">
          <x15:cacheHierarchy aggregatedColumn="121"/>
        </ext>
      </extLst>
    </cacheHierarchy>
    <cacheHierarchy uniqueName="[Measures].[Sum of Износ 7]" caption="Sum of Износ 7" measure="1" displayFolder="" measureGroup="rArtikli_HR_Analiza" count="0" hidden="1">
      <extLst>
        <ext xmlns:x15="http://schemas.microsoft.com/office/spreadsheetml/2010/11/main" uri="{B97F6D7D-B522-45F9-BDA1-12C45D357490}">
          <x15:cacheHierarchy aggregatedColumn="122"/>
        </ext>
      </extLst>
    </cacheHierarchy>
    <cacheHierarchy uniqueName="[Measures].[Sum of Износ 5]" caption="Sum of Износ 5" measure="1" displayFolder="" measureGroup="fCoveckiResursi  2" count="0" hidden="1">
      <extLst>
        <ext xmlns:x15="http://schemas.microsoft.com/office/spreadsheetml/2010/11/main" uri="{B97F6D7D-B522-45F9-BDA1-12C45D357490}">
          <x15:cacheHierarchy aggregatedColumn="82"/>
        </ext>
      </extLst>
    </cacheHierarchy>
    <cacheHierarchy uniqueName="[Measures].[Sum of Проценета вредност на набавка со ДДВ (денари)]" caption="Sum of Проценета вредност на набавка со ДДВ (денари)" measure="1" displayFolder="" measureGroup="CAPEX" count="0" hidden="1">
      <extLst>
        <ext xmlns:x15="http://schemas.microsoft.com/office/spreadsheetml/2010/11/main" uri="{B97F6D7D-B522-45F9-BDA1-12C45D357490}">
          <x15:cacheHierarchy aggregatedColumn="20"/>
        </ext>
      </extLst>
    </cacheHierarchy>
  </cacheHierarchies>
  <kpis count="0"/>
  <extLst>
    <ext xmlns:x14="http://schemas.microsoft.com/office/spreadsheetml/2009/9/main" uri="{725AE2AE-9491-48be-B2B4-4EB974FC3084}">
      <x14:pivotCacheDefinition slicerData="1" pivotCacheId="671485133" supportSubqueryNonVisual="1" supportSubqueryCalcMem="1" supportAddCalcMems="1"/>
    </ext>
  </extLst>
</pivotCacheDefinition>
</file>

<file path=xl/pivotCache/pivotCacheDefinition3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ngela Sazdova - Doneva" refreshedDate="44899.978518402779" createdVersion="3" refreshedVersion="6" minRefreshableVersion="3" recordCount="0" supportSubquery="1" supportAdvancedDrill="1" xr:uid="{00000000-000A-0000-FFFF-FFFF20000000}">
  <cacheSource type="external" connectionId="22">
    <extLst>
      <ext xmlns:x14="http://schemas.microsoft.com/office/spreadsheetml/2009/9/main" uri="{F057638F-6D5F-4e77-A914-E7F072B9BCA8}">
        <x14:sourceConnection name="ThisWorkbookDataModel"/>
      </ext>
    </extLst>
  </cacheSource>
  <cacheFields count="0"/>
  <cacheHierarchies count="195">
    <cacheHierarchy uniqueName="[Amortizacija].[Број на јавна набавка (план)]" caption="Број на јавна набавка (план)" attribute="1" defaultMemberUniqueName="[Amortizacija].[Број на јавна набавка (план)].[All]" allUniqueName="[Amortizacija].[Број на јавна набавка (план)].[All]" dimensionUniqueName="[Amortizacija]" displayFolder="" count="0" memberValueDatatype="130" unbalanced="0"/>
    <cacheHierarchy uniqueName="[Amortizacija].[Ставка]" caption="Ставка" attribute="1" defaultMemberUniqueName="[Amortizacija].[Ставка].[All]" allUniqueName="[Amortizacija].[Ставка].[All]" dimensionUniqueName="[Amortizacija]" displayFolder="" count="0" memberValueDatatype="130" unbalanced="0"/>
    <cacheHierarchy uniqueName="[Amortizacija].[Период]" caption="Период" attribute="1" time="1" defaultMemberUniqueName="[Amortizacija].[Период].[All]" allUniqueName="[Amortizacija].[Период].[All]" dimensionUniqueName="[Amortizacija]" displayFolder="" count="0" memberValueDatatype="7" unbalanced="0"/>
    <cacheHierarchy uniqueName="[Amortizacija].[Износ]" caption="Износ" attribute="1" defaultMemberUniqueName="[Amortizacija].[Износ].[All]" allUniqueName="[Amortizacija].[Износ].[All]" dimensionUniqueName="[Amortizacija]" displayFolder="" count="0" memberValueDatatype="20" unbalanced="0"/>
    <cacheHierarchy uniqueName="[Amortizacija].[Конто]" caption="Конто" attribute="1" defaultMemberUniqueName="[Amortizacija].[Конто].[All]" allUniqueName="[Amortizacija].[Конто].[All]" dimensionUniqueName="[Amortizacija]" displayFolder="" count="0" memberValueDatatype="130" unbalanced="0"/>
    <cacheHierarchy uniqueName="[Amortizacija].[ReportType]" caption="ReportType" attribute="1" defaultMemberUniqueName="[Amortizacija].[ReportType].[All]" allUniqueName="[Amortizacija].[ReportType].[All]" dimensionUniqueName="[Amortizacija]" displayFolder="" count="0" memberValueDatatype="130" unbalanced="0"/>
    <cacheHierarchy uniqueName="[Calendar].[Date]" caption="Date" attribute="1" time="1" keyAttribute="1" defaultMemberUniqueName="[Calendar].[Date].[All]" allUniqueName="[Calendar].[Date].[All]" dimensionUniqueName="[Calendar]" displayFolder="" count="0" memberValueDatatype="7" unbalanced="0"/>
    <cacheHierarchy uniqueName="[Calendar].[Date Hierarchy]" caption="Date Hierarchy" time="1" defaultMemberUniqueName="[Calendar].[Date Hierarchy].[All]" allUniqueName="[Calendar].[Date Hierarchy].[All]" dimensionUniqueName="[Calendar]" displayFolder="" count="4" unbalanced="0"/>
    <cacheHierarchy uniqueName="[Calendar].[Година]" caption="Година" attribute="1" time="1" defaultMemberUniqueName="[Calendar].[Година].[All]" allUniqueName="[Calendar].[Година].[All]" dimensionUniqueName="[Calendar]" displayFolder="" count="0" memberValueDatatype="20" unbalanced="0"/>
    <cacheHierarchy uniqueName="[Calendar].[Month Number]" caption="Month Number" attribute="1" time="1" defaultMemberUniqueName="[Calendar].[Month Number].[All]" allUniqueName="[Calendar].[Month Number].[All]" dimensionUniqueName="[Calendar]" displayFolder="" count="0" memberValueDatatype="20" unbalanced="0"/>
    <cacheHierarchy uniqueName="[Calendar].[Месец]" caption="Месец" attribute="1" time="1" defaultMemberUniqueName="[Calendar].[Месец].[All]" allUniqueName="[Calendar].[Месец].[All]" dimensionUniqueName="[Calendar]" displayFolder="" count="0" memberValueDatatype="130" unbalanced="0"/>
    <cacheHierarchy uniqueName="[Calendar].[MMM-YYYY]" caption="MMM-YYYY" attribute="1" time="1" defaultMemberUniqueName="[Calendar].[MMM-YYYY].[All]" allUniqueName="[Calendar].[MMM-YYYY].[All]" dimensionUniqueName="[Calendar]" displayFolder="" count="0" memberValueDatatype="130" unbalanced="0"/>
    <cacheHierarchy uniqueName="[Calendar].[Day Of Week Number]" caption="Day Of Week Number" attribute="1" time="1" defaultMemberUniqueName="[Calendar].[Day Of Week Number].[All]" allUniqueName="[Calendar].[Day Of Week Number].[All]" dimensionUniqueName="[Calendar]" displayFolder="" count="0" memberValueDatatype="20" unbalanced="0"/>
    <cacheHierarchy uniqueName="[Calendar].[Day Of Week]" caption="Day Of Week" attribute="1" time="1" defaultMemberUniqueName="[Calendar].[Day Of Week].[All]" allUniqueName="[Calendar].[Day Of Week].[All]" dimensionUniqueName="[Calendar]" displayFolder="" count="0" memberValueDatatype="130" unbalanced="0"/>
    <cacheHierarchy uniqueName="[Calendar].[Квартал]" caption="Квартал" attribute="1" time="1" defaultMemberUniqueName="[Calendar].[Квартал].[All]" allUniqueName="[Calendar].[Квартал].[All]" dimensionUniqueName="[Calendar]" displayFolder="" count="0" memberValueDatatype="7" unbalanced="0"/>
    <cacheHierarchy uniqueName="[CAPEX].[Година за реализација на проект]" caption="Година за реализација на проект" attribute="1" defaultMemberUniqueName="[CAPEX].[Година за реализација на проект].[All]" allUniqueName="[CAPEX].[Година за реализација на проект].[All]" dimensionUniqueName="[CAPEX]" displayFolder="" count="0" memberValueDatatype="20" unbalanced="0"/>
    <cacheHierarchy uniqueName="[CAPEX].[Број на јавна набавка (план)]" caption="Број на јавна набавка (план)" attribute="1" defaultMemberUniqueName="[CAPEX].[Број на јавна набавка (план)].[All]" allUniqueName="[CAPEX].[Број на јавна набавка (план)].[All]" dimensionUniqueName="[CAPEX]" displayFolder="" count="0" memberValueDatatype="130" unbalanced="0"/>
    <cacheHierarchy uniqueName="[CAPEX].[Предмет на договорот за јавна набавка]" caption="Предмет на договорот за јавна набавка" attribute="1" defaultMemberUniqueName="[CAPEX].[Предмет на договорот за јавна набавка].[All]" allUniqueName="[CAPEX].[Предмет на договорот за јавна набавка].[All]" dimensionUniqueName="[CAPEX]" displayFolder="" count="0" memberValueDatatype="130" unbalanced="0"/>
    <cacheHierarchy uniqueName="[CAPEX].[Очекуван датум на плаќање]" caption="Очекуван датум на плаќање" attribute="1" time="1" defaultMemberUniqueName="[CAPEX].[Очекуван датум на плаќање].[All]" allUniqueName="[CAPEX].[Очекуван датум на плаќање].[All]" dimensionUniqueName="[CAPEX]" displayFolder="" count="0" memberValueDatatype="7" unbalanced="0"/>
    <cacheHierarchy uniqueName="[CAPEX].[Очекуван датум за ставање во употреба (месец)]" caption="Очекуван датум за ставање во употреба (месец)" attribute="1" time="1" defaultMemberUniqueName="[CAPEX].[Очекуван датум за ставање во употреба (месец)].[All]" allUniqueName="[CAPEX].[Очекуван датум за ставање во употреба (месец)].[All]" dimensionUniqueName="[CAPEX]" displayFolder="" count="0" memberValueDatatype="7" unbalanced="0"/>
    <cacheHierarchy uniqueName="[CAPEX].[Проценета вредност на набавка со ДДВ (денари)]" caption="Проценета вредност на набавка со ДДВ (денари)" attribute="1" defaultMemberUniqueName="[CAPEX].[Проценета вредност на набавка со ДДВ (денари)].[All]" allUniqueName="[CAPEX].[Проценета вредност на набавка со ДДВ (денари)].[All]" dimensionUniqueName="[CAPEX]" displayFolder="" count="0" memberValueDatatype="20" unbalanced="0"/>
    <cacheHierarchy uniqueName="[CAPEX].[Стапка на амортизација]" caption="Стапка на амортизација" attribute="1" defaultMemberUniqueName="[CAPEX].[Стапка на амортизација].[All]" allUniqueName="[CAPEX].[Стапка на амортизација].[All]" dimensionUniqueName="[CAPEX]" displayFolder="" count="0" memberValueDatatype="5" unbalanced="0"/>
    <cacheHierarchy uniqueName="[CAPEX].[Конто Средства]" caption="Конто Средства" attribute="1" defaultMemberUniqueName="[CAPEX].[Конто Средства].[All]" allUniqueName="[CAPEX].[Конто Средства].[All]" dimensionUniqueName="[CAPEX]" displayFolder="" count="0" memberValueDatatype="130" unbalanced="0"/>
    <cacheHierarchy uniqueName="[CAPEX].[Конто Амортизација]" caption="Конто Амортизација" attribute="1" defaultMemberUniqueName="[CAPEX].[Конто Амортизација].[All]" allUniqueName="[CAPEX].[Конто Амортизација].[All]" dimensionUniqueName="[CAPEX]" displayFolder="" count="0" memberValueDatatype="130" unbalanced="0"/>
    <cacheHierarchy uniqueName="[CAPEX].[Износ донација]" caption="Износ донација" attribute="1" defaultMemberUniqueName="[CAPEX].[Износ донација].[All]" allUniqueName="[CAPEX].[Износ донација].[All]" dimensionUniqueName="[CAPEX]" displayFolder="" count="0" memberValueDatatype="20" unbalanced="0"/>
    <cacheHierarchy uniqueName="[CAPEX].[Очекуван датум на плаќање (Year)]" caption="Очекуван датум на плаќање (Year)" attribute="1" defaultMemberUniqueName="[CAPEX].[Очекуван датум на плаќање (Year)].[All]" allUniqueName="[CAPEX].[Очекуван датум на плаќање (Year)].[All]" dimensionUniqueName="[CAPEX]" displayFolder="" count="0" memberValueDatatype="130" unbalanced="0"/>
    <cacheHierarchy uniqueName="[CAPEX].[Очекуван датум на плаќање (Quarter)]" caption="Очекуван датум на плаќање (Quarter)" attribute="1" defaultMemberUniqueName="[CAPEX].[Очекуван датум на плаќање (Quarter)].[All]" allUniqueName="[CAPEX].[Очекуван датум на плаќање (Quarter)].[All]" dimensionUniqueName="[CAPEX]" displayFolder="" count="0" memberValueDatatype="130" unbalanced="0"/>
    <cacheHierarchy uniqueName="[CAPEX].[Очекуван датум на плаќање (Month)]" caption="Очекуван датум на плаќање (Month)" attribute="1" defaultMemberUniqueName="[CAPEX].[Очекуван датум на плаќање (Month)].[All]" allUniqueName="[CAPEX].[Очекуван датум на плаќање (Month)].[All]" dimensionUniqueName="[CAPEX]" displayFolder="" count="0" memberValueDatatype="130" unbalanced="0"/>
    <cacheHierarchy uniqueName="[CAPEX].[Очекуван датум за ставање во употреба (месец) (Year)]" caption="Очекуван датум за ставање во употреба (месец) (Year)" attribute="1" defaultMemberUniqueName="[CAPEX].[Очекуван датум за ставање во употреба (месец) (Year)].[All]" allUniqueName="[CAPEX].[Очекуван датум за ставање во употреба (месец) (Year)].[All]" dimensionUniqueName="[CAPEX]" displayFolder="" count="0" memberValueDatatype="130" unbalanced="0"/>
    <cacheHierarchy uniqueName="[CAPEX].[Очекуван датум за ставање во употреба (месец) (Quarter)]" caption="Очекуван датум за ставање во употреба (месец) (Quarter)" attribute="1" defaultMemberUniqueName="[CAPEX].[Очекуван датум за ставање во употреба (месец) (Quarter)].[All]" allUniqueName="[CAPEX].[Очекуван датум за ставање во употреба (месец) (Quarter)].[All]" dimensionUniqueName="[CAPEX]" displayFolder="" count="0" memberValueDatatype="130" unbalanced="0"/>
    <cacheHierarchy uniqueName="[CAPEX].[Очекуван датум за ставање во употреба (месец) (Month)]" caption="Очекуван датум за ставање во употреба (месец) (Month)" attribute="1" defaultMemberUniqueName="[CAPEX].[Очекуван датум за ставање во употреба (месец) (Month)].[All]" allUniqueName="[CAPEX].[Очекуван датум за ставање во употреба (месец) (Month)].[All]" dimensionUniqueName="[CAPEX]" displayFolder="" count="0" memberValueDatatype="130" unbalanced="0"/>
    <cacheHierarchy uniqueName="[fActualAndBudget].[Конто]" caption="Конто" attribute="1" defaultMemberUniqueName="[fActualAndBudget].[Конто].[All]" allUniqueName="[fActualAndBudget].[Конто].[All]" dimensionUniqueName="[fActualAndBudget]" displayFolder="" count="0" memberValueDatatype="130" unbalanced="0"/>
    <cacheHierarchy uniqueName="[fActualAndBudget].[Назив на конто]" caption="Назив на конто" attribute="1" defaultMemberUniqueName="[fActualAndBudget].[Назив на конто].[All]" allUniqueName="[fActualAndBudget].[Назив на конто].[All]" dimensionUniqueName="[fActualAndBudget]" displayFolder="" count="0" memberValueDatatype="130" unbalanced="0"/>
    <cacheHierarchy uniqueName="[fActualAndBudget].[Период]" caption="Период" attribute="1" time="1" defaultMemberUniqueName="[fActualAndBudget].[Период].[All]" allUniqueName="[fActualAndBudget].[Период].[All]" dimensionUniqueName="[fActualAndBudget]" displayFolder="" count="0" memberValueDatatype="7" unbalanced="0"/>
    <cacheHierarchy uniqueName="[fActualAndBudget].[Износ1]" caption="Износ1" attribute="1" defaultMemberUniqueName="[fActualAndBudget].[Износ1].[All]" allUniqueName="[fActualAndBudget].[Износ1].[All]" dimensionUniqueName="[fActualAndBudget]" displayFolder="" count="0" memberValueDatatype="20" unbalanced="0"/>
    <cacheHierarchy uniqueName="[fActualAndBudget].[ReportType]" caption="ReportType" attribute="1" defaultMemberUniqueName="[fActualAndBudget].[ReportType].[All]" allUniqueName="[fActualAndBudget].[ReportType].[All]" dimensionUniqueName="[fActualAndBudget]" displayFolder="" count="0" memberValueDatatype="130" unbalanced="0"/>
    <cacheHierarchy uniqueName="[fActualAndBudget].[Ставка]" caption="Ставка" attribute="1" defaultMemberUniqueName="[fActualAndBudget].[Ставка].[All]" allUniqueName="[fActualAndBudget].[Ставка].[All]" dimensionUniqueName="[fActualAndBudget]" displayFolder="" count="0" memberValueDatatype="130" unbalanced="0"/>
    <cacheHierarchy uniqueName="[fActualAndBudget].[Број на јавна набавка (план)]" caption="Број на јавна набавка (план)" attribute="1" defaultMemberUniqueName="[fActualAndBudget].[Број на јавна набавка (план)].[All]" allUniqueName="[fActualAndBudget].[Број на јавна набавка (план)].[All]" dimensionUniqueName="[fActualAndBudget]" displayFolder="" count="0" memberValueDatatype="130" unbalanced="0"/>
    <cacheHierarchy uniqueName="[fActualAndBudget].[StavkaImeMK]" caption="StavkaImeMK" attribute="1" defaultMemberUniqueName="[fActualAndBudget].[StavkaImeMK].[All]" allUniqueName="[fActualAndBudget].[StavkaImeMK].[All]" dimensionUniqueName="[fActualAndBudget]" displayFolder="" count="0" memberValueDatatype="130" unbalanced="0"/>
    <cacheHierarchy uniqueName="[fActualAndBudget].[StavkaGrupa]" caption="StavkaGrupa" attribute="1" defaultMemberUniqueName="[fActualAndBudget].[StavkaGrupa].[All]" allUniqueName="[fActualAndBudget].[StavkaGrupa].[All]" dimensionUniqueName="[fActualAndBudget]" displayFolder="" count="0" memberValueDatatype="130" unbalanced="0"/>
    <cacheHierarchy uniqueName="[fActualAndBudget].[StavkaKategorija]" caption="StavkaKategorija" attribute="1" defaultMemberUniqueName="[fActualAndBudget].[StavkaKategorija].[All]" allUniqueName="[fActualAndBudget].[StavkaKategorija].[All]" dimensionUniqueName="[fActualAndBudget]" displayFolder="" count="2" memberValueDatatype="130" unbalanced="0"/>
    <cacheHierarchy uniqueName="[fActualAndBudget].[ZnakIzvestaj]" caption="ZnakIzvestaj" attribute="1" defaultMemberUniqueName="[fActualAndBudget].[ZnakIzvestaj].[All]" allUniqueName="[fActualAndBudget].[ZnakIzvestaj].[All]" dimensionUniqueName="[fActualAndBudget]" displayFolder="" count="0" memberValueDatatype="20" unbalanced="0"/>
    <cacheHierarchy uniqueName="[fActualAndBudget].[ObrazecID]" caption="ObrazecID" attribute="1" defaultMemberUniqueName="[fActualAndBudget].[ObrazecID].[All]" allUniqueName="[fActualAndBudget].[ObrazecID].[All]" dimensionUniqueName="[fActualAndBudget]" displayFolder="" count="0" memberValueDatatype="20" unbalanced="0"/>
    <cacheHierarchy uniqueName="[fActualAndBudget].[StavkaAOP]" caption="StavkaAOP" attribute="1" defaultMemberUniqueName="[fActualAndBudget].[StavkaAOP].[All]" allUniqueName="[fActualAndBudget].[StavkaAOP].[All]" dimensionUniqueName="[fActualAndBudget]" displayFolder="" count="0" memberValueDatatype="130" unbalanced="0"/>
    <cacheHierarchy uniqueName="[fActualAndBudget].[ObrazecIme]" caption="ObrazecIme" attribute="1" defaultMemberUniqueName="[fActualAndBudget].[ObrazecIme].[All]" allUniqueName="[fActualAndBudget].[ObrazecIme].[All]" dimensionUniqueName="[fActualAndBudget]" displayFolder="" count="0" memberValueDatatype="130" unbalanced="0"/>
    <cacheHierarchy uniqueName="[fActualAndBudget].[Износ]" caption="Износ" attribute="1" defaultMemberUniqueName="[fActualAndBudget].[Износ].[All]" allUniqueName="[fActualAndBudget].[Износ].[All]" dimensionUniqueName="[fActualAndBudget]" displayFolder="" count="0" memberValueDatatype="20" unbalanced="0"/>
    <cacheHierarchy uniqueName="[fActualAndBudget].[Износ (илјади)]" caption="Износ (илјади)" attribute="1" defaultMemberUniqueName="[fActualAndBudget].[Износ (илјади)].[All]" allUniqueName="[fActualAndBudget].[Износ (илјади)].[All]" dimensionUniqueName="[fActualAndBudget]" displayFolder="" count="0" memberValueDatatype="5" unbalanced="0"/>
    <cacheHierarchy uniqueName="[fActualAndBudget].[StavkaImeAOP]" caption="StavkaImeAOP" attribute="1" defaultMemberUniqueName="[fActualAndBudget].[StavkaImeAOP].[All]" allUniqueName="[fActualAndBudget].[StavkaImeAOP].[All]" dimensionUniqueName="[fActualAndBudget]" displayFolder="" count="2" memberValueDatatype="130" unbalanced="0"/>
    <cacheHierarchy uniqueName="[fActualAndBudget].[Конто Ставка]" caption="Конто Ставка" attribute="1" defaultMemberUniqueName="[fActualAndBudget].[Конто Ставка].[All]" allUniqueName="[fActualAndBudget].[Конто Ставка].[All]" dimensionUniqueName="[fActualAndBudget]" displayFolder="" count="0" memberValueDatatype="130" unbalanced="0"/>
    <cacheHierarchy uniqueName="[fArtikliCeni].[Ставка]" caption="Ставка" attribute="1" defaultMemberUniqueName="[fArtikliCeni].[Ставка].[All]" allUniqueName="[fArtikliCeni].[Ставка].[All]" dimensionUniqueName="[fArtikliCeni]" displayFolder="" count="0" memberValueDatatype="130" unbalanced="0"/>
    <cacheHierarchy uniqueName="[fArtikliCeni].[Категорија Артикл]" caption="Категорија Артикл" attribute="1" defaultMemberUniqueName="[fArtikliCeni].[Категорија Артикл].[All]" allUniqueName="[fArtikliCeni].[Категорија Артикл].[All]" dimensionUniqueName="[fArtikliCeni]" displayFolder="" count="0" memberValueDatatype="130" unbalanced="0"/>
    <cacheHierarchy uniqueName="[fArtikliCeni].[Тип на артикл]" caption="Тип на артикл" attribute="1" defaultMemberUniqueName="[fArtikliCeni].[Тип на артикл].[All]" allUniqueName="[fArtikliCeni].[Тип на артикл].[All]" dimensionUniqueName="[fArtikliCeni]" displayFolder="" count="0" memberValueDatatype="130" unbalanced="0"/>
    <cacheHierarchy uniqueName="[fArtikliCeni].[Единечна мерка]" caption="Единечна мерка" attribute="1" defaultMemberUniqueName="[fArtikliCeni].[Единечна мерка].[All]" allUniqueName="[fArtikliCeni].[Единечна мерка].[All]" dimensionUniqueName="[fArtikliCeni]" displayFolder="" count="0" memberValueDatatype="130" unbalanced="0"/>
    <cacheHierarchy uniqueName="[fArtikliCeni].[Количина]" caption="Количина" attribute="1" defaultMemberUniqueName="[fArtikliCeni].[Количина].[All]" allUniqueName="[fArtikliCeni].[Количина].[All]" dimensionUniqueName="[fArtikliCeni]" displayFolder="" count="0" memberValueDatatype="5" unbalanced="0"/>
    <cacheHierarchy uniqueName="[fArtikliCeni].[Единечна цена]" caption="Единечна цена" attribute="1" defaultMemberUniqueName="[fArtikliCeni].[Единечна цена].[All]" allUniqueName="[fArtikliCeni].[Единечна цена].[All]" dimensionUniqueName="[fArtikliCeni]" displayFolder="" count="0" memberValueDatatype="20" unbalanced="0"/>
    <cacheHierarchy uniqueName="[fArtikliCeni].[Вкупно трошок]" caption="Вкупно трошок" attribute="1" defaultMemberUniqueName="[fArtikliCeni].[Вкупно трошок].[All]" allUniqueName="[fArtikliCeni].[Вкупно трошок].[All]" dimensionUniqueName="[fArtikliCeni]" displayFolder="" count="0" memberValueDatatype="5" unbalanced="0"/>
    <cacheHierarchy uniqueName="[fArtikliCeni].[ДДВ]" caption="ДДВ" attribute="1" defaultMemberUniqueName="[fArtikliCeni].[ДДВ].[All]" allUniqueName="[fArtikliCeni].[ДДВ].[All]" dimensionUniqueName="[fArtikliCeni]" displayFolder="" count="0" memberValueDatatype="5" unbalanced="0"/>
    <cacheHierarchy uniqueName="[fArtikliCeni].[Износ]" caption="Износ" attribute="1" defaultMemberUniqueName="[fArtikliCeni].[Износ].[All]" allUniqueName="[fArtikliCeni].[Износ].[All]" dimensionUniqueName="[fArtikliCeni]" displayFolder="" count="0" memberValueDatatype="5" unbalanced="0"/>
    <cacheHierarchy uniqueName="[fArtikliCeni].[Конто]" caption="Конто" attribute="1" defaultMemberUniqueName="[fArtikliCeni].[Конто].[All]" allUniqueName="[fArtikliCeni].[Конто].[All]" dimensionUniqueName="[fArtikliCeni]" displayFolder="" count="0" memberValueDatatype="130" unbalanced="0"/>
    <cacheHierarchy uniqueName="[fArtikliCeni].[ReportType]" caption="ReportType" attribute="1" defaultMemberUniqueName="[fArtikliCeni].[ReportType].[All]" allUniqueName="[fArtikliCeni].[ReportType].[All]" dimensionUniqueName="[fArtikliCeni]" displayFolder="" count="0" memberValueDatatype="130" unbalanced="0"/>
    <cacheHierarchy uniqueName="[fArtikliCeni].[Период]" caption="Период" attribute="1" time="1" defaultMemberUniqueName="[fArtikliCeni].[Период].[All]" allUniqueName="[fArtikliCeni].[Период].[All]" dimensionUniqueName="[fArtikliCeni]" displayFolder="" count="0" memberValueDatatype="7" unbalanced="0"/>
    <cacheHierarchy uniqueName="[fArtikliCeni].[StavkaImeMK]" caption="StavkaImeMK" attribute="1" defaultMemberUniqueName="[fArtikliCeni].[StavkaImeMK].[All]" allUniqueName="[fArtikliCeni].[StavkaImeMK].[All]" dimensionUniqueName="[fArtikliCeni]" displayFolder="" count="0" memberValueDatatype="130" unbalanced="0"/>
    <cacheHierarchy uniqueName="[fArtikliCeni].[StavkaAOP]" caption="StavkaAOP" attribute="1" defaultMemberUniqueName="[fArtikliCeni].[StavkaAOP].[All]" allUniqueName="[fArtikliCeni].[StavkaAOP].[All]" dimensionUniqueName="[fArtikliCeni]" displayFolder="" count="0" memberValueDatatype="130" unbalanced="0"/>
    <cacheHierarchy uniqueName="[fArtikliCeni].[StavkaGrupa]" caption="StavkaGrupa" attribute="1" defaultMemberUniqueName="[fArtikliCeni].[StavkaGrupa].[All]" allUniqueName="[fArtikliCeni].[StavkaGrupa].[All]" dimensionUniqueName="[fArtikliCeni]" displayFolder="" count="0" memberValueDatatype="130" unbalanced="0"/>
    <cacheHierarchy uniqueName="[fArtikliCeni].[StavkaKategorija]" caption="StavkaKategorija" attribute="1" defaultMemberUniqueName="[fArtikliCeni].[StavkaKategorija].[All]" allUniqueName="[fArtikliCeni].[StavkaKategorija].[All]" dimensionUniqueName="[fArtikliCeni]" displayFolder="" count="0" memberValueDatatype="130" unbalanced="0"/>
    <cacheHierarchy uniqueName="[fArtikliCeni].[ObrazecIme]" caption="ObrazecIme" attribute="1" defaultMemberUniqueName="[fArtikliCeni].[ObrazecIme].[All]" allUniqueName="[fArtikliCeni].[ObrazecIme].[All]" dimensionUniqueName="[fArtikliCeni]" displayFolder="" count="0" memberValueDatatype="130" unbalanced="0"/>
    <cacheHierarchy uniqueName="[fCoveckiResursi].[Ставка]" caption="Ставка" attribute="1" defaultMemberUniqueName="[fCoveckiResursi].[Ставка].[All]" allUniqueName="[fCoveckiResursi].[Ставка].[All]" dimensionUniqueName="[fCoveckiResursi]" displayFolder="" count="0" memberValueDatatype="130" unbalanced="0"/>
    <cacheHierarchy uniqueName="[fCoveckiResursi].[Тип на вработување]" caption="Тип на вработување" attribute="1" defaultMemberUniqueName="[fCoveckiResursi].[Тип на вработување].[All]" allUniqueName="[fCoveckiResursi].[Тип на вработување].[All]" dimensionUniqueName="[fCoveckiResursi]" displayFolder="" count="0" memberValueDatatype="130" unbalanced="0"/>
    <cacheHierarchy uniqueName="[fCoveckiResursi].[Планиран прилив/(одлив)]" caption="Планиран прилив/(одлив)" attribute="1" defaultMemberUniqueName="[fCoveckiResursi].[Планиран прилив/(одлив)].[All]" allUniqueName="[fCoveckiResursi].[Планиран прилив/(одлив)].[All]" dimensionUniqueName="[fCoveckiResursi]" displayFolder="" count="0" memberValueDatatype="20" unbalanced="0"/>
    <cacheHierarchy uniqueName="[fCoveckiResursi].[Период]" caption="Период" attribute="1" time="1" defaultMemberUniqueName="[fCoveckiResursi].[Период].[All]" allUniqueName="[fCoveckiResursi].[Период].[All]" dimensionUniqueName="[fCoveckiResursi]" displayFolder="" count="0" memberValueDatatype="7" unbalanced="0"/>
    <cacheHierarchy uniqueName="[fCoveckiResursi].[Крајна состојба вработени]" caption="Крајна состојба вработени" attribute="1" defaultMemberUniqueName="[fCoveckiResursi].[Крајна состојба вработени].[All]" allUniqueName="[fCoveckiResursi].[Крајна состојба вработени].[All]" dimensionUniqueName="[fCoveckiResursi]" displayFolder="" count="0" memberValueDatatype="20" unbalanced="0"/>
    <cacheHierarchy uniqueName="[fCoveckiResursi].[Износ]" caption="Износ" attribute="1" defaultMemberUniqueName="[fCoveckiResursi].[Износ].[All]" allUniqueName="[fCoveckiResursi].[Износ].[All]" dimensionUniqueName="[fCoveckiResursi]" displayFolder="" count="0" memberValueDatatype="20" unbalanced="0"/>
    <cacheHierarchy uniqueName="[fCoveckiResursi].[Конто]" caption="Конто" attribute="1" defaultMemberUniqueName="[fCoveckiResursi].[Конто].[All]" allUniqueName="[fCoveckiResursi].[Конто].[All]" dimensionUniqueName="[fCoveckiResursi]" displayFolder="" count="0" memberValueDatatype="130" unbalanced="0"/>
    <cacheHierarchy uniqueName="[fCoveckiResursi].[ReportType]" caption="ReportType" attribute="1" defaultMemberUniqueName="[fCoveckiResursi].[ReportType].[All]" allUniqueName="[fCoveckiResursi].[ReportType].[All]" dimensionUniqueName="[fCoveckiResursi]" displayFolder="" count="0" memberValueDatatype="130" unbalanced="0"/>
    <cacheHierarchy uniqueName="[fCoveckiResursi].[Период (Year)]" caption="Период (Year)" attribute="1" defaultMemberUniqueName="[fCoveckiResursi].[Период (Year)].[All]" allUniqueName="[fCoveckiResursi].[Период (Year)].[All]" dimensionUniqueName="[fCoveckiResursi]" displayFolder="" count="0" memberValueDatatype="130" unbalanced="0"/>
    <cacheHierarchy uniqueName="[fCoveckiResursi].[Период (Quarter)]" caption="Период (Quarter)" attribute="1" defaultMemberUniqueName="[fCoveckiResursi].[Период (Quarter)].[All]" allUniqueName="[fCoveckiResursi].[Период (Quarter)].[All]" dimensionUniqueName="[fCoveckiResursi]" displayFolder="" count="0" memberValueDatatype="130" unbalanced="0"/>
    <cacheHierarchy uniqueName="[fCoveckiResursi].[Период (Month)]" caption="Период (Month)" attribute="1" defaultMemberUniqueName="[fCoveckiResursi].[Период (Month)].[All]" allUniqueName="[fCoveckiResursi].[Период (Month)].[All]" dimensionUniqueName="[fCoveckiResursi]" displayFolder="" count="0" memberValueDatatype="130" unbalanced="0"/>
    <cacheHierarchy uniqueName="[fCoveckiResursi].[Период (Year) 1]" caption="Период (Year) 1" attribute="1" defaultMemberUniqueName="[fCoveckiResursi].[Период (Year) 1].[All]" allUniqueName="[fCoveckiResursi].[Период (Year) 1].[All]" dimensionUniqueName="[fCoveckiResursi]" displayFolder="" count="0" memberValueDatatype="130" unbalanced="0"/>
    <cacheHierarchy uniqueName="[fCoveckiResursi].[Период (Quarter) 1]" caption="Период (Quarter) 1" attribute="1" defaultMemberUniqueName="[fCoveckiResursi].[Период (Quarter) 1].[All]" allUniqueName="[fCoveckiResursi].[Период (Quarter) 1].[All]" dimensionUniqueName="[fCoveckiResursi]" displayFolder="" count="0" memberValueDatatype="130" unbalanced="0"/>
    <cacheHierarchy uniqueName="[fCoveckiResursi].[Период (Month) 1]" caption="Период (Month) 1" attribute="1" defaultMemberUniqueName="[fCoveckiResursi].[Период (Month) 1].[All]" allUniqueName="[fCoveckiResursi].[Период (Month) 1].[All]" dimensionUniqueName="[fCoveckiResursi]" displayFolder="" count="0" memberValueDatatype="130" unbalanced="0"/>
    <cacheHierarchy uniqueName="[fCoveckiResursi  2].[Ставка]" caption="Ставка" attribute="1" defaultMemberUniqueName="[fCoveckiResursi  2].[Ставка].[All]" allUniqueName="[fCoveckiResursi  2].[Ставка].[All]" dimensionUniqueName="[fCoveckiResursi  2]" displayFolder="" count="0" memberValueDatatype="130" unbalanced="0"/>
    <cacheHierarchy uniqueName="[fCoveckiResursi  2].[Период]" caption="Период" attribute="1" time="1" defaultMemberUniqueName="[fCoveckiResursi  2].[Период].[All]" allUniqueName="[fCoveckiResursi  2].[Период].[All]" dimensionUniqueName="[fCoveckiResursi  2]" displayFolder="" count="0" memberValueDatatype="7" unbalanced="0"/>
    <cacheHierarchy uniqueName="[fCoveckiResursi  2].[Износ]" caption="Износ" attribute="1" defaultMemberUniqueName="[fCoveckiResursi  2].[Износ].[All]" allUniqueName="[fCoveckiResursi  2].[Износ].[All]" dimensionUniqueName="[fCoveckiResursi  2]" displayFolder="" count="0" memberValueDatatype="20" unbalanced="0"/>
    <cacheHierarchy uniqueName="[fCoveckiResursi  2].[Конто]" caption="Конто" attribute="1" defaultMemberUniqueName="[fCoveckiResursi  2].[Конто].[All]" allUniqueName="[fCoveckiResursi  2].[Конто].[All]" dimensionUniqueName="[fCoveckiResursi  2]" displayFolder="" count="0" memberValueDatatype="130" unbalanced="0"/>
    <cacheHierarchy uniqueName="[fCoveckiResursi  2].[ReportType]" caption="ReportType" attribute="1" defaultMemberUniqueName="[fCoveckiResursi  2].[ReportType].[All]" allUniqueName="[fCoveckiResursi  2].[ReportType].[All]" dimensionUniqueName="[fCoveckiResursi  2]" displayFolder="" count="0" memberValueDatatype="130" unbalanced="0"/>
    <cacheHierarchy uniqueName="[fCoveckiResursi  2].[StavkaImeMK]" caption="StavkaImeMK" attribute="1" defaultMemberUniqueName="[fCoveckiResursi  2].[StavkaImeMK].[All]" allUniqueName="[fCoveckiResursi  2].[StavkaImeMK].[All]" dimensionUniqueName="[fCoveckiResursi  2]" displayFolder="" count="0" memberValueDatatype="130" unbalanced="0"/>
    <cacheHierarchy uniqueName="[fCoveckiResursi  2].[StavkaKategorija]" caption="StavkaKategorija" attribute="1" defaultMemberUniqueName="[fCoveckiResursi  2].[StavkaKategorija].[All]" allUniqueName="[fCoveckiResursi  2].[StavkaKategorija].[All]" dimensionUniqueName="[fCoveckiResursi  2]" displayFolder="" count="0" memberValueDatatype="130" unbalanced="0"/>
    <cacheHierarchy uniqueName="[fCoveckiResursi  2].[ObrazecIme]" caption="ObrazecIme" attribute="1" defaultMemberUniqueName="[fCoveckiResursi  2].[ObrazecIme].[All]" allUniqueName="[fCoveckiResursi  2].[ObrazecIme].[All]" dimensionUniqueName="[fCoveckiResursi  2]" displayFolder="" count="0" memberValueDatatype="130" unbalanced="0"/>
    <cacheHierarchy uniqueName="[fOPEX].[Конто]" caption="Конто" attribute="1" defaultMemberUniqueName="[fOPEX].[Конто].[All]" allUniqueName="[fOPEX].[Конто].[All]" dimensionUniqueName="[fOPEX]" displayFolder="" count="0" memberValueDatatype="130" unbalanced="0"/>
    <cacheHierarchy uniqueName="[fOPEX].[Ставка]" caption="Ставка" attribute="1" defaultMemberUniqueName="[fOPEX].[Ставка].[All]" allUniqueName="[fOPEX].[Ставка].[All]" dimensionUniqueName="[fOPEX]" displayFolder="" count="0" memberValueDatatype="130" unbalanced="0"/>
    <cacheHierarchy uniqueName="[fOPEX].[Период]" caption="Период" attribute="1" time="1" defaultMemberUniqueName="[fOPEX].[Период].[All]" allUniqueName="[fOPEX].[Период].[All]" dimensionUniqueName="[fOPEX]" displayFolder="" count="0" memberValueDatatype="7" unbalanced="0"/>
    <cacheHierarchy uniqueName="[fOPEX].[Износ]" caption="Износ" attribute="1" defaultMemberUniqueName="[fOPEX].[Износ].[All]" allUniqueName="[fOPEX].[Износ].[All]" dimensionUniqueName="[fOPEX]" displayFolder="" count="0" memberValueDatatype="20" unbalanced="0"/>
    <cacheHierarchy uniqueName="[fOPEX].[ReportType]" caption="ReportType" attribute="1" defaultMemberUniqueName="[fOPEX].[ReportType].[All]" allUniqueName="[fOPEX].[ReportType].[All]" dimensionUniqueName="[fOPEX]" displayFolder="" count="0" memberValueDatatype="130" unbalanced="0"/>
    <cacheHierarchy uniqueName="[OPEXAnaliza].[Артикл ИД]" caption="Артикл ИД" attribute="1" defaultMemberUniqueName="[OPEXAnaliza].[Артикл ИД].[All]" allUniqueName="[OPEXAnaliza].[Артикл ИД].[All]" dimensionUniqueName="[OPEXAnaliza]" displayFolder="" count="0" memberValueDatatype="20" unbalanced="0"/>
    <cacheHierarchy uniqueName="[OPEXAnaliza].[Ставка]" caption="Ставка" attribute="1" defaultMemberUniqueName="[OPEXAnaliza].[Ставка].[All]" allUniqueName="[OPEXAnaliza].[Ставка].[All]" dimensionUniqueName="[OPEXAnaliza]" displayFolder="" count="0" memberValueDatatype="130" unbalanced="0"/>
    <cacheHierarchy uniqueName="[OPEXAnaliza].[Категорија Артикл ИД]" caption="Категорија Артикл ИД" attribute="1" defaultMemberUniqueName="[OPEXAnaliza].[Категорија Артикл ИД].[All]" allUniqueName="[OPEXAnaliza].[Категорија Артикл ИД].[All]" dimensionUniqueName="[OPEXAnaliza]" displayFolder="" count="0" memberValueDatatype="20" unbalanced="0"/>
    <cacheHierarchy uniqueName="[OPEXAnaliza].[Категорија Артикл]" caption="Категорија Артикл" attribute="1" defaultMemberUniqueName="[OPEXAnaliza].[Категорија Артикл].[All]" allUniqueName="[OPEXAnaliza].[Категорија Артикл].[All]" dimensionUniqueName="[OPEXAnaliza]" displayFolder="" count="0" memberValueDatatype="130" unbalanced="0"/>
    <cacheHierarchy uniqueName="[OPEXAnaliza].[Тип на артикл]" caption="Тип на артикл" attribute="1" defaultMemberUniqueName="[OPEXAnaliza].[Тип на артикл].[All]" allUniqueName="[OPEXAnaliza].[Тип на артикл].[All]" dimensionUniqueName="[OPEXAnaliza]" displayFolder="" count="0" memberValueDatatype="130" unbalanced="0"/>
    <cacheHierarchy uniqueName="[OPEXAnaliza].[Единечна мерка]" caption="Единечна мерка" attribute="1" defaultMemberUniqueName="[OPEXAnaliza].[Единечна мерка].[All]" allUniqueName="[OPEXAnaliza].[Единечна мерка].[All]" dimensionUniqueName="[OPEXAnaliza]" displayFolder="" count="0" memberValueDatatype="130" unbalanced="0"/>
    <cacheHierarchy uniqueName="[OPEXAnaliza].[Количина]" caption="Количина" attribute="1" defaultMemberUniqueName="[OPEXAnaliza].[Количина].[All]" allUniqueName="[OPEXAnaliza].[Количина].[All]" dimensionUniqueName="[OPEXAnaliza]" displayFolder="" count="0" memberValueDatatype="5" unbalanced="0"/>
    <cacheHierarchy uniqueName="[OPEXAnaliza].[Единечна цена]" caption="Единечна цена" attribute="1" defaultMemberUniqueName="[OPEXAnaliza].[Единечна цена].[All]" allUniqueName="[OPEXAnaliza].[Единечна цена].[All]" dimensionUniqueName="[OPEXAnaliza]" displayFolder="" count="0" memberValueDatatype="20" unbalanced="0"/>
    <cacheHierarchy uniqueName="[OPEXAnaliza].[Износ]" caption="Износ" attribute="1" defaultMemberUniqueName="[OPEXAnaliza].[Износ].[All]" allUniqueName="[OPEXAnaliza].[Износ].[All]" dimensionUniqueName="[OPEXAnaliza]" displayFolder="" count="0" memberValueDatatype="5" unbalanced="0"/>
    <cacheHierarchy uniqueName="[OPEXAnaliza].[ДДВ]" caption="ДДВ" attribute="1" defaultMemberUniqueName="[OPEXAnaliza].[ДДВ].[All]" allUniqueName="[OPEXAnaliza].[ДДВ].[All]" dimensionUniqueName="[OPEXAnaliza]" displayFolder="" count="0" memberValueDatatype="5" unbalanced="0"/>
    <cacheHierarchy uniqueName="[OPEXAnaliza].[Вкупно трошок со ДДВ]" caption="Вкупно трошок со ДДВ" attribute="1" defaultMemberUniqueName="[OPEXAnaliza].[Вкупно трошок со ДДВ].[All]" allUniqueName="[OPEXAnaliza].[Вкупно трошок со ДДВ].[All]" dimensionUniqueName="[OPEXAnaliza]" displayFolder="" count="0" memberValueDatatype="5" unbalanced="0"/>
    <cacheHierarchy uniqueName="[OPEXAnaliza].[Конто]" caption="Конто" attribute="1" defaultMemberUniqueName="[OPEXAnaliza].[Конто].[All]" allUniqueName="[OPEXAnaliza].[Конто].[All]" dimensionUniqueName="[OPEXAnaliza]" displayFolder="" count="0" memberValueDatatype="130" unbalanced="0"/>
    <cacheHierarchy uniqueName="[OPEXAnaliza].[Период]" caption="Период" attribute="1" time="1" defaultMemberUniqueName="[OPEXAnaliza].[Период].[All]" allUniqueName="[OPEXAnaliza].[Период].[All]" dimensionUniqueName="[OPEXAnaliza]" displayFolder="" count="0" memberValueDatatype="7" unbalanced="0"/>
    <cacheHierarchy uniqueName="[OPEXAnaliza].[ReportType]" caption="ReportType" attribute="1" defaultMemberUniqueName="[OPEXAnaliza].[ReportType].[All]" allUniqueName="[OPEXAnaliza].[ReportType].[All]" dimensionUniqueName="[OPEXAnaliza]" displayFolder="" count="0" memberValueDatatype="130" unbalanced="0"/>
    <cacheHierarchy uniqueName="[OPEXAnaliza].[StavkaImeMK]" caption="StavkaImeMK" attribute="1" defaultMemberUniqueName="[OPEXAnaliza].[StavkaImeMK].[All]" allUniqueName="[OPEXAnaliza].[StavkaImeMK].[All]" dimensionUniqueName="[OPEXAnaliza]" displayFolder="" count="0" memberValueDatatype="130" unbalanced="0"/>
    <cacheHierarchy uniqueName="[OPEXAnaliza].[StavkaKategorija]" caption="StavkaKategorija" attribute="1" defaultMemberUniqueName="[OPEXAnaliza].[StavkaKategorija].[All]" allUniqueName="[OPEXAnaliza].[StavkaKategorija].[All]" dimensionUniqueName="[OPEXAnaliza]" displayFolder="" count="0" memberValueDatatype="130" unbalanced="0"/>
    <cacheHierarchy uniqueName="[OPEXAnaliza].[ObrazecIme]" caption="ObrazecIme" attribute="1" defaultMemberUniqueName="[OPEXAnaliza].[ObrazecIme].[All]" allUniqueName="[OPEXAnaliza].[ObrazecIme].[All]" dimensionUniqueName="[OPEXAnaliza]" displayFolder="" count="0" memberValueDatatype="130" unbalanced="0"/>
    <cacheHierarchy uniqueName="[OPEXAnaliza].[StavkaImeAOP]" caption="StavkaImeAOP" attribute="1" defaultMemberUniqueName="[OPEXAnaliza].[StavkaImeAOP].[All]" allUniqueName="[OPEXAnaliza].[StavkaImeAOP].[All]" dimensionUniqueName="[OPEXAnaliza]" displayFolder="" count="0" memberValueDatatype="20" unbalanced="0"/>
    <cacheHierarchy uniqueName="[OPEXAnaliza].[Период (Year)]" caption="Период (Year)" attribute="1" defaultMemberUniqueName="[OPEXAnaliza].[Период (Year)].[All]" allUniqueName="[OPEXAnaliza].[Период (Year)].[All]" dimensionUniqueName="[OPEXAnaliza]" displayFolder="" count="0" memberValueDatatype="130" unbalanced="0"/>
    <cacheHierarchy uniqueName="[OPEXAnaliza].[Период (Quarter)]" caption="Период (Quarter)" attribute="1" defaultMemberUniqueName="[OPEXAnaliza].[Период (Quarter)].[All]" allUniqueName="[OPEXAnaliza].[Период (Quarter)].[All]" dimensionUniqueName="[OPEXAnaliza]" displayFolder="" count="0" memberValueDatatype="130" unbalanced="0"/>
    <cacheHierarchy uniqueName="[OPEXAnaliza].[Период (Month)]" caption="Период (Month)" attribute="1" defaultMemberUniqueName="[OPEXAnaliza].[Период (Month)].[All]" allUniqueName="[OPEXAnaliza].[Период (Month)].[All]" dimensionUniqueName="[OPEXAnaliza]" displayFolder="" count="0" memberValueDatatype="130" unbalanced="0"/>
    <cacheHierarchy uniqueName="[rArtikli_HR_Analiza].[Ставка]" caption="Ставка" attribute="1" defaultMemberUniqueName="[rArtikli_HR_Analiza].[Ставка].[All]" allUniqueName="[rArtikli_HR_Analiza].[Ставка].[All]" dimensionUniqueName="[rArtikli_HR_Analiza]" displayFolder="" count="0" memberValueDatatype="130" unbalanced="0"/>
    <cacheHierarchy uniqueName="[rArtikli_HR_Analiza].[Категорија Артикл]" caption="Категорија Артикл" attribute="1" defaultMemberUniqueName="[rArtikli_HR_Analiza].[Категорија Артикл].[All]" allUniqueName="[rArtikli_HR_Analiza].[Категорија Артикл].[All]" dimensionUniqueName="[rArtikli_HR_Analiza]" displayFolder="" count="0" memberValueDatatype="130" unbalanced="0"/>
    <cacheHierarchy uniqueName="[rArtikli_HR_Analiza].[Тип на артикл]" caption="Тип на артикл" attribute="1" defaultMemberUniqueName="[rArtikli_HR_Analiza].[Тип на артикл].[All]" allUniqueName="[rArtikli_HR_Analiza].[Тип на артикл].[All]" dimensionUniqueName="[rArtikli_HR_Analiza]" displayFolder="" count="0" memberValueDatatype="130" unbalanced="0"/>
    <cacheHierarchy uniqueName="[rArtikli_HR_Analiza].[Единечна мерка]" caption="Единечна мерка" attribute="1" defaultMemberUniqueName="[rArtikli_HR_Analiza].[Единечна мерка].[All]" allUniqueName="[rArtikli_HR_Analiza].[Единечна мерка].[All]" dimensionUniqueName="[rArtikli_HR_Analiza]" displayFolder="" count="0" memberValueDatatype="130" unbalanced="0"/>
    <cacheHierarchy uniqueName="[rArtikli_HR_Analiza].[Количина]" caption="Количина" attribute="1" defaultMemberUniqueName="[rArtikli_HR_Analiza].[Количина].[All]" allUniqueName="[rArtikli_HR_Analiza].[Количина].[All]" dimensionUniqueName="[rArtikli_HR_Analiza]" displayFolder="" count="0" memberValueDatatype="5" unbalanced="0"/>
    <cacheHierarchy uniqueName="[rArtikli_HR_Analiza].[Единечна цена]" caption="Единечна цена" attribute="1" defaultMemberUniqueName="[rArtikli_HR_Analiza].[Единечна цена].[All]" allUniqueName="[rArtikli_HR_Analiza].[Единечна цена].[All]" dimensionUniqueName="[rArtikli_HR_Analiza]" displayFolder="" count="0" memberValueDatatype="20" unbalanced="0"/>
    <cacheHierarchy uniqueName="[rArtikli_HR_Analiza].[Вкупно трошок]" caption="Вкупно трошок" attribute="1" defaultMemberUniqueName="[rArtikli_HR_Analiza].[Вкупно трошок].[All]" allUniqueName="[rArtikli_HR_Analiza].[Вкупно трошок].[All]" dimensionUniqueName="[rArtikli_HR_Analiza]" displayFolder="" count="0" memberValueDatatype="5" unbalanced="0"/>
    <cacheHierarchy uniqueName="[rArtikli_HR_Analiza].[ДДВ]" caption="ДДВ" attribute="1" defaultMemberUniqueName="[rArtikli_HR_Analiza].[ДДВ].[All]" allUniqueName="[rArtikli_HR_Analiza].[ДДВ].[All]" dimensionUniqueName="[rArtikli_HR_Analiza]" displayFolder="" count="0" memberValueDatatype="5" unbalanced="0"/>
    <cacheHierarchy uniqueName="[rArtikli_HR_Analiza].[Износ]" caption="Износ" attribute="1" defaultMemberUniqueName="[rArtikli_HR_Analiza].[Износ].[All]" allUniqueName="[rArtikli_HR_Analiza].[Износ].[All]" dimensionUniqueName="[rArtikli_HR_Analiza]" displayFolder="" count="0" memberValueDatatype="5" unbalanced="0"/>
    <cacheHierarchy uniqueName="[rArtikli_HR_Analiza].[Конто]" caption="Конто" attribute="1" defaultMemberUniqueName="[rArtikli_HR_Analiza].[Конто].[All]" allUniqueName="[rArtikli_HR_Analiza].[Конто].[All]" dimensionUniqueName="[rArtikli_HR_Analiza]" displayFolder="" count="0" memberValueDatatype="130" unbalanced="0"/>
    <cacheHierarchy uniqueName="[rArtikli_HR_Analiza].[ReportType]" caption="ReportType" attribute="1" defaultMemberUniqueName="[rArtikli_HR_Analiza].[ReportType].[All]" allUniqueName="[rArtikli_HR_Analiza].[ReportType].[All]" dimensionUniqueName="[rArtikli_HR_Analiza]" displayFolder="" count="0" memberValueDatatype="130" unbalanced="0"/>
    <cacheHierarchy uniqueName="[rArtikli_HR_Analiza].[Период]" caption="Период" attribute="1" time="1" defaultMemberUniqueName="[rArtikli_HR_Analiza].[Период].[All]" allUniqueName="[rArtikli_HR_Analiza].[Период].[All]" dimensionUniqueName="[rArtikli_HR_Analiza]" displayFolder="" count="0" memberValueDatatype="7" unbalanced="0"/>
    <cacheHierarchy uniqueName="[rArtikli_HR_Analiza].[StavkaImeMK]" caption="StavkaImeMK" attribute="1" defaultMemberUniqueName="[rArtikli_HR_Analiza].[StavkaImeMK].[All]" allUniqueName="[rArtikli_HR_Analiza].[StavkaImeMK].[All]" dimensionUniqueName="[rArtikli_HR_Analiza]" displayFolder="" count="0" memberValueDatatype="130" unbalanced="0"/>
    <cacheHierarchy uniqueName="[rArtikli_HR_Analiza].[StavkaAOP]" caption="StavkaAOP" attribute="1" defaultMemberUniqueName="[rArtikli_HR_Analiza].[StavkaAOP].[All]" allUniqueName="[rArtikli_HR_Analiza].[StavkaAOP].[All]" dimensionUniqueName="[rArtikli_HR_Analiza]" displayFolder="" count="0" memberValueDatatype="130" unbalanced="0"/>
    <cacheHierarchy uniqueName="[rArtikli_HR_Analiza].[StavkaGrupa]" caption="StavkaGrupa" attribute="1" defaultMemberUniqueName="[rArtikli_HR_Analiza].[StavkaGrupa].[All]" allUniqueName="[rArtikli_HR_Analiza].[StavkaGrupa].[All]" dimensionUniqueName="[rArtikli_HR_Analiza]" displayFolder="" count="0" memberValueDatatype="130" unbalanced="0"/>
    <cacheHierarchy uniqueName="[rArtikli_HR_Analiza].[StavkaKategorija]" caption="StavkaKategorija" attribute="1" defaultMemberUniqueName="[rArtikli_HR_Analiza].[StavkaKategorija].[All]" allUniqueName="[rArtikli_HR_Analiza].[StavkaKategorija].[All]" dimensionUniqueName="[rArtikli_HR_Analiza]" displayFolder="" count="0" memberValueDatatype="130" unbalanced="0"/>
    <cacheHierarchy uniqueName="[rArtikli_HR_Analiza].[ObrazecIme]" caption="ObrazecIme" attribute="1" defaultMemberUniqueName="[rArtikli_HR_Analiza].[ObrazecIme].[All]" allUniqueName="[rArtikli_HR_Analiza].[ObrazecIme].[All]" dimensionUniqueName="[rArtikli_HR_Analiza]" displayFolder="" count="0" memberValueDatatype="130" unbalanced="0"/>
    <cacheHierarchy uniqueName="[rArtikli_HR_Analiza].[StavkaKategorija.1]" caption="StavkaKategorija.1" attribute="1" defaultMemberUniqueName="[rArtikli_HR_Analiza].[StavkaKategorija.1].[All]" allUniqueName="[rArtikli_HR_Analiza].[StavkaKategorija.1].[All]" dimensionUniqueName="[rArtikli_HR_Analiza]" displayFolder="" count="0" memberValueDatatype="130" unbalanced="0"/>
    <cacheHierarchy uniqueName="[rArtikliAnaliza].[Артикл ИД]" caption="Артикл ИД" attribute="1" defaultMemberUniqueName="[rArtikliAnaliza].[Артикл ИД].[All]" allUniqueName="[rArtikliAnaliza].[Артикл ИД].[All]" dimensionUniqueName="[rArtikliAnaliza]" displayFolder="" count="0" memberValueDatatype="20" unbalanced="0"/>
    <cacheHierarchy uniqueName="[rArtikliAnaliza].[Ставка]" caption="Ставка" attribute="1" defaultMemberUniqueName="[rArtikliAnaliza].[Ставка].[All]" allUniqueName="[rArtikliAnaliza].[Ставка].[All]" dimensionUniqueName="[rArtikliAnaliza]" displayFolder="" count="0" memberValueDatatype="130" unbalanced="0"/>
    <cacheHierarchy uniqueName="[rArtikliAnaliza].[Категорија Артикл ИД]" caption="Категорија Артикл ИД" attribute="1" defaultMemberUniqueName="[rArtikliAnaliza].[Категорија Артикл ИД].[All]" allUniqueName="[rArtikliAnaliza].[Категорија Артикл ИД].[All]" dimensionUniqueName="[rArtikliAnaliza]" displayFolder="" count="0" memberValueDatatype="20" unbalanced="0"/>
    <cacheHierarchy uniqueName="[rArtikliAnaliza].[Категорија Артикл]" caption="Категорија Артикл" attribute="1" defaultMemberUniqueName="[rArtikliAnaliza].[Категорија Артикл].[All]" allUniqueName="[rArtikliAnaliza].[Категорија Артикл].[All]" dimensionUniqueName="[rArtikliAnaliza]" displayFolder="" count="0" memberValueDatatype="130" unbalanced="0"/>
    <cacheHierarchy uniqueName="[rArtikliAnaliza].[Тип на артикл]" caption="Тип на артикл" attribute="1" defaultMemberUniqueName="[rArtikliAnaliza].[Тип на артикл].[All]" allUniqueName="[rArtikliAnaliza].[Тип на артикл].[All]" dimensionUniqueName="[rArtikliAnaliza]" displayFolder="" count="0" memberValueDatatype="130" unbalanced="0"/>
    <cacheHierarchy uniqueName="[rArtikliAnaliza].[Единечна мерка]" caption="Единечна мерка" attribute="1" defaultMemberUniqueName="[rArtikliAnaliza].[Единечна мерка].[All]" allUniqueName="[rArtikliAnaliza].[Единечна мерка].[All]" dimensionUniqueName="[rArtikliAnaliza]" displayFolder="" count="0" memberValueDatatype="130" unbalanced="0"/>
    <cacheHierarchy uniqueName="[rArtikliAnaliza].[Количина]" caption="Количина" attribute="1" defaultMemberUniqueName="[rArtikliAnaliza].[Количина].[All]" allUniqueName="[rArtikliAnaliza].[Количина].[All]" dimensionUniqueName="[rArtikliAnaliza]" displayFolder="" count="0" memberValueDatatype="5" unbalanced="0"/>
    <cacheHierarchy uniqueName="[rArtikliAnaliza].[Единечна цена]" caption="Единечна цена" attribute="1" defaultMemberUniqueName="[rArtikliAnaliza].[Единечна цена].[All]" allUniqueName="[rArtikliAnaliza].[Единечна цена].[All]" dimensionUniqueName="[rArtikliAnaliza]" displayFolder="" count="0" memberValueDatatype="20" unbalanced="0"/>
    <cacheHierarchy uniqueName="[rArtikliAnaliza].[Износ]" caption="Износ" attribute="1" defaultMemberUniqueName="[rArtikliAnaliza].[Износ].[All]" allUniqueName="[rArtikliAnaliza].[Износ].[All]" dimensionUniqueName="[rArtikliAnaliza]" displayFolder="" count="0" memberValueDatatype="5" unbalanced="0"/>
    <cacheHierarchy uniqueName="[rArtikliAnaliza].[ДДВ]" caption="ДДВ" attribute="1" defaultMemberUniqueName="[rArtikliAnaliza].[ДДВ].[All]" allUniqueName="[rArtikliAnaliza].[ДДВ].[All]" dimensionUniqueName="[rArtikliAnaliza]" displayFolder="" count="0" memberValueDatatype="5" unbalanced="0"/>
    <cacheHierarchy uniqueName="[rArtikliAnaliza].[Вкупно трошок со ДДВ]" caption="Вкупно трошок со ДДВ" attribute="1" defaultMemberUniqueName="[rArtikliAnaliza].[Вкупно трошок со ДДВ].[All]" allUniqueName="[rArtikliAnaliza].[Вкупно трошок со ДДВ].[All]" dimensionUniqueName="[rArtikliAnaliza]" displayFolder="" count="0" memberValueDatatype="5" unbalanced="0"/>
    <cacheHierarchy uniqueName="[rArtikliAnaliza].[Конто]" caption="Конто" attribute="1" defaultMemberUniqueName="[rArtikliAnaliza].[Конто].[All]" allUniqueName="[rArtikliAnaliza].[Конто].[All]" dimensionUniqueName="[rArtikliAnaliza]" displayFolder="" count="0" memberValueDatatype="130" unbalanced="0"/>
    <cacheHierarchy uniqueName="[rArtikliAnaliza].[Период]" caption="Период" attribute="1" time="1" defaultMemberUniqueName="[rArtikliAnaliza].[Период].[All]" allUniqueName="[rArtikliAnaliza].[Период].[All]" dimensionUniqueName="[rArtikliAnaliza]" displayFolder="" count="0" memberValueDatatype="7" unbalanced="0"/>
    <cacheHierarchy uniqueName="[rArtikliAnaliza].[ReportType]" caption="ReportType" attribute="1" defaultMemberUniqueName="[rArtikliAnaliza].[ReportType].[All]" allUniqueName="[rArtikliAnaliza].[ReportType].[All]" dimensionUniqueName="[rArtikliAnaliza]" displayFolder="" count="0" memberValueDatatype="130" unbalanced="0"/>
    <cacheHierarchy uniqueName="[rArtikliAnaliza].[StavkaImeMK]" caption="StavkaImeMK" attribute="1" defaultMemberUniqueName="[rArtikliAnaliza].[StavkaImeMK].[All]" allUniqueName="[rArtikliAnaliza].[StavkaImeMK].[All]" dimensionUniqueName="[rArtikliAnaliza]" displayFolder="" count="0" memberValueDatatype="130" unbalanced="0"/>
    <cacheHierarchy uniqueName="[rArtikliAnaliza].[StavkaKategorija]" caption="StavkaKategorija" attribute="1" defaultMemberUniqueName="[rArtikliAnaliza].[StavkaKategorija].[All]" allUniqueName="[rArtikliAnaliza].[StavkaKategorija].[All]" dimensionUniqueName="[rArtikliAnaliza]" displayFolder="" count="0" memberValueDatatype="130" unbalanced="0"/>
    <cacheHierarchy uniqueName="[rArtikliAnaliza].[Период (Year)]" caption="Период (Year)" attribute="1" defaultMemberUniqueName="[rArtikliAnaliza].[Период (Year)].[All]" allUniqueName="[rArtikliAnaliza].[Период (Year)].[All]" dimensionUniqueName="[rArtikliAnaliza]" displayFolder="" count="0" memberValueDatatype="130" unbalanced="0"/>
    <cacheHierarchy uniqueName="[rArtikliAnaliza].[Период (Quarter)]" caption="Период (Quarter)" attribute="1" defaultMemberUniqueName="[rArtikliAnaliza].[Период (Quarter)].[All]" allUniqueName="[rArtikliAnaliza].[Период (Quarter)].[All]" dimensionUniqueName="[rArtikliAnaliza]" displayFolder="" count="0" memberValueDatatype="130" unbalanced="0"/>
    <cacheHierarchy uniqueName="[rArtikliAnaliza].[Период (Month)]" caption="Период (Month)" attribute="1" defaultMemberUniqueName="[rArtikliAnaliza].[Период (Month)].[All]" allUniqueName="[rArtikliAnaliza].[Период (Month)].[All]" dimensionUniqueName="[rArtikliAnaliza]" displayFolder="" count="0" memberValueDatatype="130" unbalanced="0"/>
    <cacheHierarchy uniqueName="[CAPEX].[Очекуван датум за ставање во употреба (месец) (Month Index)]" caption="Очекуван датум за ставање во употреба (месец) (Month Index)" attribute="1" defaultMemberUniqueName="[CAPEX].[Очекуван датум за ставање во употреба (месец) (Month Index)].[All]" allUniqueName="[CAPEX].[Очекуван датум за ставање во употреба (месец) (Month Index)].[All]" dimensionUniqueName="[CAPEX]" displayFolder="" count="0" memberValueDatatype="20" unbalanced="0" hidden="1"/>
    <cacheHierarchy uniqueName="[CAPEX].[Очекуван датум на плаќање (Month Index)]" caption="Очекуван датум на плаќање (Month Index)" attribute="1" defaultMemberUniqueName="[CAPEX].[Очекуван датум на плаќање (Month Index)].[All]" allUniqueName="[CAPEX].[Очекуван датум на плаќање (Month Index)].[All]" dimensionUniqueName="[CAPEX]" displayFolder="" count="0" memberValueDatatype="20" unbalanced="0" hidden="1"/>
    <cacheHierarchy uniqueName="[fActualAndBudget].[StavkaID]" caption="StavkaID" attribute="1" defaultMemberUniqueName="[fActualAndBudget].[StavkaID].[All]" allUniqueName="[fActualAndBudget].[StavkaID].[All]" dimensionUniqueName="[fActualAndBudget]" displayFolder="" count="0" memberValueDatatype="20" unbalanced="0" hidden="1"/>
    <cacheHierarchy uniqueName="[fCoveckiResursi].[Период (Month Index)]" caption="Период (Month Index)" attribute="1" defaultMemberUniqueName="[fCoveckiResursi].[Период (Month Index)].[All]" allUniqueName="[fCoveckiResursi].[Период (Month Index)].[All]" dimensionUniqueName="[fCoveckiResursi]" displayFolder="" count="0" memberValueDatatype="20" unbalanced="0" hidden="1"/>
    <cacheHierarchy uniqueName="[fCoveckiResursi].[Период (Month Index) 1]" caption="Период (Month Index) 1" attribute="1" defaultMemberUniqueName="[fCoveckiResursi].[Период (Month Index) 1].[All]" allUniqueName="[fCoveckiResursi].[Период (Month Index) 1].[All]" dimensionUniqueName="[fCoveckiResursi]" displayFolder="" count="0" memberValueDatatype="20" unbalanced="0" hidden="1"/>
    <cacheHierarchy uniqueName="[OPEXAnaliza].[Период (Month Index)]" caption="Период (Month Index)" attribute="1" defaultMemberUniqueName="[OPEXAnaliza].[Период (Month Index)].[All]" allUniqueName="[OPEXAnaliza].[Период (Month Index)].[All]" dimensionUniqueName="[OPEXAnaliza]" displayFolder="" count="0" memberValueDatatype="20" unbalanced="0" hidden="1"/>
    <cacheHierarchy uniqueName="[rArtikli_HR_Analiza].[Крајна состојба вработени]" caption="Крајна состојба вработени" attribute="1" defaultMemberUniqueName="[rArtikli_HR_Analiza].[Крајна состојба вработени].[All]" allUniqueName="[rArtikli_HR_Analiza].[Крајна состојба вработени].[All]" dimensionUniqueName="[rArtikli_HR_Analiza]" displayFolder="" count="0" memberValueDatatype="20" unbalanced="0" hidden="1"/>
    <cacheHierarchy uniqueName="[rArtikli_HR_Analiza].[Планиран прилив/(одлив)]" caption="Планиран прилив/(одлив)" attribute="1" defaultMemberUniqueName="[rArtikli_HR_Analiza].[Планиран прилив/(одлив)].[All]" allUniqueName="[rArtikli_HR_Analiza].[Планиран прилив/(одлив)].[All]" dimensionUniqueName="[rArtikli_HR_Analiza]" displayFolder="" count="0" memberValueDatatype="20" unbalanced="0" hidden="1"/>
    <cacheHierarchy uniqueName="[rArtikli_HR_Analiza].[Тип на вработување]" caption="Тип на вработување" attribute="1" defaultMemberUniqueName="[rArtikli_HR_Analiza].[Тип на вработување].[All]" allUniqueName="[rArtikli_HR_Analiza].[Тип на вработување].[All]" dimensionUniqueName="[rArtikli_HR_Analiza]" displayFolder="" count="0" memberValueDatatype="130" unbalanced="0" hidden="1"/>
    <cacheHierarchy uniqueName="[rArtikliAnaliza].[Период (Month Index)]" caption="Период (Month Index)" attribute="1" defaultMemberUniqueName="[rArtikliAnaliza].[Период (Month Index)].[All]" allUniqueName="[rArtikliAnaliza].[Период (Month Index)].[All]" dimensionUniqueName="[rArtikliAnaliza]" displayFolder="" count="0" memberValueDatatype="20" unbalanced="0" hidden="1"/>
    <cacheHierarchy uniqueName="[Measures].[__XL_Count Calendar]" caption="__XL_Count Calendar" measure="1" displayFolder="" measureGroup="Calendar" count="0" hidden="1"/>
    <cacheHierarchy uniqueName="[Measures].[__XL_Count CAPEX]" caption="__XL_Count CAPEX" measure="1" displayFolder="" measureGroup="CAPEX" count="0" hidden="1"/>
    <cacheHierarchy uniqueName="[Measures].[__XL_Count Amortizacija]" caption="__XL_Count Amortizacija" measure="1" displayFolder="" measureGroup="Amortizacija" count="0" hidden="1"/>
    <cacheHierarchy uniqueName="[Measures].[__XL_Count fCoveckiResursi]" caption="__XL_Count fCoveckiResursi" measure="1" displayFolder="" measureGroup="fCoveckiResursi" count="0" hidden="1"/>
    <cacheHierarchy uniqueName="[Measures].[__XL_Count fActualAndBudget]" caption="__XL_Count fActualAndBudget" measure="1" displayFolder="" measureGroup="fActualAndBudget" count="0" hidden="1"/>
    <cacheHierarchy uniqueName="[Measures].[__XL_Count fOPEX]" caption="__XL_Count fOPEX" measure="1" displayFolder="" measureGroup="fOPEX" count="0" hidden="1"/>
    <cacheHierarchy uniqueName="[Measures].[__XL_Count OPEXAnaliza]" caption="__XL_Count OPEXAnaliza" measure="1" displayFolder="" measureGroup="OPEXAnaliza" count="0" hidden="1"/>
    <cacheHierarchy uniqueName="[Measures].[__XL_Count rArtikliAnaliza]" caption="__XL_Count rArtikliAnaliza" measure="1" displayFolder="" measureGroup="rArtikliAnaliza" count="0" hidden="1"/>
    <cacheHierarchy uniqueName="[Measures].[__XL_Count fArtikliCeni]" caption="__XL_Count fArtikliCeni" measure="1" displayFolder="" measureGroup="fArtikliCeni" count="0" hidden="1"/>
    <cacheHierarchy uniqueName="[Measures].[__XL_Count rArtikli_HR_Analiza]" caption="__XL_Count rArtikli_HR_Analiza" measure="1" displayFolder="" measureGroup="rArtikli_HR_Analiza" count="0" hidden="1"/>
    <cacheHierarchy uniqueName="[Measures].[__XL_Count fCoveckiResursi  2]" caption="__XL_Count fCoveckiResursi  2" measure="1" displayFolder="" measureGroup="fCoveckiResursi  2" count="0" hidden="1"/>
    <cacheHierarchy uniqueName="[Measures].[__No measures defined]" caption="__No measures defined" measure="1" displayFolder="" count="0" hidden="1"/>
    <cacheHierarchy uniqueName="[Measures].[Sum of Износ 3]" caption="Sum of Износ 3" measure="1" displayFolder="" measureGroup="fCoveckiResursi" count="0" hidden="1">
      <extLst>
        <ext xmlns:x15="http://schemas.microsoft.com/office/spreadsheetml/2010/11/main" uri="{B97F6D7D-B522-45F9-BDA1-12C45D357490}">
          <x15:cacheHierarchy aggregatedColumn="71"/>
        </ext>
      </extLst>
    </cacheHierarchy>
    <cacheHierarchy uniqueName="[Measures].[Sum of Крајна состојба вработени]" caption="Sum of Крајна состојба вработени" measure="1" displayFolder="" measureGroup="fCoveckiResursi" count="0" hidden="1">
      <extLst>
        <ext xmlns:x15="http://schemas.microsoft.com/office/spreadsheetml/2010/11/main" uri="{B97F6D7D-B522-45F9-BDA1-12C45D357490}">
          <x15:cacheHierarchy aggregatedColumn="70"/>
        </ext>
      </extLst>
    </cacheHierarchy>
    <cacheHierarchy uniqueName="[Measures].[Sum of Планиран прилив/(одлив)]" caption="Sum of Планиран прилив/(одлив)" measure="1" displayFolder="" measureGroup="fCoveckiResursi" count="0" hidden="1">
      <extLst>
        <ext xmlns:x15="http://schemas.microsoft.com/office/spreadsheetml/2010/11/main" uri="{B97F6D7D-B522-45F9-BDA1-12C45D357490}">
          <x15:cacheHierarchy aggregatedColumn="68"/>
        </ext>
      </extLst>
    </cacheHierarchy>
    <cacheHierarchy uniqueName="[Measures].[Sum of Износ]" caption="Sum of Износ" measure="1" displayFolder="" measureGroup="fActualAndBudget" count="0" hidden="1">
      <extLst>
        <ext xmlns:x15="http://schemas.microsoft.com/office/spreadsheetml/2010/11/main" uri="{B97F6D7D-B522-45F9-BDA1-12C45D357490}">
          <x15:cacheHierarchy aggregatedColumn="45"/>
        </ext>
      </extLst>
    </cacheHierarchy>
    <cacheHierarchy uniqueName="[Measures].[Sum of Износ (илјади)]" caption="Sum of Износ (илјади)" measure="1" displayFolder="" measureGroup="fActualAndBudget" count="0" hidden="1">
      <extLst>
        <ext xmlns:x15="http://schemas.microsoft.com/office/spreadsheetml/2010/11/main" uri="{B97F6D7D-B522-45F9-BDA1-12C45D357490}">
          <x15:cacheHierarchy aggregatedColumn="46"/>
        </ext>
      </extLst>
    </cacheHierarchy>
    <cacheHierarchy uniqueName="[Measures].[Sum of Износ1]" caption="Sum of Износ1" measure="1" displayFolder="" measureGroup="fActualAndBudget" count="0" hidden="1">
      <extLst>
        <ext xmlns:x15="http://schemas.microsoft.com/office/spreadsheetml/2010/11/main" uri="{B97F6D7D-B522-45F9-BDA1-12C45D357490}">
          <x15:cacheHierarchy aggregatedColumn="34"/>
        </ext>
      </extLst>
    </cacheHierarchy>
    <cacheHierarchy uniqueName="[Measures].[Sum of Износ 2]" caption="Sum of Износ 2" measure="1" displayFolder="" measureGroup="Amortizacija" count="0" hidden="1">
      <extLst>
        <ext xmlns:x15="http://schemas.microsoft.com/office/spreadsheetml/2010/11/main" uri="{B97F6D7D-B522-45F9-BDA1-12C45D357490}">
          <x15:cacheHierarchy aggregatedColumn="3"/>
        </ext>
      </extLst>
    </cacheHierarchy>
    <cacheHierarchy uniqueName="[Measures].[Sum of Износ 4]" caption="Sum of Износ 4" measure="1" displayFolder="" measureGroup="OPEXAnaliza" count="0" hidden="1">
      <extLst>
        <ext xmlns:x15="http://schemas.microsoft.com/office/spreadsheetml/2010/11/main" uri="{B97F6D7D-B522-45F9-BDA1-12C45D357490}">
          <x15:cacheHierarchy aggregatedColumn="101"/>
        </ext>
      </extLst>
    </cacheHierarchy>
    <cacheHierarchy uniqueName="[Measures].[Sum of Износ донација]" caption="Sum of Износ донација" measure="1" displayFolder="" measureGroup="CAPEX" count="0" hidden="1">
      <extLst>
        <ext xmlns:x15="http://schemas.microsoft.com/office/spreadsheetml/2010/11/main" uri="{B97F6D7D-B522-45F9-BDA1-12C45D357490}">
          <x15:cacheHierarchy aggregatedColumn="24"/>
        </ext>
      </extLst>
    </cacheHierarchy>
    <cacheHierarchy uniqueName="[Measures].[Sum of Вкупно трошок]" caption="Sum of Вкупно трошок" measure="1" displayFolder="" measureGroup="fArtikliCeni" count="0" hidden="1">
      <extLst>
        <ext xmlns:x15="http://schemas.microsoft.com/office/spreadsheetml/2010/11/main" uri="{B97F6D7D-B522-45F9-BDA1-12C45D357490}">
          <x15:cacheHierarchy aggregatedColumn="55"/>
        </ext>
      </extLst>
    </cacheHierarchy>
    <cacheHierarchy uniqueName="[Measures].[Sum of Количина]" caption="Sum of Количина" measure="1" displayFolder="" measureGroup="fArtikliCeni" count="0" hidden="1">
      <extLst>
        <ext xmlns:x15="http://schemas.microsoft.com/office/spreadsheetml/2010/11/main" uri="{B97F6D7D-B522-45F9-BDA1-12C45D357490}">
          <x15:cacheHierarchy aggregatedColumn="53"/>
        </ext>
      </extLst>
    </cacheHierarchy>
    <cacheHierarchy uniqueName="[Measures].[Sum of Единечна цена]" caption="Sum of Единечна цена" measure="1" displayFolder="" measureGroup="fArtikliCeni" count="0" hidden="1">
      <extLst>
        <ext xmlns:x15="http://schemas.microsoft.com/office/spreadsheetml/2010/11/main" uri="{B97F6D7D-B522-45F9-BDA1-12C45D357490}">
          <x15:cacheHierarchy aggregatedColumn="54"/>
        </ext>
      </extLst>
    </cacheHierarchy>
    <cacheHierarchy uniqueName="[Measures].[Sum of ДДВ]" caption="Sum of ДДВ" measure="1" displayFolder="" measureGroup="fArtikliCeni" count="0" hidden="1">
      <extLst>
        <ext xmlns:x15="http://schemas.microsoft.com/office/spreadsheetml/2010/11/main" uri="{B97F6D7D-B522-45F9-BDA1-12C45D357490}">
          <x15:cacheHierarchy aggregatedColumn="56"/>
        </ext>
      </extLst>
    </cacheHierarchy>
    <cacheHierarchy uniqueName="[Measures].[Sum of Износ 6]" caption="Sum of Износ 6" measure="1" displayFolder="" measureGroup="fArtikliCeni" count="0" hidden="1">
      <extLst>
        <ext xmlns:x15="http://schemas.microsoft.com/office/spreadsheetml/2010/11/main" uri="{B97F6D7D-B522-45F9-BDA1-12C45D357490}">
          <x15:cacheHierarchy aggregatedColumn="57"/>
        </ext>
      </extLst>
    </cacheHierarchy>
    <cacheHierarchy uniqueName="[Measures].[Count of Единечна мерка]" caption="Count of Единечна мерка" measure="1" displayFolder="" measureGroup="fArtikliCeni" count="0" hidden="1">
      <extLst>
        <ext xmlns:x15="http://schemas.microsoft.com/office/spreadsheetml/2010/11/main" uri="{B97F6D7D-B522-45F9-BDA1-12C45D357490}">
          <x15:cacheHierarchy aggregatedColumn="52"/>
        </ext>
      </extLst>
    </cacheHierarchy>
    <cacheHierarchy uniqueName="[Measures].[Sum of Количина 2]" caption="Sum of Количина 2" measure="1" displayFolder="" measureGroup="rArtikli_HR_Analiza" count="0" hidden="1">
      <extLst>
        <ext xmlns:x15="http://schemas.microsoft.com/office/spreadsheetml/2010/11/main" uri="{B97F6D7D-B522-45F9-BDA1-12C45D357490}">
          <x15:cacheHierarchy aggregatedColumn="118"/>
        </ext>
      </extLst>
    </cacheHierarchy>
    <cacheHierarchy uniqueName="[Measures].[Sum of Единечна цена 2]" caption="Sum of Единечна цена 2" measure="1" displayFolder="" measureGroup="rArtikli_HR_Analiza" count="0" hidden="1">
      <extLst>
        <ext xmlns:x15="http://schemas.microsoft.com/office/spreadsheetml/2010/11/main" uri="{B97F6D7D-B522-45F9-BDA1-12C45D357490}">
          <x15:cacheHierarchy aggregatedColumn="119"/>
        </ext>
      </extLst>
    </cacheHierarchy>
    <cacheHierarchy uniqueName="[Measures].[Sum of Вкупно трошок 2]" caption="Sum of Вкупно трошок 2" measure="1" displayFolder="" measureGroup="rArtikli_HR_Analiza" count="0" hidden="1">
      <extLst>
        <ext xmlns:x15="http://schemas.microsoft.com/office/spreadsheetml/2010/11/main" uri="{B97F6D7D-B522-45F9-BDA1-12C45D357490}">
          <x15:cacheHierarchy aggregatedColumn="120"/>
        </ext>
      </extLst>
    </cacheHierarchy>
    <cacheHierarchy uniqueName="[Measures].[Sum of ДДВ 2]" caption="Sum of ДДВ 2" measure="1" displayFolder="" measureGroup="rArtikli_HR_Analiza" count="0" hidden="1">
      <extLst>
        <ext xmlns:x15="http://schemas.microsoft.com/office/spreadsheetml/2010/11/main" uri="{B97F6D7D-B522-45F9-BDA1-12C45D357490}">
          <x15:cacheHierarchy aggregatedColumn="121"/>
        </ext>
      </extLst>
    </cacheHierarchy>
    <cacheHierarchy uniqueName="[Measures].[Sum of Износ 7]" caption="Sum of Износ 7" measure="1" displayFolder="" measureGroup="rArtikli_HR_Analiza" count="0" hidden="1">
      <extLst>
        <ext xmlns:x15="http://schemas.microsoft.com/office/spreadsheetml/2010/11/main" uri="{B97F6D7D-B522-45F9-BDA1-12C45D357490}">
          <x15:cacheHierarchy aggregatedColumn="122"/>
        </ext>
      </extLst>
    </cacheHierarchy>
    <cacheHierarchy uniqueName="[Measures].[Sum of Износ 5]" caption="Sum of Износ 5" measure="1" displayFolder="" measureGroup="fCoveckiResursi  2" count="0" hidden="1">
      <extLst>
        <ext xmlns:x15="http://schemas.microsoft.com/office/spreadsheetml/2010/11/main" uri="{B97F6D7D-B522-45F9-BDA1-12C45D357490}">
          <x15:cacheHierarchy aggregatedColumn="82"/>
        </ext>
      </extLst>
    </cacheHierarchy>
    <cacheHierarchy uniqueName="[Measures].[Sum of Проценета вредност на набавка со ДДВ (денари)]" caption="Sum of Проценета вредност на набавка со ДДВ (денари)" measure="1" displayFolder="" measureGroup="CAPEX" count="0" hidden="1">
      <extLst>
        <ext xmlns:x15="http://schemas.microsoft.com/office/spreadsheetml/2010/11/main" uri="{B97F6D7D-B522-45F9-BDA1-12C45D357490}">
          <x15:cacheHierarchy aggregatedColumn="20"/>
        </ext>
      </extLst>
    </cacheHierarchy>
  </cacheHierarchies>
  <kpis count="0"/>
  <extLst>
    <ext xmlns:x14="http://schemas.microsoft.com/office/spreadsheetml/2009/9/main" uri="{725AE2AE-9491-48be-B2B4-4EB974FC3084}">
      <x14:pivotCacheDefinition slicerData="1" pivotCacheId="346738741" supportSubqueryNonVisual="1" supportSubqueryCalcMem="1" supportAddCalcMems="1"/>
    </ext>
  </extLst>
</pivotCacheDefinition>
</file>

<file path=xl/pivotCache/pivotCacheDefinition3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ngela Sazdova - Doneva" refreshedDate="44899.978531828703" createdVersion="3" refreshedVersion="6" minRefreshableVersion="3" recordCount="0" supportSubquery="1" supportAdvancedDrill="1" xr:uid="{00000000-000A-0000-FFFF-FFFF21000000}">
  <cacheSource type="external" connectionId="22">
    <extLst>
      <ext xmlns:x14="http://schemas.microsoft.com/office/spreadsheetml/2009/9/main" uri="{F057638F-6D5F-4e77-A914-E7F072B9BCA8}">
        <x14:sourceConnection name="ThisWorkbookDataModel"/>
      </ext>
    </extLst>
  </cacheSource>
  <cacheFields count="0"/>
  <cacheHierarchies count="195">
    <cacheHierarchy uniqueName="[Amortizacija].[Број на јавна набавка (план)]" caption="Број на јавна набавка (план)" attribute="1" defaultMemberUniqueName="[Amortizacija].[Број на јавна набавка (план)].[All]" allUniqueName="[Amortizacija].[Број на јавна набавка (план)].[All]" dimensionUniqueName="[Amortizacija]" displayFolder="" count="0" memberValueDatatype="130" unbalanced="0"/>
    <cacheHierarchy uniqueName="[Amortizacija].[Ставка]" caption="Ставка" attribute="1" defaultMemberUniqueName="[Amortizacija].[Ставка].[All]" allUniqueName="[Amortizacija].[Ставка].[All]" dimensionUniqueName="[Amortizacija]" displayFolder="" count="0" memberValueDatatype="130" unbalanced="0"/>
    <cacheHierarchy uniqueName="[Amortizacija].[Период]" caption="Период" attribute="1" time="1" defaultMemberUniqueName="[Amortizacija].[Период].[All]" allUniqueName="[Amortizacija].[Период].[All]" dimensionUniqueName="[Amortizacija]" displayFolder="" count="0" memberValueDatatype="7" unbalanced="0"/>
    <cacheHierarchy uniqueName="[Amortizacija].[Износ]" caption="Износ" attribute="1" defaultMemberUniqueName="[Amortizacija].[Износ].[All]" allUniqueName="[Amortizacija].[Износ].[All]" dimensionUniqueName="[Amortizacija]" displayFolder="" count="0" memberValueDatatype="20" unbalanced="0"/>
    <cacheHierarchy uniqueName="[Amortizacija].[Конто]" caption="Конто" attribute="1" defaultMemberUniqueName="[Amortizacija].[Конто].[All]" allUniqueName="[Amortizacija].[Конто].[All]" dimensionUniqueName="[Amortizacija]" displayFolder="" count="0" memberValueDatatype="130" unbalanced="0"/>
    <cacheHierarchy uniqueName="[Amortizacija].[ReportType]" caption="ReportType" attribute="1" defaultMemberUniqueName="[Amortizacija].[ReportType].[All]" allUniqueName="[Amortizacija].[ReportType].[All]" dimensionUniqueName="[Amortizacija]" displayFolder="" count="0" memberValueDatatype="130" unbalanced="0"/>
    <cacheHierarchy uniqueName="[Calendar].[Date]" caption="Date" attribute="1" time="1" keyAttribute="1" defaultMemberUniqueName="[Calendar].[Date].[All]" allUniqueName="[Calendar].[Date].[All]" dimensionUniqueName="[Calendar]" displayFolder="" count="0" memberValueDatatype="7" unbalanced="0"/>
    <cacheHierarchy uniqueName="[Calendar].[Date Hierarchy]" caption="Date Hierarchy" time="1" defaultMemberUniqueName="[Calendar].[Date Hierarchy].[All]" allUniqueName="[Calendar].[Date Hierarchy].[All]" dimensionUniqueName="[Calendar]" displayFolder="" count="4" unbalanced="0"/>
    <cacheHierarchy uniqueName="[Calendar].[Година]" caption="Година" attribute="1" time="1" defaultMemberUniqueName="[Calendar].[Година].[All]" allUniqueName="[Calendar].[Година].[All]" dimensionUniqueName="[Calendar]" displayFolder="" count="0" memberValueDatatype="20" unbalanced="0"/>
    <cacheHierarchy uniqueName="[Calendar].[Month Number]" caption="Month Number" attribute="1" time="1" defaultMemberUniqueName="[Calendar].[Month Number].[All]" allUniqueName="[Calendar].[Month Number].[All]" dimensionUniqueName="[Calendar]" displayFolder="" count="0" memberValueDatatype="20" unbalanced="0"/>
    <cacheHierarchy uniqueName="[Calendar].[Месец]" caption="Месец" attribute="1" time="1" defaultMemberUniqueName="[Calendar].[Месец].[All]" allUniqueName="[Calendar].[Месец].[All]" dimensionUniqueName="[Calendar]" displayFolder="" count="0" memberValueDatatype="130" unbalanced="0"/>
    <cacheHierarchy uniqueName="[Calendar].[MMM-YYYY]" caption="MMM-YYYY" attribute="1" time="1" defaultMemberUniqueName="[Calendar].[MMM-YYYY].[All]" allUniqueName="[Calendar].[MMM-YYYY].[All]" dimensionUniqueName="[Calendar]" displayFolder="" count="0" memberValueDatatype="130" unbalanced="0"/>
    <cacheHierarchy uniqueName="[Calendar].[Day Of Week Number]" caption="Day Of Week Number" attribute="1" time="1" defaultMemberUniqueName="[Calendar].[Day Of Week Number].[All]" allUniqueName="[Calendar].[Day Of Week Number].[All]" dimensionUniqueName="[Calendar]" displayFolder="" count="0" memberValueDatatype="20" unbalanced="0"/>
    <cacheHierarchy uniqueName="[Calendar].[Day Of Week]" caption="Day Of Week" attribute="1" time="1" defaultMemberUniqueName="[Calendar].[Day Of Week].[All]" allUniqueName="[Calendar].[Day Of Week].[All]" dimensionUniqueName="[Calendar]" displayFolder="" count="0" memberValueDatatype="130" unbalanced="0"/>
    <cacheHierarchy uniqueName="[Calendar].[Квартал]" caption="Квартал" attribute="1" time="1" defaultMemberUniqueName="[Calendar].[Квартал].[All]" allUniqueName="[Calendar].[Квартал].[All]" dimensionUniqueName="[Calendar]" displayFolder="" count="0" memberValueDatatype="7" unbalanced="0"/>
    <cacheHierarchy uniqueName="[CAPEX].[Година за реализација на проект]" caption="Година за реализација на проект" attribute="1" defaultMemberUniqueName="[CAPEX].[Година за реализација на проект].[All]" allUniqueName="[CAPEX].[Година за реализација на проект].[All]" dimensionUniqueName="[CAPEX]" displayFolder="" count="0" memberValueDatatype="20" unbalanced="0"/>
    <cacheHierarchy uniqueName="[CAPEX].[Број на јавна набавка (план)]" caption="Број на јавна набавка (план)" attribute="1" defaultMemberUniqueName="[CAPEX].[Број на јавна набавка (план)].[All]" allUniqueName="[CAPEX].[Број на јавна набавка (план)].[All]" dimensionUniqueName="[CAPEX]" displayFolder="" count="0" memberValueDatatype="130" unbalanced="0"/>
    <cacheHierarchy uniqueName="[CAPEX].[Предмет на договорот за јавна набавка]" caption="Предмет на договорот за јавна набавка" attribute="1" defaultMemberUniqueName="[CAPEX].[Предмет на договорот за јавна набавка].[All]" allUniqueName="[CAPEX].[Предмет на договорот за јавна набавка].[All]" dimensionUniqueName="[CAPEX]" displayFolder="" count="0" memberValueDatatype="130" unbalanced="0"/>
    <cacheHierarchy uniqueName="[CAPEX].[Очекуван датум на плаќање]" caption="Очекуван датум на плаќање" attribute="1" time="1" defaultMemberUniqueName="[CAPEX].[Очекуван датум на плаќање].[All]" allUniqueName="[CAPEX].[Очекуван датум на плаќање].[All]" dimensionUniqueName="[CAPEX]" displayFolder="" count="0" memberValueDatatype="7" unbalanced="0"/>
    <cacheHierarchy uniqueName="[CAPEX].[Очекуван датум за ставање во употреба (месец)]" caption="Очекуван датум за ставање во употреба (месец)" attribute="1" time="1" defaultMemberUniqueName="[CAPEX].[Очекуван датум за ставање во употреба (месец)].[All]" allUniqueName="[CAPEX].[Очекуван датум за ставање во употреба (месец)].[All]" dimensionUniqueName="[CAPEX]" displayFolder="" count="0" memberValueDatatype="7" unbalanced="0"/>
    <cacheHierarchy uniqueName="[CAPEX].[Проценета вредност на набавка со ДДВ (денари)]" caption="Проценета вредност на набавка со ДДВ (денари)" attribute="1" defaultMemberUniqueName="[CAPEX].[Проценета вредност на набавка со ДДВ (денари)].[All]" allUniqueName="[CAPEX].[Проценета вредност на набавка со ДДВ (денари)].[All]" dimensionUniqueName="[CAPEX]" displayFolder="" count="0" memberValueDatatype="20" unbalanced="0"/>
    <cacheHierarchy uniqueName="[CAPEX].[Стапка на амортизација]" caption="Стапка на амортизација" attribute="1" defaultMemberUniqueName="[CAPEX].[Стапка на амортизација].[All]" allUniqueName="[CAPEX].[Стапка на амортизација].[All]" dimensionUniqueName="[CAPEX]" displayFolder="" count="0" memberValueDatatype="5" unbalanced="0"/>
    <cacheHierarchy uniqueName="[CAPEX].[Конто Средства]" caption="Конто Средства" attribute="1" defaultMemberUniqueName="[CAPEX].[Конто Средства].[All]" allUniqueName="[CAPEX].[Конто Средства].[All]" dimensionUniqueName="[CAPEX]" displayFolder="" count="0" memberValueDatatype="130" unbalanced="0"/>
    <cacheHierarchy uniqueName="[CAPEX].[Конто Амортизација]" caption="Конто Амортизација" attribute="1" defaultMemberUniqueName="[CAPEX].[Конто Амортизација].[All]" allUniqueName="[CAPEX].[Конто Амортизација].[All]" dimensionUniqueName="[CAPEX]" displayFolder="" count="0" memberValueDatatype="130" unbalanced="0"/>
    <cacheHierarchy uniqueName="[CAPEX].[Износ донација]" caption="Износ донација" attribute="1" defaultMemberUniqueName="[CAPEX].[Износ донација].[All]" allUniqueName="[CAPEX].[Износ донација].[All]" dimensionUniqueName="[CAPEX]" displayFolder="" count="0" memberValueDatatype="20" unbalanced="0"/>
    <cacheHierarchy uniqueName="[CAPEX].[Очекуван датум на плаќање (Year)]" caption="Очекуван датум на плаќање (Year)" attribute="1" defaultMemberUniqueName="[CAPEX].[Очекуван датум на плаќање (Year)].[All]" allUniqueName="[CAPEX].[Очекуван датум на плаќање (Year)].[All]" dimensionUniqueName="[CAPEX]" displayFolder="" count="0" memberValueDatatype="130" unbalanced="0"/>
    <cacheHierarchy uniqueName="[CAPEX].[Очекуван датум на плаќање (Quarter)]" caption="Очекуван датум на плаќање (Quarter)" attribute="1" defaultMemberUniqueName="[CAPEX].[Очекуван датум на плаќање (Quarter)].[All]" allUniqueName="[CAPEX].[Очекуван датум на плаќање (Quarter)].[All]" dimensionUniqueName="[CAPEX]" displayFolder="" count="0" memberValueDatatype="130" unbalanced="0"/>
    <cacheHierarchy uniqueName="[CAPEX].[Очекуван датум на плаќање (Month)]" caption="Очекуван датум на плаќање (Month)" attribute="1" defaultMemberUniqueName="[CAPEX].[Очекуван датум на плаќање (Month)].[All]" allUniqueName="[CAPEX].[Очекуван датум на плаќање (Month)].[All]" dimensionUniqueName="[CAPEX]" displayFolder="" count="0" memberValueDatatype="130" unbalanced="0"/>
    <cacheHierarchy uniqueName="[CAPEX].[Очекуван датум за ставање во употреба (месец) (Year)]" caption="Очекуван датум за ставање во употреба (месец) (Year)" attribute="1" defaultMemberUniqueName="[CAPEX].[Очекуван датум за ставање во употреба (месец) (Year)].[All]" allUniqueName="[CAPEX].[Очекуван датум за ставање во употреба (месец) (Year)].[All]" dimensionUniqueName="[CAPEX]" displayFolder="" count="0" memberValueDatatype="130" unbalanced="0"/>
    <cacheHierarchy uniqueName="[CAPEX].[Очекуван датум за ставање во употреба (месец) (Quarter)]" caption="Очекуван датум за ставање во употреба (месец) (Quarter)" attribute="1" defaultMemberUniqueName="[CAPEX].[Очекуван датум за ставање во употреба (месец) (Quarter)].[All]" allUniqueName="[CAPEX].[Очекуван датум за ставање во употреба (месец) (Quarter)].[All]" dimensionUniqueName="[CAPEX]" displayFolder="" count="0" memberValueDatatype="130" unbalanced="0"/>
    <cacheHierarchy uniqueName="[CAPEX].[Очекуван датум за ставање во употреба (месец) (Month)]" caption="Очекуван датум за ставање во употреба (месец) (Month)" attribute="1" defaultMemberUniqueName="[CAPEX].[Очекуван датум за ставање во употреба (месец) (Month)].[All]" allUniqueName="[CAPEX].[Очекуван датум за ставање во употреба (месец) (Month)].[All]" dimensionUniqueName="[CAPEX]" displayFolder="" count="0" memberValueDatatype="130" unbalanced="0"/>
    <cacheHierarchy uniqueName="[fActualAndBudget].[Конто]" caption="Конто" attribute="1" defaultMemberUniqueName="[fActualAndBudget].[Конто].[All]" allUniqueName="[fActualAndBudget].[Конто].[All]" dimensionUniqueName="[fActualAndBudget]" displayFolder="" count="0" memberValueDatatype="130" unbalanced="0"/>
    <cacheHierarchy uniqueName="[fActualAndBudget].[Назив на конто]" caption="Назив на конто" attribute="1" defaultMemberUniqueName="[fActualAndBudget].[Назив на конто].[All]" allUniqueName="[fActualAndBudget].[Назив на конто].[All]" dimensionUniqueName="[fActualAndBudget]" displayFolder="" count="0" memberValueDatatype="130" unbalanced="0"/>
    <cacheHierarchy uniqueName="[fActualAndBudget].[Период]" caption="Период" attribute="1" time="1" defaultMemberUniqueName="[fActualAndBudget].[Период].[All]" allUniqueName="[fActualAndBudget].[Период].[All]" dimensionUniqueName="[fActualAndBudget]" displayFolder="" count="0" memberValueDatatype="7" unbalanced="0"/>
    <cacheHierarchy uniqueName="[fActualAndBudget].[Износ1]" caption="Износ1" attribute="1" defaultMemberUniqueName="[fActualAndBudget].[Износ1].[All]" allUniqueName="[fActualAndBudget].[Износ1].[All]" dimensionUniqueName="[fActualAndBudget]" displayFolder="" count="0" memberValueDatatype="20" unbalanced="0"/>
    <cacheHierarchy uniqueName="[fActualAndBudget].[ReportType]" caption="ReportType" attribute="1" defaultMemberUniqueName="[fActualAndBudget].[ReportType].[All]" allUniqueName="[fActualAndBudget].[ReportType].[All]" dimensionUniqueName="[fActualAndBudget]" displayFolder="" count="0" memberValueDatatype="130" unbalanced="0"/>
    <cacheHierarchy uniqueName="[fActualAndBudget].[Ставка]" caption="Ставка" attribute="1" defaultMemberUniqueName="[fActualAndBudget].[Ставка].[All]" allUniqueName="[fActualAndBudget].[Ставка].[All]" dimensionUniqueName="[fActualAndBudget]" displayFolder="" count="0" memberValueDatatype="130" unbalanced="0"/>
    <cacheHierarchy uniqueName="[fActualAndBudget].[Број на јавна набавка (план)]" caption="Број на јавна набавка (план)" attribute="1" defaultMemberUniqueName="[fActualAndBudget].[Број на јавна набавка (план)].[All]" allUniqueName="[fActualAndBudget].[Број на јавна набавка (план)].[All]" dimensionUniqueName="[fActualAndBudget]" displayFolder="" count="0" memberValueDatatype="130" unbalanced="0"/>
    <cacheHierarchy uniqueName="[fActualAndBudget].[StavkaImeMK]" caption="StavkaImeMK" attribute="1" defaultMemberUniqueName="[fActualAndBudget].[StavkaImeMK].[All]" allUniqueName="[fActualAndBudget].[StavkaImeMK].[All]" dimensionUniqueName="[fActualAndBudget]" displayFolder="" count="0" memberValueDatatype="130" unbalanced="0"/>
    <cacheHierarchy uniqueName="[fActualAndBudget].[StavkaGrupa]" caption="StavkaGrupa" attribute="1" defaultMemberUniqueName="[fActualAndBudget].[StavkaGrupa].[All]" allUniqueName="[fActualAndBudget].[StavkaGrupa].[All]" dimensionUniqueName="[fActualAndBudget]" displayFolder="" count="0" memberValueDatatype="130" unbalanced="0"/>
    <cacheHierarchy uniqueName="[fActualAndBudget].[StavkaKategorija]" caption="StavkaKategorija" attribute="1" defaultMemberUniqueName="[fActualAndBudget].[StavkaKategorija].[All]" allUniqueName="[fActualAndBudget].[StavkaKategorija].[All]" dimensionUniqueName="[fActualAndBudget]" displayFolder="" count="0" memberValueDatatype="130" unbalanced="0"/>
    <cacheHierarchy uniqueName="[fActualAndBudget].[ZnakIzvestaj]" caption="ZnakIzvestaj" attribute="1" defaultMemberUniqueName="[fActualAndBudget].[ZnakIzvestaj].[All]" allUniqueName="[fActualAndBudget].[ZnakIzvestaj].[All]" dimensionUniqueName="[fActualAndBudget]" displayFolder="" count="0" memberValueDatatype="20" unbalanced="0"/>
    <cacheHierarchy uniqueName="[fActualAndBudget].[ObrazecID]" caption="ObrazecID" attribute="1" defaultMemberUniqueName="[fActualAndBudget].[ObrazecID].[All]" allUniqueName="[fActualAndBudget].[ObrazecID].[All]" dimensionUniqueName="[fActualAndBudget]" displayFolder="" count="0" memberValueDatatype="20" unbalanced="0"/>
    <cacheHierarchy uniqueName="[fActualAndBudget].[StavkaAOP]" caption="StavkaAOP" attribute="1" defaultMemberUniqueName="[fActualAndBudget].[StavkaAOP].[All]" allUniqueName="[fActualAndBudget].[StavkaAOP].[All]" dimensionUniqueName="[fActualAndBudget]" displayFolder="" count="0" memberValueDatatype="130" unbalanced="0"/>
    <cacheHierarchy uniqueName="[fActualAndBudget].[ObrazecIme]" caption="ObrazecIme" attribute="1" defaultMemberUniqueName="[fActualAndBudget].[ObrazecIme].[All]" allUniqueName="[fActualAndBudget].[ObrazecIme].[All]" dimensionUniqueName="[fActualAndBudget]" displayFolder="" count="0" memberValueDatatype="130" unbalanced="0"/>
    <cacheHierarchy uniqueName="[fActualAndBudget].[Износ]" caption="Износ" attribute="1" defaultMemberUniqueName="[fActualAndBudget].[Износ].[All]" allUniqueName="[fActualAndBudget].[Износ].[All]" dimensionUniqueName="[fActualAndBudget]" displayFolder="" count="0" memberValueDatatype="20" unbalanced="0"/>
    <cacheHierarchy uniqueName="[fActualAndBudget].[Износ (илјади)]" caption="Износ (илјади)" attribute="1" defaultMemberUniqueName="[fActualAndBudget].[Износ (илјади)].[All]" allUniqueName="[fActualAndBudget].[Износ (илјади)].[All]" dimensionUniqueName="[fActualAndBudget]" displayFolder="" count="0" memberValueDatatype="5" unbalanced="0"/>
    <cacheHierarchy uniqueName="[fActualAndBudget].[StavkaImeAOP]" caption="StavkaImeAOP" attribute="1" defaultMemberUniqueName="[fActualAndBudget].[StavkaImeAOP].[All]" allUniqueName="[fActualAndBudget].[StavkaImeAOP].[All]" dimensionUniqueName="[fActualAndBudget]" displayFolder="" count="0" memberValueDatatype="130" unbalanced="0"/>
    <cacheHierarchy uniqueName="[fActualAndBudget].[Конто Ставка]" caption="Конто Ставка" attribute="1" defaultMemberUniqueName="[fActualAndBudget].[Конто Ставка].[All]" allUniqueName="[fActualAndBudget].[Конто Ставка].[All]" dimensionUniqueName="[fActualAndBudget]" displayFolder="" count="0" memberValueDatatype="130" unbalanced="0"/>
    <cacheHierarchy uniqueName="[fArtikliCeni].[Ставка]" caption="Ставка" attribute="1" defaultMemberUniqueName="[fArtikliCeni].[Ставка].[All]" allUniqueName="[fArtikliCeni].[Ставка].[All]" dimensionUniqueName="[fArtikliCeni]" displayFolder="" count="0" memberValueDatatype="130" unbalanced="0"/>
    <cacheHierarchy uniqueName="[fArtikliCeni].[Категорија Артикл]" caption="Категорија Артикл" attribute="1" defaultMemberUniqueName="[fArtikliCeni].[Категорија Артикл].[All]" allUniqueName="[fArtikliCeni].[Категорија Артикл].[All]" dimensionUniqueName="[fArtikliCeni]" displayFolder="" count="0" memberValueDatatype="130" unbalanced="0"/>
    <cacheHierarchy uniqueName="[fArtikliCeni].[Тип на артикл]" caption="Тип на артикл" attribute="1" defaultMemberUniqueName="[fArtikliCeni].[Тип на артикл].[All]" allUniqueName="[fArtikliCeni].[Тип на артикл].[All]" dimensionUniqueName="[fArtikliCeni]" displayFolder="" count="0" memberValueDatatype="130" unbalanced="0"/>
    <cacheHierarchy uniqueName="[fArtikliCeni].[Единечна мерка]" caption="Единечна мерка" attribute="1" defaultMemberUniqueName="[fArtikliCeni].[Единечна мерка].[All]" allUniqueName="[fArtikliCeni].[Единечна мерка].[All]" dimensionUniqueName="[fArtikliCeni]" displayFolder="" count="0" memberValueDatatype="130" unbalanced="0"/>
    <cacheHierarchy uniqueName="[fArtikliCeni].[Количина]" caption="Количина" attribute="1" defaultMemberUniqueName="[fArtikliCeni].[Количина].[All]" allUniqueName="[fArtikliCeni].[Количина].[All]" dimensionUniqueName="[fArtikliCeni]" displayFolder="" count="0" memberValueDatatype="5" unbalanced="0"/>
    <cacheHierarchy uniqueName="[fArtikliCeni].[Единечна цена]" caption="Единечна цена" attribute="1" defaultMemberUniqueName="[fArtikliCeni].[Единечна цена].[All]" allUniqueName="[fArtikliCeni].[Единечна цена].[All]" dimensionUniqueName="[fArtikliCeni]" displayFolder="" count="0" memberValueDatatype="20" unbalanced="0"/>
    <cacheHierarchy uniqueName="[fArtikliCeni].[Вкупно трошок]" caption="Вкупно трошок" attribute="1" defaultMemberUniqueName="[fArtikliCeni].[Вкупно трошок].[All]" allUniqueName="[fArtikliCeni].[Вкупно трошок].[All]" dimensionUniqueName="[fArtikliCeni]" displayFolder="" count="0" memberValueDatatype="5" unbalanced="0"/>
    <cacheHierarchy uniqueName="[fArtikliCeni].[ДДВ]" caption="ДДВ" attribute="1" defaultMemberUniqueName="[fArtikliCeni].[ДДВ].[All]" allUniqueName="[fArtikliCeni].[ДДВ].[All]" dimensionUniqueName="[fArtikliCeni]" displayFolder="" count="0" memberValueDatatype="5" unbalanced="0"/>
    <cacheHierarchy uniqueName="[fArtikliCeni].[Износ]" caption="Износ" attribute="1" defaultMemberUniqueName="[fArtikliCeni].[Износ].[All]" allUniqueName="[fArtikliCeni].[Износ].[All]" dimensionUniqueName="[fArtikliCeni]" displayFolder="" count="0" memberValueDatatype="5" unbalanced="0"/>
    <cacheHierarchy uniqueName="[fArtikliCeni].[Конто]" caption="Конто" attribute="1" defaultMemberUniqueName="[fArtikliCeni].[Конто].[All]" allUniqueName="[fArtikliCeni].[Конто].[All]" dimensionUniqueName="[fArtikliCeni]" displayFolder="" count="0" memberValueDatatype="130" unbalanced="0"/>
    <cacheHierarchy uniqueName="[fArtikliCeni].[ReportType]" caption="ReportType" attribute="1" defaultMemberUniqueName="[fArtikliCeni].[ReportType].[All]" allUniqueName="[fArtikliCeni].[ReportType].[All]" dimensionUniqueName="[fArtikliCeni]" displayFolder="" count="0" memberValueDatatype="130" unbalanced="0"/>
    <cacheHierarchy uniqueName="[fArtikliCeni].[Период]" caption="Период" attribute="1" time="1" defaultMemberUniqueName="[fArtikliCeni].[Период].[All]" allUniqueName="[fArtikliCeni].[Период].[All]" dimensionUniqueName="[fArtikliCeni]" displayFolder="" count="0" memberValueDatatype="7" unbalanced="0"/>
    <cacheHierarchy uniqueName="[fArtikliCeni].[StavkaImeMK]" caption="StavkaImeMK" attribute="1" defaultMemberUniqueName="[fArtikliCeni].[StavkaImeMK].[All]" allUniqueName="[fArtikliCeni].[StavkaImeMK].[All]" dimensionUniqueName="[fArtikliCeni]" displayFolder="" count="0" memberValueDatatype="130" unbalanced="0"/>
    <cacheHierarchy uniqueName="[fArtikliCeni].[StavkaAOP]" caption="StavkaAOP" attribute="1" defaultMemberUniqueName="[fArtikliCeni].[StavkaAOP].[All]" allUniqueName="[fArtikliCeni].[StavkaAOP].[All]" dimensionUniqueName="[fArtikliCeni]" displayFolder="" count="0" memberValueDatatype="130" unbalanced="0"/>
    <cacheHierarchy uniqueName="[fArtikliCeni].[StavkaGrupa]" caption="StavkaGrupa" attribute="1" defaultMemberUniqueName="[fArtikliCeni].[StavkaGrupa].[All]" allUniqueName="[fArtikliCeni].[StavkaGrupa].[All]" dimensionUniqueName="[fArtikliCeni]" displayFolder="" count="0" memberValueDatatype="130" unbalanced="0"/>
    <cacheHierarchy uniqueName="[fArtikliCeni].[StavkaKategorija]" caption="StavkaKategorija" attribute="1" defaultMemberUniqueName="[fArtikliCeni].[StavkaKategorija].[All]" allUniqueName="[fArtikliCeni].[StavkaKategorija].[All]" dimensionUniqueName="[fArtikliCeni]" displayFolder="" count="0" memberValueDatatype="130" unbalanced="0"/>
    <cacheHierarchy uniqueName="[fArtikliCeni].[ObrazecIme]" caption="ObrazecIme" attribute="1" defaultMemberUniqueName="[fArtikliCeni].[ObrazecIme].[All]" allUniqueName="[fArtikliCeni].[ObrazecIme].[All]" dimensionUniqueName="[fArtikliCeni]" displayFolder="" count="0" memberValueDatatype="130" unbalanced="0"/>
    <cacheHierarchy uniqueName="[fCoveckiResursi].[Ставка]" caption="Ставка" attribute="1" defaultMemberUniqueName="[fCoveckiResursi].[Ставка].[All]" allUniqueName="[fCoveckiResursi].[Ставка].[All]" dimensionUniqueName="[fCoveckiResursi]" displayFolder="" count="0" memberValueDatatype="130" unbalanced="0"/>
    <cacheHierarchy uniqueName="[fCoveckiResursi].[Тип на вработување]" caption="Тип на вработување" attribute="1" defaultMemberUniqueName="[fCoveckiResursi].[Тип на вработување].[All]" allUniqueName="[fCoveckiResursi].[Тип на вработување].[All]" dimensionUniqueName="[fCoveckiResursi]" displayFolder="" count="0" memberValueDatatype="130" unbalanced="0"/>
    <cacheHierarchy uniqueName="[fCoveckiResursi].[Планиран прилив/(одлив)]" caption="Планиран прилив/(одлив)" attribute="1" defaultMemberUniqueName="[fCoveckiResursi].[Планиран прилив/(одлив)].[All]" allUniqueName="[fCoveckiResursi].[Планиран прилив/(одлив)].[All]" dimensionUniqueName="[fCoveckiResursi]" displayFolder="" count="0" memberValueDatatype="20" unbalanced="0"/>
    <cacheHierarchy uniqueName="[fCoveckiResursi].[Период]" caption="Период" attribute="1" time="1" defaultMemberUniqueName="[fCoveckiResursi].[Период].[All]" allUniqueName="[fCoveckiResursi].[Период].[All]" dimensionUniqueName="[fCoveckiResursi]" displayFolder="" count="0" memberValueDatatype="7" unbalanced="0"/>
    <cacheHierarchy uniqueName="[fCoveckiResursi].[Крајна состојба вработени]" caption="Крајна состојба вработени" attribute="1" defaultMemberUniqueName="[fCoveckiResursi].[Крајна состојба вработени].[All]" allUniqueName="[fCoveckiResursi].[Крајна состојба вработени].[All]" dimensionUniqueName="[fCoveckiResursi]" displayFolder="" count="0" memberValueDatatype="20" unbalanced="0"/>
    <cacheHierarchy uniqueName="[fCoveckiResursi].[Износ]" caption="Износ" attribute="1" defaultMemberUniqueName="[fCoveckiResursi].[Износ].[All]" allUniqueName="[fCoveckiResursi].[Износ].[All]" dimensionUniqueName="[fCoveckiResursi]" displayFolder="" count="0" memberValueDatatype="20" unbalanced="0"/>
    <cacheHierarchy uniqueName="[fCoveckiResursi].[Конто]" caption="Конто" attribute="1" defaultMemberUniqueName="[fCoveckiResursi].[Конто].[All]" allUniqueName="[fCoveckiResursi].[Конто].[All]" dimensionUniqueName="[fCoveckiResursi]" displayFolder="" count="0" memberValueDatatype="130" unbalanced="0"/>
    <cacheHierarchy uniqueName="[fCoveckiResursi].[ReportType]" caption="ReportType" attribute="1" defaultMemberUniqueName="[fCoveckiResursi].[ReportType].[All]" allUniqueName="[fCoveckiResursi].[ReportType].[All]" dimensionUniqueName="[fCoveckiResursi]" displayFolder="" count="0" memberValueDatatype="130" unbalanced="0"/>
    <cacheHierarchy uniqueName="[fCoveckiResursi].[Период (Year)]" caption="Период (Year)" attribute="1" defaultMemberUniqueName="[fCoveckiResursi].[Период (Year)].[All]" allUniqueName="[fCoveckiResursi].[Период (Year)].[All]" dimensionUniqueName="[fCoveckiResursi]" displayFolder="" count="0" memberValueDatatype="130" unbalanced="0"/>
    <cacheHierarchy uniqueName="[fCoveckiResursi].[Период (Quarter)]" caption="Период (Quarter)" attribute="1" defaultMemberUniqueName="[fCoveckiResursi].[Период (Quarter)].[All]" allUniqueName="[fCoveckiResursi].[Период (Quarter)].[All]" dimensionUniqueName="[fCoveckiResursi]" displayFolder="" count="0" memberValueDatatype="130" unbalanced="0"/>
    <cacheHierarchy uniqueName="[fCoveckiResursi].[Период (Month)]" caption="Период (Month)" attribute="1" defaultMemberUniqueName="[fCoveckiResursi].[Период (Month)].[All]" allUniqueName="[fCoveckiResursi].[Период (Month)].[All]" dimensionUniqueName="[fCoveckiResursi]" displayFolder="" count="0" memberValueDatatype="130" unbalanced="0"/>
    <cacheHierarchy uniqueName="[fCoveckiResursi].[Период (Year) 1]" caption="Период (Year) 1" attribute="1" defaultMemberUniqueName="[fCoveckiResursi].[Период (Year) 1].[All]" allUniqueName="[fCoveckiResursi].[Период (Year) 1].[All]" dimensionUniqueName="[fCoveckiResursi]" displayFolder="" count="0" memberValueDatatype="130" unbalanced="0"/>
    <cacheHierarchy uniqueName="[fCoveckiResursi].[Период (Quarter) 1]" caption="Период (Quarter) 1" attribute="1" defaultMemberUniqueName="[fCoveckiResursi].[Период (Quarter) 1].[All]" allUniqueName="[fCoveckiResursi].[Период (Quarter) 1].[All]" dimensionUniqueName="[fCoveckiResursi]" displayFolder="" count="0" memberValueDatatype="130" unbalanced="0"/>
    <cacheHierarchy uniqueName="[fCoveckiResursi].[Период (Month) 1]" caption="Период (Month) 1" attribute="1" defaultMemberUniqueName="[fCoveckiResursi].[Период (Month) 1].[All]" allUniqueName="[fCoveckiResursi].[Период (Month) 1].[All]" dimensionUniqueName="[fCoveckiResursi]" displayFolder="" count="0" memberValueDatatype="130" unbalanced="0"/>
    <cacheHierarchy uniqueName="[fCoveckiResursi  2].[Ставка]" caption="Ставка" attribute="1" defaultMemberUniqueName="[fCoveckiResursi  2].[Ставка].[All]" allUniqueName="[fCoveckiResursi  2].[Ставка].[All]" dimensionUniqueName="[fCoveckiResursi  2]" displayFolder="" count="0" memberValueDatatype="130" unbalanced="0"/>
    <cacheHierarchy uniqueName="[fCoveckiResursi  2].[Период]" caption="Период" attribute="1" time="1" defaultMemberUniqueName="[fCoveckiResursi  2].[Период].[All]" allUniqueName="[fCoveckiResursi  2].[Период].[All]" dimensionUniqueName="[fCoveckiResursi  2]" displayFolder="" count="0" memberValueDatatype="7" unbalanced="0"/>
    <cacheHierarchy uniqueName="[fCoveckiResursi  2].[Износ]" caption="Износ" attribute="1" defaultMemberUniqueName="[fCoveckiResursi  2].[Износ].[All]" allUniqueName="[fCoveckiResursi  2].[Износ].[All]" dimensionUniqueName="[fCoveckiResursi  2]" displayFolder="" count="0" memberValueDatatype="20" unbalanced="0"/>
    <cacheHierarchy uniqueName="[fCoveckiResursi  2].[Конто]" caption="Конто" attribute="1" defaultMemberUniqueName="[fCoveckiResursi  2].[Конто].[All]" allUniqueName="[fCoveckiResursi  2].[Конто].[All]" dimensionUniqueName="[fCoveckiResursi  2]" displayFolder="" count="0" memberValueDatatype="130" unbalanced="0"/>
    <cacheHierarchy uniqueName="[fCoveckiResursi  2].[ReportType]" caption="ReportType" attribute="1" defaultMemberUniqueName="[fCoveckiResursi  2].[ReportType].[All]" allUniqueName="[fCoveckiResursi  2].[ReportType].[All]" dimensionUniqueName="[fCoveckiResursi  2]" displayFolder="" count="0" memberValueDatatype="130" unbalanced="0"/>
    <cacheHierarchy uniqueName="[fCoveckiResursi  2].[StavkaImeMK]" caption="StavkaImeMK" attribute="1" defaultMemberUniqueName="[fCoveckiResursi  2].[StavkaImeMK].[All]" allUniqueName="[fCoveckiResursi  2].[StavkaImeMK].[All]" dimensionUniqueName="[fCoveckiResursi  2]" displayFolder="" count="0" memberValueDatatype="130" unbalanced="0"/>
    <cacheHierarchy uniqueName="[fCoveckiResursi  2].[StavkaKategorija]" caption="StavkaKategorija" attribute="1" defaultMemberUniqueName="[fCoveckiResursi  2].[StavkaKategorija].[All]" allUniqueName="[fCoveckiResursi  2].[StavkaKategorija].[All]" dimensionUniqueName="[fCoveckiResursi  2]" displayFolder="" count="0" memberValueDatatype="130" unbalanced="0"/>
    <cacheHierarchy uniqueName="[fCoveckiResursi  2].[ObrazecIme]" caption="ObrazecIme" attribute="1" defaultMemberUniqueName="[fCoveckiResursi  2].[ObrazecIme].[All]" allUniqueName="[fCoveckiResursi  2].[ObrazecIme].[All]" dimensionUniqueName="[fCoveckiResursi  2]" displayFolder="" count="0" memberValueDatatype="130" unbalanced="0"/>
    <cacheHierarchy uniqueName="[fOPEX].[Конто]" caption="Конто" attribute="1" defaultMemberUniqueName="[fOPEX].[Конто].[All]" allUniqueName="[fOPEX].[Конто].[All]" dimensionUniqueName="[fOPEX]" displayFolder="" count="0" memberValueDatatype="130" unbalanced="0"/>
    <cacheHierarchy uniqueName="[fOPEX].[Ставка]" caption="Ставка" attribute="1" defaultMemberUniqueName="[fOPEX].[Ставка].[All]" allUniqueName="[fOPEX].[Ставка].[All]" dimensionUniqueName="[fOPEX]" displayFolder="" count="0" memberValueDatatype="130" unbalanced="0"/>
    <cacheHierarchy uniqueName="[fOPEX].[Период]" caption="Период" attribute="1" time="1" defaultMemberUniqueName="[fOPEX].[Период].[All]" allUniqueName="[fOPEX].[Период].[All]" dimensionUniqueName="[fOPEX]" displayFolder="" count="0" memberValueDatatype="7" unbalanced="0"/>
    <cacheHierarchy uniqueName="[fOPEX].[Износ]" caption="Износ" attribute="1" defaultMemberUniqueName="[fOPEX].[Износ].[All]" allUniqueName="[fOPEX].[Износ].[All]" dimensionUniqueName="[fOPEX]" displayFolder="" count="0" memberValueDatatype="20" unbalanced="0"/>
    <cacheHierarchy uniqueName="[fOPEX].[ReportType]" caption="ReportType" attribute="1" defaultMemberUniqueName="[fOPEX].[ReportType].[All]" allUniqueName="[fOPEX].[ReportType].[All]" dimensionUniqueName="[fOPEX]" displayFolder="" count="0" memberValueDatatype="130" unbalanced="0"/>
    <cacheHierarchy uniqueName="[OPEXAnaliza].[Артикл ИД]" caption="Артикл ИД" attribute="1" defaultMemberUniqueName="[OPEXAnaliza].[Артикл ИД].[All]" allUniqueName="[OPEXAnaliza].[Артикл ИД].[All]" dimensionUniqueName="[OPEXAnaliza]" displayFolder="" count="0" memberValueDatatype="20" unbalanced="0"/>
    <cacheHierarchy uniqueName="[OPEXAnaliza].[Ставка]" caption="Ставка" attribute="1" defaultMemberUniqueName="[OPEXAnaliza].[Ставка].[All]" allUniqueName="[OPEXAnaliza].[Ставка].[All]" dimensionUniqueName="[OPEXAnaliza]" displayFolder="" count="0" memberValueDatatype="130" unbalanced="0"/>
    <cacheHierarchy uniqueName="[OPEXAnaliza].[Категорија Артикл ИД]" caption="Категорија Артикл ИД" attribute="1" defaultMemberUniqueName="[OPEXAnaliza].[Категорија Артикл ИД].[All]" allUniqueName="[OPEXAnaliza].[Категорија Артикл ИД].[All]" dimensionUniqueName="[OPEXAnaliza]" displayFolder="" count="0" memberValueDatatype="20" unbalanced="0"/>
    <cacheHierarchy uniqueName="[OPEXAnaliza].[Категорија Артикл]" caption="Категорија Артикл" attribute="1" defaultMemberUniqueName="[OPEXAnaliza].[Категорија Артикл].[All]" allUniqueName="[OPEXAnaliza].[Категорија Артикл].[All]" dimensionUniqueName="[OPEXAnaliza]" displayFolder="" count="0" memberValueDatatype="130" unbalanced="0"/>
    <cacheHierarchy uniqueName="[OPEXAnaliza].[Тип на артикл]" caption="Тип на артикл" attribute="1" defaultMemberUniqueName="[OPEXAnaliza].[Тип на артикл].[All]" allUniqueName="[OPEXAnaliza].[Тип на артикл].[All]" dimensionUniqueName="[OPEXAnaliza]" displayFolder="" count="0" memberValueDatatype="130" unbalanced="0"/>
    <cacheHierarchy uniqueName="[OPEXAnaliza].[Единечна мерка]" caption="Единечна мерка" attribute="1" defaultMemberUniqueName="[OPEXAnaliza].[Единечна мерка].[All]" allUniqueName="[OPEXAnaliza].[Единечна мерка].[All]" dimensionUniqueName="[OPEXAnaliza]" displayFolder="" count="0" memberValueDatatype="130" unbalanced="0"/>
    <cacheHierarchy uniqueName="[OPEXAnaliza].[Количина]" caption="Количина" attribute="1" defaultMemberUniqueName="[OPEXAnaliza].[Количина].[All]" allUniqueName="[OPEXAnaliza].[Количина].[All]" dimensionUniqueName="[OPEXAnaliza]" displayFolder="" count="0" memberValueDatatype="5" unbalanced="0"/>
    <cacheHierarchy uniqueName="[OPEXAnaliza].[Единечна цена]" caption="Единечна цена" attribute="1" defaultMemberUniqueName="[OPEXAnaliza].[Единечна цена].[All]" allUniqueName="[OPEXAnaliza].[Единечна цена].[All]" dimensionUniqueName="[OPEXAnaliza]" displayFolder="" count="0" memberValueDatatype="20" unbalanced="0"/>
    <cacheHierarchy uniqueName="[OPEXAnaliza].[Износ]" caption="Износ" attribute="1" defaultMemberUniqueName="[OPEXAnaliza].[Износ].[All]" allUniqueName="[OPEXAnaliza].[Износ].[All]" dimensionUniqueName="[OPEXAnaliza]" displayFolder="" count="0" memberValueDatatype="5" unbalanced="0"/>
    <cacheHierarchy uniqueName="[OPEXAnaliza].[ДДВ]" caption="ДДВ" attribute="1" defaultMemberUniqueName="[OPEXAnaliza].[ДДВ].[All]" allUniqueName="[OPEXAnaliza].[ДДВ].[All]" dimensionUniqueName="[OPEXAnaliza]" displayFolder="" count="0" memberValueDatatype="5" unbalanced="0"/>
    <cacheHierarchy uniqueName="[OPEXAnaliza].[Вкупно трошок со ДДВ]" caption="Вкупно трошок со ДДВ" attribute="1" defaultMemberUniqueName="[OPEXAnaliza].[Вкупно трошок со ДДВ].[All]" allUniqueName="[OPEXAnaliza].[Вкупно трошок со ДДВ].[All]" dimensionUniqueName="[OPEXAnaliza]" displayFolder="" count="0" memberValueDatatype="5" unbalanced="0"/>
    <cacheHierarchy uniqueName="[OPEXAnaliza].[Конто]" caption="Конто" attribute="1" defaultMemberUniqueName="[OPEXAnaliza].[Конто].[All]" allUniqueName="[OPEXAnaliza].[Конто].[All]" dimensionUniqueName="[OPEXAnaliza]" displayFolder="" count="0" memberValueDatatype="130" unbalanced="0"/>
    <cacheHierarchy uniqueName="[OPEXAnaliza].[Период]" caption="Период" attribute="1" time="1" defaultMemberUniqueName="[OPEXAnaliza].[Период].[All]" allUniqueName="[OPEXAnaliza].[Период].[All]" dimensionUniqueName="[OPEXAnaliza]" displayFolder="" count="0" memberValueDatatype="7" unbalanced="0"/>
    <cacheHierarchy uniqueName="[OPEXAnaliza].[ReportType]" caption="ReportType" attribute="1" defaultMemberUniqueName="[OPEXAnaliza].[ReportType].[All]" allUniqueName="[OPEXAnaliza].[ReportType].[All]" dimensionUniqueName="[OPEXAnaliza]" displayFolder="" count="0" memberValueDatatype="130" unbalanced="0"/>
    <cacheHierarchy uniqueName="[OPEXAnaliza].[StavkaImeMK]" caption="StavkaImeMK" attribute="1" defaultMemberUniqueName="[OPEXAnaliza].[StavkaImeMK].[All]" allUniqueName="[OPEXAnaliza].[StavkaImeMK].[All]" dimensionUniqueName="[OPEXAnaliza]" displayFolder="" count="0" memberValueDatatype="130" unbalanced="0"/>
    <cacheHierarchy uniqueName="[OPEXAnaliza].[StavkaKategorija]" caption="StavkaKategorija" attribute="1" defaultMemberUniqueName="[OPEXAnaliza].[StavkaKategorija].[All]" allUniqueName="[OPEXAnaliza].[StavkaKategorija].[All]" dimensionUniqueName="[OPEXAnaliza]" displayFolder="" count="0" memberValueDatatype="130" unbalanced="0"/>
    <cacheHierarchy uniqueName="[OPEXAnaliza].[ObrazecIme]" caption="ObrazecIme" attribute="1" defaultMemberUniqueName="[OPEXAnaliza].[ObrazecIme].[All]" allUniqueName="[OPEXAnaliza].[ObrazecIme].[All]" dimensionUniqueName="[OPEXAnaliza]" displayFolder="" count="0" memberValueDatatype="130" unbalanced="0"/>
    <cacheHierarchy uniqueName="[OPEXAnaliza].[StavkaImeAOP]" caption="StavkaImeAOP" attribute="1" defaultMemberUniqueName="[OPEXAnaliza].[StavkaImeAOP].[All]" allUniqueName="[OPEXAnaliza].[StavkaImeAOP].[All]" dimensionUniqueName="[OPEXAnaliza]" displayFolder="" count="0" memberValueDatatype="20" unbalanced="0"/>
    <cacheHierarchy uniqueName="[OPEXAnaliza].[Период (Year)]" caption="Период (Year)" attribute="1" defaultMemberUniqueName="[OPEXAnaliza].[Период (Year)].[All]" allUniqueName="[OPEXAnaliza].[Период (Year)].[All]" dimensionUniqueName="[OPEXAnaliza]" displayFolder="" count="0" memberValueDatatype="130" unbalanced="0"/>
    <cacheHierarchy uniqueName="[OPEXAnaliza].[Период (Quarter)]" caption="Период (Quarter)" attribute="1" defaultMemberUniqueName="[OPEXAnaliza].[Период (Quarter)].[All]" allUniqueName="[OPEXAnaliza].[Период (Quarter)].[All]" dimensionUniqueName="[OPEXAnaliza]" displayFolder="" count="0" memberValueDatatype="130" unbalanced="0"/>
    <cacheHierarchy uniqueName="[OPEXAnaliza].[Период (Month)]" caption="Период (Month)" attribute="1" defaultMemberUniqueName="[OPEXAnaliza].[Период (Month)].[All]" allUniqueName="[OPEXAnaliza].[Период (Month)].[All]" dimensionUniqueName="[OPEXAnaliza]" displayFolder="" count="0" memberValueDatatype="130" unbalanced="0"/>
    <cacheHierarchy uniqueName="[rArtikli_HR_Analiza].[Ставка]" caption="Ставка" attribute="1" defaultMemberUniqueName="[rArtikli_HR_Analiza].[Ставка].[All]" allUniqueName="[rArtikli_HR_Analiza].[Ставка].[All]" dimensionUniqueName="[rArtikli_HR_Analiza]" displayFolder="" count="0" memberValueDatatype="130" unbalanced="0"/>
    <cacheHierarchy uniqueName="[rArtikli_HR_Analiza].[Категорија Артикл]" caption="Категорија Артикл" attribute="1" defaultMemberUniqueName="[rArtikli_HR_Analiza].[Категорија Артикл].[All]" allUniqueName="[rArtikli_HR_Analiza].[Категорија Артикл].[All]" dimensionUniqueName="[rArtikli_HR_Analiza]" displayFolder="" count="0" memberValueDatatype="130" unbalanced="0"/>
    <cacheHierarchy uniqueName="[rArtikli_HR_Analiza].[Тип на артикл]" caption="Тип на артикл" attribute="1" defaultMemberUniqueName="[rArtikli_HR_Analiza].[Тип на артикл].[All]" allUniqueName="[rArtikli_HR_Analiza].[Тип на артикл].[All]" dimensionUniqueName="[rArtikli_HR_Analiza]" displayFolder="" count="0" memberValueDatatype="130" unbalanced="0"/>
    <cacheHierarchy uniqueName="[rArtikli_HR_Analiza].[Единечна мерка]" caption="Единечна мерка" attribute="1" defaultMemberUniqueName="[rArtikli_HR_Analiza].[Единечна мерка].[All]" allUniqueName="[rArtikli_HR_Analiza].[Единечна мерка].[All]" dimensionUniqueName="[rArtikli_HR_Analiza]" displayFolder="" count="0" memberValueDatatype="130" unbalanced="0"/>
    <cacheHierarchy uniqueName="[rArtikli_HR_Analiza].[Количина]" caption="Количина" attribute="1" defaultMemberUniqueName="[rArtikli_HR_Analiza].[Количина].[All]" allUniqueName="[rArtikli_HR_Analiza].[Количина].[All]" dimensionUniqueName="[rArtikli_HR_Analiza]" displayFolder="" count="0" memberValueDatatype="5" unbalanced="0"/>
    <cacheHierarchy uniqueName="[rArtikli_HR_Analiza].[Единечна цена]" caption="Единечна цена" attribute="1" defaultMemberUniqueName="[rArtikli_HR_Analiza].[Единечна цена].[All]" allUniqueName="[rArtikli_HR_Analiza].[Единечна цена].[All]" dimensionUniqueName="[rArtikli_HR_Analiza]" displayFolder="" count="0" memberValueDatatype="20" unbalanced="0"/>
    <cacheHierarchy uniqueName="[rArtikli_HR_Analiza].[Вкупно трошок]" caption="Вкупно трошок" attribute="1" defaultMemberUniqueName="[rArtikli_HR_Analiza].[Вкупно трошок].[All]" allUniqueName="[rArtikli_HR_Analiza].[Вкупно трошок].[All]" dimensionUniqueName="[rArtikli_HR_Analiza]" displayFolder="" count="0" memberValueDatatype="5" unbalanced="0"/>
    <cacheHierarchy uniqueName="[rArtikli_HR_Analiza].[ДДВ]" caption="ДДВ" attribute="1" defaultMemberUniqueName="[rArtikli_HR_Analiza].[ДДВ].[All]" allUniqueName="[rArtikli_HR_Analiza].[ДДВ].[All]" dimensionUniqueName="[rArtikli_HR_Analiza]" displayFolder="" count="0" memberValueDatatype="5" unbalanced="0"/>
    <cacheHierarchy uniqueName="[rArtikli_HR_Analiza].[Износ]" caption="Износ" attribute="1" defaultMemberUniqueName="[rArtikli_HR_Analiza].[Износ].[All]" allUniqueName="[rArtikli_HR_Analiza].[Износ].[All]" dimensionUniqueName="[rArtikli_HR_Analiza]" displayFolder="" count="0" memberValueDatatype="5" unbalanced="0"/>
    <cacheHierarchy uniqueName="[rArtikli_HR_Analiza].[Конто]" caption="Конто" attribute="1" defaultMemberUniqueName="[rArtikli_HR_Analiza].[Конто].[All]" allUniqueName="[rArtikli_HR_Analiza].[Конто].[All]" dimensionUniqueName="[rArtikli_HR_Analiza]" displayFolder="" count="0" memberValueDatatype="130" unbalanced="0"/>
    <cacheHierarchy uniqueName="[rArtikli_HR_Analiza].[ReportType]" caption="ReportType" attribute="1" defaultMemberUniqueName="[rArtikli_HR_Analiza].[ReportType].[All]" allUniqueName="[rArtikli_HR_Analiza].[ReportType].[All]" dimensionUniqueName="[rArtikli_HR_Analiza]" displayFolder="" count="0" memberValueDatatype="130" unbalanced="0"/>
    <cacheHierarchy uniqueName="[rArtikli_HR_Analiza].[Период]" caption="Период" attribute="1" time="1" defaultMemberUniqueName="[rArtikli_HR_Analiza].[Период].[All]" allUniqueName="[rArtikli_HR_Analiza].[Период].[All]" dimensionUniqueName="[rArtikli_HR_Analiza]" displayFolder="" count="0" memberValueDatatype="7" unbalanced="0"/>
    <cacheHierarchy uniqueName="[rArtikli_HR_Analiza].[StavkaImeMK]" caption="StavkaImeMK" attribute="1" defaultMemberUniqueName="[rArtikli_HR_Analiza].[StavkaImeMK].[All]" allUniqueName="[rArtikli_HR_Analiza].[StavkaImeMK].[All]" dimensionUniqueName="[rArtikli_HR_Analiza]" displayFolder="" count="0" memberValueDatatype="130" unbalanced="0"/>
    <cacheHierarchy uniqueName="[rArtikli_HR_Analiza].[StavkaAOP]" caption="StavkaAOP" attribute="1" defaultMemberUniqueName="[rArtikli_HR_Analiza].[StavkaAOP].[All]" allUniqueName="[rArtikli_HR_Analiza].[StavkaAOP].[All]" dimensionUniqueName="[rArtikli_HR_Analiza]" displayFolder="" count="0" memberValueDatatype="130" unbalanced="0"/>
    <cacheHierarchy uniqueName="[rArtikli_HR_Analiza].[StavkaGrupa]" caption="StavkaGrupa" attribute="1" defaultMemberUniqueName="[rArtikli_HR_Analiza].[StavkaGrupa].[All]" allUniqueName="[rArtikli_HR_Analiza].[StavkaGrupa].[All]" dimensionUniqueName="[rArtikli_HR_Analiza]" displayFolder="" count="0" memberValueDatatype="130" unbalanced="0"/>
    <cacheHierarchy uniqueName="[rArtikli_HR_Analiza].[StavkaKategorija]" caption="StavkaKategorija" attribute="1" defaultMemberUniqueName="[rArtikli_HR_Analiza].[StavkaKategorija].[All]" allUniqueName="[rArtikli_HR_Analiza].[StavkaKategorija].[All]" dimensionUniqueName="[rArtikli_HR_Analiza]" displayFolder="" count="0" memberValueDatatype="130" unbalanced="0"/>
    <cacheHierarchy uniqueName="[rArtikli_HR_Analiza].[ObrazecIme]" caption="ObrazecIme" attribute="1" defaultMemberUniqueName="[rArtikli_HR_Analiza].[ObrazecIme].[All]" allUniqueName="[rArtikli_HR_Analiza].[ObrazecIme].[All]" dimensionUniqueName="[rArtikli_HR_Analiza]" displayFolder="" count="0" memberValueDatatype="130" unbalanced="0"/>
    <cacheHierarchy uniqueName="[rArtikli_HR_Analiza].[StavkaKategorija.1]" caption="StavkaKategorija.1" attribute="1" defaultMemberUniqueName="[rArtikli_HR_Analiza].[StavkaKategorija.1].[All]" allUniqueName="[rArtikli_HR_Analiza].[StavkaKategorija.1].[All]" dimensionUniqueName="[rArtikli_HR_Analiza]" displayFolder="" count="0" memberValueDatatype="130" unbalanced="0"/>
    <cacheHierarchy uniqueName="[rArtikliAnaliza].[Артикл ИД]" caption="Артикл ИД" attribute="1" defaultMemberUniqueName="[rArtikliAnaliza].[Артикл ИД].[All]" allUniqueName="[rArtikliAnaliza].[Артикл ИД].[All]" dimensionUniqueName="[rArtikliAnaliza]" displayFolder="" count="0" memberValueDatatype="20" unbalanced="0"/>
    <cacheHierarchy uniqueName="[rArtikliAnaliza].[Ставка]" caption="Ставка" attribute="1" defaultMemberUniqueName="[rArtikliAnaliza].[Ставка].[All]" allUniqueName="[rArtikliAnaliza].[Ставка].[All]" dimensionUniqueName="[rArtikliAnaliza]" displayFolder="" count="0" memberValueDatatype="130" unbalanced="0"/>
    <cacheHierarchy uniqueName="[rArtikliAnaliza].[Категорија Артикл ИД]" caption="Категорија Артикл ИД" attribute="1" defaultMemberUniqueName="[rArtikliAnaliza].[Категорија Артикл ИД].[All]" allUniqueName="[rArtikliAnaliza].[Категорија Артикл ИД].[All]" dimensionUniqueName="[rArtikliAnaliza]" displayFolder="" count="0" memberValueDatatype="20" unbalanced="0"/>
    <cacheHierarchy uniqueName="[rArtikliAnaliza].[Категорија Артикл]" caption="Категорија Артикл" attribute="1" defaultMemberUniqueName="[rArtikliAnaliza].[Категорија Артикл].[All]" allUniqueName="[rArtikliAnaliza].[Категорија Артикл].[All]" dimensionUniqueName="[rArtikliAnaliza]" displayFolder="" count="0" memberValueDatatype="130" unbalanced="0"/>
    <cacheHierarchy uniqueName="[rArtikliAnaliza].[Тип на артикл]" caption="Тип на артикл" attribute="1" defaultMemberUniqueName="[rArtikliAnaliza].[Тип на артикл].[All]" allUniqueName="[rArtikliAnaliza].[Тип на артикл].[All]" dimensionUniqueName="[rArtikliAnaliza]" displayFolder="" count="0" memberValueDatatype="130" unbalanced="0"/>
    <cacheHierarchy uniqueName="[rArtikliAnaliza].[Единечна мерка]" caption="Единечна мерка" attribute="1" defaultMemberUniqueName="[rArtikliAnaliza].[Единечна мерка].[All]" allUniqueName="[rArtikliAnaliza].[Единечна мерка].[All]" dimensionUniqueName="[rArtikliAnaliza]" displayFolder="" count="0" memberValueDatatype="130" unbalanced="0"/>
    <cacheHierarchy uniqueName="[rArtikliAnaliza].[Количина]" caption="Количина" attribute="1" defaultMemberUniqueName="[rArtikliAnaliza].[Количина].[All]" allUniqueName="[rArtikliAnaliza].[Количина].[All]" dimensionUniqueName="[rArtikliAnaliza]" displayFolder="" count="0" memberValueDatatype="5" unbalanced="0"/>
    <cacheHierarchy uniqueName="[rArtikliAnaliza].[Единечна цена]" caption="Единечна цена" attribute="1" defaultMemberUniqueName="[rArtikliAnaliza].[Единечна цена].[All]" allUniqueName="[rArtikliAnaliza].[Единечна цена].[All]" dimensionUniqueName="[rArtikliAnaliza]" displayFolder="" count="0" memberValueDatatype="20" unbalanced="0"/>
    <cacheHierarchy uniqueName="[rArtikliAnaliza].[Износ]" caption="Износ" attribute="1" defaultMemberUniqueName="[rArtikliAnaliza].[Износ].[All]" allUniqueName="[rArtikliAnaliza].[Износ].[All]" dimensionUniqueName="[rArtikliAnaliza]" displayFolder="" count="0" memberValueDatatype="5" unbalanced="0"/>
    <cacheHierarchy uniqueName="[rArtikliAnaliza].[ДДВ]" caption="ДДВ" attribute="1" defaultMemberUniqueName="[rArtikliAnaliza].[ДДВ].[All]" allUniqueName="[rArtikliAnaliza].[ДДВ].[All]" dimensionUniqueName="[rArtikliAnaliza]" displayFolder="" count="0" memberValueDatatype="5" unbalanced="0"/>
    <cacheHierarchy uniqueName="[rArtikliAnaliza].[Вкупно трошок со ДДВ]" caption="Вкупно трошок со ДДВ" attribute="1" defaultMemberUniqueName="[rArtikliAnaliza].[Вкупно трошок со ДДВ].[All]" allUniqueName="[rArtikliAnaliza].[Вкупно трошок со ДДВ].[All]" dimensionUniqueName="[rArtikliAnaliza]" displayFolder="" count="0" memberValueDatatype="5" unbalanced="0"/>
    <cacheHierarchy uniqueName="[rArtikliAnaliza].[Конто]" caption="Конто" attribute="1" defaultMemberUniqueName="[rArtikliAnaliza].[Конто].[All]" allUniqueName="[rArtikliAnaliza].[Конто].[All]" dimensionUniqueName="[rArtikliAnaliza]" displayFolder="" count="0" memberValueDatatype="130" unbalanced="0"/>
    <cacheHierarchy uniqueName="[rArtikliAnaliza].[Период]" caption="Период" attribute="1" time="1" defaultMemberUniqueName="[rArtikliAnaliza].[Период].[All]" allUniqueName="[rArtikliAnaliza].[Период].[All]" dimensionUniqueName="[rArtikliAnaliza]" displayFolder="" count="0" memberValueDatatype="7" unbalanced="0"/>
    <cacheHierarchy uniqueName="[rArtikliAnaliza].[ReportType]" caption="ReportType" attribute="1" defaultMemberUniqueName="[rArtikliAnaliza].[ReportType].[All]" allUniqueName="[rArtikliAnaliza].[ReportType].[All]" dimensionUniqueName="[rArtikliAnaliza]" displayFolder="" count="0" memberValueDatatype="130" unbalanced="0"/>
    <cacheHierarchy uniqueName="[rArtikliAnaliza].[StavkaImeMK]" caption="StavkaImeMK" attribute="1" defaultMemberUniqueName="[rArtikliAnaliza].[StavkaImeMK].[All]" allUniqueName="[rArtikliAnaliza].[StavkaImeMK].[All]" dimensionUniqueName="[rArtikliAnaliza]" displayFolder="" count="0" memberValueDatatype="130" unbalanced="0"/>
    <cacheHierarchy uniqueName="[rArtikliAnaliza].[StavkaKategorija]" caption="StavkaKategorija" attribute="1" defaultMemberUniqueName="[rArtikliAnaliza].[StavkaKategorija].[All]" allUniqueName="[rArtikliAnaliza].[StavkaKategorija].[All]" dimensionUniqueName="[rArtikliAnaliza]" displayFolder="" count="0" memberValueDatatype="130" unbalanced="0"/>
    <cacheHierarchy uniqueName="[rArtikliAnaliza].[Период (Year)]" caption="Период (Year)" attribute="1" defaultMemberUniqueName="[rArtikliAnaliza].[Период (Year)].[All]" allUniqueName="[rArtikliAnaliza].[Период (Year)].[All]" dimensionUniqueName="[rArtikliAnaliza]" displayFolder="" count="0" memberValueDatatype="130" unbalanced="0"/>
    <cacheHierarchy uniqueName="[rArtikliAnaliza].[Период (Quarter)]" caption="Период (Quarter)" attribute="1" defaultMemberUniqueName="[rArtikliAnaliza].[Период (Quarter)].[All]" allUniqueName="[rArtikliAnaliza].[Период (Quarter)].[All]" dimensionUniqueName="[rArtikliAnaliza]" displayFolder="" count="0" memberValueDatatype="130" unbalanced="0"/>
    <cacheHierarchy uniqueName="[rArtikliAnaliza].[Период (Month)]" caption="Период (Month)" attribute="1" defaultMemberUniqueName="[rArtikliAnaliza].[Период (Month)].[All]" allUniqueName="[rArtikliAnaliza].[Период (Month)].[All]" dimensionUniqueName="[rArtikliAnaliza]" displayFolder="" count="0" memberValueDatatype="130" unbalanced="0"/>
    <cacheHierarchy uniqueName="[CAPEX].[Очекуван датум за ставање во употреба (месец) (Month Index)]" caption="Очекуван датум за ставање во употреба (месец) (Month Index)" attribute="1" defaultMemberUniqueName="[CAPEX].[Очекуван датум за ставање во употреба (месец) (Month Index)].[All]" allUniqueName="[CAPEX].[Очекуван датум за ставање во употреба (месец) (Month Index)].[All]" dimensionUniqueName="[CAPEX]" displayFolder="" count="0" memberValueDatatype="20" unbalanced="0" hidden="1"/>
    <cacheHierarchy uniqueName="[CAPEX].[Очекуван датум на плаќање (Month Index)]" caption="Очекуван датум на плаќање (Month Index)" attribute="1" defaultMemberUniqueName="[CAPEX].[Очекуван датум на плаќање (Month Index)].[All]" allUniqueName="[CAPEX].[Очекуван датум на плаќање (Month Index)].[All]" dimensionUniqueName="[CAPEX]" displayFolder="" count="0" memberValueDatatype="20" unbalanced="0" hidden="1"/>
    <cacheHierarchy uniqueName="[fActualAndBudget].[StavkaID]" caption="StavkaID" attribute="1" defaultMemberUniqueName="[fActualAndBudget].[StavkaID].[All]" allUniqueName="[fActualAndBudget].[StavkaID].[All]" dimensionUniqueName="[fActualAndBudget]" displayFolder="" count="0" memberValueDatatype="20" unbalanced="0" hidden="1"/>
    <cacheHierarchy uniqueName="[fCoveckiResursi].[Период (Month Index)]" caption="Период (Month Index)" attribute="1" defaultMemberUniqueName="[fCoveckiResursi].[Период (Month Index)].[All]" allUniqueName="[fCoveckiResursi].[Период (Month Index)].[All]" dimensionUniqueName="[fCoveckiResursi]" displayFolder="" count="0" memberValueDatatype="20" unbalanced="0" hidden="1"/>
    <cacheHierarchy uniqueName="[fCoveckiResursi].[Период (Month Index) 1]" caption="Период (Month Index) 1" attribute="1" defaultMemberUniqueName="[fCoveckiResursi].[Период (Month Index) 1].[All]" allUniqueName="[fCoveckiResursi].[Период (Month Index) 1].[All]" dimensionUniqueName="[fCoveckiResursi]" displayFolder="" count="0" memberValueDatatype="20" unbalanced="0" hidden="1"/>
    <cacheHierarchy uniqueName="[OPEXAnaliza].[Период (Month Index)]" caption="Период (Month Index)" attribute="1" defaultMemberUniqueName="[OPEXAnaliza].[Период (Month Index)].[All]" allUniqueName="[OPEXAnaliza].[Период (Month Index)].[All]" dimensionUniqueName="[OPEXAnaliza]" displayFolder="" count="0" memberValueDatatype="20" unbalanced="0" hidden="1"/>
    <cacheHierarchy uniqueName="[rArtikli_HR_Analiza].[Крајна состојба вработени]" caption="Крајна состојба вработени" attribute="1" defaultMemberUniqueName="[rArtikli_HR_Analiza].[Крајна состојба вработени].[All]" allUniqueName="[rArtikli_HR_Analiza].[Крајна состојба вработени].[All]" dimensionUniqueName="[rArtikli_HR_Analiza]" displayFolder="" count="0" memberValueDatatype="20" unbalanced="0" hidden="1"/>
    <cacheHierarchy uniqueName="[rArtikli_HR_Analiza].[Планиран прилив/(одлив)]" caption="Планиран прилив/(одлив)" attribute="1" defaultMemberUniqueName="[rArtikli_HR_Analiza].[Планиран прилив/(одлив)].[All]" allUniqueName="[rArtikli_HR_Analiza].[Планиран прилив/(одлив)].[All]" dimensionUniqueName="[rArtikli_HR_Analiza]" displayFolder="" count="0" memberValueDatatype="20" unbalanced="0" hidden="1"/>
    <cacheHierarchy uniqueName="[rArtikli_HR_Analiza].[Тип на вработување]" caption="Тип на вработување" attribute="1" defaultMemberUniqueName="[rArtikli_HR_Analiza].[Тип на вработување].[All]" allUniqueName="[rArtikli_HR_Analiza].[Тип на вработување].[All]" dimensionUniqueName="[rArtikli_HR_Analiza]" displayFolder="" count="0" memberValueDatatype="130" unbalanced="0" hidden="1"/>
    <cacheHierarchy uniqueName="[rArtikliAnaliza].[Период (Month Index)]" caption="Период (Month Index)" attribute="1" defaultMemberUniqueName="[rArtikliAnaliza].[Период (Month Index)].[All]" allUniqueName="[rArtikliAnaliza].[Период (Month Index)].[All]" dimensionUniqueName="[rArtikliAnaliza]" displayFolder="" count="0" memberValueDatatype="20" unbalanced="0" hidden="1"/>
    <cacheHierarchy uniqueName="[Measures].[__XL_Count Calendar]" caption="__XL_Count Calendar" measure="1" displayFolder="" measureGroup="Calendar" count="0" hidden="1"/>
    <cacheHierarchy uniqueName="[Measures].[__XL_Count CAPEX]" caption="__XL_Count CAPEX" measure="1" displayFolder="" measureGroup="CAPEX" count="0" hidden="1"/>
    <cacheHierarchy uniqueName="[Measures].[__XL_Count Amortizacija]" caption="__XL_Count Amortizacija" measure="1" displayFolder="" measureGroup="Amortizacija" count="0" hidden="1"/>
    <cacheHierarchy uniqueName="[Measures].[__XL_Count fCoveckiResursi]" caption="__XL_Count fCoveckiResursi" measure="1" displayFolder="" measureGroup="fCoveckiResursi" count="0" hidden="1"/>
    <cacheHierarchy uniqueName="[Measures].[__XL_Count fActualAndBudget]" caption="__XL_Count fActualAndBudget" measure="1" displayFolder="" measureGroup="fActualAndBudget" count="0" hidden="1"/>
    <cacheHierarchy uniqueName="[Measures].[__XL_Count fOPEX]" caption="__XL_Count fOPEX" measure="1" displayFolder="" measureGroup="fOPEX" count="0" hidden="1"/>
    <cacheHierarchy uniqueName="[Measures].[__XL_Count OPEXAnaliza]" caption="__XL_Count OPEXAnaliza" measure="1" displayFolder="" measureGroup="OPEXAnaliza" count="0" hidden="1"/>
    <cacheHierarchy uniqueName="[Measures].[__XL_Count rArtikliAnaliza]" caption="__XL_Count rArtikliAnaliza" measure="1" displayFolder="" measureGroup="rArtikliAnaliza" count="0" hidden="1"/>
    <cacheHierarchy uniqueName="[Measures].[__XL_Count fArtikliCeni]" caption="__XL_Count fArtikliCeni" measure="1" displayFolder="" measureGroup="fArtikliCeni" count="0" hidden="1"/>
    <cacheHierarchy uniqueName="[Measures].[__XL_Count rArtikli_HR_Analiza]" caption="__XL_Count rArtikli_HR_Analiza" measure="1" displayFolder="" measureGroup="rArtikli_HR_Analiza" count="0" hidden="1"/>
    <cacheHierarchy uniqueName="[Measures].[__XL_Count fCoveckiResursi  2]" caption="__XL_Count fCoveckiResursi  2" measure="1" displayFolder="" measureGroup="fCoveckiResursi  2" count="0" hidden="1"/>
    <cacheHierarchy uniqueName="[Measures].[__No measures defined]" caption="__No measures defined" measure="1" displayFolder="" count="0" hidden="1"/>
    <cacheHierarchy uniqueName="[Measures].[Sum of Износ 3]" caption="Sum of Износ 3" measure="1" displayFolder="" measureGroup="fCoveckiResursi" count="0" hidden="1">
      <extLst>
        <ext xmlns:x15="http://schemas.microsoft.com/office/spreadsheetml/2010/11/main" uri="{B97F6D7D-B522-45F9-BDA1-12C45D357490}">
          <x15:cacheHierarchy aggregatedColumn="71"/>
        </ext>
      </extLst>
    </cacheHierarchy>
    <cacheHierarchy uniqueName="[Measures].[Sum of Крајна состојба вработени]" caption="Sum of Крајна состојба вработени" measure="1" displayFolder="" measureGroup="fCoveckiResursi" count="0" hidden="1">
      <extLst>
        <ext xmlns:x15="http://schemas.microsoft.com/office/spreadsheetml/2010/11/main" uri="{B97F6D7D-B522-45F9-BDA1-12C45D357490}">
          <x15:cacheHierarchy aggregatedColumn="70"/>
        </ext>
      </extLst>
    </cacheHierarchy>
    <cacheHierarchy uniqueName="[Measures].[Sum of Планиран прилив/(одлив)]" caption="Sum of Планиран прилив/(одлив)" measure="1" displayFolder="" measureGroup="fCoveckiResursi" count="0" hidden="1">
      <extLst>
        <ext xmlns:x15="http://schemas.microsoft.com/office/spreadsheetml/2010/11/main" uri="{B97F6D7D-B522-45F9-BDA1-12C45D357490}">
          <x15:cacheHierarchy aggregatedColumn="68"/>
        </ext>
      </extLst>
    </cacheHierarchy>
    <cacheHierarchy uniqueName="[Measures].[Sum of Износ]" caption="Sum of Износ" measure="1" displayFolder="" measureGroup="fActualAndBudget" count="0" hidden="1">
      <extLst>
        <ext xmlns:x15="http://schemas.microsoft.com/office/spreadsheetml/2010/11/main" uri="{B97F6D7D-B522-45F9-BDA1-12C45D357490}">
          <x15:cacheHierarchy aggregatedColumn="45"/>
        </ext>
      </extLst>
    </cacheHierarchy>
    <cacheHierarchy uniqueName="[Measures].[Sum of Износ (илјади)]" caption="Sum of Износ (илјади)" measure="1" displayFolder="" measureGroup="fActualAndBudget" count="0" hidden="1">
      <extLst>
        <ext xmlns:x15="http://schemas.microsoft.com/office/spreadsheetml/2010/11/main" uri="{B97F6D7D-B522-45F9-BDA1-12C45D357490}">
          <x15:cacheHierarchy aggregatedColumn="46"/>
        </ext>
      </extLst>
    </cacheHierarchy>
    <cacheHierarchy uniqueName="[Measures].[Sum of Износ1]" caption="Sum of Износ1" measure="1" displayFolder="" measureGroup="fActualAndBudget" count="0" hidden="1">
      <extLst>
        <ext xmlns:x15="http://schemas.microsoft.com/office/spreadsheetml/2010/11/main" uri="{B97F6D7D-B522-45F9-BDA1-12C45D357490}">
          <x15:cacheHierarchy aggregatedColumn="34"/>
        </ext>
      </extLst>
    </cacheHierarchy>
    <cacheHierarchy uniqueName="[Measures].[Sum of Износ 2]" caption="Sum of Износ 2" measure="1" displayFolder="" measureGroup="Amortizacija" count="0" hidden="1">
      <extLst>
        <ext xmlns:x15="http://schemas.microsoft.com/office/spreadsheetml/2010/11/main" uri="{B97F6D7D-B522-45F9-BDA1-12C45D357490}">
          <x15:cacheHierarchy aggregatedColumn="3"/>
        </ext>
      </extLst>
    </cacheHierarchy>
    <cacheHierarchy uniqueName="[Measures].[Sum of Износ 4]" caption="Sum of Износ 4" measure="1" displayFolder="" measureGroup="OPEXAnaliza" count="0" hidden="1">
      <extLst>
        <ext xmlns:x15="http://schemas.microsoft.com/office/spreadsheetml/2010/11/main" uri="{B97F6D7D-B522-45F9-BDA1-12C45D357490}">
          <x15:cacheHierarchy aggregatedColumn="101"/>
        </ext>
      </extLst>
    </cacheHierarchy>
    <cacheHierarchy uniqueName="[Measures].[Sum of Износ донација]" caption="Sum of Износ донација" measure="1" displayFolder="" measureGroup="CAPEX" count="0" hidden="1">
      <extLst>
        <ext xmlns:x15="http://schemas.microsoft.com/office/spreadsheetml/2010/11/main" uri="{B97F6D7D-B522-45F9-BDA1-12C45D357490}">
          <x15:cacheHierarchy aggregatedColumn="24"/>
        </ext>
      </extLst>
    </cacheHierarchy>
    <cacheHierarchy uniqueName="[Measures].[Sum of Вкупно трошок]" caption="Sum of Вкупно трошок" measure="1" displayFolder="" measureGroup="fArtikliCeni" count="0" hidden="1">
      <extLst>
        <ext xmlns:x15="http://schemas.microsoft.com/office/spreadsheetml/2010/11/main" uri="{B97F6D7D-B522-45F9-BDA1-12C45D357490}">
          <x15:cacheHierarchy aggregatedColumn="55"/>
        </ext>
      </extLst>
    </cacheHierarchy>
    <cacheHierarchy uniqueName="[Measures].[Sum of Количина]" caption="Sum of Количина" measure="1" displayFolder="" measureGroup="fArtikliCeni" count="0" hidden="1">
      <extLst>
        <ext xmlns:x15="http://schemas.microsoft.com/office/spreadsheetml/2010/11/main" uri="{B97F6D7D-B522-45F9-BDA1-12C45D357490}">
          <x15:cacheHierarchy aggregatedColumn="53"/>
        </ext>
      </extLst>
    </cacheHierarchy>
    <cacheHierarchy uniqueName="[Measures].[Sum of Единечна цена]" caption="Sum of Единечна цена" measure="1" displayFolder="" measureGroup="fArtikliCeni" count="0" hidden="1">
      <extLst>
        <ext xmlns:x15="http://schemas.microsoft.com/office/spreadsheetml/2010/11/main" uri="{B97F6D7D-B522-45F9-BDA1-12C45D357490}">
          <x15:cacheHierarchy aggregatedColumn="54"/>
        </ext>
      </extLst>
    </cacheHierarchy>
    <cacheHierarchy uniqueName="[Measures].[Sum of ДДВ]" caption="Sum of ДДВ" measure="1" displayFolder="" measureGroup="fArtikliCeni" count="0" hidden="1">
      <extLst>
        <ext xmlns:x15="http://schemas.microsoft.com/office/spreadsheetml/2010/11/main" uri="{B97F6D7D-B522-45F9-BDA1-12C45D357490}">
          <x15:cacheHierarchy aggregatedColumn="56"/>
        </ext>
      </extLst>
    </cacheHierarchy>
    <cacheHierarchy uniqueName="[Measures].[Sum of Износ 6]" caption="Sum of Износ 6" measure="1" displayFolder="" measureGroup="fArtikliCeni" count="0" hidden="1">
      <extLst>
        <ext xmlns:x15="http://schemas.microsoft.com/office/spreadsheetml/2010/11/main" uri="{B97F6D7D-B522-45F9-BDA1-12C45D357490}">
          <x15:cacheHierarchy aggregatedColumn="57"/>
        </ext>
      </extLst>
    </cacheHierarchy>
    <cacheHierarchy uniqueName="[Measures].[Count of Единечна мерка]" caption="Count of Единечна мерка" measure="1" displayFolder="" measureGroup="fArtikliCeni" count="0" hidden="1">
      <extLst>
        <ext xmlns:x15="http://schemas.microsoft.com/office/spreadsheetml/2010/11/main" uri="{B97F6D7D-B522-45F9-BDA1-12C45D357490}">
          <x15:cacheHierarchy aggregatedColumn="52"/>
        </ext>
      </extLst>
    </cacheHierarchy>
    <cacheHierarchy uniqueName="[Measures].[Sum of Количина 2]" caption="Sum of Количина 2" measure="1" displayFolder="" measureGroup="rArtikli_HR_Analiza" count="0" hidden="1">
      <extLst>
        <ext xmlns:x15="http://schemas.microsoft.com/office/spreadsheetml/2010/11/main" uri="{B97F6D7D-B522-45F9-BDA1-12C45D357490}">
          <x15:cacheHierarchy aggregatedColumn="118"/>
        </ext>
      </extLst>
    </cacheHierarchy>
    <cacheHierarchy uniqueName="[Measures].[Sum of Единечна цена 2]" caption="Sum of Единечна цена 2" measure="1" displayFolder="" measureGroup="rArtikli_HR_Analiza" count="0" hidden="1">
      <extLst>
        <ext xmlns:x15="http://schemas.microsoft.com/office/spreadsheetml/2010/11/main" uri="{B97F6D7D-B522-45F9-BDA1-12C45D357490}">
          <x15:cacheHierarchy aggregatedColumn="119"/>
        </ext>
      </extLst>
    </cacheHierarchy>
    <cacheHierarchy uniqueName="[Measures].[Sum of Вкупно трошок 2]" caption="Sum of Вкупно трошок 2" measure="1" displayFolder="" measureGroup="rArtikli_HR_Analiza" count="0" hidden="1">
      <extLst>
        <ext xmlns:x15="http://schemas.microsoft.com/office/spreadsheetml/2010/11/main" uri="{B97F6D7D-B522-45F9-BDA1-12C45D357490}">
          <x15:cacheHierarchy aggregatedColumn="120"/>
        </ext>
      </extLst>
    </cacheHierarchy>
    <cacheHierarchy uniqueName="[Measures].[Sum of ДДВ 2]" caption="Sum of ДДВ 2" measure="1" displayFolder="" measureGroup="rArtikli_HR_Analiza" count="0" hidden="1">
      <extLst>
        <ext xmlns:x15="http://schemas.microsoft.com/office/spreadsheetml/2010/11/main" uri="{B97F6D7D-B522-45F9-BDA1-12C45D357490}">
          <x15:cacheHierarchy aggregatedColumn="121"/>
        </ext>
      </extLst>
    </cacheHierarchy>
    <cacheHierarchy uniqueName="[Measures].[Sum of Износ 7]" caption="Sum of Износ 7" measure="1" displayFolder="" measureGroup="rArtikli_HR_Analiza" count="0" hidden="1">
      <extLst>
        <ext xmlns:x15="http://schemas.microsoft.com/office/spreadsheetml/2010/11/main" uri="{B97F6D7D-B522-45F9-BDA1-12C45D357490}">
          <x15:cacheHierarchy aggregatedColumn="122"/>
        </ext>
      </extLst>
    </cacheHierarchy>
    <cacheHierarchy uniqueName="[Measures].[Sum of Износ 5]" caption="Sum of Износ 5" measure="1" displayFolder="" measureGroup="fCoveckiResursi  2" count="0" hidden="1">
      <extLst>
        <ext xmlns:x15="http://schemas.microsoft.com/office/spreadsheetml/2010/11/main" uri="{B97F6D7D-B522-45F9-BDA1-12C45D357490}">
          <x15:cacheHierarchy aggregatedColumn="82"/>
        </ext>
      </extLst>
    </cacheHierarchy>
    <cacheHierarchy uniqueName="[Measures].[Sum of Проценета вредност на набавка со ДДВ (денари)]" caption="Sum of Проценета вредност на набавка со ДДВ (денари)" measure="1" displayFolder="" measureGroup="CAPEX" count="0" hidden="1">
      <extLst>
        <ext xmlns:x15="http://schemas.microsoft.com/office/spreadsheetml/2010/11/main" uri="{B97F6D7D-B522-45F9-BDA1-12C45D357490}">
          <x15:cacheHierarchy aggregatedColumn="20"/>
        </ext>
      </extLst>
    </cacheHierarchy>
  </cacheHierarchies>
  <kpis count="0"/>
  <extLst>
    <ext xmlns:x14="http://schemas.microsoft.com/office/spreadsheetml/2009/9/main" uri="{725AE2AE-9491-48be-B2B4-4EB974FC3084}">
      <x14:pivotCacheDefinition slicerData="1" pivotCacheId="2097522385" supportSubqueryNonVisual="1" supportSubqueryCalcMem="1" supportAddCalcMems="1"/>
    </ext>
  </extLst>
</pivotCacheDefinition>
</file>

<file path=xl/pivotCache/pivotCacheDefinition3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ngela Sazdova - Doneva" refreshedDate="44899.978544907404" createdVersion="3" refreshedVersion="6" minRefreshableVersion="3" recordCount="0" supportSubquery="1" supportAdvancedDrill="1" xr:uid="{00000000-000A-0000-FFFF-FFFF22000000}">
  <cacheSource type="external" connectionId="22">
    <extLst>
      <ext xmlns:x14="http://schemas.microsoft.com/office/spreadsheetml/2009/9/main" uri="{F057638F-6D5F-4e77-A914-E7F072B9BCA8}">
        <x14:sourceConnection name="ThisWorkbookDataModel"/>
      </ext>
    </extLst>
  </cacheSource>
  <cacheFields count="0"/>
  <cacheHierarchies count="195">
    <cacheHierarchy uniqueName="[Amortizacija].[Број на јавна набавка (план)]" caption="Број на јавна набавка (план)" attribute="1" defaultMemberUniqueName="[Amortizacija].[Број на јавна набавка (план)].[All]" allUniqueName="[Amortizacija].[Број на јавна набавка (план)].[All]" dimensionUniqueName="[Amortizacija]" displayFolder="" count="0" memberValueDatatype="130" unbalanced="0"/>
    <cacheHierarchy uniqueName="[Amortizacija].[Ставка]" caption="Ставка" attribute="1" defaultMemberUniqueName="[Amortizacija].[Ставка].[All]" allUniqueName="[Amortizacija].[Ставка].[All]" dimensionUniqueName="[Amortizacija]" displayFolder="" count="0" memberValueDatatype="130" unbalanced="0"/>
    <cacheHierarchy uniqueName="[Amortizacija].[Период]" caption="Период" attribute="1" time="1" defaultMemberUniqueName="[Amortizacija].[Период].[All]" allUniqueName="[Amortizacija].[Период].[All]" dimensionUniqueName="[Amortizacija]" displayFolder="" count="0" memberValueDatatype="7" unbalanced="0"/>
    <cacheHierarchy uniqueName="[Amortizacija].[Износ]" caption="Износ" attribute="1" defaultMemberUniqueName="[Amortizacija].[Износ].[All]" allUniqueName="[Amortizacija].[Износ].[All]" dimensionUniqueName="[Amortizacija]" displayFolder="" count="0" memberValueDatatype="20" unbalanced="0"/>
    <cacheHierarchy uniqueName="[Amortizacija].[Конто]" caption="Конто" attribute="1" defaultMemberUniqueName="[Amortizacija].[Конто].[All]" allUniqueName="[Amortizacija].[Конто].[All]" dimensionUniqueName="[Amortizacija]" displayFolder="" count="0" memberValueDatatype="130" unbalanced="0"/>
    <cacheHierarchy uniqueName="[Amortizacija].[ReportType]" caption="ReportType" attribute="1" defaultMemberUniqueName="[Amortizacija].[ReportType].[All]" allUniqueName="[Amortizacija].[ReportType].[All]" dimensionUniqueName="[Amortizacija]" displayFolder="" count="0" memberValueDatatype="130" unbalanced="0"/>
    <cacheHierarchy uniqueName="[Calendar].[Date]" caption="Date" attribute="1" time="1" keyAttribute="1" defaultMemberUniqueName="[Calendar].[Date].[All]" allUniqueName="[Calendar].[Date].[All]" dimensionUniqueName="[Calendar]" displayFolder="" count="0" memberValueDatatype="7" unbalanced="0"/>
    <cacheHierarchy uniqueName="[Calendar].[Date Hierarchy]" caption="Date Hierarchy" time="1" defaultMemberUniqueName="[Calendar].[Date Hierarchy].[All]" allUniqueName="[Calendar].[Date Hierarchy].[All]" dimensionUniqueName="[Calendar]" displayFolder="" count="4" unbalanced="0"/>
    <cacheHierarchy uniqueName="[Calendar].[Година]" caption="Година" attribute="1" time="1" defaultMemberUniqueName="[Calendar].[Година].[All]" allUniqueName="[Calendar].[Година].[All]" dimensionUniqueName="[Calendar]" displayFolder="" count="0" memberValueDatatype="20" unbalanced="0"/>
    <cacheHierarchy uniqueName="[Calendar].[Month Number]" caption="Month Number" attribute="1" time="1" defaultMemberUniqueName="[Calendar].[Month Number].[All]" allUniqueName="[Calendar].[Month Number].[All]" dimensionUniqueName="[Calendar]" displayFolder="" count="0" memberValueDatatype="20" unbalanced="0"/>
    <cacheHierarchy uniqueName="[Calendar].[Месец]" caption="Месец" attribute="1" time="1" defaultMemberUniqueName="[Calendar].[Месец].[All]" allUniqueName="[Calendar].[Месец].[All]" dimensionUniqueName="[Calendar]" displayFolder="" count="0" memberValueDatatype="130" unbalanced="0"/>
    <cacheHierarchy uniqueName="[Calendar].[MMM-YYYY]" caption="MMM-YYYY" attribute="1" time="1" defaultMemberUniqueName="[Calendar].[MMM-YYYY].[All]" allUniqueName="[Calendar].[MMM-YYYY].[All]" dimensionUniqueName="[Calendar]" displayFolder="" count="0" memberValueDatatype="130" unbalanced="0"/>
    <cacheHierarchy uniqueName="[Calendar].[Day Of Week Number]" caption="Day Of Week Number" attribute="1" time="1" defaultMemberUniqueName="[Calendar].[Day Of Week Number].[All]" allUniqueName="[Calendar].[Day Of Week Number].[All]" dimensionUniqueName="[Calendar]" displayFolder="" count="0" memberValueDatatype="20" unbalanced="0"/>
    <cacheHierarchy uniqueName="[Calendar].[Day Of Week]" caption="Day Of Week" attribute="1" time="1" defaultMemberUniqueName="[Calendar].[Day Of Week].[All]" allUniqueName="[Calendar].[Day Of Week].[All]" dimensionUniqueName="[Calendar]" displayFolder="" count="0" memberValueDatatype="130" unbalanced="0"/>
    <cacheHierarchy uniqueName="[Calendar].[Квартал]" caption="Квартал" attribute="1" time="1" defaultMemberUniqueName="[Calendar].[Квартал].[All]" allUniqueName="[Calendar].[Квартал].[All]" dimensionUniqueName="[Calendar]" displayFolder="" count="0" memberValueDatatype="7" unbalanced="0"/>
    <cacheHierarchy uniqueName="[CAPEX].[Година за реализација на проект]" caption="Година за реализација на проект" attribute="1" defaultMemberUniqueName="[CAPEX].[Година за реализација на проект].[All]" allUniqueName="[CAPEX].[Година за реализација на проект].[All]" dimensionUniqueName="[CAPEX]" displayFolder="" count="0" memberValueDatatype="20" unbalanced="0"/>
    <cacheHierarchy uniqueName="[CAPEX].[Број на јавна набавка (план)]" caption="Број на јавна набавка (план)" attribute="1" defaultMemberUniqueName="[CAPEX].[Број на јавна набавка (план)].[All]" allUniqueName="[CAPEX].[Број на јавна набавка (план)].[All]" dimensionUniqueName="[CAPEX]" displayFolder="" count="0" memberValueDatatype="130" unbalanced="0"/>
    <cacheHierarchy uniqueName="[CAPEX].[Предмет на договорот за јавна набавка]" caption="Предмет на договорот за јавна набавка" attribute="1" defaultMemberUniqueName="[CAPEX].[Предмет на договорот за јавна набавка].[All]" allUniqueName="[CAPEX].[Предмет на договорот за јавна набавка].[All]" dimensionUniqueName="[CAPEX]" displayFolder="" count="0" memberValueDatatype="130" unbalanced="0"/>
    <cacheHierarchy uniqueName="[CAPEX].[Очекуван датум на плаќање]" caption="Очекуван датум на плаќање" attribute="1" time="1" defaultMemberUniqueName="[CAPEX].[Очекуван датум на плаќање].[All]" allUniqueName="[CAPEX].[Очекуван датум на плаќање].[All]" dimensionUniqueName="[CAPEX]" displayFolder="" count="0" memberValueDatatype="7" unbalanced="0"/>
    <cacheHierarchy uniqueName="[CAPEX].[Очекуван датум за ставање во употреба (месец)]" caption="Очекуван датум за ставање во употреба (месец)" attribute="1" time="1" defaultMemberUniqueName="[CAPEX].[Очекуван датум за ставање во употреба (месец)].[All]" allUniqueName="[CAPEX].[Очекуван датум за ставање во употреба (месец)].[All]" dimensionUniqueName="[CAPEX]" displayFolder="" count="0" memberValueDatatype="7" unbalanced="0"/>
    <cacheHierarchy uniqueName="[CAPEX].[Проценета вредност на набавка со ДДВ (денари)]" caption="Проценета вредност на набавка со ДДВ (денари)" attribute="1" defaultMemberUniqueName="[CAPEX].[Проценета вредност на набавка со ДДВ (денари)].[All]" allUniqueName="[CAPEX].[Проценета вредност на набавка со ДДВ (денари)].[All]" dimensionUniqueName="[CAPEX]" displayFolder="" count="0" memberValueDatatype="20" unbalanced="0"/>
    <cacheHierarchy uniqueName="[CAPEX].[Стапка на амортизација]" caption="Стапка на амортизација" attribute="1" defaultMemberUniqueName="[CAPEX].[Стапка на амортизација].[All]" allUniqueName="[CAPEX].[Стапка на амортизација].[All]" dimensionUniqueName="[CAPEX]" displayFolder="" count="0" memberValueDatatype="5" unbalanced="0"/>
    <cacheHierarchy uniqueName="[CAPEX].[Конто Средства]" caption="Конто Средства" attribute="1" defaultMemberUniqueName="[CAPEX].[Конто Средства].[All]" allUniqueName="[CAPEX].[Конто Средства].[All]" dimensionUniqueName="[CAPEX]" displayFolder="" count="0" memberValueDatatype="130" unbalanced="0"/>
    <cacheHierarchy uniqueName="[CAPEX].[Конто Амортизација]" caption="Конто Амортизација" attribute="1" defaultMemberUniqueName="[CAPEX].[Конто Амортизација].[All]" allUniqueName="[CAPEX].[Конто Амортизација].[All]" dimensionUniqueName="[CAPEX]" displayFolder="" count="0" memberValueDatatype="130" unbalanced="0"/>
    <cacheHierarchy uniqueName="[CAPEX].[Износ донација]" caption="Износ донација" attribute="1" defaultMemberUniqueName="[CAPEX].[Износ донација].[All]" allUniqueName="[CAPEX].[Износ донација].[All]" dimensionUniqueName="[CAPEX]" displayFolder="" count="0" memberValueDatatype="20" unbalanced="0"/>
    <cacheHierarchy uniqueName="[CAPEX].[Очекуван датум на плаќање (Year)]" caption="Очекуван датум на плаќање (Year)" attribute="1" defaultMemberUniqueName="[CAPEX].[Очекуван датум на плаќање (Year)].[All]" allUniqueName="[CAPEX].[Очекуван датум на плаќање (Year)].[All]" dimensionUniqueName="[CAPEX]" displayFolder="" count="0" memberValueDatatype="130" unbalanced="0"/>
    <cacheHierarchy uniqueName="[CAPEX].[Очекуван датум на плаќање (Quarter)]" caption="Очекуван датум на плаќање (Quarter)" attribute="1" defaultMemberUniqueName="[CAPEX].[Очекуван датум на плаќање (Quarter)].[All]" allUniqueName="[CAPEX].[Очекуван датум на плаќање (Quarter)].[All]" dimensionUniqueName="[CAPEX]" displayFolder="" count="0" memberValueDatatype="130" unbalanced="0"/>
    <cacheHierarchy uniqueName="[CAPEX].[Очекуван датум на плаќање (Month)]" caption="Очекуван датум на плаќање (Month)" attribute="1" defaultMemberUniqueName="[CAPEX].[Очекуван датум на плаќање (Month)].[All]" allUniqueName="[CAPEX].[Очекуван датум на плаќање (Month)].[All]" dimensionUniqueName="[CAPEX]" displayFolder="" count="0" memberValueDatatype="130" unbalanced="0"/>
    <cacheHierarchy uniqueName="[CAPEX].[Очекуван датум за ставање во употреба (месец) (Year)]" caption="Очекуван датум за ставање во употреба (месец) (Year)" attribute="1" defaultMemberUniqueName="[CAPEX].[Очекуван датум за ставање во употреба (месец) (Year)].[All]" allUniqueName="[CAPEX].[Очекуван датум за ставање во употреба (месец) (Year)].[All]" dimensionUniqueName="[CAPEX]" displayFolder="" count="0" memberValueDatatype="130" unbalanced="0"/>
    <cacheHierarchy uniqueName="[CAPEX].[Очекуван датум за ставање во употреба (месец) (Quarter)]" caption="Очекуван датум за ставање во употреба (месец) (Quarter)" attribute="1" defaultMemberUniqueName="[CAPEX].[Очекуван датум за ставање во употреба (месец) (Quarter)].[All]" allUniqueName="[CAPEX].[Очекуван датум за ставање во употреба (месец) (Quarter)].[All]" dimensionUniqueName="[CAPEX]" displayFolder="" count="0" memberValueDatatype="130" unbalanced="0"/>
    <cacheHierarchy uniqueName="[CAPEX].[Очекуван датум за ставање во употреба (месец) (Month)]" caption="Очекуван датум за ставање во употреба (месец) (Month)" attribute="1" defaultMemberUniqueName="[CAPEX].[Очекуван датум за ставање во употреба (месец) (Month)].[All]" allUniqueName="[CAPEX].[Очекуван датум за ставање во употреба (месец) (Month)].[All]" dimensionUniqueName="[CAPEX]" displayFolder="" count="0" memberValueDatatype="130" unbalanced="0"/>
    <cacheHierarchy uniqueName="[fActualAndBudget].[Конто]" caption="Конто" attribute="1" defaultMemberUniqueName="[fActualAndBudget].[Конто].[All]" allUniqueName="[fActualAndBudget].[Конто].[All]" dimensionUniqueName="[fActualAndBudget]" displayFolder="" count="0" memberValueDatatype="130" unbalanced="0"/>
    <cacheHierarchy uniqueName="[fActualAndBudget].[Назив на конто]" caption="Назив на конто" attribute="1" defaultMemberUniqueName="[fActualAndBudget].[Назив на конто].[All]" allUniqueName="[fActualAndBudget].[Назив на конто].[All]" dimensionUniqueName="[fActualAndBudget]" displayFolder="" count="0" memberValueDatatype="130" unbalanced="0"/>
    <cacheHierarchy uniqueName="[fActualAndBudget].[Период]" caption="Период" attribute="1" time="1" defaultMemberUniqueName="[fActualAndBudget].[Период].[All]" allUniqueName="[fActualAndBudget].[Период].[All]" dimensionUniqueName="[fActualAndBudget]" displayFolder="" count="0" memberValueDatatype="7" unbalanced="0"/>
    <cacheHierarchy uniqueName="[fActualAndBudget].[Износ1]" caption="Износ1" attribute="1" defaultMemberUniqueName="[fActualAndBudget].[Износ1].[All]" allUniqueName="[fActualAndBudget].[Износ1].[All]" dimensionUniqueName="[fActualAndBudget]" displayFolder="" count="0" memberValueDatatype="20" unbalanced="0"/>
    <cacheHierarchy uniqueName="[fActualAndBudget].[ReportType]" caption="ReportType" attribute="1" defaultMemberUniqueName="[fActualAndBudget].[ReportType].[All]" allUniqueName="[fActualAndBudget].[ReportType].[All]" dimensionUniqueName="[fActualAndBudget]" displayFolder="" count="2" memberValueDatatype="130" unbalanced="0"/>
    <cacheHierarchy uniqueName="[fActualAndBudget].[Ставка]" caption="Ставка" attribute="1" defaultMemberUniqueName="[fActualAndBudget].[Ставка].[All]" allUniqueName="[fActualAndBudget].[Ставка].[All]" dimensionUniqueName="[fActualAndBudget]" displayFolder="" count="0" memberValueDatatype="130" unbalanced="0"/>
    <cacheHierarchy uniqueName="[fActualAndBudget].[Број на јавна набавка (план)]" caption="Број на јавна набавка (план)" attribute="1" defaultMemberUniqueName="[fActualAndBudget].[Број на јавна набавка (план)].[All]" allUniqueName="[fActualAndBudget].[Број на јавна набавка (план)].[All]" dimensionUniqueName="[fActualAndBudget]" displayFolder="" count="0" memberValueDatatype="130" unbalanced="0"/>
    <cacheHierarchy uniqueName="[fActualAndBudget].[StavkaImeMK]" caption="StavkaImeMK" attribute="1" defaultMemberUniqueName="[fActualAndBudget].[StavkaImeMK].[All]" allUniqueName="[fActualAndBudget].[StavkaImeMK].[All]" dimensionUniqueName="[fActualAndBudget]" displayFolder="" count="0" memberValueDatatype="130" unbalanced="0"/>
    <cacheHierarchy uniqueName="[fActualAndBudget].[StavkaGrupa]" caption="StavkaGrupa" attribute="1" defaultMemberUniqueName="[fActualAndBudget].[StavkaGrupa].[All]" allUniqueName="[fActualAndBudget].[StavkaGrupa].[All]" dimensionUniqueName="[fActualAndBudget]" displayFolder="" count="0" memberValueDatatype="130" unbalanced="0"/>
    <cacheHierarchy uniqueName="[fActualAndBudget].[StavkaKategorija]" caption="StavkaKategorija" attribute="1" defaultMemberUniqueName="[fActualAndBudget].[StavkaKategorija].[All]" allUniqueName="[fActualAndBudget].[StavkaKategorija].[All]" dimensionUniqueName="[fActualAndBudget]" displayFolder="" count="0" memberValueDatatype="130" unbalanced="0"/>
    <cacheHierarchy uniqueName="[fActualAndBudget].[ZnakIzvestaj]" caption="ZnakIzvestaj" attribute="1" defaultMemberUniqueName="[fActualAndBudget].[ZnakIzvestaj].[All]" allUniqueName="[fActualAndBudget].[ZnakIzvestaj].[All]" dimensionUniqueName="[fActualAndBudget]" displayFolder="" count="0" memberValueDatatype="20" unbalanced="0"/>
    <cacheHierarchy uniqueName="[fActualAndBudget].[ObrazecID]" caption="ObrazecID" attribute="1" defaultMemberUniqueName="[fActualAndBudget].[ObrazecID].[All]" allUniqueName="[fActualAndBudget].[ObrazecID].[All]" dimensionUniqueName="[fActualAndBudget]" displayFolder="" count="0" memberValueDatatype="20" unbalanced="0"/>
    <cacheHierarchy uniqueName="[fActualAndBudget].[StavkaAOP]" caption="StavkaAOP" attribute="1" defaultMemberUniqueName="[fActualAndBudget].[StavkaAOP].[All]" allUniqueName="[fActualAndBudget].[StavkaAOP].[All]" dimensionUniqueName="[fActualAndBudget]" displayFolder="" count="0" memberValueDatatype="130" unbalanced="0"/>
    <cacheHierarchy uniqueName="[fActualAndBudget].[ObrazecIme]" caption="ObrazecIme" attribute="1" defaultMemberUniqueName="[fActualAndBudget].[ObrazecIme].[All]" allUniqueName="[fActualAndBudget].[ObrazecIme].[All]" dimensionUniqueName="[fActualAndBudget]" displayFolder="" count="0" memberValueDatatype="130" unbalanced="0"/>
    <cacheHierarchy uniqueName="[fActualAndBudget].[Износ]" caption="Износ" attribute="1" defaultMemberUniqueName="[fActualAndBudget].[Износ].[All]" allUniqueName="[fActualAndBudget].[Износ].[All]" dimensionUniqueName="[fActualAndBudget]" displayFolder="" count="0" memberValueDatatype="20" unbalanced="0"/>
    <cacheHierarchy uniqueName="[fActualAndBudget].[Износ (илјади)]" caption="Износ (илјади)" attribute="1" defaultMemberUniqueName="[fActualAndBudget].[Износ (илјади)].[All]" allUniqueName="[fActualAndBudget].[Износ (илјади)].[All]" dimensionUniqueName="[fActualAndBudget]" displayFolder="" count="0" memberValueDatatype="5" unbalanced="0"/>
    <cacheHierarchy uniqueName="[fActualAndBudget].[StavkaImeAOP]" caption="StavkaImeAOP" attribute="1" defaultMemberUniqueName="[fActualAndBudget].[StavkaImeAOP].[All]" allUniqueName="[fActualAndBudget].[StavkaImeAOP].[All]" dimensionUniqueName="[fActualAndBudget]" displayFolder="" count="0" memberValueDatatype="130" unbalanced="0"/>
    <cacheHierarchy uniqueName="[fActualAndBudget].[Конто Ставка]" caption="Конто Ставка" attribute="1" defaultMemberUniqueName="[fActualAndBudget].[Конто Ставка].[All]" allUniqueName="[fActualAndBudget].[Конто Ставка].[All]" dimensionUniqueName="[fActualAndBudget]" displayFolder="" count="0" memberValueDatatype="130" unbalanced="0"/>
    <cacheHierarchy uniqueName="[fArtikliCeni].[Ставка]" caption="Ставка" attribute="1" defaultMemberUniqueName="[fArtikliCeni].[Ставка].[All]" allUniqueName="[fArtikliCeni].[Ставка].[All]" dimensionUniqueName="[fArtikliCeni]" displayFolder="" count="0" memberValueDatatype="130" unbalanced="0"/>
    <cacheHierarchy uniqueName="[fArtikliCeni].[Категорија Артикл]" caption="Категорија Артикл" attribute="1" defaultMemberUniqueName="[fArtikliCeni].[Категорија Артикл].[All]" allUniqueName="[fArtikliCeni].[Категорија Артикл].[All]" dimensionUniqueName="[fArtikliCeni]" displayFolder="" count="0" memberValueDatatype="130" unbalanced="0"/>
    <cacheHierarchy uniqueName="[fArtikliCeni].[Тип на артикл]" caption="Тип на артикл" attribute="1" defaultMemberUniqueName="[fArtikliCeni].[Тип на артикл].[All]" allUniqueName="[fArtikliCeni].[Тип на артикл].[All]" dimensionUniqueName="[fArtikliCeni]" displayFolder="" count="0" memberValueDatatype="130" unbalanced="0"/>
    <cacheHierarchy uniqueName="[fArtikliCeni].[Единечна мерка]" caption="Единечна мерка" attribute="1" defaultMemberUniqueName="[fArtikliCeni].[Единечна мерка].[All]" allUniqueName="[fArtikliCeni].[Единечна мерка].[All]" dimensionUniqueName="[fArtikliCeni]" displayFolder="" count="0" memberValueDatatype="130" unbalanced="0"/>
    <cacheHierarchy uniqueName="[fArtikliCeni].[Количина]" caption="Количина" attribute="1" defaultMemberUniqueName="[fArtikliCeni].[Количина].[All]" allUniqueName="[fArtikliCeni].[Количина].[All]" dimensionUniqueName="[fArtikliCeni]" displayFolder="" count="0" memberValueDatatype="5" unbalanced="0"/>
    <cacheHierarchy uniqueName="[fArtikliCeni].[Единечна цена]" caption="Единечна цена" attribute="1" defaultMemberUniqueName="[fArtikliCeni].[Единечна цена].[All]" allUniqueName="[fArtikliCeni].[Единечна цена].[All]" dimensionUniqueName="[fArtikliCeni]" displayFolder="" count="0" memberValueDatatype="20" unbalanced="0"/>
    <cacheHierarchy uniqueName="[fArtikliCeni].[Вкупно трошок]" caption="Вкупно трошок" attribute="1" defaultMemberUniqueName="[fArtikliCeni].[Вкупно трошок].[All]" allUniqueName="[fArtikliCeni].[Вкупно трошок].[All]" dimensionUniqueName="[fArtikliCeni]" displayFolder="" count="0" memberValueDatatype="5" unbalanced="0"/>
    <cacheHierarchy uniqueName="[fArtikliCeni].[ДДВ]" caption="ДДВ" attribute="1" defaultMemberUniqueName="[fArtikliCeni].[ДДВ].[All]" allUniqueName="[fArtikliCeni].[ДДВ].[All]" dimensionUniqueName="[fArtikliCeni]" displayFolder="" count="0" memberValueDatatype="5" unbalanced="0"/>
    <cacheHierarchy uniqueName="[fArtikliCeni].[Износ]" caption="Износ" attribute="1" defaultMemberUniqueName="[fArtikliCeni].[Износ].[All]" allUniqueName="[fArtikliCeni].[Износ].[All]" dimensionUniqueName="[fArtikliCeni]" displayFolder="" count="0" memberValueDatatype="5" unbalanced="0"/>
    <cacheHierarchy uniqueName="[fArtikliCeni].[Конто]" caption="Конто" attribute="1" defaultMemberUniqueName="[fArtikliCeni].[Конто].[All]" allUniqueName="[fArtikliCeni].[Конто].[All]" dimensionUniqueName="[fArtikliCeni]" displayFolder="" count="0" memberValueDatatype="130" unbalanced="0"/>
    <cacheHierarchy uniqueName="[fArtikliCeni].[ReportType]" caption="ReportType" attribute="1" defaultMemberUniqueName="[fArtikliCeni].[ReportType].[All]" allUniqueName="[fArtikliCeni].[ReportType].[All]" dimensionUniqueName="[fArtikliCeni]" displayFolder="" count="0" memberValueDatatype="130" unbalanced="0"/>
    <cacheHierarchy uniqueName="[fArtikliCeni].[Период]" caption="Период" attribute="1" time="1" defaultMemberUniqueName="[fArtikliCeni].[Период].[All]" allUniqueName="[fArtikliCeni].[Период].[All]" dimensionUniqueName="[fArtikliCeni]" displayFolder="" count="0" memberValueDatatype="7" unbalanced="0"/>
    <cacheHierarchy uniqueName="[fArtikliCeni].[StavkaImeMK]" caption="StavkaImeMK" attribute="1" defaultMemberUniqueName="[fArtikliCeni].[StavkaImeMK].[All]" allUniqueName="[fArtikliCeni].[StavkaImeMK].[All]" dimensionUniqueName="[fArtikliCeni]" displayFolder="" count="0" memberValueDatatype="130" unbalanced="0"/>
    <cacheHierarchy uniqueName="[fArtikliCeni].[StavkaAOP]" caption="StavkaAOP" attribute="1" defaultMemberUniqueName="[fArtikliCeni].[StavkaAOP].[All]" allUniqueName="[fArtikliCeni].[StavkaAOP].[All]" dimensionUniqueName="[fArtikliCeni]" displayFolder="" count="0" memberValueDatatype="130" unbalanced="0"/>
    <cacheHierarchy uniqueName="[fArtikliCeni].[StavkaGrupa]" caption="StavkaGrupa" attribute="1" defaultMemberUniqueName="[fArtikliCeni].[StavkaGrupa].[All]" allUniqueName="[fArtikliCeni].[StavkaGrupa].[All]" dimensionUniqueName="[fArtikliCeni]" displayFolder="" count="0" memberValueDatatype="130" unbalanced="0"/>
    <cacheHierarchy uniqueName="[fArtikliCeni].[StavkaKategorija]" caption="StavkaKategorija" attribute="1" defaultMemberUniqueName="[fArtikliCeni].[StavkaKategorija].[All]" allUniqueName="[fArtikliCeni].[StavkaKategorija].[All]" dimensionUniqueName="[fArtikliCeni]" displayFolder="" count="0" memberValueDatatype="130" unbalanced="0"/>
    <cacheHierarchy uniqueName="[fArtikliCeni].[ObrazecIme]" caption="ObrazecIme" attribute="1" defaultMemberUniqueName="[fArtikliCeni].[ObrazecIme].[All]" allUniqueName="[fArtikliCeni].[ObrazecIme].[All]" dimensionUniqueName="[fArtikliCeni]" displayFolder="" count="0" memberValueDatatype="130" unbalanced="0"/>
    <cacheHierarchy uniqueName="[fCoveckiResursi].[Ставка]" caption="Ставка" attribute="1" defaultMemberUniqueName="[fCoveckiResursi].[Ставка].[All]" allUniqueName="[fCoveckiResursi].[Ставка].[All]" dimensionUniqueName="[fCoveckiResursi]" displayFolder="" count="0" memberValueDatatype="130" unbalanced="0"/>
    <cacheHierarchy uniqueName="[fCoveckiResursi].[Тип на вработување]" caption="Тип на вработување" attribute="1" defaultMemberUniqueName="[fCoveckiResursi].[Тип на вработување].[All]" allUniqueName="[fCoveckiResursi].[Тип на вработување].[All]" dimensionUniqueName="[fCoveckiResursi]" displayFolder="" count="0" memberValueDatatype="130" unbalanced="0"/>
    <cacheHierarchy uniqueName="[fCoveckiResursi].[Планиран прилив/(одлив)]" caption="Планиран прилив/(одлив)" attribute="1" defaultMemberUniqueName="[fCoveckiResursi].[Планиран прилив/(одлив)].[All]" allUniqueName="[fCoveckiResursi].[Планиран прилив/(одлив)].[All]" dimensionUniqueName="[fCoveckiResursi]" displayFolder="" count="0" memberValueDatatype="20" unbalanced="0"/>
    <cacheHierarchy uniqueName="[fCoveckiResursi].[Период]" caption="Период" attribute="1" time="1" defaultMemberUniqueName="[fCoveckiResursi].[Период].[All]" allUniqueName="[fCoveckiResursi].[Период].[All]" dimensionUniqueName="[fCoveckiResursi]" displayFolder="" count="0" memberValueDatatype="7" unbalanced="0"/>
    <cacheHierarchy uniqueName="[fCoveckiResursi].[Крајна состојба вработени]" caption="Крајна состојба вработени" attribute="1" defaultMemberUniqueName="[fCoveckiResursi].[Крајна состојба вработени].[All]" allUniqueName="[fCoveckiResursi].[Крајна состојба вработени].[All]" dimensionUniqueName="[fCoveckiResursi]" displayFolder="" count="0" memberValueDatatype="20" unbalanced="0"/>
    <cacheHierarchy uniqueName="[fCoveckiResursi].[Износ]" caption="Износ" attribute="1" defaultMemberUniqueName="[fCoveckiResursi].[Износ].[All]" allUniqueName="[fCoveckiResursi].[Износ].[All]" dimensionUniqueName="[fCoveckiResursi]" displayFolder="" count="0" memberValueDatatype="20" unbalanced="0"/>
    <cacheHierarchy uniqueName="[fCoveckiResursi].[Конто]" caption="Конто" attribute="1" defaultMemberUniqueName="[fCoveckiResursi].[Конто].[All]" allUniqueName="[fCoveckiResursi].[Конто].[All]" dimensionUniqueName="[fCoveckiResursi]" displayFolder="" count="0" memberValueDatatype="130" unbalanced="0"/>
    <cacheHierarchy uniqueName="[fCoveckiResursi].[ReportType]" caption="ReportType" attribute="1" defaultMemberUniqueName="[fCoveckiResursi].[ReportType].[All]" allUniqueName="[fCoveckiResursi].[ReportType].[All]" dimensionUniqueName="[fCoveckiResursi]" displayFolder="" count="0" memberValueDatatype="130" unbalanced="0"/>
    <cacheHierarchy uniqueName="[fCoveckiResursi].[Период (Year)]" caption="Период (Year)" attribute="1" defaultMemberUniqueName="[fCoveckiResursi].[Период (Year)].[All]" allUniqueName="[fCoveckiResursi].[Период (Year)].[All]" dimensionUniqueName="[fCoveckiResursi]" displayFolder="" count="0" memberValueDatatype="130" unbalanced="0"/>
    <cacheHierarchy uniqueName="[fCoveckiResursi].[Период (Quarter)]" caption="Период (Quarter)" attribute="1" defaultMemberUniqueName="[fCoveckiResursi].[Период (Quarter)].[All]" allUniqueName="[fCoveckiResursi].[Период (Quarter)].[All]" dimensionUniqueName="[fCoveckiResursi]" displayFolder="" count="0" memberValueDatatype="130" unbalanced="0"/>
    <cacheHierarchy uniqueName="[fCoveckiResursi].[Период (Month)]" caption="Период (Month)" attribute="1" defaultMemberUniqueName="[fCoveckiResursi].[Период (Month)].[All]" allUniqueName="[fCoveckiResursi].[Период (Month)].[All]" dimensionUniqueName="[fCoveckiResursi]" displayFolder="" count="0" memberValueDatatype="130" unbalanced="0"/>
    <cacheHierarchy uniqueName="[fCoveckiResursi].[Период (Year) 1]" caption="Период (Year) 1" attribute="1" defaultMemberUniqueName="[fCoveckiResursi].[Период (Year) 1].[All]" allUniqueName="[fCoveckiResursi].[Период (Year) 1].[All]" dimensionUniqueName="[fCoveckiResursi]" displayFolder="" count="0" memberValueDatatype="130" unbalanced="0"/>
    <cacheHierarchy uniqueName="[fCoveckiResursi].[Период (Quarter) 1]" caption="Период (Quarter) 1" attribute="1" defaultMemberUniqueName="[fCoveckiResursi].[Период (Quarter) 1].[All]" allUniqueName="[fCoveckiResursi].[Период (Quarter) 1].[All]" dimensionUniqueName="[fCoveckiResursi]" displayFolder="" count="0" memberValueDatatype="130" unbalanced="0"/>
    <cacheHierarchy uniqueName="[fCoveckiResursi].[Период (Month) 1]" caption="Период (Month) 1" attribute="1" defaultMemberUniqueName="[fCoveckiResursi].[Период (Month) 1].[All]" allUniqueName="[fCoveckiResursi].[Период (Month) 1].[All]" dimensionUniqueName="[fCoveckiResursi]" displayFolder="" count="0" memberValueDatatype="130" unbalanced="0"/>
    <cacheHierarchy uniqueName="[fCoveckiResursi  2].[Ставка]" caption="Ставка" attribute="1" defaultMemberUniqueName="[fCoveckiResursi  2].[Ставка].[All]" allUniqueName="[fCoveckiResursi  2].[Ставка].[All]" dimensionUniqueName="[fCoveckiResursi  2]" displayFolder="" count="0" memberValueDatatype="130" unbalanced="0"/>
    <cacheHierarchy uniqueName="[fCoveckiResursi  2].[Период]" caption="Период" attribute="1" time="1" defaultMemberUniqueName="[fCoveckiResursi  2].[Период].[All]" allUniqueName="[fCoveckiResursi  2].[Период].[All]" dimensionUniqueName="[fCoveckiResursi  2]" displayFolder="" count="0" memberValueDatatype="7" unbalanced="0"/>
    <cacheHierarchy uniqueName="[fCoveckiResursi  2].[Износ]" caption="Износ" attribute="1" defaultMemberUniqueName="[fCoveckiResursi  2].[Износ].[All]" allUniqueName="[fCoveckiResursi  2].[Износ].[All]" dimensionUniqueName="[fCoveckiResursi  2]" displayFolder="" count="0" memberValueDatatype="20" unbalanced="0"/>
    <cacheHierarchy uniqueName="[fCoveckiResursi  2].[Конто]" caption="Конто" attribute="1" defaultMemberUniqueName="[fCoveckiResursi  2].[Конто].[All]" allUniqueName="[fCoveckiResursi  2].[Конто].[All]" dimensionUniqueName="[fCoveckiResursi  2]" displayFolder="" count="0" memberValueDatatype="130" unbalanced="0"/>
    <cacheHierarchy uniqueName="[fCoveckiResursi  2].[ReportType]" caption="ReportType" attribute="1" defaultMemberUniqueName="[fCoveckiResursi  2].[ReportType].[All]" allUniqueName="[fCoveckiResursi  2].[ReportType].[All]" dimensionUniqueName="[fCoveckiResursi  2]" displayFolder="" count="0" memberValueDatatype="130" unbalanced="0"/>
    <cacheHierarchy uniqueName="[fCoveckiResursi  2].[StavkaImeMK]" caption="StavkaImeMK" attribute="1" defaultMemberUniqueName="[fCoveckiResursi  2].[StavkaImeMK].[All]" allUniqueName="[fCoveckiResursi  2].[StavkaImeMK].[All]" dimensionUniqueName="[fCoveckiResursi  2]" displayFolder="" count="0" memberValueDatatype="130" unbalanced="0"/>
    <cacheHierarchy uniqueName="[fCoveckiResursi  2].[StavkaKategorija]" caption="StavkaKategorija" attribute="1" defaultMemberUniqueName="[fCoveckiResursi  2].[StavkaKategorija].[All]" allUniqueName="[fCoveckiResursi  2].[StavkaKategorija].[All]" dimensionUniqueName="[fCoveckiResursi  2]" displayFolder="" count="0" memberValueDatatype="130" unbalanced="0"/>
    <cacheHierarchy uniqueName="[fCoveckiResursi  2].[ObrazecIme]" caption="ObrazecIme" attribute="1" defaultMemberUniqueName="[fCoveckiResursi  2].[ObrazecIme].[All]" allUniqueName="[fCoveckiResursi  2].[ObrazecIme].[All]" dimensionUniqueName="[fCoveckiResursi  2]" displayFolder="" count="0" memberValueDatatype="130" unbalanced="0"/>
    <cacheHierarchy uniqueName="[fOPEX].[Конто]" caption="Конто" attribute="1" defaultMemberUniqueName="[fOPEX].[Конто].[All]" allUniqueName="[fOPEX].[Конто].[All]" dimensionUniqueName="[fOPEX]" displayFolder="" count="0" memberValueDatatype="130" unbalanced="0"/>
    <cacheHierarchy uniqueName="[fOPEX].[Ставка]" caption="Ставка" attribute="1" defaultMemberUniqueName="[fOPEX].[Ставка].[All]" allUniqueName="[fOPEX].[Ставка].[All]" dimensionUniqueName="[fOPEX]" displayFolder="" count="0" memberValueDatatype="130" unbalanced="0"/>
    <cacheHierarchy uniqueName="[fOPEX].[Период]" caption="Период" attribute="1" time="1" defaultMemberUniqueName="[fOPEX].[Период].[All]" allUniqueName="[fOPEX].[Период].[All]" dimensionUniqueName="[fOPEX]" displayFolder="" count="0" memberValueDatatype="7" unbalanced="0"/>
    <cacheHierarchy uniqueName="[fOPEX].[Износ]" caption="Износ" attribute="1" defaultMemberUniqueName="[fOPEX].[Износ].[All]" allUniqueName="[fOPEX].[Износ].[All]" dimensionUniqueName="[fOPEX]" displayFolder="" count="0" memberValueDatatype="20" unbalanced="0"/>
    <cacheHierarchy uniqueName="[fOPEX].[ReportType]" caption="ReportType" attribute="1" defaultMemberUniqueName="[fOPEX].[ReportType].[All]" allUniqueName="[fOPEX].[ReportType].[All]" dimensionUniqueName="[fOPEX]" displayFolder="" count="0" memberValueDatatype="130" unbalanced="0"/>
    <cacheHierarchy uniqueName="[OPEXAnaliza].[Артикл ИД]" caption="Артикл ИД" attribute="1" defaultMemberUniqueName="[OPEXAnaliza].[Артикл ИД].[All]" allUniqueName="[OPEXAnaliza].[Артикл ИД].[All]" dimensionUniqueName="[OPEXAnaliza]" displayFolder="" count="0" memberValueDatatype="20" unbalanced="0"/>
    <cacheHierarchy uniqueName="[OPEXAnaliza].[Ставка]" caption="Ставка" attribute="1" defaultMemberUniqueName="[OPEXAnaliza].[Ставка].[All]" allUniqueName="[OPEXAnaliza].[Ставка].[All]" dimensionUniqueName="[OPEXAnaliza]" displayFolder="" count="0" memberValueDatatype="130" unbalanced="0"/>
    <cacheHierarchy uniqueName="[OPEXAnaliza].[Категорија Артикл ИД]" caption="Категорија Артикл ИД" attribute="1" defaultMemberUniqueName="[OPEXAnaliza].[Категорија Артикл ИД].[All]" allUniqueName="[OPEXAnaliza].[Категорија Артикл ИД].[All]" dimensionUniqueName="[OPEXAnaliza]" displayFolder="" count="0" memberValueDatatype="20" unbalanced="0"/>
    <cacheHierarchy uniqueName="[OPEXAnaliza].[Категорија Артикл]" caption="Категорија Артикл" attribute="1" defaultMemberUniqueName="[OPEXAnaliza].[Категорија Артикл].[All]" allUniqueName="[OPEXAnaliza].[Категорија Артикл].[All]" dimensionUniqueName="[OPEXAnaliza]" displayFolder="" count="0" memberValueDatatype="130" unbalanced="0"/>
    <cacheHierarchy uniqueName="[OPEXAnaliza].[Тип на артикл]" caption="Тип на артикл" attribute="1" defaultMemberUniqueName="[OPEXAnaliza].[Тип на артикл].[All]" allUniqueName="[OPEXAnaliza].[Тип на артикл].[All]" dimensionUniqueName="[OPEXAnaliza]" displayFolder="" count="0" memberValueDatatype="130" unbalanced="0"/>
    <cacheHierarchy uniqueName="[OPEXAnaliza].[Единечна мерка]" caption="Единечна мерка" attribute="1" defaultMemberUniqueName="[OPEXAnaliza].[Единечна мерка].[All]" allUniqueName="[OPEXAnaliza].[Единечна мерка].[All]" dimensionUniqueName="[OPEXAnaliza]" displayFolder="" count="0" memberValueDatatype="130" unbalanced="0"/>
    <cacheHierarchy uniqueName="[OPEXAnaliza].[Количина]" caption="Количина" attribute="1" defaultMemberUniqueName="[OPEXAnaliza].[Количина].[All]" allUniqueName="[OPEXAnaliza].[Количина].[All]" dimensionUniqueName="[OPEXAnaliza]" displayFolder="" count="0" memberValueDatatype="5" unbalanced="0"/>
    <cacheHierarchy uniqueName="[OPEXAnaliza].[Единечна цена]" caption="Единечна цена" attribute="1" defaultMemberUniqueName="[OPEXAnaliza].[Единечна цена].[All]" allUniqueName="[OPEXAnaliza].[Единечна цена].[All]" dimensionUniqueName="[OPEXAnaliza]" displayFolder="" count="0" memberValueDatatype="20" unbalanced="0"/>
    <cacheHierarchy uniqueName="[OPEXAnaliza].[Износ]" caption="Износ" attribute="1" defaultMemberUniqueName="[OPEXAnaliza].[Износ].[All]" allUniqueName="[OPEXAnaliza].[Износ].[All]" dimensionUniqueName="[OPEXAnaliza]" displayFolder="" count="0" memberValueDatatype="5" unbalanced="0"/>
    <cacheHierarchy uniqueName="[OPEXAnaliza].[ДДВ]" caption="ДДВ" attribute="1" defaultMemberUniqueName="[OPEXAnaliza].[ДДВ].[All]" allUniqueName="[OPEXAnaliza].[ДДВ].[All]" dimensionUniqueName="[OPEXAnaliza]" displayFolder="" count="0" memberValueDatatype="5" unbalanced="0"/>
    <cacheHierarchy uniqueName="[OPEXAnaliza].[Вкупно трошок со ДДВ]" caption="Вкупно трошок со ДДВ" attribute="1" defaultMemberUniqueName="[OPEXAnaliza].[Вкупно трошок со ДДВ].[All]" allUniqueName="[OPEXAnaliza].[Вкупно трошок со ДДВ].[All]" dimensionUniqueName="[OPEXAnaliza]" displayFolder="" count="0" memberValueDatatype="5" unbalanced="0"/>
    <cacheHierarchy uniqueName="[OPEXAnaliza].[Конто]" caption="Конто" attribute="1" defaultMemberUniqueName="[OPEXAnaliza].[Конто].[All]" allUniqueName="[OPEXAnaliza].[Конто].[All]" dimensionUniqueName="[OPEXAnaliza]" displayFolder="" count="0" memberValueDatatype="130" unbalanced="0"/>
    <cacheHierarchy uniqueName="[OPEXAnaliza].[Период]" caption="Период" attribute="1" time="1" defaultMemberUniqueName="[OPEXAnaliza].[Период].[All]" allUniqueName="[OPEXAnaliza].[Период].[All]" dimensionUniqueName="[OPEXAnaliza]" displayFolder="" count="0" memberValueDatatype="7" unbalanced="0"/>
    <cacheHierarchy uniqueName="[OPEXAnaliza].[ReportType]" caption="ReportType" attribute="1" defaultMemberUniqueName="[OPEXAnaliza].[ReportType].[All]" allUniqueName="[OPEXAnaliza].[ReportType].[All]" dimensionUniqueName="[OPEXAnaliza]" displayFolder="" count="0" memberValueDatatype="130" unbalanced="0"/>
    <cacheHierarchy uniqueName="[OPEXAnaliza].[StavkaImeMK]" caption="StavkaImeMK" attribute="1" defaultMemberUniqueName="[OPEXAnaliza].[StavkaImeMK].[All]" allUniqueName="[OPEXAnaliza].[StavkaImeMK].[All]" dimensionUniqueName="[OPEXAnaliza]" displayFolder="" count="0" memberValueDatatype="130" unbalanced="0"/>
    <cacheHierarchy uniqueName="[OPEXAnaliza].[StavkaKategorija]" caption="StavkaKategorija" attribute="1" defaultMemberUniqueName="[OPEXAnaliza].[StavkaKategorija].[All]" allUniqueName="[OPEXAnaliza].[StavkaKategorija].[All]" dimensionUniqueName="[OPEXAnaliza]" displayFolder="" count="0" memberValueDatatype="130" unbalanced="0"/>
    <cacheHierarchy uniqueName="[OPEXAnaliza].[ObrazecIme]" caption="ObrazecIme" attribute="1" defaultMemberUniqueName="[OPEXAnaliza].[ObrazecIme].[All]" allUniqueName="[OPEXAnaliza].[ObrazecIme].[All]" dimensionUniqueName="[OPEXAnaliza]" displayFolder="" count="0" memberValueDatatype="130" unbalanced="0"/>
    <cacheHierarchy uniqueName="[OPEXAnaliza].[StavkaImeAOP]" caption="StavkaImeAOP" attribute="1" defaultMemberUniqueName="[OPEXAnaliza].[StavkaImeAOP].[All]" allUniqueName="[OPEXAnaliza].[StavkaImeAOP].[All]" dimensionUniqueName="[OPEXAnaliza]" displayFolder="" count="0" memberValueDatatype="20" unbalanced="0"/>
    <cacheHierarchy uniqueName="[OPEXAnaliza].[Период (Year)]" caption="Период (Year)" attribute="1" defaultMemberUniqueName="[OPEXAnaliza].[Период (Year)].[All]" allUniqueName="[OPEXAnaliza].[Период (Year)].[All]" dimensionUniqueName="[OPEXAnaliza]" displayFolder="" count="0" memberValueDatatype="130" unbalanced="0"/>
    <cacheHierarchy uniqueName="[OPEXAnaliza].[Период (Quarter)]" caption="Период (Quarter)" attribute="1" defaultMemberUniqueName="[OPEXAnaliza].[Период (Quarter)].[All]" allUniqueName="[OPEXAnaliza].[Период (Quarter)].[All]" dimensionUniqueName="[OPEXAnaliza]" displayFolder="" count="0" memberValueDatatype="130" unbalanced="0"/>
    <cacheHierarchy uniqueName="[OPEXAnaliza].[Период (Month)]" caption="Период (Month)" attribute="1" defaultMemberUniqueName="[OPEXAnaliza].[Период (Month)].[All]" allUniqueName="[OPEXAnaliza].[Период (Month)].[All]" dimensionUniqueName="[OPEXAnaliza]" displayFolder="" count="0" memberValueDatatype="130" unbalanced="0"/>
    <cacheHierarchy uniqueName="[rArtikli_HR_Analiza].[Ставка]" caption="Ставка" attribute="1" defaultMemberUniqueName="[rArtikli_HR_Analiza].[Ставка].[All]" allUniqueName="[rArtikli_HR_Analiza].[Ставка].[All]" dimensionUniqueName="[rArtikli_HR_Analiza]" displayFolder="" count="0" memberValueDatatype="130" unbalanced="0"/>
    <cacheHierarchy uniqueName="[rArtikli_HR_Analiza].[Категорија Артикл]" caption="Категорија Артикл" attribute="1" defaultMemberUniqueName="[rArtikli_HR_Analiza].[Категорија Артикл].[All]" allUniqueName="[rArtikli_HR_Analiza].[Категорија Артикл].[All]" dimensionUniqueName="[rArtikli_HR_Analiza]" displayFolder="" count="0" memberValueDatatype="130" unbalanced="0"/>
    <cacheHierarchy uniqueName="[rArtikli_HR_Analiza].[Тип на артикл]" caption="Тип на артикл" attribute="1" defaultMemberUniqueName="[rArtikli_HR_Analiza].[Тип на артикл].[All]" allUniqueName="[rArtikli_HR_Analiza].[Тип на артикл].[All]" dimensionUniqueName="[rArtikli_HR_Analiza]" displayFolder="" count="0" memberValueDatatype="130" unbalanced="0"/>
    <cacheHierarchy uniqueName="[rArtikli_HR_Analiza].[Единечна мерка]" caption="Единечна мерка" attribute="1" defaultMemberUniqueName="[rArtikli_HR_Analiza].[Единечна мерка].[All]" allUniqueName="[rArtikli_HR_Analiza].[Единечна мерка].[All]" dimensionUniqueName="[rArtikli_HR_Analiza]" displayFolder="" count="0" memberValueDatatype="130" unbalanced="0"/>
    <cacheHierarchy uniqueName="[rArtikli_HR_Analiza].[Количина]" caption="Количина" attribute="1" defaultMemberUniqueName="[rArtikli_HR_Analiza].[Количина].[All]" allUniqueName="[rArtikli_HR_Analiza].[Количина].[All]" dimensionUniqueName="[rArtikli_HR_Analiza]" displayFolder="" count="0" memberValueDatatype="5" unbalanced="0"/>
    <cacheHierarchy uniqueName="[rArtikli_HR_Analiza].[Единечна цена]" caption="Единечна цена" attribute="1" defaultMemberUniqueName="[rArtikli_HR_Analiza].[Единечна цена].[All]" allUniqueName="[rArtikli_HR_Analiza].[Единечна цена].[All]" dimensionUniqueName="[rArtikli_HR_Analiza]" displayFolder="" count="0" memberValueDatatype="20" unbalanced="0"/>
    <cacheHierarchy uniqueName="[rArtikli_HR_Analiza].[Вкупно трошок]" caption="Вкупно трошок" attribute="1" defaultMemberUniqueName="[rArtikli_HR_Analiza].[Вкупно трошок].[All]" allUniqueName="[rArtikli_HR_Analiza].[Вкупно трошок].[All]" dimensionUniqueName="[rArtikli_HR_Analiza]" displayFolder="" count="0" memberValueDatatype="5" unbalanced="0"/>
    <cacheHierarchy uniqueName="[rArtikli_HR_Analiza].[ДДВ]" caption="ДДВ" attribute="1" defaultMemberUniqueName="[rArtikli_HR_Analiza].[ДДВ].[All]" allUniqueName="[rArtikli_HR_Analiza].[ДДВ].[All]" dimensionUniqueName="[rArtikli_HR_Analiza]" displayFolder="" count="0" memberValueDatatype="5" unbalanced="0"/>
    <cacheHierarchy uniqueName="[rArtikli_HR_Analiza].[Износ]" caption="Износ" attribute="1" defaultMemberUniqueName="[rArtikli_HR_Analiza].[Износ].[All]" allUniqueName="[rArtikli_HR_Analiza].[Износ].[All]" dimensionUniqueName="[rArtikli_HR_Analiza]" displayFolder="" count="0" memberValueDatatype="5" unbalanced="0"/>
    <cacheHierarchy uniqueName="[rArtikli_HR_Analiza].[Конто]" caption="Конто" attribute="1" defaultMemberUniqueName="[rArtikli_HR_Analiza].[Конто].[All]" allUniqueName="[rArtikli_HR_Analiza].[Конто].[All]" dimensionUniqueName="[rArtikli_HR_Analiza]" displayFolder="" count="0" memberValueDatatype="130" unbalanced="0"/>
    <cacheHierarchy uniqueName="[rArtikli_HR_Analiza].[ReportType]" caption="ReportType" attribute="1" defaultMemberUniqueName="[rArtikli_HR_Analiza].[ReportType].[All]" allUniqueName="[rArtikli_HR_Analiza].[ReportType].[All]" dimensionUniqueName="[rArtikli_HR_Analiza]" displayFolder="" count="0" memberValueDatatype="130" unbalanced="0"/>
    <cacheHierarchy uniqueName="[rArtikli_HR_Analiza].[Период]" caption="Период" attribute="1" time="1" defaultMemberUniqueName="[rArtikli_HR_Analiza].[Период].[All]" allUniqueName="[rArtikli_HR_Analiza].[Период].[All]" dimensionUniqueName="[rArtikli_HR_Analiza]" displayFolder="" count="0" memberValueDatatype="7" unbalanced="0"/>
    <cacheHierarchy uniqueName="[rArtikli_HR_Analiza].[StavkaImeMK]" caption="StavkaImeMK" attribute="1" defaultMemberUniqueName="[rArtikli_HR_Analiza].[StavkaImeMK].[All]" allUniqueName="[rArtikli_HR_Analiza].[StavkaImeMK].[All]" dimensionUniqueName="[rArtikli_HR_Analiza]" displayFolder="" count="0" memberValueDatatype="130" unbalanced="0"/>
    <cacheHierarchy uniqueName="[rArtikli_HR_Analiza].[StavkaAOP]" caption="StavkaAOP" attribute="1" defaultMemberUniqueName="[rArtikli_HR_Analiza].[StavkaAOP].[All]" allUniqueName="[rArtikli_HR_Analiza].[StavkaAOP].[All]" dimensionUniqueName="[rArtikli_HR_Analiza]" displayFolder="" count="0" memberValueDatatype="130" unbalanced="0"/>
    <cacheHierarchy uniqueName="[rArtikli_HR_Analiza].[StavkaGrupa]" caption="StavkaGrupa" attribute="1" defaultMemberUniqueName="[rArtikli_HR_Analiza].[StavkaGrupa].[All]" allUniqueName="[rArtikli_HR_Analiza].[StavkaGrupa].[All]" dimensionUniqueName="[rArtikli_HR_Analiza]" displayFolder="" count="0" memberValueDatatype="130" unbalanced="0"/>
    <cacheHierarchy uniqueName="[rArtikli_HR_Analiza].[StavkaKategorija]" caption="StavkaKategorija" attribute="1" defaultMemberUniqueName="[rArtikli_HR_Analiza].[StavkaKategorija].[All]" allUniqueName="[rArtikli_HR_Analiza].[StavkaKategorija].[All]" dimensionUniqueName="[rArtikli_HR_Analiza]" displayFolder="" count="0" memberValueDatatype="130" unbalanced="0"/>
    <cacheHierarchy uniqueName="[rArtikli_HR_Analiza].[ObrazecIme]" caption="ObrazecIme" attribute="1" defaultMemberUniqueName="[rArtikli_HR_Analiza].[ObrazecIme].[All]" allUniqueName="[rArtikli_HR_Analiza].[ObrazecIme].[All]" dimensionUniqueName="[rArtikli_HR_Analiza]" displayFolder="" count="0" memberValueDatatype="130" unbalanced="0"/>
    <cacheHierarchy uniqueName="[rArtikli_HR_Analiza].[StavkaKategorija.1]" caption="StavkaKategorija.1" attribute="1" defaultMemberUniqueName="[rArtikli_HR_Analiza].[StavkaKategorija.1].[All]" allUniqueName="[rArtikli_HR_Analiza].[StavkaKategorija.1].[All]" dimensionUniqueName="[rArtikli_HR_Analiza]" displayFolder="" count="0" memberValueDatatype="130" unbalanced="0"/>
    <cacheHierarchy uniqueName="[rArtikliAnaliza].[Артикл ИД]" caption="Артикл ИД" attribute="1" defaultMemberUniqueName="[rArtikliAnaliza].[Артикл ИД].[All]" allUniqueName="[rArtikliAnaliza].[Артикл ИД].[All]" dimensionUniqueName="[rArtikliAnaliza]" displayFolder="" count="0" memberValueDatatype="20" unbalanced="0"/>
    <cacheHierarchy uniqueName="[rArtikliAnaliza].[Ставка]" caption="Ставка" attribute="1" defaultMemberUniqueName="[rArtikliAnaliza].[Ставка].[All]" allUniqueName="[rArtikliAnaliza].[Ставка].[All]" dimensionUniqueName="[rArtikliAnaliza]" displayFolder="" count="0" memberValueDatatype="130" unbalanced="0"/>
    <cacheHierarchy uniqueName="[rArtikliAnaliza].[Категорија Артикл ИД]" caption="Категорија Артикл ИД" attribute="1" defaultMemberUniqueName="[rArtikliAnaliza].[Категорија Артикл ИД].[All]" allUniqueName="[rArtikliAnaliza].[Категорија Артикл ИД].[All]" dimensionUniqueName="[rArtikliAnaliza]" displayFolder="" count="0" memberValueDatatype="20" unbalanced="0"/>
    <cacheHierarchy uniqueName="[rArtikliAnaliza].[Категорија Артикл]" caption="Категорија Артикл" attribute="1" defaultMemberUniqueName="[rArtikliAnaliza].[Категорија Артикл].[All]" allUniqueName="[rArtikliAnaliza].[Категорија Артикл].[All]" dimensionUniqueName="[rArtikliAnaliza]" displayFolder="" count="0" memberValueDatatype="130" unbalanced="0"/>
    <cacheHierarchy uniqueName="[rArtikliAnaliza].[Тип на артикл]" caption="Тип на артикл" attribute="1" defaultMemberUniqueName="[rArtikliAnaliza].[Тип на артикл].[All]" allUniqueName="[rArtikliAnaliza].[Тип на артикл].[All]" dimensionUniqueName="[rArtikliAnaliza]" displayFolder="" count="0" memberValueDatatype="130" unbalanced="0"/>
    <cacheHierarchy uniqueName="[rArtikliAnaliza].[Единечна мерка]" caption="Единечна мерка" attribute="1" defaultMemberUniqueName="[rArtikliAnaliza].[Единечна мерка].[All]" allUniqueName="[rArtikliAnaliza].[Единечна мерка].[All]" dimensionUniqueName="[rArtikliAnaliza]" displayFolder="" count="0" memberValueDatatype="130" unbalanced="0"/>
    <cacheHierarchy uniqueName="[rArtikliAnaliza].[Количина]" caption="Количина" attribute="1" defaultMemberUniqueName="[rArtikliAnaliza].[Количина].[All]" allUniqueName="[rArtikliAnaliza].[Количина].[All]" dimensionUniqueName="[rArtikliAnaliza]" displayFolder="" count="0" memberValueDatatype="5" unbalanced="0"/>
    <cacheHierarchy uniqueName="[rArtikliAnaliza].[Единечна цена]" caption="Единечна цена" attribute="1" defaultMemberUniqueName="[rArtikliAnaliza].[Единечна цена].[All]" allUniqueName="[rArtikliAnaliza].[Единечна цена].[All]" dimensionUniqueName="[rArtikliAnaliza]" displayFolder="" count="0" memberValueDatatype="20" unbalanced="0"/>
    <cacheHierarchy uniqueName="[rArtikliAnaliza].[Износ]" caption="Износ" attribute="1" defaultMemberUniqueName="[rArtikliAnaliza].[Износ].[All]" allUniqueName="[rArtikliAnaliza].[Износ].[All]" dimensionUniqueName="[rArtikliAnaliza]" displayFolder="" count="0" memberValueDatatype="5" unbalanced="0"/>
    <cacheHierarchy uniqueName="[rArtikliAnaliza].[ДДВ]" caption="ДДВ" attribute="1" defaultMemberUniqueName="[rArtikliAnaliza].[ДДВ].[All]" allUniqueName="[rArtikliAnaliza].[ДДВ].[All]" dimensionUniqueName="[rArtikliAnaliza]" displayFolder="" count="0" memberValueDatatype="5" unbalanced="0"/>
    <cacheHierarchy uniqueName="[rArtikliAnaliza].[Вкупно трошок со ДДВ]" caption="Вкупно трошок со ДДВ" attribute="1" defaultMemberUniqueName="[rArtikliAnaliza].[Вкупно трошок со ДДВ].[All]" allUniqueName="[rArtikliAnaliza].[Вкупно трошок со ДДВ].[All]" dimensionUniqueName="[rArtikliAnaliza]" displayFolder="" count="0" memberValueDatatype="5" unbalanced="0"/>
    <cacheHierarchy uniqueName="[rArtikliAnaliza].[Конто]" caption="Конто" attribute="1" defaultMemberUniqueName="[rArtikliAnaliza].[Конто].[All]" allUniqueName="[rArtikliAnaliza].[Конто].[All]" dimensionUniqueName="[rArtikliAnaliza]" displayFolder="" count="0" memberValueDatatype="130" unbalanced="0"/>
    <cacheHierarchy uniqueName="[rArtikliAnaliza].[Период]" caption="Период" attribute="1" time="1" defaultMemberUniqueName="[rArtikliAnaliza].[Период].[All]" allUniqueName="[rArtikliAnaliza].[Период].[All]" dimensionUniqueName="[rArtikliAnaliza]" displayFolder="" count="0" memberValueDatatype="7" unbalanced="0"/>
    <cacheHierarchy uniqueName="[rArtikliAnaliza].[ReportType]" caption="ReportType" attribute="1" defaultMemberUniqueName="[rArtikliAnaliza].[ReportType].[All]" allUniqueName="[rArtikliAnaliza].[ReportType].[All]" dimensionUniqueName="[rArtikliAnaliza]" displayFolder="" count="0" memberValueDatatype="130" unbalanced="0"/>
    <cacheHierarchy uniqueName="[rArtikliAnaliza].[StavkaImeMK]" caption="StavkaImeMK" attribute="1" defaultMemberUniqueName="[rArtikliAnaliza].[StavkaImeMK].[All]" allUniqueName="[rArtikliAnaliza].[StavkaImeMK].[All]" dimensionUniqueName="[rArtikliAnaliza]" displayFolder="" count="0" memberValueDatatype="130" unbalanced="0"/>
    <cacheHierarchy uniqueName="[rArtikliAnaliza].[StavkaKategorija]" caption="StavkaKategorija" attribute="1" defaultMemberUniqueName="[rArtikliAnaliza].[StavkaKategorija].[All]" allUniqueName="[rArtikliAnaliza].[StavkaKategorija].[All]" dimensionUniqueName="[rArtikliAnaliza]" displayFolder="" count="0" memberValueDatatype="130" unbalanced="0"/>
    <cacheHierarchy uniqueName="[rArtikliAnaliza].[Период (Year)]" caption="Период (Year)" attribute="1" defaultMemberUniqueName="[rArtikliAnaliza].[Период (Year)].[All]" allUniqueName="[rArtikliAnaliza].[Период (Year)].[All]" dimensionUniqueName="[rArtikliAnaliza]" displayFolder="" count="0" memberValueDatatype="130" unbalanced="0"/>
    <cacheHierarchy uniqueName="[rArtikliAnaliza].[Период (Quarter)]" caption="Период (Quarter)" attribute="1" defaultMemberUniqueName="[rArtikliAnaliza].[Период (Quarter)].[All]" allUniqueName="[rArtikliAnaliza].[Период (Quarter)].[All]" dimensionUniqueName="[rArtikliAnaliza]" displayFolder="" count="0" memberValueDatatype="130" unbalanced="0"/>
    <cacheHierarchy uniqueName="[rArtikliAnaliza].[Период (Month)]" caption="Период (Month)" attribute="1" defaultMemberUniqueName="[rArtikliAnaliza].[Период (Month)].[All]" allUniqueName="[rArtikliAnaliza].[Период (Month)].[All]" dimensionUniqueName="[rArtikliAnaliza]" displayFolder="" count="0" memberValueDatatype="130" unbalanced="0"/>
    <cacheHierarchy uniqueName="[CAPEX].[Очекуван датум за ставање во употреба (месец) (Month Index)]" caption="Очекуван датум за ставање во употреба (месец) (Month Index)" attribute="1" defaultMemberUniqueName="[CAPEX].[Очекуван датум за ставање во употреба (месец) (Month Index)].[All]" allUniqueName="[CAPEX].[Очекуван датум за ставање во употреба (месец) (Month Index)].[All]" dimensionUniqueName="[CAPEX]" displayFolder="" count="0" memberValueDatatype="20" unbalanced="0" hidden="1"/>
    <cacheHierarchy uniqueName="[CAPEX].[Очекуван датум на плаќање (Month Index)]" caption="Очекуван датум на плаќање (Month Index)" attribute="1" defaultMemberUniqueName="[CAPEX].[Очекуван датум на плаќање (Month Index)].[All]" allUniqueName="[CAPEX].[Очекуван датум на плаќање (Month Index)].[All]" dimensionUniqueName="[CAPEX]" displayFolder="" count="0" memberValueDatatype="20" unbalanced="0" hidden="1"/>
    <cacheHierarchy uniqueName="[fActualAndBudget].[StavkaID]" caption="StavkaID" attribute="1" defaultMemberUniqueName="[fActualAndBudget].[StavkaID].[All]" allUniqueName="[fActualAndBudget].[StavkaID].[All]" dimensionUniqueName="[fActualAndBudget]" displayFolder="" count="0" memberValueDatatype="20" unbalanced="0" hidden="1"/>
    <cacheHierarchy uniqueName="[fCoveckiResursi].[Период (Month Index)]" caption="Период (Month Index)" attribute="1" defaultMemberUniqueName="[fCoveckiResursi].[Период (Month Index)].[All]" allUniqueName="[fCoveckiResursi].[Период (Month Index)].[All]" dimensionUniqueName="[fCoveckiResursi]" displayFolder="" count="0" memberValueDatatype="20" unbalanced="0" hidden="1"/>
    <cacheHierarchy uniqueName="[fCoveckiResursi].[Период (Month Index) 1]" caption="Период (Month Index) 1" attribute="1" defaultMemberUniqueName="[fCoveckiResursi].[Период (Month Index) 1].[All]" allUniqueName="[fCoveckiResursi].[Период (Month Index) 1].[All]" dimensionUniqueName="[fCoveckiResursi]" displayFolder="" count="0" memberValueDatatype="20" unbalanced="0" hidden="1"/>
    <cacheHierarchy uniqueName="[OPEXAnaliza].[Период (Month Index)]" caption="Период (Month Index)" attribute="1" defaultMemberUniqueName="[OPEXAnaliza].[Период (Month Index)].[All]" allUniqueName="[OPEXAnaliza].[Период (Month Index)].[All]" dimensionUniqueName="[OPEXAnaliza]" displayFolder="" count="0" memberValueDatatype="20" unbalanced="0" hidden="1"/>
    <cacheHierarchy uniqueName="[rArtikli_HR_Analiza].[Крајна состојба вработени]" caption="Крајна состојба вработени" attribute="1" defaultMemberUniqueName="[rArtikli_HR_Analiza].[Крајна состојба вработени].[All]" allUniqueName="[rArtikli_HR_Analiza].[Крајна состојба вработени].[All]" dimensionUniqueName="[rArtikli_HR_Analiza]" displayFolder="" count="0" memberValueDatatype="20" unbalanced="0" hidden="1"/>
    <cacheHierarchy uniqueName="[rArtikli_HR_Analiza].[Планиран прилив/(одлив)]" caption="Планиран прилив/(одлив)" attribute="1" defaultMemberUniqueName="[rArtikli_HR_Analiza].[Планиран прилив/(одлив)].[All]" allUniqueName="[rArtikli_HR_Analiza].[Планиран прилив/(одлив)].[All]" dimensionUniqueName="[rArtikli_HR_Analiza]" displayFolder="" count="0" memberValueDatatype="20" unbalanced="0" hidden="1"/>
    <cacheHierarchy uniqueName="[rArtikli_HR_Analiza].[Тип на вработување]" caption="Тип на вработување" attribute="1" defaultMemberUniqueName="[rArtikli_HR_Analiza].[Тип на вработување].[All]" allUniqueName="[rArtikli_HR_Analiza].[Тип на вработување].[All]" dimensionUniqueName="[rArtikli_HR_Analiza]" displayFolder="" count="0" memberValueDatatype="130" unbalanced="0" hidden="1"/>
    <cacheHierarchy uniqueName="[rArtikliAnaliza].[Период (Month Index)]" caption="Период (Month Index)" attribute="1" defaultMemberUniqueName="[rArtikliAnaliza].[Период (Month Index)].[All]" allUniqueName="[rArtikliAnaliza].[Период (Month Index)].[All]" dimensionUniqueName="[rArtikliAnaliza]" displayFolder="" count="0" memberValueDatatype="20" unbalanced="0" hidden="1"/>
    <cacheHierarchy uniqueName="[Measures].[__XL_Count Calendar]" caption="__XL_Count Calendar" measure="1" displayFolder="" measureGroup="Calendar" count="0" hidden="1"/>
    <cacheHierarchy uniqueName="[Measures].[__XL_Count CAPEX]" caption="__XL_Count CAPEX" measure="1" displayFolder="" measureGroup="CAPEX" count="0" hidden="1"/>
    <cacheHierarchy uniqueName="[Measures].[__XL_Count Amortizacija]" caption="__XL_Count Amortizacija" measure="1" displayFolder="" measureGroup="Amortizacija" count="0" hidden="1"/>
    <cacheHierarchy uniqueName="[Measures].[__XL_Count fCoveckiResursi]" caption="__XL_Count fCoveckiResursi" measure="1" displayFolder="" measureGroup="fCoveckiResursi" count="0" hidden="1"/>
    <cacheHierarchy uniqueName="[Measures].[__XL_Count fActualAndBudget]" caption="__XL_Count fActualAndBudget" measure="1" displayFolder="" measureGroup="fActualAndBudget" count="0" hidden="1"/>
    <cacheHierarchy uniqueName="[Measures].[__XL_Count fOPEX]" caption="__XL_Count fOPEX" measure="1" displayFolder="" measureGroup="fOPEX" count="0" hidden="1"/>
    <cacheHierarchy uniqueName="[Measures].[__XL_Count OPEXAnaliza]" caption="__XL_Count OPEXAnaliza" measure="1" displayFolder="" measureGroup="OPEXAnaliza" count="0" hidden="1"/>
    <cacheHierarchy uniqueName="[Measures].[__XL_Count rArtikliAnaliza]" caption="__XL_Count rArtikliAnaliza" measure="1" displayFolder="" measureGroup="rArtikliAnaliza" count="0" hidden="1"/>
    <cacheHierarchy uniqueName="[Measures].[__XL_Count fArtikliCeni]" caption="__XL_Count fArtikliCeni" measure="1" displayFolder="" measureGroup="fArtikliCeni" count="0" hidden="1"/>
    <cacheHierarchy uniqueName="[Measures].[__XL_Count rArtikli_HR_Analiza]" caption="__XL_Count rArtikli_HR_Analiza" measure="1" displayFolder="" measureGroup="rArtikli_HR_Analiza" count="0" hidden="1"/>
    <cacheHierarchy uniqueName="[Measures].[__XL_Count fCoveckiResursi  2]" caption="__XL_Count fCoveckiResursi  2" measure="1" displayFolder="" measureGroup="fCoveckiResursi  2" count="0" hidden="1"/>
    <cacheHierarchy uniqueName="[Measures].[__No measures defined]" caption="__No measures defined" measure="1" displayFolder="" count="0" hidden="1"/>
    <cacheHierarchy uniqueName="[Measures].[Sum of Износ 3]" caption="Sum of Износ 3" measure="1" displayFolder="" measureGroup="fCoveckiResursi" count="0" hidden="1">
      <extLst>
        <ext xmlns:x15="http://schemas.microsoft.com/office/spreadsheetml/2010/11/main" uri="{B97F6D7D-B522-45F9-BDA1-12C45D357490}">
          <x15:cacheHierarchy aggregatedColumn="71"/>
        </ext>
      </extLst>
    </cacheHierarchy>
    <cacheHierarchy uniqueName="[Measures].[Sum of Крајна состојба вработени]" caption="Sum of Крајна состојба вработени" measure="1" displayFolder="" measureGroup="fCoveckiResursi" count="0" hidden="1">
      <extLst>
        <ext xmlns:x15="http://schemas.microsoft.com/office/spreadsheetml/2010/11/main" uri="{B97F6D7D-B522-45F9-BDA1-12C45D357490}">
          <x15:cacheHierarchy aggregatedColumn="70"/>
        </ext>
      </extLst>
    </cacheHierarchy>
    <cacheHierarchy uniqueName="[Measures].[Sum of Планиран прилив/(одлив)]" caption="Sum of Планиран прилив/(одлив)" measure="1" displayFolder="" measureGroup="fCoveckiResursi" count="0" hidden="1">
      <extLst>
        <ext xmlns:x15="http://schemas.microsoft.com/office/spreadsheetml/2010/11/main" uri="{B97F6D7D-B522-45F9-BDA1-12C45D357490}">
          <x15:cacheHierarchy aggregatedColumn="68"/>
        </ext>
      </extLst>
    </cacheHierarchy>
    <cacheHierarchy uniqueName="[Measures].[Sum of Износ]" caption="Sum of Износ" measure="1" displayFolder="" measureGroup="fActualAndBudget" count="0" hidden="1">
      <extLst>
        <ext xmlns:x15="http://schemas.microsoft.com/office/spreadsheetml/2010/11/main" uri="{B97F6D7D-B522-45F9-BDA1-12C45D357490}">
          <x15:cacheHierarchy aggregatedColumn="45"/>
        </ext>
      </extLst>
    </cacheHierarchy>
    <cacheHierarchy uniqueName="[Measures].[Sum of Износ (илјади)]" caption="Sum of Износ (илјади)" measure="1" displayFolder="" measureGroup="fActualAndBudget" count="0" hidden="1">
      <extLst>
        <ext xmlns:x15="http://schemas.microsoft.com/office/spreadsheetml/2010/11/main" uri="{B97F6D7D-B522-45F9-BDA1-12C45D357490}">
          <x15:cacheHierarchy aggregatedColumn="46"/>
        </ext>
      </extLst>
    </cacheHierarchy>
    <cacheHierarchy uniqueName="[Measures].[Sum of Износ1]" caption="Sum of Износ1" measure="1" displayFolder="" measureGroup="fActualAndBudget" count="0" hidden="1">
      <extLst>
        <ext xmlns:x15="http://schemas.microsoft.com/office/spreadsheetml/2010/11/main" uri="{B97F6D7D-B522-45F9-BDA1-12C45D357490}">
          <x15:cacheHierarchy aggregatedColumn="34"/>
        </ext>
      </extLst>
    </cacheHierarchy>
    <cacheHierarchy uniqueName="[Measures].[Sum of Износ 2]" caption="Sum of Износ 2" measure="1" displayFolder="" measureGroup="Amortizacija" count="0" hidden="1">
      <extLst>
        <ext xmlns:x15="http://schemas.microsoft.com/office/spreadsheetml/2010/11/main" uri="{B97F6D7D-B522-45F9-BDA1-12C45D357490}">
          <x15:cacheHierarchy aggregatedColumn="3"/>
        </ext>
      </extLst>
    </cacheHierarchy>
    <cacheHierarchy uniqueName="[Measures].[Sum of Износ 4]" caption="Sum of Износ 4" measure="1" displayFolder="" measureGroup="OPEXAnaliza" count="0" hidden="1">
      <extLst>
        <ext xmlns:x15="http://schemas.microsoft.com/office/spreadsheetml/2010/11/main" uri="{B97F6D7D-B522-45F9-BDA1-12C45D357490}">
          <x15:cacheHierarchy aggregatedColumn="101"/>
        </ext>
      </extLst>
    </cacheHierarchy>
    <cacheHierarchy uniqueName="[Measures].[Sum of Износ донација]" caption="Sum of Износ донација" measure="1" displayFolder="" measureGroup="CAPEX" count="0" hidden="1">
      <extLst>
        <ext xmlns:x15="http://schemas.microsoft.com/office/spreadsheetml/2010/11/main" uri="{B97F6D7D-B522-45F9-BDA1-12C45D357490}">
          <x15:cacheHierarchy aggregatedColumn="24"/>
        </ext>
      </extLst>
    </cacheHierarchy>
    <cacheHierarchy uniqueName="[Measures].[Sum of Вкупно трошок]" caption="Sum of Вкупно трошок" measure="1" displayFolder="" measureGroup="fArtikliCeni" count="0" hidden="1">
      <extLst>
        <ext xmlns:x15="http://schemas.microsoft.com/office/spreadsheetml/2010/11/main" uri="{B97F6D7D-B522-45F9-BDA1-12C45D357490}">
          <x15:cacheHierarchy aggregatedColumn="55"/>
        </ext>
      </extLst>
    </cacheHierarchy>
    <cacheHierarchy uniqueName="[Measures].[Sum of Количина]" caption="Sum of Количина" measure="1" displayFolder="" measureGroup="fArtikliCeni" count="0" hidden="1">
      <extLst>
        <ext xmlns:x15="http://schemas.microsoft.com/office/spreadsheetml/2010/11/main" uri="{B97F6D7D-B522-45F9-BDA1-12C45D357490}">
          <x15:cacheHierarchy aggregatedColumn="53"/>
        </ext>
      </extLst>
    </cacheHierarchy>
    <cacheHierarchy uniqueName="[Measures].[Sum of Единечна цена]" caption="Sum of Единечна цена" measure="1" displayFolder="" measureGroup="fArtikliCeni" count="0" hidden="1">
      <extLst>
        <ext xmlns:x15="http://schemas.microsoft.com/office/spreadsheetml/2010/11/main" uri="{B97F6D7D-B522-45F9-BDA1-12C45D357490}">
          <x15:cacheHierarchy aggregatedColumn="54"/>
        </ext>
      </extLst>
    </cacheHierarchy>
    <cacheHierarchy uniqueName="[Measures].[Sum of ДДВ]" caption="Sum of ДДВ" measure="1" displayFolder="" measureGroup="fArtikliCeni" count="0" hidden="1">
      <extLst>
        <ext xmlns:x15="http://schemas.microsoft.com/office/spreadsheetml/2010/11/main" uri="{B97F6D7D-B522-45F9-BDA1-12C45D357490}">
          <x15:cacheHierarchy aggregatedColumn="56"/>
        </ext>
      </extLst>
    </cacheHierarchy>
    <cacheHierarchy uniqueName="[Measures].[Sum of Износ 6]" caption="Sum of Износ 6" measure="1" displayFolder="" measureGroup="fArtikliCeni" count="0" hidden="1">
      <extLst>
        <ext xmlns:x15="http://schemas.microsoft.com/office/spreadsheetml/2010/11/main" uri="{B97F6D7D-B522-45F9-BDA1-12C45D357490}">
          <x15:cacheHierarchy aggregatedColumn="57"/>
        </ext>
      </extLst>
    </cacheHierarchy>
    <cacheHierarchy uniqueName="[Measures].[Count of Единечна мерка]" caption="Count of Единечна мерка" measure="1" displayFolder="" measureGroup="fArtikliCeni" count="0" hidden="1">
      <extLst>
        <ext xmlns:x15="http://schemas.microsoft.com/office/spreadsheetml/2010/11/main" uri="{B97F6D7D-B522-45F9-BDA1-12C45D357490}">
          <x15:cacheHierarchy aggregatedColumn="52"/>
        </ext>
      </extLst>
    </cacheHierarchy>
    <cacheHierarchy uniqueName="[Measures].[Sum of Количина 2]" caption="Sum of Количина 2" measure="1" displayFolder="" measureGroup="rArtikli_HR_Analiza" count="0" hidden="1">
      <extLst>
        <ext xmlns:x15="http://schemas.microsoft.com/office/spreadsheetml/2010/11/main" uri="{B97F6D7D-B522-45F9-BDA1-12C45D357490}">
          <x15:cacheHierarchy aggregatedColumn="118"/>
        </ext>
      </extLst>
    </cacheHierarchy>
    <cacheHierarchy uniqueName="[Measures].[Sum of Единечна цена 2]" caption="Sum of Единечна цена 2" measure="1" displayFolder="" measureGroup="rArtikli_HR_Analiza" count="0" hidden="1">
      <extLst>
        <ext xmlns:x15="http://schemas.microsoft.com/office/spreadsheetml/2010/11/main" uri="{B97F6D7D-B522-45F9-BDA1-12C45D357490}">
          <x15:cacheHierarchy aggregatedColumn="119"/>
        </ext>
      </extLst>
    </cacheHierarchy>
    <cacheHierarchy uniqueName="[Measures].[Sum of Вкупно трошок 2]" caption="Sum of Вкупно трошок 2" measure="1" displayFolder="" measureGroup="rArtikli_HR_Analiza" count="0" hidden="1">
      <extLst>
        <ext xmlns:x15="http://schemas.microsoft.com/office/spreadsheetml/2010/11/main" uri="{B97F6D7D-B522-45F9-BDA1-12C45D357490}">
          <x15:cacheHierarchy aggregatedColumn="120"/>
        </ext>
      </extLst>
    </cacheHierarchy>
    <cacheHierarchy uniqueName="[Measures].[Sum of ДДВ 2]" caption="Sum of ДДВ 2" measure="1" displayFolder="" measureGroup="rArtikli_HR_Analiza" count="0" hidden="1">
      <extLst>
        <ext xmlns:x15="http://schemas.microsoft.com/office/spreadsheetml/2010/11/main" uri="{B97F6D7D-B522-45F9-BDA1-12C45D357490}">
          <x15:cacheHierarchy aggregatedColumn="121"/>
        </ext>
      </extLst>
    </cacheHierarchy>
    <cacheHierarchy uniqueName="[Measures].[Sum of Износ 7]" caption="Sum of Износ 7" measure="1" displayFolder="" measureGroup="rArtikli_HR_Analiza" count="0" hidden="1">
      <extLst>
        <ext xmlns:x15="http://schemas.microsoft.com/office/spreadsheetml/2010/11/main" uri="{B97F6D7D-B522-45F9-BDA1-12C45D357490}">
          <x15:cacheHierarchy aggregatedColumn="122"/>
        </ext>
      </extLst>
    </cacheHierarchy>
    <cacheHierarchy uniqueName="[Measures].[Sum of Износ 5]" caption="Sum of Износ 5" measure="1" displayFolder="" measureGroup="fCoveckiResursi  2" count="0" hidden="1">
      <extLst>
        <ext xmlns:x15="http://schemas.microsoft.com/office/spreadsheetml/2010/11/main" uri="{B97F6D7D-B522-45F9-BDA1-12C45D357490}">
          <x15:cacheHierarchy aggregatedColumn="82"/>
        </ext>
      </extLst>
    </cacheHierarchy>
    <cacheHierarchy uniqueName="[Measures].[Sum of Проценета вредност на набавка со ДДВ (денари)]" caption="Sum of Проценета вредност на набавка со ДДВ (денари)" measure="1" displayFolder="" measureGroup="CAPEX" count="0" hidden="1">
      <extLst>
        <ext xmlns:x15="http://schemas.microsoft.com/office/spreadsheetml/2010/11/main" uri="{B97F6D7D-B522-45F9-BDA1-12C45D357490}">
          <x15:cacheHierarchy aggregatedColumn="20"/>
        </ext>
      </extLst>
    </cacheHierarchy>
  </cacheHierarchies>
  <kpis count="0"/>
  <extLst>
    <ext xmlns:x14="http://schemas.microsoft.com/office/spreadsheetml/2009/9/main" uri="{725AE2AE-9491-48be-B2B4-4EB974FC3084}">
      <x14:pivotCacheDefinition slicerData="1" pivotCacheId="1937656969" supportSubqueryNonVisual="1" supportSubqueryCalcMem="1" supportAddCalcMems="1"/>
    </ext>
  </extLst>
</pivotCacheDefinition>
</file>

<file path=xl/pivotCache/pivotCacheDefinition3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ngela Sazdova - Doneva" refreshedDate="44899.978559722222" createdVersion="3" refreshedVersion="6" minRefreshableVersion="3" recordCount="0" supportSubquery="1" supportAdvancedDrill="1" xr:uid="{00000000-000A-0000-FFFF-FFFF23000000}">
  <cacheSource type="external" connectionId="22">
    <extLst>
      <ext xmlns:x14="http://schemas.microsoft.com/office/spreadsheetml/2009/9/main" uri="{F057638F-6D5F-4e77-A914-E7F072B9BCA8}">
        <x14:sourceConnection name="ThisWorkbookDataModel"/>
      </ext>
    </extLst>
  </cacheSource>
  <cacheFields count="0"/>
  <cacheHierarchies count="195">
    <cacheHierarchy uniqueName="[Amortizacija].[Број на јавна набавка (план)]" caption="Број на јавна набавка (план)" attribute="1" defaultMemberUniqueName="[Amortizacija].[Број на јавна набавка (план)].[All]" allUniqueName="[Amortizacija].[Број на јавна набавка (план)].[All]" dimensionUniqueName="[Amortizacija]" displayFolder="" count="0" memberValueDatatype="130" unbalanced="0"/>
    <cacheHierarchy uniqueName="[Amortizacija].[Ставка]" caption="Ставка" attribute="1" defaultMemberUniqueName="[Amortizacija].[Ставка].[All]" allUniqueName="[Amortizacija].[Ставка].[All]" dimensionUniqueName="[Amortizacija]" displayFolder="" count="0" memberValueDatatype="130" unbalanced="0"/>
    <cacheHierarchy uniqueName="[Amortizacija].[Период]" caption="Период" attribute="1" time="1" defaultMemberUniqueName="[Amortizacija].[Период].[All]" allUniqueName="[Amortizacija].[Период].[All]" dimensionUniqueName="[Amortizacija]" displayFolder="" count="0" memberValueDatatype="7" unbalanced="0"/>
    <cacheHierarchy uniqueName="[Amortizacija].[Износ]" caption="Износ" attribute="1" defaultMemberUniqueName="[Amortizacija].[Износ].[All]" allUniqueName="[Amortizacija].[Износ].[All]" dimensionUniqueName="[Amortizacija]" displayFolder="" count="0" memberValueDatatype="20" unbalanced="0"/>
    <cacheHierarchy uniqueName="[Amortizacija].[Конто]" caption="Конто" attribute="1" defaultMemberUniqueName="[Amortizacija].[Конто].[All]" allUniqueName="[Amortizacija].[Конто].[All]" dimensionUniqueName="[Amortizacija]" displayFolder="" count="0" memberValueDatatype="130" unbalanced="0"/>
    <cacheHierarchy uniqueName="[Amortizacija].[ReportType]" caption="ReportType" attribute="1" defaultMemberUniqueName="[Amortizacija].[ReportType].[All]" allUniqueName="[Amortizacija].[ReportType].[All]" dimensionUniqueName="[Amortizacija]" displayFolder="" count="0" memberValueDatatype="130" unbalanced="0"/>
    <cacheHierarchy uniqueName="[Calendar].[Date]" caption="Date" attribute="1" time="1" keyAttribute="1" defaultMemberUniqueName="[Calendar].[Date].[All]" allUniqueName="[Calendar].[Date].[All]" dimensionUniqueName="[Calendar]" displayFolder="" count="0" memberValueDatatype="7" unbalanced="0"/>
    <cacheHierarchy uniqueName="[Calendar].[Date Hierarchy]" caption="Date Hierarchy" time="1" defaultMemberUniqueName="[Calendar].[Date Hierarchy].[All]" allUniqueName="[Calendar].[Date Hierarchy].[All]" dimensionUniqueName="[Calendar]" displayFolder="" count="4" unbalanced="0"/>
    <cacheHierarchy uniqueName="[Calendar].[Година]" caption="Година" attribute="1" time="1" defaultMemberUniqueName="[Calendar].[Година].[All]" allUniqueName="[Calendar].[Година].[All]" dimensionUniqueName="[Calendar]" displayFolder="" count="0" memberValueDatatype="20" unbalanced="0"/>
    <cacheHierarchy uniqueName="[Calendar].[Month Number]" caption="Month Number" attribute="1" time="1" defaultMemberUniqueName="[Calendar].[Month Number].[All]" allUniqueName="[Calendar].[Month Number].[All]" dimensionUniqueName="[Calendar]" displayFolder="" count="0" memberValueDatatype="20" unbalanced="0"/>
    <cacheHierarchy uniqueName="[Calendar].[Месец]" caption="Месец" attribute="1" time="1" defaultMemberUniqueName="[Calendar].[Месец].[All]" allUniqueName="[Calendar].[Месец].[All]" dimensionUniqueName="[Calendar]" displayFolder="" count="0" memberValueDatatype="130" unbalanced="0"/>
    <cacheHierarchy uniqueName="[Calendar].[MMM-YYYY]" caption="MMM-YYYY" attribute="1" time="1" defaultMemberUniqueName="[Calendar].[MMM-YYYY].[All]" allUniqueName="[Calendar].[MMM-YYYY].[All]" dimensionUniqueName="[Calendar]" displayFolder="" count="0" memberValueDatatype="130" unbalanced="0"/>
    <cacheHierarchy uniqueName="[Calendar].[Day Of Week Number]" caption="Day Of Week Number" attribute="1" time="1" defaultMemberUniqueName="[Calendar].[Day Of Week Number].[All]" allUniqueName="[Calendar].[Day Of Week Number].[All]" dimensionUniqueName="[Calendar]" displayFolder="" count="0" memberValueDatatype="20" unbalanced="0"/>
    <cacheHierarchy uniqueName="[Calendar].[Day Of Week]" caption="Day Of Week" attribute="1" time="1" defaultMemberUniqueName="[Calendar].[Day Of Week].[All]" allUniqueName="[Calendar].[Day Of Week].[All]" dimensionUniqueName="[Calendar]" displayFolder="" count="0" memberValueDatatype="130" unbalanced="0"/>
    <cacheHierarchy uniqueName="[Calendar].[Квартал]" caption="Квартал" attribute="1" time="1" defaultMemberUniqueName="[Calendar].[Квартал].[All]" allUniqueName="[Calendar].[Квартал].[All]" dimensionUniqueName="[Calendar]" displayFolder="" count="0" memberValueDatatype="7" unbalanced="0"/>
    <cacheHierarchy uniqueName="[CAPEX].[Година за реализација на проект]" caption="Година за реализација на проект" attribute="1" defaultMemberUniqueName="[CAPEX].[Година за реализација на проект].[All]" allUniqueName="[CAPEX].[Година за реализација на проект].[All]" dimensionUniqueName="[CAPEX]" displayFolder="" count="0" memberValueDatatype="20" unbalanced="0"/>
    <cacheHierarchy uniqueName="[CAPEX].[Број на јавна набавка (план)]" caption="Број на јавна набавка (план)" attribute="1" defaultMemberUniqueName="[CAPEX].[Број на јавна набавка (план)].[All]" allUniqueName="[CAPEX].[Број на јавна набавка (план)].[All]" dimensionUniqueName="[CAPEX]" displayFolder="" count="0" memberValueDatatype="130" unbalanced="0"/>
    <cacheHierarchy uniqueName="[CAPEX].[Предмет на договорот за јавна набавка]" caption="Предмет на договорот за јавна набавка" attribute="1" defaultMemberUniqueName="[CAPEX].[Предмет на договорот за јавна набавка].[All]" allUniqueName="[CAPEX].[Предмет на договорот за јавна набавка].[All]" dimensionUniqueName="[CAPEX]" displayFolder="" count="0" memberValueDatatype="130" unbalanced="0"/>
    <cacheHierarchy uniqueName="[CAPEX].[Очекуван датум на плаќање]" caption="Очекуван датум на плаќање" attribute="1" time="1" defaultMemberUniqueName="[CAPEX].[Очекуван датум на плаќање].[All]" allUniqueName="[CAPEX].[Очекуван датум на плаќање].[All]" dimensionUniqueName="[CAPEX]" displayFolder="" count="0" memberValueDatatype="7" unbalanced="0"/>
    <cacheHierarchy uniqueName="[CAPEX].[Очекуван датум за ставање во употреба (месец)]" caption="Очекуван датум за ставање во употреба (месец)" attribute="1" time="1" defaultMemberUniqueName="[CAPEX].[Очекуван датум за ставање во употреба (месец)].[All]" allUniqueName="[CAPEX].[Очекуван датум за ставање во употреба (месец)].[All]" dimensionUniqueName="[CAPEX]" displayFolder="" count="0" memberValueDatatype="7" unbalanced="0"/>
    <cacheHierarchy uniqueName="[CAPEX].[Проценета вредност на набавка со ДДВ (денари)]" caption="Проценета вредност на набавка со ДДВ (денари)" attribute="1" defaultMemberUniqueName="[CAPEX].[Проценета вредност на набавка со ДДВ (денари)].[All]" allUniqueName="[CAPEX].[Проценета вредност на набавка со ДДВ (денари)].[All]" dimensionUniqueName="[CAPEX]" displayFolder="" count="0" memberValueDatatype="20" unbalanced="0"/>
    <cacheHierarchy uniqueName="[CAPEX].[Стапка на амортизација]" caption="Стапка на амортизација" attribute="1" defaultMemberUniqueName="[CAPEX].[Стапка на амортизација].[All]" allUniqueName="[CAPEX].[Стапка на амортизација].[All]" dimensionUniqueName="[CAPEX]" displayFolder="" count="0" memberValueDatatype="5" unbalanced="0"/>
    <cacheHierarchy uniqueName="[CAPEX].[Конто Средства]" caption="Конто Средства" attribute="1" defaultMemberUniqueName="[CAPEX].[Конто Средства].[All]" allUniqueName="[CAPEX].[Конто Средства].[All]" dimensionUniqueName="[CAPEX]" displayFolder="" count="0" memberValueDatatype="130" unbalanced="0"/>
    <cacheHierarchy uniqueName="[CAPEX].[Конто Амортизација]" caption="Конто Амортизација" attribute="1" defaultMemberUniqueName="[CAPEX].[Конто Амортизација].[All]" allUniqueName="[CAPEX].[Конто Амортизација].[All]" dimensionUniqueName="[CAPEX]" displayFolder="" count="0" memberValueDatatype="130" unbalanced="0"/>
    <cacheHierarchy uniqueName="[CAPEX].[Износ донација]" caption="Износ донација" attribute="1" defaultMemberUniqueName="[CAPEX].[Износ донација].[All]" allUniqueName="[CAPEX].[Износ донација].[All]" dimensionUniqueName="[CAPEX]" displayFolder="" count="0" memberValueDatatype="20" unbalanced="0"/>
    <cacheHierarchy uniqueName="[CAPEX].[Очекуван датум на плаќање (Year)]" caption="Очекуван датум на плаќање (Year)" attribute="1" defaultMemberUniqueName="[CAPEX].[Очекуван датум на плаќање (Year)].[All]" allUniqueName="[CAPEX].[Очекуван датум на плаќање (Year)].[All]" dimensionUniqueName="[CAPEX]" displayFolder="" count="0" memberValueDatatype="130" unbalanced="0"/>
    <cacheHierarchy uniqueName="[CAPEX].[Очекуван датум на плаќање (Quarter)]" caption="Очекуван датум на плаќање (Quarter)" attribute="1" defaultMemberUniqueName="[CAPEX].[Очекуван датум на плаќање (Quarter)].[All]" allUniqueName="[CAPEX].[Очекуван датум на плаќање (Quarter)].[All]" dimensionUniqueName="[CAPEX]" displayFolder="" count="0" memberValueDatatype="130" unbalanced="0"/>
    <cacheHierarchy uniqueName="[CAPEX].[Очекуван датум на плаќање (Month)]" caption="Очекуван датум на плаќање (Month)" attribute="1" defaultMemberUniqueName="[CAPEX].[Очекуван датум на плаќање (Month)].[All]" allUniqueName="[CAPEX].[Очекуван датум на плаќање (Month)].[All]" dimensionUniqueName="[CAPEX]" displayFolder="" count="0" memberValueDatatype="130" unbalanced="0"/>
    <cacheHierarchy uniqueName="[CAPEX].[Очекуван датум за ставање во употреба (месец) (Year)]" caption="Очекуван датум за ставање во употреба (месец) (Year)" attribute="1" defaultMemberUniqueName="[CAPEX].[Очекуван датум за ставање во употреба (месец) (Year)].[All]" allUniqueName="[CAPEX].[Очекуван датум за ставање во употреба (месец) (Year)].[All]" dimensionUniqueName="[CAPEX]" displayFolder="" count="0" memberValueDatatype="130" unbalanced="0"/>
    <cacheHierarchy uniqueName="[CAPEX].[Очекуван датум за ставање во употреба (месец) (Quarter)]" caption="Очекуван датум за ставање во употреба (месец) (Quarter)" attribute="1" defaultMemberUniqueName="[CAPEX].[Очекуван датум за ставање во употреба (месец) (Quarter)].[All]" allUniqueName="[CAPEX].[Очекуван датум за ставање во употреба (месец) (Quarter)].[All]" dimensionUniqueName="[CAPEX]" displayFolder="" count="0" memberValueDatatype="130" unbalanced="0"/>
    <cacheHierarchy uniqueName="[CAPEX].[Очекуван датум за ставање во употреба (месец) (Month)]" caption="Очекуван датум за ставање во употреба (месец) (Month)" attribute="1" defaultMemberUniqueName="[CAPEX].[Очекуван датум за ставање во употреба (месец) (Month)].[All]" allUniqueName="[CAPEX].[Очекуван датум за ставање во употреба (месец) (Month)].[All]" dimensionUniqueName="[CAPEX]" displayFolder="" count="0" memberValueDatatype="130" unbalanced="0"/>
    <cacheHierarchy uniqueName="[fActualAndBudget].[Конто]" caption="Конто" attribute="1" defaultMemberUniqueName="[fActualAndBudget].[Конто].[All]" allUniqueName="[fActualAndBudget].[Конто].[All]" dimensionUniqueName="[fActualAndBudget]" displayFolder="" count="0" memberValueDatatype="130" unbalanced="0"/>
    <cacheHierarchy uniqueName="[fActualAndBudget].[Назив на конто]" caption="Назив на конто" attribute="1" defaultMemberUniqueName="[fActualAndBudget].[Назив на конто].[All]" allUniqueName="[fActualAndBudget].[Назив на конто].[All]" dimensionUniqueName="[fActualAndBudget]" displayFolder="" count="0" memberValueDatatype="130" unbalanced="0"/>
    <cacheHierarchy uniqueName="[fActualAndBudget].[Период]" caption="Период" attribute="1" time="1" defaultMemberUniqueName="[fActualAndBudget].[Период].[All]" allUniqueName="[fActualAndBudget].[Период].[All]" dimensionUniqueName="[fActualAndBudget]" displayFolder="" count="0" memberValueDatatype="7" unbalanced="0"/>
    <cacheHierarchy uniqueName="[fActualAndBudget].[Износ1]" caption="Износ1" attribute="1" defaultMemberUniqueName="[fActualAndBudget].[Износ1].[All]" allUniqueName="[fActualAndBudget].[Износ1].[All]" dimensionUniqueName="[fActualAndBudget]" displayFolder="" count="0" memberValueDatatype="20" unbalanced="0"/>
    <cacheHierarchy uniqueName="[fActualAndBudget].[ReportType]" caption="ReportType" attribute="1" defaultMemberUniqueName="[fActualAndBudget].[ReportType].[All]" allUniqueName="[fActualAndBudget].[ReportType].[All]" dimensionUniqueName="[fActualAndBudget]" displayFolder="" count="0" memberValueDatatype="130" unbalanced="0"/>
    <cacheHierarchy uniqueName="[fActualAndBudget].[Ставка]" caption="Ставка" attribute="1" defaultMemberUniqueName="[fActualAndBudget].[Ставка].[All]" allUniqueName="[fActualAndBudget].[Ставка].[All]" dimensionUniqueName="[fActualAndBudget]" displayFolder="" count="0" memberValueDatatype="130" unbalanced="0"/>
    <cacheHierarchy uniqueName="[fActualAndBudget].[Број на јавна набавка (план)]" caption="Број на јавна набавка (план)" attribute="1" defaultMemberUniqueName="[fActualAndBudget].[Број на јавна набавка (план)].[All]" allUniqueName="[fActualAndBudget].[Број на јавна набавка (план)].[All]" dimensionUniqueName="[fActualAndBudget]" displayFolder="" count="0" memberValueDatatype="130" unbalanced="0"/>
    <cacheHierarchy uniqueName="[fActualAndBudget].[StavkaImeMK]" caption="StavkaImeMK" attribute="1" defaultMemberUniqueName="[fActualAndBudget].[StavkaImeMK].[All]" allUniqueName="[fActualAndBudget].[StavkaImeMK].[All]" dimensionUniqueName="[fActualAndBudget]" displayFolder="" count="0" memberValueDatatype="130" unbalanced="0"/>
    <cacheHierarchy uniqueName="[fActualAndBudget].[StavkaGrupa]" caption="StavkaGrupa" attribute="1" defaultMemberUniqueName="[fActualAndBudget].[StavkaGrupa].[All]" allUniqueName="[fActualAndBudget].[StavkaGrupa].[All]" dimensionUniqueName="[fActualAndBudget]" displayFolder="" count="0" memberValueDatatype="130" unbalanced="0"/>
    <cacheHierarchy uniqueName="[fActualAndBudget].[StavkaKategorija]" caption="StavkaKategorija" attribute="1" defaultMemberUniqueName="[fActualAndBudget].[StavkaKategorija].[All]" allUniqueName="[fActualAndBudget].[StavkaKategorija].[All]" dimensionUniqueName="[fActualAndBudget]" displayFolder="" count="0" memberValueDatatype="130" unbalanced="0"/>
    <cacheHierarchy uniqueName="[fActualAndBudget].[ZnakIzvestaj]" caption="ZnakIzvestaj" attribute="1" defaultMemberUniqueName="[fActualAndBudget].[ZnakIzvestaj].[All]" allUniqueName="[fActualAndBudget].[ZnakIzvestaj].[All]" dimensionUniqueName="[fActualAndBudget]" displayFolder="" count="0" memberValueDatatype="20" unbalanced="0"/>
    <cacheHierarchy uniqueName="[fActualAndBudget].[ObrazecID]" caption="ObrazecID" attribute="1" defaultMemberUniqueName="[fActualAndBudget].[ObrazecID].[All]" allUniqueName="[fActualAndBudget].[ObrazecID].[All]" dimensionUniqueName="[fActualAndBudget]" displayFolder="" count="0" memberValueDatatype="20" unbalanced="0"/>
    <cacheHierarchy uniqueName="[fActualAndBudget].[StavkaAOP]" caption="StavkaAOP" attribute="1" defaultMemberUniqueName="[fActualAndBudget].[StavkaAOP].[All]" allUniqueName="[fActualAndBudget].[StavkaAOP].[All]" dimensionUniqueName="[fActualAndBudget]" displayFolder="" count="0" memberValueDatatype="130" unbalanced="0"/>
    <cacheHierarchy uniqueName="[fActualAndBudget].[ObrazecIme]" caption="ObrazecIme" attribute="1" defaultMemberUniqueName="[fActualAndBudget].[ObrazecIme].[All]" allUniqueName="[fActualAndBudget].[ObrazecIme].[All]" dimensionUniqueName="[fActualAndBudget]" displayFolder="" count="0" memberValueDatatype="130" unbalanced="0"/>
    <cacheHierarchy uniqueName="[fActualAndBudget].[Износ]" caption="Износ" attribute="1" defaultMemberUniqueName="[fActualAndBudget].[Износ].[All]" allUniqueName="[fActualAndBudget].[Износ].[All]" dimensionUniqueName="[fActualAndBudget]" displayFolder="" count="0" memberValueDatatype="20" unbalanced="0"/>
    <cacheHierarchy uniqueName="[fActualAndBudget].[Износ (илјади)]" caption="Износ (илјади)" attribute="1" defaultMemberUniqueName="[fActualAndBudget].[Износ (илјади)].[All]" allUniqueName="[fActualAndBudget].[Износ (илјади)].[All]" dimensionUniqueName="[fActualAndBudget]" displayFolder="" count="0" memberValueDatatype="5" unbalanced="0"/>
    <cacheHierarchy uniqueName="[fActualAndBudget].[StavkaImeAOP]" caption="StavkaImeAOP" attribute="1" defaultMemberUniqueName="[fActualAndBudget].[StavkaImeAOP].[All]" allUniqueName="[fActualAndBudget].[StavkaImeAOP].[All]" dimensionUniqueName="[fActualAndBudget]" displayFolder="" count="0" memberValueDatatype="130" unbalanced="0"/>
    <cacheHierarchy uniqueName="[fActualAndBudget].[Конто Ставка]" caption="Конто Ставка" attribute="1" defaultMemberUniqueName="[fActualAndBudget].[Конто Ставка].[All]" allUniqueName="[fActualAndBudget].[Конто Ставка].[All]" dimensionUniqueName="[fActualAndBudget]" displayFolder="" count="0" memberValueDatatype="130" unbalanced="0"/>
    <cacheHierarchy uniqueName="[fArtikliCeni].[Ставка]" caption="Ставка" attribute="1" defaultMemberUniqueName="[fArtikliCeni].[Ставка].[All]" allUniqueName="[fArtikliCeni].[Ставка].[All]" dimensionUniqueName="[fArtikliCeni]" displayFolder="" count="0" memberValueDatatype="130" unbalanced="0"/>
    <cacheHierarchy uniqueName="[fArtikliCeni].[Категорија Артикл]" caption="Категорија Артикл" attribute="1" defaultMemberUniqueName="[fArtikliCeni].[Категорија Артикл].[All]" allUniqueName="[fArtikliCeni].[Категорија Артикл].[All]" dimensionUniqueName="[fArtikliCeni]" displayFolder="" count="0" memberValueDatatype="130" unbalanced="0"/>
    <cacheHierarchy uniqueName="[fArtikliCeni].[Тип на артикл]" caption="Тип на артикл" attribute="1" defaultMemberUniqueName="[fArtikliCeni].[Тип на артикл].[All]" allUniqueName="[fArtikliCeni].[Тип на артикл].[All]" dimensionUniqueName="[fArtikliCeni]" displayFolder="" count="0" memberValueDatatype="130" unbalanced="0"/>
    <cacheHierarchy uniqueName="[fArtikliCeni].[Единечна мерка]" caption="Единечна мерка" attribute="1" defaultMemberUniqueName="[fArtikliCeni].[Единечна мерка].[All]" allUniqueName="[fArtikliCeni].[Единечна мерка].[All]" dimensionUniqueName="[fArtikliCeni]" displayFolder="" count="0" memberValueDatatype="130" unbalanced="0"/>
    <cacheHierarchy uniqueName="[fArtikliCeni].[Количина]" caption="Количина" attribute="1" defaultMemberUniqueName="[fArtikliCeni].[Количина].[All]" allUniqueName="[fArtikliCeni].[Количина].[All]" dimensionUniqueName="[fArtikliCeni]" displayFolder="" count="0" memberValueDatatype="5" unbalanced="0"/>
    <cacheHierarchy uniqueName="[fArtikliCeni].[Единечна цена]" caption="Единечна цена" attribute="1" defaultMemberUniqueName="[fArtikliCeni].[Единечна цена].[All]" allUniqueName="[fArtikliCeni].[Единечна цена].[All]" dimensionUniqueName="[fArtikliCeni]" displayFolder="" count="0" memberValueDatatype="20" unbalanced="0"/>
    <cacheHierarchy uniqueName="[fArtikliCeni].[Вкупно трошок]" caption="Вкупно трошок" attribute="1" defaultMemberUniqueName="[fArtikliCeni].[Вкупно трошок].[All]" allUniqueName="[fArtikliCeni].[Вкупно трошок].[All]" dimensionUniqueName="[fArtikliCeni]" displayFolder="" count="0" memberValueDatatype="5" unbalanced="0"/>
    <cacheHierarchy uniqueName="[fArtikliCeni].[ДДВ]" caption="ДДВ" attribute="1" defaultMemberUniqueName="[fArtikliCeni].[ДДВ].[All]" allUniqueName="[fArtikliCeni].[ДДВ].[All]" dimensionUniqueName="[fArtikliCeni]" displayFolder="" count="0" memberValueDatatype="5" unbalanced="0"/>
    <cacheHierarchy uniqueName="[fArtikliCeni].[Износ]" caption="Износ" attribute="1" defaultMemberUniqueName="[fArtikliCeni].[Износ].[All]" allUniqueName="[fArtikliCeni].[Износ].[All]" dimensionUniqueName="[fArtikliCeni]" displayFolder="" count="0" memberValueDatatype="5" unbalanced="0"/>
    <cacheHierarchy uniqueName="[fArtikliCeni].[Конто]" caption="Конто" attribute="1" defaultMemberUniqueName="[fArtikliCeni].[Конто].[All]" allUniqueName="[fArtikliCeni].[Конто].[All]" dimensionUniqueName="[fArtikliCeni]" displayFolder="" count="0" memberValueDatatype="130" unbalanced="0"/>
    <cacheHierarchy uniqueName="[fArtikliCeni].[ReportType]" caption="ReportType" attribute="1" defaultMemberUniqueName="[fArtikliCeni].[ReportType].[All]" allUniqueName="[fArtikliCeni].[ReportType].[All]" dimensionUniqueName="[fArtikliCeni]" displayFolder="" count="0" memberValueDatatype="130" unbalanced="0"/>
    <cacheHierarchy uniqueName="[fArtikliCeni].[Период]" caption="Период" attribute="1" time="1" defaultMemberUniqueName="[fArtikliCeni].[Период].[All]" allUniqueName="[fArtikliCeni].[Период].[All]" dimensionUniqueName="[fArtikliCeni]" displayFolder="" count="0" memberValueDatatype="7" unbalanced="0"/>
    <cacheHierarchy uniqueName="[fArtikliCeni].[StavkaImeMK]" caption="StavkaImeMK" attribute="1" defaultMemberUniqueName="[fArtikliCeni].[StavkaImeMK].[All]" allUniqueName="[fArtikliCeni].[StavkaImeMK].[All]" dimensionUniqueName="[fArtikliCeni]" displayFolder="" count="0" memberValueDatatype="130" unbalanced="0"/>
    <cacheHierarchy uniqueName="[fArtikliCeni].[StavkaAOP]" caption="StavkaAOP" attribute="1" defaultMemberUniqueName="[fArtikliCeni].[StavkaAOP].[All]" allUniqueName="[fArtikliCeni].[StavkaAOP].[All]" dimensionUniqueName="[fArtikliCeni]" displayFolder="" count="0" memberValueDatatype="130" unbalanced="0"/>
    <cacheHierarchy uniqueName="[fArtikliCeni].[StavkaGrupa]" caption="StavkaGrupa" attribute="1" defaultMemberUniqueName="[fArtikliCeni].[StavkaGrupa].[All]" allUniqueName="[fArtikliCeni].[StavkaGrupa].[All]" dimensionUniqueName="[fArtikliCeni]" displayFolder="" count="0" memberValueDatatype="130" unbalanced="0"/>
    <cacheHierarchy uniqueName="[fArtikliCeni].[StavkaKategorija]" caption="StavkaKategorija" attribute="1" defaultMemberUniqueName="[fArtikliCeni].[StavkaKategorija].[All]" allUniqueName="[fArtikliCeni].[StavkaKategorija].[All]" dimensionUniqueName="[fArtikliCeni]" displayFolder="" count="0" memberValueDatatype="130" unbalanced="0"/>
    <cacheHierarchy uniqueName="[fArtikliCeni].[ObrazecIme]" caption="ObrazecIme" attribute="1" defaultMemberUniqueName="[fArtikliCeni].[ObrazecIme].[All]" allUniqueName="[fArtikliCeni].[ObrazecIme].[All]" dimensionUniqueName="[fArtikliCeni]" displayFolder="" count="0" memberValueDatatype="130" unbalanced="0"/>
    <cacheHierarchy uniqueName="[fCoveckiResursi].[Ставка]" caption="Ставка" attribute="1" defaultMemberUniqueName="[fCoveckiResursi].[Ставка].[All]" allUniqueName="[fCoveckiResursi].[Ставка].[All]" dimensionUniqueName="[fCoveckiResursi]" displayFolder="" count="0" memberValueDatatype="130" unbalanced="0"/>
    <cacheHierarchy uniqueName="[fCoveckiResursi].[Тип на вработување]" caption="Тип на вработување" attribute="1" defaultMemberUniqueName="[fCoveckiResursi].[Тип на вработување].[All]" allUniqueName="[fCoveckiResursi].[Тип на вработување].[All]" dimensionUniqueName="[fCoveckiResursi]" displayFolder="" count="0" memberValueDatatype="130" unbalanced="0"/>
    <cacheHierarchy uniqueName="[fCoveckiResursi].[Планиран прилив/(одлив)]" caption="Планиран прилив/(одлив)" attribute="1" defaultMemberUniqueName="[fCoveckiResursi].[Планиран прилив/(одлив)].[All]" allUniqueName="[fCoveckiResursi].[Планиран прилив/(одлив)].[All]" dimensionUniqueName="[fCoveckiResursi]" displayFolder="" count="0" memberValueDatatype="20" unbalanced="0"/>
    <cacheHierarchy uniqueName="[fCoveckiResursi].[Период]" caption="Период" attribute="1" time="1" defaultMemberUniqueName="[fCoveckiResursi].[Период].[All]" allUniqueName="[fCoveckiResursi].[Период].[All]" dimensionUniqueName="[fCoveckiResursi]" displayFolder="" count="0" memberValueDatatype="7" unbalanced="0"/>
    <cacheHierarchy uniqueName="[fCoveckiResursi].[Крајна состојба вработени]" caption="Крајна состојба вработени" attribute="1" defaultMemberUniqueName="[fCoveckiResursi].[Крајна состојба вработени].[All]" allUniqueName="[fCoveckiResursi].[Крајна состојба вработени].[All]" dimensionUniqueName="[fCoveckiResursi]" displayFolder="" count="0" memberValueDatatype="20" unbalanced="0"/>
    <cacheHierarchy uniqueName="[fCoveckiResursi].[Износ]" caption="Износ" attribute="1" defaultMemberUniqueName="[fCoveckiResursi].[Износ].[All]" allUniqueName="[fCoveckiResursi].[Износ].[All]" dimensionUniqueName="[fCoveckiResursi]" displayFolder="" count="0" memberValueDatatype="20" unbalanced="0"/>
    <cacheHierarchy uniqueName="[fCoveckiResursi].[Конто]" caption="Конто" attribute="1" defaultMemberUniqueName="[fCoveckiResursi].[Конто].[All]" allUniqueName="[fCoveckiResursi].[Конто].[All]" dimensionUniqueName="[fCoveckiResursi]" displayFolder="" count="0" memberValueDatatype="130" unbalanced="0"/>
    <cacheHierarchy uniqueName="[fCoveckiResursi].[ReportType]" caption="ReportType" attribute="1" defaultMemberUniqueName="[fCoveckiResursi].[ReportType].[All]" allUniqueName="[fCoveckiResursi].[ReportType].[All]" dimensionUniqueName="[fCoveckiResursi]" displayFolder="" count="0" memberValueDatatype="130" unbalanced="0"/>
    <cacheHierarchy uniqueName="[fCoveckiResursi].[Период (Year)]" caption="Период (Year)" attribute="1" defaultMemberUniqueName="[fCoveckiResursi].[Период (Year)].[All]" allUniqueName="[fCoveckiResursi].[Период (Year)].[All]" dimensionUniqueName="[fCoveckiResursi]" displayFolder="" count="0" memberValueDatatype="130" unbalanced="0"/>
    <cacheHierarchy uniqueName="[fCoveckiResursi].[Период (Quarter)]" caption="Период (Quarter)" attribute="1" defaultMemberUniqueName="[fCoveckiResursi].[Период (Quarter)].[All]" allUniqueName="[fCoveckiResursi].[Период (Quarter)].[All]" dimensionUniqueName="[fCoveckiResursi]" displayFolder="" count="0" memberValueDatatype="130" unbalanced="0"/>
    <cacheHierarchy uniqueName="[fCoveckiResursi].[Период (Month)]" caption="Период (Month)" attribute="1" defaultMemberUniqueName="[fCoveckiResursi].[Период (Month)].[All]" allUniqueName="[fCoveckiResursi].[Период (Month)].[All]" dimensionUniqueName="[fCoveckiResursi]" displayFolder="" count="0" memberValueDatatype="130" unbalanced="0"/>
    <cacheHierarchy uniqueName="[fCoveckiResursi].[Период (Year) 1]" caption="Период (Year) 1" attribute="1" defaultMemberUniqueName="[fCoveckiResursi].[Период (Year) 1].[All]" allUniqueName="[fCoveckiResursi].[Период (Year) 1].[All]" dimensionUniqueName="[fCoveckiResursi]" displayFolder="" count="0" memberValueDatatype="130" unbalanced="0"/>
    <cacheHierarchy uniqueName="[fCoveckiResursi].[Период (Quarter) 1]" caption="Период (Quarter) 1" attribute="1" defaultMemberUniqueName="[fCoveckiResursi].[Период (Quarter) 1].[All]" allUniqueName="[fCoveckiResursi].[Период (Quarter) 1].[All]" dimensionUniqueName="[fCoveckiResursi]" displayFolder="" count="0" memberValueDatatype="130" unbalanced="0"/>
    <cacheHierarchy uniqueName="[fCoveckiResursi].[Период (Month) 1]" caption="Период (Month) 1" attribute="1" defaultMemberUniqueName="[fCoveckiResursi].[Период (Month) 1].[All]" allUniqueName="[fCoveckiResursi].[Период (Month) 1].[All]" dimensionUniqueName="[fCoveckiResursi]" displayFolder="" count="0" memberValueDatatype="130" unbalanced="0"/>
    <cacheHierarchy uniqueName="[fCoveckiResursi  2].[Ставка]" caption="Ставка" attribute="1" defaultMemberUniqueName="[fCoveckiResursi  2].[Ставка].[All]" allUniqueName="[fCoveckiResursi  2].[Ставка].[All]" dimensionUniqueName="[fCoveckiResursi  2]" displayFolder="" count="0" memberValueDatatype="130" unbalanced="0"/>
    <cacheHierarchy uniqueName="[fCoveckiResursi  2].[Период]" caption="Период" attribute="1" time="1" defaultMemberUniqueName="[fCoveckiResursi  2].[Период].[All]" allUniqueName="[fCoveckiResursi  2].[Период].[All]" dimensionUniqueName="[fCoveckiResursi  2]" displayFolder="" count="0" memberValueDatatype="7" unbalanced="0"/>
    <cacheHierarchy uniqueName="[fCoveckiResursi  2].[Износ]" caption="Износ" attribute="1" defaultMemberUniqueName="[fCoveckiResursi  2].[Износ].[All]" allUniqueName="[fCoveckiResursi  2].[Износ].[All]" dimensionUniqueName="[fCoveckiResursi  2]" displayFolder="" count="0" memberValueDatatype="20" unbalanced="0"/>
    <cacheHierarchy uniqueName="[fCoveckiResursi  2].[Конто]" caption="Конто" attribute="1" defaultMemberUniqueName="[fCoveckiResursi  2].[Конто].[All]" allUniqueName="[fCoveckiResursi  2].[Конто].[All]" dimensionUniqueName="[fCoveckiResursi  2]" displayFolder="" count="0" memberValueDatatype="130" unbalanced="0"/>
    <cacheHierarchy uniqueName="[fCoveckiResursi  2].[ReportType]" caption="ReportType" attribute="1" defaultMemberUniqueName="[fCoveckiResursi  2].[ReportType].[All]" allUniqueName="[fCoveckiResursi  2].[ReportType].[All]" dimensionUniqueName="[fCoveckiResursi  2]" displayFolder="" count="0" memberValueDatatype="130" unbalanced="0"/>
    <cacheHierarchy uniqueName="[fCoveckiResursi  2].[StavkaImeMK]" caption="StavkaImeMK" attribute="1" defaultMemberUniqueName="[fCoveckiResursi  2].[StavkaImeMK].[All]" allUniqueName="[fCoveckiResursi  2].[StavkaImeMK].[All]" dimensionUniqueName="[fCoveckiResursi  2]" displayFolder="" count="0" memberValueDatatype="130" unbalanced="0"/>
    <cacheHierarchy uniqueName="[fCoveckiResursi  2].[StavkaKategorija]" caption="StavkaKategorija" attribute="1" defaultMemberUniqueName="[fCoveckiResursi  2].[StavkaKategorija].[All]" allUniqueName="[fCoveckiResursi  2].[StavkaKategorija].[All]" dimensionUniqueName="[fCoveckiResursi  2]" displayFolder="" count="0" memberValueDatatype="130" unbalanced="0"/>
    <cacheHierarchy uniqueName="[fCoveckiResursi  2].[ObrazecIme]" caption="ObrazecIme" attribute="1" defaultMemberUniqueName="[fCoveckiResursi  2].[ObrazecIme].[All]" allUniqueName="[fCoveckiResursi  2].[ObrazecIme].[All]" dimensionUniqueName="[fCoveckiResursi  2]" displayFolder="" count="0" memberValueDatatype="130" unbalanced="0"/>
    <cacheHierarchy uniqueName="[fOPEX].[Конто]" caption="Конто" attribute="1" defaultMemberUniqueName="[fOPEX].[Конто].[All]" allUniqueName="[fOPEX].[Конто].[All]" dimensionUniqueName="[fOPEX]" displayFolder="" count="0" memberValueDatatype="130" unbalanced="0"/>
    <cacheHierarchy uniqueName="[fOPEX].[Ставка]" caption="Ставка" attribute="1" defaultMemberUniqueName="[fOPEX].[Ставка].[All]" allUniqueName="[fOPEX].[Ставка].[All]" dimensionUniqueName="[fOPEX]" displayFolder="" count="0" memberValueDatatype="130" unbalanced="0"/>
    <cacheHierarchy uniqueName="[fOPEX].[Период]" caption="Период" attribute="1" time="1" defaultMemberUniqueName="[fOPEX].[Период].[All]" allUniqueName="[fOPEX].[Период].[All]" dimensionUniqueName="[fOPEX]" displayFolder="" count="0" memberValueDatatype="7" unbalanced="0"/>
    <cacheHierarchy uniqueName="[fOPEX].[Износ]" caption="Износ" attribute="1" defaultMemberUniqueName="[fOPEX].[Износ].[All]" allUniqueName="[fOPEX].[Износ].[All]" dimensionUniqueName="[fOPEX]" displayFolder="" count="0" memberValueDatatype="20" unbalanced="0"/>
    <cacheHierarchy uniqueName="[fOPEX].[ReportType]" caption="ReportType" attribute="1" defaultMemberUniqueName="[fOPEX].[ReportType].[All]" allUniqueName="[fOPEX].[ReportType].[All]" dimensionUniqueName="[fOPEX]" displayFolder="" count="0" memberValueDatatype="130" unbalanced="0"/>
    <cacheHierarchy uniqueName="[OPEXAnaliza].[Артикл ИД]" caption="Артикл ИД" attribute="1" defaultMemberUniqueName="[OPEXAnaliza].[Артикл ИД].[All]" allUniqueName="[OPEXAnaliza].[Артикл ИД].[All]" dimensionUniqueName="[OPEXAnaliza]" displayFolder="" count="0" memberValueDatatype="20" unbalanced="0"/>
    <cacheHierarchy uniqueName="[OPEXAnaliza].[Ставка]" caption="Ставка" attribute="1" defaultMemberUniqueName="[OPEXAnaliza].[Ставка].[All]" allUniqueName="[OPEXAnaliza].[Ставка].[All]" dimensionUniqueName="[OPEXAnaliza]" displayFolder="" count="0" memberValueDatatype="130" unbalanced="0"/>
    <cacheHierarchy uniqueName="[OPEXAnaliza].[Категорија Артикл ИД]" caption="Категорија Артикл ИД" attribute="1" defaultMemberUniqueName="[OPEXAnaliza].[Категорија Артикл ИД].[All]" allUniqueName="[OPEXAnaliza].[Категорија Артикл ИД].[All]" dimensionUniqueName="[OPEXAnaliza]" displayFolder="" count="0" memberValueDatatype="20" unbalanced="0"/>
    <cacheHierarchy uniqueName="[OPEXAnaliza].[Категорија Артикл]" caption="Категорија Артикл" attribute="1" defaultMemberUniqueName="[OPEXAnaliza].[Категорија Артикл].[All]" allUniqueName="[OPEXAnaliza].[Категорија Артикл].[All]" dimensionUniqueName="[OPEXAnaliza]" displayFolder="" count="0" memberValueDatatype="130" unbalanced="0"/>
    <cacheHierarchy uniqueName="[OPEXAnaliza].[Тип на артикл]" caption="Тип на артикл" attribute="1" defaultMemberUniqueName="[OPEXAnaliza].[Тип на артикл].[All]" allUniqueName="[OPEXAnaliza].[Тип на артикл].[All]" dimensionUniqueName="[OPEXAnaliza]" displayFolder="" count="0" memberValueDatatype="130" unbalanced="0"/>
    <cacheHierarchy uniqueName="[OPEXAnaliza].[Единечна мерка]" caption="Единечна мерка" attribute="1" defaultMemberUniqueName="[OPEXAnaliza].[Единечна мерка].[All]" allUniqueName="[OPEXAnaliza].[Единечна мерка].[All]" dimensionUniqueName="[OPEXAnaliza]" displayFolder="" count="0" memberValueDatatype="130" unbalanced="0"/>
    <cacheHierarchy uniqueName="[OPEXAnaliza].[Количина]" caption="Количина" attribute="1" defaultMemberUniqueName="[OPEXAnaliza].[Количина].[All]" allUniqueName="[OPEXAnaliza].[Количина].[All]" dimensionUniqueName="[OPEXAnaliza]" displayFolder="" count="0" memberValueDatatype="5" unbalanced="0"/>
    <cacheHierarchy uniqueName="[OPEXAnaliza].[Единечна цена]" caption="Единечна цена" attribute="1" defaultMemberUniqueName="[OPEXAnaliza].[Единечна цена].[All]" allUniqueName="[OPEXAnaliza].[Единечна цена].[All]" dimensionUniqueName="[OPEXAnaliza]" displayFolder="" count="0" memberValueDatatype="20" unbalanced="0"/>
    <cacheHierarchy uniqueName="[OPEXAnaliza].[Износ]" caption="Износ" attribute="1" defaultMemberUniqueName="[OPEXAnaliza].[Износ].[All]" allUniqueName="[OPEXAnaliza].[Износ].[All]" dimensionUniqueName="[OPEXAnaliza]" displayFolder="" count="0" memberValueDatatype="5" unbalanced="0"/>
    <cacheHierarchy uniqueName="[OPEXAnaliza].[ДДВ]" caption="ДДВ" attribute="1" defaultMemberUniqueName="[OPEXAnaliza].[ДДВ].[All]" allUniqueName="[OPEXAnaliza].[ДДВ].[All]" dimensionUniqueName="[OPEXAnaliza]" displayFolder="" count="0" memberValueDatatype="5" unbalanced="0"/>
    <cacheHierarchy uniqueName="[OPEXAnaliza].[Вкупно трошок со ДДВ]" caption="Вкупно трошок со ДДВ" attribute="1" defaultMemberUniqueName="[OPEXAnaliza].[Вкупно трошок со ДДВ].[All]" allUniqueName="[OPEXAnaliza].[Вкупно трошок со ДДВ].[All]" dimensionUniqueName="[OPEXAnaliza]" displayFolder="" count="0" memberValueDatatype="5" unbalanced="0"/>
    <cacheHierarchy uniqueName="[OPEXAnaliza].[Конто]" caption="Конто" attribute="1" defaultMemberUniqueName="[OPEXAnaliza].[Конто].[All]" allUniqueName="[OPEXAnaliza].[Конто].[All]" dimensionUniqueName="[OPEXAnaliza]" displayFolder="" count="0" memberValueDatatype="130" unbalanced="0"/>
    <cacheHierarchy uniqueName="[OPEXAnaliza].[Период]" caption="Период" attribute="1" time="1" defaultMemberUniqueName="[OPEXAnaliza].[Период].[All]" allUniqueName="[OPEXAnaliza].[Период].[All]" dimensionUniqueName="[OPEXAnaliza]" displayFolder="" count="0" memberValueDatatype="7" unbalanced="0"/>
    <cacheHierarchy uniqueName="[OPEXAnaliza].[ReportType]" caption="ReportType" attribute="1" defaultMemberUniqueName="[OPEXAnaliza].[ReportType].[All]" allUniqueName="[OPEXAnaliza].[ReportType].[All]" dimensionUniqueName="[OPEXAnaliza]" displayFolder="" count="0" memberValueDatatype="130" unbalanced="0"/>
    <cacheHierarchy uniqueName="[OPEXAnaliza].[StavkaImeMK]" caption="StavkaImeMK" attribute="1" defaultMemberUniqueName="[OPEXAnaliza].[StavkaImeMK].[All]" allUniqueName="[OPEXAnaliza].[StavkaImeMK].[All]" dimensionUniqueName="[OPEXAnaliza]" displayFolder="" count="0" memberValueDatatype="130" unbalanced="0"/>
    <cacheHierarchy uniqueName="[OPEXAnaliza].[StavkaKategorija]" caption="StavkaKategorija" attribute="1" defaultMemberUniqueName="[OPEXAnaliza].[StavkaKategorija].[All]" allUniqueName="[OPEXAnaliza].[StavkaKategorija].[All]" dimensionUniqueName="[OPEXAnaliza]" displayFolder="" count="0" memberValueDatatype="130" unbalanced="0"/>
    <cacheHierarchy uniqueName="[OPEXAnaliza].[ObrazecIme]" caption="ObrazecIme" attribute="1" defaultMemberUniqueName="[OPEXAnaliza].[ObrazecIme].[All]" allUniqueName="[OPEXAnaliza].[ObrazecIme].[All]" dimensionUniqueName="[OPEXAnaliza]" displayFolder="" count="0" memberValueDatatype="130" unbalanced="0"/>
    <cacheHierarchy uniqueName="[OPEXAnaliza].[StavkaImeAOP]" caption="StavkaImeAOP" attribute="1" defaultMemberUniqueName="[OPEXAnaliza].[StavkaImeAOP].[All]" allUniqueName="[OPEXAnaliza].[StavkaImeAOP].[All]" dimensionUniqueName="[OPEXAnaliza]" displayFolder="" count="0" memberValueDatatype="20" unbalanced="0"/>
    <cacheHierarchy uniqueName="[OPEXAnaliza].[Период (Year)]" caption="Период (Year)" attribute="1" defaultMemberUniqueName="[OPEXAnaliza].[Период (Year)].[All]" allUniqueName="[OPEXAnaliza].[Период (Year)].[All]" dimensionUniqueName="[OPEXAnaliza]" displayFolder="" count="0" memberValueDatatype="130" unbalanced="0"/>
    <cacheHierarchy uniqueName="[OPEXAnaliza].[Период (Quarter)]" caption="Период (Quarter)" attribute="1" defaultMemberUniqueName="[OPEXAnaliza].[Период (Quarter)].[All]" allUniqueName="[OPEXAnaliza].[Период (Quarter)].[All]" dimensionUniqueName="[OPEXAnaliza]" displayFolder="" count="0" memberValueDatatype="130" unbalanced="0"/>
    <cacheHierarchy uniqueName="[OPEXAnaliza].[Период (Month)]" caption="Период (Month)" attribute="1" defaultMemberUniqueName="[OPEXAnaliza].[Период (Month)].[All]" allUniqueName="[OPEXAnaliza].[Период (Month)].[All]" dimensionUniqueName="[OPEXAnaliza]" displayFolder="" count="0" memberValueDatatype="130" unbalanced="0"/>
    <cacheHierarchy uniqueName="[rArtikli_HR_Analiza].[Ставка]" caption="Ставка" attribute="1" defaultMemberUniqueName="[rArtikli_HR_Analiza].[Ставка].[All]" allUniqueName="[rArtikli_HR_Analiza].[Ставка].[All]" dimensionUniqueName="[rArtikli_HR_Analiza]" displayFolder="" count="0" memberValueDatatype="130" unbalanced="0"/>
    <cacheHierarchy uniqueName="[rArtikli_HR_Analiza].[Категорија Артикл]" caption="Категорија Артикл" attribute="1" defaultMemberUniqueName="[rArtikli_HR_Analiza].[Категорија Артикл].[All]" allUniqueName="[rArtikli_HR_Analiza].[Категорија Артикл].[All]" dimensionUniqueName="[rArtikli_HR_Analiza]" displayFolder="" count="0" memberValueDatatype="130" unbalanced="0"/>
    <cacheHierarchy uniqueName="[rArtikli_HR_Analiza].[Тип на артикл]" caption="Тип на артикл" attribute="1" defaultMemberUniqueName="[rArtikli_HR_Analiza].[Тип на артикл].[All]" allUniqueName="[rArtikli_HR_Analiza].[Тип на артикл].[All]" dimensionUniqueName="[rArtikli_HR_Analiza]" displayFolder="" count="0" memberValueDatatype="130" unbalanced="0"/>
    <cacheHierarchy uniqueName="[rArtikli_HR_Analiza].[Единечна мерка]" caption="Единечна мерка" attribute="1" defaultMemberUniqueName="[rArtikli_HR_Analiza].[Единечна мерка].[All]" allUniqueName="[rArtikli_HR_Analiza].[Единечна мерка].[All]" dimensionUniqueName="[rArtikli_HR_Analiza]" displayFolder="" count="0" memberValueDatatype="130" unbalanced="0"/>
    <cacheHierarchy uniqueName="[rArtikli_HR_Analiza].[Количина]" caption="Количина" attribute="1" defaultMemberUniqueName="[rArtikli_HR_Analiza].[Количина].[All]" allUniqueName="[rArtikli_HR_Analiza].[Количина].[All]" dimensionUniqueName="[rArtikli_HR_Analiza]" displayFolder="" count="0" memberValueDatatype="5" unbalanced="0"/>
    <cacheHierarchy uniqueName="[rArtikli_HR_Analiza].[Единечна цена]" caption="Единечна цена" attribute="1" defaultMemberUniqueName="[rArtikli_HR_Analiza].[Единечна цена].[All]" allUniqueName="[rArtikli_HR_Analiza].[Единечна цена].[All]" dimensionUniqueName="[rArtikli_HR_Analiza]" displayFolder="" count="0" memberValueDatatype="20" unbalanced="0"/>
    <cacheHierarchy uniqueName="[rArtikli_HR_Analiza].[Вкупно трошок]" caption="Вкупно трошок" attribute="1" defaultMemberUniqueName="[rArtikli_HR_Analiza].[Вкупно трошок].[All]" allUniqueName="[rArtikli_HR_Analiza].[Вкупно трошок].[All]" dimensionUniqueName="[rArtikli_HR_Analiza]" displayFolder="" count="0" memberValueDatatype="5" unbalanced="0"/>
    <cacheHierarchy uniqueName="[rArtikli_HR_Analiza].[ДДВ]" caption="ДДВ" attribute="1" defaultMemberUniqueName="[rArtikli_HR_Analiza].[ДДВ].[All]" allUniqueName="[rArtikli_HR_Analiza].[ДДВ].[All]" dimensionUniqueName="[rArtikli_HR_Analiza]" displayFolder="" count="0" memberValueDatatype="5" unbalanced="0"/>
    <cacheHierarchy uniqueName="[rArtikli_HR_Analiza].[Износ]" caption="Износ" attribute="1" defaultMemberUniqueName="[rArtikli_HR_Analiza].[Износ].[All]" allUniqueName="[rArtikli_HR_Analiza].[Износ].[All]" dimensionUniqueName="[rArtikli_HR_Analiza]" displayFolder="" count="0" memberValueDatatype="5" unbalanced="0"/>
    <cacheHierarchy uniqueName="[rArtikli_HR_Analiza].[Конто]" caption="Конто" attribute="1" defaultMemberUniqueName="[rArtikli_HR_Analiza].[Конто].[All]" allUniqueName="[rArtikli_HR_Analiza].[Конто].[All]" dimensionUniqueName="[rArtikli_HR_Analiza]" displayFolder="" count="0" memberValueDatatype="130" unbalanced="0"/>
    <cacheHierarchy uniqueName="[rArtikli_HR_Analiza].[ReportType]" caption="ReportType" attribute="1" defaultMemberUniqueName="[rArtikli_HR_Analiza].[ReportType].[All]" allUniqueName="[rArtikli_HR_Analiza].[ReportType].[All]" dimensionUniqueName="[rArtikli_HR_Analiza]" displayFolder="" count="0" memberValueDatatype="130" unbalanced="0"/>
    <cacheHierarchy uniqueName="[rArtikli_HR_Analiza].[Период]" caption="Период" attribute="1" time="1" defaultMemberUniqueName="[rArtikli_HR_Analiza].[Период].[All]" allUniqueName="[rArtikli_HR_Analiza].[Период].[All]" dimensionUniqueName="[rArtikli_HR_Analiza]" displayFolder="" count="0" memberValueDatatype="7" unbalanced="0"/>
    <cacheHierarchy uniqueName="[rArtikli_HR_Analiza].[StavkaImeMK]" caption="StavkaImeMK" attribute="1" defaultMemberUniqueName="[rArtikli_HR_Analiza].[StavkaImeMK].[All]" allUniqueName="[rArtikli_HR_Analiza].[StavkaImeMK].[All]" dimensionUniqueName="[rArtikli_HR_Analiza]" displayFolder="" count="0" memberValueDatatype="130" unbalanced="0"/>
    <cacheHierarchy uniqueName="[rArtikli_HR_Analiza].[StavkaAOP]" caption="StavkaAOP" attribute="1" defaultMemberUniqueName="[rArtikli_HR_Analiza].[StavkaAOP].[All]" allUniqueName="[rArtikli_HR_Analiza].[StavkaAOP].[All]" dimensionUniqueName="[rArtikli_HR_Analiza]" displayFolder="" count="0" memberValueDatatype="130" unbalanced="0"/>
    <cacheHierarchy uniqueName="[rArtikli_HR_Analiza].[StavkaGrupa]" caption="StavkaGrupa" attribute="1" defaultMemberUniqueName="[rArtikli_HR_Analiza].[StavkaGrupa].[All]" allUniqueName="[rArtikli_HR_Analiza].[StavkaGrupa].[All]" dimensionUniqueName="[rArtikli_HR_Analiza]" displayFolder="" count="0" memberValueDatatype="130" unbalanced="0"/>
    <cacheHierarchy uniqueName="[rArtikli_HR_Analiza].[StavkaKategorija]" caption="StavkaKategorija" attribute="1" defaultMemberUniqueName="[rArtikli_HR_Analiza].[StavkaKategorija].[All]" allUniqueName="[rArtikli_HR_Analiza].[StavkaKategorija].[All]" dimensionUniqueName="[rArtikli_HR_Analiza]" displayFolder="" count="0" memberValueDatatype="130" unbalanced="0"/>
    <cacheHierarchy uniqueName="[rArtikli_HR_Analiza].[ObrazecIme]" caption="ObrazecIme" attribute="1" defaultMemberUniqueName="[rArtikli_HR_Analiza].[ObrazecIme].[All]" allUniqueName="[rArtikli_HR_Analiza].[ObrazecIme].[All]" dimensionUniqueName="[rArtikli_HR_Analiza]" displayFolder="" count="0" memberValueDatatype="130" unbalanced="0"/>
    <cacheHierarchy uniqueName="[rArtikli_HR_Analiza].[StavkaKategorija.1]" caption="StavkaKategorija.1" attribute="1" defaultMemberUniqueName="[rArtikli_HR_Analiza].[StavkaKategorija.1].[All]" allUniqueName="[rArtikli_HR_Analiza].[StavkaKategorija.1].[All]" dimensionUniqueName="[rArtikli_HR_Analiza]" displayFolder="" count="0" memberValueDatatype="130" unbalanced="0"/>
    <cacheHierarchy uniqueName="[rArtikliAnaliza].[Артикл ИД]" caption="Артикл ИД" attribute="1" defaultMemberUniqueName="[rArtikliAnaliza].[Артикл ИД].[All]" allUniqueName="[rArtikliAnaliza].[Артикл ИД].[All]" dimensionUniqueName="[rArtikliAnaliza]" displayFolder="" count="0" memberValueDatatype="20" unbalanced="0"/>
    <cacheHierarchy uniqueName="[rArtikliAnaliza].[Ставка]" caption="Ставка" attribute="1" defaultMemberUniqueName="[rArtikliAnaliza].[Ставка].[All]" allUniqueName="[rArtikliAnaliza].[Ставка].[All]" dimensionUniqueName="[rArtikliAnaliza]" displayFolder="" count="0" memberValueDatatype="130" unbalanced="0"/>
    <cacheHierarchy uniqueName="[rArtikliAnaliza].[Категорија Артикл ИД]" caption="Категорија Артикл ИД" attribute="1" defaultMemberUniqueName="[rArtikliAnaliza].[Категорија Артикл ИД].[All]" allUniqueName="[rArtikliAnaliza].[Категорија Артикл ИД].[All]" dimensionUniqueName="[rArtikliAnaliza]" displayFolder="" count="0" memberValueDatatype="20" unbalanced="0"/>
    <cacheHierarchy uniqueName="[rArtikliAnaliza].[Категорија Артикл]" caption="Категорија Артикл" attribute="1" defaultMemberUniqueName="[rArtikliAnaliza].[Категорија Артикл].[All]" allUniqueName="[rArtikliAnaliza].[Категорија Артикл].[All]" dimensionUniqueName="[rArtikliAnaliza]" displayFolder="" count="0" memberValueDatatype="130" unbalanced="0"/>
    <cacheHierarchy uniqueName="[rArtikliAnaliza].[Тип на артикл]" caption="Тип на артикл" attribute="1" defaultMemberUniqueName="[rArtikliAnaliza].[Тип на артикл].[All]" allUniqueName="[rArtikliAnaliza].[Тип на артикл].[All]" dimensionUniqueName="[rArtikliAnaliza]" displayFolder="" count="0" memberValueDatatype="130" unbalanced="0"/>
    <cacheHierarchy uniqueName="[rArtikliAnaliza].[Единечна мерка]" caption="Единечна мерка" attribute="1" defaultMemberUniqueName="[rArtikliAnaliza].[Единечна мерка].[All]" allUniqueName="[rArtikliAnaliza].[Единечна мерка].[All]" dimensionUniqueName="[rArtikliAnaliza]" displayFolder="" count="0" memberValueDatatype="130" unbalanced="0"/>
    <cacheHierarchy uniqueName="[rArtikliAnaliza].[Количина]" caption="Количина" attribute="1" defaultMemberUniqueName="[rArtikliAnaliza].[Количина].[All]" allUniqueName="[rArtikliAnaliza].[Количина].[All]" dimensionUniqueName="[rArtikliAnaliza]" displayFolder="" count="0" memberValueDatatype="5" unbalanced="0"/>
    <cacheHierarchy uniqueName="[rArtikliAnaliza].[Единечна цена]" caption="Единечна цена" attribute="1" defaultMemberUniqueName="[rArtikliAnaliza].[Единечна цена].[All]" allUniqueName="[rArtikliAnaliza].[Единечна цена].[All]" dimensionUniqueName="[rArtikliAnaliza]" displayFolder="" count="0" memberValueDatatype="20" unbalanced="0"/>
    <cacheHierarchy uniqueName="[rArtikliAnaliza].[Износ]" caption="Износ" attribute="1" defaultMemberUniqueName="[rArtikliAnaliza].[Износ].[All]" allUniqueName="[rArtikliAnaliza].[Износ].[All]" dimensionUniqueName="[rArtikliAnaliza]" displayFolder="" count="0" memberValueDatatype="5" unbalanced="0"/>
    <cacheHierarchy uniqueName="[rArtikliAnaliza].[ДДВ]" caption="ДДВ" attribute="1" defaultMemberUniqueName="[rArtikliAnaliza].[ДДВ].[All]" allUniqueName="[rArtikliAnaliza].[ДДВ].[All]" dimensionUniqueName="[rArtikliAnaliza]" displayFolder="" count="0" memberValueDatatype="5" unbalanced="0"/>
    <cacheHierarchy uniqueName="[rArtikliAnaliza].[Вкупно трошок со ДДВ]" caption="Вкупно трошок со ДДВ" attribute="1" defaultMemberUniqueName="[rArtikliAnaliza].[Вкупно трошок со ДДВ].[All]" allUniqueName="[rArtikliAnaliza].[Вкупно трошок со ДДВ].[All]" dimensionUniqueName="[rArtikliAnaliza]" displayFolder="" count="0" memberValueDatatype="5" unbalanced="0"/>
    <cacheHierarchy uniqueName="[rArtikliAnaliza].[Конто]" caption="Конто" attribute="1" defaultMemberUniqueName="[rArtikliAnaliza].[Конто].[All]" allUniqueName="[rArtikliAnaliza].[Конто].[All]" dimensionUniqueName="[rArtikliAnaliza]" displayFolder="" count="0" memberValueDatatype="130" unbalanced="0"/>
    <cacheHierarchy uniqueName="[rArtikliAnaliza].[Период]" caption="Период" attribute="1" time="1" defaultMemberUniqueName="[rArtikliAnaliza].[Период].[All]" allUniqueName="[rArtikliAnaliza].[Период].[All]" dimensionUniqueName="[rArtikliAnaliza]" displayFolder="" count="0" memberValueDatatype="7" unbalanced="0"/>
    <cacheHierarchy uniqueName="[rArtikliAnaliza].[ReportType]" caption="ReportType" attribute="1" defaultMemberUniqueName="[rArtikliAnaliza].[ReportType].[All]" allUniqueName="[rArtikliAnaliza].[ReportType].[All]" dimensionUniqueName="[rArtikliAnaliza]" displayFolder="" count="0" memberValueDatatype="130" unbalanced="0"/>
    <cacheHierarchy uniqueName="[rArtikliAnaliza].[StavkaImeMK]" caption="StavkaImeMK" attribute="1" defaultMemberUniqueName="[rArtikliAnaliza].[StavkaImeMK].[All]" allUniqueName="[rArtikliAnaliza].[StavkaImeMK].[All]" dimensionUniqueName="[rArtikliAnaliza]" displayFolder="" count="0" memberValueDatatype="130" unbalanced="0"/>
    <cacheHierarchy uniqueName="[rArtikliAnaliza].[StavkaKategorija]" caption="StavkaKategorija" attribute="1" defaultMemberUniqueName="[rArtikliAnaliza].[StavkaKategorija].[All]" allUniqueName="[rArtikliAnaliza].[StavkaKategorija].[All]" dimensionUniqueName="[rArtikliAnaliza]" displayFolder="" count="0" memberValueDatatype="130" unbalanced="0"/>
    <cacheHierarchy uniqueName="[rArtikliAnaliza].[Период (Year)]" caption="Период (Year)" attribute="1" defaultMemberUniqueName="[rArtikliAnaliza].[Период (Year)].[All]" allUniqueName="[rArtikliAnaliza].[Период (Year)].[All]" dimensionUniqueName="[rArtikliAnaliza]" displayFolder="" count="0" memberValueDatatype="130" unbalanced="0"/>
    <cacheHierarchy uniqueName="[rArtikliAnaliza].[Период (Quarter)]" caption="Период (Quarter)" attribute="1" defaultMemberUniqueName="[rArtikliAnaliza].[Период (Quarter)].[All]" allUniqueName="[rArtikliAnaliza].[Период (Quarter)].[All]" dimensionUniqueName="[rArtikliAnaliza]" displayFolder="" count="0" memberValueDatatype="130" unbalanced="0"/>
    <cacheHierarchy uniqueName="[rArtikliAnaliza].[Период (Month)]" caption="Период (Month)" attribute="1" defaultMemberUniqueName="[rArtikliAnaliza].[Период (Month)].[All]" allUniqueName="[rArtikliAnaliza].[Период (Month)].[All]" dimensionUniqueName="[rArtikliAnaliza]" displayFolder="" count="0" memberValueDatatype="130" unbalanced="0"/>
    <cacheHierarchy uniqueName="[CAPEX].[Очекуван датум за ставање во употреба (месец) (Month Index)]" caption="Очекуван датум за ставање во употреба (месец) (Month Index)" attribute="1" defaultMemberUniqueName="[CAPEX].[Очекуван датум за ставање во употреба (месец) (Month Index)].[All]" allUniqueName="[CAPEX].[Очекуван датум за ставање во употреба (месец) (Month Index)].[All]" dimensionUniqueName="[CAPEX]" displayFolder="" count="0" memberValueDatatype="20" unbalanced="0" hidden="1"/>
    <cacheHierarchy uniqueName="[CAPEX].[Очекуван датум на плаќање (Month Index)]" caption="Очекуван датум на плаќање (Month Index)" attribute="1" defaultMemberUniqueName="[CAPEX].[Очекуван датум на плаќање (Month Index)].[All]" allUniqueName="[CAPEX].[Очекуван датум на плаќање (Month Index)].[All]" dimensionUniqueName="[CAPEX]" displayFolder="" count="0" memberValueDatatype="20" unbalanced="0" hidden="1"/>
    <cacheHierarchy uniqueName="[fActualAndBudget].[StavkaID]" caption="StavkaID" attribute="1" defaultMemberUniqueName="[fActualAndBudget].[StavkaID].[All]" allUniqueName="[fActualAndBudget].[StavkaID].[All]" dimensionUniqueName="[fActualAndBudget]" displayFolder="" count="0" memberValueDatatype="20" unbalanced="0" hidden="1"/>
    <cacheHierarchy uniqueName="[fCoveckiResursi].[Период (Month Index)]" caption="Период (Month Index)" attribute="1" defaultMemberUniqueName="[fCoveckiResursi].[Период (Month Index)].[All]" allUniqueName="[fCoveckiResursi].[Период (Month Index)].[All]" dimensionUniqueName="[fCoveckiResursi]" displayFolder="" count="0" memberValueDatatype="20" unbalanced="0" hidden="1"/>
    <cacheHierarchy uniqueName="[fCoveckiResursi].[Период (Month Index) 1]" caption="Период (Month Index) 1" attribute="1" defaultMemberUniqueName="[fCoveckiResursi].[Период (Month Index) 1].[All]" allUniqueName="[fCoveckiResursi].[Период (Month Index) 1].[All]" dimensionUniqueName="[fCoveckiResursi]" displayFolder="" count="0" memberValueDatatype="20" unbalanced="0" hidden="1"/>
    <cacheHierarchy uniqueName="[OPEXAnaliza].[Период (Month Index)]" caption="Период (Month Index)" attribute="1" defaultMemberUniqueName="[OPEXAnaliza].[Период (Month Index)].[All]" allUniqueName="[OPEXAnaliza].[Период (Month Index)].[All]" dimensionUniqueName="[OPEXAnaliza]" displayFolder="" count="0" memberValueDatatype="20" unbalanced="0" hidden="1"/>
    <cacheHierarchy uniqueName="[rArtikli_HR_Analiza].[Крајна состојба вработени]" caption="Крајна состојба вработени" attribute="1" defaultMemberUniqueName="[rArtikli_HR_Analiza].[Крајна состојба вработени].[All]" allUniqueName="[rArtikli_HR_Analiza].[Крајна состојба вработени].[All]" dimensionUniqueName="[rArtikli_HR_Analiza]" displayFolder="" count="0" memberValueDatatype="20" unbalanced="0" hidden="1"/>
    <cacheHierarchy uniqueName="[rArtikli_HR_Analiza].[Планиран прилив/(одлив)]" caption="Планиран прилив/(одлив)" attribute="1" defaultMemberUniqueName="[rArtikli_HR_Analiza].[Планиран прилив/(одлив)].[All]" allUniqueName="[rArtikli_HR_Analiza].[Планиран прилив/(одлив)].[All]" dimensionUniqueName="[rArtikli_HR_Analiza]" displayFolder="" count="0" memberValueDatatype="20" unbalanced="0" hidden="1"/>
    <cacheHierarchy uniqueName="[rArtikli_HR_Analiza].[Тип на вработување]" caption="Тип на вработување" attribute="1" defaultMemberUniqueName="[rArtikli_HR_Analiza].[Тип на вработување].[All]" allUniqueName="[rArtikli_HR_Analiza].[Тип на вработување].[All]" dimensionUniqueName="[rArtikli_HR_Analiza]" displayFolder="" count="0" memberValueDatatype="130" unbalanced="0" hidden="1"/>
    <cacheHierarchy uniqueName="[rArtikliAnaliza].[Период (Month Index)]" caption="Период (Month Index)" attribute="1" defaultMemberUniqueName="[rArtikliAnaliza].[Период (Month Index)].[All]" allUniqueName="[rArtikliAnaliza].[Период (Month Index)].[All]" dimensionUniqueName="[rArtikliAnaliza]" displayFolder="" count="0" memberValueDatatype="20" unbalanced="0" hidden="1"/>
    <cacheHierarchy uniqueName="[Measures].[__XL_Count Calendar]" caption="__XL_Count Calendar" measure="1" displayFolder="" measureGroup="Calendar" count="0" hidden="1"/>
    <cacheHierarchy uniqueName="[Measures].[__XL_Count CAPEX]" caption="__XL_Count CAPEX" measure="1" displayFolder="" measureGroup="CAPEX" count="0" hidden="1"/>
    <cacheHierarchy uniqueName="[Measures].[__XL_Count Amortizacija]" caption="__XL_Count Amortizacija" measure="1" displayFolder="" measureGroup="Amortizacija" count="0" hidden="1"/>
    <cacheHierarchy uniqueName="[Measures].[__XL_Count fCoveckiResursi]" caption="__XL_Count fCoveckiResursi" measure="1" displayFolder="" measureGroup="fCoveckiResursi" count="0" hidden="1"/>
    <cacheHierarchy uniqueName="[Measures].[__XL_Count fActualAndBudget]" caption="__XL_Count fActualAndBudget" measure="1" displayFolder="" measureGroup="fActualAndBudget" count="0" hidden="1"/>
    <cacheHierarchy uniqueName="[Measures].[__XL_Count fOPEX]" caption="__XL_Count fOPEX" measure="1" displayFolder="" measureGroup="fOPEX" count="0" hidden="1"/>
    <cacheHierarchy uniqueName="[Measures].[__XL_Count OPEXAnaliza]" caption="__XL_Count OPEXAnaliza" measure="1" displayFolder="" measureGroup="OPEXAnaliza" count="0" hidden="1"/>
    <cacheHierarchy uniqueName="[Measures].[__XL_Count rArtikliAnaliza]" caption="__XL_Count rArtikliAnaliza" measure="1" displayFolder="" measureGroup="rArtikliAnaliza" count="0" hidden="1"/>
    <cacheHierarchy uniqueName="[Measures].[__XL_Count fArtikliCeni]" caption="__XL_Count fArtikliCeni" measure="1" displayFolder="" measureGroup="fArtikliCeni" count="0" hidden="1"/>
    <cacheHierarchy uniqueName="[Measures].[__XL_Count rArtikli_HR_Analiza]" caption="__XL_Count rArtikli_HR_Analiza" measure="1" displayFolder="" measureGroup="rArtikli_HR_Analiza" count="0" hidden="1"/>
    <cacheHierarchy uniqueName="[Measures].[__XL_Count fCoveckiResursi  2]" caption="__XL_Count fCoveckiResursi  2" measure="1" displayFolder="" measureGroup="fCoveckiResursi  2" count="0" hidden="1"/>
    <cacheHierarchy uniqueName="[Measures].[__No measures defined]" caption="__No measures defined" measure="1" displayFolder="" count="0" hidden="1"/>
    <cacheHierarchy uniqueName="[Measures].[Sum of Износ 3]" caption="Sum of Износ 3" measure="1" displayFolder="" measureGroup="fCoveckiResursi" count="0" hidden="1">
      <extLst>
        <ext xmlns:x15="http://schemas.microsoft.com/office/spreadsheetml/2010/11/main" uri="{B97F6D7D-B522-45F9-BDA1-12C45D357490}">
          <x15:cacheHierarchy aggregatedColumn="71"/>
        </ext>
      </extLst>
    </cacheHierarchy>
    <cacheHierarchy uniqueName="[Measures].[Sum of Крајна состојба вработени]" caption="Sum of Крајна состојба вработени" measure="1" displayFolder="" measureGroup="fCoveckiResursi" count="0" hidden="1">
      <extLst>
        <ext xmlns:x15="http://schemas.microsoft.com/office/spreadsheetml/2010/11/main" uri="{B97F6D7D-B522-45F9-BDA1-12C45D357490}">
          <x15:cacheHierarchy aggregatedColumn="70"/>
        </ext>
      </extLst>
    </cacheHierarchy>
    <cacheHierarchy uniqueName="[Measures].[Sum of Планиран прилив/(одлив)]" caption="Sum of Планиран прилив/(одлив)" measure="1" displayFolder="" measureGroup="fCoveckiResursi" count="0" hidden="1">
      <extLst>
        <ext xmlns:x15="http://schemas.microsoft.com/office/spreadsheetml/2010/11/main" uri="{B97F6D7D-B522-45F9-BDA1-12C45D357490}">
          <x15:cacheHierarchy aggregatedColumn="68"/>
        </ext>
      </extLst>
    </cacheHierarchy>
    <cacheHierarchy uniqueName="[Measures].[Sum of Износ]" caption="Sum of Износ" measure="1" displayFolder="" measureGroup="fActualAndBudget" count="0" hidden="1">
      <extLst>
        <ext xmlns:x15="http://schemas.microsoft.com/office/spreadsheetml/2010/11/main" uri="{B97F6D7D-B522-45F9-BDA1-12C45D357490}">
          <x15:cacheHierarchy aggregatedColumn="45"/>
        </ext>
      </extLst>
    </cacheHierarchy>
    <cacheHierarchy uniqueName="[Measures].[Sum of Износ (илјади)]" caption="Sum of Износ (илјади)" measure="1" displayFolder="" measureGroup="fActualAndBudget" count="0" hidden="1">
      <extLst>
        <ext xmlns:x15="http://schemas.microsoft.com/office/spreadsheetml/2010/11/main" uri="{B97F6D7D-B522-45F9-BDA1-12C45D357490}">
          <x15:cacheHierarchy aggregatedColumn="46"/>
        </ext>
      </extLst>
    </cacheHierarchy>
    <cacheHierarchy uniqueName="[Measures].[Sum of Износ1]" caption="Sum of Износ1" measure="1" displayFolder="" measureGroup="fActualAndBudget" count="0" hidden="1">
      <extLst>
        <ext xmlns:x15="http://schemas.microsoft.com/office/spreadsheetml/2010/11/main" uri="{B97F6D7D-B522-45F9-BDA1-12C45D357490}">
          <x15:cacheHierarchy aggregatedColumn="34"/>
        </ext>
      </extLst>
    </cacheHierarchy>
    <cacheHierarchy uniqueName="[Measures].[Sum of Износ 2]" caption="Sum of Износ 2" measure="1" displayFolder="" measureGroup="Amortizacija" count="0" hidden="1">
      <extLst>
        <ext xmlns:x15="http://schemas.microsoft.com/office/spreadsheetml/2010/11/main" uri="{B97F6D7D-B522-45F9-BDA1-12C45D357490}">
          <x15:cacheHierarchy aggregatedColumn="3"/>
        </ext>
      </extLst>
    </cacheHierarchy>
    <cacheHierarchy uniqueName="[Measures].[Sum of Износ 4]" caption="Sum of Износ 4" measure="1" displayFolder="" measureGroup="OPEXAnaliza" count="0" hidden="1">
      <extLst>
        <ext xmlns:x15="http://schemas.microsoft.com/office/spreadsheetml/2010/11/main" uri="{B97F6D7D-B522-45F9-BDA1-12C45D357490}">
          <x15:cacheHierarchy aggregatedColumn="101"/>
        </ext>
      </extLst>
    </cacheHierarchy>
    <cacheHierarchy uniqueName="[Measures].[Sum of Износ донација]" caption="Sum of Износ донација" measure="1" displayFolder="" measureGroup="CAPEX" count="0" hidden="1">
      <extLst>
        <ext xmlns:x15="http://schemas.microsoft.com/office/spreadsheetml/2010/11/main" uri="{B97F6D7D-B522-45F9-BDA1-12C45D357490}">
          <x15:cacheHierarchy aggregatedColumn="24"/>
        </ext>
      </extLst>
    </cacheHierarchy>
    <cacheHierarchy uniqueName="[Measures].[Sum of Вкупно трошок]" caption="Sum of Вкупно трошок" measure="1" displayFolder="" measureGroup="fArtikliCeni" count="0" hidden="1">
      <extLst>
        <ext xmlns:x15="http://schemas.microsoft.com/office/spreadsheetml/2010/11/main" uri="{B97F6D7D-B522-45F9-BDA1-12C45D357490}">
          <x15:cacheHierarchy aggregatedColumn="55"/>
        </ext>
      </extLst>
    </cacheHierarchy>
    <cacheHierarchy uniqueName="[Measures].[Sum of Количина]" caption="Sum of Количина" measure="1" displayFolder="" measureGroup="fArtikliCeni" count="0" hidden="1">
      <extLst>
        <ext xmlns:x15="http://schemas.microsoft.com/office/spreadsheetml/2010/11/main" uri="{B97F6D7D-B522-45F9-BDA1-12C45D357490}">
          <x15:cacheHierarchy aggregatedColumn="53"/>
        </ext>
      </extLst>
    </cacheHierarchy>
    <cacheHierarchy uniqueName="[Measures].[Sum of Единечна цена]" caption="Sum of Единечна цена" measure="1" displayFolder="" measureGroup="fArtikliCeni" count="0" hidden="1">
      <extLst>
        <ext xmlns:x15="http://schemas.microsoft.com/office/spreadsheetml/2010/11/main" uri="{B97F6D7D-B522-45F9-BDA1-12C45D357490}">
          <x15:cacheHierarchy aggregatedColumn="54"/>
        </ext>
      </extLst>
    </cacheHierarchy>
    <cacheHierarchy uniqueName="[Measures].[Sum of ДДВ]" caption="Sum of ДДВ" measure="1" displayFolder="" measureGroup="fArtikliCeni" count="0" hidden="1">
      <extLst>
        <ext xmlns:x15="http://schemas.microsoft.com/office/spreadsheetml/2010/11/main" uri="{B97F6D7D-B522-45F9-BDA1-12C45D357490}">
          <x15:cacheHierarchy aggregatedColumn="56"/>
        </ext>
      </extLst>
    </cacheHierarchy>
    <cacheHierarchy uniqueName="[Measures].[Sum of Износ 6]" caption="Sum of Износ 6" measure="1" displayFolder="" measureGroup="fArtikliCeni" count="0" hidden="1">
      <extLst>
        <ext xmlns:x15="http://schemas.microsoft.com/office/spreadsheetml/2010/11/main" uri="{B97F6D7D-B522-45F9-BDA1-12C45D357490}">
          <x15:cacheHierarchy aggregatedColumn="57"/>
        </ext>
      </extLst>
    </cacheHierarchy>
    <cacheHierarchy uniqueName="[Measures].[Count of Единечна мерка]" caption="Count of Единечна мерка" measure="1" displayFolder="" measureGroup="fArtikliCeni" count="0" hidden="1">
      <extLst>
        <ext xmlns:x15="http://schemas.microsoft.com/office/spreadsheetml/2010/11/main" uri="{B97F6D7D-B522-45F9-BDA1-12C45D357490}">
          <x15:cacheHierarchy aggregatedColumn="52"/>
        </ext>
      </extLst>
    </cacheHierarchy>
    <cacheHierarchy uniqueName="[Measures].[Sum of Количина 2]" caption="Sum of Количина 2" measure="1" displayFolder="" measureGroup="rArtikli_HR_Analiza" count="0" hidden="1">
      <extLst>
        <ext xmlns:x15="http://schemas.microsoft.com/office/spreadsheetml/2010/11/main" uri="{B97F6D7D-B522-45F9-BDA1-12C45D357490}">
          <x15:cacheHierarchy aggregatedColumn="118"/>
        </ext>
      </extLst>
    </cacheHierarchy>
    <cacheHierarchy uniqueName="[Measures].[Sum of Единечна цена 2]" caption="Sum of Единечна цена 2" measure="1" displayFolder="" measureGroup="rArtikli_HR_Analiza" count="0" hidden="1">
      <extLst>
        <ext xmlns:x15="http://schemas.microsoft.com/office/spreadsheetml/2010/11/main" uri="{B97F6D7D-B522-45F9-BDA1-12C45D357490}">
          <x15:cacheHierarchy aggregatedColumn="119"/>
        </ext>
      </extLst>
    </cacheHierarchy>
    <cacheHierarchy uniqueName="[Measures].[Sum of Вкупно трошок 2]" caption="Sum of Вкупно трошок 2" measure="1" displayFolder="" measureGroup="rArtikli_HR_Analiza" count="0" hidden="1">
      <extLst>
        <ext xmlns:x15="http://schemas.microsoft.com/office/spreadsheetml/2010/11/main" uri="{B97F6D7D-B522-45F9-BDA1-12C45D357490}">
          <x15:cacheHierarchy aggregatedColumn="120"/>
        </ext>
      </extLst>
    </cacheHierarchy>
    <cacheHierarchy uniqueName="[Measures].[Sum of ДДВ 2]" caption="Sum of ДДВ 2" measure="1" displayFolder="" measureGroup="rArtikli_HR_Analiza" count="0" hidden="1">
      <extLst>
        <ext xmlns:x15="http://schemas.microsoft.com/office/spreadsheetml/2010/11/main" uri="{B97F6D7D-B522-45F9-BDA1-12C45D357490}">
          <x15:cacheHierarchy aggregatedColumn="121"/>
        </ext>
      </extLst>
    </cacheHierarchy>
    <cacheHierarchy uniqueName="[Measures].[Sum of Износ 7]" caption="Sum of Износ 7" measure="1" displayFolder="" measureGroup="rArtikli_HR_Analiza" count="0" hidden="1">
      <extLst>
        <ext xmlns:x15="http://schemas.microsoft.com/office/spreadsheetml/2010/11/main" uri="{B97F6D7D-B522-45F9-BDA1-12C45D357490}">
          <x15:cacheHierarchy aggregatedColumn="122"/>
        </ext>
      </extLst>
    </cacheHierarchy>
    <cacheHierarchy uniqueName="[Measures].[Sum of Износ 5]" caption="Sum of Износ 5" measure="1" displayFolder="" measureGroup="fCoveckiResursi  2" count="0" hidden="1">
      <extLst>
        <ext xmlns:x15="http://schemas.microsoft.com/office/spreadsheetml/2010/11/main" uri="{B97F6D7D-B522-45F9-BDA1-12C45D357490}">
          <x15:cacheHierarchy aggregatedColumn="82"/>
        </ext>
      </extLst>
    </cacheHierarchy>
    <cacheHierarchy uniqueName="[Measures].[Sum of Проценета вредност на набавка со ДДВ (денари)]" caption="Sum of Проценета вредност на набавка со ДДВ (денари)" measure="1" displayFolder="" measureGroup="CAPEX" count="0" hidden="1">
      <extLst>
        <ext xmlns:x15="http://schemas.microsoft.com/office/spreadsheetml/2010/11/main" uri="{B97F6D7D-B522-45F9-BDA1-12C45D357490}">
          <x15:cacheHierarchy aggregatedColumn="20"/>
        </ext>
      </extLst>
    </cacheHierarchy>
  </cacheHierarchies>
  <kpis count="0"/>
  <extLst>
    <ext xmlns:x14="http://schemas.microsoft.com/office/spreadsheetml/2009/9/main" uri="{725AE2AE-9491-48be-B2B4-4EB974FC3084}">
      <x14:pivotCacheDefinition slicerData="1" pivotCacheId="627414974" supportSubqueryNonVisual="1" supportSubqueryCalcMem="1" supportAddCalcMems="1"/>
    </ext>
  </extLst>
</pivotCacheDefinition>
</file>

<file path=xl/pivotCache/pivotCacheDefinition3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ngela Sazdova - Doneva" refreshedDate="44899.978564699071" createdVersion="3" refreshedVersion="6" minRefreshableVersion="3" recordCount="0" supportSubquery="1" supportAdvancedDrill="1" xr:uid="{00000000-000A-0000-FFFF-FFFF24000000}">
  <cacheSource type="external" connectionId="22">
    <extLst>
      <ext xmlns:x14="http://schemas.microsoft.com/office/spreadsheetml/2009/9/main" uri="{F057638F-6D5F-4e77-A914-E7F072B9BCA8}">
        <x14:sourceConnection name="ThisWorkbookDataModel"/>
      </ext>
    </extLst>
  </cacheSource>
  <cacheFields count="0"/>
  <cacheHierarchies count="195">
    <cacheHierarchy uniqueName="[Amortizacija].[Број на јавна набавка (план)]" caption="Број на јавна набавка (план)" attribute="1" defaultMemberUniqueName="[Amortizacija].[Број на јавна набавка (план)].[All]" allUniqueName="[Amortizacija].[Број на јавна набавка (план)].[All]" dimensionUniqueName="[Amortizacija]" displayFolder="" count="0" memberValueDatatype="130" unbalanced="0"/>
    <cacheHierarchy uniqueName="[Amortizacija].[Ставка]" caption="Ставка" attribute="1" defaultMemberUniqueName="[Amortizacija].[Ставка].[All]" allUniqueName="[Amortizacija].[Ставка].[All]" dimensionUniqueName="[Amortizacija]" displayFolder="" count="0" memberValueDatatype="130" unbalanced="0"/>
    <cacheHierarchy uniqueName="[Amortizacija].[Период]" caption="Период" attribute="1" time="1" defaultMemberUniqueName="[Amortizacija].[Период].[All]" allUniqueName="[Amortizacija].[Период].[All]" dimensionUniqueName="[Amortizacija]" displayFolder="" count="0" memberValueDatatype="7" unbalanced="0"/>
    <cacheHierarchy uniqueName="[Amortizacija].[Износ]" caption="Износ" attribute="1" defaultMemberUniqueName="[Amortizacija].[Износ].[All]" allUniqueName="[Amortizacija].[Износ].[All]" dimensionUniqueName="[Amortizacija]" displayFolder="" count="0" memberValueDatatype="20" unbalanced="0"/>
    <cacheHierarchy uniqueName="[Amortizacija].[Конто]" caption="Конто" attribute="1" defaultMemberUniqueName="[Amortizacija].[Конто].[All]" allUniqueName="[Amortizacija].[Конто].[All]" dimensionUniqueName="[Amortizacija]" displayFolder="" count="0" memberValueDatatype="130" unbalanced="0"/>
    <cacheHierarchy uniqueName="[Amortizacija].[ReportType]" caption="ReportType" attribute="1" defaultMemberUniqueName="[Amortizacija].[ReportType].[All]" allUniqueName="[Amortizacija].[ReportType].[All]" dimensionUniqueName="[Amortizacija]" displayFolder="" count="0" memberValueDatatype="130" unbalanced="0"/>
    <cacheHierarchy uniqueName="[Calendar].[Date]" caption="Date" attribute="1" time="1" keyAttribute="1" defaultMemberUniqueName="[Calendar].[Date].[All]" allUniqueName="[Calendar].[Date].[All]" dimensionUniqueName="[Calendar]" displayFolder="" count="0" memberValueDatatype="7" unbalanced="0"/>
    <cacheHierarchy uniqueName="[Calendar].[Date Hierarchy]" caption="Date Hierarchy" time="1" defaultMemberUniqueName="[Calendar].[Date Hierarchy].[All]" allUniqueName="[Calendar].[Date Hierarchy].[All]" dimensionUniqueName="[Calendar]" displayFolder="" count="4" unbalanced="0"/>
    <cacheHierarchy uniqueName="[Calendar].[Година]" caption="Година" attribute="1" time="1" defaultMemberUniqueName="[Calendar].[Година].[All]" allUniqueName="[Calendar].[Година].[All]" dimensionUniqueName="[Calendar]" displayFolder="" count="0" memberValueDatatype="20" unbalanced="0"/>
    <cacheHierarchy uniqueName="[Calendar].[Month Number]" caption="Month Number" attribute="1" time="1" defaultMemberUniqueName="[Calendar].[Month Number].[All]" allUniqueName="[Calendar].[Month Number].[All]" dimensionUniqueName="[Calendar]" displayFolder="" count="0" memberValueDatatype="20" unbalanced="0"/>
    <cacheHierarchy uniqueName="[Calendar].[Месец]" caption="Месец" attribute="1" time="1" defaultMemberUniqueName="[Calendar].[Месец].[All]" allUniqueName="[Calendar].[Месец].[All]" dimensionUniqueName="[Calendar]" displayFolder="" count="0" memberValueDatatype="130" unbalanced="0"/>
    <cacheHierarchy uniqueName="[Calendar].[MMM-YYYY]" caption="MMM-YYYY" attribute="1" time="1" defaultMemberUniqueName="[Calendar].[MMM-YYYY].[All]" allUniqueName="[Calendar].[MMM-YYYY].[All]" dimensionUniqueName="[Calendar]" displayFolder="" count="0" memberValueDatatype="130" unbalanced="0"/>
    <cacheHierarchy uniqueName="[Calendar].[Day Of Week Number]" caption="Day Of Week Number" attribute="1" time="1" defaultMemberUniqueName="[Calendar].[Day Of Week Number].[All]" allUniqueName="[Calendar].[Day Of Week Number].[All]" dimensionUniqueName="[Calendar]" displayFolder="" count="0" memberValueDatatype="20" unbalanced="0"/>
    <cacheHierarchy uniqueName="[Calendar].[Day Of Week]" caption="Day Of Week" attribute="1" time="1" defaultMemberUniqueName="[Calendar].[Day Of Week].[All]" allUniqueName="[Calendar].[Day Of Week].[All]" dimensionUniqueName="[Calendar]" displayFolder="" count="0" memberValueDatatype="130" unbalanced="0"/>
    <cacheHierarchy uniqueName="[Calendar].[Квартал]" caption="Квартал" attribute="1" time="1" defaultMemberUniqueName="[Calendar].[Квартал].[All]" allUniqueName="[Calendar].[Квартал].[All]" dimensionUniqueName="[Calendar]" displayFolder="" count="0" memberValueDatatype="7" unbalanced="0"/>
    <cacheHierarchy uniqueName="[CAPEX].[Година за реализација на проект]" caption="Година за реализација на проект" attribute="1" defaultMemberUniqueName="[CAPEX].[Година за реализација на проект].[All]" allUniqueName="[CAPEX].[Година за реализација на проект].[All]" dimensionUniqueName="[CAPEX]" displayFolder="" count="0" memberValueDatatype="20" unbalanced="0"/>
    <cacheHierarchy uniqueName="[CAPEX].[Број на јавна набавка (план)]" caption="Број на јавна набавка (план)" attribute="1" defaultMemberUniqueName="[CAPEX].[Број на јавна набавка (план)].[All]" allUniqueName="[CAPEX].[Број на јавна набавка (план)].[All]" dimensionUniqueName="[CAPEX]" displayFolder="" count="0" memberValueDatatype="130" unbalanced="0"/>
    <cacheHierarchy uniqueName="[CAPEX].[Предмет на договорот за јавна набавка]" caption="Предмет на договорот за јавна набавка" attribute="1" defaultMemberUniqueName="[CAPEX].[Предмет на договорот за јавна набавка].[All]" allUniqueName="[CAPEX].[Предмет на договорот за јавна набавка].[All]" dimensionUniqueName="[CAPEX]" displayFolder="" count="0" memberValueDatatype="130" unbalanced="0"/>
    <cacheHierarchy uniqueName="[CAPEX].[Очекуван датум на плаќање]" caption="Очекуван датум на плаќање" attribute="1" time="1" defaultMemberUniqueName="[CAPEX].[Очекуван датум на плаќање].[All]" allUniqueName="[CAPEX].[Очекуван датум на плаќање].[All]" dimensionUniqueName="[CAPEX]" displayFolder="" count="0" memberValueDatatype="7" unbalanced="0"/>
    <cacheHierarchy uniqueName="[CAPEX].[Очекуван датум за ставање во употреба (месец)]" caption="Очекуван датум за ставање во употреба (месец)" attribute="1" time="1" defaultMemberUniqueName="[CAPEX].[Очекуван датум за ставање во употреба (месец)].[All]" allUniqueName="[CAPEX].[Очекуван датум за ставање во употреба (месец)].[All]" dimensionUniqueName="[CAPEX]" displayFolder="" count="0" memberValueDatatype="7" unbalanced="0"/>
    <cacheHierarchy uniqueName="[CAPEX].[Проценета вредност на набавка со ДДВ (денари)]" caption="Проценета вредност на набавка со ДДВ (денари)" attribute="1" defaultMemberUniqueName="[CAPEX].[Проценета вредност на набавка со ДДВ (денари)].[All]" allUniqueName="[CAPEX].[Проценета вредност на набавка со ДДВ (денари)].[All]" dimensionUniqueName="[CAPEX]" displayFolder="" count="0" memberValueDatatype="20" unbalanced="0"/>
    <cacheHierarchy uniqueName="[CAPEX].[Стапка на амортизација]" caption="Стапка на амортизација" attribute="1" defaultMemberUniqueName="[CAPEX].[Стапка на амортизација].[All]" allUniqueName="[CAPEX].[Стапка на амортизација].[All]" dimensionUniqueName="[CAPEX]" displayFolder="" count="0" memberValueDatatype="5" unbalanced="0"/>
    <cacheHierarchy uniqueName="[CAPEX].[Конто Средства]" caption="Конто Средства" attribute="1" defaultMemberUniqueName="[CAPEX].[Конто Средства].[All]" allUniqueName="[CAPEX].[Конто Средства].[All]" dimensionUniqueName="[CAPEX]" displayFolder="" count="0" memberValueDatatype="130" unbalanced="0"/>
    <cacheHierarchy uniqueName="[CAPEX].[Конто Амортизација]" caption="Конто Амортизација" attribute="1" defaultMemberUniqueName="[CAPEX].[Конто Амортизација].[All]" allUniqueName="[CAPEX].[Конто Амортизација].[All]" dimensionUniqueName="[CAPEX]" displayFolder="" count="0" memberValueDatatype="130" unbalanced="0"/>
    <cacheHierarchy uniqueName="[CAPEX].[Износ донација]" caption="Износ донација" attribute="1" defaultMemberUniqueName="[CAPEX].[Износ донација].[All]" allUniqueName="[CAPEX].[Износ донација].[All]" dimensionUniqueName="[CAPEX]" displayFolder="" count="0" memberValueDatatype="20" unbalanced="0"/>
    <cacheHierarchy uniqueName="[CAPEX].[Очекуван датум на плаќање (Year)]" caption="Очекуван датум на плаќање (Year)" attribute="1" defaultMemberUniqueName="[CAPEX].[Очекуван датум на плаќање (Year)].[All]" allUniqueName="[CAPEX].[Очекуван датум на плаќање (Year)].[All]" dimensionUniqueName="[CAPEX]" displayFolder="" count="0" memberValueDatatype="130" unbalanced="0"/>
    <cacheHierarchy uniqueName="[CAPEX].[Очекуван датум на плаќање (Quarter)]" caption="Очекуван датум на плаќање (Quarter)" attribute="1" defaultMemberUniqueName="[CAPEX].[Очекуван датум на плаќање (Quarter)].[All]" allUniqueName="[CAPEX].[Очекуван датум на плаќање (Quarter)].[All]" dimensionUniqueName="[CAPEX]" displayFolder="" count="0" memberValueDatatype="130" unbalanced="0"/>
    <cacheHierarchy uniqueName="[CAPEX].[Очекуван датум на плаќање (Month)]" caption="Очекуван датум на плаќање (Month)" attribute="1" defaultMemberUniqueName="[CAPEX].[Очекуван датум на плаќање (Month)].[All]" allUniqueName="[CAPEX].[Очекуван датум на плаќање (Month)].[All]" dimensionUniqueName="[CAPEX]" displayFolder="" count="0" memberValueDatatype="130" unbalanced="0"/>
    <cacheHierarchy uniqueName="[CAPEX].[Очекуван датум за ставање во употреба (месец) (Year)]" caption="Очекуван датум за ставање во употреба (месец) (Year)" attribute="1" defaultMemberUniqueName="[CAPEX].[Очекуван датум за ставање во употреба (месец) (Year)].[All]" allUniqueName="[CAPEX].[Очекуван датум за ставање во употреба (месец) (Year)].[All]" dimensionUniqueName="[CAPEX]" displayFolder="" count="0" memberValueDatatype="130" unbalanced="0"/>
    <cacheHierarchy uniqueName="[CAPEX].[Очекуван датум за ставање во употреба (месец) (Quarter)]" caption="Очекуван датум за ставање во употреба (месец) (Quarter)" attribute="1" defaultMemberUniqueName="[CAPEX].[Очекуван датум за ставање во употреба (месец) (Quarter)].[All]" allUniqueName="[CAPEX].[Очекуван датум за ставање во употреба (месец) (Quarter)].[All]" dimensionUniqueName="[CAPEX]" displayFolder="" count="0" memberValueDatatype="130" unbalanced="0"/>
    <cacheHierarchy uniqueName="[CAPEX].[Очекуван датум за ставање во употреба (месец) (Month)]" caption="Очекуван датум за ставање во употреба (месец) (Month)" attribute="1" defaultMemberUniqueName="[CAPEX].[Очекуван датум за ставање во употреба (месец) (Month)].[All]" allUniqueName="[CAPEX].[Очекуван датум за ставање во употреба (месец) (Month)].[All]" dimensionUniqueName="[CAPEX]" displayFolder="" count="0" memberValueDatatype="130" unbalanced="0"/>
    <cacheHierarchy uniqueName="[fActualAndBudget].[Конто]" caption="Конто" attribute="1" defaultMemberUniqueName="[fActualAndBudget].[Конто].[All]" allUniqueName="[fActualAndBudget].[Конто].[All]" dimensionUniqueName="[fActualAndBudget]" displayFolder="" count="0" memberValueDatatype="130" unbalanced="0"/>
    <cacheHierarchy uniqueName="[fActualAndBudget].[Назив на конто]" caption="Назив на конто" attribute="1" defaultMemberUniqueName="[fActualAndBudget].[Назив на конто].[All]" allUniqueName="[fActualAndBudget].[Назив на конто].[All]" dimensionUniqueName="[fActualAndBudget]" displayFolder="" count="0" memberValueDatatype="130" unbalanced="0"/>
    <cacheHierarchy uniqueName="[fActualAndBudget].[Период]" caption="Период" attribute="1" time="1" defaultMemberUniqueName="[fActualAndBudget].[Период].[All]" allUniqueName="[fActualAndBudget].[Период].[All]" dimensionUniqueName="[fActualAndBudget]" displayFolder="" count="0" memberValueDatatype="7" unbalanced="0"/>
    <cacheHierarchy uniqueName="[fActualAndBudget].[Износ1]" caption="Износ1" attribute="1" defaultMemberUniqueName="[fActualAndBudget].[Износ1].[All]" allUniqueName="[fActualAndBudget].[Износ1].[All]" dimensionUniqueName="[fActualAndBudget]" displayFolder="" count="0" memberValueDatatype="20" unbalanced="0"/>
    <cacheHierarchy uniqueName="[fActualAndBudget].[ReportType]" caption="ReportType" attribute="1" defaultMemberUniqueName="[fActualAndBudget].[ReportType].[All]" allUniqueName="[fActualAndBudget].[ReportType].[All]" dimensionUniqueName="[fActualAndBudget]" displayFolder="" count="0" memberValueDatatype="130" unbalanced="0"/>
    <cacheHierarchy uniqueName="[fActualAndBudget].[Ставка]" caption="Ставка" attribute="1" defaultMemberUniqueName="[fActualAndBudget].[Ставка].[All]" allUniqueName="[fActualAndBudget].[Ставка].[All]" dimensionUniqueName="[fActualAndBudget]" displayFolder="" count="0" memberValueDatatype="130" unbalanced="0"/>
    <cacheHierarchy uniqueName="[fActualAndBudget].[Број на јавна набавка (план)]" caption="Број на јавна набавка (план)" attribute="1" defaultMemberUniqueName="[fActualAndBudget].[Број на јавна набавка (план)].[All]" allUniqueName="[fActualAndBudget].[Број на јавна набавка (план)].[All]" dimensionUniqueName="[fActualAndBudget]" displayFolder="" count="0" memberValueDatatype="130" unbalanced="0"/>
    <cacheHierarchy uniqueName="[fActualAndBudget].[StavkaImeMK]" caption="StavkaImeMK" attribute="1" defaultMemberUniqueName="[fActualAndBudget].[StavkaImeMK].[All]" allUniqueName="[fActualAndBudget].[StavkaImeMK].[All]" dimensionUniqueName="[fActualAndBudget]" displayFolder="" count="0" memberValueDatatype="130" unbalanced="0"/>
    <cacheHierarchy uniqueName="[fActualAndBudget].[StavkaGrupa]" caption="StavkaGrupa" attribute="1" defaultMemberUniqueName="[fActualAndBudget].[StavkaGrupa].[All]" allUniqueName="[fActualAndBudget].[StavkaGrupa].[All]" dimensionUniqueName="[fActualAndBudget]" displayFolder="" count="0" memberValueDatatype="130" unbalanced="0"/>
    <cacheHierarchy uniqueName="[fActualAndBudget].[StavkaKategorija]" caption="StavkaKategorija" attribute="1" defaultMemberUniqueName="[fActualAndBudget].[StavkaKategorija].[All]" allUniqueName="[fActualAndBudget].[StavkaKategorija].[All]" dimensionUniqueName="[fActualAndBudget]" displayFolder="" count="0" memberValueDatatype="130" unbalanced="0"/>
    <cacheHierarchy uniqueName="[fActualAndBudget].[ZnakIzvestaj]" caption="ZnakIzvestaj" attribute="1" defaultMemberUniqueName="[fActualAndBudget].[ZnakIzvestaj].[All]" allUniqueName="[fActualAndBudget].[ZnakIzvestaj].[All]" dimensionUniqueName="[fActualAndBudget]" displayFolder="" count="0" memberValueDatatype="20" unbalanced="0"/>
    <cacheHierarchy uniqueName="[fActualAndBudget].[ObrazecID]" caption="ObrazecID" attribute="1" defaultMemberUniqueName="[fActualAndBudget].[ObrazecID].[All]" allUniqueName="[fActualAndBudget].[ObrazecID].[All]" dimensionUniqueName="[fActualAndBudget]" displayFolder="" count="0" memberValueDatatype="20" unbalanced="0"/>
    <cacheHierarchy uniqueName="[fActualAndBudget].[StavkaAOP]" caption="StavkaAOP" attribute="1" defaultMemberUniqueName="[fActualAndBudget].[StavkaAOP].[All]" allUniqueName="[fActualAndBudget].[StavkaAOP].[All]" dimensionUniqueName="[fActualAndBudget]" displayFolder="" count="0" memberValueDatatype="130" unbalanced="0"/>
    <cacheHierarchy uniqueName="[fActualAndBudget].[ObrazecIme]" caption="ObrazecIme" attribute="1" defaultMemberUniqueName="[fActualAndBudget].[ObrazecIme].[All]" allUniqueName="[fActualAndBudget].[ObrazecIme].[All]" dimensionUniqueName="[fActualAndBudget]" displayFolder="" count="0" memberValueDatatype="130" unbalanced="0"/>
    <cacheHierarchy uniqueName="[fActualAndBudget].[Износ]" caption="Износ" attribute="1" defaultMemberUniqueName="[fActualAndBudget].[Износ].[All]" allUniqueName="[fActualAndBudget].[Износ].[All]" dimensionUniqueName="[fActualAndBudget]" displayFolder="" count="0" memberValueDatatype="20" unbalanced="0"/>
    <cacheHierarchy uniqueName="[fActualAndBudget].[Износ (илјади)]" caption="Износ (илјади)" attribute="1" defaultMemberUniqueName="[fActualAndBudget].[Износ (илјади)].[All]" allUniqueName="[fActualAndBudget].[Износ (илјади)].[All]" dimensionUniqueName="[fActualAndBudget]" displayFolder="" count="0" memberValueDatatype="5" unbalanced="0"/>
    <cacheHierarchy uniqueName="[fActualAndBudget].[StavkaImeAOP]" caption="StavkaImeAOP" attribute="1" defaultMemberUniqueName="[fActualAndBudget].[StavkaImeAOP].[All]" allUniqueName="[fActualAndBudget].[StavkaImeAOP].[All]" dimensionUniqueName="[fActualAndBudget]" displayFolder="" count="0" memberValueDatatype="130" unbalanced="0"/>
    <cacheHierarchy uniqueName="[fActualAndBudget].[Конто Ставка]" caption="Конто Ставка" attribute="1" defaultMemberUniqueName="[fActualAndBudget].[Конто Ставка].[All]" allUniqueName="[fActualAndBudget].[Конто Ставка].[All]" dimensionUniqueName="[fActualAndBudget]" displayFolder="" count="0" memberValueDatatype="130" unbalanced="0"/>
    <cacheHierarchy uniqueName="[fArtikliCeni].[Ставка]" caption="Ставка" attribute="1" defaultMemberUniqueName="[fArtikliCeni].[Ставка].[All]" allUniqueName="[fArtikliCeni].[Ставка].[All]" dimensionUniqueName="[fArtikliCeni]" displayFolder="" count="0" memberValueDatatype="130" unbalanced="0"/>
    <cacheHierarchy uniqueName="[fArtikliCeni].[Категорија Артикл]" caption="Категорија Артикл" attribute="1" defaultMemberUniqueName="[fArtikliCeni].[Категорија Артикл].[All]" allUniqueName="[fArtikliCeni].[Категорија Артикл].[All]" dimensionUniqueName="[fArtikliCeni]" displayFolder="" count="0" memberValueDatatype="130" unbalanced="0"/>
    <cacheHierarchy uniqueName="[fArtikliCeni].[Тип на артикл]" caption="Тип на артикл" attribute="1" defaultMemberUniqueName="[fArtikliCeni].[Тип на артикл].[All]" allUniqueName="[fArtikliCeni].[Тип на артикл].[All]" dimensionUniqueName="[fArtikliCeni]" displayFolder="" count="0" memberValueDatatype="130" unbalanced="0"/>
    <cacheHierarchy uniqueName="[fArtikliCeni].[Единечна мерка]" caption="Единечна мерка" attribute="1" defaultMemberUniqueName="[fArtikliCeni].[Единечна мерка].[All]" allUniqueName="[fArtikliCeni].[Единечна мерка].[All]" dimensionUniqueName="[fArtikliCeni]" displayFolder="" count="0" memberValueDatatype="130" unbalanced="0"/>
    <cacheHierarchy uniqueName="[fArtikliCeni].[Количина]" caption="Количина" attribute="1" defaultMemberUniqueName="[fArtikliCeni].[Количина].[All]" allUniqueName="[fArtikliCeni].[Количина].[All]" dimensionUniqueName="[fArtikliCeni]" displayFolder="" count="0" memberValueDatatype="5" unbalanced="0"/>
    <cacheHierarchy uniqueName="[fArtikliCeni].[Единечна цена]" caption="Единечна цена" attribute="1" defaultMemberUniqueName="[fArtikliCeni].[Единечна цена].[All]" allUniqueName="[fArtikliCeni].[Единечна цена].[All]" dimensionUniqueName="[fArtikliCeni]" displayFolder="" count="0" memberValueDatatype="20" unbalanced="0"/>
    <cacheHierarchy uniqueName="[fArtikliCeni].[Вкупно трошок]" caption="Вкупно трошок" attribute="1" defaultMemberUniqueName="[fArtikliCeni].[Вкупно трошок].[All]" allUniqueName="[fArtikliCeni].[Вкупно трошок].[All]" dimensionUniqueName="[fArtikliCeni]" displayFolder="" count="0" memberValueDatatype="5" unbalanced="0"/>
    <cacheHierarchy uniqueName="[fArtikliCeni].[ДДВ]" caption="ДДВ" attribute="1" defaultMemberUniqueName="[fArtikliCeni].[ДДВ].[All]" allUniqueName="[fArtikliCeni].[ДДВ].[All]" dimensionUniqueName="[fArtikliCeni]" displayFolder="" count="0" memberValueDatatype="5" unbalanced="0"/>
    <cacheHierarchy uniqueName="[fArtikliCeni].[Износ]" caption="Износ" attribute="1" defaultMemberUniqueName="[fArtikliCeni].[Износ].[All]" allUniqueName="[fArtikliCeni].[Износ].[All]" dimensionUniqueName="[fArtikliCeni]" displayFolder="" count="0" memberValueDatatype="5" unbalanced="0"/>
    <cacheHierarchy uniqueName="[fArtikliCeni].[Конто]" caption="Конто" attribute="1" defaultMemberUniqueName="[fArtikliCeni].[Конто].[All]" allUniqueName="[fArtikliCeni].[Конто].[All]" dimensionUniqueName="[fArtikliCeni]" displayFolder="" count="0" memberValueDatatype="130" unbalanced="0"/>
    <cacheHierarchy uniqueName="[fArtikliCeni].[ReportType]" caption="ReportType" attribute="1" defaultMemberUniqueName="[fArtikliCeni].[ReportType].[All]" allUniqueName="[fArtikliCeni].[ReportType].[All]" dimensionUniqueName="[fArtikliCeni]" displayFolder="" count="0" memberValueDatatype="130" unbalanced="0"/>
    <cacheHierarchy uniqueName="[fArtikliCeni].[Период]" caption="Период" attribute="1" time="1" defaultMemberUniqueName="[fArtikliCeni].[Период].[All]" allUniqueName="[fArtikliCeni].[Период].[All]" dimensionUniqueName="[fArtikliCeni]" displayFolder="" count="0" memberValueDatatype="7" unbalanced="0"/>
    <cacheHierarchy uniqueName="[fArtikliCeni].[StavkaImeMK]" caption="StavkaImeMK" attribute="1" defaultMemberUniqueName="[fArtikliCeni].[StavkaImeMK].[All]" allUniqueName="[fArtikliCeni].[StavkaImeMK].[All]" dimensionUniqueName="[fArtikliCeni]" displayFolder="" count="0" memberValueDatatype="130" unbalanced="0"/>
    <cacheHierarchy uniqueName="[fArtikliCeni].[StavkaAOP]" caption="StavkaAOP" attribute="1" defaultMemberUniqueName="[fArtikliCeni].[StavkaAOP].[All]" allUniqueName="[fArtikliCeni].[StavkaAOP].[All]" dimensionUniqueName="[fArtikliCeni]" displayFolder="" count="0" memberValueDatatype="130" unbalanced="0"/>
    <cacheHierarchy uniqueName="[fArtikliCeni].[StavkaGrupa]" caption="StavkaGrupa" attribute="1" defaultMemberUniqueName="[fArtikliCeni].[StavkaGrupa].[All]" allUniqueName="[fArtikliCeni].[StavkaGrupa].[All]" dimensionUniqueName="[fArtikliCeni]" displayFolder="" count="0" memberValueDatatype="130" unbalanced="0"/>
    <cacheHierarchy uniqueName="[fArtikliCeni].[StavkaKategorija]" caption="StavkaKategorija" attribute="1" defaultMemberUniqueName="[fArtikliCeni].[StavkaKategorija].[All]" allUniqueName="[fArtikliCeni].[StavkaKategorija].[All]" dimensionUniqueName="[fArtikliCeni]" displayFolder="" count="0" memberValueDatatype="130" unbalanced="0"/>
    <cacheHierarchy uniqueName="[fArtikliCeni].[ObrazecIme]" caption="ObrazecIme" attribute="1" defaultMemberUniqueName="[fArtikliCeni].[ObrazecIme].[All]" allUniqueName="[fArtikliCeni].[ObrazecIme].[All]" dimensionUniqueName="[fArtikliCeni]" displayFolder="" count="0" memberValueDatatype="130" unbalanced="0"/>
    <cacheHierarchy uniqueName="[fCoveckiResursi].[Ставка]" caption="Ставка" attribute="1" defaultMemberUniqueName="[fCoveckiResursi].[Ставка].[All]" allUniqueName="[fCoveckiResursi].[Ставка].[All]" dimensionUniqueName="[fCoveckiResursi]" displayFolder="" count="0" memberValueDatatype="130" unbalanced="0"/>
    <cacheHierarchy uniqueName="[fCoveckiResursi].[Тип на вработување]" caption="Тип на вработување" attribute="1" defaultMemberUniqueName="[fCoveckiResursi].[Тип на вработување].[All]" allUniqueName="[fCoveckiResursi].[Тип на вработување].[All]" dimensionUniqueName="[fCoveckiResursi]" displayFolder="" count="0" memberValueDatatype="130" unbalanced="0"/>
    <cacheHierarchy uniqueName="[fCoveckiResursi].[Планиран прилив/(одлив)]" caption="Планиран прилив/(одлив)" attribute="1" defaultMemberUniqueName="[fCoveckiResursi].[Планиран прилив/(одлив)].[All]" allUniqueName="[fCoveckiResursi].[Планиран прилив/(одлив)].[All]" dimensionUniqueName="[fCoveckiResursi]" displayFolder="" count="0" memberValueDatatype="20" unbalanced="0"/>
    <cacheHierarchy uniqueName="[fCoveckiResursi].[Период]" caption="Период" attribute="1" time="1" defaultMemberUniqueName="[fCoveckiResursi].[Период].[All]" allUniqueName="[fCoveckiResursi].[Период].[All]" dimensionUniqueName="[fCoveckiResursi]" displayFolder="" count="0" memberValueDatatype="7" unbalanced="0"/>
    <cacheHierarchy uniqueName="[fCoveckiResursi].[Крајна состојба вработени]" caption="Крајна состојба вработени" attribute="1" defaultMemberUniqueName="[fCoveckiResursi].[Крајна состојба вработени].[All]" allUniqueName="[fCoveckiResursi].[Крајна состојба вработени].[All]" dimensionUniqueName="[fCoveckiResursi]" displayFolder="" count="0" memberValueDatatype="20" unbalanced="0"/>
    <cacheHierarchy uniqueName="[fCoveckiResursi].[Износ]" caption="Износ" attribute="1" defaultMemberUniqueName="[fCoveckiResursi].[Износ].[All]" allUniqueName="[fCoveckiResursi].[Износ].[All]" dimensionUniqueName="[fCoveckiResursi]" displayFolder="" count="0" memberValueDatatype="20" unbalanced="0"/>
    <cacheHierarchy uniqueName="[fCoveckiResursi].[Конто]" caption="Конто" attribute="1" defaultMemberUniqueName="[fCoveckiResursi].[Конто].[All]" allUniqueName="[fCoveckiResursi].[Конто].[All]" dimensionUniqueName="[fCoveckiResursi]" displayFolder="" count="0" memberValueDatatype="130" unbalanced="0"/>
    <cacheHierarchy uniqueName="[fCoveckiResursi].[ReportType]" caption="ReportType" attribute="1" defaultMemberUniqueName="[fCoveckiResursi].[ReportType].[All]" allUniqueName="[fCoveckiResursi].[ReportType].[All]" dimensionUniqueName="[fCoveckiResursi]" displayFolder="" count="0" memberValueDatatype="130" unbalanced="0"/>
    <cacheHierarchy uniqueName="[fCoveckiResursi].[Период (Year)]" caption="Период (Year)" attribute="1" defaultMemberUniqueName="[fCoveckiResursi].[Период (Year)].[All]" allUniqueName="[fCoveckiResursi].[Период (Year)].[All]" dimensionUniqueName="[fCoveckiResursi]" displayFolder="" count="0" memberValueDatatype="130" unbalanced="0"/>
    <cacheHierarchy uniqueName="[fCoveckiResursi].[Период (Quarter)]" caption="Период (Quarter)" attribute="1" defaultMemberUniqueName="[fCoveckiResursi].[Период (Quarter)].[All]" allUniqueName="[fCoveckiResursi].[Период (Quarter)].[All]" dimensionUniqueName="[fCoveckiResursi]" displayFolder="" count="0" memberValueDatatype="130" unbalanced="0"/>
    <cacheHierarchy uniqueName="[fCoveckiResursi].[Период (Month)]" caption="Период (Month)" attribute="1" defaultMemberUniqueName="[fCoveckiResursi].[Период (Month)].[All]" allUniqueName="[fCoveckiResursi].[Период (Month)].[All]" dimensionUniqueName="[fCoveckiResursi]" displayFolder="" count="0" memberValueDatatype="130" unbalanced="0"/>
    <cacheHierarchy uniqueName="[fCoveckiResursi].[Период (Year) 1]" caption="Период (Year) 1" attribute="1" defaultMemberUniqueName="[fCoveckiResursi].[Период (Year) 1].[All]" allUniqueName="[fCoveckiResursi].[Период (Year) 1].[All]" dimensionUniqueName="[fCoveckiResursi]" displayFolder="" count="0" memberValueDatatype="130" unbalanced="0"/>
    <cacheHierarchy uniqueName="[fCoveckiResursi].[Период (Quarter) 1]" caption="Период (Quarter) 1" attribute="1" defaultMemberUniqueName="[fCoveckiResursi].[Период (Quarter) 1].[All]" allUniqueName="[fCoveckiResursi].[Период (Quarter) 1].[All]" dimensionUniqueName="[fCoveckiResursi]" displayFolder="" count="0" memberValueDatatype="130" unbalanced="0"/>
    <cacheHierarchy uniqueName="[fCoveckiResursi].[Период (Month) 1]" caption="Период (Month) 1" attribute="1" defaultMemberUniqueName="[fCoveckiResursi].[Период (Month) 1].[All]" allUniqueName="[fCoveckiResursi].[Период (Month) 1].[All]" dimensionUniqueName="[fCoveckiResursi]" displayFolder="" count="0" memberValueDatatype="130" unbalanced="0"/>
    <cacheHierarchy uniqueName="[fCoveckiResursi  2].[Ставка]" caption="Ставка" attribute="1" defaultMemberUniqueName="[fCoveckiResursi  2].[Ставка].[All]" allUniqueName="[fCoveckiResursi  2].[Ставка].[All]" dimensionUniqueName="[fCoveckiResursi  2]" displayFolder="" count="0" memberValueDatatype="130" unbalanced="0"/>
    <cacheHierarchy uniqueName="[fCoveckiResursi  2].[Период]" caption="Период" attribute="1" time="1" defaultMemberUniqueName="[fCoveckiResursi  2].[Период].[All]" allUniqueName="[fCoveckiResursi  2].[Период].[All]" dimensionUniqueName="[fCoveckiResursi  2]" displayFolder="" count="0" memberValueDatatype="7" unbalanced="0"/>
    <cacheHierarchy uniqueName="[fCoveckiResursi  2].[Износ]" caption="Износ" attribute="1" defaultMemberUniqueName="[fCoveckiResursi  2].[Износ].[All]" allUniqueName="[fCoveckiResursi  2].[Износ].[All]" dimensionUniqueName="[fCoveckiResursi  2]" displayFolder="" count="0" memberValueDatatype="20" unbalanced="0"/>
    <cacheHierarchy uniqueName="[fCoveckiResursi  2].[Конто]" caption="Конто" attribute="1" defaultMemberUniqueName="[fCoveckiResursi  2].[Конто].[All]" allUniqueName="[fCoveckiResursi  2].[Конто].[All]" dimensionUniqueName="[fCoveckiResursi  2]" displayFolder="" count="0" memberValueDatatype="130" unbalanced="0"/>
    <cacheHierarchy uniqueName="[fCoveckiResursi  2].[ReportType]" caption="ReportType" attribute="1" defaultMemberUniqueName="[fCoveckiResursi  2].[ReportType].[All]" allUniqueName="[fCoveckiResursi  2].[ReportType].[All]" dimensionUniqueName="[fCoveckiResursi  2]" displayFolder="" count="0" memberValueDatatype="130" unbalanced="0"/>
    <cacheHierarchy uniqueName="[fCoveckiResursi  2].[StavkaImeMK]" caption="StavkaImeMK" attribute="1" defaultMemberUniqueName="[fCoveckiResursi  2].[StavkaImeMK].[All]" allUniqueName="[fCoveckiResursi  2].[StavkaImeMK].[All]" dimensionUniqueName="[fCoveckiResursi  2]" displayFolder="" count="0" memberValueDatatype="130" unbalanced="0"/>
    <cacheHierarchy uniqueName="[fCoveckiResursi  2].[StavkaKategorija]" caption="StavkaKategorija" attribute="1" defaultMemberUniqueName="[fCoveckiResursi  2].[StavkaKategorija].[All]" allUniqueName="[fCoveckiResursi  2].[StavkaKategorija].[All]" dimensionUniqueName="[fCoveckiResursi  2]" displayFolder="" count="0" memberValueDatatype="130" unbalanced="0"/>
    <cacheHierarchy uniqueName="[fCoveckiResursi  2].[ObrazecIme]" caption="ObrazecIme" attribute="1" defaultMemberUniqueName="[fCoveckiResursi  2].[ObrazecIme].[All]" allUniqueName="[fCoveckiResursi  2].[ObrazecIme].[All]" dimensionUniqueName="[fCoveckiResursi  2]" displayFolder="" count="0" memberValueDatatype="130" unbalanced="0"/>
    <cacheHierarchy uniqueName="[fOPEX].[Конто]" caption="Конто" attribute="1" defaultMemberUniqueName="[fOPEX].[Конто].[All]" allUniqueName="[fOPEX].[Конто].[All]" dimensionUniqueName="[fOPEX]" displayFolder="" count="0" memberValueDatatype="130" unbalanced="0"/>
    <cacheHierarchy uniqueName="[fOPEX].[Ставка]" caption="Ставка" attribute="1" defaultMemberUniqueName="[fOPEX].[Ставка].[All]" allUniqueName="[fOPEX].[Ставка].[All]" dimensionUniqueName="[fOPEX]" displayFolder="" count="0" memberValueDatatype="130" unbalanced="0"/>
    <cacheHierarchy uniqueName="[fOPEX].[Период]" caption="Период" attribute="1" time="1" defaultMemberUniqueName="[fOPEX].[Период].[All]" allUniqueName="[fOPEX].[Период].[All]" dimensionUniqueName="[fOPEX]" displayFolder="" count="0" memberValueDatatype="7" unbalanced="0"/>
    <cacheHierarchy uniqueName="[fOPEX].[Износ]" caption="Износ" attribute="1" defaultMemberUniqueName="[fOPEX].[Износ].[All]" allUniqueName="[fOPEX].[Износ].[All]" dimensionUniqueName="[fOPEX]" displayFolder="" count="0" memberValueDatatype="20" unbalanced="0"/>
    <cacheHierarchy uniqueName="[fOPEX].[ReportType]" caption="ReportType" attribute="1" defaultMemberUniqueName="[fOPEX].[ReportType].[All]" allUniqueName="[fOPEX].[ReportType].[All]" dimensionUniqueName="[fOPEX]" displayFolder="" count="0" memberValueDatatype="130" unbalanced="0"/>
    <cacheHierarchy uniqueName="[OPEXAnaliza].[Артикл ИД]" caption="Артикл ИД" attribute="1" defaultMemberUniqueName="[OPEXAnaliza].[Артикл ИД].[All]" allUniqueName="[OPEXAnaliza].[Артикл ИД].[All]" dimensionUniqueName="[OPEXAnaliza]" displayFolder="" count="0" memberValueDatatype="20" unbalanced="0"/>
    <cacheHierarchy uniqueName="[OPEXAnaliza].[Ставка]" caption="Ставка" attribute="1" defaultMemberUniqueName="[OPEXAnaliza].[Ставка].[All]" allUniqueName="[OPEXAnaliza].[Ставка].[All]" dimensionUniqueName="[OPEXAnaliza]" displayFolder="" count="0" memberValueDatatype="130" unbalanced="0"/>
    <cacheHierarchy uniqueName="[OPEXAnaliza].[Категорија Артикл ИД]" caption="Категорија Артикл ИД" attribute="1" defaultMemberUniqueName="[OPEXAnaliza].[Категорија Артикл ИД].[All]" allUniqueName="[OPEXAnaliza].[Категорија Артикл ИД].[All]" dimensionUniqueName="[OPEXAnaliza]" displayFolder="" count="0" memberValueDatatype="20" unbalanced="0"/>
    <cacheHierarchy uniqueName="[OPEXAnaliza].[Категорија Артикл]" caption="Категорија Артикл" attribute="1" defaultMemberUniqueName="[OPEXAnaliza].[Категорија Артикл].[All]" allUniqueName="[OPEXAnaliza].[Категорија Артикл].[All]" dimensionUniqueName="[OPEXAnaliza]" displayFolder="" count="0" memberValueDatatype="130" unbalanced="0"/>
    <cacheHierarchy uniqueName="[OPEXAnaliza].[Тип на артикл]" caption="Тип на артикл" attribute="1" defaultMemberUniqueName="[OPEXAnaliza].[Тип на артикл].[All]" allUniqueName="[OPEXAnaliza].[Тип на артикл].[All]" dimensionUniqueName="[OPEXAnaliza]" displayFolder="" count="0" memberValueDatatype="130" unbalanced="0"/>
    <cacheHierarchy uniqueName="[OPEXAnaliza].[Единечна мерка]" caption="Единечна мерка" attribute="1" defaultMemberUniqueName="[OPEXAnaliza].[Единечна мерка].[All]" allUniqueName="[OPEXAnaliza].[Единечна мерка].[All]" dimensionUniqueName="[OPEXAnaliza]" displayFolder="" count="0" memberValueDatatype="130" unbalanced="0"/>
    <cacheHierarchy uniqueName="[OPEXAnaliza].[Количина]" caption="Количина" attribute="1" defaultMemberUniqueName="[OPEXAnaliza].[Количина].[All]" allUniqueName="[OPEXAnaliza].[Количина].[All]" dimensionUniqueName="[OPEXAnaliza]" displayFolder="" count="0" memberValueDatatype="5" unbalanced="0"/>
    <cacheHierarchy uniqueName="[OPEXAnaliza].[Единечна цена]" caption="Единечна цена" attribute="1" defaultMemberUniqueName="[OPEXAnaliza].[Единечна цена].[All]" allUniqueName="[OPEXAnaliza].[Единечна цена].[All]" dimensionUniqueName="[OPEXAnaliza]" displayFolder="" count="0" memberValueDatatype="20" unbalanced="0"/>
    <cacheHierarchy uniqueName="[OPEXAnaliza].[Износ]" caption="Износ" attribute="1" defaultMemberUniqueName="[OPEXAnaliza].[Износ].[All]" allUniqueName="[OPEXAnaliza].[Износ].[All]" dimensionUniqueName="[OPEXAnaliza]" displayFolder="" count="0" memberValueDatatype="5" unbalanced="0"/>
    <cacheHierarchy uniqueName="[OPEXAnaliza].[ДДВ]" caption="ДДВ" attribute="1" defaultMemberUniqueName="[OPEXAnaliza].[ДДВ].[All]" allUniqueName="[OPEXAnaliza].[ДДВ].[All]" dimensionUniqueName="[OPEXAnaliza]" displayFolder="" count="0" memberValueDatatype="5" unbalanced="0"/>
    <cacheHierarchy uniqueName="[OPEXAnaliza].[Вкупно трошок со ДДВ]" caption="Вкупно трошок со ДДВ" attribute="1" defaultMemberUniqueName="[OPEXAnaliza].[Вкупно трошок со ДДВ].[All]" allUniqueName="[OPEXAnaliza].[Вкупно трошок со ДДВ].[All]" dimensionUniqueName="[OPEXAnaliza]" displayFolder="" count="0" memberValueDatatype="5" unbalanced="0"/>
    <cacheHierarchy uniqueName="[OPEXAnaliza].[Конто]" caption="Конто" attribute="1" defaultMemberUniqueName="[OPEXAnaliza].[Конто].[All]" allUniqueName="[OPEXAnaliza].[Конто].[All]" dimensionUniqueName="[OPEXAnaliza]" displayFolder="" count="0" memberValueDatatype="130" unbalanced="0"/>
    <cacheHierarchy uniqueName="[OPEXAnaliza].[Период]" caption="Период" attribute="1" time="1" defaultMemberUniqueName="[OPEXAnaliza].[Период].[All]" allUniqueName="[OPEXAnaliza].[Период].[All]" dimensionUniqueName="[OPEXAnaliza]" displayFolder="" count="0" memberValueDatatype="7" unbalanced="0"/>
    <cacheHierarchy uniqueName="[OPEXAnaliza].[ReportType]" caption="ReportType" attribute="1" defaultMemberUniqueName="[OPEXAnaliza].[ReportType].[All]" allUniqueName="[OPEXAnaliza].[ReportType].[All]" dimensionUniqueName="[OPEXAnaliza]" displayFolder="" count="0" memberValueDatatype="130" unbalanced="0"/>
    <cacheHierarchy uniqueName="[OPEXAnaliza].[StavkaImeMK]" caption="StavkaImeMK" attribute="1" defaultMemberUniqueName="[OPEXAnaliza].[StavkaImeMK].[All]" allUniqueName="[OPEXAnaliza].[StavkaImeMK].[All]" dimensionUniqueName="[OPEXAnaliza]" displayFolder="" count="0" memberValueDatatype="130" unbalanced="0"/>
    <cacheHierarchy uniqueName="[OPEXAnaliza].[StavkaKategorija]" caption="StavkaKategorija" attribute="1" defaultMemberUniqueName="[OPEXAnaliza].[StavkaKategorija].[All]" allUniqueName="[OPEXAnaliza].[StavkaKategorija].[All]" dimensionUniqueName="[OPEXAnaliza]" displayFolder="" count="0" memberValueDatatype="130" unbalanced="0"/>
    <cacheHierarchy uniqueName="[OPEXAnaliza].[ObrazecIme]" caption="ObrazecIme" attribute="1" defaultMemberUniqueName="[OPEXAnaliza].[ObrazecIme].[All]" allUniqueName="[OPEXAnaliza].[ObrazecIme].[All]" dimensionUniqueName="[OPEXAnaliza]" displayFolder="" count="0" memberValueDatatype="130" unbalanced="0"/>
    <cacheHierarchy uniqueName="[OPEXAnaliza].[StavkaImeAOP]" caption="StavkaImeAOP" attribute="1" defaultMemberUniqueName="[OPEXAnaliza].[StavkaImeAOP].[All]" allUniqueName="[OPEXAnaliza].[StavkaImeAOP].[All]" dimensionUniqueName="[OPEXAnaliza]" displayFolder="" count="0" memberValueDatatype="20" unbalanced="0"/>
    <cacheHierarchy uniqueName="[OPEXAnaliza].[Период (Year)]" caption="Период (Year)" attribute="1" defaultMemberUniqueName="[OPEXAnaliza].[Период (Year)].[All]" allUniqueName="[OPEXAnaliza].[Период (Year)].[All]" dimensionUniqueName="[OPEXAnaliza]" displayFolder="" count="0" memberValueDatatype="130" unbalanced="0"/>
    <cacheHierarchy uniqueName="[OPEXAnaliza].[Период (Quarter)]" caption="Период (Quarter)" attribute="1" defaultMemberUniqueName="[OPEXAnaliza].[Период (Quarter)].[All]" allUniqueName="[OPEXAnaliza].[Период (Quarter)].[All]" dimensionUniqueName="[OPEXAnaliza]" displayFolder="" count="0" memberValueDatatype="130" unbalanced="0"/>
    <cacheHierarchy uniqueName="[OPEXAnaliza].[Период (Month)]" caption="Период (Month)" attribute="1" defaultMemberUniqueName="[OPEXAnaliza].[Период (Month)].[All]" allUniqueName="[OPEXAnaliza].[Период (Month)].[All]" dimensionUniqueName="[OPEXAnaliza]" displayFolder="" count="0" memberValueDatatype="130" unbalanced="0"/>
    <cacheHierarchy uniqueName="[rArtikli_HR_Analiza].[Ставка]" caption="Ставка" attribute="1" defaultMemberUniqueName="[rArtikli_HR_Analiza].[Ставка].[All]" allUniqueName="[rArtikli_HR_Analiza].[Ставка].[All]" dimensionUniqueName="[rArtikli_HR_Analiza]" displayFolder="" count="0" memberValueDatatype="130" unbalanced="0"/>
    <cacheHierarchy uniqueName="[rArtikli_HR_Analiza].[Категорија Артикл]" caption="Категорија Артикл" attribute="1" defaultMemberUniqueName="[rArtikli_HR_Analiza].[Категорија Артикл].[All]" allUniqueName="[rArtikli_HR_Analiza].[Категорија Артикл].[All]" dimensionUniqueName="[rArtikli_HR_Analiza]" displayFolder="" count="0" memberValueDatatype="130" unbalanced="0"/>
    <cacheHierarchy uniqueName="[rArtikli_HR_Analiza].[Тип на артикл]" caption="Тип на артикл" attribute="1" defaultMemberUniqueName="[rArtikli_HR_Analiza].[Тип на артикл].[All]" allUniqueName="[rArtikli_HR_Analiza].[Тип на артикл].[All]" dimensionUniqueName="[rArtikli_HR_Analiza]" displayFolder="" count="0" memberValueDatatype="130" unbalanced="0"/>
    <cacheHierarchy uniqueName="[rArtikli_HR_Analiza].[Единечна мерка]" caption="Единечна мерка" attribute="1" defaultMemberUniqueName="[rArtikli_HR_Analiza].[Единечна мерка].[All]" allUniqueName="[rArtikli_HR_Analiza].[Единечна мерка].[All]" dimensionUniqueName="[rArtikli_HR_Analiza]" displayFolder="" count="0" memberValueDatatype="130" unbalanced="0"/>
    <cacheHierarchy uniqueName="[rArtikli_HR_Analiza].[Количина]" caption="Количина" attribute="1" defaultMemberUniqueName="[rArtikli_HR_Analiza].[Количина].[All]" allUniqueName="[rArtikli_HR_Analiza].[Количина].[All]" dimensionUniqueName="[rArtikli_HR_Analiza]" displayFolder="" count="0" memberValueDatatype="5" unbalanced="0"/>
    <cacheHierarchy uniqueName="[rArtikli_HR_Analiza].[Единечна цена]" caption="Единечна цена" attribute="1" defaultMemberUniqueName="[rArtikli_HR_Analiza].[Единечна цена].[All]" allUniqueName="[rArtikli_HR_Analiza].[Единечна цена].[All]" dimensionUniqueName="[rArtikli_HR_Analiza]" displayFolder="" count="0" memberValueDatatype="20" unbalanced="0"/>
    <cacheHierarchy uniqueName="[rArtikli_HR_Analiza].[Вкупно трошок]" caption="Вкупно трошок" attribute="1" defaultMemberUniqueName="[rArtikli_HR_Analiza].[Вкупно трошок].[All]" allUniqueName="[rArtikli_HR_Analiza].[Вкупно трошок].[All]" dimensionUniqueName="[rArtikli_HR_Analiza]" displayFolder="" count="0" memberValueDatatype="5" unbalanced="0"/>
    <cacheHierarchy uniqueName="[rArtikli_HR_Analiza].[ДДВ]" caption="ДДВ" attribute="1" defaultMemberUniqueName="[rArtikli_HR_Analiza].[ДДВ].[All]" allUniqueName="[rArtikli_HR_Analiza].[ДДВ].[All]" dimensionUniqueName="[rArtikli_HR_Analiza]" displayFolder="" count="0" memberValueDatatype="5" unbalanced="0"/>
    <cacheHierarchy uniqueName="[rArtikli_HR_Analiza].[Износ]" caption="Износ" attribute="1" defaultMemberUniqueName="[rArtikli_HR_Analiza].[Износ].[All]" allUniqueName="[rArtikli_HR_Analiza].[Износ].[All]" dimensionUniqueName="[rArtikli_HR_Analiza]" displayFolder="" count="0" memberValueDatatype="5" unbalanced="0"/>
    <cacheHierarchy uniqueName="[rArtikli_HR_Analiza].[Конто]" caption="Конто" attribute="1" defaultMemberUniqueName="[rArtikli_HR_Analiza].[Конто].[All]" allUniqueName="[rArtikli_HR_Analiza].[Конто].[All]" dimensionUniqueName="[rArtikli_HR_Analiza]" displayFolder="" count="0" memberValueDatatype="130" unbalanced="0"/>
    <cacheHierarchy uniqueName="[rArtikli_HR_Analiza].[ReportType]" caption="ReportType" attribute="1" defaultMemberUniqueName="[rArtikli_HR_Analiza].[ReportType].[All]" allUniqueName="[rArtikli_HR_Analiza].[ReportType].[All]" dimensionUniqueName="[rArtikli_HR_Analiza]" displayFolder="" count="0" memberValueDatatype="130" unbalanced="0"/>
    <cacheHierarchy uniqueName="[rArtikli_HR_Analiza].[Период]" caption="Период" attribute="1" time="1" defaultMemberUniqueName="[rArtikli_HR_Analiza].[Период].[All]" allUniqueName="[rArtikli_HR_Analiza].[Период].[All]" dimensionUniqueName="[rArtikli_HR_Analiza]" displayFolder="" count="0" memberValueDatatype="7" unbalanced="0"/>
    <cacheHierarchy uniqueName="[rArtikli_HR_Analiza].[StavkaImeMK]" caption="StavkaImeMK" attribute="1" defaultMemberUniqueName="[rArtikli_HR_Analiza].[StavkaImeMK].[All]" allUniqueName="[rArtikli_HR_Analiza].[StavkaImeMK].[All]" dimensionUniqueName="[rArtikli_HR_Analiza]" displayFolder="" count="0" memberValueDatatype="130" unbalanced="0"/>
    <cacheHierarchy uniqueName="[rArtikli_HR_Analiza].[StavkaAOP]" caption="StavkaAOP" attribute="1" defaultMemberUniqueName="[rArtikli_HR_Analiza].[StavkaAOP].[All]" allUniqueName="[rArtikli_HR_Analiza].[StavkaAOP].[All]" dimensionUniqueName="[rArtikli_HR_Analiza]" displayFolder="" count="0" memberValueDatatype="130" unbalanced="0"/>
    <cacheHierarchy uniqueName="[rArtikli_HR_Analiza].[StavkaGrupa]" caption="StavkaGrupa" attribute="1" defaultMemberUniqueName="[rArtikli_HR_Analiza].[StavkaGrupa].[All]" allUniqueName="[rArtikli_HR_Analiza].[StavkaGrupa].[All]" dimensionUniqueName="[rArtikli_HR_Analiza]" displayFolder="" count="0" memberValueDatatype="130" unbalanced="0"/>
    <cacheHierarchy uniqueName="[rArtikli_HR_Analiza].[StavkaKategorija]" caption="StavkaKategorija" attribute="1" defaultMemberUniqueName="[rArtikli_HR_Analiza].[StavkaKategorija].[All]" allUniqueName="[rArtikli_HR_Analiza].[StavkaKategorija].[All]" dimensionUniqueName="[rArtikli_HR_Analiza]" displayFolder="" count="0" memberValueDatatype="130" unbalanced="0"/>
    <cacheHierarchy uniqueName="[rArtikli_HR_Analiza].[ObrazecIme]" caption="ObrazecIme" attribute="1" defaultMemberUniqueName="[rArtikli_HR_Analiza].[ObrazecIme].[All]" allUniqueName="[rArtikli_HR_Analiza].[ObrazecIme].[All]" dimensionUniqueName="[rArtikli_HR_Analiza]" displayFolder="" count="0" memberValueDatatype="130" unbalanced="0"/>
    <cacheHierarchy uniqueName="[rArtikli_HR_Analiza].[StavkaKategorija.1]" caption="StavkaKategorija.1" attribute="1" defaultMemberUniqueName="[rArtikli_HR_Analiza].[StavkaKategorija.1].[All]" allUniqueName="[rArtikli_HR_Analiza].[StavkaKategorija.1].[All]" dimensionUniqueName="[rArtikli_HR_Analiza]" displayFolder="" count="0" memberValueDatatype="130" unbalanced="0"/>
    <cacheHierarchy uniqueName="[rArtikliAnaliza].[Артикл ИД]" caption="Артикл ИД" attribute="1" defaultMemberUniqueName="[rArtikliAnaliza].[Артикл ИД].[All]" allUniqueName="[rArtikliAnaliza].[Артикл ИД].[All]" dimensionUniqueName="[rArtikliAnaliza]" displayFolder="" count="0" memberValueDatatype="20" unbalanced="0"/>
    <cacheHierarchy uniqueName="[rArtikliAnaliza].[Ставка]" caption="Ставка" attribute="1" defaultMemberUniqueName="[rArtikliAnaliza].[Ставка].[All]" allUniqueName="[rArtikliAnaliza].[Ставка].[All]" dimensionUniqueName="[rArtikliAnaliza]" displayFolder="" count="0" memberValueDatatype="130" unbalanced="0"/>
    <cacheHierarchy uniqueName="[rArtikliAnaliza].[Категорија Артикл ИД]" caption="Категорија Артикл ИД" attribute="1" defaultMemberUniqueName="[rArtikliAnaliza].[Категорија Артикл ИД].[All]" allUniqueName="[rArtikliAnaliza].[Категорија Артикл ИД].[All]" dimensionUniqueName="[rArtikliAnaliza]" displayFolder="" count="0" memberValueDatatype="20" unbalanced="0"/>
    <cacheHierarchy uniqueName="[rArtikliAnaliza].[Категорија Артикл]" caption="Категорија Артикл" attribute="1" defaultMemberUniqueName="[rArtikliAnaliza].[Категорија Артикл].[All]" allUniqueName="[rArtikliAnaliza].[Категорија Артикл].[All]" dimensionUniqueName="[rArtikliAnaliza]" displayFolder="" count="0" memberValueDatatype="130" unbalanced="0"/>
    <cacheHierarchy uniqueName="[rArtikliAnaliza].[Тип на артикл]" caption="Тип на артикл" attribute="1" defaultMemberUniqueName="[rArtikliAnaliza].[Тип на артикл].[All]" allUniqueName="[rArtikliAnaliza].[Тип на артикл].[All]" dimensionUniqueName="[rArtikliAnaliza]" displayFolder="" count="0" memberValueDatatype="130" unbalanced="0"/>
    <cacheHierarchy uniqueName="[rArtikliAnaliza].[Единечна мерка]" caption="Единечна мерка" attribute="1" defaultMemberUniqueName="[rArtikliAnaliza].[Единечна мерка].[All]" allUniqueName="[rArtikliAnaliza].[Единечна мерка].[All]" dimensionUniqueName="[rArtikliAnaliza]" displayFolder="" count="0" memberValueDatatype="130" unbalanced="0"/>
    <cacheHierarchy uniqueName="[rArtikliAnaliza].[Количина]" caption="Количина" attribute="1" defaultMemberUniqueName="[rArtikliAnaliza].[Количина].[All]" allUniqueName="[rArtikliAnaliza].[Количина].[All]" dimensionUniqueName="[rArtikliAnaliza]" displayFolder="" count="0" memberValueDatatype="5" unbalanced="0"/>
    <cacheHierarchy uniqueName="[rArtikliAnaliza].[Единечна цена]" caption="Единечна цена" attribute="1" defaultMemberUniqueName="[rArtikliAnaliza].[Единечна цена].[All]" allUniqueName="[rArtikliAnaliza].[Единечна цена].[All]" dimensionUniqueName="[rArtikliAnaliza]" displayFolder="" count="0" memberValueDatatype="20" unbalanced="0"/>
    <cacheHierarchy uniqueName="[rArtikliAnaliza].[Износ]" caption="Износ" attribute="1" defaultMemberUniqueName="[rArtikliAnaliza].[Износ].[All]" allUniqueName="[rArtikliAnaliza].[Износ].[All]" dimensionUniqueName="[rArtikliAnaliza]" displayFolder="" count="0" memberValueDatatype="5" unbalanced="0"/>
    <cacheHierarchy uniqueName="[rArtikliAnaliza].[ДДВ]" caption="ДДВ" attribute="1" defaultMemberUniqueName="[rArtikliAnaliza].[ДДВ].[All]" allUniqueName="[rArtikliAnaliza].[ДДВ].[All]" dimensionUniqueName="[rArtikliAnaliza]" displayFolder="" count="0" memberValueDatatype="5" unbalanced="0"/>
    <cacheHierarchy uniqueName="[rArtikliAnaliza].[Вкупно трошок со ДДВ]" caption="Вкупно трошок со ДДВ" attribute="1" defaultMemberUniqueName="[rArtikliAnaliza].[Вкупно трошок со ДДВ].[All]" allUniqueName="[rArtikliAnaliza].[Вкупно трошок со ДДВ].[All]" dimensionUniqueName="[rArtikliAnaliza]" displayFolder="" count="0" memberValueDatatype="5" unbalanced="0"/>
    <cacheHierarchy uniqueName="[rArtikliAnaliza].[Конто]" caption="Конто" attribute="1" defaultMemberUniqueName="[rArtikliAnaliza].[Конто].[All]" allUniqueName="[rArtikliAnaliza].[Конто].[All]" dimensionUniqueName="[rArtikliAnaliza]" displayFolder="" count="0" memberValueDatatype="130" unbalanced="0"/>
    <cacheHierarchy uniqueName="[rArtikliAnaliza].[Период]" caption="Период" attribute="1" time="1" defaultMemberUniqueName="[rArtikliAnaliza].[Период].[All]" allUniqueName="[rArtikliAnaliza].[Период].[All]" dimensionUniqueName="[rArtikliAnaliza]" displayFolder="" count="0" memberValueDatatype="7" unbalanced="0"/>
    <cacheHierarchy uniqueName="[rArtikliAnaliza].[ReportType]" caption="ReportType" attribute="1" defaultMemberUniqueName="[rArtikliAnaliza].[ReportType].[All]" allUniqueName="[rArtikliAnaliza].[ReportType].[All]" dimensionUniqueName="[rArtikliAnaliza]" displayFolder="" count="0" memberValueDatatype="130" unbalanced="0"/>
    <cacheHierarchy uniqueName="[rArtikliAnaliza].[StavkaImeMK]" caption="StavkaImeMK" attribute="1" defaultMemberUniqueName="[rArtikliAnaliza].[StavkaImeMK].[All]" allUniqueName="[rArtikliAnaliza].[StavkaImeMK].[All]" dimensionUniqueName="[rArtikliAnaliza]" displayFolder="" count="0" memberValueDatatype="130" unbalanced="0"/>
    <cacheHierarchy uniqueName="[rArtikliAnaliza].[StavkaKategorija]" caption="StavkaKategorija" attribute="1" defaultMemberUniqueName="[rArtikliAnaliza].[StavkaKategorija].[All]" allUniqueName="[rArtikliAnaliza].[StavkaKategorija].[All]" dimensionUniqueName="[rArtikliAnaliza]" displayFolder="" count="0" memberValueDatatype="130" unbalanced="0"/>
    <cacheHierarchy uniqueName="[rArtikliAnaliza].[Период (Year)]" caption="Период (Year)" attribute="1" defaultMemberUniqueName="[rArtikliAnaliza].[Период (Year)].[All]" allUniqueName="[rArtikliAnaliza].[Период (Year)].[All]" dimensionUniqueName="[rArtikliAnaliza]" displayFolder="" count="0" memberValueDatatype="130" unbalanced="0"/>
    <cacheHierarchy uniqueName="[rArtikliAnaliza].[Период (Quarter)]" caption="Период (Quarter)" attribute="1" defaultMemberUniqueName="[rArtikliAnaliza].[Период (Quarter)].[All]" allUniqueName="[rArtikliAnaliza].[Период (Quarter)].[All]" dimensionUniqueName="[rArtikliAnaliza]" displayFolder="" count="0" memberValueDatatype="130" unbalanced="0"/>
    <cacheHierarchy uniqueName="[rArtikliAnaliza].[Период (Month)]" caption="Период (Month)" attribute="1" defaultMemberUniqueName="[rArtikliAnaliza].[Период (Month)].[All]" allUniqueName="[rArtikliAnaliza].[Период (Month)].[All]" dimensionUniqueName="[rArtikliAnaliza]" displayFolder="" count="0" memberValueDatatype="130" unbalanced="0"/>
    <cacheHierarchy uniqueName="[CAPEX].[Очекуван датум за ставање во употреба (месец) (Month Index)]" caption="Очекуван датум за ставање во употреба (месец) (Month Index)" attribute="1" defaultMemberUniqueName="[CAPEX].[Очекуван датум за ставање во употреба (месец) (Month Index)].[All]" allUniqueName="[CAPEX].[Очекуван датум за ставање во употреба (месец) (Month Index)].[All]" dimensionUniqueName="[CAPEX]" displayFolder="" count="0" memberValueDatatype="20" unbalanced="0" hidden="1"/>
    <cacheHierarchy uniqueName="[CAPEX].[Очекуван датум на плаќање (Month Index)]" caption="Очекуван датум на плаќање (Month Index)" attribute="1" defaultMemberUniqueName="[CAPEX].[Очекуван датум на плаќање (Month Index)].[All]" allUniqueName="[CAPEX].[Очекуван датум на плаќање (Month Index)].[All]" dimensionUniqueName="[CAPEX]" displayFolder="" count="0" memberValueDatatype="20" unbalanced="0" hidden="1"/>
    <cacheHierarchy uniqueName="[fActualAndBudget].[StavkaID]" caption="StavkaID" attribute="1" defaultMemberUniqueName="[fActualAndBudget].[StavkaID].[All]" allUniqueName="[fActualAndBudget].[StavkaID].[All]" dimensionUniqueName="[fActualAndBudget]" displayFolder="" count="0" memberValueDatatype="20" unbalanced="0" hidden="1"/>
    <cacheHierarchy uniqueName="[fCoveckiResursi].[Период (Month Index)]" caption="Период (Month Index)" attribute="1" defaultMemberUniqueName="[fCoveckiResursi].[Период (Month Index)].[All]" allUniqueName="[fCoveckiResursi].[Период (Month Index)].[All]" dimensionUniqueName="[fCoveckiResursi]" displayFolder="" count="0" memberValueDatatype="20" unbalanced="0" hidden="1"/>
    <cacheHierarchy uniqueName="[fCoveckiResursi].[Период (Month Index) 1]" caption="Период (Month Index) 1" attribute="1" defaultMemberUniqueName="[fCoveckiResursi].[Период (Month Index) 1].[All]" allUniqueName="[fCoveckiResursi].[Период (Month Index) 1].[All]" dimensionUniqueName="[fCoveckiResursi]" displayFolder="" count="0" memberValueDatatype="20" unbalanced="0" hidden="1"/>
    <cacheHierarchy uniqueName="[OPEXAnaliza].[Период (Month Index)]" caption="Период (Month Index)" attribute="1" defaultMemberUniqueName="[OPEXAnaliza].[Период (Month Index)].[All]" allUniqueName="[OPEXAnaliza].[Период (Month Index)].[All]" dimensionUniqueName="[OPEXAnaliza]" displayFolder="" count="0" memberValueDatatype="20" unbalanced="0" hidden="1"/>
    <cacheHierarchy uniqueName="[rArtikli_HR_Analiza].[Крајна состојба вработени]" caption="Крајна состојба вработени" attribute="1" defaultMemberUniqueName="[rArtikli_HR_Analiza].[Крајна состојба вработени].[All]" allUniqueName="[rArtikli_HR_Analiza].[Крајна состојба вработени].[All]" dimensionUniqueName="[rArtikli_HR_Analiza]" displayFolder="" count="0" memberValueDatatype="20" unbalanced="0" hidden="1"/>
    <cacheHierarchy uniqueName="[rArtikli_HR_Analiza].[Планиран прилив/(одлив)]" caption="Планиран прилив/(одлив)" attribute="1" defaultMemberUniqueName="[rArtikli_HR_Analiza].[Планиран прилив/(одлив)].[All]" allUniqueName="[rArtikli_HR_Analiza].[Планиран прилив/(одлив)].[All]" dimensionUniqueName="[rArtikli_HR_Analiza]" displayFolder="" count="0" memberValueDatatype="20" unbalanced="0" hidden="1"/>
    <cacheHierarchy uniqueName="[rArtikli_HR_Analiza].[Тип на вработување]" caption="Тип на вработување" attribute="1" defaultMemberUniqueName="[rArtikli_HR_Analiza].[Тип на вработување].[All]" allUniqueName="[rArtikli_HR_Analiza].[Тип на вработување].[All]" dimensionUniqueName="[rArtikli_HR_Analiza]" displayFolder="" count="0" memberValueDatatype="130" unbalanced="0" hidden="1"/>
    <cacheHierarchy uniqueName="[rArtikliAnaliza].[Период (Month Index)]" caption="Период (Month Index)" attribute="1" defaultMemberUniqueName="[rArtikliAnaliza].[Период (Month Index)].[All]" allUniqueName="[rArtikliAnaliza].[Период (Month Index)].[All]" dimensionUniqueName="[rArtikliAnaliza]" displayFolder="" count="0" memberValueDatatype="20" unbalanced="0" hidden="1"/>
    <cacheHierarchy uniqueName="[Measures].[__XL_Count Calendar]" caption="__XL_Count Calendar" measure="1" displayFolder="" measureGroup="Calendar" count="0" hidden="1"/>
    <cacheHierarchy uniqueName="[Measures].[__XL_Count CAPEX]" caption="__XL_Count CAPEX" measure="1" displayFolder="" measureGroup="CAPEX" count="0" hidden="1"/>
    <cacheHierarchy uniqueName="[Measures].[__XL_Count Amortizacija]" caption="__XL_Count Amortizacija" measure="1" displayFolder="" measureGroup="Amortizacija" count="0" hidden="1"/>
    <cacheHierarchy uniqueName="[Measures].[__XL_Count fCoveckiResursi]" caption="__XL_Count fCoveckiResursi" measure="1" displayFolder="" measureGroup="fCoveckiResursi" count="0" hidden="1"/>
    <cacheHierarchy uniqueName="[Measures].[__XL_Count fActualAndBudget]" caption="__XL_Count fActualAndBudget" measure="1" displayFolder="" measureGroup="fActualAndBudget" count="0" hidden="1"/>
    <cacheHierarchy uniqueName="[Measures].[__XL_Count fOPEX]" caption="__XL_Count fOPEX" measure="1" displayFolder="" measureGroup="fOPEX" count="0" hidden="1"/>
    <cacheHierarchy uniqueName="[Measures].[__XL_Count OPEXAnaliza]" caption="__XL_Count OPEXAnaliza" measure="1" displayFolder="" measureGroup="OPEXAnaliza" count="0" hidden="1"/>
    <cacheHierarchy uniqueName="[Measures].[__XL_Count rArtikliAnaliza]" caption="__XL_Count rArtikliAnaliza" measure="1" displayFolder="" measureGroup="rArtikliAnaliza" count="0" hidden="1"/>
    <cacheHierarchy uniqueName="[Measures].[__XL_Count fArtikliCeni]" caption="__XL_Count fArtikliCeni" measure="1" displayFolder="" measureGroup="fArtikliCeni" count="0" hidden="1"/>
    <cacheHierarchy uniqueName="[Measures].[__XL_Count rArtikli_HR_Analiza]" caption="__XL_Count rArtikli_HR_Analiza" measure="1" displayFolder="" measureGroup="rArtikli_HR_Analiza" count="0" hidden="1"/>
    <cacheHierarchy uniqueName="[Measures].[__XL_Count fCoveckiResursi  2]" caption="__XL_Count fCoveckiResursi  2" measure="1" displayFolder="" measureGroup="fCoveckiResursi  2" count="0" hidden="1"/>
    <cacheHierarchy uniqueName="[Measures].[__No measures defined]" caption="__No measures defined" measure="1" displayFolder="" count="0" hidden="1"/>
    <cacheHierarchy uniqueName="[Measures].[Sum of Износ 3]" caption="Sum of Износ 3" measure="1" displayFolder="" measureGroup="fCoveckiResursi" count="0" hidden="1">
      <extLst>
        <ext xmlns:x15="http://schemas.microsoft.com/office/spreadsheetml/2010/11/main" uri="{B97F6D7D-B522-45F9-BDA1-12C45D357490}">
          <x15:cacheHierarchy aggregatedColumn="71"/>
        </ext>
      </extLst>
    </cacheHierarchy>
    <cacheHierarchy uniqueName="[Measures].[Sum of Крајна состојба вработени]" caption="Sum of Крајна состојба вработени" measure="1" displayFolder="" measureGroup="fCoveckiResursi" count="0" hidden="1">
      <extLst>
        <ext xmlns:x15="http://schemas.microsoft.com/office/spreadsheetml/2010/11/main" uri="{B97F6D7D-B522-45F9-BDA1-12C45D357490}">
          <x15:cacheHierarchy aggregatedColumn="70"/>
        </ext>
      </extLst>
    </cacheHierarchy>
    <cacheHierarchy uniqueName="[Measures].[Sum of Планиран прилив/(одлив)]" caption="Sum of Планиран прилив/(одлив)" measure="1" displayFolder="" measureGroup="fCoveckiResursi" count="0" hidden="1">
      <extLst>
        <ext xmlns:x15="http://schemas.microsoft.com/office/spreadsheetml/2010/11/main" uri="{B97F6D7D-B522-45F9-BDA1-12C45D357490}">
          <x15:cacheHierarchy aggregatedColumn="68"/>
        </ext>
      </extLst>
    </cacheHierarchy>
    <cacheHierarchy uniqueName="[Measures].[Sum of Износ]" caption="Sum of Износ" measure="1" displayFolder="" measureGroup="fActualAndBudget" count="0" hidden="1">
      <extLst>
        <ext xmlns:x15="http://schemas.microsoft.com/office/spreadsheetml/2010/11/main" uri="{B97F6D7D-B522-45F9-BDA1-12C45D357490}">
          <x15:cacheHierarchy aggregatedColumn="45"/>
        </ext>
      </extLst>
    </cacheHierarchy>
    <cacheHierarchy uniqueName="[Measures].[Sum of Износ (илјади)]" caption="Sum of Износ (илјади)" measure="1" displayFolder="" measureGroup="fActualAndBudget" count="0" hidden="1">
      <extLst>
        <ext xmlns:x15="http://schemas.microsoft.com/office/spreadsheetml/2010/11/main" uri="{B97F6D7D-B522-45F9-BDA1-12C45D357490}">
          <x15:cacheHierarchy aggregatedColumn="46"/>
        </ext>
      </extLst>
    </cacheHierarchy>
    <cacheHierarchy uniqueName="[Measures].[Sum of Износ1]" caption="Sum of Износ1" measure="1" displayFolder="" measureGroup="fActualAndBudget" count="0" hidden="1">
      <extLst>
        <ext xmlns:x15="http://schemas.microsoft.com/office/spreadsheetml/2010/11/main" uri="{B97F6D7D-B522-45F9-BDA1-12C45D357490}">
          <x15:cacheHierarchy aggregatedColumn="34"/>
        </ext>
      </extLst>
    </cacheHierarchy>
    <cacheHierarchy uniqueName="[Measures].[Sum of Износ 2]" caption="Sum of Износ 2" measure="1" displayFolder="" measureGroup="Amortizacija" count="0" hidden="1">
      <extLst>
        <ext xmlns:x15="http://schemas.microsoft.com/office/spreadsheetml/2010/11/main" uri="{B97F6D7D-B522-45F9-BDA1-12C45D357490}">
          <x15:cacheHierarchy aggregatedColumn="3"/>
        </ext>
      </extLst>
    </cacheHierarchy>
    <cacheHierarchy uniqueName="[Measures].[Sum of Износ 4]" caption="Sum of Износ 4" measure="1" displayFolder="" measureGroup="OPEXAnaliza" count="0" hidden="1">
      <extLst>
        <ext xmlns:x15="http://schemas.microsoft.com/office/spreadsheetml/2010/11/main" uri="{B97F6D7D-B522-45F9-BDA1-12C45D357490}">
          <x15:cacheHierarchy aggregatedColumn="101"/>
        </ext>
      </extLst>
    </cacheHierarchy>
    <cacheHierarchy uniqueName="[Measures].[Sum of Износ донација]" caption="Sum of Износ донација" measure="1" displayFolder="" measureGroup="CAPEX" count="0" hidden="1">
      <extLst>
        <ext xmlns:x15="http://schemas.microsoft.com/office/spreadsheetml/2010/11/main" uri="{B97F6D7D-B522-45F9-BDA1-12C45D357490}">
          <x15:cacheHierarchy aggregatedColumn="24"/>
        </ext>
      </extLst>
    </cacheHierarchy>
    <cacheHierarchy uniqueName="[Measures].[Sum of Вкупно трошок]" caption="Sum of Вкупно трошок" measure="1" displayFolder="" measureGroup="fArtikliCeni" count="0" hidden="1">
      <extLst>
        <ext xmlns:x15="http://schemas.microsoft.com/office/spreadsheetml/2010/11/main" uri="{B97F6D7D-B522-45F9-BDA1-12C45D357490}">
          <x15:cacheHierarchy aggregatedColumn="55"/>
        </ext>
      </extLst>
    </cacheHierarchy>
    <cacheHierarchy uniqueName="[Measures].[Sum of Количина]" caption="Sum of Количина" measure="1" displayFolder="" measureGroup="fArtikliCeni" count="0" hidden="1">
      <extLst>
        <ext xmlns:x15="http://schemas.microsoft.com/office/spreadsheetml/2010/11/main" uri="{B97F6D7D-B522-45F9-BDA1-12C45D357490}">
          <x15:cacheHierarchy aggregatedColumn="53"/>
        </ext>
      </extLst>
    </cacheHierarchy>
    <cacheHierarchy uniqueName="[Measures].[Sum of Единечна цена]" caption="Sum of Единечна цена" measure="1" displayFolder="" measureGroup="fArtikliCeni" count="0" hidden="1">
      <extLst>
        <ext xmlns:x15="http://schemas.microsoft.com/office/spreadsheetml/2010/11/main" uri="{B97F6D7D-B522-45F9-BDA1-12C45D357490}">
          <x15:cacheHierarchy aggregatedColumn="54"/>
        </ext>
      </extLst>
    </cacheHierarchy>
    <cacheHierarchy uniqueName="[Measures].[Sum of ДДВ]" caption="Sum of ДДВ" measure="1" displayFolder="" measureGroup="fArtikliCeni" count="0" hidden="1">
      <extLst>
        <ext xmlns:x15="http://schemas.microsoft.com/office/spreadsheetml/2010/11/main" uri="{B97F6D7D-B522-45F9-BDA1-12C45D357490}">
          <x15:cacheHierarchy aggregatedColumn="56"/>
        </ext>
      </extLst>
    </cacheHierarchy>
    <cacheHierarchy uniqueName="[Measures].[Sum of Износ 6]" caption="Sum of Износ 6" measure="1" displayFolder="" measureGroup="fArtikliCeni" count="0" hidden="1">
      <extLst>
        <ext xmlns:x15="http://schemas.microsoft.com/office/spreadsheetml/2010/11/main" uri="{B97F6D7D-B522-45F9-BDA1-12C45D357490}">
          <x15:cacheHierarchy aggregatedColumn="57"/>
        </ext>
      </extLst>
    </cacheHierarchy>
    <cacheHierarchy uniqueName="[Measures].[Count of Единечна мерка]" caption="Count of Единечна мерка" measure="1" displayFolder="" measureGroup="fArtikliCeni" count="0" hidden="1">
      <extLst>
        <ext xmlns:x15="http://schemas.microsoft.com/office/spreadsheetml/2010/11/main" uri="{B97F6D7D-B522-45F9-BDA1-12C45D357490}">
          <x15:cacheHierarchy aggregatedColumn="52"/>
        </ext>
      </extLst>
    </cacheHierarchy>
    <cacheHierarchy uniqueName="[Measures].[Sum of Количина 2]" caption="Sum of Количина 2" measure="1" displayFolder="" measureGroup="rArtikli_HR_Analiza" count="0" hidden="1">
      <extLst>
        <ext xmlns:x15="http://schemas.microsoft.com/office/spreadsheetml/2010/11/main" uri="{B97F6D7D-B522-45F9-BDA1-12C45D357490}">
          <x15:cacheHierarchy aggregatedColumn="118"/>
        </ext>
      </extLst>
    </cacheHierarchy>
    <cacheHierarchy uniqueName="[Measures].[Sum of Единечна цена 2]" caption="Sum of Единечна цена 2" measure="1" displayFolder="" measureGroup="rArtikli_HR_Analiza" count="0" hidden="1">
      <extLst>
        <ext xmlns:x15="http://schemas.microsoft.com/office/spreadsheetml/2010/11/main" uri="{B97F6D7D-B522-45F9-BDA1-12C45D357490}">
          <x15:cacheHierarchy aggregatedColumn="119"/>
        </ext>
      </extLst>
    </cacheHierarchy>
    <cacheHierarchy uniqueName="[Measures].[Sum of Вкупно трошок 2]" caption="Sum of Вкупно трошок 2" measure="1" displayFolder="" measureGroup="rArtikli_HR_Analiza" count="0" hidden="1">
      <extLst>
        <ext xmlns:x15="http://schemas.microsoft.com/office/spreadsheetml/2010/11/main" uri="{B97F6D7D-B522-45F9-BDA1-12C45D357490}">
          <x15:cacheHierarchy aggregatedColumn="120"/>
        </ext>
      </extLst>
    </cacheHierarchy>
    <cacheHierarchy uniqueName="[Measures].[Sum of ДДВ 2]" caption="Sum of ДДВ 2" measure="1" displayFolder="" measureGroup="rArtikli_HR_Analiza" count="0" hidden="1">
      <extLst>
        <ext xmlns:x15="http://schemas.microsoft.com/office/spreadsheetml/2010/11/main" uri="{B97F6D7D-B522-45F9-BDA1-12C45D357490}">
          <x15:cacheHierarchy aggregatedColumn="121"/>
        </ext>
      </extLst>
    </cacheHierarchy>
    <cacheHierarchy uniqueName="[Measures].[Sum of Износ 7]" caption="Sum of Износ 7" measure="1" displayFolder="" measureGroup="rArtikli_HR_Analiza" count="0" hidden="1">
      <extLst>
        <ext xmlns:x15="http://schemas.microsoft.com/office/spreadsheetml/2010/11/main" uri="{B97F6D7D-B522-45F9-BDA1-12C45D357490}">
          <x15:cacheHierarchy aggregatedColumn="122"/>
        </ext>
      </extLst>
    </cacheHierarchy>
    <cacheHierarchy uniqueName="[Measures].[Sum of Износ 5]" caption="Sum of Износ 5" measure="1" displayFolder="" measureGroup="fCoveckiResursi  2" count="0" hidden="1">
      <extLst>
        <ext xmlns:x15="http://schemas.microsoft.com/office/spreadsheetml/2010/11/main" uri="{B97F6D7D-B522-45F9-BDA1-12C45D357490}">
          <x15:cacheHierarchy aggregatedColumn="82"/>
        </ext>
      </extLst>
    </cacheHierarchy>
    <cacheHierarchy uniqueName="[Measures].[Sum of Проценета вредност на набавка со ДДВ (денари)]" caption="Sum of Проценета вредност на набавка со ДДВ (денари)" measure="1" displayFolder="" measureGroup="CAPEX" count="0" hidden="1">
      <extLst>
        <ext xmlns:x15="http://schemas.microsoft.com/office/spreadsheetml/2010/11/main" uri="{B97F6D7D-B522-45F9-BDA1-12C45D357490}">
          <x15:cacheHierarchy aggregatedColumn="20"/>
        </ext>
      </extLst>
    </cacheHierarchy>
  </cacheHierarchies>
  <kpis count="0"/>
  <extLst>
    <ext xmlns:x14="http://schemas.microsoft.com/office/spreadsheetml/2009/9/main" uri="{725AE2AE-9491-48be-B2B4-4EB974FC3084}">
      <x14:pivotCacheDefinition slicerData="1" pivotCacheId="1221345042" supportSubqueryNonVisual="1" supportSubqueryCalcMem="1" supportAddCalcMems="1"/>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ngela Sazdova - Doneva" refreshedDate="44899.978485995372" createdVersion="5" refreshedVersion="6" minRefreshableVersion="3" recordCount="0" supportSubquery="1" supportAdvancedDrill="1" xr:uid="{00000000-000A-0000-FFFF-FFFF03000000}">
  <cacheSource type="external" connectionId="22"/>
  <cacheFields count="6">
    <cacheField name="[Calendar].[Date Hierarchy].[Year]" caption="Year" numFmtId="0" hierarchy="7" level="1">
      <sharedItems containsSemiMixedTypes="0" containsNonDate="0" containsString="0"/>
    </cacheField>
    <cacheField name="[Calendar].[Date Hierarchy].[Month]" caption="Month" numFmtId="0" hierarchy="7" level="2">
      <sharedItems containsSemiMixedTypes="0" containsNonDate="0" containsString="0"/>
    </cacheField>
    <cacheField name="[Calendar].[Date Hierarchy].[DateColumn]" caption="DateColumn" numFmtId="0" hierarchy="7" level="3">
      <sharedItems containsSemiMixedTypes="0" containsNonDate="0" containsString="0"/>
    </cacheField>
    <cacheField name="[fActualAndBudget].[ReportType].[ReportType]" caption="ReportType" numFmtId="0" hierarchy="35" level="1">
      <sharedItems containsSemiMixedTypes="0" containsNonDate="0" containsString="0"/>
    </cacheField>
    <cacheField name="[Calendar].[Година].[Година]" caption="Година" numFmtId="0" hierarchy="8" level="1">
      <sharedItems containsSemiMixedTypes="0" containsNonDate="0" containsString="0"/>
    </cacheField>
    <cacheField name="[fActualAndBudget].[ObrazecIme].[ObrazecIme]" caption="ObrazecIme" numFmtId="0" hierarchy="44" level="1">
      <sharedItems containsSemiMixedTypes="0" containsNonDate="0" containsString="0"/>
    </cacheField>
  </cacheFields>
  <cacheHierarchies count="195">
    <cacheHierarchy uniqueName="[Amortizacija].[Број на јавна набавка (план)]" caption="Број на јавна набавка (план)" attribute="1" defaultMemberUniqueName="[Amortizacija].[Број на јавна набавка (план)].[All]" allUniqueName="[Amortizacija].[Број на јавна набавка (план)].[All]" dimensionUniqueName="[Amortizacija]" displayFolder="" count="0" memberValueDatatype="130" unbalanced="0"/>
    <cacheHierarchy uniqueName="[Amortizacija].[Ставка]" caption="Ставка" attribute="1" defaultMemberUniqueName="[Amortizacija].[Ставка].[All]" allUniqueName="[Amortizacija].[Ставка].[All]" dimensionUniqueName="[Amortizacija]" displayFolder="" count="0" memberValueDatatype="130" unbalanced="0"/>
    <cacheHierarchy uniqueName="[Amortizacija].[Период]" caption="Период" attribute="1" time="1" defaultMemberUniqueName="[Amortizacija].[Период].[All]" allUniqueName="[Amortizacija].[Период].[All]" dimensionUniqueName="[Amortizacija]" displayFolder="" count="0" memberValueDatatype="7" unbalanced="0"/>
    <cacheHierarchy uniqueName="[Amortizacija].[Износ]" caption="Износ" attribute="1" defaultMemberUniqueName="[Amortizacija].[Износ].[All]" allUniqueName="[Amortizacija].[Износ].[All]" dimensionUniqueName="[Amortizacija]" displayFolder="" count="0" memberValueDatatype="20" unbalanced="0"/>
    <cacheHierarchy uniqueName="[Amortizacija].[Конто]" caption="Конто" attribute="1" defaultMemberUniqueName="[Amortizacija].[Конто].[All]" allUniqueName="[Amortizacija].[Конто].[All]" dimensionUniqueName="[Amortizacija]" displayFolder="" count="0" memberValueDatatype="130" unbalanced="0"/>
    <cacheHierarchy uniqueName="[Amortizacija].[ReportType]" caption="ReportType" attribute="1" defaultMemberUniqueName="[Amortizacija].[ReportType].[All]" allUniqueName="[Amortizacija].[ReportType].[All]" dimensionUniqueName="[Amortizacija]" displayFolder="" count="0" memberValueDatatype="130" unbalanced="0"/>
    <cacheHierarchy uniqueName="[Calendar].[Date]" caption="Date" attribute="1" time="1" keyAttribute="1" defaultMemberUniqueName="[Calendar].[Date].[All]" allUniqueName="[Calendar].[Date].[All]" dimensionUniqueName="[Calendar]" displayFolder="" count="0" memberValueDatatype="7" unbalanced="0"/>
    <cacheHierarchy uniqueName="[Calendar].[Date Hierarchy]" caption="Date Hierarchy" time="1" defaultMemberUniqueName="[Calendar].[Date Hierarchy].[All]" allUniqueName="[Calendar].[Date Hierarchy].[All]" dimensionUniqueName="[Calendar]" displayFolder="" count="4" unbalanced="0">
      <fieldsUsage count="4">
        <fieldUsage x="-1"/>
        <fieldUsage x="0"/>
        <fieldUsage x="1"/>
        <fieldUsage x="2"/>
      </fieldsUsage>
    </cacheHierarchy>
    <cacheHierarchy uniqueName="[Calendar].[Година]" caption="Година" attribute="1" time="1" defaultMemberUniqueName="[Calendar].[Година].[All]" allUniqueName="[Calendar].[Година].[All]" dimensionUniqueName="[Calendar]" displayFolder="" count="2" memberValueDatatype="20" unbalanced="0">
      <fieldsUsage count="2">
        <fieldUsage x="-1"/>
        <fieldUsage x="4"/>
      </fieldsUsage>
    </cacheHierarchy>
    <cacheHierarchy uniqueName="[Calendar].[Month Number]" caption="Month Number" attribute="1" time="1" defaultMemberUniqueName="[Calendar].[Month Number].[All]" allUniqueName="[Calendar].[Month Number].[All]" dimensionUniqueName="[Calendar]" displayFolder="" count="0" memberValueDatatype="20" unbalanced="0"/>
    <cacheHierarchy uniqueName="[Calendar].[Месец]" caption="Месец" attribute="1" time="1" defaultMemberUniqueName="[Calendar].[Месец].[All]" allUniqueName="[Calendar].[Месец].[All]" dimensionUniqueName="[Calendar]" displayFolder="" count="0" memberValueDatatype="130" unbalanced="0"/>
    <cacheHierarchy uniqueName="[Calendar].[MMM-YYYY]" caption="MMM-YYYY" attribute="1" time="1" defaultMemberUniqueName="[Calendar].[MMM-YYYY].[All]" allUniqueName="[Calendar].[MMM-YYYY].[All]" dimensionUniqueName="[Calendar]" displayFolder="" count="0" memberValueDatatype="130" unbalanced="0"/>
    <cacheHierarchy uniqueName="[Calendar].[Day Of Week Number]" caption="Day Of Week Number" attribute="1" time="1" defaultMemberUniqueName="[Calendar].[Day Of Week Number].[All]" allUniqueName="[Calendar].[Day Of Week Number].[All]" dimensionUniqueName="[Calendar]" displayFolder="" count="0" memberValueDatatype="20" unbalanced="0"/>
    <cacheHierarchy uniqueName="[Calendar].[Day Of Week]" caption="Day Of Week" attribute="1" time="1" defaultMemberUniqueName="[Calendar].[Day Of Week].[All]" allUniqueName="[Calendar].[Day Of Week].[All]" dimensionUniqueName="[Calendar]" displayFolder="" count="0" memberValueDatatype="130" unbalanced="0"/>
    <cacheHierarchy uniqueName="[Calendar].[Квартал]" caption="Квартал" attribute="1" time="1" defaultMemberUniqueName="[Calendar].[Квартал].[All]" allUniqueName="[Calendar].[Квартал].[All]" dimensionUniqueName="[Calendar]" displayFolder="" count="0" memberValueDatatype="7" unbalanced="0"/>
    <cacheHierarchy uniqueName="[CAPEX].[Година за реализација на проект]" caption="Година за реализација на проект" attribute="1" defaultMemberUniqueName="[CAPEX].[Година за реализација на проект].[All]" allUniqueName="[CAPEX].[Година за реализација на проект].[All]" dimensionUniqueName="[CAPEX]" displayFolder="" count="0" memberValueDatatype="20" unbalanced="0"/>
    <cacheHierarchy uniqueName="[CAPEX].[Број на јавна набавка (план)]" caption="Број на јавна набавка (план)" attribute="1" defaultMemberUniqueName="[CAPEX].[Број на јавна набавка (план)].[All]" allUniqueName="[CAPEX].[Број на јавна набавка (план)].[All]" dimensionUniqueName="[CAPEX]" displayFolder="" count="0" memberValueDatatype="130" unbalanced="0"/>
    <cacheHierarchy uniqueName="[CAPEX].[Предмет на договорот за јавна набавка]" caption="Предмет на договорот за јавна набавка" attribute="1" defaultMemberUniqueName="[CAPEX].[Предмет на договорот за јавна набавка].[All]" allUniqueName="[CAPEX].[Предмет на договорот за јавна набавка].[All]" dimensionUniqueName="[CAPEX]" displayFolder="" count="0" memberValueDatatype="130" unbalanced="0"/>
    <cacheHierarchy uniqueName="[CAPEX].[Очекуван датум на плаќање]" caption="Очекуван датум на плаќање" attribute="1" time="1" defaultMemberUniqueName="[CAPEX].[Очекуван датум на плаќање].[All]" allUniqueName="[CAPEX].[Очекуван датум на плаќање].[All]" dimensionUniqueName="[CAPEX]" displayFolder="" count="0" memberValueDatatype="7" unbalanced="0"/>
    <cacheHierarchy uniqueName="[CAPEX].[Очекуван датум за ставање во употреба (месец)]" caption="Очекуван датум за ставање во употреба (месец)" attribute="1" time="1" defaultMemberUniqueName="[CAPEX].[Очекуван датум за ставање во употреба (месец)].[All]" allUniqueName="[CAPEX].[Очекуван датум за ставање во употреба (месец)].[All]" dimensionUniqueName="[CAPEX]" displayFolder="" count="0" memberValueDatatype="7" unbalanced="0"/>
    <cacheHierarchy uniqueName="[CAPEX].[Проценета вредност на набавка со ДДВ (денари)]" caption="Проценета вредност на набавка со ДДВ (денари)" attribute="1" defaultMemberUniqueName="[CAPEX].[Проценета вредност на набавка со ДДВ (денари)].[All]" allUniqueName="[CAPEX].[Проценета вредност на набавка со ДДВ (денари)].[All]" dimensionUniqueName="[CAPEX]" displayFolder="" count="0" memberValueDatatype="20" unbalanced="0"/>
    <cacheHierarchy uniqueName="[CAPEX].[Стапка на амортизација]" caption="Стапка на амортизација" attribute="1" defaultMemberUniqueName="[CAPEX].[Стапка на амортизација].[All]" allUniqueName="[CAPEX].[Стапка на амортизација].[All]" dimensionUniqueName="[CAPEX]" displayFolder="" count="0" memberValueDatatype="5" unbalanced="0"/>
    <cacheHierarchy uniqueName="[CAPEX].[Конто Средства]" caption="Конто Средства" attribute="1" defaultMemberUniqueName="[CAPEX].[Конто Средства].[All]" allUniqueName="[CAPEX].[Конто Средства].[All]" dimensionUniqueName="[CAPEX]" displayFolder="" count="0" memberValueDatatype="130" unbalanced="0"/>
    <cacheHierarchy uniqueName="[CAPEX].[Конто Амортизација]" caption="Конто Амортизација" attribute="1" defaultMemberUniqueName="[CAPEX].[Конто Амортизација].[All]" allUniqueName="[CAPEX].[Конто Амортизација].[All]" dimensionUniqueName="[CAPEX]" displayFolder="" count="0" memberValueDatatype="130" unbalanced="0"/>
    <cacheHierarchy uniqueName="[CAPEX].[Износ донација]" caption="Износ донација" attribute="1" defaultMemberUniqueName="[CAPEX].[Износ донација].[All]" allUniqueName="[CAPEX].[Износ донација].[All]" dimensionUniqueName="[CAPEX]" displayFolder="" count="0" memberValueDatatype="20" unbalanced="0"/>
    <cacheHierarchy uniqueName="[CAPEX].[Очекуван датум на плаќање (Year)]" caption="Очекуван датум на плаќање (Year)" attribute="1" defaultMemberUniqueName="[CAPEX].[Очекуван датум на плаќање (Year)].[All]" allUniqueName="[CAPEX].[Очекуван датум на плаќање (Year)].[All]" dimensionUniqueName="[CAPEX]" displayFolder="" count="0" memberValueDatatype="130" unbalanced="0"/>
    <cacheHierarchy uniqueName="[CAPEX].[Очекуван датум на плаќање (Quarter)]" caption="Очекуван датум на плаќање (Quarter)" attribute="1" defaultMemberUniqueName="[CAPEX].[Очекуван датум на плаќање (Quarter)].[All]" allUniqueName="[CAPEX].[Очекуван датум на плаќање (Quarter)].[All]" dimensionUniqueName="[CAPEX]" displayFolder="" count="0" memberValueDatatype="130" unbalanced="0"/>
    <cacheHierarchy uniqueName="[CAPEX].[Очекуван датум на плаќање (Month)]" caption="Очекуван датум на плаќање (Month)" attribute="1" defaultMemberUniqueName="[CAPEX].[Очекуван датум на плаќање (Month)].[All]" allUniqueName="[CAPEX].[Очекуван датум на плаќање (Month)].[All]" dimensionUniqueName="[CAPEX]" displayFolder="" count="0" memberValueDatatype="130" unbalanced="0"/>
    <cacheHierarchy uniqueName="[CAPEX].[Очекуван датум за ставање во употреба (месец) (Year)]" caption="Очекуван датум за ставање во употреба (месец) (Year)" attribute="1" defaultMemberUniqueName="[CAPEX].[Очекуван датум за ставање во употреба (месец) (Year)].[All]" allUniqueName="[CAPEX].[Очекуван датум за ставање во употреба (месец) (Year)].[All]" dimensionUniqueName="[CAPEX]" displayFolder="" count="0" memberValueDatatype="130" unbalanced="0"/>
    <cacheHierarchy uniqueName="[CAPEX].[Очекуван датум за ставање во употреба (месец) (Quarter)]" caption="Очекуван датум за ставање во употреба (месец) (Quarter)" attribute="1" defaultMemberUniqueName="[CAPEX].[Очекуван датум за ставање во употреба (месец) (Quarter)].[All]" allUniqueName="[CAPEX].[Очекуван датум за ставање во употреба (месец) (Quarter)].[All]" dimensionUniqueName="[CAPEX]" displayFolder="" count="0" memberValueDatatype="130" unbalanced="0"/>
    <cacheHierarchy uniqueName="[CAPEX].[Очекуван датум за ставање во употреба (месец) (Month)]" caption="Очекуван датум за ставање во употреба (месец) (Month)" attribute="1" defaultMemberUniqueName="[CAPEX].[Очекуван датум за ставање во употреба (месец) (Month)].[All]" allUniqueName="[CAPEX].[Очекуван датум за ставање во употреба (месец) (Month)].[All]" dimensionUniqueName="[CAPEX]" displayFolder="" count="0" memberValueDatatype="130" unbalanced="0"/>
    <cacheHierarchy uniqueName="[fActualAndBudget].[Конто]" caption="Конто" attribute="1" defaultMemberUniqueName="[fActualAndBudget].[Конто].[All]" allUniqueName="[fActualAndBudget].[Конто].[All]" dimensionUniqueName="[fActualAndBudget]" displayFolder="" count="0" memberValueDatatype="130" unbalanced="0"/>
    <cacheHierarchy uniqueName="[fActualAndBudget].[Назив на конто]" caption="Назив на конто" attribute="1" defaultMemberUniqueName="[fActualAndBudget].[Назив на конто].[All]" allUniqueName="[fActualAndBudget].[Назив на конто].[All]" dimensionUniqueName="[fActualAndBudget]" displayFolder="" count="0" memberValueDatatype="130" unbalanced="0"/>
    <cacheHierarchy uniqueName="[fActualAndBudget].[Период]" caption="Период" attribute="1" time="1" defaultMemberUniqueName="[fActualAndBudget].[Период].[All]" allUniqueName="[fActualAndBudget].[Период].[All]" dimensionUniqueName="[fActualAndBudget]" displayFolder="" count="0" memberValueDatatype="7" unbalanced="0"/>
    <cacheHierarchy uniqueName="[fActualAndBudget].[Износ1]" caption="Износ1" attribute="1" defaultMemberUniqueName="[fActualAndBudget].[Износ1].[All]" allUniqueName="[fActualAndBudget].[Износ1].[All]" dimensionUniqueName="[fActualAndBudget]" displayFolder="" count="0" memberValueDatatype="20" unbalanced="0"/>
    <cacheHierarchy uniqueName="[fActualAndBudget].[ReportType]" caption="ReportType" attribute="1" defaultMemberUniqueName="[fActualAndBudget].[ReportType].[All]" allUniqueName="[fActualAndBudget].[ReportType].[All]" dimensionUniqueName="[fActualAndBudget]" displayFolder="" count="2" memberValueDatatype="130" unbalanced="0">
      <fieldsUsage count="2">
        <fieldUsage x="-1"/>
        <fieldUsage x="3"/>
      </fieldsUsage>
    </cacheHierarchy>
    <cacheHierarchy uniqueName="[fActualAndBudget].[Ставка]" caption="Ставка" attribute="1" defaultMemberUniqueName="[fActualAndBudget].[Ставка].[All]" allUniqueName="[fActualAndBudget].[Ставка].[All]" dimensionUniqueName="[fActualAndBudget]" displayFolder="" count="0" memberValueDatatype="130" unbalanced="0"/>
    <cacheHierarchy uniqueName="[fActualAndBudget].[Број на јавна набавка (план)]" caption="Број на јавна набавка (план)" attribute="1" defaultMemberUniqueName="[fActualAndBudget].[Број на јавна набавка (план)].[All]" allUniqueName="[fActualAndBudget].[Број на јавна набавка (план)].[All]" dimensionUniqueName="[fActualAndBudget]" displayFolder="" count="0" memberValueDatatype="130" unbalanced="0"/>
    <cacheHierarchy uniqueName="[fActualAndBudget].[StavkaImeMK]" caption="StavkaImeMK" attribute="1" defaultMemberUniqueName="[fActualAndBudget].[StavkaImeMK].[All]" allUniqueName="[fActualAndBudget].[StavkaImeMK].[All]" dimensionUniqueName="[fActualAndBudget]" displayFolder="" count="0" memberValueDatatype="130" unbalanced="0"/>
    <cacheHierarchy uniqueName="[fActualAndBudget].[StavkaGrupa]" caption="StavkaGrupa" attribute="1" defaultMemberUniqueName="[fActualAndBudget].[StavkaGrupa].[All]" allUniqueName="[fActualAndBudget].[StavkaGrupa].[All]" dimensionUniqueName="[fActualAndBudget]" displayFolder="" count="0" memberValueDatatype="130" unbalanced="0"/>
    <cacheHierarchy uniqueName="[fActualAndBudget].[StavkaKategorija]" caption="StavkaKategorija" attribute="1" defaultMemberUniqueName="[fActualAndBudget].[StavkaKategorija].[All]" allUniqueName="[fActualAndBudget].[StavkaKategorija].[All]" dimensionUniqueName="[fActualAndBudget]" displayFolder="" count="0" memberValueDatatype="130" unbalanced="0"/>
    <cacheHierarchy uniqueName="[fActualAndBudget].[ZnakIzvestaj]" caption="ZnakIzvestaj" attribute="1" defaultMemberUniqueName="[fActualAndBudget].[ZnakIzvestaj].[All]" allUniqueName="[fActualAndBudget].[ZnakIzvestaj].[All]" dimensionUniqueName="[fActualAndBudget]" displayFolder="" count="0" memberValueDatatype="20" unbalanced="0"/>
    <cacheHierarchy uniqueName="[fActualAndBudget].[ObrazecID]" caption="ObrazecID" attribute="1" defaultMemberUniqueName="[fActualAndBudget].[ObrazecID].[All]" allUniqueName="[fActualAndBudget].[ObrazecID].[All]" dimensionUniqueName="[fActualAndBudget]" displayFolder="" count="0" memberValueDatatype="20" unbalanced="0"/>
    <cacheHierarchy uniqueName="[fActualAndBudget].[StavkaAOP]" caption="StavkaAOP" attribute="1" defaultMemberUniqueName="[fActualAndBudget].[StavkaAOP].[All]" allUniqueName="[fActualAndBudget].[StavkaAOP].[All]" dimensionUniqueName="[fActualAndBudget]" displayFolder="" count="0" memberValueDatatype="130" unbalanced="0"/>
    <cacheHierarchy uniqueName="[fActualAndBudget].[ObrazecIme]" caption="ObrazecIme" attribute="1" defaultMemberUniqueName="[fActualAndBudget].[ObrazecIme].[All]" allUniqueName="[fActualAndBudget].[ObrazecIme].[All]" dimensionUniqueName="[fActualAndBudget]" displayFolder="" count="2" memberValueDatatype="130" unbalanced="0">
      <fieldsUsage count="2">
        <fieldUsage x="-1"/>
        <fieldUsage x="5"/>
      </fieldsUsage>
    </cacheHierarchy>
    <cacheHierarchy uniqueName="[fActualAndBudget].[Износ]" caption="Износ" attribute="1" defaultMemberUniqueName="[fActualAndBudget].[Износ].[All]" allUniqueName="[fActualAndBudget].[Износ].[All]" dimensionUniqueName="[fActualAndBudget]" displayFolder="" count="0" memberValueDatatype="20" unbalanced="0"/>
    <cacheHierarchy uniqueName="[fActualAndBudget].[Износ (илјади)]" caption="Износ (илјади)" attribute="1" defaultMemberUniqueName="[fActualAndBudget].[Износ (илјади)].[All]" allUniqueName="[fActualAndBudget].[Износ (илјади)].[All]" dimensionUniqueName="[fActualAndBudget]" displayFolder="" count="0" memberValueDatatype="5" unbalanced="0"/>
    <cacheHierarchy uniqueName="[fActualAndBudget].[StavkaImeAOP]" caption="StavkaImeAOP" attribute="1" defaultMemberUniqueName="[fActualAndBudget].[StavkaImeAOP].[All]" allUniqueName="[fActualAndBudget].[StavkaImeAOP].[All]" dimensionUniqueName="[fActualAndBudget]" displayFolder="" count="0" memberValueDatatype="130" unbalanced="0"/>
    <cacheHierarchy uniqueName="[fActualAndBudget].[Конто Ставка]" caption="Конто Ставка" attribute="1" defaultMemberUniqueName="[fActualAndBudget].[Конто Ставка].[All]" allUniqueName="[fActualAndBudget].[Конто Ставка].[All]" dimensionUniqueName="[fActualAndBudget]" displayFolder="" count="0" memberValueDatatype="130" unbalanced="0"/>
    <cacheHierarchy uniqueName="[fArtikliCeni].[Ставка]" caption="Ставка" attribute="1" defaultMemberUniqueName="[fArtikliCeni].[Ставка].[All]" allUniqueName="[fArtikliCeni].[Ставка].[All]" dimensionUniqueName="[fArtikliCeni]" displayFolder="" count="0" memberValueDatatype="130" unbalanced="0"/>
    <cacheHierarchy uniqueName="[fArtikliCeni].[Категорија Артикл]" caption="Категорија Артикл" attribute="1" defaultMemberUniqueName="[fArtikliCeni].[Категорија Артикл].[All]" allUniqueName="[fArtikliCeni].[Категорија Артикл].[All]" dimensionUniqueName="[fArtikliCeni]" displayFolder="" count="0" memberValueDatatype="130" unbalanced="0"/>
    <cacheHierarchy uniqueName="[fArtikliCeni].[Тип на артикл]" caption="Тип на артикл" attribute="1" defaultMemberUniqueName="[fArtikliCeni].[Тип на артикл].[All]" allUniqueName="[fArtikliCeni].[Тип на артикл].[All]" dimensionUniqueName="[fArtikliCeni]" displayFolder="" count="0" memberValueDatatype="130" unbalanced="0"/>
    <cacheHierarchy uniqueName="[fArtikliCeni].[Единечна мерка]" caption="Единечна мерка" attribute="1" defaultMemberUniqueName="[fArtikliCeni].[Единечна мерка].[All]" allUniqueName="[fArtikliCeni].[Единечна мерка].[All]" dimensionUniqueName="[fArtikliCeni]" displayFolder="" count="0" memberValueDatatype="130" unbalanced="0"/>
    <cacheHierarchy uniqueName="[fArtikliCeni].[Количина]" caption="Количина" attribute="1" defaultMemberUniqueName="[fArtikliCeni].[Количина].[All]" allUniqueName="[fArtikliCeni].[Количина].[All]" dimensionUniqueName="[fArtikliCeni]" displayFolder="" count="0" memberValueDatatype="5" unbalanced="0"/>
    <cacheHierarchy uniqueName="[fArtikliCeni].[Единечна цена]" caption="Единечна цена" attribute="1" defaultMemberUniqueName="[fArtikliCeni].[Единечна цена].[All]" allUniqueName="[fArtikliCeni].[Единечна цена].[All]" dimensionUniqueName="[fArtikliCeni]" displayFolder="" count="0" memberValueDatatype="20" unbalanced="0"/>
    <cacheHierarchy uniqueName="[fArtikliCeni].[Вкупно трошок]" caption="Вкупно трошок" attribute="1" defaultMemberUniqueName="[fArtikliCeni].[Вкупно трошок].[All]" allUniqueName="[fArtikliCeni].[Вкупно трошок].[All]" dimensionUniqueName="[fArtikliCeni]" displayFolder="" count="0" memberValueDatatype="5" unbalanced="0"/>
    <cacheHierarchy uniqueName="[fArtikliCeni].[ДДВ]" caption="ДДВ" attribute="1" defaultMemberUniqueName="[fArtikliCeni].[ДДВ].[All]" allUniqueName="[fArtikliCeni].[ДДВ].[All]" dimensionUniqueName="[fArtikliCeni]" displayFolder="" count="0" memberValueDatatype="5" unbalanced="0"/>
    <cacheHierarchy uniqueName="[fArtikliCeni].[Износ]" caption="Износ" attribute="1" defaultMemberUniqueName="[fArtikliCeni].[Износ].[All]" allUniqueName="[fArtikliCeni].[Износ].[All]" dimensionUniqueName="[fArtikliCeni]" displayFolder="" count="0" memberValueDatatype="5" unbalanced="0"/>
    <cacheHierarchy uniqueName="[fArtikliCeni].[Конто]" caption="Конто" attribute="1" defaultMemberUniqueName="[fArtikliCeni].[Конто].[All]" allUniqueName="[fArtikliCeni].[Конто].[All]" dimensionUniqueName="[fArtikliCeni]" displayFolder="" count="0" memberValueDatatype="130" unbalanced="0"/>
    <cacheHierarchy uniqueName="[fArtikliCeni].[ReportType]" caption="ReportType" attribute="1" defaultMemberUniqueName="[fArtikliCeni].[ReportType].[All]" allUniqueName="[fArtikliCeni].[ReportType].[All]" dimensionUniqueName="[fArtikliCeni]" displayFolder="" count="0" memberValueDatatype="130" unbalanced="0"/>
    <cacheHierarchy uniqueName="[fArtikliCeni].[Период]" caption="Период" attribute="1" time="1" defaultMemberUniqueName="[fArtikliCeni].[Период].[All]" allUniqueName="[fArtikliCeni].[Период].[All]" dimensionUniqueName="[fArtikliCeni]" displayFolder="" count="0" memberValueDatatype="7" unbalanced="0"/>
    <cacheHierarchy uniqueName="[fArtikliCeni].[StavkaImeMK]" caption="StavkaImeMK" attribute="1" defaultMemberUniqueName="[fArtikliCeni].[StavkaImeMK].[All]" allUniqueName="[fArtikliCeni].[StavkaImeMK].[All]" dimensionUniqueName="[fArtikliCeni]" displayFolder="" count="0" memberValueDatatype="130" unbalanced="0"/>
    <cacheHierarchy uniqueName="[fArtikliCeni].[StavkaAOP]" caption="StavkaAOP" attribute="1" defaultMemberUniqueName="[fArtikliCeni].[StavkaAOP].[All]" allUniqueName="[fArtikliCeni].[StavkaAOP].[All]" dimensionUniqueName="[fArtikliCeni]" displayFolder="" count="0" memberValueDatatype="130" unbalanced="0"/>
    <cacheHierarchy uniqueName="[fArtikliCeni].[StavkaGrupa]" caption="StavkaGrupa" attribute="1" defaultMemberUniqueName="[fArtikliCeni].[StavkaGrupa].[All]" allUniqueName="[fArtikliCeni].[StavkaGrupa].[All]" dimensionUniqueName="[fArtikliCeni]" displayFolder="" count="0" memberValueDatatype="130" unbalanced="0"/>
    <cacheHierarchy uniqueName="[fArtikliCeni].[StavkaKategorija]" caption="StavkaKategorija" attribute="1" defaultMemberUniqueName="[fArtikliCeni].[StavkaKategorija].[All]" allUniqueName="[fArtikliCeni].[StavkaKategorija].[All]" dimensionUniqueName="[fArtikliCeni]" displayFolder="" count="0" memberValueDatatype="130" unbalanced="0"/>
    <cacheHierarchy uniqueName="[fArtikliCeni].[ObrazecIme]" caption="ObrazecIme" attribute="1" defaultMemberUniqueName="[fArtikliCeni].[ObrazecIme].[All]" allUniqueName="[fArtikliCeni].[ObrazecIme].[All]" dimensionUniqueName="[fArtikliCeni]" displayFolder="" count="0" memberValueDatatype="130" unbalanced="0"/>
    <cacheHierarchy uniqueName="[fCoveckiResursi].[Ставка]" caption="Ставка" attribute="1" defaultMemberUniqueName="[fCoveckiResursi].[Ставка].[All]" allUniqueName="[fCoveckiResursi].[Ставка].[All]" dimensionUniqueName="[fCoveckiResursi]" displayFolder="" count="0" memberValueDatatype="130" unbalanced="0"/>
    <cacheHierarchy uniqueName="[fCoveckiResursi].[Тип на вработување]" caption="Тип на вработување" attribute="1" defaultMemberUniqueName="[fCoveckiResursi].[Тип на вработување].[All]" allUniqueName="[fCoveckiResursi].[Тип на вработување].[All]" dimensionUniqueName="[fCoveckiResursi]" displayFolder="" count="0" memberValueDatatype="130" unbalanced="0"/>
    <cacheHierarchy uniqueName="[fCoveckiResursi].[Планиран прилив/(одлив)]" caption="Планиран прилив/(одлив)" attribute="1" defaultMemberUniqueName="[fCoveckiResursi].[Планиран прилив/(одлив)].[All]" allUniqueName="[fCoveckiResursi].[Планиран прилив/(одлив)].[All]" dimensionUniqueName="[fCoveckiResursi]" displayFolder="" count="0" memberValueDatatype="20" unbalanced="0"/>
    <cacheHierarchy uniqueName="[fCoveckiResursi].[Период]" caption="Период" attribute="1" time="1" defaultMemberUniqueName="[fCoveckiResursi].[Период].[All]" allUniqueName="[fCoveckiResursi].[Период].[All]" dimensionUniqueName="[fCoveckiResursi]" displayFolder="" count="0" memberValueDatatype="7" unbalanced="0"/>
    <cacheHierarchy uniqueName="[fCoveckiResursi].[Крајна состојба вработени]" caption="Крајна состојба вработени" attribute="1" defaultMemberUniqueName="[fCoveckiResursi].[Крајна состојба вработени].[All]" allUniqueName="[fCoveckiResursi].[Крајна состојба вработени].[All]" dimensionUniqueName="[fCoveckiResursi]" displayFolder="" count="0" memberValueDatatype="20" unbalanced="0"/>
    <cacheHierarchy uniqueName="[fCoveckiResursi].[Износ]" caption="Износ" attribute="1" defaultMemberUniqueName="[fCoveckiResursi].[Износ].[All]" allUniqueName="[fCoveckiResursi].[Износ].[All]" dimensionUniqueName="[fCoveckiResursi]" displayFolder="" count="0" memberValueDatatype="20" unbalanced="0"/>
    <cacheHierarchy uniqueName="[fCoveckiResursi].[Конто]" caption="Конто" attribute="1" defaultMemberUniqueName="[fCoveckiResursi].[Конто].[All]" allUniqueName="[fCoveckiResursi].[Конто].[All]" dimensionUniqueName="[fCoveckiResursi]" displayFolder="" count="0" memberValueDatatype="130" unbalanced="0"/>
    <cacheHierarchy uniqueName="[fCoveckiResursi].[ReportType]" caption="ReportType" attribute="1" defaultMemberUniqueName="[fCoveckiResursi].[ReportType].[All]" allUniqueName="[fCoveckiResursi].[ReportType].[All]" dimensionUniqueName="[fCoveckiResursi]" displayFolder="" count="0" memberValueDatatype="130" unbalanced="0"/>
    <cacheHierarchy uniqueName="[fCoveckiResursi].[Период (Year)]" caption="Период (Year)" attribute="1" defaultMemberUniqueName="[fCoveckiResursi].[Период (Year)].[All]" allUniqueName="[fCoveckiResursi].[Период (Year)].[All]" dimensionUniqueName="[fCoveckiResursi]" displayFolder="" count="0" memberValueDatatype="130" unbalanced="0"/>
    <cacheHierarchy uniqueName="[fCoveckiResursi].[Период (Quarter)]" caption="Период (Quarter)" attribute="1" defaultMemberUniqueName="[fCoveckiResursi].[Период (Quarter)].[All]" allUniqueName="[fCoveckiResursi].[Период (Quarter)].[All]" dimensionUniqueName="[fCoveckiResursi]" displayFolder="" count="0" memberValueDatatype="130" unbalanced="0"/>
    <cacheHierarchy uniqueName="[fCoveckiResursi].[Период (Month)]" caption="Период (Month)" attribute="1" defaultMemberUniqueName="[fCoveckiResursi].[Период (Month)].[All]" allUniqueName="[fCoveckiResursi].[Период (Month)].[All]" dimensionUniqueName="[fCoveckiResursi]" displayFolder="" count="0" memberValueDatatype="130" unbalanced="0"/>
    <cacheHierarchy uniqueName="[fCoveckiResursi].[Период (Year) 1]" caption="Период (Year) 1" attribute="1" defaultMemberUniqueName="[fCoveckiResursi].[Период (Year) 1].[All]" allUniqueName="[fCoveckiResursi].[Период (Year) 1].[All]" dimensionUniqueName="[fCoveckiResursi]" displayFolder="" count="0" memberValueDatatype="130" unbalanced="0"/>
    <cacheHierarchy uniqueName="[fCoveckiResursi].[Период (Quarter) 1]" caption="Период (Quarter) 1" attribute="1" defaultMemberUniqueName="[fCoveckiResursi].[Период (Quarter) 1].[All]" allUniqueName="[fCoveckiResursi].[Период (Quarter) 1].[All]" dimensionUniqueName="[fCoveckiResursi]" displayFolder="" count="0" memberValueDatatype="130" unbalanced="0"/>
    <cacheHierarchy uniqueName="[fCoveckiResursi].[Период (Month) 1]" caption="Период (Month) 1" attribute="1" defaultMemberUniqueName="[fCoveckiResursi].[Период (Month) 1].[All]" allUniqueName="[fCoveckiResursi].[Период (Month) 1].[All]" dimensionUniqueName="[fCoveckiResursi]" displayFolder="" count="0" memberValueDatatype="130" unbalanced="0"/>
    <cacheHierarchy uniqueName="[fCoveckiResursi  2].[Ставка]" caption="Ставка" attribute="1" defaultMemberUniqueName="[fCoveckiResursi  2].[Ставка].[All]" allUniqueName="[fCoveckiResursi  2].[Ставка].[All]" dimensionUniqueName="[fCoveckiResursi  2]" displayFolder="" count="0" memberValueDatatype="130" unbalanced="0"/>
    <cacheHierarchy uniqueName="[fCoveckiResursi  2].[Период]" caption="Период" attribute="1" time="1" defaultMemberUniqueName="[fCoveckiResursi  2].[Период].[All]" allUniqueName="[fCoveckiResursi  2].[Период].[All]" dimensionUniqueName="[fCoveckiResursi  2]" displayFolder="" count="0" memberValueDatatype="7" unbalanced="0"/>
    <cacheHierarchy uniqueName="[fCoveckiResursi  2].[Износ]" caption="Износ" attribute="1" defaultMemberUniqueName="[fCoveckiResursi  2].[Износ].[All]" allUniqueName="[fCoveckiResursi  2].[Износ].[All]" dimensionUniqueName="[fCoveckiResursi  2]" displayFolder="" count="0" memberValueDatatype="20" unbalanced="0"/>
    <cacheHierarchy uniqueName="[fCoveckiResursi  2].[Конто]" caption="Конто" attribute="1" defaultMemberUniqueName="[fCoveckiResursi  2].[Конто].[All]" allUniqueName="[fCoveckiResursi  2].[Конто].[All]" dimensionUniqueName="[fCoveckiResursi  2]" displayFolder="" count="0" memberValueDatatype="130" unbalanced="0"/>
    <cacheHierarchy uniqueName="[fCoveckiResursi  2].[ReportType]" caption="ReportType" attribute="1" defaultMemberUniqueName="[fCoveckiResursi  2].[ReportType].[All]" allUniqueName="[fCoveckiResursi  2].[ReportType].[All]" dimensionUniqueName="[fCoveckiResursi  2]" displayFolder="" count="0" memberValueDatatype="130" unbalanced="0"/>
    <cacheHierarchy uniqueName="[fCoveckiResursi  2].[StavkaImeMK]" caption="StavkaImeMK" attribute="1" defaultMemberUniqueName="[fCoveckiResursi  2].[StavkaImeMK].[All]" allUniqueName="[fCoveckiResursi  2].[StavkaImeMK].[All]" dimensionUniqueName="[fCoveckiResursi  2]" displayFolder="" count="0" memberValueDatatype="130" unbalanced="0"/>
    <cacheHierarchy uniqueName="[fCoveckiResursi  2].[StavkaKategorija]" caption="StavkaKategorija" attribute="1" defaultMemberUniqueName="[fCoveckiResursi  2].[StavkaKategorija].[All]" allUniqueName="[fCoveckiResursi  2].[StavkaKategorija].[All]" dimensionUniqueName="[fCoveckiResursi  2]" displayFolder="" count="0" memberValueDatatype="130" unbalanced="0"/>
    <cacheHierarchy uniqueName="[fCoveckiResursi  2].[ObrazecIme]" caption="ObrazecIme" attribute="1" defaultMemberUniqueName="[fCoveckiResursi  2].[ObrazecIme].[All]" allUniqueName="[fCoveckiResursi  2].[ObrazecIme].[All]" dimensionUniqueName="[fCoveckiResursi  2]" displayFolder="" count="0" memberValueDatatype="130" unbalanced="0"/>
    <cacheHierarchy uniqueName="[fOPEX].[Конто]" caption="Конто" attribute="1" defaultMemberUniqueName="[fOPEX].[Конто].[All]" allUniqueName="[fOPEX].[Конто].[All]" dimensionUniqueName="[fOPEX]" displayFolder="" count="0" memberValueDatatype="130" unbalanced="0"/>
    <cacheHierarchy uniqueName="[fOPEX].[Ставка]" caption="Ставка" attribute="1" defaultMemberUniqueName="[fOPEX].[Ставка].[All]" allUniqueName="[fOPEX].[Ставка].[All]" dimensionUniqueName="[fOPEX]" displayFolder="" count="0" memberValueDatatype="130" unbalanced="0"/>
    <cacheHierarchy uniqueName="[fOPEX].[Период]" caption="Период" attribute="1" time="1" defaultMemberUniqueName="[fOPEX].[Период].[All]" allUniqueName="[fOPEX].[Период].[All]" dimensionUniqueName="[fOPEX]" displayFolder="" count="0" memberValueDatatype="7" unbalanced="0"/>
    <cacheHierarchy uniqueName="[fOPEX].[Износ]" caption="Износ" attribute="1" defaultMemberUniqueName="[fOPEX].[Износ].[All]" allUniqueName="[fOPEX].[Износ].[All]" dimensionUniqueName="[fOPEX]" displayFolder="" count="0" memberValueDatatype="20" unbalanced="0"/>
    <cacheHierarchy uniqueName="[fOPEX].[ReportType]" caption="ReportType" attribute="1" defaultMemberUniqueName="[fOPEX].[ReportType].[All]" allUniqueName="[fOPEX].[ReportType].[All]" dimensionUniqueName="[fOPEX]" displayFolder="" count="0" memberValueDatatype="130" unbalanced="0"/>
    <cacheHierarchy uniqueName="[OPEXAnaliza].[Артикл ИД]" caption="Артикл ИД" attribute="1" defaultMemberUniqueName="[OPEXAnaliza].[Артикл ИД].[All]" allUniqueName="[OPEXAnaliza].[Артикл ИД].[All]" dimensionUniqueName="[OPEXAnaliza]" displayFolder="" count="0" memberValueDatatype="20" unbalanced="0"/>
    <cacheHierarchy uniqueName="[OPEXAnaliza].[Ставка]" caption="Ставка" attribute="1" defaultMemberUniqueName="[OPEXAnaliza].[Ставка].[All]" allUniqueName="[OPEXAnaliza].[Ставка].[All]" dimensionUniqueName="[OPEXAnaliza]" displayFolder="" count="0" memberValueDatatype="130" unbalanced="0"/>
    <cacheHierarchy uniqueName="[OPEXAnaliza].[Категорија Артикл ИД]" caption="Категорија Артикл ИД" attribute="1" defaultMemberUniqueName="[OPEXAnaliza].[Категорија Артикл ИД].[All]" allUniqueName="[OPEXAnaliza].[Категорија Артикл ИД].[All]" dimensionUniqueName="[OPEXAnaliza]" displayFolder="" count="0" memberValueDatatype="20" unbalanced="0"/>
    <cacheHierarchy uniqueName="[OPEXAnaliza].[Категорија Артикл]" caption="Категорија Артикл" attribute="1" defaultMemberUniqueName="[OPEXAnaliza].[Категорија Артикл].[All]" allUniqueName="[OPEXAnaliza].[Категорија Артикл].[All]" dimensionUniqueName="[OPEXAnaliza]" displayFolder="" count="0" memberValueDatatype="130" unbalanced="0"/>
    <cacheHierarchy uniqueName="[OPEXAnaliza].[Тип на артикл]" caption="Тип на артикл" attribute="1" defaultMemberUniqueName="[OPEXAnaliza].[Тип на артикл].[All]" allUniqueName="[OPEXAnaliza].[Тип на артикл].[All]" dimensionUniqueName="[OPEXAnaliza]" displayFolder="" count="0" memberValueDatatype="130" unbalanced="0"/>
    <cacheHierarchy uniqueName="[OPEXAnaliza].[Единечна мерка]" caption="Единечна мерка" attribute="1" defaultMemberUniqueName="[OPEXAnaliza].[Единечна мерка].[All]" allUniqueName="[OPEXAnaliza].[Единечна мерка].[All]" dimensionUniqueName="[OPEXAnaliza]" displayFolder="" count="0" memberValueDatatype="130" unbalanced="0"/>
    <cacheHierarchy uniqueName="[OPEXAnaliza].[Количина]" caption="Количина" attribute="1" defaultMemberUniqueName="[OPEXAnaliza].[Количина].[All]" allUniqueName="[OPEXAnaliza].[Количина].[All]" dimensionUniqueName="[OPEXAnaliza]" displayFolder="" count="0" memberValueDatatype="5" unbalanced="0"/>
    <cacheHierarchy uniqueName="[OPEXAnaliza].[Единечна цена]" caption="Единечна цена" attribute="1" defaultMemberUniqueName="[OPEXAnaliza].[Единечна цена].[All]" allUniqueName="[OPEXAnaliza].[Единечна цена].[All]" dimensionUniqueName="[OPEXAnaliza]" displayFolder="" count="0" memberValueDatatype="20" unbalanced="0"/>
    <cacheHierarchy uniqueName="[OPEXAnaliza].[Износ]" caption="Износ" attribute="1" defaultMemberUniqueName="[OPEXAnaliza].[Износ].[All]" allUniqueName="[OPEXAnaliza].[Износ].[All]" dimensionUniqueName="[OPEXAnaliza]" displayFolder="" count="0" memberValueDatatype="5" unbalanced="0"/>
    <cacheHierarchy uniqueName="[OPEXAnaliza].[ДДВ]" caption="ДДВ" attribute="1" defaultMemberUniqueName="[OPEXAnaliza].[ДДВ].[All]" allUniqueName="[OPEXAnaliza].[ДДВ].[All]" dimensionUniqueName="[OPEXAnaliza]" displayFolder="" count="0" memberValueDatatype="5" unbalanced="0"/>
    <cacheHierarchy uniqueName="[OPEXAnaliza].[Вкупно трошок со ДДВ]" caption="Вкупно трошок со ДДВ" attribute="1" defaultMemberUniqueName="[OPEXAnaliza].[Вкупно трошок со ДДВ].[All]" allUniqueName="[OPEXAnaliza].[Вкупно трошок со ДДВ].[All]" dimensionUniqueName="[OPEXAnaliza]" displayFolder="" count="0" memberValueDatatype="5" unbalanced="0"/>
    <cacheHierarchy uniqueName="[OPEXAnaliza].[Конто]" caption="Конто" attribute="1" defaultMemberUniqueName="[OPEXAnaliza].[Конто].[All]" allUniqueName="[OPEXAnaliza].[Конто].[All]" dimensionUniqueName="[OPEXAnaliza]" displayFolder="" count="0" memberValueDatatype="130" unbalanced="0"/>
    <cacheHierarchy uniqueName="[OPEXAnaliza].[Период]" caption="Период" attribute="1" time="1" defaultMemberUniqueName="[OPEXAnaliza].[Период].[All]" allUniqueName="[OPEXAnaliza].[Период].[All]" dimensionUniqueName="[OPEXAnaliza]" displayFolder="" count="0" memberValueDatatype="7" unbalanced="0"/>
    <cacheHierarchy uniqueName="[OPEXAnaliza].[ReportType]" caption="ReportType" attribute="1" defaultMemberUniqueName="[OPEXAnaliza].[ReportType].[All]" allUniqueName="[OPEXAnaliza].[ReportType].[All]" dimensionUniqueName="[OPEXAnaliza]" displayFolder="" count="0" memberValueDatatype="130" unbalanced="0"/>
    <cacheHierarchy uniqueName="[OPEXAnaliza].[StavkaImeMK]" caption="StavkaImeMK" attribute="1" defaultMemberUniqueName="[OPEXAnaliza].[StavkaImeMK].[All]" allUniqueName="[OPEXAnaliza].[StavkaImeMK].[All]" dimensionUniqueName="[OPEXAnaliza]" displayFolder="" count="0" memberValueDatatype="130" unbalanced="0"/>
    <cacheHierarchy uniqueName="[OPEXAnaliza].[StavkaKategorija]" caption="StavkaKategorija" attribute="1" defaultMemberUniqueName="[OPEXAnaliza].[StavkaKategorija].[All]" allUniqueName="[OPEXAnaliza].[StavkaKategorija].[All]" dimensionUniqueName="[OPEXAnaliza]" displayFolder="" count="0" memberValueDatatype="130" unbalanced="0"/>
    <cacheHierarchy uniqueName="[OPEXAnaliza].[ObrazecIme]" caption="ObrazecIme" attribute="1" defaultMemberUniqueName="[OPEXAnaliza].[ObrazecIme].[All]" allUniqueName="[OPEXAnaliza].[ObrazecIme].[All]" dimensionUniqueName="[OPEXAnaliza]" displayFolder="" count="0" memberValueDatatype="130" unbalanced="0"/>
    <cacheHierarchy uniqueName="[OPEXAnaliza].[StavkaImeAOP]" caption="StavkaImeAOP" attribute="1" defaultMemberUniqueName="[OPEXAnaliza].[StavkaImeAOP].[All]" allUniqueName="[OPEXAnaliza].[StavkaImeAOP].[All]" dimensionUniqueName="[OPEXAnaliza]" displayFolder="" count="0" memberValueDatatype="20" unbalanced="0"/>
    <cacheHierarchy uniqueName="[OPEXAnaliza].[Период (Year)]" caption="Период (Year)" attribute="1" defaultMemberUniqueName="[OPEXAnaliza].[Период (Year)].[All]" allUniqueName="[OPEXAnaliza].[Период (Year)].[All]" dimensionUniqueName="[OPEXAnaliza]" displayFolder="" count="0" memberValueDatatype="130" unbalanced="0"/>
    <cacheHierarchy uniqueName="[OPEXAnaliza].[Период (Quarter)]" caption="Период (Quarter)" attribute="1" defaultMemberUniqueName="[OPEXAnaliza].[Период (Quarter)].[All]" allUniqueName="[OPEXAnaliza].[Период (Quarter)].[All]" dimensionUniqueName="[OPEXAnaliza]" displayFolder="" count="0" memberValueDatatype="130" unbalanced="0"/>
    <cacheHierarchy uniqueName="[OPEXAnaliza].[Период (Month)]" caption="Период (Month)" attribute="1" defaultMemberUniqueName="[OPEXAnaliza].[Период (Month)].[All]" allUniqueName="[OPEXAnaliza].[Период (Month)].[All]" dimensionUniqueName="[OPEXAnaliza]" displayFolder="" count="0" memberValueDatatype="130" unbalanced="0"/>
    <cacheHierarchy uniqueName="[rArtikli_HR_Analiza].[Ставка]" caption="Ставка" attribute="1" defaultMemberUniqueName="[rArtikli_HR_Analiza].[Ставка].[All]" allUniqueName="[rArtikli_HR_Analiza].[Ставка].[All]" dimensionUniqueName="[rArtikli_HR_Analiza]" displayFolder="" count="0" memberValueDatatype="130" unbalanced="0"/>
    <cacheHierarchy uniqueName="[rArtikli_HR_Analiza].[Категорија Артикл]" caption="Категорија Артикл" attribute="1" defaultMemberUniqueName="[rArtikli_HR_Analiza].[Категорија Артикл].[All]" allUniqueName="[rArtikli_HR_Analiza].[Категорија Артикл].[All]" dimensionUniqueName="[rArtikli_HR_Analiza]" displayFolder="" count="0" memberValueDatatype="130" unbalanced="0"/>
    <cacheHierarchy uniqueName="[rArtikli_HR_Analiza].[Тип на артикл]" caption="Тип на артикл" attribute="1" defaultMemberUniqueName="[rArtikli_HR_Analiza].[Тип на артикл].[All]" allUniqueName="[rArtikli_HR_Analiza].[Тип на артикл].[All]" dimensionUniqueName="[rArtikli_HR_Analiza]" displayFolder="" count="0" memberValueDatatype="130" unbalanced="0"/>
    <cacheHierarchy uniqueName="[rArtikli_HR_Analiza].[Единечна мерка]" caption="Единечна мерка" attribute="1" defaultMemberUniqueName="[rArtikli_HR_Analiza].[Единечна мерка].[All]" allUniqueName="[rArtikli_HR_Analiza].[Единечна мерка].[All]" dimensionUniqueName="[rArtikli_HR_Analiza]" displayFolder="" count="0" memberValueDatatype="130" unbalanced="0"/>
    <cacheHierarchy uniqueName="[rArtikli_HR_Analiza].[Количина]" caption="Количина" attribute="1" defaultMemberUniqueName="[rArtikli_HR_Analiza].[Количина].[All]" allUniqueName="[rArtikli_HR_Analiza].[Количина].[All]" dimensionUniqueName="[rArtikli_HR_Analiza]" displayFolder="" count="0" memberValueDatatype="5" unbalanced="0"/>
    <cacheHierarchy uniqueName="[rArtikli_HR_Analiza].[Единечна цена]" caption="Единечна цена" attribute="1" defaultMemberUniqueName="[rArtikli_HR_Analiza].[Единечна цена].[All]" allUniqueName="[rArtikli_HR_Analiza].[Единечна цена].[All]" dimensionUniqueName="[rArtikli_HR_Analiza]" displayFolder="" count="0" memberValueDatatype="20" unbalanced="0"/>
    <cacheHierarchy uniqueName="[rArtikli_HR_Analiza].[Вкупно трошок]" caption="Вкупно трошок" attribute="1" defaultMemberUniqueName="[rArtikli_HR_Analiza].[Вкупно трошок].[All]" allUniqueName="[rArtikli_HR_Analiza].[Вкупно трошок].[All]" dimensionUniqueName="[rArtikli_HR_Analiza]" displayFolder="" count="0" memberValueDatatype="5" unbalanced="0"/>
    <cacheHierarchy uniqueName="[rArtikli_HR_Analiza].[ДДВ]" caption="ДДВ" attribute="1" defaultMemberUniqueName="[rArtikli_HR_Analiza].[ДДВ].[All]" allUniqueName="[rArtikli_HR_Analiza].[ДДВ].[All]" dimensionUniqueName="[rArtikli_HR_Analiza]" displayFolder="" count="0" memberValueDatatype="5" unbalanced="0"/>
    <cacheHierarchy uniqueName="[rArtikli_HR_Analiza].[Износ]" caption="Износ" attribute="1" defaultMemberUniqueName="[rArtikli_HR_Analiza].[Износ].[All]" allUniqueName="[rArtikli_HR_Analiza].[Износ].[All]" dimensionUniqueName="[rArtikli_HR_Analiza]" displayFolder="" count="0" memberValueDatatype="5" unbalanced="0"/>
    <cacheHierarchy uniqueName="[rArtikli_HR_Analiza].[Конто]" caption="Конто" attribute="1" defaultMemberUniqueName="[rArtikli_HR_Analiza].[Конто].[All]" allUniqueName="[rArtikli_HR_Analiza].[Конто].[All]" dimensionUniqueName="[rArtikli_HR_Analiza]" displayFolder="" count="0" memberValueDatatype="130" unbalanced="0"/>
    <cacheHierarchy uniqueName="[rArtikli_HR_Analiza].[ReportType]" caption="ReportType" attribute="1" defaultMemberUniqueName="[rArtikli_HR_Analiza].[ReportType].[All]" allUniqueName="[rArtikli_HR_Analiza].[ReportType].[All]" dimensionUniqueName="[rArtikli_HR_Analiza]" displayFolder="" count="0" memberValueDatatype="130" unbalanced="0"/>
    <cacheHierarchy uniqueName="[rArtikli_HR_Analiza].[Период]" caption="Период" attribute="1" time="1" defaultMemberUniqueName="[rArtikli_HR_Analiza].[Период].[All]" allUniqueName="[rArtikli_HR_Analiza].[Период].[All]" dimensionUniqueName="[rArtikli_HR_Analiza]" displayFolder="" count="0" memberValueDatatype="7" unbalanced="0"/>
    <cacheHierarchy uniqueName="[rArtikli_HR_Analiza].[StavkaImeMK]" caption="StavkaImeMK" attribute="1" defaultMemberUniqueName="[rArtikli_HR_Analiza].[StavkaImeMK].[All]" allUniqueName="[rArtikli_HR_Analiza].[StavkaImeMK].[All]" dimensionUniqueName="[rArtikli_HR_Analiza]" displayFolder="" count="0" memberValueDatatype="130" unbalanced="0"/>
    <cacheHierarchy uniqueName="[rArtikli_HR_Analiza].[StavkaAOP]" caption="StavkaAOP" attribute="1" defaultMemberUniqueName="[rArtikli_HR_Analiza].[StavkaAOP].[All]" allUniqueName="[rArtikli_HR_Analiza].[StavkaAOP].[All]" dimensionUniqueName="[rArtikli_HR_Analiza]" displayFolder="" count="0" memberValueDatatype="130" unbalanced="0"/>
    <cacheHierarchy uniqueName="[rArtikli_HR_Analiza].[StavkaGrupa]" caption="StavkaGrupa" attribute="1" defaultMemberUniqueName="[rArtikli_HR_Analiza].[StavkaGrupa].[All]" allUniqueName="[rArtikli_HR_Analiza].[StavkaGrupa].[All]" dimensionUniqueName="[rArtikli_HR_Analiza]" displayFolder="" count="0" memberValueDatatype="130" unbalanced="0"/>
    <cacheHierarchy uniqueName="[rArtikli_HR_Analiza].[StavkaKategorija]" caption="StavkaKategorija" attribute="1" defaultMemberUniqueName="[rArtikli_HR_Analiza].[StavkaKategorija].[All]" allUniqueName="[rArtikli_HR_Analiza].[StavkaKategorija].[All]" dimensionUniqueName="[rArtikli_HR_Analiza]" displayFolder="" count="0" memberValueDatatype="130" unbalanced="0"/>
    <cacheHierarchy uniqueName="[rArtikli_HR_Analiza].[ObrazecIme]" caption="ObrazecIme" attribute="1" defaultMemberUniqueName="[rArtikli_HR_Analiza].[ObrazecIme].[All]" allUniqueName="[rArtikli_HR_Analiza].[ObrazecIme].[All]" dimensionUniqueName="[rArtikli_HR_Analiza]" displayFolder="" count="0" memberValueDatatype="130" unbalanced="0"/>
    <cacheHierarchy uniqueName="[rArtikli_HR_Analiza].[StavkaKategorija.1]" caption="StavkaKategorija.1" attribute="1" defaultMemberUniqueName="[rArtikli_HR_Analiza].[StavkaKategorija.1].[All]" allUniqueName="[rArtikli_HR_Analiza].[StavkaKategorija.1].[All]" dimensionUniqueName="[rArtikli_HR_Analiza]" displayFolder="" count="0" memberValueDatatype="130" unbalanced="0"/>
    <cacheHierarchy uniqueName="[rArtikliAnaliza].[Артикл ИД]" caption="Артикл ИД" attribute="1" defaultMemberUniqueName="[rArtikliAnaliza].[Артикл ИД].[All]" allUniqueName="[rArtikliAnaliza].[Артикл ИД].[All]" dimensionUniqueName="[rArtikliAnaliza]" displayFolder="" count="0" memberValueDatatype="20" unbalanced="0"/>
    <cacheHierarchy uniqueName="[rArtikliAnaliza].[Ставка]" caption="Ставка" attribute="1" defaultMemberUniqueName="[rArtikliAnaliza].[Ставка].[All]" allUniqueName="[rArtikliAnaliza].[Ставка].[All]" dimensionUniqueName="[rArtikliAnaliza]" displayFolder="" count="0" memberValueDatatype="130" unbalanced="0"/>
    <cacheHierarchy uniqueName="[rArtikliAnaliza].[Категорија Артикл ИД]" caption="Категорија Артикл ИД" attribute="1" defaultMemberUniqueName="[rArtikliAnaliza].[Категорија Артикл ИД].[All]" allUniqueName="[rArtikliAnaliza].[Категорија Артикл ИД].[All]" dimensionUniqueName="[rArtikliAnaliza]" displayFolder="" count="0" memberValueDatatype="20" unbalanced="0"/>
    <cacheHierarchy uniqueName="[rArtikliAnaliza].[Категорија Артикл]" caption="Категорија Артикл" attribute="1" defaultMemberUniqueName="[rArtikliAnaliza].[Категорија Артикл].[All]" allUniqueName="[rArtikliAnaliza].[Категорија Артикл].[All]" dimensionUniqueName="[rArtikliAnaliza]" displayFolder="" count="0" memberValueDatatype="130" unbalanced="0"/>
    <cacheHierarchy uniqueName="[rArtikliAnaliza].[Тип на артикл]" caption="Тип на артикл" attribute="1" defaultMemberUniqueName="[rArtikliAnaliza].[Тип на артикл].[All]" allUniqueName="[rArtikliAnaliza].[Тип на артикл].[All]" dimensionUniqueName="[rArtikliAnaliza]" displayFolder="" count="0" memberValueDatatype="130" unbalanced="0"/>
    <cacheHierarchy uniqueName="[rArtikliAnaliza].[Единечна мерка]" caption="Единечна мерка" attribute="1" defaultMemberUniqueName="[rArtikliAnaliza].[Единечна мерка].[All]" allUniqueName="[rArtikliAnaliza].[Единечна мерка].[All]" dimensionUniqueName="[rArtikliAnaliza]" displayFolder="" count="0" memberValueDatatype="130" unbalanced="0"/>
    <cacheHierarchy uniqueName="[rArtikliAnaliza].[Количина]" caption="Количина" attribute="1" defaultMemberUniqueName="[rArtikliAnaliza].[Количина].[All]" allUniqueName="[rArtikliAnaliza].[Количина].[All]" dimensionUniqueName="[rArtikliAnaliza]" displayFolder="" count="0" memberValueDatatype="5" unbalanced="0"/>
    <cacheHierarchy uniqueName="[rArtikliAnaliza].[Единечна цена]" caption="Единечна цена" attribute="1" defaultMemberUniqueName="[rArtikliAnaliza].[Единечна цена].[All]" allUniqueName="[rArtikliAnaliza].[Единечна цена].[All]" dimensionUniqueName="[rArtikliAnaliza]" displayFolder="" count="0" memberValueDatatype="20" unbalanced="0"/>
    <cacheHierarchy uniqueName="[rArtikliAnaliza].[Износ]" caption="Износ" attribute="1" defaultMemberUniqueName="[rArtikliAnaliza].[Износ].[All]" allUniqueName="[rArtikliAnaliza].[Износ].[All]" dimensionUniqueName="[rArtikliAnaliza]" displayFolder="" count="0" memberValueDatatype="5" unbalanced="0"/>
    <cacheHierarchy uniqueName="[rArtikliAnaliza].[ДДВ]" caption="ДДВ" attribute="1" defaultMemberUniqueName="[rArtikliAnaliza].[ДДВ].[All]" allUniqueName="[rArtikliAnaliza].[ДДВ].[All]" dimensionUniqueName="[rArtikliAnaliza]" displayFolder="" count="0" memberValueDatatype="5" unbalanced="0"/>
    <cacheHierarchy uniqueName="[rArtikliAnaliza].[Вкупно трошок со ДДВ]" caption="Вкупно трошок со ДДВ" attribute="1" defaultMemberUniqueName="[rArtikliAnaliza].[Вкупно трошок со ДДВ].[All]" allUniqueName="[rArtikliAnaliza].[Вкупно трошок со ДДВ].[All]" dimensionUniqueName="[rArtikliAnaliza]" displayFolder="" count="0" memberValueDatatype="5" unbalanced="0"/>
    <cacheHierarchy uniqueName="[rArtikliAnaliza].[Конто]" caption="Конто" attribute="1" defaultMemberUniqueName="[rArtikliAnaliza].[Конто].[All]" allUniqueName="[rArtikliAnaliza].[Конто].[All]" dimensionUniqueName="[rArtikliAnaliza]" displayFolder="" count="0" memberValueDatatype="130" unbalanced="0"/>
    <cacheHierarchy uniqueName="[rArtikliAnaliza].[Период]" caption="Период" attribute="1" time="1" defaultMemberUniqueName="[rArtikliAnaliza].[Период].[All]" allUniqueName="[rArtikliAnaliza].[Период].[All]" dimensionUniqueName="[rArtikliAnaliza]" displayFolder="" count="0" memberValueDatatype="7" unbalanced="0"/>
    <cacheHierarchy uniqueName="[rArtikliAnaliza].[ReportType]" caption="ReportType" attribute="1" defaultMemberUniqueName="[rArtikliAnaliza].[ReportType].[All]" allUniqueName="[rArtikliAnaliza].[ReportType].[All]" dimensionUniqueName="[rArtikliAnaliza]" displayFolder="" count="0" memberValueDatatype="130" unbalanced="0"/>
    <cacheHierarchy uniqueName="[rArtikliAnaliza].[StavkaImeMK]" caption="StavkaImeMK" attribute="1" defaultMemberUniqueName="[rArtikliAnaliza].[StavkaImeMK].[All]" allUniqueName="[rArtikliAnaliza].[StavkaImeMK].[All]" dimensionUniqueName="[rArtikliAnaliza]" displayFolder="" count="0" memberValueDatatype="130" unbalanced="0"/>
    <cacheHierarchy uniqueName="[rArtikliAnaliza].[StavkaKategorija]" caption="StavkaKategorija" attribute="1" defaultMemberUniqueName="[rArtikliAnaliza].[StavkaKategorija].[All]" allUniqueName="[rArtikliAnaliza].[StavkaKategorija].[All]" dimensionUniqueName="[rArtikliAnaliza]" displayFolder="" count="0" memberValueDatatype="130" unbalanced="0"/>
    <cacheHierarchy uniqueName="[rArtikliAnaliza].[Период (Year)]" caption="Период (Year)" attribute="1" defaultMemberUniqueName="[rArtikliAnaliza].[Период (Year)].[All]" allUniqueName="[rArtikliAnaliza].[Период (Year)].[All]" dimensionUniqueName="[rArtikliAnaliza]" displayFolder="" count="0" memberValueDatatype="130" unbalanced="0"/>
    <cacheHierarchy uniqueName="[rArtikliAnaliza].[Период (Quarter)]" caption="Период (Quarter)" attribute="1" defaultMemberUniqueName="[rArtikliAnaliza].[Период (Quarter)].[All]" allUniqueName="[rArtikliAnaliza].[Период (Quarter)].[All]" dimensionUniqueName="[rArtikliAnaliza]" displayFolder="" count="0" memberValueDatatype="130" unbalanced="0"/>
    <cacheHierarchy uniqueName="[rArtikliAnaliza].[Период (Month)]" caption="Период (Month)" attribute="1" defaultMemberUniqueName="[rArtikliAnaliza].[Период (Month)].[All]" allUniqueName="[rArtikliAnaliza].[Период (Month)].[All]" dimensionUniqueName="[rArtikliAnaliza]" displayFolder="" count="0" memberValueDatatype="130" unbalanced="0"/>
    <cacheHierarchy uniqueName="[CAPEX].[Очекуван датум за ставање во употреба (месец) (Month Index)]" caption="Очекуван датум за ставање во употреба (месец) (Month Index)" attribute="1" defaultMemberUniqueName="[CAPEX].[Очекуван датум за ставање во употреба (месец) (Month Index)].[All]" allUniqueName="[CAPEX].[Очекуван датум за ставање во употреба (месец) (Month Index)].[All]" dimensionUniqueName="[CAPEX]" displayFolder="" count="0" memberValueDatatype="20" unbalanced="0" hidden="1"/>
    <cacheHierarchy uniqueName="[CAPEX].[Очекуван датум на плаќање (Month Index)]" caption="Очекуван датум на плаќање (Month Index)" attribute="1" defaultMemberUniqueName="[CAPEX].[Очекуван датум на плаќање (Month Index)].[All]" allUniqueName="[CAPEX].[Очекуван датум на плаќање (Month Index)].[All]" dimensionUniqueName="[CAPEX]" displayFolder="" count="0" memberValueDatatype="20" unbalanced="0" hidden="1"/>
    <cacheHierarchy uniqueName="[fActualAndBudget].[StavkaID]" caption="StavkaID" attribute="1" defaultMemberUniqueName="[fActualAndBudget].[StavkaID].[All]" allUniqueName="[fActualAndBudget].[StavkaID].[All]" dimensionUniqueName="[fActualAndBudget]" displayFolder="" count="0" memberValueDatatype="20" unbalanced="0" hidden="1"/>
    <cacheHierarchy uniqueName="[fCoveckiResursi].[Период (Month Index)]" caption="Период (Month Index)" attribute="1" defaultMemberUniqueName="[fCoveckiResursi].[Период (Month Index)].[All]" allUniqueName="[fCoveckiResursi].[Период (Month Index)].[All]" dimensionUniqueName="[fCoveckiResursi]" displayFolder="" count="0" memberValueDatatype="20" unbalanced="0" hidden="1"/>
    <cacheHierarchy uniqueName="[fCoveckiResursi].[Период (Month Index) 1]" caption="Период (Month Index) 1" attribute="1" defaultMemberUniqueName="[fCoveckiResursi].[Период (Month Index) 1].[All]" allUniqueName="[fCoveckiResursi].[Период (Month Index) 1].[All]" dimensionUniqueName="[fCoveckiResursi]" displayFolder="" count="0" memberValueDatatype="20" unbalanced="0" hidden="1"/>
    <cacheHierarchy uniqueName="[OPEXAnaliza].[Период (Month Index)]" caption="Период (Month Index)" attribute="1" defaultMemberUniqueName="[OPEXAnaliza].[Период (Month Index)].[All]" allUniqueName="[OPEXAnaliza].[Период (Month Index)].[All]" dimensionUniqueName="[OPEXAnaliza]" displayFolder="" count="0" memberValueDatatype="20" unbalanced="0" hidden="1"/>
    <cacheHierarchy uniqueName="[rArtikli_HR_Analiza].[Крајна состојба вработени]" caption="Крајна состојба вработени" attribute="1" defaultMemberUniqueName="[rArtikli_HR_Analiza].[Крајна состојба вработени].[All]" allUniqueName="[rArtikli_HR_Analiza].[Крајна состојба вработени].[All]" dimensionUniqueName="[rArtikli_HR_Analiza]" displayFolder="" count="0" memberValueDatatype="20" unbalanced="0" hidden="1"/>
    <cacheHierarchy uniqueName="[rArtikli_HR_Analiza].[Планиран прилив/(одлив)]" caption="Планиран прилив/(одлив)" attribute="1" defaultMemberUniqueName="[rArtikli_HR_Analiza].[Планиран прилив/(одлив)].[All]" allUniqueName="[rArtikli_HR_Analiza].[Планиран прилив/(одлив)].[All]" dimensionUniqueName="[rArtikli_HR_Analiza]" displayFolder="" count="0" memberValueDatatype="20" unbalanced="0" hidden="1"/>
    <cacheHierarchy uniqueName="[rArtikli_HR_Analiza].[Тип на вработување]" caption="Тип на вработување" attribute="1" defaultMemberUniqueName="[rArtikli_HR_Analiza].[Тип на вработување].[All]" allUniqueName="[rArtikli_HR_Analiza].[Тип на вработување].[All]" dimensionUniqueName="[rArtikli_HR_Analiza]" displayFolder="" count="0" memberValueDatatype="130" unbalanced="0" hidden="1"/>
    <cacheHierarchy uniqueName="[rArtikliAnaliza].[Период (Month Index)]" caption="Период (Month Index)" attribute="1" defaultMemberUniqueName="[rArtikliAnaliza].[Период (Month Index)].[All]" allUniqueName="[rArtikliAnaliza].[Период (Month Index)].[All]" dimensionUniqueName="[rArtikliAnaliza]" displayFolder="" count="0" memberValueDatatype="20" unbalanced="0" hidden="1"/>
    <cacheHierarchy uniqueName="[Measures].[__XL_Count Calendar]" caption="__XL_Count Calendar" measure="1" displayFolder="" measureGroup="Calendar" count="0" hidden="1"/>
    <cacheHierarchy uniqueName="[Measures].[__XL_Count CAPEX]" caption="__XL_Count CAPEX" measure="1" displayFolder="" measureGroup="CAPEX" count="0" hidden="1"/>
    <cacheHierarchy uniqueName="[Measures].[__XL_Count Amortizacija]" caption="__XL_Count Amortizacija" measure="1" displayFolder="" measureGroup="Amortizacija" count="0" hidden="1"/>
    <cacheHierarchy uniqueName="[Measures].[__XL_Count fCoveckiResursi]" caption="__XL_Count fCoveckiResursi" measure="1" displayFolder="" measureGroup="fCoveckiResursi" count="0" hidden="1"/>
    <cacheHierarchy uniqueName="[Measures].[__XL_Count fActualAndBudget]" caption="__XL_Count fActualAndBudget" measure="1" displayFolder="" measureGroup="fActualAndBudget" count="0" hidden="1"/>
    <cacheHierarchy uniqueName="[Measures].[__XL_Count fOPEX]" caption="__XL_Count fOPEX" measure="1" displayFolder="" measureGroup="fOPEX" count="0" hidden="1"/>
    <cacheHierarchy uniqueName="[Measures].[__XL_Count OPEXAnaliza]" caption="__XL_Count OPEXAnaliza" measure="1" displayFolder="" measureGroup="OPEXAnaliza" count="0" hidden="1"/>
    <cacheHierarchy uniqueName="[Measures].[__XL_Count rArtikliAnaliza]" caption="__XL_Count rArtikliAnaliza" measure="1" displayFolder="" measureGroup="rArtikliAnaliza" count="0" hidden="1"/>
    <cacheHierarchy uniqueName="[Measures].[__XL_Count fArtikliCeni]" caption="__XL_Count fArtikliCeni" measure="1" displayFolder="" measureGroup="fArtikliCeni" count="0" hidden="1"/>
    <cacheHierarchy uniqueName="[Measures].[__XL_Count rArtikli_HR_Analiza]" caption="__XL_Count rArtikli_HR_Analiza" measure="1" displayFolder="" measureGroup="rArtikli_HR_Analiza" count="0" hidden="1"/>
    <cacheHierarchy uniqueName="[Measures].[__XL_Count fCoveckiResursi  2]" caption="__XL_Count fCoveckiResursi  2" measure="1" displayFolder="" measureGroup="fCoveckiResursi  2" count="0" hidden="1"/>
    <cacheHierarchy uniqueName="[Measures].[__No measures defined]" caption="__No measures defined" measure="1" displayFolder="" count="0" hidden="1"/>
    <cacheHierarchy uniqueName="[Measures].[Sum of Износ 3]" caption="Sum of Износ 3" measure="1" displayFolder="" measureGroup="fCoveckiResursi" count="0" hidden="1">
      <extLst>
        <ext xmlns:x15="http://schemas.microsoft.com/office/spreadsheetml/2010/11/main" uri="{B97F6D7D-B522-45F9-BDA1-12C45D357490}">
          <x15:cacheHierarchy aggregatedColumn="71"/>
        </ext>
      </extLst>
    </cacheHierarchy>
    <cacheHierarchy uniqueName="[Measures].[Sum of Крајна состојба вработени]" caption="Sum of Крајна состојба вработени" measure="1" displayFolder="" measureGroup="fCoveckiResursi" count="0" hidden="1">
      <extLst>
        <ext xmlns:x15="http://schemas.microsoft.com/office/spreadsheetml/2010/11/main" uri="{B97F6D7D-B522-45F9-BDA1-12C45D357490}">
          <x15:cacheHierarchy aggregatedColumn="70"/>
        </ext>
      </extLst>
    </cacheHierarchy>
    <cacheHierarchy uniqueName="[Measures].[Sum of Планиран прилив/(одлив)]" caption="Sum of Планиран прилив/(одлив)" measure="1" displayFolder="" measureGroup="fCoveckiResursi" count="0" hidden="1">
      <extLst>
        <ext xmlns:x15="http://schemas.microsoft.com/office/spreadsheetml/2010/11/main" uri="{B97F6D7D-B522-45F9-BDA1-12C45D357490}">
          <x15:cacheHierarchy aggregatedColumn="68"/>
        </ext>
      </extLst>
    </cacheHierarchy>
    <cacheHierarchy uniqueName="[Measures].[Sum of Износ]" caption="Sum of Износ" measure="1" displayFolder="" measureGroup="fActualAndBudget" count="0" hidden="1">
      <extLst>
        <ext xmlns:x15="http://schemas.microsoft.com/office/spreadsheetml/2010/11/main" uri="{B97F6D7D-B522-45F9-BDA1-12C45D357490}">
          <x15:cacheHierarchy aggregatedColumn="45"/>
        </ext>
      </extLst>
    </cacheHierarchy>
    <cacheHierarchy uniqueName="[Measures].[Sum of Износ (илјади)]" caption="Sum of Износ (илјади)" measure="1" displayFolder="" measureGroup="fActualAndBudget" count="0" hidden="1">
      <extLst>
        <ext xmlns:x15="http://schemas.microsoft.com/office/spreadsheetml/2010/11/main" uri="{B97F6D7D-B522-45F9-BDA1-12C45D357490}">
          <x15:cacheHierarchy aggregatedColumn="46"/>
        </ext>
      </extLst>
    </cacheHierarchy>
    <cacheHierarchy uniqueName="[Measures].[Sum of Износ1]" caption="Sum of Износ1" measure="1" displayFolder="" measureGroup="fActualAndBudget" count="0" hidden="1">
      <extLst>
        <ext xmlns:x15="http://schemas.microsoft.com/office/spreadsheetml/2010/11/main" uri="{B97F6D7D-B522-45F9-BDA1-12C45D357490}">
          <x15:cacheHierarchy aggregatedColumn="34"/>
        </ext>
      </extLst>
    </cacheHierarchy>
    <cacheHierarchy uniqueName="[Measures].[Sum of Износ 2]" caption="Sum of Износ 2" measure="1" displayFolder="" measureGroup="Amortizacija" count="0" hidden="1">
      <extLst>
        <ext xmlns:x15="http://schemas.microsoft.com/office/spreadsheetml/2010/11/main" uri="{B97F6D7D-B522-45F9-BDA1-12C45D357490}">
          <x15:cacheHierarchy aggregatedColumn="3"/>
        </ext>
      </extLst>
    </cacheHierarchy>
    <cacheHierarchy uniqueName="[Measures].[Sum of Износ 4]" caption="Sum of Износ 4" measure="1" displayFolder="" measureGroup="OPEXAnaliza" count="0" hidden="1">
      <extLst>
        <ext xmlns:x15="http://schemas.microsoft.com/office/spreadsheetml/2010/11/main" uri="{B97F6D7D-B522-45F9-BDA1-12C45D357490}">
          <x15:cacheHierarchy aggregatedColumn="101"/>
        </ext>
      </extLst>
    </cacheHierarchy>
    <cacheHierarchy uniqueName="[Measures].[Sum of Износ донација]" caption="Sum of Износ донација" measure="1" displayFolder="" measureGroup="CAPEX" count="0" hidden="1">
      <extLst>
        <ext xmlns:x15="http://schemas.microsoft.com/office/spreadsheetml/2010/11/main" uri="{B97F6D7D-B522-45F9-BDA1-12C45D357490}">
          <x15:cacheHierarchy aggregatedColumn="24"/>
        </ext>
      </extLst>
    </cacheHierarchy>
    <cacheHierarchy uniqueName="[Measures].[Sum of Вкупно трошок]" caption="Sum of Вкупно трошок" measure="1" displayFolder="" measureGroup="fArtikliCeni" count="0" hidden="1">
      <extLst>
        <ext xmlns:x15="http://schemas.microsoft.com/office/spreadsheetml/2010/11/main" uri="{B97F6D7D-B522-45F9-BDA1-12C45D357490}">
          <x15:cacheHierarchy aggregatedColumn="55"/>
        </ext>
      </extLst>
    </cacheHierarchy>
    <cacheHierarchy uniqueName="[Measures].[Sum of Количина]" caption="Sum of Количина" measure="1" displayFolder="" measureGroup="fArtikliCeni" count="0" hidden="1">
      <extLst>
        <ext xmlns:x15="http://schemas.microsoft.com/office/spreadsheetml/2010/11/main" uri="{B97F6D7D-B522-45F9-BDA1-12C45D357490}">
          <x15:cacheHierarchy aggregatedColumn="53"/>
        </ext>
      </extLst>
    </cacheHierarchy>
    <cacheHierarchy uniqueName="[Measures].[Sum of Единечна цена]" caption="Sum of Единечна цена" measure="1" displayFolder="" measureGroup="fArtikliCeni" count="0" hidden="1">
      <extLst>
        <ext xmlns:x15="http://schemas.microsoft.com/office/spreadsheetml/2010/11/main" uri="{B97F6D7D-B522-45F9-BDA1-12C45D357490}">
          <x15:cacheHierarchy aggregatedColumn="54"/>
        </ext>
      </extLst>
    </cacheHierarchy>
    <cacheHierarchy uniqueName="[Measures].[Sum of ДДВ]" caption="Sum of ДДВ" measure="1" displayFolder="" measureGroup="fArtikliCeni" count="0" hidden="1">
      <extLst>
        <ext xmlns:x15="http://schemas.microsoft.com/office/spreadsheetml/2010/11/main" uri="{B97F6D7D-B522-45F9-BDA1-12C45D357490}">
          <x15:cacheHierarchy aggregatedColumn="56"/>
        </ext>
      </extLst>
    </cacheHierarchy>
    <cacheHierarchy uniqueName="[Measures].[Sum of Износ 6]" caption="Sum of Износ 6" measure="1" displayFolder="" measureGroup="fArtikliCeni" count="0" hidden="1">
      <extLst>
        <ext xmlns:x15="http://schemas.microsoft.com/office/spreadsheetml/2010/11/main" uri="{B97F6D7D-B522-45F9-BDA1-12C45D357490}">
          <x15:cacheHierarchy aggregatedColumn="57"/>
        </ext>
      </extLst>
    </cacheHierarchy>
    <cacheHierarchy uniqueName="[Measures].[Count of Единечна мерка]" caption="Count of Единечна мерка" measure="1" displayFolder="" measureGroup="fArtikliCeni" count="0" hidden="1">
      <extLst>
        <ext xmlns:x15="http://schemas.microsoft.com/office/spreadsheetml/2010/11/main" uri="{B97F6D7D-B522-45F9-BDA1-12C45D357490}">
          <x15:cacheHierarchy aggregatedColumn="52"/>
        </ext>
      </extLst>
    </cacheHierarchy>
    <cacheHierarchy uniqueName="[Measures].[Sum of Количина 2]" caption="Sum of Количина 2" measure="1" displayFolder="" measureGroup="rArtikli_HR_Analiza" count="0" hidden="1">
      <extLst>
        <ext xmlns:x15="http://schemas.microsoft.com/office/spreadsheetml/2010/11/main" uri="{B97F6D7D-B522-45F9-BDA1-12C45D357490}">
          <x15:cacheHierarchy aggregatedColumn="118"/>
        </ext>
      </extLst>
    </cacheHierarchy>
    <cacheHierarchy uniqueName="[Measures].[Sum of Единечна цена 2]" caption="Sum of Единечна цена 2" measure="1" displayFolder="" measureGroup="rArtikli_HR_Analiza" count="0" hidden="1">
      <extLst>
        <ext xmlns:x15="http://schemas.microsoft.com/office/spreadsheetml/2010/11/main" uri="{B97F6D7D-B522-45F9-BDA1-12C45D357490}">
          <x15:cacheHierarchy aggregatedColumn="119"/>
        </ext>
      </extLst>
    </cacheHierarchy>
    <cacheHierarchy uniqueName="[Measures].[Sum of Вкупно трошок 2]" caption="Sum of Вкупно трошок 2" measure="1" displayFolder="" measureGroup="rArtikli_HR_Analiza" count="0" hidden="1">
      <extLst>
        <ext xmlns:x15="http://schemas.microsoft.com/office/spreadsheetml/2010/11/main" uri="{B97F6D7D-B522-45F9-BDA1-12C45D357490}">
          <x15:cacheHierarchy aggregatedColumn="120"/>
        </ext>
      </extLst>
    </cacheHierarchy>
    <cacheHierarchy uniqueName="[Measures].[Sum of ДДВ 2]" caption="Sum of ДДВ 2" measure="1" displayFolder="" measureGroup="rArtikli_HR_Analiza" count="0" hidden="1">
      <extLst>
        <ext xmlns:x15="http://schemas.microsoft.com/office/spreadsheetml/2010/11/main" uri="{B97F6D7D-B522-45F9-BDA1-12C45D357490}">
          <x15:cacheHierarchy aggregatedColumn="121"/>
        </ext>
      </extLst>
    </cacheHierarchy>
    <cacheHierarchy uniqueName="[Measures].[Sum of Износ 7]" caption="Sum of Износ 7" measure="1" displayFolder="" measureGroup="rArtikli_HR_Analiza" count="0" hidden="1">
      <extLst>
        <ext xmlns:x15="http://schemas.microsoft.com/office/spreadsheetml/2010/11/main" uri="{B97F6D7D-B522-45F9-BDA1-12C45D357490}">
          <x15:cacheHierarchy aggregatedColumn="122"/>
        </ext>
      </extLst>
    </cacheHierarchy>
    <cacheHierarchy uniqueName="[Measures].[Sum of Износ 5]" caption="Sum of Износ 5" measure="1" displayFolder="" measureGroup="fCoveckiResursi  2" count="0" hidden="1">
      <extLst>
        <ext xmlns:x15="http://schemas.microsoft.com/office/spreadsheetml/2010/11/main" uri="{B97F6D7D-B522-45F9-BDA1-12C45D357490}">
          <x15:cacheHierarchy aggregatedColumn="82"/>
        </ext>
      </extLst>
    </cacheHierarchy>
    <cacheHierarchy uniqueName="[Measures].[Sum of Проценета вредност на набавка со ДДВ (денари)]" caption="Sum of Проценета вредност на набавка со ДДВ (денари)" measure="1" displayFolder="" measureGroup="CAPEX" count="0" hidden="1">
      <extLst>
        <ext xmlns:x15="http://schemas.microsoft.com/office/spreadsheetml/2010/11/main" uri="{B97F6D7D-B522-45F9-BDA1-12C45D357490}">
          <x15:cacheHierarchy aggregatedColumn="20"/>
        </ext>
      </extLst>
    </cacheHierarchy>
  </cacheHierarchies>
  <kpis count="0"/>
  <dimensions count="12">
    <dimension name="Amortizacija" uniqueName="[Amortizacija]" caption="Amortizacija"/>
    <dimension name="Calendar" uniqueName="[Calendar]" caption="Calendar"/>
    <dimension name="CAPEX" uniqueName="[CAPEX]" caption="CAPEX"/>
    <dimension name="fActualAndBudget" uniqueName="[fActualAndBudget]" caption="fActualAndBudget"/>
    <dimension name="fArtikliCeni" uniqueName="[fArtikliCeni]" caption="fArtikliCeni"/>
    <dimension name="fCoveckiResursi" uniqueName="[fCoveckiResursi]" caption="fCoveckiResursi"/>
    <dimension name="fCoveckiResursi  2" uniqueName="[fCoveckiResursi  2]" caption="fCoveckiResursi  2"/>
    <dimension name="fOPEX" uniqueName="[fOPEX]" caption="fOPEX"/>
    <dimension measure="1" name="Measures" uniqueName="[Measures]" caption="Measures"/>
    <dimension name="OPEXAnaliza" uniqueName="[OPEXAnaliza]" caption="OPEXAnaliza"/>
    <dimension name="rArtikli_HR_Analiza" uniqueName="[rArtikli_HR_Analiza]" caption="rArtikli_HR_Analiza"/>
    <dimension name="rArtikliAnaliza" uniqueName="[rArtikliAnaliza]" caption="rArtikliAnaliza"/>
  </dimensions>
  <measureGroups count="11">
    <measureGroup name="Amortizacija" caption="Amortizacija"/>
    <measureGroup name="Calendar" caption="Calendar"/>
    <measureGroup name="CAPEX" caption="CAPEX"/>
    <measureGroup name="fActualAndBudget" caption="fActualAndBudget"/>
    <measureGroup name="fArtikliCeni" caption="fArtikliCeni"/>
    <measureGroup name="fCoveckiResursi" caption="fCoveckiResursi"/>
    <measureGroup name="fCoveckiResursi  2" caption="fCoveckiResursi  2"/>
    <measureGroup name="fOPEX" caption="fOPEX"/>
    <measureGroup name="OPEXAnaliza" caption="OPEXAnaliza"/>
    <measureGroup name="rArtikli_HR_Analiza" caption="rArtikli_HR_Analiza"/>
    <measureGroup name="rArtikliAnaliza" caption="rArtikliAnaliza"/>
  </measureGroups>
  <maps count="19">
    <map measureGroup="0" dimension="0"/>
    <map measureGroup="0" dimension="1"/>
    <map measureGroup="1" dimension="1"/>
    <map measureGroup="2" dimension="1"/>
    <map measureGroup="2" dimension="2"/>
    <map measureGroup="3" dimension="1"/>
    <map measureGroup="3" dimension="3"/>
    <map measureGroup="4" dimension="4"/>
    <map measureGroup="5" dimension="1"/>
    <map measureGroup="5" dimension="5"/>
    <map measureGroup="6" dimension="1"/>
    <map measureGroup="6" dimension="6"/>
    <map measureGroup="7" dimension="1"/>
    <map measureGroup="7" dimension="7"/>
    <map measureGroup="8" dimension="1"/>
    <map measureGroup="8" dimension="9"/>
    <map measureGroup="9" dimension="10"/>
    <map measureGroup="10" dimension="1"/>
    <map measureGroup="10" dimension="1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ngela Sazdova - Doneva" refreshedDate="44899.978487152781" createdVersion="5" refreshedVersion="6" minRefreshableVersion="3" recordCount="0" supportSubquery="1" supportAdvancedDrill="1" xr:uid="{00000000-000A-0000-FFFF-FFFF04000000}">
  <cacheSource type="external" connectionId="22"/>
  <cacheFields count="6">
    <cacheField name="[Calendar].[Date Hierarchy].[Year]" caption="Year" numFmtId="0" hierarchy="7" level="1">
      <sharedItems containsSemiMixedTypes="0" containsNonDate="0" containsString="0"/>
    </cacheField>
    <cacheField name="[Calendar].[Date Hierarchy].[Month]" caption="Month" numFmtId="0" hierarchy="7" level="2">
      <sharedItems containsSemiMixedTypes="0" containsNonDate="0" containsString="0"/>
    </cacheField>
    <cacheField name="[Calendar].[Date Hierarchy].[DateColumn]" caption="DateColumn" numFmtId="0" hierarchy="7" level="3">
      <sharedItems containsSemiMixedTypes="0" containsNonDate="0" containsString="0"/>
    </cacheField>
    <cacheField name="[fActualAndBudget].[ReportType].[ReportType]" caption="ReportType" numFmtId="0" hierarchy="35" level="1">
      <sharedItems containsSemiMixedTypes="0" containsNonDate="0" containsString="0"/>
    </cacheField>
    <cacheField name="[Calendar].[Година].[Година]" caption="Година" numFmtId="0" hierarchy="8" level="1">
      <sharedItems containsSemiMixedTypes="0" containsNonDate="0" containsString="0"/>
    </cacheField>
    <cacheField name="[fActualAndBudget].[ObrazecIme].[ObrazecIme]" caption="ObrazecIme" numFmtId="0" hierarchy="44" level="1">
      <sharedItems containsSemiMixedTypes="0" containsNonDate="0" containsString="0"/>
    </cacheField>
  </cacheFields>
  <cacheHierarchies count="195">
    <cacheHierarchy uniqueName="[Amortizacija].[Број на јавна набавка (план)]" caption="Број на јавна набавка (план)" attribute="1" defaultMemberUniqueName="[Amortizacija].[Број на јавна набавка (план)].[All]" allUniqueName="[Amortizacija].[Број на јавна набавка (план)].[All]" dimensionUniqueName="[Amortizacija]" displayFolder="" count="0" memberValueDatatype="130" unbalanced="0"/>
    <cacheHierarchy uniqueName="[Amortizacija].[Ставка]" caption="Ставка" attribute="1" defaultMemberUniqueName="[Amortizacija].[Ставка].[All]" allUniqueName="[Amortizacija].[Ставка].[All]" dimensionUniqueName="[Amortizacija]" displayFolder="" count="0" memberValueDatatype="130" unbalanced="0"/>
    <cacheHierarchy uniqueName="[Amortizacija].[Период]" caption="Период" attribute="1" time="1" defaultMemberUniqueName="[Amortizacija].[Период].[All]" allUniqueName="[Amortizacija].[Период].[All]" dimensionUniqueName="[Amortizacija]" displayFolder="" count="0" memberValueDatatype="7" unbalanced="0"/>
    <cacheHierarchy uniqueName="[Amortizacija].[Износ]" caption="Износ" attribute="1" defaultMemberUniqueName="[Amortizacija].[Износ].[All]" allUniqueName="[Amortizacija].[Износ].[All]" dimensionUniqueName="[Amortizacija]" displayFolder="" count="0" memberValueDatatype="20" unbalanced="0"/>
    <cacheHierarchy uniqueName="[Amortizacija].[Конто]" caption="Конто" attribute="1" defaultMemberUniqueName="[Amortizacija].[Конто].[All]" allUniqueName="[Amortizacija].[Конто].[All]" dimensionUniqueName="[Amortizacija]" displayFolder="" count="0" memberValueDatatype="130" unbalanced="0"/>
    <cacheHierarchy uniqueName="[Amortizacija].[ReportType]" caption="ReportType" attribute="1" defaultMemberUniqueName="[Amortizacija].[ReportType].[All]" allUniqueName="[Amortizacija].[ReportType].[All]" dimensionUniqueName="[Amortizacija]" displayFolder="" count="0" memberValueDatatype="130" unbalanced="0"/>
    <cacheHierarchy uniqueName="[Calendar].[Date]" caption="Date" attribute="1" time="1" keyAttribute="1" defaultMemberUniqueName="[Calendar].[Date].[All]" allUniqueName="[Calendar].[Date].[All]" dimensionUniqueName="[Calendar]" displayFolder="" count="0" memberValueDatatype="7" unbalanced="0"/>
    <cacheHierarchy uniqueName="[Calendar].[Date Hierarchy]" caption="Date Hierarchy" time="1" defaultMemberUniqueName="[Calendar].[Date Hierarchy].[All]" allUniqueName="[Calendar].[Date Hierarchy].[All]" dimensionUniqueName="[Calendar]" displayFolder="" count="4" unbalanced="0">
      <fieldsUsage count="4">
        <fieldUsage x="-1"/>
        <fieldUsage x="0"/>
        <fieldUsage x="1"/>
        <fieldUsage x="2"/>
      </fieldsUsage>
    </cacheHierarchy>
    <cacheHierarchy uniqueName="[Calendar].[Година]" caption="Година" attribute="1" time="1" defaultMemberUniqueName="[Calendar].[Година].[All]" allUniqueName="[Calendar].[Година].[All]" dimensionUniqueName="[Calendar]" displayFolder="" count="2" memberValueDatatype="20" unbalanced="0">
      <fieldsUsage count="2">
        <fieldUsage x="-1"/>
        <fieldUsage x="4"/>
      </fieldsUsage>
    </cacheHierarchy>
    <cacheHierarchy uniqueName="[Calendar].[Month Number]" caption="Month Number" attribute="1" time="1" defaultMemberUniqueName="[Calendar].[Month Number].[All]" allUniqueName="[Calendar].[Month Number].[All]" dimensionUniqueName="[Calendar]" displayFolder="" count="0" memberValueDatatype="20" unbalanced="0"/>
    <cacheHierarchy uniqueName="[Calendar].[Месец]" caption="Месец" attribute="1" time="1" defaultMemberUniqueName="[Calendar].[Месец].[All]" allUniqueName="[Calendar].[Месец].[All]" dimensionUniqueName="[Calendar]" displayFolder="" count="0" memberValueDatatype="130" unbalanced="0"/>
    <cacheHierarchy uniqueName="[Calendar].[MMM-YYYY]" caption="MMM-YYYY" attribute="1" time="1" defaultMemberUniqueName="[Calendar].[MMM-YYYY].[All]" allUniqueName="[Calendar].[MMM-YYYY].[All]" dimensionUniqueName="[Calendar]" displayFolder="" count="0" memberValueDatatype="130" unbalanced="0"/>
    <cacheHierarchy uniqueName="[Calendar].[Day Of Week Number]" caption="Day Of Week Number" attribute="1" time="1" defaultMemberUniqueName="[Calendar].[Day Of Week Number].[All]" allUniqueName="[Calendar].[Day Of Week Number].[All]" dimensionUniqueName="[Calendar]" displayFolder="" count="0" memberValueDatatype="20" unbalanced="0"/>
    <cacheHierarchy uniqueName="[Calendar].[Day Of Week]" caption="Day Of Week" attribute="1" time="1" defaultMemberUniqueName="[Calendar].[Day Of Week].[All]" allUniqueName="[Calendar].[Day Of Week].[All]" dimensionUniqueName="[Calendar]" displayFolder="" count="0" memberValueDatatype="130" unbalanced="0"/>
    <cacheHierarchy uniqueName="[Calendar].[Квартал]" caption="Квартал" attribute="1" time="1" defaultMemberUniqueName="[Calendar].[Квартал].[All]" allUniqueName="[Calendar].[Квартал].[All]" dimensionUniqueName="[Calendar]" displayFolder="" count="0" memberValueDatatype="7" unbalanced="0"/>
    <cacheHierarchy uniqueName="[CAPEX].[Година за реализација на проект]" caption="Година за реализација на проект" attribute="1" defaultMemberUniqueName="[CAPEX].[Година за реализација на проект].[All]" allUniqueName="[CAPEX].[Година за реализација на проект].[All]" dimensionUniqueName="[CAPEX]" displayFolder="" count="0" memberValueDatatype="20" unbalanced="0"/>
    <cacheHierarchy uniqueName="[CAPEX].[Број на јавна набавка (план)]" caption="Број на јавна набавка (план)" attribute="1" defaultMemberUniqueName="[CAPEX].[Број на јавна набавка (план)].[All]" allUniqueName="[CAPEX].[Број на јавна набавка (план)].[All]" dimensionUniqueName="[CAPEX]" displayFolder="" count="0" memberValueDatatype="130" unbalanced="0"/>
    <cacheHierarchy uniqueName="[CAPEX].[Предмет на договорот за јавна набавка]" caption="Предмет на договорот за јавна набавка" attribute="1" defaultMemberUniqueName="[CAPEX].[Предмет на договорот за јавна набавка].[All]" allUniqueName="[CAPEX].[Предмет на договорот за јавна набавка].[All]" dimensionUniqueName="[CAPEX]" displayFolder="" count="0" memberValueDatatype="130" unbalanced="0"/>
    <cacheHierarchy uniqueName="[CAPEX].[Очекуван датум на плаќање]" caption="Очекуван датум на плаќање" attribute="1" time="1" defaultMemberUniqueName="[CAPEX].[Очекуван датум на плаќање].[All]" allUniqueName="[CAPEX].[Очекуван датум на плаќање].[All]" dimensionUniqueName="[CAPEX]" displayFolder="" count="0" memberValueDatatype="7" unbalanced="0"/>
    <cacheHierarchy uniqueName="[CAPEX].[Очекуван датум за ставање во употреба (месец)]" caption="Очекуван датум за ставање во употреба (месец)" attribute="1" time="1" defaultMemberUniqueName="[CAPEX].[Очекуван датум за ставање во употреба (месец)].[All]" allUniqueName="[CAPEX].[Очекуван датум за ставање во употреба (месец)].[All]" dimensionUniqueName="[CAPEX]" displayFolder="" count="0" memberValueDatatype="7" unbalanced="0"/>
    <cacheHierarchy uniqueName="[CAPEX].[Проценета вредност на набавка со ДДВ (денари)]" caption="Проценета вредност на набавка со ДДВ (денари)" attribute="1" defaultMemberUniqueName="[CAPEX].[Проценета вредност на набавка со ДДВ (денари)].[All]" allUniqueName="[CAPEX].[Проценета вредност на набавка со ДДВ (денари)].[All]" dimensionUniqueName="[CAPEX]" displayFolder="" count="0" memberValueDatatype="20" unbalanced="0"/>
    <cacheHierarchy uniqueName="[CAPEX].[Стапка на амортизација]" caption="Стапка на амортизација" attribute="1" defaultMemberUniqueName="[CAPEX].[Стапка на амортизација].[All]" allUniqueName="[CAPEX].[Стапка на амортизација].[All]" dimensionUniqueName="[CAPEX]" displayFolder="" count="0" memberValueDatatype="5" unbalanced="0"/>
    <cacheHierarchy uniqueName="[CAPEX].[Конто Средства]" caption="Конто Средства" attribute="1" defaultMemberUniqueName="[CAPEX].[Конто Средства].[All]" allUniqueName="[CAPEX].[Конто Средства].[All]" dimensionUniqueName="[CAPEX]" displayFolder="" count="0" memberValueDatatype="130" unbalanced="0"/>
    <cacheHierarchy uniqueName="[CAPEX].[Конто Амортизација]" caption="Конто Амортизација" attribute="1" defaultMemberUniqueName="[CAPEX].[Конто Амортизација].[All]" allUniqueName="[CAPEX].[Конто Амортизација].[All]" dimensionUniqueName="[CAPEX]" displayFolder="" count="0" memberValueDatatype="130" unbalanced="0"/>
    <cacheHierarchy uniqueName="[CAPEX].[Износ донација]" caption="Износ донација" attribute="1" defaultMemberUniqueName="[CAPEX].[Износ донација].[All]" allUniqueName="[CAPEX].[Износ донација].[All]" dimensionUniqueName="[CAPEX]" displayFolder="" count="0" memberValueDatatype="20" unbalanced="0"/>
    <cacheHierarchy uniqueName="[CAPEX].[Очекуван датум на плаќање (Year)]" caption="Очекуван датум на плаќање (Year)" attribute="1" defaultMemberUniqueName="[CAPEX].[Очекуван датум на плаќање (Year)].[All]" allUniqueName="[CAPEX].[Очекуван датум на плаќање (Year)].[All]" dimensionUniqueName="[CAPEX]" displayFolder="" count="0" memberValueDatatype="130" unbalanced="0"/>
    <cacheHierarchy uniqueName="[CAPEX].[Очекуван датум на плаќање (Quarter)]" caption="Очекуван датум на плаќање (Quarter)" attribute="1" defaultMemberUniqueName="[CAPEX].[Очекуван датум на плаќање (Quarter)].[All]" allUniqueName="[CAPEX].[Очекуван датум на плаќање (Quarter)].[All]" dimensionUniqueName="[CAPEX]" displayFolder="" count="0" memberValueDatatype="130" unbalanced="0"/>
    <cacheHierarchy uniqueName="[CAPEX].[Очекуван датум на плаќање (Month)]" caption="Очекуван датум на плаќање (Month)" attribute="1" defaultMemberUniqueName="[CAPEX].[Очекуван датум на плаќање (Month)].[All]" allUniqueName="[CAPEX].[Очекуван датум на плаќање (Month)].[All]" dimensionUniqueName="[CAPEX]" displayFolder="" count="0" memberValueDatatype="130" unbalanced="0"/>
    <cacheHierarchy uniqueName="[CAPEX].[Очекуван датум за ставање во употреба (месец) (Year)]" caption="Очекуван датум за ставање во употреба (месец) (Year)" attribute="1" defaultMemberUniqueName="[CAPEX].[Очекуван датум за ставање во употреба (месец) (Year)].[All]" allUniqueName="[CAPEX].[Очекуван датум за ставање во употреба (месец) (Year)].[All]" dimensionUniqueName="[CAPEX]" displayFolder="" count="0" memberValueDatatype="130" unbalanced="0"/>
    <cacheHierarchy uniqueName="[CAPEX].[Очекуван датум за ставање во употреба (месец) (Quarter)]" caption="Очекуван датум за ставање во употреба (месец) (Quarter)" attribute="1" defaultMemberUniqueName="[CAPEX].[Очекуван датум за ставање во употреба (месец) (Quarter)].[All]" allUniqueName="[CAPEX].[Очекуван датум за ставање во употреба (месец) (Quarter)].[All]" dimensionUniqueName="[CAPEX]" displayFolder="" count="0" memberValueDatatype="130" unbalanced="0"/>
    <cacheHierarchy uniqueName="[CAPEX].[Очекуван датум за ставање во употреба (месец) (Month)]" caption="Очекуван датум за ставање во употреба (месец) (Month)" attribute="1" defaultMemberUniqueName="[CAPEX].[Очекуван датум за ставање во употреба (месец) (Month)].[All]" allUniqueName="[CAPEX].[Очекуван датум за ставање во употреба (месец) (Month)].[All]" dimensionUniqueName="[CAPEX]" displayFolder="" count="0" memberValueDatatype="130" unbalanced="0"/>
    <cacheHierarchy uniqueName="[fActualAndBudget].[Конто]" caption="Конто" attribute="1" defaultMemberUniqueName="[fActualAndBudget].[Конто].[All]" allUniqueName="[fActualAndBudget].[Конто].[All]" dimensionUniqueName="[fActualAndBudget]" displayFolder="" count="0" memberValueDatatype="130" unbalanced="0"/>
    <cacheHierarchy uniqueName="[fActualAndBudget].[Назив на конто]" caption="Назив на конто" attribute="1" defaultMemberUniqueName="[fActualAndBudget].[Назив на конто].[All]" allUniqueName="[fActualAndBudget].[Назив на конто].[All]" dimensionUniqueName="[fActualAndBudget]" displayFolder="" count="0" memberValueDatatype="130" unbalanced="0"/>
    <cacheHierarchy uniqueName="[fActualAndBudget].[Период]" caption="Период" attribute="1" time="1" defaultMemberUniqueName="[fActualAndBudget].[Период].[All]" allUniqueName="[fActualAndBudget].[Период].[All]" dimensionUniqueName="[fActualAndBudget]" displayFolder="" count="0" memberValueDatatype="7" unbalanced="0"/>
    <cacheHierarchy uniqueName="[fActualAndBudget].[Износ1]" caption="Износ1" attribute="1" defaultMemberUniqueName="[fActualAndBudget].[Износ1].[All]" allUniqueName="[fActualAndBudget].[Износ1].[All]" dimensionUniqueName="[fActualAndBudget]" displayFolder="" count="0" memberValueDatatype="20" unbalanced="0"/>
    <cacheHierarchy uniqueName="[fActualAndBudget].[ReportType]" caption="ReportType" attribute="1" defaultMemberUniqueName="[fActualAndBudget].[ReportType].[All]" allUniqueName="[fActualAndBudget].[ReportType].[All]" dimensionUniqueName="[fActualAndBudget]" displayFolder="" count="2" memberValueDatatype="130" unbalanced="0">
      <fieldsUsage count="2">
        <fieldUsage x="-1"/>
        <fieldUsage x="3"/>
      </fieldsUsage>
    </cacheHierarchy>
    <cacheHierarchy uniqueName="[fActualAndBudget].[Ставка]" caption="Ставка" attribute="1" defaultMemberUniqueName="[fActualAndBudget].[Ставка].[All]" allUniqueName="[fActualAndBudget].[Ставка].[All]" dimensionUniqueName="[fActualAndBudget]" displayFolder="" count="0" memberValueDatatype="130" unbalanced="0"/>
    <cacheHierarchy uniqueName="[fActualAndBudget].[Број на јавна набавка (план)]" caption="Број на јавна набавка (план)" attribute="1" defaultMemberUniqueName="[fActualAndBudget].[Број на јавна набавка (план)].[All]" allUniqueName="[fActualAndBudget].[Број на јавна набавка (план)].[All]" dimensionUniqueName="[fActualAndBudget]" displayFolder="" count="0" memberValueDatatype="130" unbalanced="0"/>
    <cacheHierarchy uniqueName="[fActualAndBudget].[StavkaImeMK]" caption="StavkaImeMK" attribute="1" defaultMemberUniqueName="[fActualAndBudget].[StavkaImeMK].[All]" allUniqueName="[fActualAndBudget].[StavkaImeMK].[All]" dimensionUniqueName="[fActualAndBudget]" displayFolder="" count="0" memberValueDatatype="130" unbalanced="0"/>
    <cacheHierarchy uniqueName="[fActualAndBudget].[StavkaGrupa]" caption="StavkaGrupa" attribute="1" defaultMemberUniqueName="[fActualAndBudget].[StavkaGrupa].[All]" allUniqueName="[fActualAndBudget].[StavkaGrupa].[All]" dimensionUniqueName="[fActualAndBudget]" displayFolder="" count="0" memberValueDatatype="130" unbalanced="0"/>
    <cacheHierarchy uniqueName="[fActualAndBudget].[StavkaKategorija]" caption="StavkaKategorija" attribute="1" defaultMemberUniqueName="[fActualAndBudget].[StavkaKategorija].[All]" allUniqueName="[fActualAndBudget].[StavkaKategorija].[All]" dimensionUniqueName="[fActualAndBudget]" displayFolder="" count="0" memberValueDatatype="130" unbalanced="0"/>
    <cacheHierarchy uniqueName="[fActualAndBudget].[ZnakIzvestaj]" caption="ZnakIzvestaj" attribute="1" defaultMemberUniqueName="[fActualAndBudget].[ZnakIzvestaj].[All]" allUniqueName="[fActualAndBudget].[ZnakIzvestaj].[All]" dimensionUniqueName="[fActualAndBudget]" displayFolder="" count="0" memberValueDatatype="20" unbalanced="0"/>
    <cacheHierarchy uniqueName="[fActualAndBudget].[ObrazecID]" caption="ObrazecID" attribute="1" defaultMemberUniqueName="[fActualAndBudget].[ObrazecID].[All]" allUniqueName="[fActualAndBudget].[ObrazecID].[All]" dimensionUniqueName="[fActualAndBudget]" displayFolder="" count="0" memberValueDatatype="20" unbalanced="0"/>
    <cacheHierarchy uniqueName="[fActualAndBudget].[StavkaAOP]" caption="StavkaAOP" attribute="1" defaultMemberUniqueName="[fActualAndBudget].[StavkaAOP].[All]" allUniqueName="[fActualAndBudget].[StavkaAOP].[All]" dimensionUniqueName="[fActualAndBudget]" displayFolder="" count="0" memberValueDatatype="130" unbalanced="0"/>
    <cacheHierarchy uniqueName="[fActualAndBudget].[ObrazecIme]" caption="ObrazecIme" attribute="1" defaultMemberUniqueName="[fActualAndBudget].[ObrazecIme].[All]" allUniqueName="[fActualAndBudget].[ObrazecIme].[All]" dimensionUniqueName="[fActualAndBudget]" displayFolder="" count="2" memberValueDatatype="130" unbalanced="0">
      <fieldsUsage count="2">
        <fieldUsage x="-1"/>
        <fieldUsage x="5"/>
      </fieldsUsage>
    </cacheHierarchy>
    <cacheHierarchy uniqueName="[fActualAndBudget].[Износ]" caption="Износ" attribute="1" defaultMemberUniqueName="[fActualAndBudget].[Износ].[All]" allUniqueName="[fActualAndBudget].[Износ].[All]" dimensionUniqueName="[fActualAndBudget]" displayFolder="" count="0" memberValueDatatype="20" unbalanced="0"/>
    <cacheHierarchy uniqueName="[fActualAndBudget].[Износ (илјади)]" caption="Износ (илјади)" attribute="1" defaultMemberUniqueName="[fActualAndBudget].[Износ (илјади)].[All]" allUniqueName="[fActualAndBudget].[Износ (илјади)].[All]" dimensionUniqueName="[fActualAndBudget]" displayFolder="" count="0" memberValueDatatype="5" unbalanced="0"/>
    <cacheHierarchy uniqueName="[fActualAndBudget].[StavkaImeAOP]" caption="StavkaImeAOP" attribute="1" defaultMemberUniqueName="[fActualAndBudget].[StavkaImeAOP].[All]" allUniqueName="[fActualAndBudget].[StavkaImeAOP].[All]" dimensionUniqueName="[fActualAndBudget]" displayFolder="" count="0" memberValueDatatype="130" unbalanced="0"/>
    <cacheHierarchy uniqueName="[fActualAndBudget].[Конто Ставка]" caption="Конто Ставка" attribute="1" defaultMemberUniqueName="[fActualAndBudget].[Конто Ставка].[All]" allUniqueName="[fActualAndBudget].[Конто Ставка].[All]" dimensionUniqueName="[fActualAndBudget]" displayFolder="" count="0" memberValueDatatype="130" unbalanced="0"/>
    <cacheHierarchy uniqueName="[fArtikliCeni].[Ставка]" caption="Ставка" attribute="1" defaultMemberUniqueName="[fArtikliCeni].[Ставка].[All]" allUniqueName="[fArtikliCeni].[Ставка].[All]" dimensionUniqueName="[fArtikliCeni]" displayFolder="" count="0" memberValueDatatype="130" unbalanced="0"/>
    <cacheHierarchy uniqueName="[fArtikliCeni].[Категорија Артикл]" caption="Категорија Артикл" attribute="1" defaultMemberUniqueName="[fArtikliCeni].[Категорија Артикл].[All]" allUniqueName="[fArtikliCeni].[Категорија Артикл].[All]" dimensionUniqueName="[fArtikliCeni]" displayFolder="" count="0" memberValueDatatype="130" unbalanced="0"/>
    <cacheHierarchy uniqueName="[fArtikliCeni].[Тип на артикл]" caption="Тип на артикл" attribute="1" defaultMemberUniqueName="[fArtikliCeni].[Тип на артикл].[All]" allUniqueName="[fArtikliCeni].[Тип на артикл].[All]" dimensionUniqueName="[fArtikliCeni]" displayFolder="" count="0" memberValueDatatype="130" unbalanced="0"/>
    <cacheHierarchy uniqueName="[fArtikliCeni].[Единечна мерка]" caption="Единечна мерка" attribute="1" defaultMemberUniqueName="[fArtikliCeni].[Единечна мерка].[All]" allUniqueName="[fArtikliCeni].[Единечна мерка].[All]" dimensionUniqueName="[fArtikliCeni]" displayFolder="" count="0" memberValueDatatype="130" unbalanced="0"/>
    <cacheHierarchy uniqueName="[fArtikliCeni].[Количина]" caption="Количина" attribute="1" defaultMemberUniqueName="[fArtikliCeni].[Количина].[All]" allUniqueName="[fArtikliCeni].[Количина].[All]" dimensionUniqueName="[fArtikliCeni]" displayFolder="" count="0" memberValueDatatype="5" unbalanced="0"/>
    <cacheHierarchy uniqueName="[fArtikliCeni].[Единечна цена]" caption="Единечна цена" attribute="1" defaultMemberUniqueName="[fArtikliCeni].[Единечна цена].[All]" allUniqueName="[fArtikliCeni].[Единечна цена].[All]" dimensionUniqueName="[fArtikliCeni]" displayFolder="" count="0" memberValueDatatype="20" unbalanced="0"/>
    <cacheHierarchy uniqueName="[fArtikliCeni].[Вкупно трошок]" caption="Вкупно трошок" attribute="1" defaultMemberUniqueName="[fArtikliCeni].[Вкупно трошок].[All]" allUniqueName="[fArtikliCeni].[Вкупно трошок].[All]" dimensionUniqueName="[fArtikliCeni]" displayFolder="" count="0" memberValueDatatype="5" unbalanced="0"/>
    <cacheHierarchy uniqueName="[fArtikliCeni].[ДДВ]" caption="ДДВ" attribute="1" defaultMemberUniqueName="[fArtikliCeni].[ДДВ].[All]" allUniqueName="[fArtikliCeni].[ДДВ].[All]" dimensionUniqueName="[fArtikliCeni]" displayFolder="" count="0" memberValueDatatype="5" unbalanced="0"/>
    <cacheHierarchy uniqueName="[fArtikliCeni].[Износ]" caption="Износ" attribute="1" defaultMemberUniqueName="[fArtikliCeni].[Износ].[All]" allUniqueName="[fArtikliCeni].[Износ].[All]" dimensionUniqueName="[fArtikliCeni]" displayFolder="" count="0" memberValueDatatype="5" unbalanced="0"/>
    <cacheHierarchy uniqueName="[fArtikliCeni].[Конто]" caption="Конто" attribute="1" defaultMemberUniqueName="[fArtikliCeni].[Конто].[All]" allUniqueName="[fArtikliCeni].[Конто].[All]" dimensionUniqueName="[fArtikliCeni]" displayFolder="" count="0" memberValueDatatype="130" unbalanced="0"/>
    <cacheHierarchy uniqueName="[fArtikliCeni].[ReportType]" caption="ReportType" attribute="1" defaultMemberUniqueName="[fArtikliCeni].[ReportType].[All]" allUniqueName="[fArtikliCeni].[ReportType].[All]" dimensionUniqueName="[fArtikliCeni]" displayFolder="" count="0" memberValueDatatype="130" unbalanced="0"/>
    <cacheHierarchy uniqueName="[fArtikliCeni].[Период]" caption="Период" attribute="1" time="1" defaultMemberUniqueName="[fArtikliCeni].[Период].[All]" allUniqueName="[fArtikliCeni].[Период].[All]" dimensionUniqueName="[fArtikliCeni]" displayFolder="" count="0" memberValueDatatype="7" unbalanced="0"/>
    <cacheHierarchy uniqueName="[fArtikliCeni].[StavkaImeMK]" caption="StavkaImeMK" attribute="1" defaultMemberUniqueName="[fArtikliCeni].[StavkaImeMK].[All]" allUniqueName="[fArtikliCeni].[StavkaImeMK].[All]" dimensionUniqueName="[fArtikliCeni]" displayFolder="" count="0" memberValueDatatype="130" unbalanced="0"/>
    <cacheHierarchy uniqueName="[fArtikliCeni].[StavkaAOP]" caption="StavkaAOP" attribute="1" defaultMemberUniqueName="[fArtikliCeni].[StavkaAOP].[All]" allUniqueName="[fArtikliCeni].[StavkaAOP].[All]" dimensionUniqueName="[fArtikliCeni]" displayFolder="" count="0" memberValueDatatype="130" unbalanced="0"/>
    <cacheHierarchy uniqueName="[fArtikliCeni].[StavkaGrupa]" caption="StavkaGrupa" attribute="1" defaultMemberUniqueName="[fArtikliCeni].[StavkaGrupa].[All]" allUniqueName="[fArtikliCeni].[StavkaGrupa].[All]" dimensionUniqueName="[fArtikliCeni]" displayFolder="" count="0" memberValueDatatype="130" unbalanced="0"/>
    <cacheHierarchy uniqueName="[fArtikliCeni].[StavkaKategorija]" caption="StavkaKategorija" attribute="1" defaultMemberUniqueName="[fArtikliCeni].[StavkaKategorija].[All]" allUniqueName="[fArtikliCeni].[StavkaKategorija].[All]" dimensionUniqueName="[fArtikliCeni]" displayFolder="" count="0" memberValueDatatype="130" unbalanced="0"/>
    <cacheHierarchy uniqueName="[fArtikliCeni].[ObrazecIme]" caption="ObrazecIme" attribute="1" defaultMemberUniqueName="[fArtikliCeni].[ObrazecIme].[All]" allUniqueName="[fArtikliCeni].[ObrazecIme].[All]" dimensionUniqueName="[fArtikliCeni]" displayFolder="" count="0" memberValueDatatype="130" unbalanced="0"/>
    <cacheHierarchy uniqueName="[fCoveckiResursi].[Ставка]" caption="Ставка" attribute="1" defaultMemberUniqueName="[fCoveckiResursi].[Ставка].[All]" allUniqueName="[fCoveckiResursi].[Ставка].[All]" dimensionUniqueName="[fCoveckiResursi]" displayFolder="" count="0" memberValueDatatype="130" unbalanced="0"/>
    <cacheHierarchy uniqueName="[fCoveckiResursi].[Тип на вработување]" caption="Тип на вработување" attribute="1" defaultMemberUniqueName="[fCoveckiResursi].[Тип на вработување].[All]" allUniqueName="[fCoveckiResursi].[Тип на вработување].[All]" dimensionUniqueName="[fCoveckiResursi]" displayFolder="" count="0" memberValueDatatype="130" unbalanced="0"/>
    <cacheHierarchy uniqueName="[fCoveckiResursi].[Планиран прилив/(одлив)]" caption="Планиран прилив/(одлив)" attribute="1" defaultMemberUniqueName="[fCoveckiResursi].[Планиран прилив/(одлив)].[All]" allUniqueName="[fCoveckiResursi].[Планиран прилив/(одлив)].[All]" dimensionUniqueName="[fCoveckiResursi]" displayFolder="" count="0" memberValueDatatype="20" unbalanced="0"/>
    <cacheHierarchy uniqueName="[fCoveckiResursi].[Период]" caption="Период" attribute="1" time="1" defaultMemberUniqueName="[fCoveckiResursi].[Период].[All]" allUniqueName="[fCoveckiResursi].[Период].[All]" dimensionUniqueName="[fCoveckiResursi]" displayFolder="" count="0" memberValueDatatype="7" unbalanced="0"/>
    <cacheHierarchy uniqueName="[fCoveckiResursi].[Крајна состојба вработени]" caption="Крајна состојба вработени" attribute="1" defaultMemberUniqueName="[fCoveckiResursi].[Крајна состојба вработени].[All]" allUniqueName="[fCoveckiResursi].[Крајна состојба вработени].[All]" dimensionUniqueName="[fCoveckiResursi]" displayFolder="" count="0" memberValueDatatype="20" unbalanced="0"/>
    <cacheHierarchy uniqueName="[fCoveckiResursi].[Износ]" caption="Износ" attribute="1" defaultMemberUniqueName="[fCoveckiResursi].[Износ].[All]" allUniqueName="[fCoveckiResursi].[Износ].[All]" dimensionUniqueName="[fCoveckiResursi]" displayFolder="" count="0" memberValueDatatype="20" unbalanced="0"/>
    <cacheHierarchy uniqueName="[fCoveckiResursi].[Конто]" caption="Конто" attribute="1" defaultMemberUniqueName="[fCoveckiResursi].[Конто].[All]" allUniqueName="[fCoveckiResursi].[Конто].[All]" dimensionUniqueName="[fCoveckiResursi]" displayFolder="" count="0" memberValueDatatype="130" unbalanced="0"/>
    <cacheHierarchy uniqueName="[fCoveckiResursi].[ReportType]" caption="ReportType" attribute="1" defaultMemberUniqueName="[fCoveckiResursi].[ReportType].[All]" allUniqueName="[fCoveckiResursi].[ReportType].[All]" dimensionUniqueName="[fCoveckiResursi]" displayFolder="" count="0" memberValueDatatype="130" unbalanced="0"/>
    <cacheHierarchy uniqueName="[fCoveckiResursi].[Период (Year)]" caption="Период (Year)" attribute="1" defaultMemberUniqueName="[fCoveckiResursi].[Период (Year)].[All]" allUniqueName="[fCoveckiResursi].[Период (Year)].[All]" dimensionUniqueName="[fCoveckiResursi]" displayFolder="" count="0" memberValueDatatype="130" unbalanced="0"/>
    <cacheHierarchy uniqueName="[fCoveckiResursi].[Период (Quarter)]" caption="Период (Quarter)" attribute="1" defaultMemberUniqueName="[fCoveckiResursi].[Период (Quarter)].[All]" allUniqueName="[fCoveckiResursi].[Период (Quarter)].[All]" dimensionUniqueName="[fCoveckiResursi]" displayFolder="" count="0" memberValueDatatype="130" unbalanced="0"/>
    <cacheHierarchy uniqueName="[fCoveckiResursi].[Период (Month)]" caption="Период (Month)" attribute="1" defaultMemberUniqueName="[fCoveckiResursi].[Период (Month)].[All]" allUniqueName="[fCoveckiResursi].[Период (Month)].[All]" dimensionUniqueName="[fCoveckiResursi]" displayFolder="" count="0" memberValueDatatype="130" unbalanced="0"/>
    <cacheHierarchy uniqueName="[fCoveckiResursi].[Период (Year) 1]" caption="Период (Year) 1" attribute="1" defaultMemberUniqueName="[fCoveckiResursi].[Период (Year) 1].[All]" allUniqueName="[fCoveckiResursi].[Период (Year) 1].[All]" dimensionUniqueName="[fCoveckiResursi]" displayFolder="" count="0" memberValueDatatype="130" unbalanced="0"/>
    <cacheHierarchy uniqueName="[fCoveckiResursi].[Период (Quarter) 1]" caption="Период (Quarter) 1" attribute="1" defaultMemberUniqueName="[fCoveckiResursi].[Период (Quarter) 1].[All]" allUniqueName="[fCoveckiResursi].[Период (Quarter) 1].[All]" dimensionUniqueName="[fCoveckiResursi]" displayFolder="" count="0" memberValueDatatype="130" unbalanced="0"/>
    <cacheHierarchy uniqueName="[fCoveckiResursi].[Период (Month) 1]" caption="Период (Month) 1" attribute="1" defaultMemberUniqueName="[fCoveckiResursi].[Период (Month) 1].[All]" allUniqueName="[fCoveckiResursi].[Период (Month) 1].[All]" dimensionUniqueName="[fCoveckiResursi]" displayFolder="" count="0" memberValueDatatype="130" unbalanced="0"/>
    <cacheHierarchy uniqueName="[fCoveckiResursi  2].[Ставка]" caption="Ставка" attribute="1" defaultMemberUniqueName="[fCoveckiResursi  2].[Ставка].[All]" allUniqueName="[fCoveckiResursi  2].[Ставка].[All]" dimensionUniqueName="[fCoveckiResursi  2]" displayFolder="" count="0" memberValueDatatype="130" unbalanced="0"/>
    <cacheHierarchy uniqueName="[fCoveckiResursi  2].[Период]" caption="Период" attribute="1" time="1" defaultMemberUniqueName="[fCoveckiResursi  2].[Период].[All]" allUniqueName="[fCoveckiResursi  2].[Период].[All]" dimensionUniqueName="[fCoveckiResursi  2]" displayFolder="" count="0" memberValueDatatype="7" unbalanced="0"/>
    <cacheHierarchy uniqueName="[fCoveckiResursi  2].[Износ]" caption="Износ" attribute="1" defaultMemberUniqueName="[fCoveckiResursi  2].[Износ].[All]" allUniqueName="[fCoveckiResursi  2].[Износ].[All]" dimensionUniqueName="[fCoveckiResursi  2]" displayFolder="" count="0" memberValueDatatype="20" unbalanced="0"/>
    <cacheHierarchy uniqueName="[fCoveckiResursi  2].[Конто]" caption="Конто" attribute="1" defaultMemberUniqueName="[fCoveckiResursi  2].[Конто].[All]" allUniqueName="[fCoveckiResursi  2].[Конто].[All]" dimensionUniqueName="[fCoveckiResursi  2]" displayFolder="" count="0" memberValueDatatype="130" unbalanced="0"/>
    <cacheHierarchy uniqueName="[fCoveckiResursi  2].[ReportType]" caption="ReportType" attribute="1" defaultMemberUniqueName="[fCoveckiResursi  2].[ReportType].[All]" allUniqueName="[fCoveckiResursi  2].[ReportType].[All]" dimensionUniqueName="[fCoveckiResursi  2]" displayFolder="" count="0" memberValueDatatype="130" unbalanced="0"/>
    <cacheHierarchy uniqueName="[fCoveckiResursi  2].[StavkaImeMK]" caption="StavkaImeMK" attribute="1" defaultMemberUniqueName="[fCoveckiResursi  2].[StavkaImeMK].[All]" allUniqueName="[fCoveckiResursi  2].[StavkaImeMK].[All]" dimensionUniqueName="[fCoveckiResursi  2]" displayFolder="" count="0" memberValueDatatype="130" unbalanced="0"/>
    <cacheHierarchy uniqueName="[fCoveckiResursi  2].[StavkaKategorija]" caption="StavkaKategorija" attribute="1" defaultMemberUniqueName="[fCoveckiResursi  2].[StavkaKategorija].[All]" allUniqueName="[fCoveckiResursi  2].[StavkaKategorija].[All]" dimensionUniqueName="[fCoveckiResursi  2]" displayFolder="" count="0" memberValueDatatype="130" unbalanced="0"/>
    <cacheHierarchy uniqueName="[fCoveckiResursi  2].[ObrazecIme]" caption="ObrazecIme" attribute="1" defaultMemberUniqueName="[fCoveckiResursi  2].[ObrazecIme].[All]" allUniqueName="[fCoveckiResursi  2].[ObrazecIme].[All]" dimensionUniqueName="[fCoveckiResursi  2]" displayFolder="" count="0" memberValueDatatype="130" unbalanced="0"/>
    <cacheHierarchy uniqueName="[fOPEX].[Конто]" caption="Конто" attribute="1" defaultMemberUniqueName="[fOPEX].[Конто].[All]" allUniqueName="[fOPEX].[Конто].[All]" dimensionUniqueName="[fOPEX]" displayFolder="" count="0" memberValueDatatype="130" unbalanced="0"/>
    <cacheHierarchy uniqueName="[fOPEX].[Ставка]" caption="Ставка" attribute="1" defaultMemberUniqueName="[fOPEX].[Ставка].[All]" allUniqueName="[fOPEX].[Ставка].[All]" dimensionUniqueName="[fOPEX]" displayFolder="" count="0" memberValueDatatype="130" unbalanced="0"/>
    <cacheHierarchy uniqueName="[fOPEX].[Период]" caption="Период" attribute="1" time="1" defaultMemberUniqueName="[fOPEX].[Период].[All]" allUniqueName="[fOPEX].[Период].[All]" dimensionUniqueName="[fOPEX]" displayFolder="" count="0" memberValueDatatype="7" unbalanced="0"/>
    <cacheHierarchy uniqueName="[fOPEX].[Износ]" caption="Износ" attribute="1" defaultMemberUniqueName="[fOPEX].[Износ].[All]" allUniqueName="[fOPEX].[Износ].[All]" dimensionUniqueName="[fOPEX]" displayFolder="" count="0" memberValueDatatype="20" unbalanced="0"/>
    <cacheHierarchy uniqueName="[fOPEX].[ReportType]" caption="ReportType" attribute="1" defaultMemberUniqueName="[fOPEX].[ReportType].[All]" allUniqueName="[fOPEX].[ReportType].[All]" dimensionUniqueName="[fOPEX]" displayFolder="" count="0" memberValueDatatype="130" unbalanced="0"/>
    <cacheHierarchy uniqueName="[OPEXAnaliza].[Артикл ИД]" caption="Артикл ИД" attribute="1" defaultMemberUniqueName="[OPEXAnaliza].[Артикл ИД].[All]" allUniqueName="[OPEXAnaliza].[Артикл ИД].[All]" dimensionUniqueName="[OPEXAnaliza]" displayFolder="" count="0" memberValueDatatype="20" unbalanced="0"/>
    <cacheHierarchy uniqueName="[OPEXAnaliza].[Ставка]" caption="Ставка" attribute="1" defaultMemberUniqueName="[OPEXAnaliza].[Ставка].[All]" allUniqueName="[OPEXAnaliza].[Ставка].[All]" dimensionUniqueName="[OPEXAnaliza]" displayFolder="" count="0" memberValueDatatype="130" unbalanced="0"/>
    <cacheHierarchy uniqueName="[OPEXAnaliza].[Категорија Артикл ИД]" caption="Категорија Артикл ИД" attribute="1" defaultMemberUniqueName="[OPEXAnaliza].[Категорија Артикл ИД].[All]" allUniqueName="[OPEXAnaliza].[Категорија Артикл ИД].[All]" dimensionUniqueName="[OPEXAnaliza]" displayFolder="" count="0" memberValueDatatype="20" unbalanced="0"/>
    <cacheHierarchy uniqueName="[OPEXAnaliza].[Категорија Артикл]" caption="Категорија Артикл" attribute="1" defaultMemberUniqueName="[OPEXAnaliza].[Категорија Артикл].[All]" allUniqueName="[OPEXAnaliza].[Категорија Артикл].[All]" dimensionUniqueName="[OPEXAnaliza]" displayFolder="" count="0" memberValueDatatype="130" unbalanced="0"/>
    <cacheHierarchy uniqueName="[OPEXAnaliza].[Тип на артикл]" caption="Тип на артикл" attribute="1" defaultMemberUniqueName="[OPEXAnaliza].[Тип на артикл].[All]" allUniqueName="[OPEXAnaliza].[Тип на артикл].[All]" dimensionUniqueName="[OPEXAnaliza]" displayFolder="" count="0" memberValueDatatype="130" unbalanced="0"/>
    <cacheHierarchy uniqueName="[OPEXAnaliza].[Единечна мерка]" caption="Единечна мерка" attribute="1" defaultMemberUniqueName="[OPEXAnaliza].[Единечна мерка].[All]" allUniqueName="[OPEXAnaliza].[Единечна мерка].[All]" dimensionUniqueName="[OPEXAnaliza]" displayFolder="" count="0" memberValueDatatype="130" unbalanced="0"/>
    <cacheHierarchy uniqueName="[OPEXAnaliza].[Количина]" caption="Количина" attribute="1" defaultMemberUniqueName="[OPEXAnaliza].[Количина].[All]" allUniqueName="[OPEXAnaliza].[Количина].[All]" dimensionUniqueName="[OPEXAnaliza]" displayFolder="" count="0" memberValueDatatype="5" unbalanced="0"/>
    <cacheHierarchy uniqueName="[OPEXAnaliza].[Единечна цена]" caption="Единечна цена" attribute="1" defaultMemberUniqueName="[OPEXAnaliza].[Единечна цена].[All]" allUniqueName="[OPEXAnaliza].[Единечна цена].[All]" dimensionUniqueName="[OPEXAnaliza]" displayFolder="" count="0" memberValueDatatype="20" unbalanced="0"/>
    <cacheHierarchy uniqueName="[OPEXAnaliza].[Износ]" caption="Износ" attribute="1" defaultMemberUniqueName="[OPEXAnaliza].[Износ].[All]" allUniqueName="[OPEXAnaliza].[Износ].[All]" dimensionUniqueName="[OPEXAnaliza]" displayFolder="" count="0" memberValueDatatype="5" unbalanced="0"/>
    <cacheHierarchy uniqueName="[OPEXAnaliza].[ДДВ]" caption="ДДВ" attribute="1" defaultMemberUniqueName="[OPEXAnaliza].[ДДВ].[All]" allUniqueName="[OPEXAnaliza].[ДДВ].[All]" dimensionUniqueName="[OPEXAnaliza]" displayFolder="" count="0" memberValueDatatype="5" unbalanced="0"/>
    <cacheHierarchy uniqueName="[OPEXAnaliza].[Вкупно трошок со ДДВ]" caption="Вкупно трошок со ДДВ" attribute="1" defaultMemberUniqueName="[OPEXAnaliza].[Вкупно трошок со ДДВ].[All]" allUniqueName="[OPEXAnaliza].[Вкупно трошок со ДДВ].[All]" dimensionUniqueName="[OPEXAnaliza]" displayFolder="" count="0" memberValueDatatype="5" unbalanced="0"/>
    <cacheHierarchy uniqueName="[OPEXAnaliza].[Конто]" caption="Конто" attribute="1" defaultMemberUniqueName="[OPEXAnaliza].[Конто].[All]" allUniqueName="[OPEXAnaliza].[Конто].[All]" dimensionUniqueName="[OPEXAnaliza]" displayFolder="" count="0" memberValueDatatype="130" unbalanced="0"/>
    <cacheHierarchy uniqueName="[OPEXAnaliza].[Период]" caption="Период" attribute="1" time="1" defaultMemberUniqueName="[OPEXAnaliza].[Период].[All]" allUniqueName="[OPEXAnaliza].[Период].[All]" dimensionUniqueName="[OPEXAnaliza]" displayFolder="" count="0" memberValueDatatype="7" unbalanced="0"/>
    <cacheHierarchy uniqueName="[OPEXAnaliza].[ReportType]" caption="ReportType" attribute="1" defaultMemberUniqueName="[OPEXAnaliza].[ReportType].[All]" allUniqueName="[OPEXAnaliza].[ReportType].[All]" dimensionUniqueName="[OPEXAnaliza]" displayFolder="" count="0" memberValueDatatype="130" unbalanced="0"/>
    <cacheHierarchy uniqueName="[OPEXAnaliza].[StavkaImeMK]" caption="StavkaImeMK" attribute="1" defaultMemberUniqueName="[OPEXAnaliza].[StavkaImeMK].[All]" allUniqueName="[OPEXAnaliza].[StavkaImeMK].[All]" dimensionUniqueName="[OPEXAnaliza]" displayFolder="" count="0" memberValueDatatype="130" unbalanced="0"/>
    <cacheHierarchy uniqueName="[OPEXAnaliza].[StavkaKategorija]" caption="StavkaKategorija" attribute="1" defaultMemberUniqueName="[OPEXAnaliza].[StavkaKategorija].[All]" allUniqueName="[OPEXAnaliza].[StavkaKategorija].[All]" dimensionUniqueName="[OPEXAnaliza]" displayFolder="" count="0" memberValueDatatype="130" unbalanced="0"/>
    <cacheHierarchy uniqueName="[OPEXAnaliza].[ObrazecIme]" caption="ObrazecIme" attribute="1" defaultMemberUniqueName="[OPEXAnaliza].[ObrazecIme].[All]" allUniqueName="[OPEXAnaliza].[ObrazecIme].[All]" dimensionUniqueName="[OPEXAnaliza]" displayFolder="" count="0" memberValueDatatype="130" unbalanced="0"/>
    <cacheHierarchy uniqueName="[OPEXAnaliza].[StavkaImeAOP]" caption="StavkaImeAOP" attribute="1" defaultMemberUniqueName="[OPEXAnaliza].[StavkaImeAOP].[All]" allUniqueName="[OPEXAnaliza].[StavkaImeAOP].[All]" dimensionUniqueName="[OPEXAnaliza]" displayFolder="" count="0" memberValueDatatype="20" unbalanced="0"/>
    <cacheHierarchy uniqueName="[OPEXAnaliza].[Период (Year)]" caption="Период (Year)" attribute="1" defaultMemberUniqueName="[OPEXAnaliza].[Период (Year)].[All]" allUniqueName="[OPEXAnaliza].[Период (Year)].[All]" dimensionUniqueName="[OPEXAnaliza]" displayFolder="" count="0" memberValueDatatype="130" unbalanced="0"/>
    <cacheHierarchy uniqueName="[OPEXAnaliza].[Период (Quarter)]" caption="Период (Quarter)" attribute="1" defaultMemberUniqueName="[OPEXAnaliza].[Период (Quarter)].[All]" allUniqueName="[OPEXAnaliza].[Период (Quarter)].[All]" dimensionUniqueName="[OPEXAnaliza]" displayFolder="" count="0" memberValueDatatype="130" unbalanced="0"/>
    <cacheHierarchy uniqueName="[OPEXAnaliza].[Период (Month)]" caption="Период (Month)" attribute="1" defaultMemberUniqueName="[OPEXAnaliza].[Период (Month)].[All]" allUniqueName="[OPEXAnaliza].[Период (Month)].[All]" dimensionUniqueName="[OPEXAnaliza]" displayFolder="" count="0" memberValueDatatype="130" unbalanced="0"/>
    <cacheHierarchy uniqueName="[rArtikli_HR_Analiza].[Ставка]" caption="Ставка" attribute="1" defaultMemberUniqueName="[rArtikli_HR_Analiza].[Ставка].[All]" allUniqueName="[rArtikli_HR_Analiza].[Ставка].[All]" dimensionUniqueName="[rArtikli_HR_Analiza]" displayFolder="" count="0" memberValueDatatype="130" unbalanced="0"/>
    <cacheHierarchy uniqueName="[rArtikli_HR_Analiza].[Категорија Артикл]" caption="Категорија Артикл" attribute="1" defaultMemberUniqueName="[rArtikli_HR_Analiza].[Категорија Артикл].[All]" allUniqueName="[rArtikli_HR_Analiza].[Категорија Артикл].[All]" dimensionUniqueName="[rArtikli_HR_Analiza]" displayFolder="" count="0" memberValueDatatype="130" unbalanced="0"/>
    <cacheHierarchy uniqueName="[rArtikli_HR_Analiza].[Тип на артикл]" caption="Тип на артикл" attribute="1" defaultMemberUniqueName="[rArtikli_HR_Analiza].[Тип на артикл].[All]" allUniqueName="[rArtikli_HR_Analiza].[Тип на артикл].[All]" dimensionUniqueName="[rArtikli_HR_Analiza]" displayFolder="" count="0" memberValueDatatype="130" unbalanced="0"/>
    <cacheHierarchy uniqueName="[rArtikli_HR_Analiza].[Единечна мерка]" caption="Единечна мерка" attribute="1" defaultMemberUniqueName="[rArtikli_HR_Analiza].[Единечна мерка].[All]" allUniqueName="[rArtikli_HR_Analiza].[Единечна мерка].[All]" dimensionUniqueName="[rArtikli_HR_Analiza]" displayFolder="" count="0" memberValueDatatype="130" unbalanced="0"/>
    <cacheHierarchy uniqueName="[rArtikli_HR_Analiza].[Количина]" caption="Количина" attribute="1" defaultMemberUniqueName="[rArtikli_HR_Analiza].[Количина].[All]" allUniqueName="[rArtikli_HR_Analiza].[Количина].[All]" dimensionUniqueName="[rArtikli_HR_Analiza]" displayFolder="" count="0" memberValueDatatype="5" unbalanced="0"/>
    <cacheHierarchy uniqueName="[rArtikli_HR_Analiza].[Единечна цена]" caption="Единечна цена" attribute="1" defaultMemberUniqueName="[rArtikli_HR_Analiza].[Единечна цена].[All]" allUniqueName="[rArtikli_HR_Analiza].[Единечна цена].[All]" dimensionUniqueName="[rArtikli_HR_Analiza]" displayFolder="" count="0" memberValueDatatype="20" unbalanced="0"/>
    <cacheHierarchy uniqueName="[rArtikli_HR_Analiza].[Вкупно трошок]" caption="Вкупно трошок" attribute="1" defaultMemberUniqueName="[rArtikli_HR_Analiza].[Вкупно трошок].[All]" allUniqueName="[rArtikli_HR_Analiza].[Вкупно трошок].[All]" dimensionUniqueName="[rArtikli_HR_Analiza]" displayFolder="" count="0" memberValueDatatype="5" unbalanced="0"/>
    <cacheHierarchy uniqueName="[rArtikli_HR_Analiza].[ДДВ]" caption="ДДВ" attribute="1" defaultMemberUniqueName="[rArtikli_HR_Analiza].[ДДВ].[All]" allUniqueName="[rArtikli_HR_Analiza].[ДДВ].[All]" dimensionUniqueName="[rArtikli_HR_Analiza]" displayFolder="" count="0" memberValueDatatype="5" unbalanced="0"/>
    <cacheHierarchy uniqueName="[rArtikli_HR_Analiza].[Износ]" caption="Износ" attribute="1" defaultMemberUniqueName="[rArtikli_HR_Analiza].[Износ].[All]" allUniqueName="[rArtikli_HR_Analiza].[Износ].[All]" dimensionUniqueName="[rArtikli_HR_Analiza]" displayFolder="" count="0" memberValueDatatype="5" unbalanced="0"/>
    <cacheHierarchy uniqueName="[rArtikli_HR_Analiza].[Конто]" caption="Конто" attribute="1" defaultMemberUniqueName="[rArtikli_HR_Analiza].[Конто].[All]" allUniqueName="[rArtikli_HR_Analiza].[Конто].[All]" dimensionUniqueName="[rArtikli_HR_Analiza]" displayFolder="" count="0" memberValueDatatype="130" unbalanced="0"/>
    <cacheHierarchy uniqueName="[rArtikli_HR_Analiza].[ReportType]" caption="ReportType" attribute="1" defaultMemberUniqueName="[rArtikli_HR_Analiza].[ReportType].[All]" allUniqueName="[rArtikli_HR_Analiza].[ReportType].[All]" dimensionUniqueName="[rArtikli_HR_Analiza]" displayFolder="" count="0" memberValueDatatype="130" unbalanced="0"/>
    <cacheHierarchy uniqueName="[rArtikli_HR_Analiza].[Период]" caption="Период" attribute="1" time="1" defaultMemberUniqueName="[rArtikli_HR_Analiza].[Период].[All]" allUniqueName="[rArtikli_HR_Analiza].[Период].[All]" dimensionUniqueName="[rArtikli_HR_Analiza]" displayFolder="" count="0" memberValueDatatype="7" unbalanced="0"/>
    <cacheHierarchy uniqueName="[rArtikli_HR_Analiza].[StavkaImeMK]" caption="StavkaImeMK" attribute="1" defaultMemberUniqueName="[rArtikli_HR_Analiza].[StavkaImeMK].[All]" allUniqueName="[rArtikli_HR_Analiza].[StavkaImeMK].[All]" dimensionUniqueName="[rArtikli_HR_Analiza]" displayFolder="" count="0" memberValueDatatype="130" unbalanced="0"/>
    <cacheHierarchy uniqueName="[rArtikli_HR_Analiza].[StavkaAOP]" caption="StavkaAOP" attribute="1" defaultMemberUniqueName="[rArtikli_HR_Analiza].[StavkaAOP].[All]" allUniqueName="[rArtikli_HR_Analiza].[StavkaAOP].[All]" dimensionUniqueName="[rArtikli_HR_Analiza]" displayFolder="" count="0" memberValueDatatype="130" unbalanced="0"/>
    <cacheHierarchy uniqueName="[rArtikli_HR_Analiza].[StavkaGrupa]" caption="StavkaGrupa" attribute="1" defaultMemberUniqueName="[rArtikli_HR_Analiza].[StavkaGrupa].[All]" allUniqueName="[rArtikli_HR_Analiza].[StavkaGrupa].[All]" dimensionUniqueName="[rArtikli_HR_Analiza]" displayFolder="" count="0" memberValueDatatype="130" unbalanced="0"/>
    <cacheHierarchy uniqueName="[rArtikli_HR_Analiza].[StavkaKategorija]" caption="StavkaKategorija" attribute="1" defaultMemberUniqueName="[rArtikli_HR_Analiza].[StavkaKategorija].[All]" allUniqueName="[rArtikli_HR_Analiza].[StavkaKategorija].[All]" dimensionUniqueName="[rArtikli_HR_Analiza]" displayFolder="" count="0" memberValueDatatype="130" unbalanced="0"/>
    <cacheHierarchy uniqueName="[rArtikli_HR_Analiza].[ObrazecIme]" caption="ObrazecIme" attribute="1" defaultMemberUniqueName="[rArtikli_HR_Analiza].[ObrazecIme].[All]" allUniqueName="[rArtikli_HR_Analiza].[ObrazecIme].[All]" dimensionUniqueName="[rArtikli_HR_Analiza]" displayFolder="" count="0" memberValueDatatype="130" unbalanced="0"/>
    <cacheHierarchy uniqueName="[rArtikli_HR_Analiza].[StavkaKategorija.1]" caption="StavkaKategorija.1" attribute="1" defaultMemberUniqueName="[rArtikli_HR_Analiza].[StavkaKategorija.1].[All]" allUniqueName="[rArtikli_HR_Analiza].[StavkaKategorija.1].[All]" dimensionUniqueName="[rArtikli_HR_Analiza]" displayFolder="" count="0" memberValueDatatype="130" unbalanced="0"/>
    <cacheHierarchy uniqueName="[rArtikliAnaliza].[Артикл ИД]" caption="Артикл ИД" attribute="1" defaultMemberUniqueName="[rArtikliAnaliza].[Артикл ИД].[All]" allUniqueName="[rArtikliAnaliza].[Артикл ИД].[All]" dimensionUniqueName="[rArtikliAnaliza]" displayFolder="" count="0" memberValueDatatype="20" unbalanced="0"/>
    <cacheHierarchy uniqueName="[rArtikliAnaliza].[Ставка]" caption="Ставка" attribute="1" defaultMemberUniqueName="[rArtikliAnaliza].[Ставка].[All]" allUniqueName="[rArtikliAnaliza].[Ставка].[All]" dimensionUniqueName="[rArtikliAnaliza]" displayFolder="" count="0" memberValueDatatype="130" unbalanced="0"/>
    <cacheHierarchy uniqueName="[rArtikliAnaliza].[Категорија Артикл ИД]" caption="Категорија Артикл ИД" attribute="1" defaultMemberUniqueName="[rArtikliAnaliza].[Категорија Артикл ИД].[All]" allUniqueName="[rArtikliAnaliza].[Категорија Артикл ИД].[All]" dimensionUniqueName="[rArtikliAnaliza]" displayFolder="" count="0" memberValueDatatype="20" unbalanced="0"/>
    <cacheHierarchy uniqueName="[rArtikliAnaliza].[Категорија Артикл]" caption="Категорија Артикл" attribute="1" defaultMemberUniqueName="[rArtikliAnaliza].[Категорија Артикл].[All]" allUniqueName="[rArtikliAnaliza].[Категорија Артикл].[All]" dimensionUniqueName="[rArtikliAnaliza]" displayFolder="" count="0" memberValueDatatype="130" unbalanced="0"/>
    <cacheHierarchy uniqueName="[rArtikliAnaliza].[Тип на артикл]" caption="Тип на артикл" attribute="1" defaultMemberUniqueName="[rArtikliAnaliza].[Тип на артикл].[All]" allUniqueName="[rArtikliAnaliza].[Тип на артикл].[All]" dimensionUniqueName="[rArtikliAnaliza]" displayFolder="" count="0" memberValueDatatype="130" unbalanced="0"/>
    <cacheHierarchy uniqueName="[rArtikliAnaliza].[Единечна мерка]" caption="Единечна мерка" attribute="1" defaultMemberUniqueName="[rArtikliAnaliza].[Единечна мерка].[All]" allUniqueName="[rArtikliAnaliza].[Единечна мерка].[All]" dimensionUniqueName="[rArtikliAnaliza]" displayFolder="" count="0" memberValueDatatype="130" unbalanced="0"/>
    <cacheHierarchy uniqueName="[rArtikliAnaliza].[Количина]" caption="Количина" attribute="1" defaultMemberUniqueName="[rArtikliAnaliza].[Количина].[All]" allUniqueName="[rArtikliAnaliza].[Количина].[All]" dimensionUniqueName="[rArtikliAnaliza]" displayFolder="" count="0" memberValueDatatype="5" unbalanced="0"/>
    <cacheHierarchy uniqueName="[rArtikliAnaliza].[Единечна цена]" caption="Единечна цена" attribute="1" defaultMemberUniqueName="[rArtikliAnaliza].[Единечна цена].[All]" allUniqueName="[rArtikliAnaliza].[Единечна цена].[All]" dimensionUniqueName="[rArtikliAnaliza]" displayFolder="" count="0" memberValueDatatype="20" unbalanced="0"/>
    <cacheHierarchy uniqueName="[rArtikliAnaliza].[Износ]" caption="Износ" attribute="1" defaultMemberUniqueName="[rArtikliAnaliza].[Износ].[All]" allUniqueName="[rArtikliAnaliza].[Износ].[All]" dimensionUniqueName="[rArtikliAnaliza]" displayFolder="" count="0" memberValueDatatype="5" unbalanced="0"/>
    <cacheHierarchy uniqueName="[rArtikliAnaliza].[ДДВ]" caption="ДДВ" attribute="1" defaultMemberUniqueName="[rArtikliAnaliza].[ДДВ].[All]" allUniqueName="[rArtikliAnaliza].[ДДВ].[All]" dimensionUniqueName="[rArtikliAnaliza]" displayFolder="" count="0" memberValueDatatype="5" unbalanced="0"/>
    <cacheHierarchy uniqueName="[rArtikliAnaliza].[Вкупно трошок со ДДВ]" caption="Вкупно трошок со ДДВ" attribute="1" defaultMemberUniqueName="[rArtikliAnaliza].[Вкупно трошок со ДДВ].[All]" allUniqueName="[rArtikliAnaliza].[Вкупно трошок со ДДВ].[All]" dimensionUniqueName="[rArtikliAnaliza]" displayFolder="" count="0" memberValueDatatype="5" unbalanced="0"/>
    <cacheHierarchy uniqueName="[rArtikliAnaliza].[Конто]" caption="Конто" attribute="1" defaultMemberUniqueName="[rArtikliAnaliza].[Конто].[All]" allUniqueName="[rArtikliAnaliza].[Конто].[All]" dimensionUniqueName="[rArtikliAnaliza]" displayFolder="" count="0" memberValueDatatype="130" unbalanced="0"/>
    <cacheHierarchy uniqueName="[rArtikliAnaliza].[Период]" caption="Период" attribute="1" time="1" defaultMemberUniqueName="[rArtikliAnaliza].[Период].[All]" allUniqueName="[rArtikliAnaliza].[Период].[All]" dimensionUniqueName="[rArtikliAnaliza]" displayFolder="" count="0" memberValueDatatype="7" unbalanced="0"/>
    <cacheHierarchy uniqueName="[rArtikliAnaliza].[ReportType]" caption="ReportType" attribute="1" defaultMemberUniqueName="[rArtikliAnaliza].[ReportType].[All]" allUniqueName="[rArtikliAnaliza].[ReportType].[All]" dimensionUniqueName="[rArtikliAnaliza]" displayFolder="" count="0" memberValueDatatype="130" unbalanced="0"/>
    <cacheHierarchy uniqueName="[rArtikliAnaliza].[StavkaImeMK]" caption="StavkaImeMK" attribute="1" defaultMemberUniqueName="[rArtikliAnaliza].[StavkaImeMK].[All]" allUniqueName="[rArtikliAnaliza].[StavkaImeMK].[All]" dimensionUniqueName="[rArtikliAnaliza]" displayFolder="" count="0" memberValueDatatype="130" unbalanced="0"/>
    <cacheHierarchy uniqueName="[rArtikliAnaliza].[StavkaKategorija]" caption="StavkaKategorija" attribute="1" defaultMemberUniqueName="[rArtikliAnaliza].[StavkaKategorija].[All]" allUniqueName="[rArtikliAnaliza].[StavkaKategorija].[All]" dimensionUniqueName="[rArtikliAnaliza]" displayFolder="" count="0" memberValueDatatype="130" unbalanced="0"/>
    <cacheHierarchy uniqueName="[rArtikliAnaliza].[Период (Year)]" caption="Период (Year)" attribute="1" defaultMemberUniqueName="[rArtikliAnaliza].[Период (Year)].[All]" allUniqueName="[rArtikliAnaliza].[Период (Year)].[All]" dimensionUniqueName="[rArtikliAnaliza]" displayFolder="" count="0" memberValueDatatype="130" unbalanced="0"/>
    <cacheHierarchy uniqueName="[rArtikliAnaliza].[Период (Quarter)]" caption="Период (Quarter)" attribute="1" defaultMemberUniqueName="[rArtikliAnaliza].[Период (Quarter)].[All]" allUniqueName="[rArtikliAnaliza].[Период (Quarter)].[All]" dimensionUniqueName="[rArtikliAnaliza]" displayFolder="" count="0" memberValueDatatype="130" unbalanced="0"/>
    <cacheHierarchy uniqueName="[rArtikliAnaliza].[Период (Month)]" caption="Период (Month)" attribute="1" defaultMemberUniqueName="[rArtikliAnaliza].[Период (Month)].[All]" allUniqueName="[rArtikliAnaliza].[Период (Month)].[All]" dimensionUniqueName="[rArtikliAnaliza]" displayFolder="" count="0" memberValueDatatype="130" unbalanced="0"/>
    <cacheHierarchy uniqueName="[CAPEX].[Очекуван датум за ставање во употреба (месец) (Month Index)]" caption="Очекуван датум за ставање во употреба (месец) (Month Index)" attribute="1" defaultMemberUniqueName="[CAPEX].[Очекуван датум за ставање во употреба (месец) (Month Index)].[All]" allUniqueName="[CAPEX].[Очекуван датум за ставање во употреба (месец) (Month Index)].[All]" dimensionUniqueName="[CAPEX]" displayFolder="" count="0" memberValueDatatype="20" unbalanced="0" hidden="1"/>
    <cacheHierarchy uniqueName="[CAPEX].[Очекуван датум на плаќање (Month Index)]" caption="Очекуван датум на плаќање (Month Index)" attribute="1" defaultMemberUniqueName="[CAPEX].[Очекуван датум на плаќање (Month Index)].[All]" allUniqueName="[CAPEX].[Очекуван датум на плаќање (Month Index)].[All]" dimensionUniqueName="[CAPEX]" displayFolder="" count="0" memberValueDatatype="20" unbalanced="0" hidden="1"/>
    <cacheHierarchy uniqueName="[fActualAndBudget].[StavkaID]" caption="StavkaID" attribute="1" defaultMemberUniqueName="[fActualAndBudget].[StavkaID].[All]" allUniqueName="[fActualAndBudget].[StavkaID].[All]" dimensionUniqueName="[fActualAndBudget]" displayFolder="" count="0" memberValueDatatype="20" unbalanced="0" hidden="1"/>
    <cacheHierarchy uniqueName="[fCoveckiResursi].[Период (Month Index)]" caption="Период (Month Index)" attribute="1" defaultMemberUniqueName="[fCoveckiResursi].[Период (Month Index)].[All]" allUniqueName="[fCoveckiResursi].[Период (Month Index)].[All]" dimensionUniqueName="[fCoveckiResursi]" displayFolder="" count="0" memberValueDatatype="20" unbalanced="0" hidden="1"/>
    <cacheHierarchy uniqueName="[fCoveckiResursi].[Период (Month Index) 1]" caption="Период (Month Index) 1" attribute="1" defaultMemberUniqueName="[fCoveckiResursi].[Период (Month Index) 1].[All]" allUniqueName="[fCoveckiResursi].[Период (Month Index) 1].[All]" dimensionUniqueName="[fCoveckiResursi]" displayFolder="" count="0" memberValueDatatype="20" unbalanced="0" hidden="1"/>
    <cacheHierarchy uniqueName="[OPEXAnaliza].[Период (Month Index)]" caption="Период (Month Index)" attribute="1" defaultMemberUniqueName="[OPEXAnaliza].[Период (Month Index)].[All]" allUniqueName="[OPEXAnaliza].[Период (Month Index)].[All]" dimensionUniqueName="[OPEXAnaliza]" displayFolder="" count="0" memberValueDatatype="20" unbalanced="0" hidden="1"/>
    <cacheHierarchy uniqueName="[rArtikli_HR_Analiza].[Крајна состојба вработени]" caption="Крајна состојба вработени" attribute="1" defaultMemberUniqueName="[rArtikli_HR_Analiza].[Крајна состојба вработени].[All]" allUniqueName="[rArtikli_HR_Analiza].[Крајна состојба вработени].[All]" dimensionUniqueName="[rArtikli_HR_Analiza]" displayFolder="" count="0" memberValueDatatype="20" unbalanced="0" hidden="1"/>
    <cacheHierarchy uniqueName="[rArtikli_HR_Analiza].[Планиран прилив/(одлив)]" caption="Планиран прилив/(одлив)" attribute="1" defaultMemberUniqueName="[rArtikli_HR_Analiza].[Планиран прилив/(одлив)].[All]" allUniqueName="[rArtikli_HR_Analiza].[Планиран прилив/(одлив)].[All]" dimensionUniqueName="[rArtikli_HR_Analiza]" displayFolder="" count="0" memberValueDatatype="20" unbalanced="0" hidden="1"/>
    <cacheHierarchy uniqueName="[rArtikli_HR_Analiza].[Тип на вработување]" caption="Тип на вработување" attribute="1" defaultMemberUniqueName="[rArtikli_HR_Analiza].[Тип на вработување].[All]" allUniqueName="[rArtikli_HR_Analiza].[Тип на вработување].[All]" dimensionUniqueName="[rArtikli_HR_Analiza]" displayFolder="" count="0" memberValueDatatype="130" unbalanced="0" hidden="1"/>
    <cacheHierarchy uniqueName="[rArtikliAnaliza].[Период (Month Index)]" caption="Период (Month Index)" attribute="1" defaultMemberUniqueName="[rArtikliAnaliza].[Период (Month Index)].[All]" allUniqueName="[rArtikliAnaliza].[Период (Month Index)].[All]" dimensionUniqueName="[rArtikliAnaliza]" displayFolder="" count="0" memberValueDatatype="20" unbalanced="0" hidden="1"/>
    <cacheHierarchy uniqueName="[Measures].[__XL_Count Calendar]" caption="__XL_Count Calendar" measure="1" displayFolder="" measureGroup="Calendar" count="0" hidden="1"/>
    <cacheHierarchy uniqueName="[Measures].[__XL_Count CAPEX]" caption="__XL_Count CAPEX" measure="1" displayFolder="" measureGroup="CAPEX" count="0" hidden="1"/>
    <cacheHierarchy uniqueName="[Measures].[__XL_Count Amortizacija]" caption="__XL_Count Amortizacija" measure="1" displayFolder="" measureGroup="Amortizacija" count="0" hidden="1"/>
    <cacheHierarchy uniqueName="[Measures].[__XL_Count fCoveckiResursi]" caption="__XL_Count fCoveckiResursi" measure="1" displayFolder="" measureGroup="fCoveckiResursi" count="0" hidden="1"/>
    <cacheHierarchy uniqueName="[Measures].[__XL_Count fActualAndBudget]" caption="__XL_Count fActualAndBudget" measure="1" displayFolder="" measureGroup="fActualAndBudget" count="0" hidden="1"/>
    <cacheHierarchy uniqueName="[Measures].[__XL_Count fOPEX]" caption="__XL_Count fOPEX" measure="1" displayFolder="" measureGroup="fOPEX" count="0" hidden="1"/>
    <cacheHierarchy uniqueName="[Measures].[__XL_Count OPEXAnaliza]" caption="__XL_Count OPEXAnaliza" measure="1" displayFolder="" measureGroup="OPEXAnaliza" count="0" hidden="1"/>
    <cacheHierarchy uniqueName="[Measures].[__XL_Count rArtikliAnaliza]" caption="__XL_Count rArtikliAnaliza" measure="1" displayFolder="" measureGroup="rArtikliAnaliza" count="0" hidden="1"/>
    <cacheHierarchy uniqueName="[Measures].[__XL_Count fArtikliCeni]" caption="__XL_Count fArtikliCeni" measure="1" displayFolder="" measureGroup="fArtikliCeni" count="0" hidden="1"/>
    <cacheHierarchy uniqueName="[Measures].[__XL_Count rArtikli_HR_Analiza]" caption="__XL_Count rArtikli_HR_Analiza" measure="1" displayFolder="" measureGroup="rArtikli_HR_Analiza" count="0" hidden="1"/>
    <cacheHierarchy uniqueName="[Measures].[__XL_Count fCoveckiResursi  2]" caption="__XL_Count fCoveckiResursi  2" measure="1" displayFolder="" measureGroup="fCoveckiResursi  2" count="0" hidden="1"/>
    <cacheHierarchy uniqueName="[Measures].[__No measures defined]" caption="__No measures defined" measure="1" displayFolder="" count="0" hidden="1"/>
    <cacheHierarchy uniqueName="[Measures].[Sum of Износ 3]" caption="Sum of Износ 3" measure="1" displayFolder="" measureGroup="fCoveckiResursi" count="0" hidden="1">
      <extLst>
        <ext xmlns:x15="http://schemas.microsoft.com/office/spreadsheetml/2010/11/main" uri="{B97F6D7D-B522-45F9-BDA1-12C45D357490}">
          <x15:cacheHierarchy aggregatedColumn="71"/>
        </ext>
      </extLst>
    </cacheHierarchy>
    <cacheHierarchy uniqueName="[Measures].[Sum of Крајна состојба вработени]" caption="Sum of Крајна состојба вработени" measure="1" displayFolder="" measureGroup="fCoveckiResursi" count="0" hidden="1">
      <extLst>
        <ext xmlns:x15="http://schemas.microsoft.com/office/spreadsheetml/2010/11/main" uri="{B97F6D7D-B522-45F9-BDA1-12C45D357490}">
          <x15:cacheHierarchy aggregatedColumn="70"/>
        </ext>
      </extLst>
    </cacheHierarchy>
    <cacheHierarchy uniqueName="[Measures].[Sum of Планиран прилив/(одлив)]" caption="Sum of Планиран прилив/(одлив)" measure="1" displayFolder="" measureGroup="fCoveckiResursi" count="0" hidden="1">
      <extLst>
        <ext xmlns:x15="http://schemas.microsoft.com/office/spreadsheetml/2010/11/main" uri="{B97F6D7D-B522-45F9-BDA1-12C45D357490}">
          <x15:cacheHierarchy aggregatedColumn="68"/>
        </ext>
      </extLst>
    </cacheHierarchy>
    <cacheHierarchy uniqueName="[Measures].[Sum of Износ]" caption="Sum of Износ" measure="1" displayFolder="" measureGroup="fActualAndBudget" count="0" hidden="1">
      <extLst>
        <ext xmlns:x15="http://schemas.microsoft.com/office/spreadsheetml/2010/11/main" uri="{B97F6D7D-B522-45F9-BDA1-12C45D357490}">
          <x15:cacheHierarchy aggregatedColumn="45"/>
        </ext>
      </extLst>
    </cacheHierarchy>
    <cacheHierarchy uniqueName="[Measures].[Sum of Износ (илјади)]" caption="Sum of Износ (илјади)" measure="1" displayFolder="" measureGroup="fActualAndBudget" count="0" hidden="1">
      <extLst>
        <ext xmlns:x15="http://schemas.microsoft.com/office/spreadsheetml/2010/11/main" uri="{B97F6D7D-B522-45F9-BDA1-12C45D357490}">
          <x15:cacheHierarchy aggregatedColumn="46"/>
        </ext>
      </extLst>
    </cacheHierarchy>
    <cacheHierarchy uniqueName="[Measures].[Sum of Износ1]" caption="Sum of Износ1" measure="1" displayFolder="" measureGroup="fActualAndBudget" count="0" hidden="1">
      <extLst>
        <ext xmlns:x15="http://schemas.microsoft.com/office/spreadsheetml/2010/11/main" uri="{B97F6D7D-B522-45F9-BDA1-12C45D357490}">
          <x15:cacheHierarchy aggregatedColumn="34"/>
        </ext>
      </extLst>
    </cacheHierarchy>
    <cacheHierarchy uniqueName="[Measures].[Sum of Износ 2]" caption="Sum of Износ 2" measure="1" displayFolder="" measureGroup="Amortizacija" count="0" hidden="1">
      <extLst>
        <ext xmlns:x15="http://schemas.microsoft.com/office/spreadsheetml/2010/11/main" uri="{B97F6D7D-B522-45F9-BDA1-12C45D357490}">
          <x15:cacheHierarchy aggregatedColumn="3"/>
        </ext>
      </extLst>
    </cacheHierarchy>
    <cacheHierarchy uniqueName="[Measures].[Sum of Износ 4]" caption="Sum of Износ 4" measure="1" displayFolder="" measureGroup="OPEXAnaliza" count="0" hidden="1">
      <extLst>
        <ext xmlns:x15="http://schemas.microsoft.com/office/spreadsheetml/2010/11/main" uri="{B97F6D7D-B522-45F9-BDA1-12C45D357490}">
          <x15:cacheHierarchy aggregatedColumn="101"/>
        </ext>
      </extLst>
    </cacheHierarchy>
    <cacheHierarchy uniqueName="[Measures].[Sum of Износ донација]" caption="Sum of Износ донација" measure="1" displayFolder="" measureGroup="CAPEX" count="0" hidden="1">
      <extLst>
        <ext xmlns:x15="http://schemas.microsoft.com/office/spreadsheetml/2010/11/main" uri="{B97F6D7D-B522-45F9-BDA1-12C45D357490}">
          <x15:cacheHierarchy aggregatedColumn="24"/>
        </ext>
      </extLst>
    </cacheHierarchy>
    <cacheHierarchy uniqueName="[Measures].[Sum of Вкупно трошок]" caption="Sum of Вкупно трошок" measure="1" displayFolder="" measureGroup="fArtikliCeni" count="0" hidden="1">
      <extLst>
        <ext xmlns:x15="http://schemas.microsoft.com/office/spreadsheetml/2010/11/main" uri="{B97F6D7D-B522-45F9-BDA1-12C45D357490}">
          <x15:cacheHierarchy aggregatedColumn="55"/>
        </ext>
      </extLst>
    </cacheHierarchy>
    <cacheHierarchy uniqueName="[Measures].[Sum of Количина]" caption="Sum of Количина" measure="1" displayFolder="" measureGroup="fArtikliCeni" count="0" hidden="1">
      <extLst>
        <ext xmlns:x15="http://schemas.microsoft.com/office/spreadsheetml/2010/11/main" uri="{B97F6D7D-B522-45F9-BDA1-12C45D357490}">
          <x15:cacheHierarchy aggregatedColumn="53"/>
        </ext>
      </extLst>
    </cacheHierarchy>
    <cacheHierarchy uniqueName="[Measures].[Sum of Единечна цена]" caption="Sum of Единечна цена" measure="1" displayFolder="" measureGroup="fArtikliCeni" count="0" hidden="1">
      <extLst>
        <ext xmlns:x15="http://schemas.microsoft.com/office/spreadsheetml/2010/11/main" uri="{B97F6D7D-B522-45F9-BDA1-12C45D357490}">
          <x15:cacheHierarchy aggregatedColumn="54"/>
        </ext>
      </extLst>
    </cacheHierarchy>
    <cacheHierarchy uniqueName="[Measures].[Sum of ДДВ]" caption="Sum of ДДВ" measure="1" displayFolder="" measureGroup="fArtikliCeni" count="0" hidden="1">
      <extLst>
        <ext xmlns:x15="http://schemas.microsoft.com/office/spreadsheetml/2010/11/main" uri="{B97F6D7D-B522-45F9-BDA1-12C45D357490}">
          <x15:cacheHierarchy aggregatedColumn="56"/>
        </ext>
      </extLst>
    </cacheHierarchy>
    <cacheHierarchy uniqueName="[Measures].[Sum of Износ 6]" caption="Sum of Износ 6" measure="1" displayFolder="" measureGroup="fArtikliCeni" count="0" hidden="1">
      <extLst>
        <ext xmlns:x15="http://schemas.microsoft.com/office/spreadsheetml/2010/11/main" uri="{B97F6D7D-B522-45F9-BDA1-12C45D357490}">
          <x15:cacheHierarchy aggregatedColumn="57"/>
        </ext>
      </extLst>
    </cacheHierarchy>
    <cacheHierarchy uniqueName="[Measures].[Count of Единечна мерка]" caption="Count of Единечна мерка" measure="1" displayFolder="" measureGroup="fArtikliCeni" count="0" hidden="1">
      <extLst>
        <ext xmlns:x15="http://schemas.microsoft.com/office/spreadsheetml/2010/11/main" uri="{B97F6D7D-B522-45F9-BDA1-12C45D357490}">
          <x15:cacheHierarchy aggregatedColumn="52"/>
        </ext>
      </extLst>
    </cacheHierarchy>
    <cacheHierarchy uniqueName="[Measures].[Sum of Количина 2]" caption="Sum of Количина 2" measure="1" displayFolder="" measureGroup="rArtikli_HR_Analiza" count="0" hidden="1">
      <extLst>
        <ext xmlns:x15="http://schemas.microsoft.com/office/spreadsheetml/2010/11/main" uri="{B97F6D7D-B522-45F9-BDA1-12C45D357490}">
          <x15:cacheHierarchy aggregatedColumn="118"/>
        </ext>
      </extLst>
    </cacheHierarchy>
    <cacheHierarchy uniqueName="[Measures].[Sum of Единечна цена 2]" caption="Sum of Единечна цена 2" measure="1" displayFolder="" measureGroup="rArtikli_HR_Analiza" count="0" hidden="1">
      <extLst>
        <ext xmlns:x15="http://schemas.microsoft.com/office/spreadsheetml/2010/11/main" uri="{B97F6D7D-B522-45F9-BDA1-12C45D357490}">
          <x15:cacheHierarchy aggregatedColumn="119"/>
        </ext>
      </extLst>
    </cacheHierarchy>
    <cacheHierarchy uniqueName="[Measures].[Sum of Вкупно трошок 2]" caption="Sum of Вкупно трошок 2" measure="1" displayFolder="" measureGroup="rArtikli_HR_Analiza" count="0" hidden="1">
      <extLst>
        <ext xmlns:x15="http://schemas.microsoft.com/office/spreadsheetml/2010/11/main" uri="{B97F6D7D-B522-45F9-BDA1-12C45D357490}">
          <x15:cacheHierarchy aggregatedColumn="120"/>
        </ext>
      </extLst>
    </cacheHierarchy>
    <cacheHierarchy uniqueName="[Measures].[Sum of ДДВ 2]" caption="Sum of ДДВ 2" measure="1" displayFolder="" measureGroup="rArtikli_HR_Analiza" count="0" hidden="1">
      <extLst>
        <ext xmlns:x15="http://schemas.microsoft.com/office/spreadsheetml/2010/11/main" uri="{B97F6D7D-B522-45F9-BDA1-12C45D357490}">
          <x15:cacheHierarchy aggregatedColumn="121"/>
        </ext>
      </extLst>
    </cacheHierarchy>
    <cacheHierarchy uniqueName="[Measures].[Sum of Износ 7]" caption="Sum of Износ 7" measure="1" displayFolder="" measureGroup="rArtikli_HR_Analiza" count="0" hidden="1">
      <extLst>
        <ext xmlns:x15="http://schemas.microsoft.com/office/spreadsheetml/2010/11/main" uri="{B97F6D7D-B522-45F9-BDA1-12C45D357490}">
          <x15:cacheHierarchy aggregatedColumn="122"/>
        </ext>
      </extLst>
    </cacheHierarchy>
    <cacheHierarchy uniqueName="[Measures].[Sum of Износ 5]" caption="Sum of Износ 5" measure="1" displayFolder="" measureGroup="fCoveckiResursi  2" count="0" hidden="1">
      <extLst>
        <ext xmlns:x15="http://schemas.microsoft.com/office/spreadsheetml/2010/11/main" uri="{B97F6D7D-B522-45F9-BDA1-12C45D357490}">
          <x15:cacheHierarchy aggregatedColumn="82"/>
        </ext>
      </extLst>
    </cacheHierarchy>
    <cacheHierarchy uniqueName="[Measures].[Sum of Проценета вредност на набавка со ДДВ (денари)]" caption="Sum of Проценета вредност на набавка со ДДВ (денари)" measure="1" displayFolder="" measureGroup="CAPEX" count="0" hidden="1">
      <extLst>
        <ext xmlns:x15="http://schemas.microsoft.com/office/spreadsheetml/2010/11/main" uri="{B97F6D7D-B522-45F9-BDA1-12C45D357490}">
          <x15:cacheHierarchy aggregatedColumn="20"/>
        </ext>
      </extLst>
    </cacheHierarchy>
  </cacheHierarchies>
  <kpis count="0"/>
  <dimensions count="12">
    <dimension name="Amortizacija" uniqueName="[Amortizacija]" caption="Amortizacija"/>
    <dimension name="Calendar" uniqueName="[Calendar]" caption="Calendar"/>
    <dimension name="CAPEX" uniqueName="[CAPEX]" caption="CAPEX"/>
    <dimension name="fActualAndBudget" uniqueName="[fActualAndBudget]" caption="fActualAndBudget"/>
    <dimension name="fArtikliCeni" uniqueName="[fArtikliCeni]" caption="fArtikliCeni"/>
    <dimension name="fCoveckiResursi" uniqueName="[fCoveckiResursi]" caption="fCoveckiResursi"/>
    <dimension name="fCoveckiResursi  2" uniqueName="[fCoveckiResursi  2]" caption="fCoveckiResursi  2"/>
    <dimension name="fOPEX" uniqueName="[fOPEX]" caption="fOPEX"/>
    <dimension measure="1" name="Measures" uniqueName="[Measures]" caption="Measures"/>
    <dimension name="OPEXAnaliza" uniqueName="[OPEXAnaliza]" caption="OPEXAnaliza"/>
    <dimension name="rArtikli_HR_Analiza" uniqueName="[rArtikli_HR_Analiza]" caption="rArtikli_HR_Analiza"/>
    <dimension name="rArtikliAnaliza" uniqueName="[rArtikliAnaliza]" caption="rArtikliAnaliza"/>
  </dimensions>
  <measureGroups count="11">
    <measureGroup name="Amortizacija" caption="Amortizacija"/>
    <measureGroup name="Calendar" caption="Calendar"/>
    <measureGroup name="CAPEX" caption="CAPEX"/>
    <measureGroup name="fActualAndBudget" caption="fActualAndBudget"/>
    <measureGroup name="fArtikliCeni" caption="fArtikliCeni"/>
    <measureGroup name="fCoveckiResursi" caption="fCoveckiResursi"/>
    <measureGroup name="fCoveckiResursi  2" caption="fCoveckiResursi  2"/>
    <measureGroup name="fOPEX" caption="fOPEX"/>
    <measureGroup name="OPEXAnaliza" caption="OPEXAnaliza"/>
    <measureGroup name="rArtikli_HR_Analiza" caption="rArtikli_HR_Analiza"/>
    <measureGroup name="rArtikliAnaliza" caption="rArtikliAnaliza"/>
  </measureGroups>
  <maps count="19">
    <map measureGroup="0" dimension="0"/>
    <map measureGroup="0" dimension="1"/>
    <map measureGroup="1" dimension="1"/>
    <map measureGroup="2" dimension="1"/>
    <map measureGroup="2" dimension="2"/>
    <map measureGroup="3" dimension="1"/>
    <map measureGroup="3" dimension="3"/>
    <map measureGroup="4" dimension="4"/>
    <map measureGroup="5" dimension="1"/>
    <map measureGroup="5" dimension="5"/>
    <map measureGroup="6" dimension="1"/>
    <map measureGroup="6" dimension="6"/>
    <map measureGroup="7" dimension="1"/>
    <map measureGroup="7" dimension="7"/>
    <map measureGroup="8" dimension="1"/>
    <map measureGroup="8" dimension="9"/>
    <map measureGroup="9" dimension="10"/>
    <map measureGroup="10" dimension="1"/>
    <map measureGroup="10" dimension="1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ngela Sazdova - Doneva" refreshedDate="44899.978491782407" createdVersion="5" refreshedVersion="6" minRefreshableVersion="3" recordCount="0" supportSubquery="1" supportAdvancedDrill="1" xr:uid="{00000000-000A-0000-FFFF-FFFF06000000}">
  <cacheSource type="external" connectionId="22"/>
  <cacheFields count="11">
    <cacheField name="[Calendar].[Date Hierarchy].[Year]" caption="Year" numFmtId="0" hierarchy="7" level="1">
      <sharedItems containsSemiMixedTypes="0" containsNonDate="0" containsString="0"/>
    </cacheField>
    <cacheField name="[Calendar].[Date Hierarchy].[Month]" caption="Month" numFmtId="0" hierarchy="7" level="2">
      <sharedItems containsSemiMixedTypes="0" containsNonDate="0" containsString="0"/>
    </cacheField>
    <cacheField name="[Calendar].[Date Hierarchy].[DateColumn]" caption="DateColumn" numFmtId="0" hierarchy="7" level="3">
      <sharedItems containsSemiMixedTypes="0" containsNonDate="0" containsString="0"/>
    </cacheField>
    <cacheField name="[fActualAndBudget].[StavkaImeMK].[StavkaImeMK]" caption="StavkaImeMK" numFmtId="0" hierarchy="38" level="1">
      <sharedItems count="44">
        <s v="Приходи од годишни сметки"/>
        <s v="Приходи од заложен регистар"/>
        <s v="Приходи од интернет дистрибутивен систем"/>
        <s v="Приходи од прекршочна постапка"/>
        <s v="Приходи од регионален портал"/>
        <s v="Приходи од регистар на вистински сопственици"/>
        <s v="Приходи од регистар на директни странски инвестиции"/>
        <s v="Приходи од регистар на задолжница"/>
        <s v="Приходи од Регистар на лизинг"/>
        <s v="Приходи од регистар на недвижности"/>
        <s v="Приходи од Регистар на резиденти и нерезиденти"/>
        <s v="Приходи од регистрите за кривични санкции, пресуди и др."/>
        <s v="Приходи од странство"/>
        <s v="Приходи од трговски регистар"/>
        <s v="Вонредни невообичаени приходи"/>
        <s v="Други неспомнати приходи"/>
        <s v="Капитална добивка од продажба на материјални и неметеријални средства"/>
        <s v="Приходи од донации"/>
        <s v="Приходи од закуп"/>
        <s v="Приходи од продажба на подвижен имот"/>
        <s v="Потрoшена енергија и гориво за возила"/>
        <s v="Потрошени резервни делови"/>
        <s v="Потрошени суровини и материјали"/>
        <s v="Потрошок на ситен инвентар и автогуми"/>
        <s v="Надомест на трошоци на вработените, подароци и помошти"/>
        <s v="Амортизација по минимални стапки"/>
        <s v="Банкарски услуги и трошоци за платен промет"/>
        <s v="Даноци,чланарини и други давачки кои не зависат од резултатот"/>
        <s v="Дневници за службени патувања и патни трошоци"/>
        <s v="Казни, пенали и надомест на штети затезни камати"/>
        <s v="Лиценци за разни софтвери (едногодишни, обновливи)"/>
        <s v="Надворешни услуги"/>
        <s v="Наемнини и лизинг"/>
        <s v="Останати нематеријални трошоци"/>
        <s v="Останати услуги"/>
        <s v="Премии за осигурување"/>
        <s v="Транспортни услуги"/>
        <s v="Трошоци за промоција,пропаганда, реклама, репрезентација и спонзорство"/>
        <s v="Услуги за одржување и заштита"/>
        <s v="Приходи од камати"/>
        <s v="Приходи од курсни разлики"/>
        <s v="Загуби и кусоци"/>
        <s v="Курсни разлики"/>
        <s v="Останати расходи"/>
      </sharedItems>
    </cacheField>
    <cacheField name="[fActualAndBudget].[Конто].[Конто]" caption="Конто" numFmtId="0" hierarchy="31" level="1">
      <sharedItems containsNonDate="0" count="24">
        <s v="4030"/>
        <s v="40304"/>
        <s v="4031"/>
        <s v="403101"/>
        <s v="403102"/>
        <s v="403103"/>
        <s v="403104"/>
        <s v="403105"/>
        <s v="403106"/>
        <s v="403107"/>
        <s v="4031601"/>
        <s v="4031602"/>
        <s v="4031603"/>
        <s v="4031604"/>
        <s v="4031605"/>
        <s v="4031606"/>
        <s v="4031607"/>
        <s v="4031608"/>
        <s v="4031609"/>
        <s v="4031610"/>
        <s v="4031611"/>
        <s v="41101" u="1"/>
        <s v="41102" u="1"/>
        <s v="4132" u="1"/>
      </sharedItems>
    </cacheField>
    <cacheField name="[fActualAndBudget].[ReportType].[ReportType]" caption="ReportType" numFmtId="0" hierarchy="35" level="1">
      <sharedItems count="3">
        <s v="Остварено"/>
        <s v="План"/>
        <s v="Предвидување"/>
      </sharedItems>
    </cacheField>
    <cacheField name="[Measures].[Sum of Износ]" caption="Sum of Износ" numFmtId="0" hierarchy="176" level="32767"/>
    <cacheField name="[fActualAndBudget].[StavkaKategorija].[StavkaKategorija]" caption="StavkaKategorija" numFmtId="0" hierarchy="40" level="1">
      <sharedItems count="9">
        <s v="2.29. Приходи од продажба"/>
        <s v="2.30. Останати оперативни приходи"/>
        <s v="2.32. Потрошени суровини и материјали"/>
        <s v="2.33. Трошоци за вработените"/>
        <s v="2.34. Амортизација на материјални средства"/>
        <s v="2.35. Вредносно усогласување на тековни средства"/>
        <s v="2.37. Останати оперативни расходи"/>
        <s v="2.40. Приходи од финансирање"/>
        <s v="2.41. Расходи од финансирање"/>
      </sharedItems>
    </cacheField>
    <cacheField name="[fActualAndBudget].[Ставка].[Ставка]" caption="Ставка" numFmtId="0" hierarchy="36" level="1">
      <sharedItems containsNonDate="0" count="24">
        <s v="POTR.ELEKT.ENERGIJA"/>
        <s v="POTRO[.NAFTA"/>
        <s v="POTRO[.GORIVO"/>
        <s v="POTRO[ENO GORIVO AK 210 SV"/>
        <s v="POTRO[ENO GORVO SK 2082 AI"/>
        <s v="POTRO[ENO GORIVO SK 2083 AI"/>
        <s v="POTRO[ENO GORIVO SK 2084 AI"/>
        <s v="POTRO[ENO GORIVO SK 2085 AI"/>
        <s v="POTRO[ENO GORIVO SK 783 OC"/>
        <s v="POTRO[ENO GORIVO SK 782 OC"/>
        <s v="POTRO[ENO GORIVO SK 0601 АС"/>
        <s v="POTRO[ENO GORIVO SK 0602 АС"/>
        <s v="POTRO[ENO GORIVO SK 0603 АС"/>
        <s v="POTRO[ENO GORIVO SK 0604 АС"/>
        <s v="POTRO[ENO GORIVO SK 0605 АС"/>
        <s v="POTRO[ENO GORIVO SK 0606 АС"/>
        <s v="POTRO[ENO GORIVO SK 0607 АС"/>
        <s v="POTRO[ENO GORIVO SK 0608 АС"/>
        <s v="POTRO[ENO GORIVO SK 0609 АС"/>
        <s v="POTRO[ENO GORIVO SK 0610 АС"/>
        <s v="POTRO[ENO GORIVO SK 0611 АС"/>
        <s v="TRO[.ZA TELEKOMUNIKACII" u="1"/>
        <s v="TRO[.ZA INTERNET" u="1"/>
        <s v="USL.ZA TEKOV.ODR@.NA OPREMA" u="1"/>
      </sharedItems>
    </cacheField>
    <cacheField name="[Calendar].[Година].[Година]" caption="Година" numFmtId="0" hierarchy="8" level="1">
      <sharedItems containsSemiMixedTypes="0" containsString="0" containsNumber="1" containsInteger="1" minValue="2019" maxValue="2021" count="3">
        <n v="2019"/>
        <n v="2020"/>
        <n v="2021"/>
      </sharedItems>
      <extLst>
        <ext xmlns:x15="http://schemas.microsoft.com/office/spreadsheetml/2010/11/main" uri="{4F2E5C28-24EA-4eb8-9CBF-B6C8F9C3D259}">
          <x15:cachedUniqueNames>
            <x15:cachedUniqueName index="0" name="[Calendar].[Година].&amp;[2019]"/>
            <x15:cachedUniqueName index="1" name="[Calendar].[Година].&amp;[2020]"/>
            <x15:cachedUniqueName index="2" name="[Calendar].[Година].&amp;[2021]"/>
          </x15:cachedUniqueNames>
        </ext>
      </extLst>
    </cacheField>
    <cacheField name="[fActualAndBudget].[ObrazecIme].[ObrazecIme]" caption="ObrazecIme" numFmtId="0" hierarchy="44" level="1">
      <sharedItems containsSemiMixedTypes="0" containsNonDate="0" containsString="0"/>
    </cacheField>
  </cacheFields>
  <cacheHierarchies count="195">
    <cacheHierarchy uniqueName="[Amortizacija].[Број на јавна набавка (план)]" caption="Број на јавна набавка (план)" attribute="1" defaultMemberUniqueName="[Amortizacija].[Број на јавна набавка (план)].[All]" allUniqueName="[Amortizacija].[Број на јавна набавка (план)].[All]" dimensionUniqueName="[Amortizacija]" displayFolder="" count="0" memberValueDatatype="130" unbalanced="0"/>
    <cacheHierarchy uniqueName="[Amortizacija].[Ставка]" caption="Ставка" attribute="1" defaultMemberUniqueName="[Amortizacija].[Ставка].[All]" allUniqueName="[Amortizacija].[Ставка].[All]" dimensionUniqueName="[Amortizacija]" displayFolder="" count="0" memberValueDatatype="130" unbalanced="0"/>
    <cacheHierarchy uniqueName="[Amortizacija].[Период]" caption="Период" attribute="1" time="1" defaultMemberUniqueName="[Amortizacija].[Период].[All]" allUniqueName="[Amortizacija].[Период].[All]" dimensionUniqueName="[Amortizacija]" displayFolder="" count="0" memberValueDatatype="7" unbalanced="0"/>
    <cacheHierarchy uniqueName="[Amortizacija].[Износ]" caption="Износ" attribute="1" defaultMemberUniqueName="[Amortizacija].[Износ].[All]" allUniqueName="[Amortizacija].[Износ].[All]" dimensionUniqueName="[Amortizacija]" displayFolder="" count="0" memberValueDatatype="20" unbalanced="0"/>
    <cacheHierarchy uniqueName="[Amortizacija].[Конто]" caption="Конто" attribute="1" defaultMemberUniqueName="[Amortizacija].[Конто].[All]" allUniqueName="[Amortizacija].[Конто].[All]" dimensionUniqueName="[Amortizacija]" displayFolder="" count="0" memberValueDatatype="130" unbalanced="0"/>
    <cacheHierarchy uniqueName="[Amortizacija].[ReportType]" caption="ReportType" attribute="1" defaultMemberUniqueName="[Amortizacija].[ReportType].[All]" allUniqueName="[Amortizacija].[ReportType].[All]" dimensionUniqueName="[Amortizacija]" displayFolder="" count="0" memberValueDatatype="130" unbalanced="0"/>
    <cacheHierarchy uniqueName="[Calendar].[Date]" caption="Date" attribute="1" time="1" keyAttribute="1" defaultMemberUniqueName="[Calendar].[Date].[All]" allUniqueName="[Calendar].[Date].[All]" dimensionUniqueName="[Calendar]" displayFolder="" count="0" memberValueDatatype="7" unbalanced="0"/>
    <cacheHierarchy uniqueName="[Calendar].[Date Hierarchy]" caption="Date Hierarchy" time="1" defaultMemberUniqueName="[Calendar].[Date Hierarchy].[All]" allUniqueName="[Calendar].[Date Hierarchy].[All]" dimensionUniqueName="[Calendar]" displayFolder="" count="4" unbalanced="0">
      <fieldsUsage count="4">
        <fieldUsage x="-1"/>
        <fieldUsage x="0"/>
        <fieldUsage x="1"/>
        <fieldUsage x="2"/>
      </fieldsUsage>
    </cacheHierarchy>
    <cacheHierarchy uniqueName="[Calendar].[Година]" caption="Година" attribute="1" time="1" defaultMemberUniqueName="[Calendar].[Година].[All]" allUniqueName="[Calendar].[Година].[All]" dimensionUniqueName="[Calendar]" displayFolder="" count="2" memberValueDatatype="20" unbalanced="0">
      <fieldsUsage count="2">
        <fieldUsage x="-1"/>
        <fieldUsage x="9"/>
      </fieldsUsage>
    </cacheHierarchy>
    <cacheHierarchy uniqueName="[Calendar].[Month Number]" caption="Month Number" attribute="1" time="1" defaultMemberUniqueName="[Calendar].[Month Number].[All]" allUniqueName="[Calendar].[Month Number].[All]" dimensionUniqueName="[Calendar]" displayFolder="" count="0" memberValueDatatype="20" unbalanced="0"/>
    <cacheHierarchy uniqueName="[Calendar].[Месец]" caption="Месец" attribute="1" time="1" defaultMemberUniqueName="[Calendar].[Месец].[All]" allUniqueName="[Calendar].[Месец].[All]" dimensionUniqueName="[Calendar]" displayFolder="" count="0" memberValueDatatype="130" unbalanced="0"/>
    <cacheHierarchy uniqueName="[Calendar].[MMM-YYYY]" caption="MMM-YYYY" attribute="1" time="1" defaultMemberUniqueName="[Calendar].[MMM-YYYY].[All]" allUniqueName="[Calendar].[MMM-YYYY].[All]" dimensionUniqueName="[Calendar]" displayFolder="" count="0" memberValueDatatype="130" unbalanced="0"/>
    <cacheHierarchy uniqueName="[Calendar].[Day Of Week Number]" caption="Day Of Week Number" attribute="1" time="1" defaultMemberUniqueName="[Calendar].[Day Of Week Number].[All]" allUniqueName="[Calendar].[Day Of Week Number].[All]" dimensionUniqueName="[Calendar]" displayFolder="" count="0" memberValueDatatype="20" unbalanced="0"/>
    <cacheHierarchy uniqueName="[Calendar].[Day Of Week]" caption="Day Of Week" attribute="1" time="1" defaultMemberUniqueName="[Calendar].[Day Of Week].[All]" allUniqueName="[Calendar].[Day Of Week].[All]" dimensionUniqueName="[Calendar]" displayFolder="" count="0" memberValueDatatype="130" unbalanced="0"/>
    <cacheHierarchy uniqueName="[Calendar].[Квартал]" caption="Квартал" attribute="1" time="1" defaultMemberUniqueName="[Calendar].[Квартал].[All]" allUniqueName="[Calendar].[Квартал].[All]" dimensionUniqueName="[Calendar]" displayFolder="" count="0" memberValueDatatype="7" unbalanced="0"/>
    <cacheHierarchy uniqueName="[CAPEX].[Година за реализација на проект]" caption="Година за реализација на проект" attribute="1" defaultMemberUniqueName="[CAPEX].[Година за реализација на проект].[All]" allUniqueName="[CAPEX].[Година за реализација на проект].[All]" dimensionUniqueName="[CAPEX]" displayFolder="" count="0" memberValueDatatype="20" unbalanced="0"/>
    <cacheHierarchy uniqueName="[CAPEX].[Број на јавна набавка (план)]" caption="Број на јавна набавка (план)" attribute="1" defaultMemberUniqueName="[CAPEX].[Број на јавна набавка (план)].[All]" allUniqueName="[CAPEX].[Број на јавна набавка (план)].[All]" dimensionUniqueName="[CAPEX]" displayFolder="" count="0" memberValueDatatype="130" unbalanced="0"/>
    <cacheHierarchy uniqueName="[CAPEX].[Предмет на договорот за јавна набавка]" caption="Предмет на договорот за јавна набавка" attribute="1" defaultMemberUniqueName="[CAPEX].[Предмет на договорот за јавна набавка].[All]" allUniqueName="[CAPEX].[Предмет на договорот за јавна набавка].[All]" dimensionUniqueName="[CAPEX]" displayFolder="" count="0" memberValueDatatype="130" unbalanced="0"/>
    <cacheHierarchy uniqueName="[CAPEX].[Очекуван датум на плаќање]" caption="Очекуван датум на плаќање" attribute="1" time="1" defaultMemberUniqueName="[CAPEX].[Очекуван датум на плаќање].[All]" allUniqueName="[CAPEX].[Очекуван датум на плаќање].[All]" dimensionUniqueName="[CAPEX]" displayFolder="" count="0" memberValueDatatype="7" unbalanced="0"/>
    <cacheHierarchy uniqueName="[CAPEX].[Очекуван датум за ставање во употреба (месец)]" caption="Очекуван датум за ставање во употреба (месец)" attribute="1" time="1" defaultMemberUniqueName="[CAPEX].[Очекуван датум за ставање во употреба (месец)].[All]" allUniqueName="[CAPEX].[Очекуван датум за ставање во употреба (месец)].[All]" dimensionUniqueName="[CAPEX]" displayFolder="" count="0" memberValueDatatype="7" unbalanced="0"/>
    <cacheHierarchy uniqueName="[CAPEX].[Проценета вредност на набавка со ДДВ (денари)]" caption="Проценета вредност на набавка со ДДВ (денари)" attribute="1" defaultMemberUniqueName="[CAPEX].[Проценета вредност на набавка со ДДВ (денари)].[All]" allUniqueName="[CAPEX].[Проценета вредност на набавка со ДДВ (денари)].[All]" dimensionUniqueName="[CAPEX]" displayFolder="" count="0" memberValueDatatype="20" unbalanced="0"/>
    <cacheHierarchy uniqueName="[CAPEX].[Стапка на амортизација]" caption="Стапка на амортизација" attribute="1" defaultMemberUniqueName="[CAPEX].[Стапка на амортизација].[All]" allUniqueName="[CAPEX].[Стапка на амортизација].[All]" dimensionUniqueName="[CAPEX]" displayFolder="" count="0" memberValueDatatype="5" unbalanced="0"/>
    <cacheHierarchy uniqueName="[CAPEX].[Конто Средства]" caption="Конто Средства" attribute="1" defaultMemberUniqueName="[CAPEX].[Конто Средства].[All]" allUniqueName="[CAPEX].[Конто Средства].[All]" dimensionUniqueName="[CAPEX]" displayFolder="" count="0" memberValueDatatype="130" unbalanced="0"/>
    <cacheHierarchy uniqueName="[CAPEX].[Конто Амортизација]" caption="Конто Амортизација" attribute="1" defaultMemberUniqueName="[CAPEX].[Конто Амортизација].[All]" allUniqueName="[CAPEX].[Конто Амортизација].[All]" dimensionUniqueName="[CAPEX]" displayFolder="" count="0" memberValueDatatype="130" unbalanced="0"/>
    <cacheHierarchy uniqueName="[CAPEX].[Износ донација]" caption="Износ донација" attribute="1" defaultMemberUniqueName="[CAPEX].[Износ донација].[All]" allUniqueName="[CAPEX].[Износ донација].[All]" dimensionUniqueName="[CAPEX]" displayFolder="" count="0" memberValueDatatype="20" unbalanced="0"/>
    <cacheHierarchy uniqueName="[CAPEX].[Очекуван датум на плаќање (Year)]" caption="Очекуван датум на плаќање (Year)" attribute="1" defaultMemberUniqueName="[CAPEX].[Очекуван датум на плаќање (Year)].[All]" allUniqueName="[CAPEX].[Очекуван датум на плаќање (Year)].[All]" dimensionUniqueName="[CAPEX]" displayFolder="" count="0" memberValueDatatype="130" unbalanced="0"/>
    <cacheHierarchy uniqueName="[CAPEX].[Очекуван датум на плаќање (Quarter)]" caption="Очекуван датум на плаќање (Quarter)" attribute="1" defaultMemberUniqueName="[CAPEX].[Очекуван датум на плаќање (Quarter)].[All]" allUniqueName="[CAPEX].[Очекуван датум на плаќање (Quarter)].[All]" dimensionUniqueName="[CAPEX]" displayFolder="" count="0" memberValueDatatype="130" unbalanced="0"/>
    <cacheHierarchy uniqueName="[CAPEX].[Очекуван датум на плаќање (Month)]" caption="Очекуван датум на плаќање (Month)" attribute="1" defaultMemberUniqueName="[CAPEX].[Очекуван датум на плаќање (Month)].[All]" allUniqueName="[CAPEX].[Очекуван датум на плаќање (Month)].[All]" dimensionUniqueName="[CAPEX]" displayFolder="" count="0" memberValueDatatype="130" unbalanced="0"/>
    <cacheHierarchy uniqueName="[CAPEX].[Очекуван датум за ставање во употреба (месец) (Year)]" caption="Очекуван датум за ставање во употреба (месец) (Year)" attribute="1" defaultMemberUniqueName="[CAPEX].[Очекуван датум за ставање во употреба (месец) (Year)].[All]" allUniqueName="[CAPEX].[Очекуван датум за ставање во употреба (месец) (Year)].[All]" dimensionUniqueName="[CAPEX]" displayFolder="" count="0" memberValueDatatype="130" unbalanced="0"/>
    <cacheHierarchy uniqueName="[CAPEX].[Очекуван датум за ставање во употреба (месец) (Quarter)]" caption="Очекуван датум за ставање во употреба (месец) (Quarter)" attribute="1" defaultMemberUniqueName="[CAPEX].[Очекуван датум за ставање во употреба (месец) (Quarter)].[All]" allUniqueName="[CAPEX].[Очекуван датум за ставање во употреба (месец) (Quarter)].[All]" dimensionUniqueName="[CAPEX]" displayFolder="" count="0" memberValueDatatype="130" unbalanced="0"/>
    <cacheHierarchy uniqueName="[CAPEX].[Очекуван датум за ставање во употреба (месец) (Month)]" caption="Очекуван датум за ставање во употреба (месец) (Month)" attribute="1" defaultMemberUniqueName="[CAPEX].[Очекуван датум за ставање во употреба (месец) (Month)].[All]" allUniqueName="[CAPEX].[Очекуван датум за ставање во употреба (месец) (Month)].[All]" dimensionUniqueName="[CAPEX]" displayFolder="" count="0" memberValueDatatype="130" unbalanced="0"/>
    <cacheHierarchy uniqueName="[fActualAndBudget].[Конто]" caption="Конто" attribute="1" defaultMemberUniqueName="[fActualAndBudget].[Конто].[All]" allUniqueName="[fActualAndBudget].[Конто].[All]" dimensionUniqueName="[fActualAndBudget]" displayFolder="" count="2" memberValueDatatype="130" unbalanced="0">
      <fieldsUsage count="2">
        <fieldUsage x="-1"/>
        <fieldUsage x="4"/>
      </fieldsUsage>
    </cacheHierarchy>
    <cacheHierarchy uniqueName="[fActualAndBudget].[Назив на конто]" caption="Назив на конто" attribute="1" defaultMemberUniqueName="[fActualAndBudget].[Назив на конто].[All]" allUniqueName="[fActualAndBudget].[Назив на конто].[All]" dimensionUniqueName="[fActualAndBudget]" displayFolder="" count="0" memberValueDatatype="130" unbalanced="0"/>
    <cacheHierarchy uniqueName="[fActualAndBudget].[Период]" caption="Период" attribute="1" time="1" defaultMemberUniqueName="[fActualAndBudget].[Период].[All]" allUniqueName="[fActualAndBudget].[Период].[All]" dimensionUniqueName="[fActualAndBudget]" displayFolder="" count="0" memberValueDatatype="7" unbalanced="0"/>
    <cacheHierarchy uniqueName="[fActualAndBudget].[Износ1]" caption="Износ1" attribute="1" defaultMemberUniqueName="[fActualAndBudget].[Износ1].[All]" allUniqueName="[fActualAndBudget].[Износ1].[All]" dimensionUniqueName="[fActualAndBudget]" displayFolder="" count="0" memberValueDatatype="20" unbalanced="0"/>
    <cacheHierarchy uniqueName="[fActualAndBudget].[ReportType]" caption="ReportType" attribute="1" defaultMemberUniqueName="[fActualAndBudget].[ReportType].[All]" allUniqueName="[fActualAndBudget].[ReportType].[All]" dimensionUniqueName="[fActualAndBudget]" displayFolder="" count="2" memberValueDatatype="130" unbalanced="0">
      <fieldsUsage count="2">
        <fieldUsage x="-1"/>
        <fieldUsage x="5"/>
      </fieldsUsage>
    </cacheHierarchy>
    <cacheHierarchy uniqueName="[fActualAndBudget].[Ставка]" caption="Ставка" attribute="1" defaultMemberUniqueName="[fActualAndBudget].[Ставка].[All]" allUniqueName="[fActualAndBudget].[Ставка].[All]" dimensionUniqueName="[fActualAndBudget]" displayFolder="" count="2" memberValueDatatype="130" unbalanced="0">
      <fieldsUsage count="2">
        <fieldUsage x="-1"/>
        <fieldUsage x="8"/>
      </fieldsUsage>
    </cacheHierarchy>
    <cacheHierarchy uniqueName="[fActualAndBudget].[Број на јавна набавка (план)]" caption="Број на јавна набавка (план)" attribute="1" defaultMemberUniqueName="[fActualAndBudget].[Број на јавна набавка (план)].[All]" allUniqueName="[fActualAndBudget].[Број на јавна набавка (план)].[All]" dimensionUniqueName="[fActualAndBudget]" displayFolder="" count="0" memberValueDatatype="130" unbalanced="0"/>
    <cacheHierarchy uniqueName="[fActualAndBudget].[StavkaImeMK]" caption="StavkaImeMK" attribute="1" defaultMemberUniqueName="[fActualAndBudget].[StavkaImeMK].[All]" allUniqueName="[fActualAndBudget].[StavkaImeMK].[All]" dimensionUniqueName="[fActualAndBudget]" displayFolder="" count="2" memberValueDatatype="130" unbalanced="0">
      <fieldsUsage count="2">
        <fieldUsage x="-1"/>
        <fieldUsage x="3"/>
      </fieldsUsage>
    </cacheHierarchy>
    <cacheHierarchy uniqueName="[fActualAndBudget].[StavkaGrupa]" caption="StavkaGrupa" attribute="1" defaultMemberUniqueName="[fActualAndBudget].[StavkaGrupa].[All]" allUniqueName="[fActualAndBudget].[StavkaGrupa].[All]" dimensionUniqueName="[fActualAndBudget]" displayFolder="" count="0" memberValueDatatype="130" unbalanced="0"/>
    <cacheHierarchy uniqueName="[fActualAndBudget].[StavkaKategorija]" caption="StavkaKategorija" attribute="1" defaultMemberUniqueName="[fActualAndBudget].[StavkaKategorija].[All]" allUniqueName="[fActualAndBudget].[StavkaKategorija].[All]" dimensionUniqueName="[fActualAndBudget]" displayFolder="" count="2" memberValueDatatype="130" unbalanced="0">
      <fieldsUsage count="2">
        <fieldUsage x="-1"/>
        <fieldUsage x="7"/>
      </fieldsUsage>
    </cacheHierarchy>
    <cacheHierarchy uniqueName="[fActualAndBudget].[ZnakIzvestaj]" caption="ZnakIzvestaj" attribute="1" defaultMemberUniqueName="[fActualAndBudget].[ZnakIzvestaj].[All]" allUniqueName="[fActualAndBudget].[ZnakIzvestaj].[All]" dimensionUniqueName="[fActualAndBudget]" displayFolder="" count="0" memberValueDatatype="20" unbalanced="0"/>
    <cacheHierarchy uniqueName="[fActualAndBudget].[ObrazecID]" caption="ObrazecID" attribute="1" defaultMemberUniqueName="[fActualAndBudget].[ObrazecID].[All]" allUniqueName="[fActualAndBudget].[ObrazecID].[All]" dimensionUniqueName="[fActualAndBudget]" displayFolder="" count="0" memberValueDatatype="20" unbalanced="0"/>
    <cacheHierarchy uniqueName="[fActualAndBudget].[StavkaAOP]" caption="StavkaAOP" attribute="1" defaultMemberUniqueName="[fActualAndBudget].[StavkaAOP].[All]" allUniqueName="[fActualAndBudget].[StavkaAOP].[All]" dimensionUniqueName="[fActualAndBudget]" displayFolder="" count="0" memberValueDatatype="130" unbalanced="0"/>
    <cacheHierarchy uniqueName="[fActualAndBudget].[ObrazecIme]" caption="ObrazecIme" attribute="1" defaultMemberUniqueName="[fActualAndBudget].[ObrazecIme].[All]" allUniqueName="[fActualAndBudget].[ObrazecIme].[All]" dimensionUniqueName="[fActualAndBudget]" displayFolder="" count="2" memberValueDatatype="130" unbalanced="0">
      <fieldsUsage count="2">
        <fieldUsage x="-1"/>
        <fieldUsage x="10"/>
      </fieldsUsage>
    </cacheHierarchy>
    <cacheHierarchy uniqueName="[fActualAndBudget].[Износ]" caption="Износ" attribute="1" defaultMemberUniqueName="[fActualAndBudget].[Износ].[All]" allUniqueName="[fActualAndBudget].[Износ].[All]" dimensionUniqueName="[fActualAndBudget]" displayFolder="" count="0" memberValueDatatype="20" unbalanced="0"/>
    <cacheHierarchy uniqueName="[fActualAndBudget].[Износ (илјади)]" caption="Износ (илјади)" attribute="1" defaultMemberUniqueName="[fActualAndBudget].[Износ (илјади)].[All]" allUniqueName="[fActualAndBudget].[Износ (илјади)].[All]" dimensionUniqueName="[fActualAndBudget]" displayFolder="" count="0" memberValueDatatype="5" unbalanced="0"/>
    <cacheHierarchy uniqueName="[fActualAndBudget].[StavkaImeAOP]" caption="StavkaImeAOP" attribute="1" defaultMemberUniqueName="[fActualAndBudget].[StavkaImeAOP].[All]" allUniqueName="[fActualAndBudget].[StavkaImeAOP].[All]" dimensionUniqueName="[fActualAndBudget]" displayFolder="" count="0" memberValueDatatype="130" unbalanced="0"/>
    <cacheHierarchy uniqueName="[fActualAndBudget].[Конто Ставка]" caption="Конто Ставка" attribute="1" defaultMemberUniqueName="[fActualAndBudget].[Конто Ставка].[All]" allUniqueName="[fActualAndBudget].[Конто Ставка].[All]" dimensionUniqueName="[fActualAndBudget]" displayFolder="" count="0" memberValueDatatype="130" unbalanced="0"/>
    <cacheHierarchy uniqueName="[fArtikliCeni].[Ставка]" caption="Ставка" attribute="1" defaultMemberUniqueName="[fArtikliCeni].[Ставка].[All]" allUniqueName="[fArtikliCeni].[Ставка].[All]" dimensionUniqueName="[fArtikliCeni]" displayFolder="" count="0" memberValueDatatype="130" unbalanced="0"/>
    <cacheHierarchy uniqueName="[fArtikliCeni].[Категорија Артикл]" caption="Категорија Артикл" attribute="1" defaultMemberUniqueName="[fArtikliCeni].[Категорија Артикл].[All]" allUniqueName="[fArtikliCeni].[Категорија Артикл].[All]" dimensionUniqueName="[fArtikliCeni]" displayFolder="" count="0" memberValueDatatype="130" unbalanced="0"/>
    <cacheHierarchy uniqueName="[fArtikliCeni].[Тип на артикл]" caption="Тип на артикл" attribute="1" defaultMemberUniqueName="[fArtikliCeni].[Тип на артикл].[All]" allUniqueName="[fArtikliCeni].[Тип на артикл].[All]" dimensionUniqueName="[fArtikliCeni]" displayFolder="" count="0" memberValueDatatype="130" unbalanced="0"/>
    <cacheHierarchy uniqueName="[fArtikliCeni].[Единечна мерка]" caption="Единечна мерка" attribute="1" defaultMemberUniqueName="[fArtikliCeni].[Единечна мерка].[All]" allUniqueName="[fArtikliCeni].[Единечна мерка].[All]" dimensionUniqueName="[fArtikliCeni]" displayFolder="" count="0" memberValueDatatype="130" unbalanced="0"/>
    <cacheHierarchy uniqueName="[fArtikliCeni].[Количина]" caption="Количина" attribute="1" defaultMemberUniqueName="[fArtikliCeni].[Количина].[All]" allUniqueName="[fArtikliCeni].[Количина].[All]" dimensionUniqueName="[fArtikliCeni]" displayFolder="" count="0" memberValueDatatype="5" unbalanced="0"/>
    <cacheHierarchy uniqueName="[fArtikliCeni].[Единечна цена]" caption="Единечна цена" attribute="1" defaultMemberUniqueName="[fArtikliCeni].[Единечна цена].[All]" allUniqueName="[fArtikliCeni].[Единечна цена].[All]" dimensionUniqueName="[fArtikliCeni]" displayFolder="" count="0" memberValueDatatype="20" unbalanced="0"/>
    <cacheHierarchy uniqueName="[fArtikliCeni].[Вкупно трошок]" caption="Вкупно трошок" attribute="1" defaultMemberUniqueName="[fArtikliCeni].[Вкупно трошок].[All]" allUniqueName="[fArtikliCeni].[Вкупно трошок].[All]" dimensionUniqueName="[fArtikliCeni]" displayFolder="" count="0" memberValueDatatype="5" unbalanced="0"/>
    <cacheHierarchy uniqueName="[fArtikliCeni].[ДДВ]" caption="ДДВ" attribute="1" defaultMemberUniqueName="[fArtikliCeni].[ДДВ].[All]" allUniqueName="[fArtikliCeni].[ДДВ].[All]" dimensionUniqueName="[fArtikliCeni]" displayFolder="" count="0" memberValueDatatype="5" unbalanced="0"/>
    <cacheHierarchy uniqueName="[fArtikliCeni].[Износ]" caption="Износ" attribute="1" defaultMemberUniqueName="[fArtikliCeni].[Износ].[All]" allUniqueName="[fArtikliCeni].[Износ].[All]" dimensionUniqueName="[fArtikliCeni]" displayFolder="" count="0" memberValueDatatype="5" unbalanced="0"/>
    <cacheHierarchy uniqueName="[fArtikliCeni].[Конто]" caption="Конто" attribute="1" defaultMemberUniqueName="[fArtikliCeni].[Конто].[All]" allUniqueName="[fArtikliCeni].[Конто].[All]" dimensionUniqueName="[fArtikliCeni]" displayFolder="" count="0" memberValueDatatype="130" unbalanced="0"/>
    <cacheHierarchy uniqueName="[fArtikliCeni].[ReportType]" caption="ReportType" attribute="1" defaultMemberUniqueName="[fArtikliCeni].[ReportType].[All]" allUniqueName="[fArtikliCeni].[ReportType].[All]" dimensionUniqueName="[fArtikliCeni]" displayFolder="" count="0" memberValueDatatype="130" unbalanced="0"/>
    <cacheHierarchy uniqueName="[fArtikliCeni].[Период]" caption="Период" attribute="1" time="1" defaultMemberUniqueName="[fArtikliCeni].[Период].[All]" allUniqueName="[fArtikliCeni].[Период].[All]" dimensionUniqueName="[fArtikliCeni]" displayFolder="" count="0" memberValueDatatype="7" unbalanced="0"/>
    <cacheHierarchy uniqueName="[fArtikliCeni].[StavkaImeMK]" caption="StavkaImeMK" attribute="1" defaultMemberUniqueName="[fArtikliCeni].[StavkaImeMK].[All]" allUniqueName="[fArtikliCeni].[StavkaImeMK].[All]" dimensionUniqueName="[fArtikliCeni]" displayFolder="" count="0" memberValueDatatype="130" unbalanced="0"/>
    <cacheHierarchy uniqueName="[fArtikliCeni].[StavkaAOP]" caption="StavkaAOP" attribute="1" defaultMemberUniqueName="[fArtikliCeni].[StavkaAOP].[All]" allUniqueName="[fArtikliCeni].[StavkaAOP].[All]" dimensionUniqueName="[fArtikliCeni]" displayFolder="" count="0" memberValueDatatype="130" unbalanced="0"/>
    <cacheHierarchy uniqueName="[fArtikliCeni].[StavkaGrupa]" caption="StavkaGrupa" attribute="1" defaultMemberUniqueName="[fArtikliCeni].[StavkaGrupa].[All]" allUniqueName="[fArtikliCeni].[StavkaGrupa].[All]" dimensionUniqueName="[fArtikliCeni]" displayFolder="" count="0" memberValueDatatype="130" unbalanced="0"/>
    <cacheHierarchy uniqueName="[fArtikliCeni].[StavkaKategorija]" caption="StavkaKategorija" attribute="1" defaultMemberUniqueName="[fArtikliCeni].[StavkaKategorija].[All]" allUniqueName="[fArtikliCeni].[StavkaKategorija].[All]" dimensionUniqueName="[fArtikliCeni]" displayFolder="" count="0" memberValueDatatype="130" unbalanced="0"/>
    <cacheHierarchy uniqueName="[fArtikliCeni].[ObrazecIme]" caption="ObrazecIme" attribute="1" defaultMemberUniqueName="[fArtikliCeni].[ObrazecIme].[All]" allUniqueName="[fArtikliCeni].[ObrazecIme].[All]" dimensionUniqueName="[fArtikliCeni]" displayFolder="" count="0" memberValueDatatype="130" unbalanced="0"/>
    <cacheHierarchy uniqueName="[fCoveckiResursi].[Ставка]" caption="Ставка" attribute="1" defaultMemberUniqueName="[fCoveckiResursi].[Ставка].[All]" allUniqueName="[fCoveckiResursi].[Ставка].[All]" dimensionUniqueName="[fCoveckiResursi]" displayFolder="" count="0" memberValueDatatype="130" unbalanced="0"/>
    <cacheHierarchy uniqueName="[fCoveckiResursi].[Тип на вработување]" caption="Тип на вработување" attribute="1" defaultMemberUniqueName="[fCoveckiResursi].[Тип на вработување].[All]" allUniqueName="[fCoveckiResursi].[Тип на вработување].[All]" dimensionUniqueName="[fCoveckiResursi]" displayFolder="" count="0" memberValueDatatype="130" unbalanced="0"/>
    <cacheHierarchy uniqueName="[fCoveckiResursi].[Планиран прилив/(одлив)]" caption="Планиран прилив/(одлив)" attribute="1" defaultMemberUniqueName="[fCoveckiResursi].[Планиран прилив/(одлив)].[All]" allUniqueName="[fCoveckiResursi].[Планиран прилив/(одлив)].[All]" dimensionUniqueName="[fCoveckiResursi]" displayFolder="" count="0" memberValueDatatype="20" unbalanced="0"/>
    <cacheHierarchy uniqueName="[fCoveckiResursi].[Период]" caption="Период" attribute="1" time="1" defaultMemberUniqueName="[fCoveckiResursi].[Период].[All]" allUniqueName="[fCoveckiResursi].[Период].[All]" dimensionUniqueName="[fCoveckiResursi]" displayFolder="" count="0" memberValueDatatype="7" unbalanced="0"/>
    <cacheHierarchy uniqueName="[fCoveckiResursi].[Крајна состојба вработени]" caption="Крајна состојба вработени" attribute="1" defaultMemberUniqueName="[fCoveckiResursi].[Крајна состојба вработени].[All]" allUniqueName="[fCoveckiResursi].[Крајна состојба вработени].[All]" dimensionUniqueName="[fCoveckiResursi]" displayFolder="" count="0" memberValueDatatype="20" unbalanced="0"/>
    <cacheHierarchy uniqueName="[fCoveckiResursi].[Износ]" caption="Износ" attribute="1" defaultMemberUniqueName="[fCoveckiResursi].[Износ].[All]" allUniqueName="[fCoveckiResursi].[Износ].[All]" dimensionUniqueName="[fCoveckiResursi]" displayFolder="" count="0" memberValueDatatype="20" unbalanced="0"/>
    <cacheHierarchy uniqueName="[fCoveckiResursi].[Конто]" caption="Конто" attribute="1" defaultMemberUniqueName="[fCoveckiResursi].[Конто].[All]" allUniqueName="[fCoveckiResursi].[Конто].[All]" dimensionUniqueName="[fCoveckiResursi]" displayFolder="" count="0" memberValueDatatype="130" unbalanced="0"/>
    <cacheHierarchy uniqueName="[fCoveckiResursi].[ReportType]" caption="ReportType" attribute="1" defaultMemberUniqueName="[fCoveckiResursi].[ReportType].[All]" allUniqueName="[fCoveckiResursi].[ReportType].[All]" dimensionUniqueName="[fCoveckiResursi]" displayFolder="" count="0" memberValueDatatype="130" unbalanced="0"/>
    <cacheHierarchy uniqueName="[fCoveckiResursi].[Период (Year)]" caption="Период (Year)" attribute="1" defaultMemberUniqueName="[fCoveckiResursi].[Период (Year)].[All]" allUniqueName="[fCoveckiResursi].[Период (Year)].[All]" dimensionUniqueName="[fCoveckiResursi]" displayFolder="" count="0" memberValueDatatype="130" unbalanced="0"/>
    <cacheHierarchy uniqueName="[fCoveckiResursi].[Период (Quarter)]" caption="Период (Quarter)" attribute="1" defaultMemberUniqueName="[fCoveckiResursi].[Период (Quarter)].[All]" allUniqueName="[fCoveckiResursi].[Период (Quarter)].[All]" dimensionUniqueName="[fCoveckiResursi]" displayFolder="" count="0" memberValueDatatype="130" unbalanced="0"/>
    <cacheHierarchy uniqueName="[fCoveckiResursi].[Период (Month)]" caption="Период (Month)" attribute="1" defaultMemberUniqueName="[fCoveckiResursi].[Период (Month)].[All]" allUniqueName="[fCoveckiResursi].[Период (Month)].[All]" dimensionUniqueName="[fCoveckiResursi]" displayFolder="" count="0" memberValueDatatype="130" unbalanced="0"/>
    <cacheHierarchy uniqueName="[fCoveckiResursi].[Период (Year) 1]" caption="Период (Year) 1" attribute="1" defaultMemberUniqueName="[fCoveckiResursi].[Период (Year) 1].[All]" allUniqueName="[fCoveckiResursi].[Период (Year) 1].[All]" dimensionUniqueName="[fCoveckiResursi]" displayFolder="" count="0" memberValueDatatype="130" unbalanced="0"/>
    <cacheHierarchy uniqueName="[fCoveckiResursi].[Период (Quarter) 1]" caption="Период (Quarter) 1" attribute="1" defaultMemberUniqueName="[fCoveckiResursi].[Период (Quarter) 1].[All]" allUniqueName="[fCoveckiResursi].[Период (Quarter) 1].[All]" dimensionUniqueName="[fCoveckiResursi]" displayFolder="" count="0" memberValueDatatype="130" unbalanced="0"/>
    <cacheHierarchy uniqueName="[fCoveckiResursi].[Период (Month) 1]" caption="Период (Month) 1" attribute="1" defaultMemberUniqueName="[fCoveckiResursi].[Период (Month) 1].[All]" allUniqueName="[fCoveckiResursi].[Период (Month) 1].[All]" dimensionUniqueName="[fCoveckiResursi]" displayFolder="" count="0" memberValueDatatype="130" unbalanced="0"/>
    <cacheHierarchy uniqueName="[fCoveckiResursi  2].[Ставка]" caption="Ставка" attribute="1" defaultMemberUniqueName="[fCoveckiResursi  2].[Ставка].[All]" allUniqueName="[fCoveckiResursi  2].[Ставка].[All]" dimensionUniqueName="[fCoveckiResursi  2]" displayFolder="" count="0" memberValueDatatype="130" unbalanced="0"/>
    <cacheHierarchy uniqueName="[fCoveckiResursi  2].[Период]" caption="Период" attribute="1" time="1" defaultMemberUniqueName="[fCoveckiResursi  2].[Период].[All]" allUniqueName="[fCoveckiResursi  2].[Период].[All]" dimensionUniqueName="[fCoveckiResursi  2]" displayFolder="" count="0" memberValueDatatype="7" unbalanced="0"/>
    <cacheHierarchy uniqueName="[fCoveckiResursi  2].[Износ]" caption="Износ" attribute="1" defaultMemberUniqueName="[fCoveckiResursi  2].[Износ].[All]" allUniqueName="[fCoveckiResursi  2].[Износ].[All]" dimensionUniqueName="[fCoveckiResursi  2]" displayFolder="" count="0" memberValueDatatype="20" unbalanced="0"/>
    <cacheHierarchy uniqueName="[fCoveckiResursi  2].[Конто]" caption="Конто" attribute="1" defaultMemberUniqueName="[fCoveckiResursi  2].[Конто].[All]" allUniqueName="[fCoveckiResursi  2].[Конто].[All]" dimensionUniqueName="[fCoveckiResursi  2]" displayFolder="" count="0" memberValueDatatype="130" unbalanced="0"/>
    <cacheHierarchy uniqueName="[fCoveckiResursi  2].[ReportType]" caption="ReportType" attribute="1" defaultMemberUniqueName="[fCoveckiResursi  2].[ReportType].[All]" allUniqueName="[fCoveckiResursi  2].[ReportType].[All]" dimensionUniqueName="[fCoveckiResursi  2]" displayFolder="" count="0" memberValueDatatype="130" unbalanced="0"/>
    <cacheHierarchy uniqueName="[fCoveckiResursi  2].[StavkaImeMK]" caption="StavkaImeMK" attribute="1" defaultMemberUniqueName="[fCoveckiResursi  2].[StavkaImeMK].[All]" allUniqueName="[fCoveckiResursi  2].[StavkaImeMK].[All]" dimensionUniqueName="[fCoveckiResursi  2]" displayFolder="" count="0" memberValueDatatype="130" unbalanced="0"/>
    <cacheHierarchy uniqueName="[fCoveckiResursi  2].[StavkaKategorija]" caption="StavkaKategorija" attribute="1" defaultMemberUniqueName="[fCoveckiResursi  2].[StavkaKategorija].[All]" allUniqueName="[fCoveckiResursi  2].[StavkaKategorija].[All]" dimensionUniqueName="[fCoveckiResursi  2]" displayFolder="" count="0" memberValueDatatype="130" unbalanced="0"/>
    <cacheHierarchy uniqueName="[fCoveckiResursi  2].[ObrazecIme]" caption="ObrazecIme" attribute="1" defaultMemberUniqueName="[fCoveckiResursi  2].[ObrazecIme].[All]" allUniqueName="[fCoveckiResursi  2].[ObrazecIme].[All]" dimensionUniqueName="[fCoveckiResursi  2]" displayFolder="" count="0" memberValueDatatype="130" unbalanced="0"/>
    <cacheHierarchy uniqueName="[fOPEX].[Конто]" caption="Конто" attribute="1" defaultMemberUniqueName="[fOPEX].[Конто].[All]" allUniqueName="[fOPEX].[Конто].[All]" dimensionUniqueName="[fOPEX]" displayFolder="" count="0" memberValueDatatype="130" unbalanced="0"/>
    <cacheHierarchy uniqueName="[fOPEX].[Ставка]" caption="Ставка" attribute="1" defaultMemberUniqueName="[fOPEX].[Ставка].[All]" allUniqueName="[fOPEX].[Ставка].[All]" dimensionUniqueName="[fOPEX]" displayFolder="" count="0" memberValueDatatype="130" unbalanced="0"/>
    <cacheHierarchy uniqueName="[fOPEX].[Период]" caption="Период" attribute="1" time="1" defaultMemberUniqueName="[fOPEX].[Период].[All]" allUniqueName="[fOPEX].[Период].[All]" dimensionUniqueName="[fOPEX]" displayFolder="" count="0" memberValueDatatype="7" unbalanced="0"/>
    <cacheHierarchy uniqueName="[fOPEX].[Износ]" caption="Износ" attribute="1" defaultMemberUniqueName="[fOPEX].[Износ].[All]" allUniqueName="[fOPEX].[Износ].[All]" dimensionUniqueName="[fOPEX]" displayFolder="" count="0" memberValueDatatype="20" unbalanced="0"/>
    <cacheHierarchy uniqueName="[fOPEX].[ReportType]" caption="ReportType" attribute="1" defaultMemberUniqueName="[fOPEX].[ReportType].[All]" allUniqueName="[fOPEX].[ReportType].[All]" dimensionUniqueName="[fOPEX]" displayFolder="" count="0" memberValueDatatype="130" unbalanced="0"/>
    <cacheHierarchy uniqueName="[OPEXAnaliza].[Артикл ИД]" caption="Артикл ИД" attribute="1" defaultMemberUniqueName="[OPEXAnaliza].[Артикл ИД].[All]" allUniqueName="[OPEXAnaliza].[Артикл ИД].[All]" dimensionUniqueName="[OPEXAnaliza]" displayFolder="" count="0" memberValueDatatype="20" unbalanced="0"/>
    <cacheHierarchy uniqueName="[OPEXAnaliza].[Ставка]" caption="Ставка" attribute="1" defaultMemberUniqueName="[OPEXAnaliza].[Ставка].[All]" allUniqueName="[OPEXAnaliza].[Ставка].[All]" dimensionUniqueName="[OPEXAnaliza]" displayFolder="" count="0" memberValueDatatype="130" unbalanced="0"/>
    <cacheHierarchy uniqueName="[OPEXAnaliza].[Категорија Артикл ИД]" caption="Категорија Артикл ИД" attribute="1" defaultMemberUniqueName="[OPEXAnaliza].[Категорија Артикл ИД].[All]" allUniqueName="[OPEXAnaliza].[Категорија Артикл ИД].[All]" dimensionUniqueName="[OPEXAnaliza]" displayFolder="" count="0" memberValueDatatype="20" unbalanced="0"/>
    <cacheHierarchy uniqueName="[OPEXAnaliza].[Категорија Артикл]" caption="Категорија Артикл" attribute="1" defaultMemberUniqueName="[OPEXAnaliza].[Категорија Артикл].[All]" allUniqueName="[OPEXAnaliza].[Категорија Артикл].[All]" dimensionUniqueName="[OPEXAnaliza]" displayFolder="" count="0" memberValueDatatype="130" unbalanced="0"/>
    <cacheHierarchy uniqueName="[OPEXAnaliza].[Тип на артикл]" caption="Тип на артикл" attribute="1" defaultMemberUniqueName="[OPEXAnaliza].[Тип на артикл].[All]" allUniqueName="[OPEXAnaliza].[Тип на артикл].[All]" dimensionUniqueName="[OPEXAnaliza]" displayFolder="" count="0" memberValueDatatype="130" unbalanced="0"/>
    <cacheHierarchy uniqueName="[OPEXAnaliza].[Единечна мерка]" caption="Единечна мерка" attribute="1" defaultMemberUniqueName="[OPEXAnaliza].[Единечна мерка].[All]" allUniqueName="[OPEXAnaliza].[Единечна мерка].[All]" dimensionUniqueName="[OPEXAnaliza]" displayFolder="" count="0" memberValueDatatype="130" unbalanced="0"/>
    <cacheHierarchy uniqueName="[OPEXAnaliza].[Количина]" caption="Количина" attribute="1" defaultMemberUniqueName="[OPEXAnaliza].[Количина].[All]" allUniqueName="[OPEXAnaliza].[Количина].[All]" dimensionUniqueName="[OPEXAnaliza]" displayFolder="" count="0" memberValueDatatype="5" unbalanced="0"/>
    <cacheHierarchy uniqueName="[OPEXAnaliza].[Единечна цена]" caption="Единечна цена" attribute="1" defaultMemberUniqueName="[OPEXAnaliza].[Единечна цена].[All]" allUniqueName="[OPEXAnaliza].[Единечна цена].[All]" dimensionUniqueName="[OPEXAnaliza]" displayFolder="" count="0" memberValueDatatype="20" unbalanced="0"/>
    <cacheHierarchy uniqueName="[OPEXAnaliza].[Износ]" caption="Износ" attribute="1" defaultMemberUniqueName="[OPEXAnaliza].[Износ].[All]" allUniqueName="[OPEXAnaliza].[Износ].[All]" dimensionUniqueName="[OPEXAnaliza]" displayFolder="" count="0" memberValueDatatype="5" unbalanced="0"/>
    <cacheHierarchy uniqueName="[OPEXAnaliza].[ДДВ]" caption="ДДВ" attribute="1" defaultMemberUniqueName="[OPEXAnaliza].[ДДВ].[All]" allUniqueName="[OPEXAnaliza].[ДДВ].[All]" dimensionUniqueName="[OPEXAnaliza]" displayFolder="" count="0" memberValueDatatype="5" unbalanced="0"/>
    <cacheHierarchy uniqueName="[OPEXAnaliza].[Вкупно трошок со ДДВ]" caption="Вкупно трошок со ДДВ" attribute="1" defaultMemberUniqueName="[OPEXAnaliza].[Вкупно трошок со ДДВ].[All]" allUniqueName="[OPEXAnaliza].[Вкупно трошок со ДДВ].[All]" dimensionUniqueName="[OPEXAnaliza]" displayFolder="" count="0" memberValueDatatype="5" unbalanced="0"/>
    <cacheHierarchy uniqueName="[OPEXAnaliza].[Конто]" caption="Конто" attribute="1" defaultMemberUniqueName="[OPEXAnaliza].[Конто].[All]" allUniqueName="[OPEXAnaliza].[Конто].[All]" dimensionUniqueName="[OPEXAnaliza]" displayFolder="" count="0" memberValueDatatype="130" unbalanced="0"/>
    <cacheHierarchy uniqueName="[OPEXAnaliza].[Период]" caption="Период" attribute="1" time="1" defaultMemberUniqueName="[OPEXAnaliza].[Период].[All]" allUniqueName="[OPEXAnaliza].[Период].[All]" dimensionUniqueName="[OPEXAnaliza]" displayFolder="" count="0" memberValueDatatype="7" unbalanced="0"/>
    <cacheHierarchy uniqueName="[OPEXAnaliza].[ReportType]" caption="ReportType" attribute="1" defaultMemberUniqueName="[OPEXAnaliza].[ReportType].[All]" allUniqueName="[OPEXAnaliza].[ReportType].[All]" dimensionUniqueName="[OPEXAnaliza]" displayFolder="" count="0" memberValueDatatype="130" unbalanced="0"/>
    <cacheHierarchy uniqueName="[OPEXAnaliza].[StavkaImeMK]" caption="StavkaImeMK" attribute="1" defaultMemberUniqueName="[OPEXAnaliza].[StavkaImeMK].[All]" allUniqueName="[OPEXAnaliza].[StavkaImeMK].[All]" dimensionUniqueName="[OPEXAnaliza]" displayFolder="" count="0" memberValueDatatype="130" unbalanced="0"/>
    <cacheHierarchy uniqueName="[OPEXAnaliza].[StavkaKategorija]" caption="StavkaKategorija" attribute="1" defaultMemberUniqueName="[OPEXAnaliza].[StavkaKategorija].[All]" allUniqueName="[OPEXAnaliza].[StavkaKategorija].[All]" dimensionUniqueName="[OPEXAnaliza]" displayFolder="" count="0" memberValueDatatype="130" unbalanced="0"/>
    <cacheHierarchy uniqueName="[OPEXAnaliza].[ObrazecIme]" caption="ObrazecIme" attribute="1" defaultMemberUniqueName="[OPEXAnaliza].[ObrazecIme].[All]" allUniqueName="[OPEXAnaliza].[ObrazecIme].[All]" dimensionUniqueName="[OPEXAnaliza]" displayFolder="" count="0" memberValueDatatype="130" unbalanced="0"/>
    <cacheHierarchy uniqueName="[OPEXAnaliza].[StavkaImeAOP]" caption="StavkaImeAOP" attribute="1" defaultMemberUniqueName="[OPEXAnaliza].[StavkaImeAOP].[All]" allUniqueName="[OPEXAnaliza].[StavkaImeAOP].[All]" dimensionUniqueName="[OPEXAnaliza]" displayFolder="" count="0" memberValueDatatype="20" unbalanced="0"/>
    <cacheHierarchy uniqueName="[OPEXAnaliza].[Период (Year)]" caption="Период (Year)" attribute="1" defaultMemberUniqueName="[OPEXAnaliza].[Период (Year)].[All]" allUniqueName="[OPEXAnaliza].[Период (Year)].[All]" dimensionUniqueName="[OPEXAnaliza]" displayFolder="" count="0" memberValueDatatype="130" unbalanced="0"/>
    <cacheHierarchy uniqueName="[OPEXAnaliza].[Период (Quarter)]" caption="Период (Quarter)" attribute="1" defaultMemberUniqueName="[OPEXAnaliza].[Период (Quarter)].[All]" allUniqueName="[OPEXAnaliza].[Период (Quarter)].[All]" dimensionUniqueName="[OPEXAnaliza]" displayFolder="" count="0" memberValueDatatype="130" unbalanced="0"/>
    <cacheHierarchy uniqueName="[OPEXAnaliza].[Период (Month)]" caption="Период (Month)" attribute="1" defaultMemberUniqueName="[OPEXAnaliza].[Период (Month)].[All]" allUniqueName="[OPEXAnaliza].[Период (Month)].[All]" dimensionUniqueName="[OPEXAnaliza]" displayFolder="" count="0" memberValueDatatype="130" unbalanced="0"/>
    <cacheHierarchy uniqueName="[rArtikli_HR_Analiza].[Ставка]" caption="Ставка" attribute="1" defaultMemberUniqueName="[rArtikli_HR_Analiza].[Ставка].[All]" allUniqueName="[rArtikli_HR_Analiza].[Ставка].[All]" dimensionUniqueName="[rArtikli_HR_Analiza]" displayFolder="" count="0" memberValueDatatype="130" unbalanced="0"/>
    <cacheHierarchy uniqueName="[rArtikli_HR_Analiza].[Категорија Артикл]" caption="Категорија Артикл" attribute="1" defaultMemberUniqueName="[rArtikli_HR_Analiza].[Категорија Артикл].[All]" allUniqueName="[rArtikli_HR_Analiza].[Категорија Артикл].[All]" dimensionUniqueName="[rArtikli_HR_Analiza]" displayFolder="" count="0" memberValueDatatype="130" unbalanced="0"/>
    <cacheHierarchy uniqueName="[rArtikli_HR_Analiza].[Тип на артикл]" caption="Тип на артикл" attribute="1" defaultMemberUniqueName="[rArtikli_HR_Analiza].[Тип на артикл].[All]" allUniqueName="[rArtikli_HR_Analiza].[Тип на артикл].[All]" dimensionUniqueName="[rArtikli_HR_Analiza]" displayFolder="" count="0" memberValueDatatype="130" unbalanced="0"/>
    <cacheHierarchy uniqueName="[rArtikli_HR_Analiza].[Единечна мерка]" caption="Единечна мерка" attribute="1" defaultMemberUniqueName="[rArtikli_HR_Analiza].[Единечна мерка].[All]" allUniqueName="[rArtikli_HR_Analiza].[Единечна мерка].[All]" dimensionUniqueName="[rArtikli_HR_Analiza]" displayFolder="" count="0" memberValueDatatype="130" unbalanced="0"/>
    <cacheHierarchy uniqueName="[rArtikli_HR_Analiza].[Количина]" caption="Количина" attribute="1" defaultMemberUniqueName="[rArtikli_HR_Analiza].[Количина].[All]" allUniqueName="[rArtikli_HR_Analiza].[Количина].[All]" dimensionUniqueName="[rArtikli_HR_Analiza]" displayFolder="" count="0" memberValueDatatype="5" unbalanced="0"/>
    <cacheHierarchy uniqueName="[rArtikli_HR_Analiza].[Единечна цена]" caption="Единечна цена" attribute="1" defaultMemberUniqueName="[rArtikli_HR_Analiza].[Единечна цена].[All]" allUniqueName="[rArtikli_HR_Analiza].[Единечна цена].[All]" dimensionUniqueName="[rArtikli_HR_Analiza]" displayFolder="" count="0" memberValueDatatype="20" unbalanced="0"/>
    <cacheHierarchy uniqueName="[rArtikli_HR_Analiza].[Вкупно трошок]" caption="Вкупно трошок" attribute="1" defaultMemberUniqueName="[rArtikli_HR_Analiza].[Вкупно трошок].[All]" allUniqueName="[rArtikli_HR_Analiza].[Вкупно трошок].[All]" dimensionUniqueName="[rArtikli_HR_Analiza]" displayFolder="" count="0" memberValueDatatype="5" unbalanced="0"/>
    <cacheHierarchy uniqueName="[rArtikli_HR_Analiza].[ДДВ]" caption="ДДВ" attribute="1" defaultMemberUniqueName="[rArtikli_HR_Analiza].[ДДВ].[All]" allUniqueName="[rArtikli_HR_Analiza].[ДДВ].[All]" dimensionUniqueName="[rArtikli_HR_Analiza]" displayFolder="" count="0" memberValueDatatype="5" unbalanced="0"/>
    <cacheHierarchy uniqueName="[rArtikli_HR_Analiza].[Износ]" caption="Износ" attribute="1" defaultMemberUniqueName="[rArtikli_HR_Analiza].[Износ].[All]" allUniqueName="[rArtikli_HR_Analiza].[Износ].[All]" dimensionUniqueName="[rArtikli_HR_Analiza]" displayFolder="" count="0" memberValueDatatype="5" unbalanced="0"/>
    <cacheHierarchy uniqueName="[rArtikli_HR_Analiza].[Конто]" caption="Конто" attribute="1" defaultMemberUniqueName="[rArtikli_HR_Analiza].[Конто].[All]" allUniqueName="[rArtikli_HR_Analiza].[Конто].[All]" dimensionUniqueName="[rArtikli_HR_Analiza]" displayFolder="" count="0" memberValueDatatype="130" unbalanced="0"/>
    <cacheHierarchy uniqueName="[rArtikli_HR_Analiza].[ReportType]" caption="ReportType" attribute="1" defaultMemberUniqueName="[rArtikli_HR_Analiza].[ReportType].[All]" allUniqueName="[rArtikli_HR_Analiza].[ReportType].[All]" dimensionUniqueName="[rArtikli_HR_Analiza]" displayFolder="" count="0" memberValueDatatype="130" unbalanced="0"/>
    <cacheHierarchy uniqueName="[rArtikli_HR_Analiza].[Период]" caption="Период" attribute="1" time="1" defaultMemberUniqueName="[rArtikli_HR_Analiza].[Период].[All]" allUniqueName="[rArtikli_HR_Analiza].[Период].[All]" dimensionUniqueName="[rArtikli_HR_Analiza]" displayFolder="" count="0" memberValueDatatype="7" unbalanced="0"/>
    <cacheHierarchy uniqueName="[rArtikli_HR_Analiza].[StavkaImeMK]" caption="StavkaImeMK" attribute="1" defaultMemberUniqueName="[rArtikli_HR_Analiza].[StavkaImeMK].[All]" allUniqueName="[rArtikli_HR_Analiza].[StavkaImeMK].[All]" dimensionUniqueName="[rArtikli_HR_Analiza]" displayFolder="" count="0" memberValueDatatype="130" unbalanced="0"/>
    <cacheHierarchy uniqueName="[rArtikli_HR_Analiza].[StavkaAOP]" caption="StavkaAOP" attribute="1" defaultMemberUniqueName="[rArtikli_HR_Analiza].[StavkaAOP].[All]" allUniqueName="[rArtikli_HR_Analiza].[StavkaAOP].[All]" dimensionUniqueName="[rArtikli_HR_Analiza]" displayFolder="" count="0" memberValueDatatype="130" unbalanced="0"/>
    <cacheHierarchy uniqueName="[rArtikli_HR_Analiza].[StavkaGrupa]" caption="StavkaGrupa" attribute="1" defaultMemberUniqueName="[rArtikli_HR_Analiza].[StavkaGrupa].[All]" allUniqueName="[rArtikli_HR_Analiza].[StavkaGrupa].[All]" dimensionUniqueName="[rArtikli_HR_Analiza]" displayFolder="" count="0" memberValueDatatype="130" unbalanced="0"/>
    <cacheHierarchy uniqueName="[rArtikli_HR_Analiza].[StavkaKategorija]" caption="StavkaKategorija" attribute="1" defaultMemberUniqueName="[rArtikli_HR_Analiza].[StavkaKategorija].[All]" allUniqueName="[rArtikli_HR_Analiza].[StavkaKategorija].[All]" dimensionUniqueName="[rArtikli_HR_Analiza]" displayFolder="" count="0" memberValueDatatype="130" unbalanced="0"/>
    <cacheHierarchy uniqueName="[rArtikli_HR_Analiza].[ObrazecIme]" caption="ObrazecIme" attribute="1" defaultMemberUniqueName="[rArtikli_HR_Analiza].[ObrazecIme].[All]" allUniqueName="[rArtikli_HR_Analiza].[ObrazecIme].[All]" dimensionUniqueName="[rArtikli_HR_Analiza]" displayFolder="" count="0" memberValueDatatype="130" unbalanced="0"/>
    <cacheHierarchy uniqueName="[rArtikli_HR_Analiza].[StavkaKategorija.1]" caption="StavkaKategorija.1" attribute="1" defaultMemberUniqueName="[rArtikli_HR_Analiza].[StavkaKategorija.1].[All]" allUniqueName="[rArtikli_HR_Analiza].[StavkaKategorija.1].[All]" dimensionUniqueName="[rArtikli_HR_Analiza]" displayFolder="" count="0" memberValueDatatype="130" unbalanced="0"/>
    <cacheHierarchy uniqueName="[rArtikliAnaliza].[Артикл ИД]" caption="Артикл ИД" attribute="1" defaultMemberUniqueName="[rArtikliAnaliza].[Артикл ИД].[All]" allUniqueName="[rArtikliAnaliza].[Артикл ИД].[All]" dimensionUniqueName="[rArtikliAnaliza]" displayFolder="" count="0" memberValueDatatype="20" unbalanced="0"/>
    <cacheHierarchy uniqueName="[rArtikliAnaliza].[Ставка]" caption="Ставка" attribute="1" defaultMemberUniqueName="[rArtikliAnaliza].[Ставка].[All]" allUniqueName="[rArtikliAnaliza].[Ставка].[All]" dimensionUniqueName="[rArtikliAnaliza]" displayFolder="" count="0" memberValueDatatype="130" unbalanced="0"/>
    <cacheHierarchy uniqueName="[rArtikliAnaliza].[Категорија Артикл ИД]" caption="Категорија Артикл ИД" attribute="1" defaultMemberUniqueName="[rArtikliAnaliza].[Категорија Артикл ИД].[All]" allUniqueName="[rArtikliAnaliza].[Категорија Артикл ИД].[All]" dimensionUniqueName="[rArtikliAnaliza]" displayFolder="" count="0" memberValueDatatype="20" unbalanced="0"/>
    <cacheHierarchy uniqueName="[rArtikliAnaliza].[Категорија Артикл]" caption="Категорија Артикл" attribute="1" defaultMemberUniqueName="[rArtikliAnaliza].[Категорија Артикл].[All]" allUniqueName="[rArtikliAnaliza].[Категорија Артикл].[All]" dimensionUniqueName="[rArtikliAnaliza]" displayFolder="" count="0" memberValueDatatype="130" unbalanced="0"/>
    <cacheHierarchy uniqueName="[rArtikliAnaliza].[Тип на артикл]" caption="Тип на артикл" attribute="1" defaultMemberUniqueName="[rArtikliAnaliza].[Тип на артикл].[All]" allUniqueName="[rArtikliAnaliza].[Тип на артикл].[All]" dimensionUniqueName="[rArtikliAnaliza]" displayFolder="" count="0" memberValueDatatype="130" unbalanced="0"/>
    <cacheHierarchy uniqueName="[rArtikliAnaliza].[Единечна мерка]" caption="Единечна мерка" attribute="1" defaultMemberUniqueName="[rArtikliAnaliza].[Единечна мерка].[All]" allUniqueName="[rArtikliAnaliza].[Единечна мерка].[All]" dimensionUniqueName="[rArtikliAnaliza]" displayFolder="" count="0" memberValueDatatype="130" unbalanced="0"/>
    <cacheHierarchy uniqueName="[rArtikliAnaliza].[Количина]" caption="Количина" attribute="1" defaultMemberUniqueName="[rArtikliAnaliza].[Количина].[All]" allUniqueName="[rArtikliAnaliza].[Количина].[All]" dimensionUniqueName="[rArtikliAnaliza]" displayFolder="" count="0" memberValueDatatype="5" unbalanced="0"/>
    <cacheHierarchy uniqueName="[rArtikliAnaliza].[Единечна цена]" caption="Единечна цена" attribute="1" defaultMemberUniqueName="[rArtikliAnaliza].[Единечна цена].[All]" allUniqueName="[rArtikliAnaliza].[Единечна цена].[All]" dimensionUniqueName="[rArtikliAnaliza]" displayFolder="" count="0" memberValueDatatype="20" unbalanced="0"/>
    <cacheHierarchy uniqueName="[rArtikliAnaliza].[Износ]" caption="Износ" attribute="1" defaultMemberUniqueName="[rArtikliAnaliza].[Износ].[All]" allUniqueName="[rArtikliAnaliza].[Износ].[All]" dimensionUniqueName="[rArtikliAnaliza]" displayFolder="" count="0" memberValueDatatype="5" unbalanced="0"/>
    <cacheHierarchy uniqueName="[rArtikliAnaliza].[ДДВ]" caption="ДДВ" attribute="1" defaultMemberUniqueName="[rArtikliAnaliza].[ДДВ].[All]" allUniqueName="[rArtikliAnaliza].[ДДВ].[All]" dimensionUniqueName="[rArtikliAnaliza]" displayFolder="" count="0" memberValueDatatype="5" unbalanced="0"/>
    <cacheHierarchy uniqueName="[rArtikliAnaliza].[Вкупно трошок со ДДВ]" caption="Вкупно трошок со ДДВ" attribute="1" defaultMemberUniqueName="[rArtikliAnaliza].[Вкупно трошок со ДДВ].[All]" allUniqueName="[rArtikliAnaliza].[Вкупно трошок со ДДВ].[All]" dimensionUniqueName="[rArtikliAnaliza]" displayFolder="" count="0" memberValueDatatype="5" unbalanced="0"/>
    <cacheHierarchy uniqueName="[rArtikliAnaliza].[Конто]" caption="Конто" attribute="1" defaultMemberUniqueName="[rArtikliAnaliza].[Конто].[All]" allUniqueName="[rArtikliAnaliza].[Конто].[All]" dimensionUniqueName="[rArtikliAnaliza]" displayFolder="" count="0" memberValueDatatype="130" unbalanced="0"/>
    <cacheHierarchy uniqueName="[rArtikliAnaliza].[Период]" caption="Период" attribute="1" time="1" defaultMemberUniqueName="[rArtikliAnaliza].[Период].[All]" allUniqueName="[rArtikliAnaliza].[Период].[All]" dimensionUniqueName="[rArtikliAnaliza]" displayFolder="" count="0" memberValueDatatype="7" unbalanced="0"/>
    <cacheHierarchy uniqueName="[rArtikliAnaliza].[ReportType]" caption="ReportType" attribute="1" defaultMemberUniqueName="[rArtikliAnaliza].[ReportType].[All]" allUniqueName="[rArtikliAnaliza].[ReportType].[All]" dimensionUniqueName="[rArtikliAnaliza]" displayFolder="" count="0" memberValueDatatype="130" unbalanced="0"/>
    <cacheHierarchy uniqueName="[rArtikliAnaliza].[StavkaImeMK]" caption="StavkaImeMK" attribute="1" defaultMemberUniqueName="[rArtikliAnaliza].[StavkaImeMK].[All]" allUniqueName="[rArtikliAnaliza].[StavkaImeMK].[All]" dimensionUniqueName="[rArtikliAnaliza]" displayFolder="" count="0" memberValueDatatype="130" unbalanced="0"/>
    <cacheHierarchy uniqueName="[rArtikliAnaliza].[StavkaKategorija]" caption="StavkaKategorija" attribute="1" defaultMemberUniqueName="[rArtikliAnaliza].[StavkaKategorija].[All]" allUniqueName="[rArtikliAnaliza].[StavkaKategorija].[All]" dimensionUniqueName="[rArtikliAnaliza]" displayFolder="" count="0" memberValueDatatype="130" unbalanced="0"/>
    <cacheHierarchy uniqueName="[rArtikliAnaliza].[Период (Year)]" caption="Период (Year)" attribute="1" defaultMemberUniqueName="[rArtikliAnaliza].[Период (Year)].[All]" allUniqueName="[rArtikliAnaliza].[Период (Year)].[All]" dimensionUniqueName="[rArtikliAnaliza]" displayFolder="" count="0" memberValueDatatype="130" unbalanced="0"/>
    <cacheHierarchy uniqueName="[rArtikliAnaliza].[Период (Quarter)]" caption="Период (Quarter)" attribute="1" defaultMemberUniqueName="[rArtikliAnaliza].[Период (Quarter)].[All]" allUniqueName="[rArtikliAnaliza].[Период (Quarter)].[All]" dimensionUniqueName="[rArtikliAnaliza]" displayFolder="" count="0" memberValueDatatype="130" unbalanced="0"/>
    <cacheHierarchy uniqueName="[rArtikliAnaliza].[Период (Month)]" caption="Период (Month)" attribute="1" defaultMemberUniqueName="[rArtikliAnaliza].[Период (Month)].[All]" allUniqueName="[rArtikliAnaliza].[Период (Month)].[All]" dimensionUniqueName="[rArtikliAnaliza]" displayFolder="" count="0" memberValueDatatype="130" unbalanced="0"/>
    <cacheHierarchy uniqueName="[CAPEX].[Очекуван датум за ставање во употреба (месец) (Month Index)]" caption="Очекуван датум за ставање во употреба (месец) (Month Index)" attribute="1" defaultMemberUniqueName="[CAPEX].[Очекуван датум за ставање во употреба (месец) (Month Index)].[All]" allUniqueName="[CAPEX].[Очекуван датум за ставање во употреба (месец) (Month Index)].[All]" dimensionUniqueName="[CAPEX]" displayFolder="" count="0" memberValueDatatype="20" unbalanced="0" hidden="1"/>
    <cacheHierarchy uniqueName="[CAPEX].[Очекуван датум на плаќање (Month Index)]" caption="Очекуван датум на плаќање (Month Index)" attribute="1" defaultMemberUniqueName="[CAPEX].[Очекуван датум на плаќање (Month Index)].[All]" allUniqueName="[CAPEX].[Очекуван датум на плаќање (Month Index)].[All]" dimensionUniqueName="[CAPEX]" displayFolder="" count="0" memberValueDatatype="20" unbalanced="0" hidden="1"/>
    <cacheHierarchy uniqueName="[fActualAndBudget].[StavkaID]" caption="StavkaID" attribute="1" defaultMemberUniqueName="[fActualAndBudget].[StavkaID].[All]" allUniqueName="[fActualAndBudget].[StavkaID].[All]" dimensionUniqueName="[fActualAndBudget]" displayFolder="" count="0" memberValueDatatype="20" unbalanced="0" hidden="1"/>
    <cacheHierarchy uniqueName="[fCoveckiResursi].[Период (Month Index)]" caption="Период (Month Index)" attribute="1" defaultMemberUniqueName="[fCoveckiResursi].[Период (Month Index)].[All]" allUniqueName="[fCoveckiResursi].[Период (Month Index)].[All]" dimensionUniqueName="[fCoveckiResursi]" displayFolder="" count="0" memberValueDatatype="20" unbalanced="0" hidden="1"/>
    <cacheHierarchy uniqueName="[fCoveckiResursi].[Период (Month Index) 1]" caption="Период (Month Index) 1" attribute="1" defaultMemberUniqueName="[fCoveckiResursi].[Период (Month Index) 1].[All]" allUniqueName="[fCoveckiResursi].[Период (Month Index) 1].[All]" dimensionUniqueName="[fCoveckiResursi]" displayFolder="" count="0" memberValueDatatype="20" unbalanced="0" hidden="1"/>
    <cacheHierarchy uniqueName="[OPEXAnaliza].[Период (Month Index)]" caption="Период (Month Index)" attribute="1" defaultMemberUniqueName="[OPEXAnaliza].[Период (Month Index)].[All]" allUniqueName="[OPEXAnaliza].[Период (Month Index)].[All]" dimensionUniqueName="[OPEXAnaliza]" displayFolder="" count="0" memberValueDatatype="20" unbalanced="0" hidden="1"/>
    <cacheHierarchy uniqueName="[rArtikli_HR_Analiza].[Крајна состојба вработени]" caption="Крајна состојба вработени" attribute="1" defaultMemberUniqueName="[rArtikli_HR_Analiza].[Крајна состојба вработени].[All]" allUniqueName="[rArtikli_HR_Analiza].[Крајна состојба вработени].[All]" dimensionUniqueName="[rArtikli_HR_Analiza]" displayFolder="" count="0" memberValueDatatype="20" unbalanced="0" hidden="1"/>
    <cacheHierarchy uniqueName="[rArtikli_HR_Analiza].[Планиран прилив/(одлив)]" caption="Планиран прилив/(одлив)" attribute="1" defaultMemberUniqueName="[rArtikli_HR_Analiza].[Планиран прилив/(одлив)].[All]" allUniqueName="[rArtikli_HR_Analiza].[Планиран прилив/(одлив)].[All]" dimensionUniqueName="[rArtikli_HR_Analiza]" displayFolder="" count="0" memberValueDatatype="20" unbalanced="0" hidden="1"/>
    <cacheHierarchy uniqueName="[rArtikli_HR_Analiza].[Тип на вработување]" caption="Тип на вработување" attribute="1" defaultMemberUniqueName="[rArtikli_HR_Analiza].[Тип на вработување].[All]" allUniqueName="[rArtikli_HR_Analiza].[Тип на вработување].[All]" dimensionUniqueName="[rArtikli_HR_Analiza]" displayFolder="" count="0" memberValueDatatype="130" unbalanced="0" hidden="1"/>
    <cacheHierarchy uniqueName="[rArtikliAnaliza].[Период (Month Index)]" caption="Период (Month Index)" attribute="1" defaultMemberUniqueName="[rArtikliAnaliza].[Период (Month Index)].[All]" allUniqueName="[rArtikliAnaliza].[Период (Month Index)].[All]" dimensionUniqueName="[rArtikliAnaliza]" displayFolder="" count="0" memberValueDatatype="20" unbalanced="0" hidden="1"/>
    <cacheHierarchy uniqueName="[Measures].[__XL_Count Calendar]" caption="__XL_Count Calendar" measure="1" displayFolder="" measureGroup="Calendar" count="0" hidden="1"/>
    <cacheHierarchy uniqueName="[Measures].[__XL_Count CAPEX]" caption="__XL_Count CAPEX" measure="1" displayFolder="" measureGroup="CAPEX" count="0" hidden="1"/>
    <cacheHierarchy uniqueName="[Measures].[__XL_Count Amortizacija]" caption="__XL_Count Amortizacija" measure="1" displayFolder="" measureGroup="Amortizacija" count="0" hidden="1"/>
    <cacheHierarchy uniqueName="[Measures].[__XL_Count fCoveckiResursi]" caption="__XL_Count fCoveckiResursi" measure="1" displayFolder="" measureGroup="fCoveckiResursi" count="0" hidden="1"/>
    <cacheHierarchy uniqueName="[Measures].[__XL_Count fActualAndBudget]" caption="__XL_Count fActualAndBudget" measure="1" displayFolder="" measureGroup="fActualAndBudget" count="0" hidden="1"/>
    <cacheHierarchy uniqueName="[Measures].[__XL_Count fOPEX]" caption="__XL_Count fOPEX" measure="1" displayFolder="" measureGroup="fOPEX" count="0" hidden="1"/>
    <cacheHierarchy uniqueName="[Measures].[__XL_Count OPEXAnaliza]" caption="__XL_Count OPEXAnaliza" measure="1" displayFolder="" measureGroup="OPEXAnaliza" count="0" hidden="1"/>
    <cacheHierarchy uniqueName="[Measures].[__XL_Count rArtikliAnaliza]" caption="__XL_Count rArtikliAnaliza" measure="1" displayFolder="" measureGroup="rArtikliAnaliza" count="0" hidden="1"/>
    <cacheHierarchy uniqueName="[Measures].[__XL_Count fArtikliCeni]" caption="__XL_Count fArtikliCeni" measure="1" displayFolder="" measureGroup="fArtikliCeni" count="0" hidden="1"/>
    <cacheHierarchy uniqueName="[Measures].[__XL_Count rArtikli_HR_Analiza]" caption="__XL_Count rArtikli_HR_Analiza" measure="1" displayFolder="" measureGroup="rArtikli_HR_Analiza" count="0" hidden="1"/>
    <cacheHierarchy uniqueName="[Measures].[__XL_Count fCoveckiResursi  2]" caption="__XL_Count fCoveckiResursi  2" measure="1" displayFolder="" measureGroup="fCoveckiResursi  2" count="0" hidden="1"/>
    <cacheHierarchy uniqueName="[Measures].[__No measures defined]" caption="__No measures defined" measure="1" displayFolder="" count="0" hidden="1"/>
    <cacheHierarchy uniqueName="[Measures].[Sum of Износ 3]" caption="Sum of Износ 3" measure="1" displayFolder="" measureGroup="fCoveckiResursi" count="0" hidden="1">
      <extLst>
        <ext xmlns:x15="http://schemas.microsoft.com/office/spreadsheetml/2010/11/main" uri="{B97F6D7D-B522-45F9-BDA1-12C45D357490}">
          <x15:cacheHierarchy aggregatedColumn="71"/>
        </ext>
      </extLst>
    </cacheHierarchy>
    <cacheHierarchy uniqueName="[Measures].[Sum of Крајна состојба вработени]" caption="Sum of Крајна состојба вработени" measure="1" displayFolder="" measureGroup="fCoveckiResursi" count="0" hidden="1">
      <extLst>
        <ext xmlns:x15="http://schemas.microsoft.com/office/spreadsheetml/2010/11/main" uri="{B97F6D7D-B522-45F9-BDA1-12C45D357490}">
          <x15:cacheHierarchy aggregatedColumn="70"/>
        </ext>
      </extLst>
    </cacheHierarchy>
    <cacheHierarchy uniqueName="[Measures].[Sum of Планиран прилив/(одлив)]" caption="Sum of Планиран прилив/(одлив)" measure="1" displayFolder="" measureGroup="fCoveckiResursi" count="0" hidden="1">
      <extLst>
        <ext xmlns:x15="http://schemas.microsoft.com/office/spreadsheetml/2010/11/main" uri="{B97F6D7D-B522-45F9-BDA1-12C45D357490}">
          <x15:cacheHierarchy aggregatedColumn="68"/>
        </ext>
      </extLst>
    </cacheHierarchy>
    <cacheHierarchy uniqueName="[Measures].[Sum of Износ]" caption="Sum of Износ" measure="1" displayFolder="" measureGroup="fActualAndBudget" count="0" oneField="1" hidden="1">
      <fieldsUsage count="1">
        <fieldUsage x="6"/>
      </fieldsUsage>
      <extLst>
        <ext xmlns:x15="http://schemas.microsoft.com/office/spreadsheetml/2010/11/main" uri="{B97F6D7D-B522-45F9-BDA1-12C45D357490}">
          <x15:cacheHierarchy aggregatedColumn="45"/>
        </ext>
      </extLst>
    </cacheHierarchy>
    <cacheHierarchy uniqueName="[Measures].[Sum of Износ (илјади)]" caption="Sum of Износ (илјади)" measure="1" displayFolder="" measureGroup="fActualAndBudget" count="0" hidden="1">
      <extLst>
        <ext xmlns:x15="http://schemas.microsoft.com/office/spreadsheetml/2010/11/main" uri="{B97F6D7D-B522-45F9-BDA1-12C45D357490}">
          <x15:cacheHierarchy aggregatedColumn="46"/>
        </ext>
      </extLst>
    </cacheHierarchy>
    <cacheHierarchy uniqueName="[Measures].[Sum of Износ1]" caption="Sum of Износ1" measure="1" displayFolder="" measureGroup="fActualAndBudget" count="0" hidden="1">
      <extLst>
        <ext xmlns:x15="http://schemas.microsoft.com/office/spreadsheetml/2010/11/main" uri="{B97F6D7D-B522-45F9-BDA1-12C45D357490}">
          <x15:cacheHierarchy aggregatedColumn="34"/>
        </ext>
      </extLst>
    </cacheHierarchy>
    <cacheHierarchy uniqueName="[Measures].[Sum of Износ 2]" caption="Sum of Износ 2" measure="1" displayFolder="" measureGroup="Amortizacija" count="0" hidden="1">
      <extLst>
        <ext xmlns:x15="http://schemas.microsoft.com/office/spreadsheetml/2010/11/main" uri="{B97F6D7D-B522-45F9-BDA1-12C45D357490}">
          <x15:cacheHierarchy aggregatedColumn="3"/>
        </ext>
      </extLst>
    </cacheHierarchy>
    <cacheHierarchy uniqueName="[Measures].[Sum of Износ 4]" caption="Sum of Износ 4" measure="1" displayFolder="" measureGroup="OPEXAnaliza" count="0" hidden="1">
      <extLst>
        <ext xmlns:x15="http://schemas.microsoft.com/office/spreadsheetml/2010/11/main" uri="{B97F6D7D-B522-45F9-BDA1-12C45D357490}">
          <x15:cacheHierarchy aggregatedColumn="101"/>
        </ext>
      </extLst>
    </cacheHierarchy>
    <cacheHierarchy uniqueName="[Measures].[Sum of Износ донација]" caption="Sum of Износ донација" measure="1" displayFolder="" measureGroup="CAPEX" count="0" hidden="1">
      <extLst>
        <ext xmlns:x15="http://schemas.microsoft.com/office/spreadsheetml/2010/11/main" uri="{B97F6D7D-B522-45F9-BDA1-12C45D357490}">
          <x15:cacheHierarchy aggregatedColumn="24"/>
        </ext>
      </extLst>
    </cacheHierarchy>
    <cacheHierarchy uniqueName="[Measures].[Sum of Вкупно трошок]" caption="Sum of Вкупно трошок" measure="1" displayFolder="" measureGroup="fArtikliCeni" count="0" hidden="1">
      <extLst>
        <ext xmlns:x15="http://schemas.microsoft.com/office/spreadsheetml/2010/11/main" uri="{B97F6D7D-B522-45F9-BDA1-12C45D357490}">
          <x15:cacheHierarchy aggregatedColumn="55"/>
        </ext>
      </extLst>
    </cacheHierarchy>
    <cacheHierarchy uniqueName="[Measures].[Sum of Количина]" caption="Sum of Количина" measure="1" displayFolder="" measureGroup="fArtikliCeni" count="0" hidden="1">
      <extLst>
        <ext xmlns:x15="http://schemas.microsoft.com/office/spreadsheetml/2010/11/main" uri="{B97F6D7D-B522-45F9-BDA1-12C45D357490}">
          <x15:cacheHierarchy aggregatedColumn="53"/>
        </ext>
      </extLst>
    </cacheHierarchy>
    <cacheHierarchy uniqueName="[Measures].[Sum of Единечна цена]" caption="Sum of Единечна цена" measure="1" displayFolder="" measureGroup="fArtikliCeni" count="0" hidden="1">
      <extLst>
        <ext xmlns:x15="http://schemas.microsoft.com/office/spreadsheetml/2010/11/main" uri="{B97F6D7D-B522-45F9-BDA1-12C45D357490}">
          <x15:cacheHierarchy aggregatedColumn="54"/>
        </ext>
      </extLst>
    </cacheHierarchy>
    <cacheHierarchy uniqueName="[Measures].[Sum of ДДВ]" caption="Sum of ДДВ" measure="1" displayFolder="" measureGroup="fArtikliCeni" count="0" hidden="1">
      <extLst>
        <ext xmlns:x15="http://schemas.microsoft.com/office/spreadsheetml/2010/11/main" uri="{B97F6D7D-B522-45F9-BDA1-12C45D357490}">
          <x15:cacheHierarchy aggregatedColumn="56"/>
        </ext>
      </extLst>
    </cacheHierarchy>
    <cacheHierarchy uniqueName="[Measures].[Sum of Износ 6]" caption="Sum of Износ 6" measure="1" displayFolder="" measureGroup="fArtikliCeni" count="0" hidden="1">
      <extLst>
        <ext xmlns:x15="http://schemas.microsoft.com/office/spreadsheetml/2010/11/main" uri="{B97F6D7D-B522-45F9-BDA1-12C45D357490}">
          <x15:cacheHierarchy aggregatedColumn="57"/>
        </ext>
      </extLst>
    </cacheHierarchy>
    <cacheHierarchy uniqueName="[Measures].[Count of Единечна мерка]" caption="Count of Единечна мерка" measure="1" displayFolder="" measureGroup="fArtikliCeni" count="0" hidden="1">
      <extLst>
        <ext xmlns:x15="http://schemas.microsoft.com/office/spreadsheetml/2010/11/main" uri="{B97F6D7D-B522-45F9-BDA1-12C45D357490}">
          <x15:cacheHierarchy aggregatedColumn="52"/>
        </ext>
      </extLst>
    </cacheHierarchy>
    <cacheHierarchy uniqueName="[Measures].[Sum of Количина 2]" caption="Sum of Количина 2" measure="1" displayFolder="" measureGroup="rArtikli_HR_Analiza" count="0" hidden="1">
      <extLst>
        <ext xmlns:x15="http://schemas.microsoft.com/office/spreadsheetml/2010/11/main" uri="{B97F6D7D-B522-45F9-BDA1-12C45D357490}">
          <x15:cacheHierarchy aggregatedColumn="118"/>
        </ext>
      </extLst>
    </cacheHierarchy>
    <cacheHierarchy uniqueName="[Measures].[Sum of Единечна цена 2]" caption="Sum of Единечна цена 2" measure="1" displayFolder="" measureGroup="rArtikli_HR_Analiza" count="0" hidden="1">
      <extLst>
        <ext xmlns:x15="http://schemas.microsoft.com/office/spreadsheetml/2010/11/main" uri="{B97F6D7D-B522-45F9-BDA1-12C45D357490}">
          <x15:cacheHierarchy aggregatedColumn="119"/>
        </ext>
      </extLst>
    </cacheHierarchy>
    <cacheHierarchy uniqueName="[Measures].[Sum of Вкупно трошок 2]" caption="Sum of Вкупно трошок 2" measure="1" displayFolder="" measureGroup="rArtikli_HR_Analiza" count="0" hidden="1">
      <extLst>
        <ext xmlns:x15="http://schemas.microsoft.com/office/spreadsheetml/2010/11/main" uri="{B97F6D7D-B522-45F9-BDA1-12C45D357490}">
          <x15:cacheHierarchy aggregatedColumn="120"/>
        </ext>
      </extLst>
    </cacheHierarchy>
    <cacheHierarchy uniqueName="[Measures].[Sum of ДДВ 2]" caption="Sum of ДДВ 2" measure="1" displayFolder="" measureGroup="rArtikli_HR_Analiza" count="0" hidden="1">
      <extLst>
        <ext xmlns:x15="http://schemas.microsoft.com/office/spreadsheetml/2010/11/main" uri="{B97F6D7D-B522-45F9-BDA1-12C45D357490}">
          <x15:cacheHierarchy aggregatedColumn="121"/>
        </ext>
      </extLst>
    </cacheHierarchy>
    <cacheHierarchy uniqueName="[Measures].[Sum of Износ 7]" caption="Sum of Износ 7" measure="1" displayFolder="" measureGroup="rArtikli_HR_Analiza" count="0" hidden="1">
      <extLst>
        <ext xmlns:x15="http://schemas.microsoft.com/office/spreadsheetml/2010/11/main" uri="{B97F6D7D-B522-45F9-BDA1-12C45D357490}">
          <x15:cacheHierarchy aggregatedColumn="122"/>
        </ext>
      </extLst>
    </cacheHierarchy>
    <cacheHierarchy uniqueName="[Measures].[Sum of Износ 5]" caption="Sum of Износ 5" measure="1" displayFolder="" measureGroup="fCoveckiResursi  2" count="0" hidden="1">
      <extLst>
        <ext xmlns:x15="http://schemas.microsoft.com/office/spreadsheetml/2010/11/main" uri="{B97F6D7D-B522-45F9-BDA1-12C45D357490}">
          <x15:cacheHierarchy aggregatedColumn="82"/>
        </ext>
      </extLst>
    </cacheHierarchy>
    <cacheHierarchy uniqueName="[Measures].[Sum of Проценета вредност на набавка со ДДВ (денари)]" caption="Sum of Проценета вредност на набавка со ДДВ (денари)" measure="1" displayFolder="" measureGroup="CAPEX" count="0" hidden="1">
      <extLst>
        <ext xmlns:x15="http://schemas.microsoft.com/office/spreadsheetml/2010/11/main" uri="{B97F6D7D-B522-45F9-BDA1-12C45D357490}">
          <x15:cacheHierarchy aggregatedColumn="20"/>
        </ext>
      </extLst>
    </cacheHierarchy>
  </cacheHierarchies>
  <kpis count="0"/>
  <dimensions count="12">
    <dimension name="Amortizacija" uniqueName="[Amortizacija]" caption="Amortizacija"/>
    <dimension name="Calendar" uniqueName="[Calendar]" caption="Calendar"/>
    <dimension name="CAPEX" uniqueName="[CAPEX]" caption="CAPEX"/>
    <dimension name="fActualAndBudget" uniqueName="[fActualAndBudget]" caption="fActualAndBudget"/>
    <dimension name="fArtikliCeni" uniqueName="[fArtikliCeni]" caption="fArtikliCeni"/>
    <dimension name="fCoveckiResursi" uniqueName="[fCoveckiResursi]" caption="fCoveckiResursi"/>
    <dimension name="fCoveckiResursi  2" uniqueName="[fCoveckiResursi  2]" caption="fCoveckiResursi  2"/>
    <dimension name="fOPEX" uniqueName="[fOPEX]" caption="fOPEX"/>
    <dimension measure="1" name="Measures" uniqueName="[Measures]" caption="Measures"/>
    <dimension name="OPEXAnaliza" uniqueName="[OPEXAnaliza]" caption="OPEXAnaliza"/>
    <dimension name="rArtikli_HR_Analiza" uniqueName="[rArtikli_HR_Analiza]" caption="rArtikli_HR_Analiza"/>
    <dimension name="rArtikliAnaliza" uniqueName="[rArtikliAnaliza]" caption="rArtikliAnaliza"/>
  </dimensions>
  <measureGroups count="11">
    <measureGroup name="Amortizacija" caption="Amortizacija"/>
    <measureGroup name="Calendar" caption="Calendar"/>
    <measureGroup name="CAPEX" caption="CAPEX"/>
    <measureGroup name="fActualAndBudget" caption="fActualAndBudget"/>
    <measureGroup name="fArtikliCeni" caption="fArtikliCeni"/>
    <measureGroup name="fCoveckiResursi" caption="fCoveckiResursi"/>
    <measureGroup name="fCoveckiResursi  2" caption="fCoveckiResursi  2"/>
    <measureGroup name="fOPEX" caption="fOPEX"/>
    <measureGroup name="OPEXAnaliza" caption="OPEXAnaliza"/>
    <measureGroup name="rArtikli_HR_Analiza" caption="rArtikli_HR_Analiza"/>
    <measureGroup name="rArtikliAnaliza" caption="rArtikliAnaliza"/>
  </measureGroups>
  <maps count="19">
    <map measureGroup="0" dimension="0"/>
    <map measureGroup="0" dimension="1"/>
    <map measureGroup="1" dimension="1"/>
    <map measureGroup="2" dimension="1"/>
    <map measureGroup="2" dimension="2"/>
    <map measureGroup="3" dimension="1"/>
    <map measureGroup="3" dimension="3"/>
    <map measureGroup="4" dimension="4"/>
    <map measureGroup="5" dimension="1"/>
    <map measureGroup="5" dimension="5"/>
    <map measureGroup="6" dimension="1"/>
    <map measureGroup="6" dimension="6"/>
    <map measureGroup="7" dimension="1"/>
    <map measureGroup="7" dimension="7"/>
    <map measureGroup="8" dimension="1"/>
    <map measureGroup="8" dimension="9"/>
    <map measureGroup="9" dimension="10"/>
    <map measureGroup="10" dimension="1"/>
    <map measureGroup="10" dimension="1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ngela Sazdova - Doneva" refreshedDate="44899.978493171293" createdVersion="5" refreshedVersion="6" minRefreshableVersion="3" recordCount="0" supportSubquery="1" supportAdvancedDrill="1" xr:uid="{00000000-000A-0000-FFFF-FFFF07000000}">
  <cacheSource type="external" connectionId="22"/>
  <cacheFields count="10">
    <cacheField name="[Calendar].[Date Hierarchy].[Year]" caption="Year" numFmtId="0" hierarchy="7" level="1">
      <sharedItems containsSemiMixedTypes="0" containsNonDate="0" containsString="0"/>
    </cacheField>
    <cacheField name="[Calendar].[Date Hierarchy].[Month]" caption="Month" numFmtId="0" hierarchy="7" level="2">
      <sharedItems containsSemiMixedTypes="0" containsNonDate="0" containsString="0"/>
    </cacheField>
    <cacheField name="[Calendar].[Date Hierarchy].[DateColumn]" caption="DateColumn" numFmtId="0" hierarchy="7" level="3">
      <sharedItems containsSemiMixedTypes="0" containsNonDate="0" containsString="0"/>
    </cacheField>
    <cacheField name="[Calendar].[Година].[Година]" caption="Година" numFmtId="0" hierarchy="8" level="1">
      <sharedItems containsSemiMixedTypes="0" containsString="0" containsNumber="1" containsInteger="1" minValue="2019" maxValue="2021" count="3">
        <n v="2019"/>
        <n v="2020"/>
        <n v="2021"/>
      </sharedItems>
      <extLst>
        <ext xmlns:x15="http://schemas.microsoft.com/office/spreadsheetml/2010/11/main" uri="{4F2E5C28-24EA-4eb8-9CBF-B6C8F9C3D259}">
          <x15:cachedUniqueNames>
            <x15:cachedUniqueName index="0" name="[Calendar].[Година].&amp;[2019]"/>
            <x15:cachedUniqueName index="1" name="[Calendar].[Година].&amp;[2020]"/>
            <x15:cachedUniqueName index="2" name="[Calendar].[Година].&amp;[2021]"/>
          </x15:cachedUniqueNames>
        </ext>
      </extLst>
    </cacheField>
    <cacheField name="[fActualAndBudget].[ObrazecIme].[ObrazecIme]" caption="ObrazecIme" numFmtId="0" hierarchy="44" level="1">
      <sharedItems containsSemiMixedTypes="0" containsNonDate="0" containsString="0"/>
    </cacheField>
    <cacheField name="[rArtikliAnaliza].[Период (Year)].[Период (Year)]" caption="Период (Year)" numFmtId="0" hierarchy="148" level="1">
      <sharedItems containsSemiMixedTypes="0" containsNonDate="0" containsString="0"/>
    </cacheField>
    <cacheField name="[fArtikliCeni].[ObrazecIme].[ObrazecIme]" caption="ObrazecIme" numFmtId="0" hierarchy="65" level="1">
      <sharedItems containsSemiMixedTypes="0" containsNonDate="0" containsString="0"/>
    </cacheField>
    <cacheField name="[rArtikli_HR_Analiza].[Период].[Период]" caption="Период" numFmtId="0" hierarchy="125" level="1">
      <sharedItems containsSemiMixedTypes="0" containsNonDate="0" containsString="0"/>
    </cacheField>
    <cacheField name="[rArtikli_HR_Analiza].[ObrazecIme].[ObrazecIme]" caption="ObrazecIme" numFmtId="0" hierarchy="130" level="1">
      <sharedItems containsSemiMixedTypes="0" containsNonDate="0" containsString="0"/>
    </cacheField>
    <cacheField name="[rArtikli_HR_Analiza].[StavkaKategorija.1].[StavkaKategorija.1]" caption="StavkaKategorija.1" numFmtId="0" hierarchy="131" level="1">
      <sharedItems count="2">
        <s v="2.32. Потрошени суровини и материјали"/>
        <s v="2.37. Останати оперативни расходи"/>
      </sharedItems>
    </cacheField>
  </cacheFields>
  <cacheHierarchies count="195">
    <cacheHierarchy uniqueName="[Amortizacija].[Број на јавна набавка (план)]" caption="Број на јавна набавка (план)" attribute="1" defaultMemberUniqueName="[Amortizacija].[Број на јавна набавка (план)].[All]" allUniqueName="[Amortizacija].[Број на јавна набавка (план)].[All]" dimensionUniqueName="[Amortizacija]" displayFolder="" count="0" memberValueDatatype="130" unbalanced="0"/>
    <cacheHierarchy uniqueName="[Amortizacija].[Ставка]" caption="Ставка" attribute="1" defaultMemberUniqueName="[Amortizacija].[Ставка].[All]" allUniqueName="[Amortizacija].[Ставка].[All]" dimensionUniqueName="[Amortizacija]" displayFolder="" count="0" memberValueDatatype="130" unbalanced="0"/>
    <cacheHierarchy uniqueName="[Amortizacija].[Период]" caption="Период" attribute="1" time="1" defaultMemberUniqueName="[Amortizacija].[Период].[All]" allUniqueName="[Amortizacija].[Период].[All]" dimensionUniqueName="[Amortizacija]" displayFolder="" count="0" memberValueDatatype="7" unbalanced="0"/>
    <cacheHierarchy uniqueName="[Amortizacija].[Износ]" caption="Износ" attribute="1" defaultMemberUniqueName="[Amortizacija].[Износ].[All]" allUniqueName="[Amortizacija].[Износ].[All]" dimensionUniqueName="[Amortizacija]" displayFolder="" count="0" memberValueDatatype="20" unbalanced="0"/>
    <cacheHierarchy uniqueName="[Amortizacija].[Конто]" caption="Конто" attribute="1" defaultMemberUniqueName="[Amortizacija].[Конто].[All]" allUniqueName="[Amortizacija].[Конто].[All]" dimensionUniqueName="[Amortizacija]" displayFolder="" count="0" memberValueDatatype="130" unbalanced="0"/>
    <cacheHierarchy uniqueName="[Amortizacija].[ReportType]" caption="ReportType" attribute="1" defaultMemberUniqueName="[Amortizacija].[ReportType].[All]" allUniqueName="[Amortizacija].[ReportType].[All]" dimensionUniqueName="[Amortizacija]" displayFolder="" count="0" memberValueDatatype="130" unbalanced="0"/>
    <cacheHierarchy uniqueName="[Calendar].[Date]" caption="Date" attribute="1" time="1" keyAttribute="1" defaultMemberUniqueName="[Calendar].[Date].[All]" allUniqueName="[Calendar].[Date].[All]" dimensionUniqueName="[Calendar]" displayFolder="" count="0" memberValueDatatype="7" unbalanced="0"/>
    <cacheHierarchy uniqueName="[Calendar].[Date Hierarchy]" caption="Date Hierarchy" time="1" defaultMemberUniqueName="[Calendar].[Date Hierarchy].[All]" allUniqueName="[Calendar].[Date Hierarchy].[All]" dimensionUniqueName="[Calendar]" displayFolder="" count="4" unbalanced="0">
      <fieldsUsage count="4">
        <fieldUsage x="-1"/>
        <fieldUsage x="0"/>
        <fieldUsage x="1"/>
        <fieldUsage x="2"/>
      </fieldsUsage>
    </cacheHierarchy>
    <cacheHierarchy uniqueName="[Calendar].[Година]" caption="Година" attribute="1" time="1" defaultMemberUniqueName="[Calendar].[Година].[All]" allUniqueName="[Calendar].[Година].[All]" dimensionUniqueName="[Calendar]" displayFolder="" count="2" memberValueDatatype="20" unbalanced="0">
      <fieldsUsage count="2">
        <fieldUsage x="-1"/>
        <fieldUsage x="3"/>
      </fieldsUsage>
    </cacheHierarchy>
    <cacheHierarchy uniqueName="[Calendar].[Month Number]" caption="Month Number" attribute="1" time="1" defaultMemberUniqueName="[Calendar].[Month Number].[All]" allUniqueName="[Calendar].[Month Number].[All]" dimensionUniqueName="[Calendar]" displayFolder="" count="0" memberValueDatatype="20" unbalanced="0"/>
    <cacheHierarchy uniqueName="[Calendar].[Месец]" caption="Месец" attribute="1" time="1" defaultMemberUniqueName="[Calendar].[Месец].[All]" allUniqueName="[Calendar].[Месец].[All]" dimensionUniqueName="[Calendar]" displayFolder="" count="0" memberValueDatatype="130" unbalanced="0"/>
    <cacheHierarchy uniqueName="[Calendar].[MMM-YYYY]" caption="MMM-YYYY" attribute="1" time="1" defaultMemberUniqueName="[Calendar].[MMM-YYYY].[All]" allUniqueName="[Calendar].[MMM-YYYY].[All]" dimensionUniqueName="[Calendar]" displayFolder="" count="0" memberValueDatatype="130" unbalanced="0"/>
    <cacheHierarchy uniqueName="[Calendar].[Day Of Week Number]" caption="Day Of Week Number" attribute="1" time="1" defaultMemberUniqueName="[Calendar].[Day Of Week Number].[All]" allUniqueName="[Calendar].[Day Of Week Number].[All]" dimensionUniqueName="[Calendar]" displayFolder="" count="0" memberValueDatatype="20" unbalanced="0"/>
    <cacheHierarchy uniqueName="[Calendar].[Day Of Week]" caption="Day Of Week" attribute="1" time="1" defaultMemberUniqueName="[Calendar].[Day Of Week].[All]" allUniqueName="[Calendar].[Day Of Week].[All]" dimensionUniqueName="[Calendar]" displayFolder="" count="0" memberValueDatatype="130" unbalanced="0"/>
    <cacheHierarchy uniqueName="[Calendar].[Квартал]" caption="Квартал" attribute="1" time="1" defaultMemberUniqueName="[Calendar].[Квартал].[All]" allUniqueName="[Calendar].[Квартал].[All]" dimensionUniqueName="[Calendar]" displayFolder="" count="0" memberValueDatatype="7" unbalanced="0"/>
    <cacheHierarchy uniqueName="[CAPEX].[Година за реализација на проект]" caption="Година за реализација на проект" attribute="1" defaultMemberUniqueName="[CAPEX].[Година за реализација на проект].[All]" allUniqueName="[CAPEX].[Година за реализација на проект].[All]" dimensionUniqueName="[CAPEX]" displayFolder="" count="0" memberValueDatatype="20" unbalanced="0"/>
    <cacheHierarchy uniqueName="[CAPEX].[Број на јавна набавка (план)]" caption="Број на јавна набавка (план)" attribute="1" defaultMemberUniqueName="[CAPEX].[Број на јавна набавка (план)].[All]" allUniqueName="[CAPEX].[Број на јавна набавка (план)].[All]" dimensionUniqueName="[CAPEX]" displayFolder="" count="0" memberValueDatatype="130" unbalanced="0"/>
    <cacheHierarchy uniqueName="[CAPEX].[Предмет на договорот за јавна набавка]" caption="Предмет на договорот за јавна набавка" attribute="1" defaultMemberUniqueName="[CAPEX].[Предмет на договорот за јавна набавка].[All]" allUniqueName="[CAPEX].[Предмет на договорот за јавна набавка].[All]" dimensionUniqueName="[CAPEX]" displayFolder="" count="0" memberValueDatatype="130" unbalanced="0"/>
    <cacheHierarchy uniqueName="[CAPEX].[Очекуван датум на плаќање]" caption="Очекуван датум на плаќање" attribute="1" time="1" defaultMemberUniqueName="[CAPEX].[Очекуван датум на плаќање].[All]" allUniqueName="[CAPEX].[Очекуван датум на плаќање].[All]" dimensionUniqueName="[CAPEX]" displayFolder="" count="0" memberValueDatatype="7" unbalanced="0"/>
    <cacheHierarchy uniqueName="[CAPEX].[Очекуван датум за ставање во употреба (месец)]" caption="Очекуван датум за ставање во употреба (месец)" attribute="1" time="1" defaultMemberUniqueName="[CAPEX].[Очекуван датум за ставање во употреба (месец)].[All]" allUniqueName="[CAPEX].[Очекуван датум за ставање во употреба (месец)].[All]" dimensionUniqueName="[CAPEX]" displayFolder="" count="0" memberValueDatatype="7" unbalanced="0"/>
    <cacheHierarchy uniqueName="[CAPEX].[Проценета вредност на набавка со ДДВ (денари)]" caption="Проценета вредност на набавка со ДДВ (денари)" attribute="1" defaultMemberUniqueName="[CAPEX].[Проценета вредност на набавка со ДДВ (денари)].[All]" allUniqueName="[CAPEX].[Проценета вредност на набавка со ДДВ (денари)].[All]" dimensionUniqueName="[CAPEX]" displayFolder="" count="0" memberValueDatatype="20" unbalanced="0"/>
    <cacheHierarchy uniqueName="[CAPEX].[Стапка на амортизација]" caption="Стапка на амортизација" attribute="1" defaultMemberUniqueName="[CAPEX].[Стапка на амортизација].[All]" allUniqueName="[CAPEX].[Стапка на амортизација].[All]" dimensionUniqueName="[CAPEX]" displayFolder="" count="0" memberValueDatatype="5" unbalanced="0"/>
    <cacheHierarchy uniqueName="[CAPEX].[Конто Средства]" caption="Конто Средства" attribute="1" defaultMemberUniqueName="[CAPEX].[Конто Средства].[All]" allUniqueName="[CAPEX].[Конто Средства].[All]" dimensionUniqueName="[CAPEX]" displayFolder="" count="0" memberValueDatatype="130" unbalanced="0"/>
    <cacheHierarchy uniqueName="[CAPEX].[Конто Амортизација]" caption="Конто Амортизација" attribute="1" defaultMemberUniqueName="[CAPEX].[Конто Амортизација].[All]" allUniqueName="[CAPEX].[Конто Амортизација].[All]" dimensionUniqueName="[CAPEX]" displayFolder="" count="0" memberValueDatatype="130" unbalanced="0"/>
    <cacheHierarchy uniqueName="[CAPEX].[Износ донација]" caption="Износ донација" attribute="1" defaultMemberUniqueName="[CAPEX].[Износ донација].[All]" allUniqueName="[CAPEX].[Износ донација].[All]" dimensionUniqueName="[CAPEX]" displayFolder="" count="0" memberValueDatatype="20" unbalanced="0"/>
    <cacheHierarchy uniqueName="[CAPEX].[Очекуван датум на плаќање (Year)]" caption="Очекуван датум на плаќање (Year)" attribute="1" defaultMemberUniqueName="[CAPEX].[Очекуван датум на плаќање (Year)].[All]" allUniqueName="[CAPEX].[Очекуван датум на плаќање (Year)].[All]" dimensionUniqueName="[CAPEX]" displayFolder="" count="0" memberValueDatatype="130" unbalanced="0"/>
    <cacheHierarchy uniqueName="[CAPEX].[Очекуван датум на плаќање (Quarter)]" caption="Очекуван датум на плаќање (Quarter)" attribute="1" defaultMemberUniqueName="[CAPEX].[Очекуван датум на плаќање (Quarter)].[All]" allUniqueName="[CAPEX].[Очекуван датум на плаќање (Quarter)].[All]" dimensionUniqueName="[CAPEX]" displayFolder="" count="0" memberValueDatatype="130" unbalanced="0"/>
    <cacheHierarchy uniqueName="[CAPEX].[Очекуван датум на плаќање (Month)]" caption="Очекуван датум на плаќање (Month)" attribute="1" defaultMemberUniqueName="[CAPEX].[Очекуван датум на плаќање (Month)].[All]" allUniqueName="[CAPEX].[Очекуван датум на плаќање (Month)].[All]" dimensionUniqueName="[CAPEX]" displayFolder="" count="0" memberValueDatatype="130" unbalanced="0"/>
    <cacheHierarchy uniqueName="[CAPEX].[Очекуван датум за ставање во употреба (месец) (Year)]" caption="Очекуван датум за ставање во употреба (месец) (Year)" attribute="1" defaultMemberUniqueName="[CAPEX].[Очекуван датум за ставање во употреба (месец) (Year)].[All]" allUniqueName="[CAPEX].[Очекуван датум за ставање во употреба (месец) (Year)].[All]" dimensionUniqueName="[CAPEX]" displayFolder="" count="0" memberValueDatatype="130" unbalanced="0"/>
    <cacheHierarchy uniqueName="[CAPEX].[Очекуван датум за ставање во употреба (месец) (Quarter)]" caption="Очекуван датум за ставање во употреба (месец) (Quarter)" attribute="1" defaultMemberUniqueName="[CAPEX].[Очекуван датум за ставање во употреба (месец) (Quarter)].[All]" allUniqueName="[CAPEX].[Очекуван датум за ставање во употреба (месец) (Quarter)].[All]" dimensionUniqueName="[CAPEX]" displayFolder="" count="0" memberValueDatatype="130" unbalanced="0"/>
    <cacheHierarchy uniqueName="[CAPEX].[Очекуван датум за ставање во употреба (месец) (Month)]" caption="Очекуван датум за ставање во употреба (месец) (Month)" attribute="1" defaultMemberUniqueName="[CAPEX].[Очекуван датум за ставање во употреба (месец) (Month)].[All]" allUniqueName="[CAPEX].[Очекуван датум за ставање во употреба (месец) (Month)].[All]" dimensionUniqueName="[CAPEX]" displayFolder="" count="0" memberValueDatatype="130" unbalanced="0"/>
    <cacheHierarchy uniqueName="[fActualAndBudget].[Конто]" caption="Конто" attribute="1" defaultMemberUniqueName="[fActualAndBudget].[Конто].[All]" allUniqueName="[fActualAndBudget].[Конто].[All]" dimensionUniqueName="[fActualAndBudget]" displayFolder="" count="0" memberValueDatatype="130" unbalanced="0"/>
    <cacheHierarchy uniqueName="[fActualAndBudget].[Назив на конто]" caption="Назив на конто" attribute="1" defaultMemberUniqueName="[fActualAndBudget].[Назив на конто].[All]" allUniqueName="[fActualAndBudget].[Назив на конто].[All]" dimensionUniqueName="[fActualAndBudget]" displayFolder="" count="0" memberValueDatatype="130" unbalanced="0"/>
    <cacheHierarchy uniqueName="[fActualAndBudget].[Период]" caption="Период" attribute="1" time="1" defaultMemberUniqueName="[fActualAndBudget].[Период].[All]" allUniqueName="[fActualAndBudget].[Период].[All]" dimensionUniqueName="[fActualAndBudget]" displayFolder="" count="0" memberValueDatatype="7" unbalanced="0"/>
    <cacheHierarchy uniqueName="[fActualAndBudget].[Износ1]" caption="Износ1" attribute="1" defaultMemberUniqueName="[fActualAndBudget].[Износ1].[All]" allUniqueName="[fActualAndBudget].[Износ1].[All]" dimensionUniqueName="[fActualAndBudget]" displayFolder="" count="0" memberValueDatatype="20" unbalanced="0"/>
    <cacheHierarchy uniqueName="[fActualAndBudget].[ReportType]" caption="ReportType" attribute="1" defaultMemberUniqueName="[fActualAndBudget].[ReportType].[All]" allUniqueName="[fActualAndBudget].[ReportType].[All]" dimensionUniqueName="[fActualAndBudget]" displayFolder="" count="0" memberValueDatatype="130" unbalanced="0"/>
    <cacheHierarchy uniqueName="[fActualAndBudget].[Ставка]" caption="Ставка" attribute="1" defaultMemberUniqueName="[fActualAndBudget].[Ставка].[All]" allUniqueName="[fActualAndBudget].[Ставка].[All]" dimensionUniqueName="[fActualAndBudget]" displayFolder="" count="0" memberValueDatatype="130" unbalanced="0"/>
    <cacheHierarchy uniqueName="[fActualAndBudget].[Број на јавна набавка (план)]" caption="Број на јавна набавка (план)" attribute="1" defaultMemberUniqueName="[fActualAndBudget].[Број на јавна набавка (план)].[All]" allUniqueName="[fActualAndBudget].[Број на јавна набавка (план)].[All]" dimensionUniqueName="[fActualAndBudget]" displayFolder="" count="0" memberValueDatatype="130" unbalanced="0"/>
    <cacheHierarchy uniqueName="[fActualAndBudget].[StavkaImeMK]" caption="StavkaImeMK" attribute="1" defaultMemberUniqueName="[fActualAndBudget].[StavkaImeMK].[All]" allUniqueName="[fActualAndBudget].[StavkaImeMK].[All]" dimensionUniqueName="[fActualAndBudget]" displayFolder="" count="0" memberValueDatatype="130" unbalanced="0"/>
    <cacheHierarchy uniqueName="[fActualAndBudget].[StavkaGrupa]" caption="StavkaGrupa" attribute="1" defaultMemberUniqueName="[fActualAndBudget].[StavkaGrupa].[All]" allUniqueName="[fActualAndBudget].[StavkaGrupa].[All]" dimensionUniqueName="[fActualAndBudget]" displayFolder="" count="0" memberValueDatatype="130" unbalanced="0"/>
    <cacheHierarchy uniqueName="[fActualAndBudget].[StavkaKategorija]" caption="StavkaKategorija" attribute="1" defaultMemberUniqueName="[fActualAndBudget].[StavkaKategorija].[All]" allUniqueName="[fActualAndBudget].[StavkaKategorija].[All]" dimensionUniqueName="[fActualAndBudget]" displayFolder="" count="0" memberValueDatatype="130" unbalanced="0"/>
    <cacheHierarchy uniqueName="[fActualAndBudget].[ZnakIzvestaj]" caption="ZnakIzvestaj" attribute="1" defaultMemberUniqueName="[fActualAndBudget].[ZnakIzvestaj].[All]" allUniqueName="[fActualAndBudget].[ZnakIzvestaj].[All]" dimensionUniqueName="[fActualAndBudget]" displayFolder="" count="0" memberValueDatatype="20" unbalanced="0"/>
    <cacheHierarchy uniqueName="[fActualAndBudget].[ObrazecID]" caption="ObrazecID" attribute="1" defaultMemberUniqueName="[fActualAndBudget].[ObrazecID].[All]" allUniqueName="[fActualAndBudget].[ObrazecID].[All]" dimensionUniqueName="[fActualAndBudget]" displayFolder="" count="0" memberValueDatatype="20" unbalanced="0"/>
    <cacheHierarchy uniqueName="[fActualAndBudget].[StavkaAOP]" caption="StavkaAOP" attribute="1" defaultMemberUniqueName="[fActualAndBudget].[StavkaAOP].[All]" allUniqueName="[fActualAndBudget].[StavkaAOP].[All]" dimensionUniqueName="[fActualAndBudget]" displayFolder="" count="0" memberValueDatatype="130" unbalanced="0"/>
    <cacheHierarchy uniqueName="[fActualAndBudget].[ObrazecIme]" caption="ObrazecIme" attribute="1" defaultMemberUniqueName="[fActualAndBudget].[ObrazecIme].[All]" allUniqueName="[fActualAndBudget].[ObrazecIme].[All]" dimensionUniqueName="[fActualAndBudget]" displayFolder="" count="2" memberValueDatatype="130" unbalanced="0">
      <fieldsUsage count="2">
        <fieldUsage x="-1"/>
        <fieldUsage x="4"/>
      </fieldsUsage>
    </cacheHierarchy>
    <cacheHierarchy uniqueName="[fActualAndBudget].[Износ]" caption="Износ" attribute="1" defaultMemberUniqueName="[fActualAndBudget].[Износ].[All]" allUniqueName="[fActualAndBudget].[Износ].[All]" dimensionUniqueName="[fActualAndBudget]" displayFolder="" count="0" memberValueDatatype="20" unbalanced="0"/>
    <cacheHierarchy uniqueName="[fActualAndBudget].[Износ (илјади)]" caption="Износ (илјади)" attribute="1" defaultMemberUniqueName="[fActualAndBudget].[Износ (илјади)].[All]" allUniqueName="[fActualAndBudget].[Износ (илјади)].[All]" dimensionUniqueName="[fActualAndBudget]" displayFolder="" count="0" memberValueDatatype="5" unbalanced="0"/>
    <cacheHierarchy uniqueName="[fActualAndBudget].[StavkaImeAOP]" caption="StavkaImeAOP" attribute="1" defaultMemberUniqueName="[fActualAndBudget].[StavkaImeAOP].[All]" allUniqueName="[fActualAndBudget].[StavkaImeAOP].[All]" dimensionUniqueName="[fActualAndBudget]" displayFolder="" count="0" memberValueDatatype="130" unbalanced="0"/>
    <cacheHierarchy uniqueName="[fActualAndBudget].[Конто Ставка]" caption="Конто Ставка" attribute="1" defaultMemberUniqueName="[fActualAndBudget].[Конто Ставка].[All]" allUniqueName="[fActualAndBudget].[Конто Ставка].[All]" dimensionUniqueName="[fActualAndBudget]" displayFolder="" count="0" memberValueDatatype="130" unbalanced="0"/>
    <cacheHierarchy uniqueName="[fArtikliCeni].[Ставка]" caption="Ставка" attribute="1" defaultMemberUniqueName="[fArtikliCeni].[Ставка].[All]" allUniqueName="[fArtikliCeni].[Ставка].[All]" dimensionUniqueName="[fArtikliCeni]" displayFolder="" count="0" memberValueDatatype="130" unbalanced="0"/>
    <cacheHierarchy uniqueName="[fArtikliCeni].[Категорија Артикл]" caption="Категорија Артикл" attribute="1" defaultMemberUniqueName="[fArtikliCeni].[Категорија Артикл].[All]" allUniqueName="[fArtikliCeni].[Категорија Артикл].[All]" dimensionUniqueName="[fArtikliCeni]" displayFolder="" count="0" memberValueDatatype="130" unbalanced="0"/>
    <cacheHierarchy uniqueName="[fArtikliCeni].[Тип на артикл]" caption="Тип на артикл" attribute="1" defaultMemberUniqueName="[fArtikliCeni].[Тип на артикл].[All]" allUniqueName="[fArtikliCeni].[Тип на артикл].[All]" dimensionUniqueName="[fArtikliCeni]" displayFolder="" count="0" memberValueDatatype="130" unbalanced="0"/>
    <cacheHierarchy uniqueName="[fArtikliCeni].[Единечна мерка]" caption="Единечна мерка" attribute="1" defaultMemberUniqueName="[fArtikliCeni].[Единечна мерка].[All]" allUniqueName="[fArtikliCeni].[Единечна мерка].[All]" dimensionUniqueName="[fArtikliCeni]" displayFolder="" count="0" memberValueDatatype="130" unbalanced="0"/>
    <cacheHierarchy uniqueName="[fArtikliCeni].[Количина]" caption="Количина" attribute="1" defaultMemberUniqueName="[fArtikliCeni].[Количина].[All]" allUniqueName="[fArtikliCeni].[Количина].[All]" dimensionUniqueName="[fArtikliCeni]" displayFolder="" count="0" memberValueDatatype="5" unbalanced="0"/>
    <cacheHierarchy uniqueName="[fArtikliCeni].[Единечна цена]" caption="Единечна цена" attribute="1" defaultMemberUniqueName="[fArtikliCeni].[Единечна цена].[All]" allUniqueName="[fArtikliCeni].[Единечна цена].[All]" dimensionUniqueName="[fArtikliCeni]" displayFolder="" count="0" memberValueDatatype="20" unbalanced="0"/>
    <cacheHierarchy uniqueName="[fArtikliCeni].[Вкупно трошок]" caption="Вкупно трошок" attribute="1" defaultMemberUniqueName="[fArtikliCeni].[Вкупно трошок].[All]" allUniqueName="[fArtikliCeni].[Вкупно трошок].[All]" dimensionUniqueName="[fArtikliCeni]" displayFolder="" count="0" memberValueDatatype="5" unbalanced="0"/>
    <cacheHierarchy uniqueName="[fArtikliCeni].[ДДВ]" caption="ДДВ" attribute="1" defaultMemberUniqueName="[fArtikliCeni].[ДДВ].[All]" allUniqueName="[fArtikliCeni].[ДДВ].[All]" dimensionUniqueName="[fArtikliCeni]" displayFolder="" count="0" memberValueDatatype="5" unbalanced="0"/>
    <cacheHierarchy uniqueName="[fArtikliCeni].[Износ]" caption="Износ" attribute="1" defaultMemberUniqueName="[fArtikliCeni].[Износ].[All]" allUniqueName="[fArtikliCeni].[Износ].[All]" dimensionUniqueName="[fArtikliCeni]" displayFolder="" count="0" memberValueDatatype="5" unbalanced="0"/>
    <cacheHierarchy uniqueName="[fArtikliCeni].[Конто]" caption="Конто" attribute="1" defaultMemberUniqueName="[fArtikliCeni].[Конто].[All]" allUniqueName="[fArtikliCeni].[Конто].[All]" dimensionUniqueName="[fArtikliCeni]" displayFolder="" count="0" memberValueDatatype="130" unbalanced="0"/>
    <cacheHierarchy uniqueName="[fArtikliCeni].[ReportType]" caption="ReportType" attribute="1" defaultMemberUniqueName="[fArtikliCeni].[ReportType].[All]" allUniqueName="[fArtikliCeni].[ReportType].[All]" dimensionUniqueName="[fArtikliCeni]" displayFolder="" count="0" memberValueDatatype="130" unbalanced="0"/>
    <cacheHierarchy uniqueName="[fArtikliCeni].[Период]" caption="Период" attribute="1" time="1" defaultMemberUniqueName="[fArtikliCeni].[Период].[All]" allUniqueName="[fArtikliCeni].[Период].[All]" dimensionUniqueName="[fArtikliCeni]" displayFolder="" count="0" memberValueDatatype="7" unbalanced="0"/>
    <cacheHierarchy uniqueName="[fArtikliCeni].[StavkaImeMK]" caption="StavkaImeMK" attribute="1" defaultMemberUniqueName="[fArtikliCeni].[StavkaImeMK].[All]" allUniqueName="[fArtikliCeni].[StavkaImeMK].[All]" dimensionUniqueName="[fArtikliCeni]" displayFolder="" count="0" memberValueDatatype="130" unbalanced="0"/>
    <cacheHierarchy uniqueName="[fArtikliCeni].[StavkaAOP]" caption="StavkaAOP" attribute="1" defaultMemberUniqueName="[fArtikliCeni].[StavkaAOP].[All]" allUniqueName="[fArtikliCeni].[StavkaAOP].[All]" dimensionUniqueName="[fArtikliCeni]" displayFolder="" count="0" memberValueDatatype="130" unbalanced="0"/>
    <cacheHierarchy uniqueName="[fArtikliCeni].[StavkaGrupa]" caption="StavkaGrupa" attribute="1" defaultMemberUniqueName="[fArtikliCeni].[StavkaGrupa].[All]" allUniqueName="[fArtikliCeni].[StavkaGrupa].[All]" dimensionUniqueName="[fArtikliCeni]" displayFolder="" count="0" memberValueDatatype="130" unbalanced="0"/>
    <cacheHierarchy uniqueName="[fArtikliCeni].[StavkaKategorija]" caption="StavkaKategorija" attribute="1" defaultMemberUniqueName="[fArtikliCeni].[StavkaKategorija].[All]" allUniqueName="[fArtikliCeni].[StavkaKategorija].[All]" dimensionUniqueName="[fArtikliCeni]" displayFolder="" count="0" memberValueDatatype="130" unbalanced="0"/>
    <cacheHierarchy uniqueName="[fArtikliCeni].[ObrazecIme]" caption="ObrazecIme" attribute="1" defaultMemberUniqueName="[fArtikliCeni].[ObrazecIme].[All]" allUniqueName="[fArtikliCeni].[ObrazecIme].[All]" dimensionUniqueName="[fArtikliCeni]" displayFolder="" count="2" memberValueDatatype="130" unbalanced="0">
      <fieldsUsage count="2">
        <fieldUsage x="-1"/>
        <fieldUsage x="6"/>
      </fieldsUsage>
    </cacheHierarchy>
    <cacheHierarchy uniqueName="[fCoveckiResursi].[Ставка]" caption="Ставка" attribute="1" defaultMemberUniqueName="[fCoveckiResursi].[Ставка].[All]" allUniqueName="[fCoveckiResursi].[Ставка].[All]" dimensionUniqueName="[fCoveckiResursi]" displayFolder="" count="0" memberValueDatatype="130" unbalanced="0"/>
    <cacheHierarchy uniqueName="[fCoveckiResursi].[Тип на вработување]" caption="Тип на вработување" attribute="1" defaultMemberUniqueName="[fCoveckiResursi].[Тип на вработување].[All]" allUniqueName="[fCoveckiResursi].[Тип на вработување].[All]" dimensionUniqueName="[fCoveckiResursi]" displayFolder="" count="0" memberValueDatatype="130" unbalanced="0"/>
    <cacheHierarchy uniqueName="[fCoveckiResursi].[Планиран прилив/(одлив)]" caption="Планиран прилив/(одлив)" attribute="1" defaultMemberUniqueName="[fCoveckiResursi].[Планиран прилив/(одлив)].[All]" allUniqueName="[fCoveckiResursi].[Планиран прилив/(одлив)].[All]" dimensionUniqueName="[fCoveckiResursi]" displayFolder="" count="0" memberValueDatatype="20" unbalanced="0"/>
    <cacheHierarchy uniqueName="[fCoveckiResursi].[Период]" caption="Период" attribute="1" time="1" defaultMemberUniqueName="[fCoveckiResursi].[Период].[All]" allUniqueName="[fCoveckiResursi].[Период].[All]" dimensionUniqueName="[fCoveckiResursi]" displayFolder="" count="0" memberValueDatatype="7" unbalanced="0"/>
    <cacheHierarchy uniqueName="[fCoveckiResursi].[Крајна состојба вработени]" caption="Крајна состојба вработени" attribute="1" defaultMemberUniqueName="[fCoveckiResursi].[Крајна состојба вработени].[All]" allUniqueName="[fCoveckiResursi].[Крајна состојба вработени].[All]" dimensionUniqueName="[fCoveckiResursi]" displayFolder="" count="0" memberValueDatatype="20" unbalanced="0"/>
    <cacheHierarchy uniqueName="[fCoveckiResursi].[Износ]" caption="Износ" attribute="1" defaultMemberUniqueName="[fCoveckiResursi].[Износ].[All]" allUniqueName="[fCoveckiResursi].[Износ].[All]" dimensionUniqueName="[fCoveckiResursi]" displayFolder="" count="0" memberValueDatatype="20" unbalanced="0"/>
    <cacheHierarchy uniqueName="[fCoveckiResursi].[Конто]" caption="Конто" attribute="1" defaultMemberUniqueName="[fCoveckiResursi].[Конто].[All]" allUniqueName="[fCoveckiResursi].[Конто].[All]" dimensionUniqueName="[fCoveckiResursi]" displayFolder="" count="0" memberValueDatatype="130" unbalanced="0"/>
    <cacheHierarchy uniqueName="[fCoveckiResursi].[ReportType]" caption="ReportType" attribute="1" defaultMemberUniqueName="[fCoveckiResursi].[ReportType].[All]" allUniqueName="[fCoveckiResursi].[ReportType].[All]" dimensionUniqueName="[fCoveckiResursi]" displayFolder="" count="0" memberValueDatatype="130" unbalanced="0"/>
    <cacheHierarchy uniqueName="[fCoveckiResursi].[Период (Year)]" caption="Период (Year)" attribute="1" defaultMemberUniqueName="[fCoveckiResursi].[Период (Year)].[All]" allUniqueName="[fCoveckiResursi].[Период (Year)].[All]" dimensionUniqueName="[fCoveckiResursi]" displayFolder="" count="0" memberValueDatatype="130" unbalanced="0"/>
    <cacheHierarchy uniqueName="[fCoveckiResursi].[Период (Quarter)]" caption="Период (Quarter)" attribute="1" defaultMemberUniqueName="[fCoveckiResursi].[Период (Quarter)].[All]" allUniqueName="[fCoveckiResursi].[Период (Quarter)].[All]" dimensionUniqueName="[fCoveckiResursi]" displayFolder="" count="0" memberValueDatatype="130" unbalanced="0"/>
    <cacheHierarchy uniqueName="[fCoveckiResursi].[Период (Month)]" caption="Период (Month)" attribute="1" defaultMemberUniqueName="[fCoveckiResursi].[Период (Month)].[All]" allUniqueName="[fCoveckiResursi].[Период (Month)].[All]" dimensionUniqueName="[fCoveckiResursi]" displayFolder="" count="0" memberValueDatatype="130" unbalanced="0"/>
    <cacheHierarchy uniqueName="[fCoveckiResursi].[Период (Year) 1]" caption="Период (Year) 1" attribute="1" defaultMemberUniqueName="[fCoveckiResursi].[Период (Year) 1].[All]" allUniqueName="[fCoveckiResursi].[Период (Year) 1].[All]" dimensionUniqueName="[fCoveckiResursi]" displayFolder="" count="0" memberValueDatatype="130" unbalanced="0"/>
    <cacheHierarchy uniqueName="[fCoveckiResursi].[Период (Quarter) 1]" caption="Период (Quarter) 1" attribute="1" defaultMemberUniqueName="[fCoveckiResursi].[Период (Quarter) 1].[All]" allUniqueName="[fCoveckiResursi].[Период (Quarter) 1].[All]" dimensionUniqueName="[fCoveckiResursi]" displayFolder="" count="0" memberValueDatatype="130" unbalanced="0"/>
    <cacheHierarchy uniqueName="[fCoveckiResursi].[Период (Month) 1]" caption="Период (Month) 1" attribute="1" defaultMemberUniqueName="[fCoveckiResursi].[Период (Month) 1].[All]" allUniqueName="[fCoveckiResursi].[Период (Month) 1].[All]" dimensionUniqueName="[fCoveckiResursi]" displayFolder="" count="0" memberValueDatatype="130" unbalanced="0"/>
    <cacheHierarchy uniqueName="[fCoveckiResursi  2].[Ставка]" caption="Ставка" attribute="1" defaultMemberUniqueName="[fCoveckiResursi  2].[Ставка].[All]" allUniqueName="[fCoveckiResursi  2].[Ставка].[All]" dimensionUniqueName="[fCoveckiResursi  2]" displayFolder="" count="0" memberValueDatatype="130" unbalanced="0"/>
    <cacheHierarchy uniqueName="[fCoveckiResursi  2].[Период]" caption="Период" attribute="1" time="1" defaultMemberUniqueName="[fCoveckiResursi  2].[Период].[All]" allUniqueName="[fCoveckiResursi  2].[Период].[All]" dimensionUniqueName="[fCoveckiResursi  2]" displayFolder="" count="0" memberValueDatatype="7" unbalanced="0"/>
    <cacheHierarchy uniqueName="[fCoveckiResursi  2].[Износ]" caption="Износ" attribute="1" defaultMemberUniqueName="[fCoveckiResursi  2].[Износ].[All]" allUniqueName="[fCoveckiResursi  2].[Износ].[All]" dimensionUniqueName="[fCoveckiResursi  2]" displayFolder="" count="0" memberValueDatatype="20" unbalanced="0"/>
    <cacheHierarchy uniqueName="[fCoveckiResursi  2].[Конто]" caption="Конто" attribute="1" defaultMemberUniqueName="[fCoveckiResursi  2].[Конто].[All]" allUniqueName="[fCoveckiResursi  2].[Конто].[All]" dimensionUniqueName="[fCoveckiResursi  2]" displayFolder="" count="0" memberValueDatatype="130" unbalanced="0"/>
    <cacheHierarchy uniqueName="[fCoveckiResursi  2].[ReportType]" caption="ReportType" attribute="1" defaultMemberUniqueName="[fCoveckiResursi  2].[ReportType].[All]" allUniqueName="[fCoveckiResursi  2].[ReportType].[All]" dimensionUniqueName="[fCoveckiResursi  2]" displayFolder="" count="0" memberValueDatatype="130" unbalanced="0"/>
    <cacheHierarchy uniqueName="[fCoveckiResursi  2].[StavkaImeMK]" caption="StavkaImeMK" attribute="1" defaultMemberUniqueName="[fCoveckiResursi  2].[StavkaImeMK].[All]" allUniqueName="[fCoveckiResursi  2].[StavkaImeMK].[All]" dimensionUniqueName="[fCoveckiResursi  2]" displayFolder="" count="0" memberValueDatatype="130" unbalanced="0"/>
    <cacheHierarchy uniqueName="[fCoveckiResursi  2].[StavkaKategorija]" caption="StavkaKategorija" attribute="1" defaultMemberUniqueName="[fCoveckiResursi  2].[StavkaKategorija].[All]" allUniqueName="[fCoveckiResursi  2].[StavkaKategorija].[All]" dimensionUniqueName="[fCoveckiResursi  2]" displayFolder="" count="0" memberValueDatatype="130" unbalanced="0"/>
    <cacheHierarchy uniqueName="[fCoveckiResursi  2].[ObrazecIme]" caption="ObrazecIme" attribute="1" defaultMemberUniqueName="[fCoveckiResursi  2].[ObrazecIme].[All]" allUniqueName="[fCoveckiResursi  2].[ObrazecIme].[All]" dimensionUniqueName="[fCoveckiResursi  2]" displayFolder="" count="0" memberValueDatatype="130" unbalanced="0"/>
    <cacheHierarchy uniqueName="[fOPEX].[Конто]" caption="Конто" attribute="1" defaultMemberUniqueName="[fOPEX].[Конто].[All]" allUniqueName="[fOPEX].[Конто].[All]" dimensionUniqueName="[fOPEX]" displayFolder="" count="0" memberValueDatatype="130" unbalanced="0"/>
    <cacheHierarchy uniqueName="[fOPEX].[Ставка]" caption="Ставка" attribute="1" defaultMemberUniqueName="[fOPEX].[Ставка].[All]" allUniqueName="[fOPEX].[Ставка].[All]" dimensionUniqueName="[fOPEX]" displayFolder="" count="0" memberValueDatatype="130" unbalanced="0"/>
    <cacheHierarchy uniqueName="[fOPEX].[Период]" caption="Период" attribute="1" time="1" defaultMemberUniqueName="[fOPEX].[Период].[All]" allUniqueName="[fOPEX].[Период].[All]" dimensionUniqueName="[fOPEX]" displayFolder="" count="0" memberValueDatatype="7" unbalanced="0"/>
    <cacheHierarchy uniqueName="[fOPEX].[Износ]" caption="Износ" attribute="1" defaultMemberUniqueName="[fOPEX].[Износ].[All]" allUniqueName="[fOPEX].[Износ].[All]" dimensionUniqueName="[fOPEX]" displayFolder="" count="0" memberValueDatatype="20" unbalanced="0"/>
    <cacheHierarchy uniqueName="[fOPEX].[ReportType]" caption="ReportType" attribute="1" defaultMemberUniqueName="[fOPEX].[ReportType].[All]" allUniqueName="[fOPEX].[ReportType].[All]" dimensionUniqueName="[fOPEX]" displayFolder="" count="0" memberValueDatatype="130" unbalanced="0"/>
    <cacheHierarchy uniqueName="[OPEXAnaliza].[Артикл ИД]" caption="Артикл ИД" attribute="1" defaultMemberUniqueName="[OPEXAnaliza].[Артикл ИД].[All]" allUniqueName="[OPEXAnaliza].[Артикл ИД].[All]" dimensionUniqueName="[OPEXAnaliza]" displayFolder="" count="0" memberValueDatatype="20" unbalanced="0"/>
    <cacheHierarchy uniqueName="[OPEXAnaliza].[Ставка]" caption="Ставка" attribute="1" defaultMemberUniqueName="[OPEXAnaliza].[Ставка].[All]" allUniqueName="[OPEXAnaliza].[Ставка].[All]" dimensionUniqueName="[OPEXAnaliza]" displayFolder="" count="0" memberValueDatatype="130" unbalanced="0"/>
    <cacheHierarchy uniqueName="[OPEXAnaliza].[Категорија Артикл ИД]" caption="Категорија Артикл ИД" attribute="1" defaultMemberUniqueName="[OPEXAnaliza].[Категорија Артикл ИД].[All]" allUniqueName="[OPEXAnaliza].[Категорија Артикл ИД].[All]" dimensionUniqueName="[OPEXAnaliza]" displayFolder="" count="0" memberValueDatatype="20" unbalanced="0"/>
    <cacheHierarchy uniqueName="[OPEXAnaliza].[Категорија Артикл]" caption="Категорија Артикл" attribute="1" defaultMemberUniqueName="[OPEXAnaliza].[Категорија Артикл].[All]" allUniqueName="[OPEXAnaliza].[Категорија Артикл].[All]" dimensionUniqueName="[OPEXAnaliza]" displayFolder="" count="0" memberValueDatatype="130" unbalanced="0"/>
    <cacheHierarchy uniqueName="[OPEXAnaliza].[Тип на артикл]" caption="Тип на артикл" attribute="1" defaultMemberUniqueName="[OPEXAnaliza].[Тип на артикл].[All]" allUniqueName="[OPEXAnaliza].[Тип на артикл].[All]" dimensionUniqueName="[OPEXAnaliza]" displayFolder="" count="0" memberValueDatatype="130" unbalanced="0"/>
    <cacheHierarchy uniqueName="[OPEXAnaliza].[Единечна мерка]" caption="Единечна мерка" attribute="1" defaultMemberUniqueName="[OPEXAnaliza].[Единечна мерка].[All]" allUniqueName="[OPEXAnaliza].[Единечна мерка].[All]" dimensionUniqueName="[OPEXAnaliza]" displayFolder="" count="0" memberValueDatatype="130" unbalanced="0"/>
    <cacheHierarchy uniqueName="[OPEXAnaliza].[Количина]" caption="Количина" attribute="1" defaultMemberUniqueName="[OPEXAnaliza].[Количина].[All]" allUniqueName="[OPEXAnaliza].[Количина].[All]" dimensionUniqueName="[OPEXAnaliza]" displayFolder="" count="0" memberValueDatatype="5" unbalanced="0"/>
    <cacheHierarchy uniqueName="[OPEXAnaliza].[Единечна цена]" caption="Единечна цена" attribute="1" defaultMemberUniqueName="[OPEXAnaliza].[Единечна цена].[All]" allUniqueName="[OPEXAnaliza].[Единечна цена].[All]" dimensionUniqueName="[OPEXAnaliza]" displayFolder="" count="0" memberValueDatatype="20" unbalanced="0"/>
    <cacheHierarchy uniqueName="[OPEXAnaliza].[Износ]" caption="Износ" attribute="1" defaultMemberUniqueName="[OPEXAnaliza].[Износ].[All]" allUniqueName="[OPEXAnaliza].[Износ].[All]" dimensionUniqueName="[OPEXAnaliza]" displayFolder="" count="0" memberValueDatatype="5" unbalanced="0"/>
    <cacheHierarchy uniqueName="[OPEXAnaliza].[ДДВ]" caption="ДДВ" attribute="1" defaultMemberUniqueName="[OPEXAnaliza].[ДДВ].[All]" allUniqueName="[OPEXAnaliza].[ДДВ].[All]" dimensionUniqueName="[OPEXAnaliza]" displayFolder="" count="0" memberValueDatatype="5" unbalanced="0"/>
    <cacheHierarchy uniqueName="[OPEXAnaliza].[Вкупно трошок со ДДВ]" caption="Вкупно трошок со ДДВ" attribute="1" defaultMemberUniqueName="[OPEXAnaliza].[Вкупно трошок со ДДВ].[All]" allUniqueName="[OPEXAnaliza].[Вкупно трошок со ДДВ].[All]" dimensionUniqueName="[OPEXAnaliza]" displayFolder="" count="0" memberValueDatatype="5" unbalanced="0"/>
    <cacheHierarchy uniqueName="[OPEXAnaliza].[Конто]" caption="Конто" attribute="1" defaultMemberUniqueName="[OPEXAnaliza].[Конто].[All]" allUniqueName="[OPEXAnaliza].[Конто].[All]" dimensionUniqueName="[OPEXAnaliza]" displayFolder="" count="0" memberValueDatatype="130" unbalanced="0"/>
    <cacheHierarchy uniqueName="[OPEXAnaliza].[Период]" caption="Период" attribute="1" time="1" defaultMemberUniqueName="[OPEXAnaliza].[Период].[All]" allUniqueName="[OPEXAnaliza].[Период].[All]" dimensionUniqueName="[OPEXAnaliza]" displayFolder="" count="0" memberValueDatatype="7" unbalanced="0"/>
    <cacheHierarchy uniqueName="[OPEXAnaliza].[ReportType]" caption="ReportType" attribute="1" defaultMemberUniqueName="[OPEXAnaliza].[ReportType].[All]" allUniqueName="[OPEXAnaliza].[ReportType].[All]" dimensionUniqueName="[OPEXAnaliza]" displayFolder="" count="0" memberValueDatatype="130" unbalanced="0"/>
    <cacheHierarchy uniqueName="[OPEXAnaliza].[StavkaImeMK]" caption="StavkaImeMK" attribute="1" defaultMemberUniqueName="[OPEXAnaliza].[StavkaImeMK].[All]" allUniqueName="[OPEXAnaliza].[StavkaImeMK].[All]" dimensionUniqueName="[OPEXAnaliza]" displayFolder="" count="0" memberValueDatatype="130" unbalanced="0"/>
    <cacheHierarchy uniqueName="[OPEXAnaliza].[StavkaKategorija]" caption="StavkaKategorija" attribute="1" defaultMemberUniqueName="[OPEXAnaliza].[StavkaKategorija].[All]" allUniqueName="[OPEXAnaliza].[StavkaKategorija].[All]" dimensionUniqueName="[OPEXAnaliza]" displayFolder="" count="0" memberValueDatatype="130" unbalanced="0"/>
    <cacheHierarchy uniqueName="[OPEXAnaliza].[ObrazecIme]" caption="ObrazecIme" attribute="1" defaultMemberUniqueName="[OPEXAnaliza].[ObrazecIme].[All]" allUniqueName="[OPEXAnaliza].[ObrazecIme].[All]" dimensionUniqueName="[OPEXAnaliza]" displayFolder="" count="0" memberValueDatatype="130" unbalanced="0"/>
    <cacheHierarchy uniqueName="[OPEXAnaliza].[StavkaImeAOP]" caption="StavkaImeAOP" attribute="1" defaultMemberUniqueName="[OPEXAnaliza].[StavkaImeAOP].[All]" allUniqueName="[OPEXAnaliza].[StavkaImeAOP].[All]" dimensionUniqueName="[OPEXAnaliza]" displayFolder="" count="0" memberValueDatatype="20" unbalanced="0"/>
    <cacheHierarchy uniqueName="[OPEXAnaliza].[Период (Year)]" caption="Период (Year)" attribute="1" defaultMemberUniqueName="[OPEXAnaliza].[Период (Year)].[All]" allUniqueName="[OPEXAnaliza].[Период (Year)].[All]" dimensionUniqueName="[OPEXAnaliza]" displayFolder="" count="0" memberValueDatatype="130" unbalanced="0"/>
    <cacheHierarchy uniqueName="[OPEXAnaliza].[Период (Quarter)]" caption="Период (Quarter)" attribute="1" defaultMemberUniqueName="[OPEXAnaliza].[Период (Quarter)].[All]" allUniqueName="[OPEXAnaliza].[Период (Quarter)].[All]" dimensionUniqueName="[OPEXAnaliza]" displayFolder="" count="0" memberValueDatatype="130" unbalanced="0"/>
    <cacheHierarchy uniqueName="[OPEXAnaliza].[Период (Month)]" caption="Период (Month)" attribute="1" defaultMemberUniqueName="[OPEXAnaliza].[Период (Month)].[All]" allUniqueName="[OPEXAnaliza].[Период (Month)].[All]" dimensionUniqueName="[OPEXAnaliza]" displayFolder="" count="0" memberValueDatatype="130" unbalanced="0"/>
    <cacheHierarchy uniqueName="[rArtikli_HR_Analiza].[Ставка]" caption="Ставка" attribute="1" defaultMemberUniqueName="[rArtikli_HR_Analiza].[Ставка].[All]" allUniqueName="[rArtikli_HR_Analiza].[Ставка].[All]" dimensionUniqueName="[rArtikli_HR_Analiza]" displayFolder="" count="0" memberValueDatatype="130" unbalanced="0"/>
    <cacheHierarchy uniqueName="[rArtikli_HR_Analiza].[Категорија Артикл]" caption="Категорија Артикл" attribute="1" defaultMemberUniqueName="[rArtikli_HR_Analiza].[Категорија Артикл].[All]" allUniqueName="[rArtikli_HR_Analiza].[Категорија Артикл].[All]" dimensionUniqueName="[rArtikli_HR_Analiza]" displayFolder="" count="0" memberValueDatatype="130" unbalanced="0"/>
    <cacheHierarchy uniqueName="[rArtikli_HR_Analiza].[Тип на артикл]" caption="Тип на артикл" attribute="1" defaultMemberUniqueName="[rArtikli_HR_Analiza].[Тип на артикл].[All]" allUniqueName="[rArtikli_HR_Analiza].[Тип на артикл].[All]" dimensionUniqueName="[rArtikli_HR_Analiza]" displayFolder="" count="0" memberValueDatatype="130" unbalanced="0"/>
    <cacheHierarchy uniqueName="[rArtikli_HR_Analiza].[Единечна мерка]" caption="Единечна мерка" attribute="1" defaultMemberUniqueName="[rArtikli_HR_Analiza].[Единечна мерка].[All]" allUniqueName="[rArtikli_HR_Analiza].[Единечна мерка].[All]" dimensionUniqueName="[rArtikli_HR_Analiza]" displayFolder="" count="0" memberValueDatatype="130" unbalanced="0"/>
    <cacheHierarchy uniqueName="[rArtikli_HR_Analiza].[Количина]" caption="Количина" attribute="1" defaultMemberUniqueName="[rArtikli_HR_Analiza].[Количина].[All]" allUniqueName="[rArtikli_HR_Analiza].[Количина].[All]" dimensionUniqueName="[rArtikli_HR_Analiza]" displayFolder="" count="0" memberValueDatatype="5" unbalanced="0"/>
    <cacheHierarchy uniqueName="[rArtikli_HR_Analiza].[Единечна цена]" caption="Единечна цена" attribute="1" defaultMemberUniqueName="[rArtikli_HR_Analiza].[Единечна цена].[All]" allUniqueName="[rArtikli_HR_Analiza].[Единечна цена].[All]" dimensionUniqueName="[rArtikli_HR_Analiza]" displayFolder="" count="0" memberValueDatatype="20" unbalanced="0"/>
    <cacheHierarchy uniqueName="[rArtikli_HR_Analiza].[Вкупно трошок]" caption="Вкупно трошок" attribute="1" defaultMemberUniqueName="[rArtikli_HR_Analiza].[Вкупно трошок].[All]" allUniqueName="[rArtikli_HR_Analiza].[Вкупно трошок].[All]" dimensionUniqueName="[rArtikli_HR_Analiza]" displayFolder="" count="0" memberValueDatatype="5" unbalanced="0"/>
    <cacheHierarchy uniqueName="[rArtikli_HR_Analiza].[ДДВ]" caption="ДДВ" attribute="1" defaultMemberUniqueName="[rArtikli_HR_Analiza].[ДДВ].[All]" allUniqueName="[rArtikli_HR_Analiza].[ДДВ].[All]" dimensionUniqueName="[rArtikli_HR_Analiza]" displayFolder="" count="0" memberValueDatatype="5" unbalanced="0"/>
    <cacheHierarchy uniqueName="[rArtikli_HR_Analiza].[Износ]" caption="Износ" attribute="1" defaultMemberUniqueName="[rArtikli_HR_Analiza].[Износ].[All]" allUniqueName="[rArtikli_HR_Analiza].[Износ].[All]" dimensionUniqueName="[rArtikli_HR_Analiza]" displayFolder="" count="0" memberValueDatatype="5" unbalanced="0"/>
    <cacheHierarchy uniqueName="[rArtikli_HR_Analiza].[Конто]" caption="Конто" attribute="1" defaultMemberUniqueName="[rArtikli_HR_Analiza].[Конто].[All]" allUniqueName="[rArtikli_HR_Analiza].[Конто].[All]" dimensionUniqueName="[rArtikli_HR_Analiza]" displayFolder="" count="0" memberValueDatatype="130" unbalanced="0"/>
    <cacheHierarchy uniqueName="[rArtikli_HR_Analiza].[ReportType]" caption="ReportType" attribute="1" defaultMemberUniqueName="[rArtikli_HR_Analiza].[ReportType].[All]" allUniqueName="[rArtikli_HR_Analiza].[ReportType].[All]" dimensionUniqueName="[rArtikli_HR_Analiza]" displayFolder="" count="0" memberValueDatatype="130" unbalanced="0"/>
    <cacheHierarchy uniqueName="[rArtikli_HR_Analiza].[Период]" caption="Период" attribute="1" time="1" defaultMemberUniqueName="[rArtikli_HR_Analiza].[Период].[All]" allUniqueName="[rArtikli_HR_Analiza].[Период].[All]" dimensionUniqueName="[rArtikli_HR_Analiza]" displayFolder="" count="2" memberValueDatatype="7" unbalanced="0">
      <fieldsUsage count="2">
        <fieldUsage x="-1"/>
        <fieldUsage x="7"/>
      </fieldsUsage>
    </cacheHierarchy>
    <cacheHierarchy uniqueName="[rArtikli_HR_Analiza].[StavkaImeMK]" caption="StavkaImeMK" attribute="1" defaultMemberUniqueName="[rArtikli_HR_Analiza].[StavkaImeMK].[All]" allUniqueName="[rArtikli_HR_Analiza].[StavkaImeMK].[All]" dimensionUniqueName="[rArtikli_HR_Analiza]" displayFolder="" count="0" memberValueDatatype="130" unbalanced="0"/>
    <cacheHierarchy uniqueName="[rArtikli_HR_Analiza].[StavkaAOP]" caption="StavkaAOP" attribute="1" defaultMemberUniqueName="[rArtikli_HR_Analiza].[StavkaAOP].[All]" allUniqueName="[rArtikli_HR_Analiza].[StavkaAOP].[All]" dimensionUniqueName="[rArtikli_HR_Analiza]" displayFolder="" count="0" memberValueDatatype="130" unbalanced="0"/>
    <cacheHierarchy uniqueName="[rArtikli_HR_Analiza].[StavkaGrupa]" caption="StavkaGrupa" attribute="1" defaultMemberUniqueName="[rArtikli_HR_Analiza].[StavkaGrupa].[All]" allUniqueName="[rArtikli_HR_Analiza].[StavkaGrupa].[All]" dimensionUniqueName="[rArtikli_HR_Analiza]" displayFolder="" count="0" memberValueDatatype="130" unbalanced="0"/>
    <cacheHierarchy uniqueName="[rArtikli_HR_Analiza].[StavkaKategorija]" caption="StavkaKategorija" attribute="1" defaultMemberUniqueName="[rArtikli_HR_Analiza].[StavkaKategorija].[All]" allUniqueName="[rArtikli_HR_Analiza].[StavkaKategorija].[All]" dimensionUniqueName="[rArtikli_HR_Analiza]" displayFolder="" count="0" memberValueDatatype="130" unbalanced="0"/>
    <cacheHierarchy uniqueName="[rArtikli_HR_Analiza].[ObrazecIme]" caption="ObrazecIme" attribute="1" defaultMemberUniqueName="[rArtikli_HR_Analiza].[ObrazecIme].[All]" allUniqueName="[rArtikli_HR_Analiza].[ObrazecIme].[All]" dimensionUniqueName="[rArtikli_HR_Analiza]" displayFolder="" count="2" memberValueDatatype="130" unbalanced="0">
      <fieldsUsage count="2">
        <fieldUsage x="-1"/>
        <fieldUsage x="8"/>
      </fieldsUsage>
    </cacheHierarchy>
    <cacheHierarchy uniqueName="[rArtikli_HR_Analiza].[StavkaKategorija.1]" caption="StavkaKategorija.1" attribute="1" defaultMemberUniqueName="[rArtikli_HR_Analiza].[StavkaKategorija.1].[All]" allUniqueName="[rArtikli_HR_Analiza].[StavkaKategorija.1].[All]" dimensionUniqueName="[rArtikli_HR_Analiza]" displayFolder="" count="2" memberValueDatatype="130" unbalanced="0">
      <fieldsUsage count="2">
        <fieldUsage x="-1"/>
        <fieldUsage x="9"/>
      </fieldsUsage>
    </cacheHierarchy>
    <cacheHierarchy uniqueName="[rArtikliAnaliza].[Артикл ИД]" caption="Артикл ИД" attribute="1" defaultMemberUniqueName="[rArtikliAnaliza].[Артикл ИД].[All]" allUniqueName="[rArtikliAnaliza].[Артикл ИД].[All]" dimensionUniqueName="[rArtikliAnaliza]" displayFolder="" count="0" memberValueDatatype="20" unbalanced="0"/>
    <cacheHierarchy uniqueName="[rArtikliAnaliza].[Ставка]" caption="Ставка" attribute="1" defaultMemberUniqueName="[rArtikliAnaliza].[Ставка].[All]" allUniqueName="[rArtikliAnaliza].[Ставка].[All]" dimensionUniqueName="[rArtikliAnaliza]" displayFolder="" count="0" memberValueDatatype="130" unbalanced="0"/>
    <cacheHierarchy uniqueName="[rArtikliAnaliza].[Категорија Артикл ИД]" caption="Категорија Артикл ИД" attribute="1" defaultMemberUniqueName="[rArtikliAnaliza].[Категорија Артикл ИД].[All]" allUniqueName="[rArtikliAnaliza].[Категорија Артикл ИД].[All]" dimensionUniqueName="[rArtikliAnaliza]" displayFolder="" count="0" memberValueDatatype="20" unbalanced="0"/>
    <cacheHierarchy uniqueName="[rArtikliAnaliza].[Категорија Артикл]" caption="Категорија Артикл" attribute="1" defaultMemberUniqueName="[rArtikliAnaliza].[Категорија Артикл].[All]" allUniqueName="[rArtikliAnaliza].[Категорија Артикл].[All]" dimensionUniqueName="[rArtikliAnaliza]" displayFolder="" count="0" memberValueDatatype="130" unbalanced="0"/>
    <cacheHierarchy uniqueName="[rArtikliAnaliza].[Тип на артикл]" caption="Тип на артикл" attribute="1" defaultMemberUniqueName="[rArtikliAnaliza].[Тип на артикл].[All]" allUniqueName="[rArtikliAnaliza].[Тип на артикл].[All]" dimensionUniqueName="[rArtikliAnaliza]" displayFolder="" count="0" memberValueDatatype="130" unbalanced="0"/>
    <cacheHierarchy uniqueName="[rArtikliAnaliza].[Единечна мерка]" caption="Единечна мерка" attribute="1" defaultMemberUniqueName="[rArtikliAnaliza].[Единечна мерка].[All]" allUniqueName="[rArtikliAnaliza].[Единечна мерка].[All]" dimensionUniqueName="[rArtikliAnaliza]" displayFolder="" count="0" memberValueDatatype="130" unbalanced="0"/>
    <cacheHierarchy uniqueName="[rArtikliAnaliza].[Количина]" caption="Количина" attribute="1" defaultMemberUniqueName="[rArtikliAnaliza].[Количина].[All]" allUniqueName="[rArtikliAnaliza].[Количина].[All]" dimensionUniqueName="[rArtikliAnaliza]" displayFolder="" count="0" memberValueDatatype="5" unbalanced="0"/>
    <cacheHierarchy uniqueName="[rArtikliAnaliza].[Единечна цена]" caption="Единечна цена" attribute="1" defaultMemberUniqueName="[rArtikliAnaliza].[Единечна цена].[All]" allUniqueName="[rArtikliAnaliza].[Единечна цена].[All]" dimensionUniqueName="[rArtikliAnaliza]" displayFolder="" count="0" memberValueDatatype="20" unbalanced="0"/>
    <cacheHierarchy uniqueName="[rArtikliAnaliza].[Износ]" caption="Износ" attribute="1" defaultMemberUniqueName="[rArtikliAnaliza].[Износ].[All]" allUniqueName="[rArtikliAnaliza].[Износ].[All]" dimensionUniqueName="[rArtikliAnaliza]" displayFolder="" count="0" memberValueDatatype="5" unbalanced="0"/>
    <cacheHierarchy uniqueName="[rArtikliAnaliza].[ДДВ]" caption="ДДВ" attribute="1" defaultMemberUniqueName="[rArtikliAnaliza].[ДДВ].[All]" allUniqueName="[rArtikliAnaliza].[ДДВ].[All]" dimensionUniqueName="[rArtikliAnaliza]" displayFolder="" count="0" memberValueDatatype="5" unbalanced="0"/>
    <cacheHierarchy uniqueName="[rArtikliAnaliza].[Вкупно трошок со ДДВ]" caption="Вкупно трошок со ДДВ" attribute="1" defaultMemberUniqueName="[rArtikliAnaliza].[Вкупно трошок со ДДВ].[All]" allUniqueName="[rArtikliAnaliza].[Вкупно трошок со ДДВ].[All]" dimensionUniqueName="[rArtikliAnaliza]" displayFolder="" count="0" memberValueDatatype="5" unbalanced="0"/>
    <cacheHierarchy uniqueName="[rArtikliAnaliza].[Конто]" caption="Конто" attribute="1" defaultMemberUniqueName="[rArtikliAnaliza].[Конто].[All]" allUniqueName="[rArtikliAnaliza].[Конто].[All]" dimensionUniqueName="[rArtikliAnaliza]" displayFolder="" count="0" memberValueDatatype="130" unbalanced="0"/>
    <cacheHierarchy uniqueName="[rArtikliAnaliza].[Период]" caption="Период" attribute="1" time="1" defaultMemberUniqueName="[rArtikliAnaliza].[Период].[All]" allUniqueName="[rArtikliAnaliza].[Период].[All]" dimensionUniqueName="[rArtikliAnaliza]" displayFolder="" count="0" memberValueDatatype="7" unbalanced="0"/>
    <cacheHierarchy uniqueName="[rArtikliAnaliza].[ReportType]" caption="ReportType" attribute="1" defaultMemberUniqueName="[rArtikliAnaliza].[ReportType].[All]" allUniqueName="[rArtikliAnaliza].[ReportType].[All]" dimensionUniqueName="[rArtikliAnaliza]" displayFolder="" count="0" memberValueDatatype="130" unbalanced="0"/>
    <cacheHierarchy uniqueName="[rArtikliAnaliza].[StavkaImeMK]" caption="StavkaImeMK" attribute="1" defaultMemberUniqueName="[rArtikliAnaliza].[StavkaImeMK].[All]" allUniqueName="[rArtikliAnaliza].[StavkaImeMK].[All]" dimensionUniqueName="[rArtikliAnaliza]" displayFolder="" count="0" memberValueDatatype="130" unbalanced="0"/>
    <cacheHierarchy uniqueName="[rArtikliAnaliza].[StavkaKategorija]" caption="StavkaKategorija" attribute="1" defaultMemberUniqueName="[rArtikliAnaliza].[StavkaKategorija].[All]" allUniqueName="[rArtikliAnaliza].[StavkaKategorija].[All]" dimensionUniqueName="[rArtikliAnaliza]" displayFolder="" count="0" memberValueDatatype="130" unbalanced="0"/>
    <cacheHierarchy uniqueName="[rArtikliAnaliza].[Период (Year)]" caption="Период (Year)" attribute="1" defaultMemberUniqueName="[rArtikliAnaliza].[Период (Year)].[All]" allUniqueName="[rArtikliAnaliza].[Период (Year)].[All]" dimensionUniqueName="[rArtikliAnaliza]" displayFolder="" count="2" memberValueDatatype="130" unbalanced="0">
      <fieldsUsage count="2">
        <fieldUsage x="-1"/>
        <fieldUsage x="5"/>
      </fieldsUsage>
    </cacheHierarchy>
    <cacheHierarchy uniqueName="[rArtikliAnaliza].[Период (Quarter)]" caption="Период (Quarter)" attribute="1" defaultMemberUniqueName="[rArtikliAnaliza].[Период (Quarter)].[All]" allUniqueName="[rArtikliAnaliza].[Период (Quarter)].[All]" dimensionUniqueName="[rArtikliAnaliza]" displayFolder="" count="0" memberValueDatatype="130" unbalanced="0"/>
    <cacheHierarchy uniqueName="[rArtikliAnaliza].[Период (Month)]" caption="Период (Month)" attribute="1" defaultMemberUniqueName="[rArtikliAnaliza].[Период (Month)].[All]" allUniqueName="[rArtikliAnaliza].[Период (Month)].[All]" dimensionUniqueName="[rArtikliAnaliza]" displayFolder="" count="0" memberValueDatatype="130" unbalanced="0"/>
    <cacheHierarchy uniqueName="[CAPEX].[Очекуван датум за ставање во употреба (месец) (Month Index)]" caption="Очекуван датум за ставање во употреба (месец) (Month Index)" attribute="1" defaultMemberUniqueName="[CAPEX].[Очекуван датум за ставање во употреба (месец) (Month Index)].[All]" allUniqueName="[CAPEX].[Очекуван датум за ставање во употреба (месец) (Month Index)].[All]" dimensionUniqueName="[CAPEX]" displayFolder="" count="0" memberValueDatatype="20" unbalanced="0" hidden="1"/>
    <cacheHierarchy uniqueName="[CAPEX].[Очекуван датум на плаќање (Month Index)]" caption="Очекуван датум на плаќање (Month Index)" attribute="1" defaultMemberUniqueName="[CAPEX].[Очекуван датум на плаќање (Month Index)].[All]" allUniqueName="[CAPEX].[Очекуван датум на плаќање (Month Index)].[All]" dimensionUniqueName="[CAPEX]" displayFolder="" count="0" memberValueDatatype="20" unbalanced="0" hidden="1"/>
    <cacheHierarchy uniqueName="[fActualAndBudget].[StavkaID]" caption="StavkaID" attribute="1" defaultMemberUniqueName="[fActualAndBudget].[StavkaID].[All]" allUniqueName="[fActualAndBudget].[StavkaID].[All]" dimensionUniqueName="[fActualAndBudget]" displayFolder="" count="0" memberValueDatatype="20" unbalanced="0" hidden="1"/>
    <cacheHierarchy uniqueName="[fCoveckiResursi].[Период (Month Index)]" caption="Период (Month Index)" attribute="1" defaultMemberUniqueName="[fCoveckiResursi].[Период (Month Index)].[All]" allUniqueName="[fCoveckiResursi].[Период (Month Index)].[All]" dimensionUniqueName="[fCoveckiResursi]" displayFolder="" count="0" memberValueDatatype="20" unbalanced="0" hidden="1"/>
    <cacheHierarchy uniqueName="[fCoveckiResursi].[Период (Month Index) 1]" caption="Период (Month Index) 1" attribute="1" defaultMemberUniqueName="[fCoveckiResursi].[Период (Month Index) 1].[All]" allUniqueName="[fCoveckiResursi].[Период (Month Index) 1].[All]" dimensionUniqueName="[fCoveckiResursi]" displayFolder="" count="0" memberValueDatatype="20" unbalanced="0" hidden="1"/>
    <cacheHierarchy uniqueName="[OPEXAnaliza].[Период (Month Index)]" caption="Период (Month Index)" attribute="1" defaultMemberUniqueName="[OPEXAnaliza].[Период (Month Index)].[All]" allUniqueName="[OPEXAnaliza].[Период (Month Index)].[All]" dimensionUniqueName="[OPEXAnaliza]" displayFolder="" count="0" memberValueDatatype="20" unbalanced="0" hidden="1"/>
    <cacheHierarchy uniqueName="[rArtikli_HR_Analiza].[Крајна состојба вработени]" caption="Крајна состојба вработени" attribute="1" defaultMemberUniqueName="[rArtikli_HR_Analiza].[Крајна состојба вработени].[All]" allUniqueName="[rArtikli_HR_Analiza].[Крајна состојба вработени].[All]" dimensionUniqueName="[rArtikli_HR_Analiza]" displayFolder="" count="0" memberValueDatatype="20" unbalanced="0" hidden="1"/>
    <cacheHierarchy uniqueName="[rArtikli_HR_Analiza].[Планиран прилив/(одлив)]" caption="Планиран прилив/(одлив)" attribute="1" defaultMemberUniqueName="[rArtikli_HR_Analiza].[Планиран прилив/(одлив)].[All]" allUniqueName="[rArtikli_HR_Analiza].[Планиран прилив/(одлив)].[All]" dimensionUniqueName="[rArtikli_HR_Analiza]" displayFolder="" count="0" memberValueDatatype="20" unbalanced="0" hidden="1"/>
    <cacheHierarchy uniqueName="[rArtikli_HR_Analiza].[Тип на вработување]" caption="Тип на вработување" attribute="1" defaultMemberUniqueName="[rArtikli_HR_Analiza].[Тип на вработување].[All]" allUniqueName="[rArtikli_HR_Analiza].[Тип на вработување].[All]" dimensionUniqueName="[rArtikli_HR_Analiza]" displayFolder="" count="0" memberValueDatatype="130" unbalanced="0" hidden="1"/>
    <cacheHierarchy uniqueName="[rArtikliAnaliza].[Период (Month Index)]" caption="Период (Month Index)" attribute="1" defaultMemberUniqueName="[rArtikliAnaliza].[Период (Month Index)].[All]" allUniqueName="[rArtikliAnaliza].[Период (Month Index)].[All]" dimensionUniqueName="[rArtikliAnaliza]" displayFolder="" count="0" memberValueDatatype="20" unbalanced="0" hidden="1"/>
    <cacheHierarchy uniqueName="[Measures].[__XL_Count Calendar]" caption="__XL_Count Calendar" measure="1" displayFolder="" measureGroup="Calendar" count="0" hidden="1"/>
    <cacheHierarchy uniqueName="[Measures].[__XL_Count CAPEX]" caption="__XL_Count CAPEX" measure="1" displayFolder="" measureGroup="CAPEX" count="0" hidden="1"/>
    <cacheHierarchy uniqueName="[Measures].[__XL_Count Amortizacija]" caption="__XL_Count Amortizacija" measure="1" displayFolder="" measureGroup="Amortizacija" count="0" hidden="1"/>
    <cacheHierarchy uniqueName="[Measures].[__XL_Count fCoveckiResursi]" caption="__XL_Count fCoveckiResursi" measure="1" displayFolder="" measureGroup="fCoveckiResursi" count="0" hidden="1"/>
    <cacheHierarchy uniqueName="[Measures].[__XL_Count fActualAndBudget]" caption="__XL_Count fActualAndBudget" measure="1" displayFolder="" measureGroup="fActualAndBudget" count="0" hidden="1"/>
    <cacheHierarchy uniqueName="[Measures].[__XL_Count fOPEX]" caption="__XL_Count fOPEX" measure="1" displayFolder="" measureGroup="fOPEX" count="0" hidden="1"/>
    <cacheHierarchy uniqueName="[Measures].[__XL_Count OPEXAnaliza]" caption="__XL_Count OPEXAnaliza" measure="1" displayFolder="" measureGroup="OPEXAnaliza" count="0" hidden="1"/>
    <cacheHierarchy uniqueName="[Measures].[__XL_Count rArtikliAnaliza]" caption="__XL_Count rArtikliAnaliza" measure="1" displayFolder="" measureGroup="rArtikliAnaliza" count="0" hidden="1"/>
    <cacheHierarchy uniqueName="[Measures].[__XL_Count fArtikliCeni]" caption="__XL_Count fArtikliCeni" measure="1" displayFolder="" measureGroup="fArtikliCeni" count="0" hidden="1"/>
    <cacheHierarchy uniqueName="[Measures].[__XL_Count rArtikli_HR_Analiza]" caption="__XL_Count rArtikli_HR_Analiza" measure="1" displayFolder="" measureGroup="rArtikli_HR_Analiza" count="0" hidden="1"/>
    <cacheHierarchy uniqueName="[Measures].[__XL_Count fCoveckiResursi  2]" caption="__XL_Count fCoveckiResursi  2" measure="1" displayFolder="" measureGroup="fCoveckiResursi  2" count="0" hidden="1"/>
    <cacheHierarchy uniqueName="[Measures].[__No measures defined]" caption="__No measures defined" measure="1" displayFolder="" count="0" hidden="1"/>
    <cacheHierarchy uniqueName="[Measures].[Sum of Износ 3]" caption="Sum of Износ 3" measure="1" displayFolder="" measureGroup="fCoveckiResursi" count="0" hidden="1">
      <extLst>
        <ext xmlns:x15="http://schemas.microsoft.com/office/spreadsheetml/2010/11/main" uri="{B97F6D7D-B522-45F9-BDA1-12C45D357490}">
          <x15:cacheHierarchy aggregatedColumn="71"/>
        </ext>
      </extLst>
    </cacheHierarchy>
    <cacheHierarchy uniqueName="[Measures].[Sum of Крајна состојба вработени]" caption="Sum of Крајна состојба вработени" measure="1" displayFolder="" measureGroup="fCoveckiResursi" count="0" hidden="1">
      <extLst>
        <ext xmlns:x15="http://schemas.microsoft.com/office/spreadsheetml/2010/11/main" uri="{B97F6D7D-B522-45F9-BDA1-12C45D357490}">
          <x15:cacheHierarchy aggregatedColumn="70"/>
        </ext>
      </extLst>
    </cacheHierarchy>
    <cacheHierarchy uniqueName="[Measures].[Sum of Планиран прилив/(одлив)]" caption="Sum of Планиран прилив/(одлив)" measure="1" displayFolder="" measureGroup="fCoveckiResursi" count="0" hidden="1">
      <extLst>
        <ext xmlns:x15="http://schemas.microsoft.com/office/spreadsheetml/2010/11/main" uri="{B97F6D7D-B522-45F9-BDA1-12C45D357490}">
          <x15:cacheHierarchy aggregatedColumn="68"/>
        </ext>
      </extLst>
    </cacheHierarchy>
    <cacheHierarchy uniqueName="[Measures].[Sum of Износ]" caption="Sum of Износ" measure="1" displayFolder="" measureGroup="fActualAndBudget" count="0" hidden="1">
      <extLst>
        <ext xmlns:x15="http://schemas.microsoft.com/office/spreadsheetml/2010/11/main" uri="{B97F6D7D-B522-45F9-BDA1-12C45D357490}">
          <x15:cacheHierarchy aggregatedColumn="45"/>
        </ext>
      </extLst>
    </cacheHierarchy>
    <cacheHierarchy uniqueName="[Measures].[Sum of Износ (илјади)]" caption="Sum of Износ (илјади)" measure="1" displayFolder="" measureGroup="fActualAndBudget" count="0" hidden="1">
      <extLst>
        <ext xmlns:x15="http://schemas.microsoft.com/office/spreadsheetml/2010/11/main" uri="{B97F6D7D-B522-45F9-BDA1-12C45D357490}">
          <x15:cacheHierarchy aggregatedColumn="46"/>
        </ext>
      </extLst>
    </cacheHierarchy>
    <cacheHierarchy uniqueName="[Measures].[Sum of Износ1]" caption="Sum of Износ1" measure="1" displayFolder="" measureGroup="fActualAndBudget" count="0" hidden="1">
      <extLst>
        <ext xmlns:x15="http://schemas.microsoft.com/office/spreadsheetml/2010/11/main" uri="{B97F6D7D-B522-45F9-BDA1-12C45D357490}">
          <x15:cacheHierarchy aggregatedColumn="34"/>
        </ext>
      </extLst>
    </cacheHierarchy>
    <cacheHierarchy uniqueName="[Measures].[Sum of Износ 2]" caption="Sum of Износ 2" measure="1" displayFolder="" measureGroup="Amortizacija" count="0" hidden="1">
      <extLst>
        <ext xmlns:x15="http://schemas.microsoft.com/office/spreadsheetml/2010/11/main" uri="{B97F6D7D-B522-45F9-BDA1-12C45D357490}">
          <x15:cacheHierarchy aggregatedColumn="3"/>
        </ext>
      </extLst>
    </cacheHierarchy>
    <cacheHierarchy uniqueName="[Measures].[Sum of Износ 4]" caption="Sum of Износ 4" measure="1" displayFolder="" measureGroup="OPEXAnaliza" count="0" hidden="1">
      <extLst>
        <ext xmlns:x15="http://schemas.microsoft.com/office/spreadsheetml/2010/11/main" uri="{B97F6D7D-B522-45F9-BDA1-12C45D357490}">
          <x15:cacheHierarchy aggregatedColumn="101"/>
        </ext>
      </extLst>
    </cacheHierarchy>
    <cacheHierarchy uniqueName="[Measures].[Sum of Износ донација]" caption="Sum of Износ донација" measure="1" displayFolder="" measureGroup="CAPEX" count="0" hidden="1">
      <extLst>
        <ext xmlns:x15="http://schemas.microsoft.com/office/spreadsheetml/2010/11/main" uri="{B97F6D7D-B522-45F9-BDA1-12C45D357490}">
          <x15:cacheHierarchy aggregatedColumn="24"/>
        </ext>
      </extLst>
    </cacheHierarchy>
    <cacheHierarchy uniqueName="[Measures].[Sum of Вкупно трошок]" caption="Sum of Вкупно трошок" measure="1" displayFolder="" measureGroup="fArtikliCeni" count="0" hidden="1">
      <extLst>
        <ext xmlns:x15="http://schemas.microsoft.com/office/spreadsheetml/2010/11/main" uri="{B97F6D7D-B522-45F9-BDA1-12C45D357490}">
          <x15:cacheHierarchy aggregatedColumn="55"/>
        </ext>
      </extLst>
    </cacheHierarchy>
    <cacheHierarchy uniqueName="[Measures].[Sum of Количина]" caption="Sum of Количина" measure="1" displayFolder="" measureGroup="fArtikliCeni" count="0" hidden="1">
      <extLst>
        <ext xmlns:x15="http://schemas.microsoft.com/office/spreadsheetml/2010/11/main" uri="{B97F6D7D-B522-45F9-BDA1-12C45D357490}">
          <x15:cacheHierarchy aggregatedColumn="53"/>
        </ext>
      </extLst>
    </cacheHierarchy>
    <cacheHierarchy uniqueName="[Measures].[Sum of Единечна цена]" caption="Sum of Единечна цена" measure="1" displayFolder="" measureGroup="fArtikliCeni" count="0" hidden="1">
      <extLst>
        <ext xmlns:x15="http://schemas.microsoft.com/office/spreadsheetml/2010/11/main" uri="{B97F6D7D-B522-45F9-BDA1-12C45D357490}">
          <x15:cacheHierarchy aggregatedColumn="54"/>
        </ext>
      </extLst>
    </cacheHierarchy>
    <cacheHierarchy uniqueName="[Measures].[Sum of ДДВ]" caption="Sum of ДДВ" measure="1" displayFolder="" measureGroup="fArtikliCeni" count="0" hidden="1">
      <extLst>
        <ext xmlns:x15="http://schemas.microsoft.com/office/spreadsheetml/2010/11/main" uri="{B97F6D7D-B522-45F9-BDA1-12C45D357490}">
          <x15:cacheHierarchy aggregatedColumn="56"/>
        </ext>
      </extLst>
    </cacheHierarchy>
    <cacheHierarchy uniqueName="[Measures].[Sum of Износ 6]" caption="Sum of Износ 6" measure="1" displayFolder="" measureGroup="fArtikliCeni" count="0" hidden="1">
      <extLst>
        <ext xmlns:x15="http://schemas.microsoft.com/office/spreadsheetml/2010/11/main" uri="{B97F6D7D-B522-45F9-BDA1-12C45D357490}">
          <x15:cacheHierarchy aggregatedColumn="57"/>
        </ext>
      </extLst>
    </cacheHierarchy>
    <cacheHierarchy uniqueName="[Measures].[Count of Единечна мерка]" caption="Count of Единечна мерка" measure="1" displayFolder="" measureGroup="fArtikliCeni" count="0" hidden="1">
      <extLst>
        <ext xmlns:x15="http://schemas.microsoft.com/office/spreadsheetml/2010/11/main" uri="{B97F6D7D-B522-45F9-BDA1-12C45D357490}">
          <x15:cacheHierarchy aggregatedColumn="52"/>
        </ext>
      </extLst>
    </cacheHierarchy>
    <cacheHierarchy uniqueName="[Measures].[Sum of Количина 2]" caption="Sum of Количина 2" measure="1" displayFolder="" measureGroup="rArtikli_HR_Analiza" count="0" hidden="1">
      <extLst>
        <ext xmlns:x15="http://schemas.microsoft.com/office/spreadsheetml/2010/11/main" uri="{B97F6D7D-B522-45F9-BDA1-12C45D357490}">
          <x15:cacheHierarchy aggregatedColumn="118"/>
        </ext>
      </extLst>
    </cacheHierarchy>
    <cacheHierarchy uniqueName="[Measures].[Sum of Единечна цена 2]" caption="Sum of Единечна цена 2" measure="1" displayFolder="" measureGroup="rArtikli_HR_Analiza" count="0" hidden="1">
      <extLst>
        <ext xmlns:x15="http://schemas.microsoft.com/office/spreadsheetml/2010/11/main" uri="{B97F6D7D-B522-45F9-BDA1-12C45D357490}">
          <x15:cacheHierarchy aggregatedColumn="119"/>
        </ext>
      </extLst>
    </cacheHierarchy>
    <cacheHierarchy uniqueName="[Measures].[Sum of Вкупно трошок 2]" caption="Sum of Вкупно трошок 2" measure="1" displayFolder="" measureGroup="rArtikli_HR_Analiza" count="0" hidden="1">
      <extLst>
        <ext xmlns:x15="http://schemas.microsoft.com/office/spreadsheetml/2010/11/main" uri="{B97F6D7D-B522-45F9-BDA1-12C45D357490}">
          <x15:cacheHierarchy aggregatedColumn="120"/>
        </ext>
      </extLst>
    </cacheHierarchy>
    <cacheHierarchy uniqueName="[Measures].[Sum of ДДВ 2]" caption="Sum of ДДВ 2" measure="1" displayFolder="" measureGroup="rArtikli_HR_Analiza" count="0" hidden="1">
      <extLst>
        <ext xmlns:x15="http://schemas.microsoft.com/office/spreadsheetml/2010/11/main" uri="{B97F6D7D-B522-45F9-BDA1-12C45D357490}">
          <x15:cacheHierarchy aggregatedColumn="121"/>
        </ext>
      </extLst>
    </cacheHierarchy>
    <cacheHierarchy uniqueName="[Measures].[Sum of Износ 7]" caption="Sum of Износ 7" measure="1" displayFolder="" measureGroup="rArtikli_HR_Analiza" count="0" hidden="1">
      <extLst>
        <ext xmlns:x15="http://schemas.microsoft.com/office/spreadsheetml/2010/11/main" uri="{B97F6D7D-B522-45F9-BDA1-12C45D357490}">
          <x15:cacheHierarchy aggregatedColumn="122"/>
        </ext>
      </extLst>
    </cacheHierarchy>
    <cacheHierarchy uniqueName="[Measures].[Sum of Износ 5]" caption="Sum of Износ 5" measure="1" displayFolder="" measureGroup="fCoveckiResursi  2" count="0" hidden="1">
      <extLst>
        <ext xmlns:x15="http://schemas.microsoft.com/office/spreadsheetml/2010/11/main" uri="{B97F6D7D-B522-45F9-BDA1-12C45D357490}">
          <x15:cacheHierarchy aggregatedColumn="82"/>
        </ext>
      </extLst>
    </cacheHierarchy>
    <cacheHierarchy uniqueName="[Measures].[Sum of Проценета вредност на набавка со ДДВ (денари)]" caption="Sum of Проценета вредност на набавка со ДДВ (денари)" measure="1" displayFolder="" measureGroup="CAPEX" count="0" hidden="1">
      <extLst>
        <ext xmlns:x15="http://schemas.microsoft.com/office/spreadsheetml/2010/11/main" uri="{B97F6D7D-B522-45F9-BDA1-12C45D357490}">
          <x15:cacheHierarchy aggregatedColumn="20"/>
        </ext>
      </extLst>
    </cacheHierarchy>
  </cacheHierarchies>
  <kpis count="0"/>
  <dimensions count="12">
    <dimension name="Amortizacija" uniqueName="[Amortizacija]" caption="Amortizacija"/>
    <dimension name="Calendar" uniqueName="[Calendar]" caption="Calendar"/>
    <dimension name="CAPEX" uniqueName="[CAPEX]" caption="CAPEX"/>
    <dimension name="fActualAndBudget" uniqueName="[fActualAndBudget]" caption="fActualAndBudget"/>
    <dimension name="fArtikliCeni" uniqueName="[fArtikliCeni]" caption="fArtikliCeni"/>
    <dimension name="fCoveckiResursi" uniqueName="[fCoveckiResursi]" caption="fCoveckiResursi"/>
    <dimension name="fCoveckiResursi  2" uniqueName="[fCoveckiResursi  2]" caption="fCoveckiResursi  2"/>
    <dimension name="fOPEX" uniqueName="[fOPEX]" caption="fOPEX"/>
    <dimension measure="1" name="Measures" uniqueName="[Measures]" caption="Measures"/>
    <dimension name="OPEXAnaliza" uniqueName="[OPEXAnaliza]" caption="OPEXAnaliza"/>
    <dimension name="rArtikli_HR_Analiza" uniqueName="[rArtikli_HR_Analiza]" caption="rArtikli_HR_Analiza"/>
    <dimension name="rArtikliAnaliza" uniqueName="[rArtikliAnaliza]" caption="rArtikliAnaliza"/>
  </dimensions>
  <measureGroups count="11">
    <measureGroup name="Amortizacija" caption="Amortizacija"/>
    <measureGroup name="Calendar" caption="Calendar"/>
    <measureGroup name="CAPEX" caption="CAPEX"/>
    <measureGroup name="fActualAndBudget" caption="fActualAndBudget"/>
    <measureGroup name="fArtikliCeni" caption="fArtikliCeni"/>
    <measureGroup name="fCoveckiResursi" caption="fCoveckiResursi"/>
    <measureGroup name="fCoveckiResursi  2" caption="fCoveckiResursi  2"/>
    <measureGroup name="fOPEX" caption="fOPEX"/>
    <measureGroup name="OPEXAnaliza" caption="OPEXAnaliza"/>
    <measureGroup name="rArtikli_HR_Analiza" caption="rArtikli_HR_Analiza"/>
    <measureGroup name="rArtikliAnaliza" caption="rArtikliAnaliza"/>
  </measureGroups>
  <maps count="19">
    <map measureGroup="0" dimension="0"/>
    <map measureGroup="0" dimension="1"/>
    <map measureGroup="1" dimension="1"/>
    <map measureGroup="2" dimension="1"/>
    <map measureGroup="2" dimension="2"/>
    <map measureGroup="3" dimension="1"/>
    <map measureGroup="3" dimension="3"/>
    <map measureGroup="4" dimension="4"/>
    <map measureGroup="5" dimension="1"/>
    <map measureGroup="5" dimension="5"/>
    <map measureGroup="6" dimension="1"/>
    <map measureGroup="6" dimension="6"/>
    <map measureGroup="7" dimension="1"/>
    <map measureGroup="7" dimension="7"/>
    <map measureGroup="8" dimension="1"/>
    <map measureGroup="8" dimension="9"/>
    <map measureGroup="9" dimension="10"/>
    <map measureGroup="10" dimension="1"/>
    <map measureGroup="10" dimension="1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8.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ngela Sazdova - Doneva" refreshedDate="44899.978496180556" createdVersion="5" refreshedVersion="6" minRefreshableVersion="3" recordCount="0" supportSubquery="1" supportAdvancedDrill="1" xr:uid="{00000000-000A-0000-FFFF-FFFF08000000}">
  <cacheSource type="external" connectionId="22"/>
  <cacheFields count="18">
    <cacheField name="[Calendar].[Date Hierarchy].[Year]" caption="Year" numFmtId="0" hierarchy="7" level="1">
      <sharedItems containsSemiMixedTypes="0" containsNonDate="0" containsString="0"/>
    </cacheField>
    <cacheField name="[Calendar].[Date Hierarchy].[Month]" caption="Month" numFmtId="0" hierarchy="7" level="2">
      <sharedItems containsSemiMixedTypes="0" containsNonDate="0" containsString="0"/>
    </cacheField>
    <cacheField name="[Calendar].[Date Hierarchy].[DateColumn]" caption="DateColumn" numFmtId="0" hierarchy="7" level="3">
      <sharedItems containsSemiMixedTypes="0" containsNonDate="0" containsString="0"/>
    </cacheField>
    <cacheField name="[Calendar].[Година].[Година]" caption="Година" numFmtId="0" hierarchy="8" level="1">
      <sharedItems containsSemiMixedTypes="0" containsString="0" containsNumber="1" containsInteger="1" minValue="2019" maxValue="2021" count="3">
        <n v="2019"/>
        <n v="2020"/>
        <n v="2021"/>
      </sharedItems>
      <extLst>
        <ext xmlns:x15="http://schemas.microsoft.com/office/spreadsheetml/2010/11/main" uri="{4F2E5C28-24EA-4eb8-9CBF-B6C8F9C3D259}">
          <x15:cachedUniqueNames>
            <x15:cachedUniqueName index="0" name="[Calendar].[Година].&amp;[2019]"/>
            <x15:cachedUniqueName index="1" name="[Calendar].[Година].&amp;[2020]"/>
            <x15:cachedUniqueName index="2" name="[Calendar].[Година].&amp;[2021]"/>
          </x15:cachedUniqueNames>
        </ext>
      </extLst>
    </cacheField>
    <cacheField name="[fActualAndBudget].[ObrazecIme].[ObrazecIme]" caption="ObrazecIme" numFmtId="0" hierarchy="44" level="1">
      <sharedItems containsSemiMixedTypes="0" containsNonDate="0" containsString="0"/>
    </cacheField>
    <cacheField name="[rArtikliAnaliza].[Период (Year)].[Период (Year)]" caption="Период (Year)" numFmtId="0" hierarchy="148" level="1">
      <sharedItems containsSemiMixedTypes="0" containsNonDate="0" containsString="0"/>
    </cacheField>
    <cacheField name="[fArtikliCeni].[ObrazecIme].[ObrazecIme]" caption="ObrazecIme" numFmtId="0" hierarchy="65" level="1">
      <sharedItems containsSemiMixedTypes="0" containsNonDate="0" containsString="0"/>
    </cacheField>
    <cacheField name="[rArtikli_HR_Analiza].[Ставка].[Ставка]" caption="Ставка" numFmtId="0" hierarchy="114" level="1">
      <sharedItems count="129" longText="1">
        <s v="NADOMEST ZA ODVOEN @IVOT"/>
        <s v="Агенција за привремени вработувања"/>
        <s v="Дневници за службени патувања во странство"/>
        <s v="Договор на дело"/>
        <s v="Надоместоци за членови на комисија за жалби"/>
        <s v="Надоместоци за членови на УО"/>
        <s v="Систематски прегледи"/>
        <s v="Трошоци за синдикат"/>
        <s v="Трошоци за спорт и рекреација на вработени"/>
        <s v="Услуги за советувања и семинари"/>
        <s v="Услуги за стручно усовршување и обуки"/>
        <s v="Редовен трошок за банкарски услуги и трошоци за платен промет"/>
        <s v="Чланарина за ЕБРА"/>
        <s v="Чланарина за ИАСА"/>
        <s v="Чланарина за ЦРФ"/>
        <s v="Авионски билети повратни - BIFIDEX"/>
        <s v="Авионски билети повратни - EBRA"/>
        <s v="Авионски билети повратни -Брисел"/>
        <s v="Патни трошоци во земјата"/>
        <s v="Сместување за службено патување во Брисел"/>
        <s v="Сместување за службено патување за Бифидекс"/>
        <s v="Сместување за службено патување за присуство на работни групи на ЕБРА"/>
        <s v="Хотелско сместување во земјата на пописната комисија за попис на средства за 3 члена"/>
        <s v="Гаранција со поддршка за критична опрема во систем сали"/>
        <s v="Електронски систем за е-анкети и истражување - surveymonkey (Годишно продолжување на основната партиципација за користење на апликацијата)"/>
        <s v="Набавка на лиценци за Софтверско решение за управување со IT процеси"/>
        <s v="Набавка на софтверски лиценци (продолжување на постоечки лиценци за софтвер за анкети, за валидација на емаил адреси (се користи во сите софтверски решенија), сертификати за системите, софтвер за автоматско испраќање на емаил пораки, софтвер за далечински пристап)"/>
        <s v="Набавка на софтверско решение за Q-radar за  Vulnerability скенирање (за скенирање на 150 уреди)"/>
        <s v="Обновување на услуги за поддршка - управување со компјутерска безбедност  - Q-radar"/>
        <s v="Услуга за издавање на временски печат (800000 транскации) (за 24 месеци вредноста е 1416000)"/>
        <s v="Услуга-Компонента за дигитално потпишување - по постоен договор"/>
        <s v="Услуги за поддршка за Софтверско решение за управување со резервни копии - COMMVAULT"/>
        <s v="Годишен просечен трошок за вода"/>
        <s v="Годишен просечен трошок за смет"/>
        <s v="Трошоци за возила за гаражирање и паркинг"/>
        <s v="Трошоци за одржување на зеленило"/>
        <s v="Закуп ( сала - обука за професионалните заедници за новини во законските решенија"/>
        <s v="Закуп за канцеларија за РРК/PK"/>
        <s v="Адвокатски услуги - рочишта"/>
        <s v="Весници - претплати Правник"/>
        <s v="Вода за канистри во Централа, РРК и СИТ"/>
        <s v="Газирани пијалоци"/>
        <s v="Давање на парична помош на физички лица"/>
        <s v="Дневни весници"/>
        <s v="Други неспомнати нематеријални трошоци : погрешно уплатени средства и непредвидени трошоци"/>
        <s v="Заверка за обнова на сертификат"/>
        <s v="Кафе"/>
        <s v="Млеко"/>
        <s v="Нотарски награди"/>
        <s v="Останата литература"/>
        <s v="Останата репрезентација"/>
        <s v="ПВЦ чаши и цевки"/>
        <s v="Просечен годишен трошок за судски такси"/>
        <s v="Растворливо кафе во гранули"/>
        <s v="Службен весник- електронска верзија"/>
        <s v="Службен весник- хартија"/>
        <s v="Службеник весник - ел.претплата"/>
        <s v="Угостителски услуги - останати"/>
        <s v="Угостителски услуги - репрезентација ( деловни средби на 4 до 6 лица)"/>
        <s v="Чај"/>
        <s v="Шеќер"/>
        <s v="Авторска агенција за посредување"/>
        <s v="Вулканизерски услуги"/>
        <s v="Договор за дигитални сертификати ( вкупна вредност за 2 години е 160000)"/>
        <s v="Договор со КИБС за банкарски сметки"/>
        <s v="Заеднички трошоци со НБРМ по договор за одржување на објекти"/>
        <s v="Замена на пневматици (зимски и летни; за 15 возила промена на гуми два пати годишно)"/>
        <s v="Интервентни поправки"/>
        <s v="ИСО надзорна проверка за 3 стандарди (ИСО 9001, ИСО 14001 и ИСО 45001)"/>
        <s v="ИСО ресертификација и надзорни проверки на систем за управување со безбедност на информации согласно ИСО 27001 за три години"/>
        <s v="Клипинг сервиси"/>
        <s v="Консултантски услуги од домен на регистри, транспонирање на ЕУ директиви"/>
        <s v="Меѓународна возачка дозвола"/>
        <s v="Надомест за јавни патишта"/>
        <s v="Перење на возила"/>
        <s v="Печатење на билтен со статистички податоци"/>
        <s v="Поправки и одржување на делови од систем сала"/>
        <s v="Портал за законски прописи - договор со оператор"/>
        <s v="Процена на вредност на расходувани средства од попис"/>
        <s v="Процена на средства на вработени кои заминуваат во пензија"/>
        <s v="Регистарција на возила"/>
        <s v="Редовен сервис на Opel Insignia"/>
        <s v="Редовен сервис на мали возила"/>
        <s v="Сијалички и други трошоци за возила"/>
        <s v="Стручно лице за здравје и безбедност при работа  и услуги од таа област"/>
        <s v="Технички преглед за возила"/>
        <s v="Течност за стакло"/>
        <s v="Трошоци за возила за таксена марка"/>
        <s v="Трошоци за патарина"/>
        <s v="Услуга – пенетрациско тестирање на безбедноста на информациските системи"/>
        <s v="Услуги за преписи и преводи исполнување на законските обврски од Закон за јазиците"/>
        <s v="Услуги за ревизија и проценка на завршна годишна сметка, давање на мислење"/>
        <s v="Услуги од проценители"/>
        <s v="Автоодговорност и каско осигурување"/>
        <s v="Други премии за осигурување -Патничко осигурување"/>
        <s v="Осигурување на градежни објекти"/>
        <s v="Премија за осигурување на компјутерска опрема"/>
        <s v="Премија за осигурување на транспортни средства"/>
        <s v="Премија за осигурување од професионална одговорност за штети према трети лица"/>
        <s v="Економски оператор за карго услуги - други транспортни услуги"/>
        <s v="Интернет"/>
        <s v="Мобилна телефонија"/>
        <s v="Поштенски услуги"/>
        <s v="Поштенски услуги до 50 грама"/>
        <s v="Претплата за тв"/>
        <s v="Такси превоз"/>
        <s v="Услуга – Податочно Ethernet приватно поврзување"/>
        <s v="Фиксна телефонија и IPVPN по договор"/>
        <s v="Беџови"/>
        <s v="Вода (за панелисти)"/>
        <s v="Годишен трошок за објава на огласи во весници"/>
        <s v="Изведувачи (за време на коктел)"/>
        <s v="Календарчиња"/>
        <s v="Кафе (за гости)"/>
        <s v="Коктел шведска маса"/>
        <s v="Освежителни пијалоци"/>
        <s v="Персонал за 200 гости"/>
        <s v="Просечен годишен трошок за објава на отворен повик"/>
        <s v="Просторија за коктел"/>
        <s v="Работни тетратки"/>
        <s v="Репрезентативни комплети"/>
        <s v="Сала"/>
        <s v="Техника / осветлување, бим"/>
        <s v="Набавка на услуги за одржување, поправка и поддршка на информатичка инфраструктура (на 24 месеци), даден е годишниот износ на трошок"/>
        <s v="Одржување на систем за фср - износ по договор"/>
        <s v="Тековно одржување на хигиена во деловниот простор на Централен регистар"/>
        <s v="Техничко одржување и поправки на објекти во РРК и РК - белеење, тековни поправки, санации"/>
        <s v="Услуги за одржување и поправка на против пожарни системи за систем сали  - износ по договор"/>
        <s v="Услуги за одржување на системи за напојување и климатизација во СС и РК/РРК - износ по договор"/>
      </sharedItems>
    </cacheField>
    <cacheField name="[rArtikli_HR_Analiza].[Единечна мерка].[Единечна мерка]" caption="Единечна мерка" numFmtId="0" hierarchy="117" level="1">
      <sharedItems containsBlank="1" count="18">
        <m/>
        <s v="месеци"/>
        <s v="кол"/>
        <s v="авиобилети"/>
        <s v="ноќевање"/>
        <s v="услуга"/>
        <s v="ком"/>
        <s v="парче"/>
        <s v="настан"/>
        <s v="годишен трошок"/>
        <s v="час"/>
        <s v="килограм"/>
        <s v="пакувања"/>
        <s v="пакување"/>
        <s v="претплата"/>
        <s v="вработени"/>
        <s v="возило"/>
        <s v="превоз"/>
      </sharedItems>
    </cacheField>
    <cacheField name="[rArtikli_HR_Analiza].[Категорија Артикл].[Категорија Артикл]" caption="Категорија Артикл" numFmtId="0" hierarchy="115" level="1">
      <sharedItems containsBlank="1" count="13">
        <m/>
        <s v="2.37 Банкарски услуги и трошоци на платен промет"/>
        <s v="2.37 Даноци чланарини и други давачки кои не зависат од резултатот"/>
        <s v="2.37 Дневници за службени патувања и патни трошоци"/>
        <s v="2.37 Лиценци за разни софтвери едногодишни обновливи"/>
        <s v="2.37 Надворешни услуги"/>
        <s v="2.37 Наемнини и лизинг"/>
        <s v="2.37 Останати нематеријални трошоци"/>
        <s v="2.37 Останати услуги"/>
        <s v="2.37 Премии за осигурување"/>
        <s v="2.37 Транспортни услуги"/>
        <s v="2.37 Трошоци за промоција,пропаганда, реклама, репрезентација и спонзорство"/>
        <s v="2.37 Услуги за одржување и заштита"/>
      </sharedItems>
    </cacheField>
    <cacheField name="[Measures].[Sum of Количина 2]" caption="Sum of Количина 2" numFmtId="0" hierarchy="188" level="32767"/>
    <cacheField name="[Measures].[Sum of Единечна цена 2]" caption="Sum of Единечна цена 2" numFmtId="0" hierarchy="189" level="32767"/>
    <cacheField name="[Measures].[Sum of Вкупно трошок 2]" caption="Sum of Вкупно трошок 2" numFmtId="0" hierarchy="190" level="32767"/>
    <cacheField name="[Measures].[Sum of ДДВ 2]" caption="Sum of ДДВ 2" numFmtId="0" hierarchy="191" level="32767"/>
    <cacheField name="[Measures].[Sum of Износ 7]" caption="Sum of Износ 7" numFmtId="0" hierarchy="192" level="32767"/>
    <cacheField name="[rArtikli_HR_Analiza].[Период].[Период]" caption="Период" numFmtId="0" hierarchy="125" level="1">
      <sharedItems containsSemiMixedTypes="0" containsNonDate="0" containsString="0"/>
    </cacheField>
    <cacheField name="[rArtikli_HR_Analiza].[ObrazecIme].[ObrazecIme]" caption="ObrazecIme" numFmtId="0" hierarchy="130" level="1">
      <sharedItems containsSemiMixedTypes="0" containsNonDate="0" containsString="0"/>
    </cacheField>
    <cacheField name="[rArtikli_HR_Analiza].[StavkaKategorija.1].[StavkaKategorija.1]" caption="StavkaKategorija.1" numFmtId="0" hierarchy="131" level="1">
      <sharedItems count="1">
        <s v="2.37. Останати оперативни расходи"/>
      </sharedItems>
    </cacheField>
  </cacheFields>
  <cacheHierarchies count="195">
    <cacheHierarchy uniqueName="[Amortizacija].[Број на јавна набавка (план)]" caption="Број на јавна набавка (план)" attribute="1" defaultMemberUniqueName="[Amortizacija].[Број на јавна набавка (план)].[All]" allUniqueName="[Amortizacija].[Број на јавна набавка (план)].[All]" dimensionUniqueName="[Amortizacija]" displayFolder="" count="0" memberValueDatatype="130" unbalanced="0"/>
    <cacheHierarchy uniqueName="[Amortizacija].[Ставка]" caption="Ставка" attribute="1" defaultMemberUniqueName="[Amortizacija].[Ставка].[All]" allUniqueName="[Amortizacija].[Ставка].[All]" dimensionUniqueName="[Amortizacija]" displayFolder="" count="0" memberValueDatatype="130" unbalanced="0"/>
    <cacheHierarchy uniqueName="[Amortizacija].[Период]" caption="Период" attribute="1" time="1" defaultMemberUniqueName="[Amortizacija].[Период].[All]" allUniqueName="[Amortizacija].[Период].[All]" dimensionUniqueName="[Amortizacija]" displayFolder="" count="0" memberValueDatatype="7" unbalanced="0"/>
    <cacheHierarchy uniqueName="[Amortizacija].[Износ]" caption="Износ" attribute="1" defaultMemberUniqueName="[Amortizacija].[Износ].[All]" allUniqueName="[Amortizacija].[Износ].[All]" dimensionUniqueName="[Amortizacija]" displayFolder="" count="0" memberValueDatatype="20" unbalanced="0"/>
    <cacheHierarchy uniqueName="[Amortizacija].[Конто]" caption="Конто" attribute="1" defaultMemberUniqueName="[Amortizacija].[Конто].[All]" allUniqueName="[Amortizacija].[Конто].[All]" dimensionUniqueName="[Amortizacija]" displayFolder="" count="0" memberValueDatatype="130" unbalanced="0"/>
    <cacheHierarchy uniqueName="[Amortizacija].[ReportType]" caption="ReportType" attribute="1" defaultMemberUniqueName="[Amortizacija].[ReportType].[All]" allUniqueName="[Amortizacija].[ReportType].[All]" dimensionUniqueName="[Amortizacija]" displayFolder="" count="0" memberValueDatatype="130" unbalanced="0"/>
    <cacheHierarchy uniqueName="[Calendar].[Date]" caption="Date" attribute="1" time="1" keyAttribute="1" defaultMemberUniqueName="[Calendar].[Date].[All]" allUniqueName="[Calendar].[Date].[All]" dimensionUniqueName="[Calendar]" displayFolder="" count="0" memberValueDatatype="7" unbalanced="0"/>
    <cacheHierarchy uniqueName="[Calendar].[Date Hierarchy]" caption="Date Hierarchy" time="1" defaultMemberUniqueName="[Calendar].[Date Hierarchy].[All]" allUniqueName="[Calendar].[Date Hierarchy].[All]" dimensionUniqueName="[Calendar]" displayFolder="" count="4" unbalanced="0">
      <fieldsUsage count="4">
        <fieldUsage x="-1"/>
        <fieldUsage x="0"/>
        <fieldUsage x="1"/>
        <fieldUsage x="2"/>
      </fieldsUsage>
    </cacheHierarchy>
    <cacheHierarchy uniqueName="[Calendar].[Година]" caption="Година" attribute="1" time="1" defaultMemberUniqueName="[Calendar].[Година].[All]" allUniqueName="[Calendar].[Година].[All]" dimensionUniqueName="[Calendar]" displayFolder="" count="2" memberValueDatatype="20" unbalanced="0">
      <fieldsUsage count="2">
        <fieldUsage x="-1"/>
        <fieldUsage x="3"/>
      </fieldsUsage>
    </cacheHierarchy>
    <cacheHierarchy uniqueName="[Calendar].[Month Number]" caption="Month Number" attribute="1" time="1" defaultMemberUniqueName="[Calendar].[Month Number].[All]" allUniqueName="[Calendar].[Month Number].[All]" dimensionUniqueName="[Calendar]" displayFolder="" count="0" memberValueDatatype="20" unbalanced="0"/>
    <cacheHierarchy uniqueName="[Calendar].[Месец]" caption="Месец" attribute="1" time="1" defaultMemberUniqueName="[Calendar].[Месец].[All]" allUniqueName="[Calendar].[Месец].[All]" dimensionUniqueName="[Calendar]" displayFolder="" count="0" memberValueDatatype="130" unbalanced="0"/>
    <cacheHierarchy uniqueName="[Calendar].[MMM-YYYY]" caption="MMM-YYYY" attribute="1" time="1" defaultMemberUniqueName="[Calendar].[MMM-YYYY].[All]" allUniqueName="[Calendar].[MMM-YYYY].[All]" dimensionUniqueName="[Calendar]" displayFolder="" count="0" memberValueDatatype="130" unbalanced="0"/>
    <cacheHierarchy uniqueName="[Calendar].[Day Of Week Number]" caption="Day Of Week Number" attribute="1" time="1" defaultMemberUniqueName="[Calendar].[Day Of Week Number].[All]" allUniqueName="[Calendar].[Day Of Week Number].[All]" dimensionUniqueName="[Calendar]" displayFolder="" count="0" memberValueDatatype="20" unbalanced="0"/>
    <cacheHierarchy uniqueName="[Calendar].[Day Of Week]" caption="Day Of Week" attribute="1" time="1" defaultMemberUniqueName="[Calendar].[Day Of Week].[All]" allUniqueName="[Calendar].[Day Of Week].[All]" dimensionUniqueName="[Calendar]" displayFolder="" count="0" memberValueDatatype="130" unbalanced="0"/>
    <cacheHierarchy uniqueName="[Calendar].[Квартал]" caption="Квартал" attribute="1" time="1" defaultMemberUniqueName="[Calendar].[Квартал].[All]" allUniqueName="[Calendar].[Квартал].[All]" dimensionUniqueName="[Calendar]" displayFolder="" count="0" memberValueDatatype="7" unbalanced="0"/>
    <cacheHierarchy uniqueName="[CAPEX].[Година за реализација на проект]" caption="Година за реализација на проект" attribute="1" defaultMemberUniqueName="[CAPEX].[Година за реализација на проект].[All]" allUniqueName="[CAPEX].[Година за реализација на проект].[All]" dimensionUniqueName="[CAPEX]" displayFolder="" count="0" memberValueDatatype="20" unbalanced="0"/>
    <cacheHierarchy uniqueName="[CAPEX].[Број на јавна набавка (план)]" caption="Број на јавна набавка (план)" attribute="1" defaultMemberUniqueName="[CAPEX].[Број на јавна набавка (план)].[All]" allUniqueName="[CAPEX].[Број на јавна набавка (план)].[All]" dimensionUniqueName="[CAPEX]" displayFolder="" count="0" memberValueDatatype="130" unbalanced="0"/>
    <cacheHierarchy uniqueName="[CAPEX].[Предмет на договорот за јавна набавка]" caption="Предмет на договорот за јавна набавка" attribute="1" defaultMemberUniqueName="[CAPEX].[Предмет на договорот за јавна набавка].[All]" allUniqueName="[CAPEX].[Предмет на договорот за јавна набавка].[All]" dimensionUniqueName="[CAPEX]" displayFolder="" count="0" memberValueDatatype="130" unbalanced="0"/>
    <cacheHierarchy uniqueName="[CAPEX].[Очекуван датум на плаќање]" caption="Очекуван датум на плаќање" attribute="1" time="1" defaultMemberUniqueName="[CAPEX].[Очекуван датум на плаќање].[All]" allUniqueName="[CAPEX].[Очекуван датум на плаќање].[All]" dimensionUniqueName="[CAPEX]" displayFolder="" count="0" memberValueDatatype="7" unbalanced="0"/>
    <cacheHierarchy uniqueName="[CAPEX].[Очекуван датум за ставање во употреба (месец)]" caption="Очекуван датум за ставање во употреба (месец)" attribute="1" time="1" defaultMemberUniqueName="[CAPEX].[Очекуван датум за ставање во употреба (месец)].[All]" allUniqueName="[CAPEX].[Очекуван датум за ставање во употреба (месец)].[All]" dimensionUniqueName="[CAPEX]" displayFolder="" count="0" memberValueDatatype="7" unbalanced="0"/>
    <cacheHierarchy uniqueName="[CAPEX].[Проценета вредност на набавка со ДДВ (денари)]" caption="Проценета вредност на набавка со ДДВ (денари)" attribute="1" defaultMemberUniqueName="[CAPEX].[Проценета вредност на набавка со ДДВ (денари)].[All]" allUniqueName="[CAPEX].[Проценета вредност на набавка со ДДВ (денари)].[All]" dimensionUniqueName="[CAPEX]" displayFolder="" count="0" memberValueDatatype="20" unbalanced="0"/>
    <cacheHierarchy uniqueName="[CAPEX].[Стапка на амортизација]" caption="Стапка на амортизација" attribute="1" defaultMemberUniqueName="[CAPEX].[Стапка на амортизација].[All]" allUniqueName="[CAPEX].[Стапка на амортизација].[All]" dimensionUniqueName="[CAPEX]" displayFolder="" count="0" memberValueDatatype="5" unbalanced="0"/>
    <cacheHierarchy uniqueName="[CAPEX].[Конто Средства]" caption="Конто Средства" attribute="1" defaultMemberUniqueName="[CAPEX].[Конто Средства].[All]" allUniqueName="[CAPEX].[Конто Средства].[All]" dimensionUniqueName="[CAPEX]" displayFolder="" count="0" memberValueDatatype="130" unbalanced="0"/>
    <cacheHierarchy uniqueName="[CAPEX].[Конто Амортизација]" caption="Конто Амортизација" attribute="1" defaultMemberUniqueName="[CAPEX].[Конто Амортизација].[All]" allUniqueName="[CAPEX].[Конто Амортизација].[All]" dimensionUniqueName="[CAPEX]" displayFolder="" count="0" memberValueDatatype="130" unbalanced="0"/>
    <cacheHierarchy uniqueName="[CAPEX].[Износ донација]" caption="Износ донација" attribute="1" defaultMemberUniqueName="[CAPEX].[Износ донација].[All]" allUniqueName="[CAPEX].[Износ донација].[All]" dimensionUniqueName="[CAPEX]" displayFolder="" count="0" memberValueDatatype="20" unbalanced="0"/>
    <cacheHierarchy uniqueName="[CAPEX].[Очекуван датум на плаќање (Year)]" caption="Очекуван датум на плаќање (Year)" attribute="1" defaultMemberUniqueName="[CAPEX].[Очекуван датум на плаќање (Year)].[All]" allUniqueName="[CAPEX].[Очекуван датум на плаќање (Year)].[All]" dimensionUniqueName="[CAPEX]" displayFolder="" count="0" memberValueDatatype="130" unbalanced="0"/>
    <cacheHierarchy uniqueName="[CAPEX].[Очекуван датум на плаќање (Quarter)]" caption="Очекуван датум на плаќање (Quarter)" attribute="1" defaultMemberUniqueName="[CAPEX].[Очекуван датум на плаќање (Quarter)].[All]" allUniqueName="[CAPEX].[Очекуван датум на плаќање (Quarter)].[All]" dimensionUniqueName="[CAPEX]" displayFolder="" count="0" memberValueDatatype="130" unbalanced="0"/>
    <cacheHierarchy uniqueName="[CAPEX].[Очекуван датум на плаќање (Month)]" caption="Очекуван датум на плаќање (Month)" attribute="1" defaultMemberUniqueName="[CAPEX].[Очекуван датум на плаќање (Month)].[All]" allUniqueName="[CAPEX].[Очекуван датум на плаќање (Month)].[All]" dimensionUniqueName="[CAPEX]" displayFolder="" count="0" memberValueDatatype="130" unbalanced="0"/>
    <cacheHierarchy uniqueName="[CAPEX].[Очекуван датум за ставање во употреба (месец) (Year)]" caption="Очекуван датум за ставање во употреба (месец) (Year)" attribute="1" defaultMemberUniqueName="[CAPEX].[Очекуван датум за ставање во употреба (месец) (Year)].[All]" allUniqueName="[CAPEX].[Очекуван датум за ставање во употреба (месец) (Year)].[All]" dimensionUniqueName="[CAPEX]" displayFolder="" count="0" memberValueDatatype="130" unbalanced="0"/>
    <cacheHierarchy uniqueName="[CAPEX].[Очекуван датум за ставање во употреба (месец) (Quarter)]" caption="Очекуван датум за ставање во употреба (месец) (Quarter)" attribute="1" defaultMemberUniqueName="[CAPEX].[Очекуван датум за ставање во употреба (месец) (Quarter)].[All]" allUniqueName="[CAPEX].[Очекуван датум за ставање во употреба (месец) (Quarter)].[All]" dimensionUniqueName="[CAPEX]" displayFolder="" count="0" memberValueDatatype="130" unbalanced="0"/>
    <cacheHierarchy uniqueName="[CAPEX].[Очекуван датум за ставање во употреба (месец) (Month)]" caption="Очекуван датум за ставање во употреба (месец) (Month)" attribute="1" defaultMemberUniqueName="[CAPEX].[Очекуван датум за ставање во употреба (месец) (Month)].[All]" allUniqueName="[CAPEX].[Очекуван датум за ставање во употреба (месец) (Month)].[All]" dimensionUniqueName="[CAPEX]" displayFolder="" count="0" memberValueDatatype="130" unbalanced="0"/>
    <cacheHierarchy uniqueName="[fActualAndBudget].[Конто]" caption="Конто" attribute="1" defaultMemberUniqueName="[fActualAndBudget].[Конто].[All]" allUniqueName="[fActualAndBudget].[Конто].[All]" dimensionUniqueName="[fActualAndBudget]" displayFolder="" count="0" memberValueDatatype="130" unbalanced="0"/>
    <cacheHierarchy uniqueName="[fActualAndBudget].[Назив на конто]" caption="Назив на конто" attribute="1" defaultMemberUniqueName="[fActualAndBudget].[Назив на конто].[All]" allUniqueName="[fActualAndBudget].[Назив на конто].[All]" dimensionUniqueName="[fActualAndBudget]" displayFolder="" count="0" memberValueDatatype="130" unbalanced="0"/>
    <cacheHierarchy uniqueName="[fActualAndBudget].[Период]" caption="Период" attribute="1" time="1" defaultMemberUniqueName="[fActualAndBudget].[Период].[All]" allUniqueName="[fActualAndBudget].[Период].[All]" dimensionUniqueName="[fActualAndBudget]" displayFolder="" count="0" memberValueDatatype="7" unbalanced="0"/>
    <cacheHierarchy uniqueName="[fActualAndBudget].[Износ1]" caption="Износ1" attribute="1" defaultMemberUniqueName="[fActualAndBudget].[Износ1].[All]" allUniqueName="[fActualAndBudget].[Износ1].[All]" dimensionUniqueName="[fActualAndBudget]" displayFolder="" count="0" memberValueDatatype="20" unbalanced="0"/>
    <cacheHierarchy uniqueName="[fActualAndBudget].[ReportType]" caption="ReportType" attribute="1" defaultMemberUniqueName="[fActualAndBudget].[ReportType].[All]" allUniqueName="[fActualAndBudget].[ReportType].[All]" dimensionUniqueName="[fActualAndBudget]" displayFolder="" count="0" memberValueDatatype="130" unbalanced="0"/>
    <cacheHierarchy uniqueName="[fActualAndBudget].[Ставка]" caption="Ставка" attribute="1" defaultMemberUniqueName="[fActualAndBudget].[Ставка].[All]" allUniqueName="[fActualAndBudget].[Ставка].[All]" dimensionUniqueName="[fActualAndBudget]" displayFolder="" count="0" memberValueDatatype="130" unbalanced="0"/>
    <cacheHierarchy uniqueName="[fActualAndBudget].[Број на јавна набавка (план)]" caption="Број на јавна набавка (план)" attribute="1" defaultMemberUniqueName="[fActualAndBudget].[Број на јавна набавка (план)].[All]" allUniqueName="[fActualAndBudget].[Број на јавна набавка (план)].[All]" dimensionUniqueName="[fActualAndBudget]" displayFolder="" count="0" memberValueDatatype="130" unbalanced="0"/>
    <cacheHierarchy uniqueName="[fActualAndBudget].[StavkaImeMK]" caption="StavkaImeMK" attribute="1" defaultMemberUniqueName="[fActualAndBudget].[StavkaImeMK].[All]" allUniqueName="[fActualAndBudget].[StavkaImeMK].[All]" dimensionUniqueName="[fActualAndBudget]" displayFolder="" count="0" memberValueDatatype="130" unbalanced="0"/>
    <cacheHierarchy uniqueName="[fActualAndBudget].[StavkaGrupa]" caption="StavkaGrupa" attribute="1" defaultMemberUniqueName="[fActualAndBudget].[StavkaGrupa].[All]" allUniqueName="[fActualAndBudget].[StavkaGrupa].[All]" dimensionUniqueName="[fActualAndBudget]" displayFolder="" count="0" memberValueDatatype="130" unbalanced="0"/>
    <cacheHierarchy uniqueName="[fActualAndBudget].[StavkaKategorija]" caption="StavkaKategorija" attribute="1" defaultMemberUniqueName="[fActualAndBudget].[StavkaKategorija].[All]" allUniqueName="[fActualAndBudget].[StavkaKategorija].[All]" dimensionUniqueName="[fActualAndBudget]" displayFolder="" count="0" memberValueDatatype="130" unbalanced="0"/>
    <cacheHierarchy uniqueName="[fActualAndBudget].[ZnakIzvestaj]" caption="ZnakIzvestaj" attribute="1" defaultMemberUniqueName="[fActualAndBudget].[ZnakIzvestaj].[All]" allUniqueName="[fActualAndBudget].[ZnakIzvestaj].[All]" dimensionUniqueName="[fActualAndBudget]" displayFolder="" count="0" memberValueDatatype="20" unbalanced="0"/>
    <cacheHierarchy uniqueName="[fActualAndBudget].[ObrazecID]" caption="ObrazecID" attribute="1" defaultMemberUniqueName="[fActualAndBudget].[ObrazecID].[All]" allUniqueName="[fActualAndBudget].[ObrazecID].[All]" dimensionUniqueName="[fActualAndBudget]" displayFolder="" count="0" memberValueDatatype="20" unbalanced="0"/>
    <cacheHierarchy uniqueName="[fActualAndBudget].[StavkaAOP]" caption="StavkaAOP" attribute="1" defaultMemberUniqueName="[fActualAndBudget].[StavkaAOP].[All]" allUniqueName="[fActualAndBudget].[StavkaAOP].[All]" dimensionUniqueName="[fActualAndBudget]" displayFolder="" count="0" memberValueDatatype="130" unbalanced="0"/>
    <cacheHierarchy uniqueName="[fActualAndBudget].[ObrazecIme]" caption="ObrazecIme" attribute="1" defaultMemberUniqueName="[fActualAndBudget].[ObrazecIme].[All]" allUniqueName="[fActualAndBudget].[ObrazecIme].[All]" dimensionUniqueName="[fActualAndBudget]" displayFolder="" count="2" memberValueDatatype="130" unbalanced="0">
      <fieldsUsage count="2">
        <fieldUsage x="-1"/>
        <fieldUsage x="4"/>
      </fieldsUsage>
    </cacheHierarchy>
    <cacheHierarchy uniqueName="[fActualAndBudget].[Износ]" caption="Износ" attribute="1" defaultMemberUniqueName="[fActualAndBudget].[Износ].[All]" allUniqueName="[fActualAndBudget].[Износ].[All]" dimensionUniqueName="[fActualAndBudget]" displayFolder="" count="0" memberValueDatatype="20" unbalanced="0"/>
    <cacheHierarchy uniqueName="[fActualAndBudget].[Износ (илјади)]" caption="Износ (илјади)" attribute="1" defaultMemberUniqueName="[fActualAndBudget].[Износ (илјади)].[All]" allUniqueName="[fActualAndBudget].[Износ (илјади)].[All]" dimensionUniqueName="[fActualAndBudget]" displayFolder="" count="0" memberValueDatatype="5" unbalanced="0"/>
    <cacheHierarchy uniqueName="[fActualAndBudget].[StavkaImeAOP]" caption="StavkaImeAOP" attribute="1" defaultMemberUniqueName="[fActualAndBudget].[StavkaImeAOP].[All]" allUniqueName="[fActualAndBudget].[StavkaImeAOP].[All]" dimensionUniqueName="[fActualAndBudget]" displayFolder="" count="0" memberValueDatatype="130" unbalanced="0"/>
    <cacheHierarchy uniqueName="[fActualAndBudget].[Конто Ставка]" caption="Конто Ставка" attribute="1" defaultMemberUniqueName="[fActualAndBudget].[Конто Ставка].[All]" allUniqueName="[fActualAndBudget].[Конто Ставка].[All]" dimensionUniqueName="[fActualAndBudget]" displayFolder="" count="0" memberValueDatatype="130" unbalanced="0"/>
    <cacheHierarchy uniqueName="[fArtikliCeni].[Ставка]" caption="Ставка" attribute="1" defaultMemberUniqueName="[fArtikliCeni].[Ставка].[All]" allUniqueName="[fArtikliCeni].[Ставка].[All]" dimensionUniqueName="[fArtikliCeni]" displayFolder="" count="0" memberValueDatatype="130" unbalanced="0"/>
    <cacheHierarchy uniqueName="[fArtikliCeni].[Категорија Артикл]" caption="Категорија Артикл" attribute="1" defaultMemberUniqueName="[fArtikliCeni].[Категорија Артикл].[All]" allUniqueName="[fArtikliCeni].[Категорија Артикл].[All]" dimensionUniqueName="[fArtikliCeni]" displayFolder="" count="0" memberValueDatatype="130" unbalanced="0"/>
    <cacheHierarchy uniqueName="[fArtikliCeni].[Тип на артикл]" caption="Тип на артикл" attribute="1" defaultMemberUniqueName="[fArtikliCeni].[Тип на артикл].[All]" allUniqueName="[fArtikliCeni].[Тип на артикл].[All]" dimensionUniqueName="[fArtikliCeni]" displayFolder="" count="0" memberValueDatatype="130" unbalanced="0"/>
    <cacheHierarchy uniqueName="[fArtikliCeni].[Единечна мерка]" caption="Единечна мерка" attribute="1" defaultMemberUniqueName="[fArtikliCeni].[Единечна мерка].[All]" allUniqueName="[fArtikliCeni].[Единечна мерка].[All]" dimensionUniqueName="[fArtikliCeni]" displayFolder="" count="0" memberValueDatatype="130" unbalanced="0"/>
    <cacheHierarchy uniqueName="[fArtikliCeni].[Количина]" caption="Количина" attribute="1" defaultMemberUniqueName="[fArtikliCeni].[Количина].[All]" allUniqueName="[fArtikliCeni].[Количина].[All]" dimensionUniqueName="[fArtikliCeni]" displayFolder="" count="0" memberValueDatatype="5" unbalanced="0"/>
    <cacheHierarchy uniqueName="[fArtikliCeni].[Единечна цена]" caption="Единечна цена" attribute="1" defaultMemberUniqueName="[fArtikliCeni].[Единечна цена].[All]" allUniqueName="[fArtikliCeni].[Единечна цена].[All]" dimensionUniqueName="[fArtikliCeni]" displayFolder="" count="0" memberValueDatatype="20" unbalanced="0"/>
    <cacheHierarchy uniqueName="[fArtikliCeni].[Вкупно трошок]" caption="Вкупно трошок" attribute="1" defaultMemberUniqueName="[fArtikliCeni].[Вкупно трошок].[All]" allUniqueName="[fArtikliCeni].[Вкупно трошок].[All]" dimensionUniqueName="[fArtikliCeni]" displayFolder="" count="0" memberValueDatatype="5" unbalanced="0"/>
    <cacheHierarchy uniqueName="[fArtikliCeni].[ДДВ]" caption="ДДВ" attribute="1" defaultMemberUniqueName="[fArtikliCeni].[ДДВ].[All]" allUniqueName="[fArtikliCeni].[ДДВ].[All]" dimensionUniqueName="[fArtikliCeni]" displayFolder="" count="0" memberValueDatatype="5" unbalanced="0"/>
    <cacheHierarchy uniqueName="[fArtikliCeni].[Износ]" caption="Износ" attribute="1" defaultMemberUniqueName="[fArtikliCeni].[Износ].[All]" allUniqueName="[fArtikliCeni].[Износ].[All]" dimensionUniqueName="[fArtikliCeni]" displayFolder="" count="0" memberValueDatatype="5" unbalanced="0"/>
    <cacheHierarchy uniqueName="[fArtikliCeni].[Конто]" caption="Конто" attribute="1" defaultMemberUniqueName="[fArtikliCeni].[Конто].[All]" allUniqueName="[fArtikliCeni].[Конто].[All]" dimensionUniqueName="[fArtikliCeni]" displayFolder="" count="0" memberValueDatatype="130" unbalanced="0"/>
    <cacheHierarchy uniqueName="[fArtikliCeni].[ReportType]" caption="ReportType" attribute="1" defaultMemberUniqueName="[fArtikliCeni].[ReportType].[All]" allUniqueName="[fArtikliCeni].[ReportType].[All]" dimensionUniqueName="[fArtikliCeni]" displayFolder="" count="0" memberValueDatatype="130" unbalanced="0"/>
    <cacheHierarchy uniqueName="[fArtikliCeni].[Период]" caption="Период" attribute="1" time="1" defaultMemberUniqueName="[fArtikliCeni].[Период].[All]" allUniqueName="[fArtikliCeni].[Период].[All]" dimensionUniqueName="[fArtikliCeni]" displayFolder="" count="0" memberValueDatatype="7" unbalanced="0"/>
    <cacheHierarchy uniqueName="[fArtikliCeni].[StavkaImeMK]" caption="StavkaImeMK" attribute="1" defaultMemberUniqueName="[fArtikliCeni].[StavkaImeMK].[All]" allUniqueName="[fArtikliCeni].[StavkaImeMK].[All]" dimensionUniqueName="[fArtikliCeni]" displayFolder="" count="0" memberValueDatatype="130" unbalanced="0"/>
    <cacheHierarchy uniqueName="[fArtikliCeni].[StavkaAOP]" caption="StavkaAOP" attribute="1" defaultMemberUniqueName="[fArtikliCeni].[StavkaAOP].[All]" allUniqueName="[fArtikliCeni].[StavkaAOP].[All]" dimensionUniqueName="[fArtikliCeni]" displayFolder="" count="0" memberValueDatatype="130" unbalanced="0"/>
    <cacheHierarchy uniqueName="[fArtikliCeni].[StavkaGrupa]" caption="StavkaGrupa" attribute="1" defaultMemberUniqueName="[fArtikliCeni].[StavkaGrupa].[All]" allUniqueName="[fArtikliCeni].[StavkaGrupa].[All]" dimensionUniqueName="[fArtikliCeni]" displayFolder="" count="0" memberValueDatatype="130" unbalanced="0"/>
    <cacheHierarchy uniqueName="[fArtikliCeni].[StavkaKategorija]" caption="StavkaKategorija" attribute="1" defaultMemberUniqueName="[fArtikliCeni].[StavkaKategorija].[All]" allUniqueName="[fArtikliCeni].[StavkaKategorija].[All]" dimensionUniqueName="[fArtikliCeni]" displayFolder="" count="0" memberValueDatatype="130" unbalanced="0"/>
    <cacheHierarchy uniqueName="[fArtikliCeni].[ObrazecIme]" caption="ObrazecIme" attribute="1" defaultMemberUniqueName="[fArtikliCeni].[ObrazecIme].[All]" allUniqueName="[fArtikliCeni].[ObrazecIme].[All]" dimensionUniqueName="[fArtikliCeni]" displayFolder="" count="2" memberValueDatatype="130" unbalanced="0">
      <fieldsUsage count="2">
        <fieldUsage x="-1"/>
        <fieldUsage x="6"/>
      </fieldsUsage>
    </cacheHierarchy>
    <cacheHierarchy uniqueName="[fCoveckiResursi].[Ставка]" caption="Ставка" attribute="1" defaultMemberUniqueName="[fCoveckiResursi].[Ставка].[All]" allUniqueName="[fCoveckiResursi].[Ставка].[All]" dimensionUniqueName="[fCoveckiResursi]" displayFolder="" count="0" memberValueDatatype="130" unbalanced="0"/>
    <cacheHierarchy uniqueName="[fCoveckiResursi].[Тип на вработување]" caption="Тип на вработување" attribute="1" defaultMemberUniqueName="[fCoveckiResursi].[Тип на вработување].[All]" allUniqueName="[fCoveckiResursi].[Тип на вработување].[All]" dimensionUniqueName="[fCoveckiResursi]" displayFolder="" count="0" memberValueDatatype="130" unbalanced="0"/>
    <cacheHierarchy uniqueName="[fCoveckiResursi].[Планиран прилив/(одлив)]" caption="Планиран прилив/(одлив)" attribute="1" defaultMemberUniqueName="[fCoveckiResursi].[Планиран прилив/(одлив)].[All]" allUniqueName="[fCoveckiResursi].[Планиран прилив/(одлив)].[All]" dimensionUniqueName="[fCoveckiResursi]" displayFolder="" count="0" memberValueDatatype="20" unbalanced="0"/>
    <cacheHierarchy uniqueName="[fCoveckiResursi].[Период]" caption="Период" attribute="1" time="1" defaultMemberUniqueName="[fCoveckiResursi].[Период].[All]" allUniqueName="[fCoveckiResursi].[Период].[All]" dimensionUniqueName="[fCoveckiResursi]" displayFolder="" count="0" memberValueDatatype="7" unbalanced="0"/>
    <cacheHierarchy uniqueName="[fCoveckiResursi].[Крајна состојба вработени]" caption="Крајна состојба вработени" attribute="1" defaultMemberUniqueName="[fCoveckiResursi].[Крајна состојба вработени].[All]" allUniqueName="[fCoveckiResursi].[Крајна состојба вработени].[All]" dimensionUniqueName="[fCoveckiResursi]" displayFolder="" count="0" memberValueDatatype="20" unbalanced="0"/>
    <cacheHierarchy uniqueName="[fCoveckiResursi].[Износ]" caption="Износ" attribute="1" defaultMemberUniqueName="[fCoveckiResursi].[Износ].[All]" allUniqueName="[fCoveckiResursi].[Износ].[All]" dimensionUniqueName="[fCoveckiResursi]" displayFolder="" count="0" memberValueDatatype="20" unbalanced="0"/>
    <cacheHierarchy uniqueName="[fCoveckiResursi].[Конто]" caption="Конто" attribute="1" defaultMemberUniqueName="[fCoveckiResursi].[Конто].[All]" allUniqueName="[fCoveckiResursi].[Конто].[All]" dimensionUniqueName="[fCoveckiResursi]" displayFolder="" count="0" memberValueDatatype="130" unbalanced="0"/>
    <cacheHierarchy uniqueName="[fCoveckiResursi].[ReportType]" caption="ReportType" attribute="1" defaultMemberUniqueName="[fCoveckiResursi].[ReportType].[All]" allUniqueName="[fCoveckiResursi].[ReportType].[All]" dimensionUniqueName="[fCoveckiResursi]" displayFolder="" count="0" memberValueDatatype="130" unbalanced="0"/>
    <cacheHierarchy uniqueName="[fCoveckiResursi].[Период (Year)]" caption="Период (Year)" attribute="1" defaultMemberUniqueName="[fCoveckiResursi].[Период (Year)].[All]" allUniqueName="[fCoveckiResursi].[Период (Year)].[All]" dimensionUniqueName="[fCoveckiResursi]" displayFolder="" count="0" memberValueDatatype="130" unbalanced="0"/>
    <cacheHierarchy uniqueName="[fCoveckiResursi].[Период (Quarter)]" caption="Период (Quarter)" attribute="1" defaultMemberUniqueName="[fCoveckiResursi].[Период (Quarter)].[All]" allUniqueName="[fCoveckiResursi].[Период (Quarter)].[All]" dimensionUniqueName="[fCoveckiResursi]" displayFolder="" count="0" memberValueDatatype="130" unbalanced="0"/>
    <cacheHierarchy uniqueName="[fCoveckiResursi].[Период (Month)]" caption="Период (Month)" attribute="1" defaultMemberUniqueName="[fCoveckiResursi].[Период (Month)].[All]" allUniqueName="[fCoveckiResursi].[Период (Month)].[All]" dimensionUniqueName="[fCoveckiResursi]" displayFolder="" count="0" memberValueDatatype="130" unbalanced="0"/>
    <cacheHierarchy uniqueName="[fCoveckiResursi].[Период (Year) 1]" caption="Период (Year) 1" attribute="1" defaultMemberUniqueName="[fCoveckiResursi].[Период (Year) 1].[All]" allUniqueName="[fCoveckiResursi].[Период (Year) 1].[All]" dimensionUniqueName="[fCoveckiResursi]" displayFolder="" count="0" memberValueDatatype="130" unbalanced="0"/>
    <cacheHierarchy uniqueName="[fCoveckiResursi].[Период (Quarter) 1]" caption="Период (Quarter) 1" attribute="1" defaultMemberUniqueName="[fCoveckiResursi].[Период (Quarter) 1].[All]" allUniqueName="[fCoveckiResursi].[Период (Quarter) 1].[All]" dimensionUniqueName="[fCoveckiResursi]" displayFolder="" count="0" memberValueDatatype="130" unbalanced="0"/>
    <cacheHierarchy uniqueName="[fCoveckiResursi].[Период (Month) 1]" caption="Период (Month) 1" attribute="1" defaultMemberUniqueName="[fCoveckiResursi].[Период (Month) 1].[All]" allUniqueName="[fCoveckiResursi].[Период (Month) 1].[All]" dimensionUniqueName="[fCoveckiResursi]" displayFolder="" count="0" memberValueDatatype="130" unbalanced="0"/>
    <cacheHierarchy uniqueName="[fCoveckiResursi  2].[Ставка]" caption="Ставка" attribute="1" defaultMemberUniqueName="[fCoveckiResursi  2].[Ставка].[All]" allUniqueName="[fCoveckiResursi  2].[Ставка].[All]" dimensionUniqueName="[fCoveckiResursi  2]" displayFolder="" count="0" memberValueDatatype="130" unbalanced="0"/>
    <cacheHierarchy uniqueName="[fCoveckiResursi  2].[Период]" caption="Период" attribute="1" time="1" defaultMemberUniqueName="[fCoveckiResursi  2].[Период].[All]" allUniqueName="[fCoveckiResursi  2].[Период].[All]" dimensionUniqueName="[fCoveckiResursi  2]" displayFolder="" count="0" memberValueDatatype="7" unbalanced="0"/>
    <cacheHierarchy uniqueName="[fCoveckiResursi  2].[Износ]" caption="Износ" attribute="1" defaultMemberUniqueName="[fCoveckiResursi  2].[Износ].[All]" allUniqueName="[fCoveckiResursi  2].[Износ].[All]" dimensionUniqueName="[fCoveckiResursi  2]" displayFolder="" count="0" memberValueDatatype="20" unbalanced="0"/>
    <cacheHierarchy uniqueName="[fCoveckiResursi  2].[Конто]" caption="Конто" attribute="1" defaultMemberUniqueName="[fCoveckiResursi  2].[Конто].[All]" allUniqueName="[fCoveckiResursi  2].[Конто].[All]" dimensionUniqueName="[fCoveckiResursi  2]" displayFolder="" count="0" memberValueDatatype="130" unbalanced="0"/>
    <cacheHierarchy uniqueName="[fCoveckiResursi  2].[ReportType]" caption="ReportType" attribute="1" defaultMemberUniqueName="[fCoveckiResursi  2].[ReportType].[All]" allUniqueName="[fCoveckiResursi  2].[ReportType].[All]" dimensionUniqueName="[fCoveckiResursi  2]" displayFolder="" count="0" memberValueDatatype="130" unbalanced="0"/>
    <cacheHierarchy uniqueName="[fCoveckiResursi  2].[StavkaImeMK]" caption="StavkaImeMK" attribute="1" defaultMemberUniqueName="[fCoveckiResursi  2].[StavkaImeMK].[All]" allUniqueName="[fCoveckiResursi  2].[StavkaImeMK].[All]" dimensionUniqueName="[fCoveckiResursi  2]" displayFolder="" count="0" memberValueDatatype="130" unbalanced="0"/>
    <cacheHierarchy uniqueName="[fCoveckiResursi  2].[StavkaKategorija]" caption="StavkaKategorija" attribute="1" defaultMemberUniqueName="[fCoveckiResursi  2].[StavkaKategorija].[All]" allUniqueName="[fCoveckiResursi  2].[StavkaKategorija].[All]" dimensionUniqueName="[fCoveckiResursi  2]" displayFolder="" count="0" memberValueDatatype="130" unbalanced="0"/>
    <cacheHierarchy uniqueName="[fCoveckiResursi  2].[ObrazecIme]" caption="ObrazecIme" attribute="1" defaultMemberUniqueName="[fCoveckiResursi  2].[ObrazecIme].[All]" allUniqueName="[fCoveckiResursi  2].[ObrazecIme].[All]" dimensionUniqueName="[fCoveckiResursi  2]" displayFolder="" count="0" memberValueDatatype="130" unbalanced="0"/>
    <cacheHierarchy uniqueName="[fOPEX].[Конто]" caption="Конто" attribute="1" defaultMemberUniqueName="[fOPEX].[Конто].[All]" allUniqueName="[fOPEX].[Конто].[All]" dimensionUniqueName="[fOPEX]" displayFolder="" count="0" memberValueDatatype="130" unbalanced="0"/>
    <cacheHierarchy uniqueName="[fOPEX].[Ставка]" caption="Ставка" attribute="1" defaultMemberUniqueName="[fOPEX].[Ставка].[All]" allUniqueName="[fOPEX].[Ставка].[All]" dimensionUniqueName="[fOPEX]" displayFolder="" count="0" memberValueDatatype="130" unbalanced="0"/>
    <cacheHierarchy uniqueName="[fOPEX].[Период]" caption="Период" attribute="1" time="1" defaultMemberUniqueName="[fOPEX].[Период].[All]" allUniqueName="[fOPEX].[Период].[All]" dimensionUniqueName="[fOPEX]" displayFolder="" count="0" memberValueDatatype="7" unbalanced="0"/>
    <cacheHierarchy uniqueName="[fOPEX].[Износ]" caption="Износ" attribute="1" defaultMemberUniqueName="[fOPEX].[Износ].[All]" allUniqueName="[fOPEX].[Износ].[All]" dimensionUniqueName="[fOPEX]" displayFolder="" count="0" memberValueDatatype="20" unbalanced="0"/>
    <cacheHierarchy uniqueName="[fOPEX].[ReportType]" caption="ReportType" attribute="1" defaultMemberUniqueName="[fOPEX].[ReportType].[All]" allUniqueName="[fOPEX].[ReportType].[All]" dimensionUniqueName="[fOPEX]" displayFolder="" count="0" memberValueDatatype="130" unbalanced="0"/>
    <cacheHierarchy uniqueName="[OPEXAnaliza].[Артикл ИД]" caption="Артикл ИД" attribute="1" defaultMemberUniqueName="[OPEXAnaliza].[Артикл ИД].[All]" allUniqueName="[OPEXAnaliza].[Артикл ИД].[All]" dimensionUniqueName="[OPEXAnaliza]" displayFolder="" count="0" memberValueDatatype="20" unbalanced="0"/>
    <cacheHierarchy uniqueName="[OPEXAnaliza].[Ставка]" caption="Ставка" attribute="1" defaultMemberUniqueName="[OPEXAnaliza].[Ставка].[All]" allUniqueName="[OPEXAnaliza].[Ставка].[All]" dimensionUniqueName="[OPEXAnaliza]" displayFolder="" count="0" memberValueDatatype="130" unbalanced="0"/>
    <cacheHierarchy uniqueName="[OPEXAnaliza].[Категорија Артикл ИД]" caption="Категорија Артикл ИД" attribute="1" defaultMemberUniqueName="[OPEXAnaliza].[Категорија Артикл ИД].[All]" allUniqueName="[OPEXAnaliza].[Категорија Артикл ИД].[All]" dimensionUniqueName="[OPEXAnaliza]" displayFolder="" count="0" memberValueDatatype="20" unbalanced="0"/>
    <cacheHierarchy uniqueName="[OPEXAnaliza].[Категорија Артикл]" caption="Категорија Артикл" attribute="1" defaultMemberUniqueName="[OPEXAnaliza].[Категорија Артикл].[All]" allUniqueName="[OPEXAnaliza].[Категорија Артикл].[All]" dimensionUniqueName="[OPEXAnaliza]" displayFolder="" count="0" memberValueDatatype="130" unbalanced="0"/>
    <cacheHierarchy uniqueName="[OPEXAnaliza].[Тип на артикл]" caption="Тип на артикл" attribute="1" defaultMemberUniqueName="[OPEXAnaliza].[Тип на артикл].[All]" allUniqueName="[OPEXAnaliza].[Тип на артикл].[All]" dimensionUniqueName="[OPEXAnaliza]" displayFolder="" count="0" memberValueDatatype="130" unbalanced="0"/>
    <cacheHierarchy uniqueName="[OPEXAnaliza].[Единечна мерка]" caption="Единечна мерка" attribute="1" defaultMemberUniqueName="[OPEXAnaliza].[Единечна мерка].[All]" allUniqueName="[OPEXAnaliza].[Единечна мерка].[All]" dimensionUniqueName="[OPEXAnaliza]" displayFolder="" count="0" memberValueDatatype="130" unbalanced="0"/>
    <cacheHierarchy uniqueName="[OPEXAnaliza].[Количина]" caption="Количина" attribute="1" defaultMemberUniqueName="[OPEXAnaliza].[Количина].[All]" allUniqueName="[OPEXAnaliza].[Количина].[All]" dimensionUniqueName="[OPEXAnaliza]" displayFolder="" count="0" memberValueDatatype="5" unbalanced="0"/>
    <cacheHierarchy uniqueName="[OPEXAnaliza].[Единечна цена]" caption="Единечна цена" attribute="1" defaultMemberUniqueName="[OPEXAnaliza].[Единечна цена].[All]" allUniqueName="[OPEXAnaliza].[Единечна цена].[All]" dimensionUniqueName="[OPEXAnaliza]" displayFolder="" count="0" memberValueDatatype="20" unbalanced="0"/>
    <cacheHierarchy uniqueName="[OPEXAnaliza].[Износ]" caption="Износ" attribute="1" defaultMemberUniqueName="[OPEXAnaliza].[Износ].[All]" allUniqueName="[OPEXAnaliza].[Износ].[All]" dimensionUniqueName="[OPEXAnaliza]" displayFolder="" count="0" memberValueDatatype="5" unbalanced="0"/>
    <cacheHierarchy uniqueName="[OPEXAnaliza].[ДДВ]" caption="ДДВ" attribute="1" defaultMemberUniqueName="[OPEXAnaliza].[ДДВ].[All]" allUniqueName="[OPEXAnaliza].[ДДВ].[All]" dimensionUniqueName="[OPEXAnaliza]" displayFolder="" count="0" memberValueDatatype="5" unbalanced="0"/>
    <cacheHierarchy uniqueName="[OPEXAnaliza].[Вкупно трошок со ДДВ]" caption="Вкупно трошок со ДДВ" attribute="1" defaultMemberUniqueName="[OPEXAnaliza].[Вкупно трошок со ДДВ].[All]" allUniqueName="[OPEXAnaliza].[Вкупно трошок со ДДВ].[All]" dimensionUniqueName="[OPEXAnaliza]" displayFolder="" count="0" memberValueDatatype="5" unbalanced="0"/>
    <cacheHierarchy uniqueName="[OPEXAnaliza].[Конто]" caption="Конто" attribute="1" defaultMemberUniqueName="[OPEXAnaliza].[Конто].[All]" allUniqueName="[OPEXAnaliza].[Конто].[All]" dimensionUniqueName="[OPEXAnaliza]" displayFolder="" count="0" memberValueDatatype="130" unbalanced="0"/>
    <cacheHierarchy uniqueName="[OPEXAnaliza].[Период]" caption="Период" attribute="1" time="1" defaultMemberUniqueName="[OPEXAnaliza].[Период].[All]" allUniqueName="[OPEXAnaliza].[Период].[All]" dimensionUniqueName="[OPEXAnaliza]" displayFolder="" count="0" memberValueDatatype="7" unbalanced="0"/>
    <cacheHierarchy uniqueName="[OPEXAnaliza].[ReportType]" caption="ReportType" attribute="1" defaultMemberUniqueName="[OPEXAnaliza].[ReportType].[All]" allUniqueName="[OPEXAnaliza].[ReportType].[All]" dimensionUniqueName="[OPEXAnaliza]" displayFolder="" count="0" memberValueDatatype="130" unbalanced="0"/>
    <cacheHierarchy uniqueName="[OPEXAnaliza].[StavkaImeMK]" caption="StavkaImeMK" attribute="1" defaultMemberUniqueName="[OPEXAnaliza].[StavkaImeMK].[All]" allUniqueName="[OPEXAnaliza].[StavkaImeMK].[All]" dimensionUniqueName="[OPEXAnaliza]" displayFolder="" count="0" memberValueDatatype="130" unbalanced="0"/>
    <cacheHierarchy uniqueName="[OPEXAnaliza].[StavkaKategorija]" caption="StavkaKategorija" attribute="1" defaultMemberUniqueName="[OPEXAnaliza].[StavkaKategorija].[All]" allUniqueName="[OPEXAnaliza].[StavkaKategorija].[All]" dimensionUniqueName="[OPEXAnaliza]" displayFolder="" count="0" memberValueDatatype="130" unbalanced="0"/>
    <cacheHierarchy uniqueName="[OPEXAnaliza].[ObrazecIme]" caption="ObrazecIme" attribute="1" defaultMemberUniqueName="[OPEXAnaliza].[ObrazecIme].[All]" allUniqueName="[OPEXAnaliza].[ObrazecIme].[All]" dimensionUniqueName="[OPEXAnaliza]" displayFolder="" count="0" memberValueDatatype="130" unbalanced="0"/>
    <cacheHierarchy uniqueName="[OPEXAnaliza].[StavkaImeAOP]" caption="StavkaImeAOP" attribute="1" defaultMemberUniqueName="[OPEXAnaliza].[StavkaImeAOP].[All]" allUniqueName="[OPEXAnaliza].[StavkaImeAOP].[All]" dimensionUniqueName="[OPEXAnaliza]" displayFolder="" count="0" memberValueDatatype="20" unbalanced="0"/>
    <cacheHierarchy uniqueName="[OPEXAnaliza].[Период (Year)]" caption="Период (Year)" attribute="1" defaultMemberUniqueName="[OPEXAnaliza].[Период (Year)].[All]" allUniqueName="[OPEXAnaliza].[Период (Year)].[All]" dimensionUniqueName="[OPEXAnaliza]" displayFolder="" count="0" memberValueDatatype="130" unbalanced="0"/>
    <cacheHierarchy uniqueName="[OPEXAnaliza].[Период (Quarter)]" caption="Период (Quarter)" attribute="1" defaultMemberUniqueName="[OPEXAnaliza].[Период (Quarter)].[All]" allUniqueName="[OPEXAnaliza].[Период (Quarter)].[All]" dimensionUniqueName="[OPEXAnaliza]" displayFolder="" count="0" memberValueDatatype="130" unbalanced="0"/>
    <cacheHierarchy uniqueName="[OPEXAnaliza].[Период (Month)]" caption="Период (Month)" attribute="1" defaultMemberUniqueName="[OPEXAnaliza].[Период (Month)].[All]" allUniqueName="[OPEXAnaliza].[Период (Month)].[All]" dimensionUniqueName="[OPEXAnaliza]" displayFolder="" count="0" memberValueDatatype="130" unbalanced="0"/>
    <cacheHierarchy uniqueName="[rArtikli_HR_Analiza].[Ставка]" caption="Ставка" attribute="1" defaultMemberUniqueName="[rArtikli_HR_Analiza].[Ставка].[All]" allUniqueName="[rArtikli_HR_Analiza].[Ставка].[All]" dimensionUniqueName="[rArtikli_HR_Analiza]" displayFolder="" count="2" memberValueDatatype="130" unbalanced="0">
      <fieldsUsage count="2">
        <fieldUsage x="-1"/>
        <fieldUsage x="7"/>
      </fieldsUsage>
    </cacheHierarchy>
    <cacheHierarchy uniqueName="[rArtikli_HR_Analiza].[Категорија Артикл]" caption="Категорија Артикл" attribute="1" defaultMemberUniqueName="[rArtikli_HR_Analiza].[Категорија Артикл].[All]" allUniqueName="[rArtikli_HR_Analiza].[Категорија Артикл].[All]" dimensionUniqueName="[rArtikli_HR_Analiza]" displayFolder="" count="2" memberValueDatatype="130" unbalanced="0">
      <fieldsUsage count="2">
        <fieldUsage x="-1"/>
        <fieldUsage x="9"/>
      </fieldsUsage>
    </cacheHierarchy>
    <cacheHierarchy uniqueName="[rArtikli_HR_Analiza].[Тип на артикл]" caption="Тип на артикл" attribute="1" defaultMemberUniqueName="[rArtikli_HR_Analiza].[Тип на артикл].[All]" allUniqueName="[rArtikli_HR_Analiza].[Тип на артикл].[All]" dimensionUniqueName="[rArtikli_HR_Analiza]" displayFolder="" count="0" memberValueDatatype="130" unbalanced="0"/>
    <cacheHierarchy uniqueName="[rArtikli_HR_Analiza].[Единечна мерка]" caption="Единечна мерка" attribute="1" defaultMemberUniqueName="[rArtikli_HR_Analiza].[Единечна мерка].[All]" allUniqueName="[rArtikli_HR_Analiza].[Единечна мерка].[All]" dimensionUniqueName="[rArtikli_HR_Analiza]" displayFolder="" count="2" memberValueDatatype="130" unbalanced="0">
      <fieldsUsage count="2">
        <fieldUsage x="-1"/>
        <fieldUsage x="8"/>
      </fieldsUsage>
    </cacheHierarchy>
    <cacheHierarchy uniqueName="[rArtikli_HR_Analiza].[Количина]" caption="Количина" attribute="1" defaultMemberUniqueName="[rArtikli_HR_Analiza].[Количина].[All]" allUniqueName="[rArtikli_HR_Analiza].[Количина].[All]" dimensionUniqueName="[rArtikli_HR_Analiza]" displayFolder="" count="0" memberValueDatatype="5" unbalanced="0"/>
    <cacheHierarchy uniqueName="[rArtikli_HR_Analiza].[Единечна цена]" caption="Единечна цена" attribute="1" defaultMemberUniqueName="[rArtikli_HR_Analiza].[Единечна цена].[All]" allUniqueName="[rArtikli_HR_Analiza].[Единечна цена].[All]" dimensionUniqueName="[rArtikli_HR_Analiza]" displayFolder="" count="0" memberValueDatatype="20" unbalanced="0"/>
    <cacheHierarchy uniqueName="[rArtikli_HR_Analiza].[Вкупно трошок]" caption="Вкупно трошок" attribute="1" defaultMemberUniqueName="[rArtikli_HR_Analiza].[Вкупно трошок].[All]" allUniqueName="[rArtikli_HR_Analiza].[Вкупно трошок].[All]" dimensionUniqueName="[rArtikli_HR_Analiza]" displayFolder="" count="0" memberValueDatatype="5" unbalanced="0"/>
    <cacheHierarchy uniqueName="[rArtikli_HR_Analiza].[ДДВ]" caption="ДДВ" attribute="1" defaultMemberUniqueName="[rArtikli_HR_Analiza].[ДДВ].[All]" allUniqueName="[rArtikli_HR_Analiza].[ДДВ].[All]" dimensionUniqueName="[rArtikli_HR_Analiza]" displayFolder="" count="0" memberValueDatatype="5" unbalanced="0"/>
    <cacheHierarchy uniqueName="[rArtikli_HR_Analiza].[Износ]" caption="Износ" attribute="1" defaultMemberUniqueName="[rArtikli_HR_Analiza].[Износ].[All]" allUniqueName="[rArtikli_HR_Analiza].[Износ].[All]" dimensionUniqueName="[rArtikli_HR_Analiza]" displayFolder="" count="0" memberValueDatatype="5" unbalanced="0"/>
    <cacheHierarchy uniqueName="[rArtikli_HR_Analiza].[Конто]" caption="Конто" attribute="1" defaultMemberUniqueName="[rArtikli_HR_Analiza].[Конто].[All]" allUniqueName="[rArtikli_HR_Analiza].[Конто].[All]" dimensionUniqueName="[rArtikli_HR_Analiza]" displayFolder="" count="0" memberValueDatatype="130" unbalanced="0"/>
    <cacheHierarchy uniqueName="[rArtikli_HR_Analiza].[ReportType]" caption="ReportType" attribute="1" defaultMemberUniqueName="[rArtikli_HR_Analiza].[ReportType].[All]" allUniqueName="[rArtikli_HR_Analiza].[ReportType].[All]" dimensionUniqueName="[rArtikli_HR_Analiza]" displayFolder="" count="0" memberValueDatatype="130" unbalanced="0"/>
    <cacheHierarchy uniqueName="[rArtikli_HR_Analiza].[Период]" caption="Период" attribute="1" time="1" defaultMemberUniqueName="[rArtikli_HR_Analiza].[Период].[All]" allUniqueName="[rArtikli_HR_Analiza].[Период].[All]" dimensionUniqueName="[rArtikli_HR_Analiza]" displayFolder="" count="2" memberValueDatatype="7" unbalanced="0">
      <fieldsUsage count="2">
        <fieldUsage x="-1"/>
        <fieldUsage x="15"/>
      </fieldsUsage>
    </cacheHierarchy>
    <cacheHierarchy uniqueName="[rArtikli_HR_Analiza].[StavkaImeMK]" caption="StavkaImeMK" attribute="1" defaultMemberUniqueName="[rArtikli_HR_Analiza].[StavkaImeMK].[All]" allUniqueName="[rArtikli_HR_Analiza].[StavkaImeMK].[All]" dimensionUniqueName="[rArtikli_HR_Analiza]" displayFolder="" count="0" memberValueDatatype="130" unbalanced="0"/>
    <cacheHierarchy uniqueName="[rArtikli_HR_Analiza].[StavkaAOP]" caption="StavkaAOP" attribute="1" defaultMemberUniqueName="[rArtikli_HR_Analiza].[StavkaAOP].[All]" allUniqueName="[rArtikli_HR_Analiza].[StavkaAOP].[All]" dimensionUniqueName="[rArtikli_HR_Analiza]" displayFolder="" count="0" memberValueDatatype="130" unbalanced="0"/>
    <cacheHierarchy uniqueName="[rArtikli_HR_Analiza].[StavkaGrupa]" caption="StavkaGrupa" attribute="1" defaultMemberUniqueName="[rArtikli_HR_Analiza].[StavkaGrupa].[All]" allUniqueName="[rArtikli_HR_Analiza].[StavkaGrupa].[All]" dimensionUniqueName="[rArtikli_HR_Analiza]" displayFolder="" count="0" memberValueDatatype="130" unbalanced="0"/>
    <cacheHierarchy uniqueName="[rArtikli_HR_Analiza].[StavkaKategorija]" caption="StavkaKategorija" attribute="1" defaultMemberUniqueName="[rArtikli_HR_Analiza].[StavkaKategorija].[All]" allUniqueName="[rArtikli_HR_Analiza].[StavkaKategorija].[All]" dimensionUniqueName="[rArtikli_HR_Analiza]" displayFolder="" count="0" memberValueDatatype="130" unbalanced="0"/>
    <cacheHierarchy uniqueName="[rArtikli_HR_Analiza].[ObrazecIme]" caption="ObrazecIme" attribute="1" defaultMemberUniqueName="[rArtikli_HR_Analiza].[ObrazecIme].[All]" allUniqueName="[rArtikli_HR_Analiza].[ObrazecIme].[All]" dimensionUniqueName="[rArtikli_HR_Analiza]" displayFolder="" count="2" memberValueDatatype="130" unbalanced="0">
      <fieldsUsage count="2">
        <fieldUsage x="-1"/>
        <fieldUsage x="16"/>
      </fieldsUsage>
    </cacheHierarchy>
    <cacheHierarchy uniqueName="[rArtikli_HR_Analiza].[StavkaKategorija.1]" caption="StavkaKategorija.1" attribute="1" defaultMemberUniqueName="[rArtikli_HR_Analiza].[StavkaKategorija.1].[All]" allUniqueName="[rArtikli_HR_Analiza].[StavkaKategorija.1].[All]" dimensionUniqueName="[rArtikli_HR_Analiza]" displayFolder="" count="2" memberValueDatatype="130" unbalanced="0">
      <fieldsUsage count="2">
        <fieldUsage x="-1"/>
        <fieldUsage x="17"/>
      </fieldsUsage>
    </cacheHierarchy>
    <cacheHierarchy uniqueName="[rArtikliAnaliza].[Артикл ИД]" caption="Артикл ИД" attribute="1" defaultMemberUniqueName="[rArtikliAnaliza].[Артикл ИД].[All]" allUniqueName="[rArtikliAnaliza].[Артикл ИД].[All]" dimensionUniqueName="[rArtikliAnaliza]" displayFolder="" count="0" memberValueDatatype="20" unbalanced="0"/>
    <cacheHierarchy uniqueName="[rArtikliAnaliza].[Ставка]" caption="Ставка" attribute="1" defaultMemberUniqueName="[rArtikliAnaliza].[Ставка].[All]" allUniqueName="[rArtikliAnaliza].[Ставка].[All]" dimensionUniqueName="[rArtikliAnaliza]" displayFolder="" count="0" memberValueDatatype="130" unbalanced="0"/>
    <cacheHierarchy uniqueName="[rArtikliAnaliza].[Категорија Артикл ИД]" caption="Категорија Артикл ИД" attribute="1" defaultMemberUniqueName="[rArtikliAnaliza].[Категорија Артикл ИД].[All]" allUniqueName="[rArtikliAnaliza].[Категорија Артикл ИД].[All]" dimensionUniqueName="[rArtikliAnaliza]" displayFolder="" count="0" memberValueDatatype="20" unbalanced="0"/>
    <cacheHierarchy uniqueName="[rArtikliAnaliza].[Категорија Артикл]" caption="Категорија Артикл" attribute="1" defaultMemberUniqueName="[rArtikliAnaliza].[Категорија Артикл].[All]" allUniqueName="[rArtikliAnaliza].[Категорија Артикл].[All]" dimensionUniqueName="[rArtikliAnaliza]" displayFolder="" count="0" memberValueDatatype="130" unbalanced="0"/>
    <cacheHierarchy uniqueName="[rArtikliAnaliza].[Тип на артикл]" caption="Тип на артикл" attribute="1" defaultMemberUniqueName="[rArtikliAnaliza].[Тип на артикл].[All]" allUniqueName="[rArtikliAnaliza].[Тип на артикл].[All]" dimensionUniqueName="[rArtikliAnaliza]" displayFolder="" count="0" memberValueDatatype="130" unbalanced="0"/>
    <cacheHierarchy uniqueName="[rArtikliAnaliza].[Единечна мерка]" caption="Единечна мерка" attribute="1" defaultMemberUniqueName="[rArtikliAnaliza].[Единечна мерка].[All]" allUniqueName="[rArtikliAnaliza].[Единечна мерка].[All]" dimensionUniqueName="[rArtikliAnaliza]" displayFolder="" count="0" memberValueDatatype="130" unbalanced="0"/>
    <cacheHierarchy uniqueName="[rArtikliAnaliza].[Количина]" caption="Количина" attribute="1" defaultMemberUniqueName="[rArtikliAnaliza].[Количина].[All]" allUniqueName="[rArtikliAnaliza].[Количина].[All]" dimensionUniqueName="[rArtikliAnaliza]" displayFolder="" count="0" memberValueDatatype="5" unbalanced="0"/>
    <cacheHierarchy uniqueName="[rArtikliAnaliza].[Единечна цена]" caption="Единечна цена" attribute="1" defaultMemberUniqueName="[rArtikliAnaliza].[Единечна цена].[All]" allUniqueName="[rArtikliAnaliza].[Единечна цена].[All]" dimensionUniqueName="[rArtikliAnaliza]" displayFolder="" count="0" memberValueDatatype="20" unbalanced="0"/>
    <cacheHierarchy uniqueName="[rArtikliAnaliza].[Износ]" caption="Износ" attribute="1" defaultMemberUniqueName="[rArtikliAnaliza].[Износ].[All]" allUniqueName="[rArtikliAnaliza].[Износ].[All]" dimensionUniqueName="[rArtikliAnaliza]" displayFolder="" count="0" memberValueDatatype="5" unbalanced="0"/>
    <cacheHierarchy uniqueName="[rArtikliAnaliza].[ДДВ]" caption="ДДВ" attribute="1" defaultMemberUniqueName="[rArtikliAnaliza].[ДДВ].[All]" allUniqueName="[rArtikliAnaliza].[ДДВ].[All]" dimensionUniqueName="[rArtikliAnaliza]" displayFolder="" count="0" memberValueDatatype="5" unbalanced="0"/>
    <cacheHierarchy uniqueName="[rArtikliAnaliza].[Вкупно трошок со ДДВ]" caption="Вкупно трошок со ДДВ" attribute="1" defaultMemberUniqueName="[rArtikliAnaliza].[Вкупно трошок со ДДВ].[All]" allUniqueName="[rArtikliAnaliza].[Вкупно трошок со ДДВ].[All]" dimensionUniqueName="[rArtikliAnaliza]" displayFolder="" count="0" memberValueDatatype="5" unbalanced="0"/>
    <cacheHierarchy uniqueName="[rArtikliAnaliza].[Конто]" caption="Конто" attribute="1" defaultMemberUniqueName="[rArtikliAnaliza].[Конто].[All]" allUniqueName="[rArtikliAnaliza].[Конто].[All]" dimensionUniqueName="[rArtikliAnaliza]" displayFolder="" count="0" memberValueDatatype="130" unbalanced="0"/>
    <cacheHierarchy uniqueName="[rArtikliAnaliza].[Период]" caption="Период" attribute="1" time="1" defaultMemberUniqueName="[rArtikliAnaliza].[Период].[All]" allUniqueName="[rArtikliAnaliza].[Период].[All]" dimensionUniqueName="[rArtikliAnaliza]" displayFolder="" count="0" memberValueDatatype="7" unbalanced="0"/>
    <cacheHierarchy uniqueName="[rArtikliAnaliza].[ReportType]" caption="ReportType" attribute="1" defaultMemberUniqueName="[rArtikliAnaliza].[ReportType].[All]" allUniqueName="[rArtikliAnaliza].[ReportType].[All]" dimensionUniqueName="[rArtikliAnaliza]" displayFolder="" count="0" memberValueDatatype="130" unbalanced="0"/>
    <cacheHierarchy uniqueName="[rArtikliAnaliza].[StavkaImeMK]" caption="StavkaImeMK" attribute="1" defaultMemberUniqueName="[rArtikliAnaliza].[StavkaImeMK].[All]" allUniqueName="[rArtikliAnaliza].[StavkaImeMK].[All]" dimensionUniqueName="[rArtikliAnaliza]" displayFolder="" count="0" memberValueDatatype="130" unbalanced="0"/>
    <cacheHierarchy uniqueName="[rArtikliAnaliza].[StavkaKategorija]" caption="StavkaKategorija" attribute="1" defaultMemberUniqueName="[rArtikliAnaliza].[StavkaKategorija].[All]" allUniqueName="[rArtikliAnaliza].[StavkaKategorija].[All]" dimensionUniqueName="[rArtikliAnaliza]" displayFolder="" count="0" memberValueDatatype="130" unbalanced="0"/>
    <cacheHierarchy uniqueName="[rArtikliAnaliza].[Период (Year)]" caption="Период (Year)" attribute="1" defaultMemberUniqueName="[rArtikliAnaliza].[Период (Year)].[All]" allUniqueName="[rArtikliAnaliza].[Период (Year)].[All]" dimensionUniqueName="[rArtikliAnaliza]" displayFolder="" count="2" memberValueDatatype="130" unbalanced="0">
      <fieldsUsage count="2">
        <fieldUsage x="-1"/>
        <fieldUsage x="5"/>
      </fieldsUsage>
    </cacheHierarchy>
    <cacheHierarchy uniqueName="[rArtikliAnaliza].[Период (Quarter)]" caption="Период (Quarter)" attribute="1" defaultMemberUniqueName="[rArtikliAnaliza].[Период (Quarter)].[All]" allUniqueName="[rArtikliAnaliza].[Период (Quarter)].[All]" dimensionUniqueName="[rArtikliAnaliza]" displayFolder="" count="0" memberValueDatatype="130" unbalanced="0"/>
    <cacheHierarchy uniqueName="[rArtikliAnaliza].[Период (Month)]" caption="Период (Month)" attribute="1" defaultMemberUniqueName="[rArtikliAnaliza].[Период (Month)].[All]" allUniqueName="[rArtikliAnaliza].[Период (Month)].[All]" dimensionUniqueName="[rArtikliAnaliza]" displayFolder="" count="0" memberValueDatatype="130" unbalanced="0"/>
    <cacheHierarchy uniqueName="[CAPEX].[Очекуван датум за ставање во употреба (месец) (Month Index)]" caption="Очекуван датум за ставање во употреба (месец) (Month Index)" attribute="1" defaultMemberUniqueName="[CAPEX].[Очекуван датум за ставање во употреба (месец) (Month Index)].[All]" allUniqueName="[CAPEX].[Очекуван датум за ставање во употреба (месец) (Month Index)].[All]" dimensionUniqueName="[CAPEX]" displayFolder="" count="0" memberValueDatatype="20" unbalanced="0" hidden="1"/>
    <cacheHierarchy uniqueName="[CAPEX].[Очекуван датум на плаќање (Month Index)]" caption="Очекуван датум на плаќање (Month Index)" attribute="1" defaultMemberUniqueName="[CAPEX].[Очекуван датум на плаќање (Month Index)].[All]" allUniqueName="[CAPEX].[Очекуван датум на плаќање (Month Index)].[All]" dimensionUniqueName="[CAPEX]" displayFolder="" count="0" memberValueDatatype="20" unbalanced="0" hidden="1"/>
    <cacheHierarchy uniqueName="[fActualAndBudget].[StavkaID]" caption="StavkaID" attribute="1" defaultMemberUniqueName="[fActualAndBudget].[StavkaID].[All]" allUniqueName="[fActualAndBudget].[StavkaID].[All]" dimensionUniqueName="[fActualAndBudget]" displayFolder="" count="0" memberValueDatatype="20" unbalanced="0" hidden="1"/>
    <cacheHierarchy uniqueName="[fCoveckiResursi].[Период (Month Index)]" caption="Период (Month Index)" attribute="1" defaultMemberUniqueName="[fCoveckiResursi].[Период (Month Index)].[All]" allUniqueName="[fCoveckiResursi].[Период (Month Index)].[All]" dimensionUniqueName="[fCoveckiResursi]" displayFolder="" count="0" memberValueDatatype="20" unbalanced="0" hidden="1"/>
    <cacheHierarchy uniqueName="[fCoveckiResursi].[Период (Month Index) 1]" caption="Период (Month Index) 1" attribute="1" defaultMemberUniqueName="[fCoveckiResursi].[Период (Month Index) 1].[All]" allUniqueName="[fCoveckiResursi].[Период (Month Index) 1].[All]" dimensionUniqueName="[fCoveckiResursi]" displayFolder="" count="0" memberValueDatatype="20" unbalanced="0" hidden="1"/>
    <cacheHierarchy uniqueName="[OPEXAnaliza].[Период (Month Index)]" caption="Период (Month Index)" attribute="1" defaultMemberUniqueName="[OPEXAnaliza].[Период (Month Index)].[All]" allUniqueName="[OPEXAnaliza].[Период (Month Index)].[All]" dimensionUniqueName="[OPEXAnaliza]" displayFolder="" count="0" memberValueDatatype="20" unbalanced="0" hidden="1"/>
    <cacheHierarchy uniqueName="[rArtikli_HR_Analiza].[Крајна состојба вработени]" caption="Крајна состојба вработени" attribute="1" defaultMemberUniqueName="[rArtikli_HR_Analiza].[Крајна состојба вработени].[All]" allUniqueName="[rArtikli_HR_Analiza].[Крајна состојба вработени].[All]" dimensionUniqueName="[rArtikli_HR_Analiza]" displayFolder="" count="0" memberValueDatatype="20" unbalanced="0" hidden="1"/>
    <cacheHierarchy uniqueName="[rArtikli_HR_Analiza].[Планиран прилив/(одлив)]" caption="Планиран прилив/(одлив)" attribute="1" defaultMemberUniqueName="[rArtikli_HR_Analiza].[Планиран прилив/(одлив)].[All]" allUniqueName="[rArtikli_HR_Analiza].[Планиран прилив/(одлив)].[All]" dimensionUniqueName="[rArtikli_HR_Analiza]" displayFolder="" count="0" memberValueDatatype="20" unbalanced="0" hidden="1"/>
    <cacheHierarchy uniqueName="[rArtikli_HR_Analiza].[Тип на вработување]" caption="Тип на вработување" attribute="1" defaultMemberUniqueName="[rArtikli_HR_Analiza].[Тип на вработување].[All]" allUniqueName="[rArtikli_HR_Analiza].[Тип на вработување].[All]" dimensionUniqueName="[rArtikli_HR_Analiza]" displayFolder="" count="0" memberValueDatatype="130" unbalanced="0" hidden="1"/>
    <cacheHierarchy uniqueName="[rArtikliAnaliza].[Период (Month Index)]" caption="Период (Month Index)" attribute="1" defaultMemberUniqueName="[rArtikliAnaliza].[Период (Month Index)].[All]" allUniqueName="[rArtikliAnaliza].[Период (Month Index)].[All]" dimensionUniqueName="[rArtikliAnaliza]" displayFolder="" count="0" memberValueDatatype="20" unbalanced="0" hidden="1"/>
    <cacheHierarchy uniqueName="[Measures].[__XL_Count Calendar]" caption="__XL_Count Calendar" measure="1" displayFolder="" measureGroup="Calendar" count="0" hidden="1"/>
    <cacheHierarchy uniqueName="[Measures].[__XL_Count CAPEX]" caption="__XL_Count CAPEX" measure="1" displayFolder="" measureGroup="CAPEX" count="0" hidden="1"/>
    <cacheHierarchy uniqueName="[Measures].[__XL_Count Amortizacija]" caption="__XL_Count Amortizacija" measure="1" displayFolder="" measureGroup="Amortizacija" count="0" hidden="1"/>
    <cacheHierarchy uniqueName="[Measures].[__XL_Count fCoveckiResursi]" caption="__XL_Count fCoveckiResursi" measure="1" displayFolder="" measureGroup="fCoveckiResursi" count="0" hidden="1"/>
    <cacheHierarchy uniqueName="[Measures].[__XL_Count fActualAndBudget]" caption="__XL_Count fActualAndBudget" measure="1" displayFolder="" measureGroup="fActualAndBudget" count="0" hidden="1"/>
    <cacheHierarchy uniqueName="[Measures].[__XL_Count fOPEX]" caption="__XL_Count fOPEX" measure="1" displayFolder="" measureGroup="fOPEX" count="0" hidden="1"/>
    <cacheHierarchy uniqueName="[Measures].[__XL_Count OPEXAnaliza]" caption="__XL_Count OPEXAnaliza" measure="1" displayFolder="" measureGroup="OPEXAnaliza" count="0" hidden="1"/>
    <cacheHierarchy uniqueName="[Measures].[__XL_Count rArtikliAnaliza]" caption="__XL_Count rArtikliAnaliza" measure="1" displayFolder="" measureGroup="rArtikliAnaliza" count="0" hidden="1"/>
    <cacheHierarchy uniqueName="[Measures].[__XL_Count fArtikliCeni]" caption="__XL_Count fArtikliCeni" measure="1" displayFolder="" measureGroup="fArtikliCeni" count="0" hidden="1"/>
    <cacheHierarchy uniqueName="[Measures].[__XL_Count rArtikli_HR_Analiza]" caption="__XL_Count rArtikli_HR_Analiza" measure="1" displayFolder="" measureGroup="rArtikli_HR_Analiza" count="0" hidden="1"/>
    <cacheHierarchy uniqueName="[Measures].[__XL_Count fCoveckiResursi  2]" caption="__XL_Count fCoveckiResursi  2" measure="1" displayFolder="" measureGroup="fCoveckiResursi  2" count="0" hidden="1"/>
    <cacheHierarchy uniqueName="[Measures].[__No measures defined]" caption="__No measures defined" measure="1" displayFolder="" count="0" hidden="1"/>
    <cacheHierarchy uniqueName="[Measures].[Sum of Износ 3]" caption="Sum of Износ 3" measure="1" displayFolder="" measureGroup="fCoveckiResursi" count="0" hidden="1">
      <extLst>
        <ext xmlns:x15="http://schemas.microsoft.com/office/spreadsheetml/2010/11/main" uri="{B97F6D7D-B522-45F9-BDA1-12C45D357490}">
          <x15:cacheHierarchy aggregatedColumn="71"/>
        </ext>
      </extLst>
    </cacheHierarchy>
    <cacheHierarchy uniqueName="[Measures].[Sum of Крајна состојба вработени]" caption="Sum of Крајна состојба вработени" measure="1" displayFolder="" measureGroup="fCoveckiResursi" count="0" hidden="1">
      <extLst>
        <ext xmlns:x15="http://schemas.microsoft.com/office/spreadsheetml/2010/11/main" uri="{B97F6D7D-B522-45F9-BDA1-12C45D357490}">
          <x15:cacheHierarchy aggregatedColumn="70"/>
        </ext>
      </extLst>
    </cacheHierarchy>
    <cacheHierarchy uniqueName="[Measures].[Sum of Планиран прилив/(одлив)]" caption="Sum of Планиран прилив/(одлив)" measure="1" displayFolder="" measureGroup="fCoveckiResursi" count="0" hidden="1">
      <extLst>
        <ext xmlns:x15="http://schemas.microsoft.com/office/spreadsheetml/2010/11/main" uri="{B97F6D7D-B522-45F9-BDA1-12C45D357490}">
          <x15:cacheHierarchy aggregatedColumn="68"/>
        </ext>
      </extLst>
    </cacheHierarchy>
    <cacheHierarchy uniqueName="[Measures].[Sum of Износ]" caption="Sum of Износ" measure="1" displayFolder="" measureGroup="fActualAndBudget" count="0" hidden="1">
      <extLst>
        <ext xmlns:x15="http://schemas.microsoft.com/office/spreadsheetml/2010/11/main" uri="{B97F6D7D-B522-45F9-BDA1-12C45D357490}">
          <x15:cacheHierarchy aggregatedColumn="45"/>
        </ext>
      </extLst>
    </cacheHierarchy>
    <cacheHierarchy uniqueName="[Measures].[Sum of Износ (илјади)]" caption="Sum of Износ (илјади)" measure="1" displayFolder="" measureGroup="fActualAndBudget" count="0" hidden="1">
      <extLst>
        <ext xmlns:x15="http://schemas.microsoft.com/office/spreadsheetml/2010/11/main" uri="{B97F6D7D-B522-45F9-BDA1-12C45D357490}">
          <x15:cacheHierarchy aggregatedColumn="46"/>
        </ext>
      </extLst>
    </cacheHierarchy>
    <cacheHierarchy uniqueName="[Measures].[Sum of Износ1]" caption="Sum of Износ1" measure="1" displayFolder="" measureGroup="fActualAndBudget" count="0" hidden="1">
      <extLst>
        <ext xmlns:x15="http://schemas.microsoft.com/office/spreadsheetml/2010/11/main" uri="{B97F6D7D-B522-45F9-BDA1-12C45D357490}">
          <x15:cacheHierarchy aggregatedColumn="34"/>
        </ext>
      </extLst>
    </cacheHierarchy>
    <cacheHierarchy uniqueName="[Measures].[Sum of Износ 2]" caption="Sum of Износ 2" measure="1" displayFolder="" measureGroup="Amortizacija" count="0" hidden="1">
      <extLst>
        <ext xmlns:x15="http://schemas.microsoft.com/office/spreadsheetml/2010/11/main" uri="{B97F6D7D-B522-45F9-BDA1-12C45D357490}">
          <x15:cacheHierarchy aggregatedColumn="3"/>
        </ext>
      </extLst>
    </cacheHierarchy>
    <cacheHierarchy uniqueName="[Measures].[Sum of Износ 4]" caption="Sum of Износ 4" measure="1" displayFolder="" measureGroup="OPEXAnaliza" count="0" hidden="1">
      <extLst>
        <ext xmlns:x15="http://schemas.microsoft.com/office/spreadsheetml/2010/11/main" uri="{B97F6D7D-B522-45F9-BDA1-12C45D357490}">
          <x15:cacheHierarchy aggregatedColumn="101"/>
        </ext>
      </extLst>
    </cacheHierarchy>
    <cacheHierarchy uniqueName="[Measures].[Sum of Износ донација]" caption="Sum of Износ донација" measure="1" displayFolder="" measureGroup="CAPEX" count="0" hidden="1">
      <extLst>
        <ext xmlns:x15="http://schemas.microsoft.com/office/spreadsheetml/2010/11/main" uri="{B97F6D7D-B522-45F9-BDA1-12C45D357490}">
          <x15:cacheHierarchy aggregatedColumn="24"/>
        </ext>
      </extLst>
    </cacheHierarchy>
    <cacheHierarchy uniqueName="[Measures].[Sum of Вкупно трошок]" caption="Sum of Вкупно трошок" measure="1" displayFolder="" measureGroup="fArtikliCeni" count="0" hidden="1">
      <extLst>
        <ext xmlns:x15="http://schemas.microsoft.com/office/spreadsheetml/2010/11/main" uri="{B97F6D7D-B522-45F9-BDA1-12C45D357490}">
          <x15:cacheHierarchy aggregatedColumn="55"/>
        </ext>
      </extLst>
    </cacheHierarchy>
    <cacheHierarchy uniqueName="[Measures].[Sum of Количина]" caption="Sum of Количина" measure="1" displayFolder="" measureGroup="fArtikliCeni" count="0" hidden="1">
      <extLst>
        <ext xmlns:x15="http://schemas.microsoft.com/office/spreadsheetml/2010/11/main" uri="{B97F6D7D-B522-45F9-BDA1-12C45D357490}">
          <x15:cacheHierarchy aggregatedColumn="53"/>
        </ext>
      </extLst>
    </cacheHierarchy>
    <cacheHierarchy uniqueName="[Measures].[Sum of Единечна цена]" caption="Sum of Единечна цена" measure="1" displayFolder="" measureGroup="fArtikliCeni" count="0" hidden="1">
      <extLst>
        <ext xmlns:x15="http://schemas.microsoft.com/office/spreadsheetml/2010/11/main" uri="{B97F6D7D-B522-45F9-BDA1-12C45D357490}">
          <x15:cacheHierarchy aggregatedColumn="54"/>
        </ext>
      </extLst>
    </cacheHierarchy>
    <cacheHierarchy uniqueName="[Measures].[Sum of ДДВ]" caption="Sum of ДДВ" measure="1" displayFolder="" measureGroup="fArtikliCeni" count="0" hidden="1">
      <extLst>
        <ext xmlns:x15="http://schemas.microsoft.com/office/spreadsheetml/2010/11/main" uri="{B97F6D7D-B522-45F9-BDA1-12C45D357490}">
          <x15:cacheHierarchy aggregatedColumn="56"/>
        </ext>
      </extLst>
    </cacheHierarchy>
    <cacheHierarchy uniqueName="[Measures].[Sum of Износ 6]" caption="Sum of Износ 6" measure="1" displayFolder="" measureGroup="fArtikliCeni" count="0" hidden="1">
      <extLst>
        <ext xmlns:x15="http://schemas.microsoft.com/office/spreadsheetml/2010/11/main" uri="{B97F6D7D-B522-45F9-BDA1-12C45D357490}">
          <x15:cacheHierarchy aggregatedColumn="57"/>
        </ext>
      </extLst>
    </cacheHierarchy>
    <cacheHierarchy uniqueName="[Measures].[Count of Единечна мерка]" caption="Count of Единечна мерка" measure="1" displayFolder="" measureGroup="fArtikliCeni" count="0" hidden="1">
      <extLst>
        <ext xmlns:x15="http://schemas.microsoft.com/office/spreadsheetml/2010/11/main" uri="{B97F6D7D-B522-45F9-BDA1-12C45D357490}">
          <x15:cacheHierarchy aggregatedColumn="52"/>
        </ext>
      </extLst>
    </cacheHierarchy>
    <cacheHierarchy uniqueName="[Measures].[Sum of Количина 2]" caption="Sum of Количина 2" measure="1" displayFolder="" measureGroup="rArtikli_HR_Analiza" count="0" oneField="1" hidden="1">
      <fieldsUsage count="1">
        <fieldUsage x="10"/>
      </fieldsUsage>
      <extLst>
        <ext xmlns:x15="http://schemas.microsoft.com/office/spreadsheetml/2010/11/main" uri="{B97F6D7D-B522-45F9-BDA1-12C45D357490}">
          <x15:cacheHierarchy aggregatedColumn="118"/>
        </ext>
      </extLst>
    </cacheHierarchy>
    <cacheHierarchy uniqueName="[Measures].[Sum of Единечна цена 2]" caption="Sum of Единечна цена 2" measure="1" displayFolder="" measureGroup="rArtikli_HR_Analiza" count="0" oneField="1" hidden="1">
      <fieldsUsage count="1">
        <fieldUsage x="11"/>
      </fieldsUsage>
      <extLst>
        <ext xmlns:x15="http://schemas.microsoft.com/office/spreadsheetml/2010/11/main" uri="{B97F6D7D-B522-45F9-BDA1-12C45D357490}">
          <x15:cacheHierarchy aggregatedColumn="119"/>
        </ext>
      </extLst>
    </cacheHierarchy>
    <cacheHierarchy uniqueName="[Measures].[Sum of Вкупно трошок 2]" caption="Sum of Вкупно трошок 2" measure="1" displayFolder="" measureGroup="rArtikli_HR_Analiza" count="0" oneField="1" hidden="1">
      <fieldsUsage count="1">
        <fieldUsage x="12"/>
      </fieldsUsage>
      <extLst>
        <ext xmlns:x15="http://schemas.microsoft.com/office/spreadsheetml/2010/11/main" uri="{B97F6D7D-B522-45F9-BDA1-12C45D357490}">
          <x15:cacheHierarchy aggregatedColumn="120"/>
        </ext>
      </extLst>
    </cacheHierarchy>
    <cacheHierarchy uniqueName="[Measures].[Sum of ДДВ 2]" caption="Sum of ДДВ 2" measure="1" displayFolder="" measureGroup="rArtikli_HR_Analiza" count="0" oneField="1" hidden="1">
      <fieldsUsage count="1">
        <fieldUsage x="13"/>
      </fieldsUsage>
      <extLst>
        <ext xmlns:x15="http://schemas.microsoft.com/office/spreadsheetml/2010/11/main" uri="{B97F6D7D-B522-45F9-BDA1-12C45D357490}">
          <x15:cacheHierarchy aggregatedColumn="121"/>
        </ext>
      </extLst>
    </cacheHierarchy>
    <cacheHierarchy uniqueName="[Measures].[Sum of Износ 7]" caption="Sum of Износ 7" measure="1" displayFolder="" measureGroup="rArtikli_HR_Analiza" count="0" oneField="1" hidden="1">
      <fieldsUsage count="1">
        <fieldUsage x="14"/>
      </fieldsUsage>
      <extLst>
        <ext xmlns:x15="http://schemas.microsoft.com/office/spreadsheetml/2010/11/main" uri="{B97F6D7D-B522-45F9-BDA1-12C45D357490}">
          <x15:cacheHierarchy aggregatedColumn="122"/>
        </ext>
      </extLst>
    </cacheHierarchy>
    <cacheHierarchy uniqueName="[Measures].[Sum of Износ 5]" caption="Sum of Износ 5" measure="1" displayFolder="" measureGroup="fCoveckiResursi  2" count="0" hidden="1">
      <extLst>
        <ext xmlns:x15="http://schemas.microsoft.com/office/spreadsheetml/2010/11/main" uri="{B97F6D7D-B522-45F9-BDA1-12C45D357490}">
          <x15:cacheHierarchy aggregatedColumn="82"/>
        </ext>
      </extLst>
    </cacheHierarchy>
    <cacheHierarchy uniqueName="[Measures].[Sum of Проценета вредност на набавка со ДДВ (денари)]" caption="Sum of Проценета вредност на набавка со ДДВ (денари)" measure="1" displayFolder="" measureGroup="CAPEX" count="0" hidden="1">
      <extLst>
        <ext xmlns:x15="http://schemas.microsoft.com/office/spreadsheetml/2010/11/main" uri="{B97F6D7D-B522-45F9-BDA1-12C45D357490}">
          <x15:cacheHierarchy aggregatedColumn="20"/>
        </ext>
      </extLst>
    </cacheHierarchy>
  </cacheHierarchies>
  <kpis count="0"/>
  <dimensions count="12">
    <dimension name="Amortizacija" uniqueName="[Amortizacija]" caption="Amortizacija"/>
    <dimension name="Calendar" uniqueName="[Calendar]" caption="Calendar"/>
    <dimension name="CAPEX" uniqueName="[CAPEX]" caption="CAPEX"/>
    <dimension name="fActualAndBudget" uniqueName="[fActualAndBudget]" caption="fActualAndBudget"/>
    <dimension name="fArtikliCeni" uniqueName="[fArtikliCeni]" caption="fArtikliCeni"/>
    <dimension name="fCoveckiResursi" uniqueName="[fCoveckiResursi]" caption="fCoveckiResursi"/>
    <dimension name="fCoveckiResursi  2" uniqueName="[fCoveckiResursi  2]" caption="fCoveckiResursi  2"/>
    <dimension name="fOPEX" uniqueName="[fOPEX]" caption="fOPEX"/>
    <dimension measure="1" name="Measures" uniqueName="[Measures]" caption="Measures"/>
    <dimension name="OPEXAnaliza" uniqueName="[OPEXAnaliza]" caption="OPEXAnaliza"/>
    <dimension name="rArtikli_HR_Analiza" uniqueName="[rArtikli_HR_Analiza]" caption="rArtikli_HR_Analiza"/>
    <dimension name="rArtikliAnaliza" uniqueName="[rArtikliAnaliza]" caption="rArtikliAnaliza"/>
  </dimensions>
  <measureGroups count="11">
    <measureGroup name="Amortizacija" caption="Amortizacija"/>
    <measureGroup name="Calendar" caption="Calendar"/>
    <measureGroup name="CAPEX" caption="CAPEX"/>
    <measureGroup name="fActualAndBudget" caption="fActualAndBudget"/>
    <measureGroup name="fArtikliCeni" caption="fArtikliCeni"/>
    <measureGroup name="fCoveckiResursi" caption="fCoveckiResursi"/>
    <measureGroup name="fCoveckiResursi  2" caption="fCoveckiResursi  2"/>
    <measureGroup name="fOPEX" caption="fOPEX"/>
    <measureGroup name="OPEXAnaliza" caption="OPEXAnaliza"/>
    <measureGroup name="rArtikli_HR_Analiza" caption="rArtikli_HR_Analiza"/>
    <measureGroup name="rArtikliAnaliza" caption="rArtikliAnaliza"/>
  </measureGroups>
  <maps count="19">
    <map measureGroup="0" dimension="0"/>
    <map measureGroup="0" dimension="1"/>
    <map measureGroup="1" dimension="1"/>
    <map measureGroup="2" dimension="1"/>
    <map measureGroup="2" dimension="2"/>
    <map measureGroup="3" dimension="1"/>
    <map measureGroup="3" dimension="3"/>
    <map measureGroup="4" dimension="4"/>
    <map measureGroup="5" dimension="1"/>
    <map measureGroup="5" dimension="5"/>
    <map measureGroup="6" dimension="1"/>
    <map measureGroup="6" dimension="6"/>
    <map measureGroup="7" dimension="1"/>
    <map measureGroup="7" dimension="7"/>
    <map measureGroup="8" dimension="1"/>
    <map measureGroup="8" dimension="9"/>
    <map measureGroup="9" dimension="10"/>
    <map measureGroup="10" dimension="1"/>
    <map measureGroup="10" dimension="1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9.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ngela Sazdova - Doneva" refreshedDate="44899.978501967591" createdVersion="5" refreshedVersion="6" minRefreshableVersion="3" recordCount="0" supportSubquery="1" supportAdvancedDrill="1" xr:uid="{00000000-000A-0000-FFFF-FFFF0A000000}">
  <cacheSource type="external" connectionId="22"/>
  <cacheFields count="6">
    <cacheField name="[Calendar].[Година].[Година]" caption="Година" numFmtId="0" hierarchy="8" level="1">
      <sharedItems containsSemiMixedTypes="0" containsString="0" containsNumber="1" containsInteger="1" minValue="2020" maxValue="2020" count="1">
        <n v="2020"/>
      </sharedItems>
      <extLst>
        <ext xmlns:x15="http://schemas.microsoft.com/office/spreadsheetml/2010/11/main" uri="{4F2E5C28-24EA-4eb8-9CBF-B6C8F9C3D259}">
          <x15:cachedUniqueNames>
            <x15:cachedUniqueName index="0" name="[Calendar].[Година].&amp;[2020]"/>
          </x15:cachedUniqueNames>
        </ext>
      </extLst>
    </cacheField>
    <cacheField name="[fActualAndBudget].[ObrazecIme].[ObrazecIme]" caption="ObrazecIme" numFmtId="0" hierarchy="44" level="1">
      <sharedItems containsSemiMixedTypes="0" containsNonDate="0" containsString="0"/>
    </cacheField>
    <cacheField name="[fActualAndBudget].[ReportType].[ReportType]" caption="ReportType" numFmtId="0" hierarchy="35" level="1">
      <sharedItems containsSemiMixedTypes="0" containsNonDate="0" containsString="0"/>
    </cacheField>
    <cacheField name="[fActualAndBudget].[Конто].[Конто]" caption="Конто" numFmtId="0" hierarchy="31" level="1">
      <sharedItems count="153">
        <s v="40103"/>
        <s v="40105"/>
        <s v="40107"/>
        <s v="4030"/>
        <s v="40304"/>
        <s v="403102"/>
        <s v="403103"/>
        <s v="403104"/>
        <s v="403105"/>
        <s v="4031601"/>
        <s v="4031602"/>
        <s v="4031603"/>
        <s v="4031604"/>
        <s v="4031605"/>
        <s v="4031606"/>
        <s v="4031607"/>
        <s v="4031608"/>
        <s v="4031609"/>
        <s v="4031610"/>
        <s v="4031611"/>
        <s v="4051"/>
        <s v="4080"/>
        <s v="4081"/>
        <s v="4104"/>
        <s v="4106"/>
        <s v="41101"/>
        <s v="41102"/>
        <s v="41103"/>
        <s v="4111"/>
        <s v="41111"/>
        <s v="4113"/>
        <s v="4131"/>
        <s v="4132"/>
        <s v="4133"/>
        <s v="41330"/>
        <s v="4134"/>
        <s v="4139"/>
        <s v="4143"/>
        <s v="41500"/>
        <s v="41501"/>
        <s v="41502"/>
        <s v="41503"/>
        <s v="4170"/>
        <s v="41700"/>
        <s v="41701"/>
        <s v="41733"/>
        <s v="41921"/>
        <s v="41925"/>
        <s v="41931"/>
        <s v="41934"/>
        <s v="4200"/>
        <s v="4220"/>
        <s v="42222"/>
        <s v="4223"/>
        <s v="4224"/>
        <s v="43020"/>
        <s v="43030"/>
        <s v="43031"/>
        <s v="431001"/>
        <s v="431002"/>
        <s v="43132"/>
        <s v="43133"/>
        <s v="43134"/>
        <s v="43136"/>
        <s v="43139"/>
        <s v="43155"/>
        <s v="44001"/>
        <s v="4401"/>
        <s v="44011"/>
        <s v="4403"/>
        <s v="44032"/>
        <s v="44091"/>
        <s v="44092"/>
        <s v="44102"/>
        <s v="4422"/>
        <s v="44220"/>
        <s v="4440"/>
        <s v="44500"/>
        <s v="44501"/>
        <s v="44502"/>
        <s v="44510"/>
        <s v="4459"/>
        <s v="4460"/>
        <s v="4476"/>
        <s v="44902"/>
        <s v="44903"/>
        <s v="44904"/>
        <s v="44907"/>
        <s v="449071"/>
        <s v="44908"/>
        <s v="449083"/>
        <s v="4494"/>
        <s v="4496"/>
        <s v="4497"/>
        <s v="44970"/>
        <s v="44972"/>
        <s v="44973"/>
        <s v="44980"/>
        <s v="4499"/>
        <s v="44990"/>
        <s v="4560"/>
        <s v="4562"/>
        <s v="4660"/>
        <s v="4691"/>
        <s v="4741"/>
        <s v="4750"/>
        <s v="74001"/>
        <s v="74002"/>
        <s v="74003"/>
        <s v="74004"/>
        <s v="74011"/>
        <s v="74021"/>
        <s v="74023"/>
        <s v="74024"/>
        <s v="74025"/>
        <s v="74031"/>
        <s v="74032"/>
        <s v="74033"/>
        <s v="74034"/>
        <s v="74035"/>
        <s v="74036"/>
        <s v="74037"/>
        <s v="74038"/>
        <s v="74041"/>
        <s v="74042"/>
        <s v="74043"/>
        <s v="74044"/>
        <s v="74051"/>
        <s v="74052"/>
        <s v="74053"/>
        <s v="740611"/>
        <s v="740615"/>
        <s v="740616"/>
        <s v="740641"/>
        <s v="740642"/>
        <s v="740643"/>
        <s v="740644"/>
        <s v="74071"/>
        <s v="74072"/>
        <s v="74082"/>
        <s v="7409"/>
        <s v="7420"/>
        <s v="7672"/>
        <s v="76721"/>
        <s v="7690"/>
        <s v="7709"/>
        <s v="7710"/>
        <s v="7743"/>
        <s v="7751"/>
        <s v="7790"/>
        <s v="7791"/>
        <s v="7799"/>
        <s v="7801"/>
      </sharedItems>
    </cacheField>
    <cacheField name="[Calendar].[Месец].[Месец]" caption="Месец" numFmtId="0" hierarchy="10" level="1">
      <sharedItems count="12">
        <s v="Jan"/>
        <s v="Feb"/>
        <s v="Mar"/>
        <s v="Apr"/>
        <s v="May"/>
        <s v="Jun"/>
        <s v="Jul"/>
        <s v="Aug"/>
        <s v="Sep"/>
        <s v="Oct"/>
        <s v="Nov"/>
        <s v="Dec"/>
      </sharedItems>
    </cacheField>
    <cacheField name="[Measures].[Sum of Износ1]" caption="Sum of Износ1" numFmtId="0" hierarchy="178" level="32767"/>
  </cacheFields>
  <cacheHierarchies count="195">
    <cacheHierarchy uniqueName="[Amortizacija].[Број на јавна набавка (план)]" caption="Број на јавна набавка (план)" attribute="1" defaultMemberUniqueName="[Amortizacija].[Број на јавна набавка (план)].[All]" allUniqueName="[Amortizacija].[Број на јавна набавка (план)].[All]" dimensionUniqueName="[Amortizacija]" displayFolder="" count="0" memberValueDatatype="130" unbalanced="0"/>
    <cacheHierarchy uniqueName="[Amortizacija].[Ставка]" caption="Ставка" attribute="1" defaultMemberUniqueName="[Amortizacija].[Ставка].[All]" allUniqueName="[Amortizacija].[Ставка].[All]" dimensionUniqueName="[Amortizacija]" displayFolder="" count="0" memberValueDatatype="130" unbalanced="0"/>
    <cacheHierarchy uniqueName="[Amortizacija].[Период]" caption="Период" attribute="1" time="1" defaultMemberUniqueName="[Amortizacija].[Период].[All]" allUniqueName="[Amortizacija].[Период].[All]" dimensionUniqueName="[Amortizacija]" displayFolder="" count="0" memberValueDatatype="7" unbalanced="0"/>
    <cacheHierarchy uniqueName="[Amortizacija].[Износ]" caption="Износ" attribute="1" defaultMemberUniqueName="[Amortizacija].[Износ].[All]" allUniqueName="[Amortizacija].[Износ].[All]" dimensionUniqueName="[Amortizacija]" displayFolder="" count="0" memberValueDatatype="20" unbalanced="0"/>
    <cacheHierarchy uniqueName="[Amortizacija].[Конто]" caption="Конто" attribute="1" defaultMemberUniqueName="[Amortizacija].[Конто].[All]" allUniqueName="[Amortizacija].[Конто].[All]" dimensionUniqueName="[Amortizacija]" displayFolder="" count="0" memberValueDatatype="130" unbalanced="0"/>
    <cacheHierarchy uniqueName="[Amortizacija].[ReportType]" caption="ReportType" attribute="1" defaultMemberUniqueName="[Amortizacija].[ReportType].[All]" allUniqueName="[Amortizacija].[ReportType].[All]" dimensionUniqueName="[Amortizacija]" displayFolder="" count="0" memberValueDatatype="130" unbalanced="0"/>
    <cacheHierarchy uniqueName="[Calendar].[Date]" caption="Date" attribute="1" time="1" keyAttribute="1" defaultMemberUniqueName="[Calendar].[Date].[All]" allUniqueName="[Calendar].[Date].[All]" dimensionUniqueName="[Calendar]" displayFolder="" count="0" memberValueDatatype="7" unbalanced="0"/>
    <cacheHierarchy uniqueName="[Calendar].[Date Hierarchy]" caption="Date Hierarchy" time="1" defaultMemberUniqueName="[Calendar].[Date Hierarchy].[All]" allUniqueName="[Calendar].[Date Hierarchy].[All]" dimensionUniqueName="[Calendar]" displayFolder="" count="0" unbalanced="0"/>
    <cacheHierarchy uniqueName="[Calendar].[Година]" caption="Година" attribute="1" time="1" defaultMemberUniqueName="[Calendar].[Година].[All]" allUniqueName="[Calendar].[Година].[All]" dimensionUniqueName="[Calendar]" displayFolder="" count="2" memberValueDatatype="20" unbalanced="0">
      <fieldsUsage count="2">
        <fieldUsage x="-1"/>
        <fieldUsage x="0"/>
      </fieldsUsage>
    </cacheHierarchy>
    <cacheHierarchy uniqueName="[Calendar].[Month Number]" caption="Month Number" attribute="1" time="1" defaultMemberUniqueName="[Calendar].[Month Number].[All]" allUniqueName="[Calendar].[Month Number].[All]" dimensionUniqueName="[Calendar]" displayFolder="" count="0" memberValueDatatype="20" unbalanced="0"/>
    <cacheHierarchy uniqueName="[Calendar].[Месец]" caption="Месец" attribute="1" time="1" defaultMemberUniqueName="[Calendar].[Месец].[All]" allUniqueName="[Calendar].[Месец].[All]" dimensionUniqueName="[Calendar]" displayFolder="" count="2" memberValueDatatype="130" unbalanced="0">
      <fieldsUsage count="2">
        <fieldUsage x="-1"/>
        <fieldUsage x="4"/>
      </fieldsUsage>
    </cacheHierarchy>
    <cacheHierarchy uniqueName="[Calendar].[MMM-YYYY]" caption="MMM-YYYY" attribute="1" time="1" defaultMemberUniqueName="[Calendar].[MMM-YYYY].[All]" allUniqueName="[Calendar].[MMM-YYYY].[All]" dimensionUniqueName="[Calendar]" displayFolder="" count="0" memberValueDatatype="130" unbalanced="0"/>
    <cacheHierarchy uniqueName="[Calendar].[Day Of Week Number]" caption="Day Of Week Number" attribute="1" time="1" defaultMemberUniqueName="[Calendar].[Day Of Week Number].[All]" allUniqueName="[Calendar].[Day Of Week Number].[All]" dimensionUniqueName="[Calendar]" displayFolder="" count="0" memberValueDatatype="20" unbalanced="0"/>
    <cacheHierarchy uniqueName="[Calendar].[Day Of Week]" caption="Day Of Week" attribute="1" time="1" defaultMemberUniqueName="[Calendar].[Day Of Week].[All]" allUniqueName="[Calendar].[Day Of Week].[All]" dimensionUniqueName="[Calendar]" displayFolder="" count="0" memberValueDatatype="130" unbalanced="0"/>
    <cacheHierarchy uniqueName="[Calendar].[Квартал]" caption="Квартал" attribute="1" time="1" defaultMemberUniqueName="[Calendar].[Квартал].[All]" allUniqueName="[Calendar].[Квартал].[All]" dimensionUniqueName="[Calendar]" displayFolder="" count="0" memberValueDatatype="7" unbalanced="0"/>
    <cacheHierarchy uniqueName="[CAPEX].[Година за реализација на проект]" caption="Година за реализација на проект" attribute="1" defaultMemberUniqueName="[CAPEX].[Година за реализација на проект].[All]" allUniqueName="[CAPEX].[Година за реализација на проект].[All]" dimensionUniqueName="[CAPEX]" displayFolder="" count="0" memberValueDatatype="20" unbalanced="0"/>
    <cacheHierarchy uniqueName="[CAPEX].[Број на јавна набавка (план)]" caption="Број на јавна набавка (план)" attribute="1" defaultMemberUniqueName="[CAPEX].[Број на јавна набавка (план)].[All]" allUniqueName="[CAPEX].[Број на јавна набавка (план)].[All]" dimensionUniqueName="[CAPEX]" displayFolder="" count="0" memberValueDatatype="130" unbalanced="0"/>
    <cacheHierarchy uniqueName="[CAPEX].[Предмет на договорот за јавна набавка]" caption="Предмет на договорот за јавна набавка" attribute="1" defaultMemberUniqueName="[CAPEX].[Предмет на договорот за јавна набавка].[All]" allUniqueName="[CAPEX].[Предмет на договорот за јавна набавка].[All]" dimensionUniqueName="[CAPEX]" displayFolder="" count="0" memberValueDatatype="130" unbalanced="0"/>
    <cacheHierarchy uniqueName="[CAPEX].[Очекуван датум на плаќање]" caption="Очекуван датум на плаќање" attribute="1" time="1" defaultMemberUniqueName="[CAPEX].[Очекуван датум на плаќање].[All]" allUniqueName="[CAPEX].[Очекуван датум на плаќање].[All]" dimensionUniqueName="[CAPEX]" displayFolder="" count="0" memberValueDatatype="7" unbalanced="0"/>
    <cacheHierarchy uniqueName="[CAPEX].[Очекуван датум за ставање во употреба (месец)]" caption="Очекуван датум за ставање во употреба (месец)" attribute="1" time="1" defaultMemberUniqueName="[CAPEX].[Очекуван датум за ставање во употреба (месец)].[All]" allUniqueName="[CAPEX].[Очекуван датум за ставање во употреба (месец)].[All]" dimensionUniqueName="[CAPEX]" displayFolder="" count="0" memberValueDatatype="7" unbalanced="0"/>
    <cacheHierarchy uniqueName="[CAPEX].[Проценета вредност на набавка со ДДВ (денари)]" caption="Проценета вредност на набавка со ДДВ (денари)" attribute="1" defaultMemberUniqueName="[CAPEX].[Проценета вредност на набавка со ДДВ (денари)].[All]" allUniqueName="[CAPEX].[Проценета вредност на набавка со ДДВ (денари)].[All]" dimensionUniqueName="[CAPEX]" displayFolder="" count="0" memberValueDatatype="20" unbalanced="0"/>
    <cacheHierarchy uniqueName="[CAPEX].[Стапка на амортизација]" caption="Стапка на амортизација" attribute="1" defaultMemberUniqueName="[CAPEX].[Стапка на амортизација].[All]" allUniqueName="[CAPEX].[Стапка на амортизација].[All]" dimensionUniqueName="[CAPEX]" displayFolder="" count="0" memberValueDatatype="5" unbalanced="0"/>
    <cacheHierarchy uniqueName="[CAPEX].[Конто Средства]" caption="Конто Средства" attribute="1" defaultMemberUniqueName="[CAPEX].[Конто Средства].[All]" allUniqueName="[CAPEX].[Конто Средства].[All]" dimensionUniqueName="[CAPEX]" displayFolder="" count="0" memberValueDatatype="130" unbalanced="0"/>
    <cacheHierarchy uniqueName="[CAPEX].[Конто Амортизација]" caption="Конто Амортизација" attribute="1" defaultMemberUniqueName="[CAPEX].[Конто Амортизација].[All]" allUniqueName="[CAPEX].[Конто Амортизација].[All]" dimensionUniqueName="[CAPEX]" displayFolder="" count="0" memberValueDatatype="130" unbalanced="0"/>
    <cacheHierarchy uniqueName="[CAPEX].[Износ донација]" caption="Износ донација" attribute="1" defaultMemberUniqueName="[CAPEX].[Износ донација].[All]" allUniqueName="[CAPEX].[Износ донација].[All]" dimensionUniqueName="[CAPEX]" displayFolder="" count="0" memberValueDatatype="20" unbalanced="0"/>
    <cacheHierarchy uniqueName="[CAPEX].[Очекуван датум на плаќање (Year)]" caption="Очекуван датум на плаќање (Year)" attribute="1" defaultMemberUniqueName="[CAPEX].[Очекуван датум на плаќање (Year)].[All]" allUniqueName="[CAPEX].[Очекуван датум на плаќање (Year)].[All]" dimensionUniqueName="[CAPEX]" displayFolder="" count="0" memberValueDatatype="130" unbalanced="0"/>
    <cacheHierarchy uniqueName="[CAPEX].[Очекуван датум на плаќање (Quarter)]" caption="Очекуван датум на плаќање (Quarter)" attribute="1" defaultMemberUniqueName="[CAPEX].[Очекуван датум на плаќање (Quarter)].[All]" allUniqueName="[CAPEX].[Очекуван датум на плаќање (Quarter)].[All]" dimensionUniqueName="[CAPEX]" displayFolder="" count="0" memberValueDatatype="130" unbalanced="0"/>
    <cacheHierarchy uniqueName="[CAPEX].[Очекуван датум на плаќање (Month)]" caption="Очекуван датум на плаќање (Month)" attribute="1" defaultMemberUniqueName="[CAPEX].[Очекуван датум на плаќање (Month)].[All]" allUniqueName="[CAPEX].[Очекуван датум на плаќање (Month)].[All]" dimensionUniqueName="[CAPEX]" displayFolder="" count="0" memberValueDatatype="130" unbalanced="0"/>
    <cacheHierarchy uniqueName="[CAPEX].[Очекуван датум за ставање во употреба (месец) (Year)]" caption="Очекуван датум за ставање во употреба (месец) (Year)" attribute="1" defaultMemberUniqueName="[CAPEX].[Очекуван датум за ставање во употреба (месец) (Year)].[All]" allUniqueName="[CAPEX].[Очекуван датум за ставање во употреба (месец) (Year)].[All]" dimensionUniqueName="[CAPEX]" displayFolder="" count="0" memberValueDatatype="130" unbalanced="0"/>
    <cacheHierarchy uniqueName="[CAPEX].[Очекуван датум за ставање во употреба (месец) (Quarter)]" caption="Очекуван датум за ставање во употреба (месец) (Quarter)" attribute="1" defaultMemberUniqueName="[CAPEX].[Очекуван датум за ставање во употреба (месец) (Quarter)].[All]" allUniqueName="[CAPEX].[Очекуван датум за ставање во употреба (месец) (Quarter)].[All]" dimensionUniqueName="[CAPEX]" displayFolder="" count="0" memberValueDatatype="130" unbalanced="0"/>
    <cacheHierarchy uniqueName="[CAPEX].[Очекуван датум за ставање во употреба (месец) (Month)]" caption="Очекуван датум за ставање во употреба (месец) (Month)" attribute="1" defaultMemberUniqueName="[CAPEX].[Очекуван датум за ставање во употреба (месец) (Month)].[All]" allUniqueName="[CAPEX].[Очекуван датум за ставање во употреба (месец) (Month)].[All]" dimensionUniqueName="[CAPEX]" displayFolder="" count="0" memberValueDatatype="130" unbalanced="0"/>
    <cacheHierarchy uniqueName="[fActualAndBudget].[Конто]" caption="Конто" attribute="1" defaultMemberUniqueName="[fActualAndBudget].[Конто].[All]" allUniqueName="[fActualAndBudget].[Конто].[All]" dimensionUniqueName="[fActualAndBudget]" displayFolder="" count="2" memberValueDatatype="130" unbalanced="0">
      <fieldsUsage count="2">
        <fieldUsage x="-1"/>
        <fieldUsage x="3"/>
      </fieldsUsage>
    </cacheHierarchy>
    <cacheHierarchy uniqueName="[fActualAndBudget].[Назив на конто]" caption="Назив на конто" attribute="1" defaultMemberUniqueName="[fActualAndBudget].[Назив на конто].[All]" allUniqueName="[fActualAndBudget].[Назив на конто].[All]" dimensionUniqueName="[fActualAndBudget]" displayFolder="" count="0" memberValueDatatype="130" unbalanced="0"/>
    <cacheHierarchy uniqueName="[fActualAndBudget].[Период]" caption="Период" attribute="1" time="1" defaultMemberUniqueName="[fActualAndBudget].[Период].[All]" allUniqueName="[fActualAndBudget].[Период].[All]" dimensionUniqueName="[fActualAndBudget]" displayFolder="" count="0" memberValueDatatype="7" unbalanced="0"/>
    <cacheHierarchy uniqueName="[fActualAndBudget].[Износ1]" caption="Износ1" attribute="1" defaultMemberUniqueName="[fActualAndBudget].[Износ1].[All]" allUniqueName="[fActualAndBudget].[Износ1].[All]" dimensionUniqueName="[fActualAndBudget]" displayFolder="" count="0" memberValueDatatype="20" unbalanced="0"/>
    <cacheHierarchy uniqueName="[fActualAndBudget].[ReportType]" caption="ReportType" attribute="1" defaultMemberUniqueName="[fActualAndBudget].[ReportType].[All]" allUniqueName="[fActualAndBudget].[ReportType].[All]" dimensionUniqueName="[fActualAndBudget]" displayFolder="" count="2" memberValueDatatype="130" unbalanced="0">
      <fieldsUsage count="2">
        <fieldUsage x="-1"/>
        <fieldUsage x="2"/>
      </fieldsUsage>
    </cacheHierarchy>
    <cacheHierarchy uniqueName="[fActualAndBudget].[Ставка]" caption="Ставка" attribute="1" defaultMemberUniqueName="[fActualAndBudget].[Ставка].[All]" allUniqueName="[fActualAndBudget].[Ставка].[All]" dimensionUniqueName="[fActualAndBudget]" displayFolder="" count="0" memberValueDatatype="130" unbalanced="0"/>
    <cacheHierarchy uniqueName="[fActualAndBudget].[Број на јавна набавка (план)]" caption="Број на јавна набавка (план)" attribute="1" defaultMemberUniqueName="[fActualAndBudget].[Број на јавна набавка (план)].[All]" allUniqueName="[fActualAndBudget].[Број на јавна набавка (план)].[All]" dimensionUniqueName="[fActualAndBudget]" displayFolder="" count="0" memberValueDatatype="130" unbalanced="0"/>
    <cacheHierarchy uniqueName="[fActualAndBudget].[StavkaImeMK]" caption="StavkaImeMK" attribute="1" defaultMemberUniqueName="[fActualAndBudget].[StavkaImeMK].[All]" allUniqueName="[fActualAndBudget].[StavkaImeMK].[All]" dimensionUniqueName="[fActualAndBudget]" displayFolder="" count="0" memberValueDatatype="130" unbalanced="0"/>
    <cacheHierarchy uniqueName="[fActualAndBudget].[StavkaGrupa]" caption="StavkaGrupa" attribute="1" defaultMemberUniqueName="[fActualAndBudget].[StavkaGrupa].[All]" allUniqueName="[fActualAndBudget].[StavkaGrupa].[All]" dimensionUniqueName="[fActualAndBudget]" displayFolder="" count="0" memberValueDatatype="130" unbalanced="0"/>
    <cacheHierarchy uniqueName="[fActualAndBudget].[StavkaKategorija]" caption="StavkaKategorija" attribute="1" defaultMemberUniqueName="[fActualAndBudget].[StavkaKategorija].[All]" allUniqueName="[fActualAndBudget].[StavkaKategorija].[All]" dimensionUniqueName="[fActualAndBudget]" displayFolder="" count="0" memberValueDatatype="130" unbalanced="0"/>
    <cacheHierarchy uniqueName="[fActualAndBudget].[ZnakIzvestaj]" caption="ZnakIzvestaj" attribute="1" defaultMemberUniqueName="[fActualAndBudget].[ZnakIzvestaj].[All]" allUniqueName="[fActualAndBudget].[ZnakIzvestaj].[All]" dimensionUniqueName="[fActualAndBudget]" displayFolder="" count="0" memberValueDatatype="20" unbalanced="0"/>
    <cacheHierarchy uniqueName="[fActualAndBudget].[ObrazecID]" caption="ObrazecID" attribute="1" defaultMemberUniqueName="[fActualAndBudget].[ObrazecID].[All]" allUniqueName="[fActualAndBudget].[ObrazecID].[All]" dimensionUniqueName="[fActualAndBudget]" displayFolder="" count="0" memberValueDatatype="20" unbalanced="0"/>
    <cacheHierarchy uniqueName="[fActualAndBudget].[StavkaAOP]" caption="StavkaAOP" attribute="1" defaultMemberUniqueName="[fActualAndBudget].[StavkaAOP].[All]" allUniqueName="[fActualAndBudget].[StavkaAOP].[All]" dimensionUniqueName="[fActualAndBudget]" displayFolder="" count="0" memberValueDatatype="130" unbalanced="0"/>
    <cacheHierarchy uniqueName="[fActualAndBudget].[ObrazecIme]" caption="ObrazecIme" attribute="1" defaultMemberUniqueName="[fActualAndBudget].[ObrazecIme].[All]" allUniqueName="[fActualAndBudget].[ObrazecIme].[All]" dimensionUniqueName="[fActualAndBudget]" displayFolder="" count="2" memberValueDatatype="130" unbalanced="0">
      <fieldsUsage count="2">
        <fieldUsage x="-1"/>
        <fieldUsage x="1"/>
      </fieldsUsage>
    </cacheHierarchy>
    <cacheHierarchy uniqueName="[fActualAndBudget].[Износ]" caption="Износ" attribute="1" defaultMemberUniqueName="[fActualAndBudget].[Износ].[All]" allUniqueName="[fActualAndBudget].[Износ].[All]" dimensionUniqueName="[fActualAndBudget]" displayFolder="" count="0" memberValueDatatype="20" unbalanced="0"/>
    <cacheHierarchy uniqueName="[fActualAndBudget].[Износ (илјади)]" caption="Износ (илјади)" attribute="1" defaultMemberUniqueName="[fActualAndBudget].[Износ (илјади)].[All]" allUniqueName="[fActualAndBudget].[Износ (илјади)].[All]" dimensionUniqueName="[fActualAndBudget]" displayFolder="" count="0" memberValueDatatype="5" unbalanced="0"/>
    <cacheHierarchy uniqueName="[fActualAndBudget].[StavkaImeAOP]" caption="StavkaImeAOP" attribute="1" defaultMemberUniqueName="[fActualAndBudget].[StavkaImeAOP].[All]" allUniqueName="[fActualAndBudget].[StavkaImeAOP].[All]" dimensionUniqueName="[fActualAndBudget]" displayFolder="" count="0" memberValueDatatype="130" unbalanced="0"/>
    <cacheHierarchy uniqueName="[fActualAndBudget].[Конто Ставка]" caption="Конто Ставка" attribute="1" defaultMemberUniqueName="[fActualAndBudget].[Конто Ставка].[All]" allUniqueName="[fActualAndBudget].[Конто Ставка].[All]" dimensionUniqueName="[fActualAndBudget]" displayFolder="" count="0" memberValueDatatype="130" unbalanced="0"/>
    <cacheHierarchy uniqueName="[fArtikliCeni].[Ставка]" caption="Ставка" attribute="1" defaultMemberUniqueName="[fArtikliCeni].[Ставка].[All]" allUniqueName="[fArtikliCeni].[Ставка].[All]" dimensionUniqueName="[fArtikliCeni]" displayFolder="" count="0" memberValueDatatype="130" unbalanced="0"/>
    <cacheHierarchy uniqueName="[fArtikliCeni].[Категорија Артикл]" caption="Категорија Артикл" attribute="1" defaultMemberUniqueName="[fArtikliCeni].[Категорија Артикл].[All]" allUniqueName="[fArtikliCeni].[Категорија Артикл].[All]" dimensionUniqueName="[fArtikliCeni]" displayFolder="" count="0" memberValueDatatype="130" unbalanced="0"/>
    <cacheHierarchy uniqueName="[fArtikliCeni].[Тип на артикл]" caption="Тип на артикл" attribute="1" defaultMemberUniqueName="[fArtikliCeni].[Тип на артикл].[All]" allUniqueName="[fArtikliCeni].[Тип на артикл].[All]" dimensionUniqueName="[fArtikliCeni]" displayFolder="" count="0" memberValueDatatype="130" unbalanced="0"/>
    <cacheHierarchy uniqueName="[fArtikliCeni].[Единечна мерка]" caption="Единечна мерка" attribute="1" defaultMemberUniqueName="[fArtikliCeni].[Единечна мерка].[All]" allUniqueName="[fArtikliCeni].[Единечна мерка].[All]" dimensionUniqueName="[fArtikliCeni]" displayFolder="" count="0" memberValueDatatype="130" unbalanced="0"/>
    <cacheHierarchy uniqueName="[fArtikliCeni].[Количина]" caption="Количина" attribute="1" defaultMemberUniqueName="[fArtikliCeni].[Количина].[All]" allUniqueName="[fArtikliCeni].[Количина].[All]" dimensionUniqueName="[fArtikliCeni]" displayFolder="" count="0" memberValueDatatype="5" unbalanced="0"/>
    <cacheHierarchy uniqueName="[fArtikliCeni].[Единечна цена]" caption="Единечна цена" attribute="1" defaultMemberUniqueName="[fArtikliCeni].[Единечна цена].[All]" allUniqueName="[fArtikliCeni].[Единечна цена].[All]" dimensionUniqueName="[fArtikliCeni]" displayFolder="" count="0" memberValueDatatype="20" unbalanced="0"/>
    <cacheHierarchy uniqueName="[fArtikliCeni].[Вкупно трошок]" caption="Вкупно трошок" attribute="1" defaultMemberUniqueName="[fArtikliCeni].[Вкупно трошок].[All]" allUniqueName="[fArtikliCeni].[Вкупно трошок].[All]" dimensionUniqueName="[fArtikliCeni]" displayFolder="" count="0" memberValueDatatype="5" unbalanced="0"/>
    <cacheHierarchy uniqueName="[fArtikliCeni].[ДДВ]" caption="ДДВ" attribute="1" defaultMemberUniqueName="[fArtikliCeni].[ДДВ].[All]" allUniqueName="[fArtikliCeni].[ДДВ].[All]" dimensionUniqueName="[fArtikliCeni]" displayFolder="" count="0" memberValueDatatype="5" unbalanced="0"/>
    <cacheHierarchy uniqueName="[fArtikliCeni].[Износ]" caption="Износ" attribute="1" defaultMemberUniqueName="[fArtikliCeni].[Износ].[All]" allUniqueName="[fArtikliCeni].[Износ].[All]" dimensionUniqueName="[fArtikliCeni]" displayFolder="" count="0" memberValueDatatype="5" unbalanced="0"/>
    <cacheHierarchy uniqueName="[fArtikliCeni].[Конто]" caption="Конто" attribute="1" defaultMemberUniqueName="[fArtikliCeni].[Конто].[All]" allUniqueName="[fArtikliCeni].[Конто].[All]" dimensionUniqueName="[fArtikliCeni]" displayFolder="" count="0" memberValueDatatype="130" unbalanced="0"/>
    <cacheHierarchy uniqueName="[fArtikliCeni].[ReportType]" caption="ReportType" attribute="1" defaultMemberUniqueName="[fArtikliCeni].[ReportType].[All]" allUniqueName="[fArtikliCeni].[ReportType].[All]" dimensionUniqueName="[fArtikliCeni]" displayFolder="" count="0" memberValueDatatype="130" unbalanced="0"/>
    <cacheHierarchy uniqueName="[fArtikliCeni].[Период]" caption="Период" attribute="1" time="1" defaultMemberUniqueName="[fArtikliCeni].[Период].[All]" allUniqueName="[fArtikliCeni].[Период].[All]" dimensionUniqueName="[fArtikliCeni]" displayFolder="" count="0" memberValueDatatype="7" unbalanced="0"/>
    <cacheHierarchy uniqueName="[fArtikliCeni].[StavkaImeMK]" caption="StavkaImeMK" attribute="1" defaultMemberUniqueName="[fArtikliCeni].[StavkaImeMK].[All]" allUniqueName="[fArtikliCeni].[StavkaImeMK].[All]" dimensionUniqueName="[fArtikliCeni]" displayFolder="" count="0" memberValueDatatype="130" unbalanced="0"/>
    <cacheHierarchy uniqueName="[fArtikliCeni].[StavkaAOP]" caption="StavkaAOP" attribute="1" defaultMemberUniqueName="[fArtikliCeni].[StavkaAOP].[All]" allUniqueName="[fArtikliCeni].[StavkaAOP].[All]" dimensionUniqueName="[fArtikliCeni]" displayFolder="" count="0" memberValueDatatype="130" unbalanced="0"/>
    <cacheHierarchy uniqueName="[fArtikliCeni].[StavkaGrupa]" caption="StavkaGrupa" attribute="1" defaultMemberUniqueName="[fArtikliCeni].[StavkaGrupa].[All]" allUniqueName="[fArtikliCeni].[StavkaGrupa].[All]" dimensionUniqueName="[fArtikliCeni]" displayFolder="" count="0" memberValueDatatype="130" unbalanced="0"/>
    <cacheHierarchy uniqueName="[fArtikliCeni].[StavkaKategorija]" caption="StavkaKategorija" attribute="1" defaultMemberUniqueName="[fArtikliCeni].[StavkaKategorija].[All]" allUniqueName="[fArtikliCeni].[StavkaKategorija].[All]" dimensionUniqueName="[fArtikliCeni]" displayFolder="" count="0" memberValueDatatype="130" unbalanced="0"/>
    <cacheHierarchy uniqueName="[fArtikliCeni].[ObrazecIme]" caption="ObrazecIme" attribute="1" defaultMemberUniqueName="[fArtikliCeni].[ObrazecIme].[All]" allUniqueName="[fArtikliCeni].[ObrazecIme].[All]" dimensionUniqueName="[fArtikliCeni]" displayFolder="" count="0" memberValueDatatype="130" unbalanced="0"/>
    <cacheHierarchy uniqueName="[fCoveckiResursi].[Ставка]" caption="Ставка" attribute="1" defaultMemberUniqueName="[fCoveckiResursi].[Ставка].[All]" allUniqueName="[fCoveckiResursi].[Ставка].[All]" dimensionUniqueName="[fCoveckiResursi]" displayFolder="" count="0" memberValueDatatype="130" unbalanced="0"/>
    <cacheHierarchy uniqueName="[fCoveckiResursi].[Тип на вработување]" caption="Тип на вработување" attribute="1" defaultMemberUniqueName="[fCoveckiResursi].[Тип на вработување].[All]" allUniqueName="[fCoveckiResursi].[Тип на вработување].[All]" dimensionUniqueName="[fCoveckiResursi]" displayFolder="" count="0" memberValueDatatype="130" unbalanced="0"/>
    <cacheHierarchy uniqueName="[fCoveckiResursi].[Планиран прилив/(одлив)]" caption="Планиран прилив/(одлив)" attribute="1" defaultMemberUniqueName="[fCoveckiResursi].[Планиран прилив/(одлив)].[All]" allUniqueName="[fCoveckiResursi].[Планиран прилив/(одлив)].[All]" dimensionUniqueName="[fCoveckiResursi]" displayFolder="" count="0" memberValueDatatype="20" unbalanced="0"/>
    <cacheHierarchy uniqueName="[fCoveckiResursi].[Период]" caption="Период" attribute="1" time="1" defaultMemberUniqueName="[fCoveckiResursi].[Период].[All]" allUniqueName="[fCoveckiResursi].[Период].[All]" dimensionUniqueName="[fCoveckiResursi]" displayFolder="" count="0" memberValueDatatype="7" unbalanced="0"/>
    <cacheHierarchy uniqueName="[fCoveckiResursi].[Крајна состојба вработени]" caption="Крајна состојба вработени" attribute="1" defaultMemberUniqueName="[fCoveckiResursi].[Крајна состојба вработени].[All]" allUniqueName="[fCoveckiResursi].[Крајна состојба вработени].[All]" dimensionUniqueName="[fCoveckiResursi]" displayFolder="" count="0" memberValueDatatype="20" unbalanced="0"/>
    <cacheHierarchy uniqueName="[fCoveckiResursi].[Износ]" caption="Износ" attribute="1" defaultMemberUniqueName="[fCoveckiResursi].[Износ].[All]" allUniqueName="[fCoveckiResursi].[Износ].[All]" dimensionUniqueName="[fCoveckiResursi]" displayFolder="" count="0" memberValueDatatype="20" unbalanced="0"/>
    <cacheHierarchy uniqueName="[fCoveckiResursi].[Конто]" caption="Конто" attribute="1" defaultMemberUniqueName="[fCoveckiResursi].[Конто].[All]" allUniqueName="[fCoveckiResursi].[Конто].[All]" dimensionUniqueName="[fCoveckiResursi]" displayFolder="" count="0" memberValueDatatype="130" unbalanced="0"/>
    <cacheHierarchy uniqueName="[fCoveckiResursi].[ReportType]" caption="ReportType" attribute="1" defaultMemberUniqueName="[fCoveckiResursi].[ReportType].[All]" allUniqueName="[fCoveckiResursi].[ReportType].[All]" dimensionUniqueName="[fCoveckiResursi]" displayFolder="" count="0" memberValueDatatype="130" unbalanced="0"/>
    <cacheHierarchy uniqueName="[fCoveckiResursi].[Период (Year)]" caption="Период (Year)" attribute="1" defaultMemberUniqueName="[fCoveckiResursi].[Период (Year)].[All]" allUniqueName="[fCoveckiResursi].[Период (Year)].[All]" dimensionUniqueName="[fCoveckiResursi]" displayFolder="" count="0" memberValueDatatype="130" unbalanced="0"/>
    <cacheHierarchy uniqueName="[fCoveckiResursi].[Период (Quarter)]" caption="Период (Quarter)" attribute="1" defaultMemberUniqueName="[fCoveckiResursi].[Период (Quarter)].[All]" allUniqueName="[fCoveckiResursi].[Период (Quarter)].[All]" dimensionUniqueName="[fCoveckiResursi]" displayFolder="" count="0" memberValueDatatype="130" unbalanced="0"/>
    <cacheHierarchy uniqueName="[fCoveckiResursi].[Период (Month)]" caption="Период (Month)" attribute="1" defaultMemberUniqueName="[fCoveckiResursi].[Период (Month)].[All]" allUniqueName="[fCoveckiResursi].[Период (Month)].[All]" dimensionUniqueName="[fCoveckiResursi]" displayFolder="" count="0" memberValueDatatype="130" unbalanced="0"/>
    <cacheHierarchy uniqueName="[fCoveckiResursi].[Период (Year) 1]" caption="Период (Year) 1" attribute="1" defaultMemberUniqueName="[fCoveckiResursi].[Период (Year) 1].[All]" allUniqueName="[fCoveckiResursi].[Период (Year) 1].[All]" dimensionUniqueName="[fCoveckiResursi]" displayFolder="" count="0" memberValueDatatype="130" unbalanced="0"/>
    <cacheHierarchy uniqueName="[fCoveckiResursi].[Период (Quarter) 1]" caption="Период (Quarter) 1" attribute="1" defaultMemberUniqueName="[fCoveckiResursi].[Период (Quarter) 1].[All]" allUniqueName="[fCoveckiResursi].[Период (Quarter) 1].[All]" dimensionUniqueName="[fCoveckiResursi]" displayFolder="" count="0" memberValueDatatype="130" unbalanced="0"/>
    <cacheHierarchy uniqueName="[fCoveckiResursi].[Период (Month) 1]" caption="Период (Month) 1" attribute="1" defaultMemberUniqueName="[fCoveckiResursi].[Период (Month) 1].[All]" allUniqueName="[fCoveckiResursi].[Период (Month) 1].[All]" dimensionUniqueName="[fCoveckiResursi]" displayFolder="" count="0" memberValueDatatype="130" unbalanced="0"/>
    <cacheHierarchy uniqueName="[fCoveckiResursi  2].[Ставка]" caption="Ставка" attribute="1" defaultMemberUniqueName="[fCoveckiResursi  2].[Ставка].[All]" allUniqueName="[fCoveckiResursi  2].[Ставка].[All]" dimensionUniqueName="[fCoveckiResursi  2]" displayFolder="" count="0" memberValueDatatype="130" unbalanced="0"/>
    <cacheHierarchy uniqueName="[fCoveckiResursi  2].[Период]" caption="Период" attribute="1" time="1" defaultMemberUniqueName="[fCoveckiResursi  2].[Период].[All]" allUniqueName="[fCoveckiResursi  2].[Период].[All]" dimensionUniqueName="[fCoveckiResursi  2]" displayFolder="" count="0" memberValueDatatype="7" unbalanced="0"/>
    <cacheHierarchy uniqueName="[fCoveckiResursi  2].[Износ]" caption="Износ" attribute="1" defaultMemberUniqueName="[fCoveckiResursi  2].[Износ].[All]" allUniqueName="[fCoveckiResursi  2].[Износ].[All]" dimensionUniqueName="[fCoveckiResursi  2]" displayFolder="" count="0" memberValueDatatype="20" unbalanced="0"/>
    <cacheHierarchy uniqueName="[fCoveckiResursi  2].[Конто]" caption="Конто" attribute="1" defaultMemberUniqueName="[fCoveckiResursi  2].[Конто].[All]" allUniqueName="[fCoveckiResursi  2].[Конто].[All]" dimensionUniqueName="[fCoveckiResursi  2]" displayFolder="" count="0" memberValueDatatype="130" unbalanced="0"/>
    <cacheHierarchy uniqueName="[fCoveckiResursi  2].[ReportType]" caption="ReportType" attribute="1" defaultMemberUniqueName="[fCoveckiResursi  2].[ReportType].[All]" allUniqueName="[fCoveckiResursi  2].[ReportType].[All]" dimensionUniqueName="[fCoveckiResursi  2]" displayFolder="" count="0" memberValueDatatype="130" unbalanced="0"/>
    <cacheHierarchy uniqueName="[fCoveckiResursi  2].[StavkaImeMK]" caption="StavkaImeMK" attribute="1" defaultMemberUniqueName="[fCoveckiResursi  2].[StavkaImeMK].[All]" allUniqueName="[fCoveckiResursi  2].[StavkaImeMK].[All]" dimensionUniqueName="[fCoveckiResursi  2]" displayFolder="" count="0" memberValueDatatype="130" unbalanced="0"/>
    <cacheHierarchy uniqueName="[fCoveckiResursi  2].[StavkaKategorija]" caption="StavkaKategorija" attribute="1" defaultMemberUniqueName="[fCoveckiResursi  2].[StavkaKategorija].[All]" allUniqueName="[fCoveckiResursi  2].[StavkaKategorija].[All]" dimensionUniqueName="[fCoveckiResursi  2]" displayFolder="" count="0" memberValueDatatype="130" unbalanced="0"/>
    <cacheHierarchy uniqueName="[fCoveckiResursi  2].[ObrazecIme]" caption="ObrazecIme" attribute="1" defaultMemberUniqueName="[fCoveckiResursi  2].[ObrazecIme].[All]" allUniqueName="[fCoveckiResursi  2].[ObrazecIme].[All]" dimensionUniqueName="[fCoveckiResursi  2]" displayFolder="" count="0" memberValueDatatype="130" unbalanced="0"/>
    <cacheHierarchy uniqueName="[fOPEX].[Конто]" caption="Конто" attribute="1" defaultMemberUniqueName="[fOPEX].[Конто].[All]" allUniqueName="[fOPEX].[Конто].[All]" dimensionUniqueName="[fOPEX]" displayFolder="" count="0" memberValueDatatype="130" unbalanced="0"/>
    <cacheHierarchy uniqueName="[fOPEX].[Ставка]" caption="Ставка" attribute="1" defaultMemberUniqueName="[fOPEX].[Ставка].[All]" allUniqueName="[fOPEX].[Ставка].[All]" dimensionUniqueName="[fOPEX]" displayFolder="" count="0" memberValueDatatype="130" unbalanced="0"/>
    <cacheHierarchy uniqueName="[fOPEX].[Период]" caption="Период" attribute="1" time="1" defaultMemberUniqueName="[fOPEX].[Период].[All]" allUniqueName="[fOPEX].[Период].[All]" dimensionUniqueName="[fOPEX]" displayFolder="" count="0" memberValueDatatype="7" unbalanced="0"/>
    <cacheHierarchy uniqueName="[fOPEX].[Износ]" caption="Износ" attribute="1" defaultMemberUniqueName="[fOPEX].[Износ].[All]" allUniqueName="[fOPEX].[Износ].[All]" dimensionUniqueName="[fOPEX]" displayFolder="" count="0" memberValueDatatype="20" unbalanced="0"/>
    <cacheHierarchy uniqueName="[fOPEX].[ReportType]" caption="ReportType" attribute="1" defaultMemberUniqueName="[fOPEX].[ReportType].[All]" allUniqueName="[fOPEX].[ReportType].[All]" dimensionUniqueName="[fOPEX]" displayFolder="" count="0" memberValueDatatype="130" unbalanced="0"/>
    <cacheHierarchy uniqueName="[OPEXAnaliza].[Артикл ИД]" caption="Артикл ИД" attribute="1" defaultMemberUniqueName="[OPEXAnaliza].[Артикл ИД].[All]" allUniqueName="[OPEXAnaliza].[Артикл ИД].[All]" dimensionUniqueName="[OPEXAnaliza]" displayFolder="" count="0" memberValueDatatype="20" unbalanced="0"/>
    <cacheHierarchy uniqueName="[OPEXAnaliza].[Ставка]" caption="Ставка" attribute="1" defaultMemberUniqueName="[OPEXAnaliza].[Ставка].[All]" allUniqueName="[OPEXAnaliza].[Ставка].[All]" dimensionUniqueName="[OPEXAnaliza]" displayFolder="" count="0" memberValueDatatype="130" unbalanced="0"/>
    <cacheHierarchy uniqueName="[OPEXAnaliza].[Категорија Артикл ИД]" caption="Категорија Артикл ИД" attribute="1" defaultMemberUniqueName="[OPEXAnaliza].[Категорија Артикл ИД].[All]" allUniqueName="[OPEXAnaliza].[Категорија Артикл ИД].[All]" dimensionUniqueName="[OPEXAnaliza]" displayFolder="" count="0" memberValueDatatype="20" unbalanced="0"/>
    <cacheHierarchy uniqueName="[OPEXAnaliza].[Категорија Артикл]" caption="Категорија Артикл" attribute="1" defaultMemberUniqueName="[OPEXAnaliza].[Категорија Артикл].[All]" allUniqueName="[OPEXAnaliza].[Категорија Артикл].[All]" dimensionUniqueName="[OPEXAnaliza]" displayFolder="" count="0" memberValueDatatype="130" unbalanced="0"/>
    <cacheHierarchy uniqueName="[OPEXAnaliza].[Тип на артикл]" caption="Тип на артикл" attribute="1" defaultMemberUniqueName="[OPEXAnaliza].[Тип на артикл].[All]" allUniqueName="[OPEXAnaliza].[Тип на артикл].[All]" dimensionUniqueName="[OPEXAnaliza]" displayFolder="" count="0" memberValueDatatype="130" unbalanced="0"/>
    <cacheHierarchy uniqueName="[OPEXAnaliza].[Единечна мерка]" caption="Единечна мерка" attribute="1" defaultMemberUniqueName="[OPEXAnaliza].[Единечна мерка].[All]" allUniqueName="[OPEXAnaliza].[Единечна мерка].[All]" dimensionUniqueName="[OPEXAnaliza]" displayFolder="" count="0" memberValueDatatype="130" unbalanced="0"/>
    <cacheHierarchy uniqueName="[OPEXAnaliza].[Количина]" caption="Количина" attribute="1" defaultMemberUniqueName="[OPEXAnaliza].[Количина].[All]" allUniqueName="[OPEXAnaliza].[Количина].[All]" dimensionUniqueName="[OPEXAnaliza]" displayFolder="" count="0" memberValueDatatype="5" unbalanced="0"/>
    <cacheHierarchy uniqueName="[OPEXAnaliza].[Единечна цена]" caption="Единечна цена" attribute="1" defaultMemberUniqueName="[OPEXAnaliza].[Единечна цена].[All]" allUniqueName="[OPEXAnaliza].[Единечна цена].[All]" dimensionUniqueName="[OPEXAnaliza]" displayFolder="" count="0" memberValueDatatype="20" unbalanced="0"/>
    <cacheHierarchy uniqueName="[OPEXAnaliza].[Износ]" caption="Износ" attribute="1" defaultMemberUniqueName="[OPEXAnaliza].[Износ].[All]" allUniqueName="[OPEXAnaliza].[Износ].[All]" dimensionUniqueName="[OPEXAnaliza]" displayFolder="" count="0" memberValueDatatype="5" unbalanced="0"/>
    <cacheHierarchy uniqueName="[OPEXAnaliza].[ДДВ]" caption="ДДВ" attribute="1" defaultMemberUniqueName="[OPEXAnaliza].[ДДВ].[All]" allUniqueName="[OPEXAnaliza].[ДДВ].[All]" dimensionUniqueName="[OPEXAnaliza]" displayFolder="" count="0" memberValueDatatype="5" unbalanced="0"/>
    <cacheHierarchy uniqueName="[OPEXAnaliza].[Вкупно трошок со ДДВ]" caption="Вкупно трошок со ДДВ" attribute="1" defaultMemberUniqueName="[OPEXAnaliza].[Вкупно трошок со ДДВ].[All]" allUniqueName="[OPEXAnaliza].[Вкупно трошок со ДДВ].[All]" dimensionUniqueName="[OPEXAnaliza]" displayFolder="" count="0" memberValueDatatype="5" unbalanced="0"/>
    <cacheHierarchy uniqueName="[OPEXAnaliza].[Конто]" caption="Конто" attribute="1" defaultMemberUniqueName="[OPEXAnaliza].[Конто].[All]" allUniqueName="[OPEXAnaliza].[Конто].[All]" dimensionUniqueName="[OPEXAnaliza]" displayFolder="" count="0" memberValueDatatype="130" unbalanced="0"/>
    <cacheHierarchy uniqueName="[OPEXAnaliza].[Период]" caption="Период" attribute="1" time="1" defaultMemberUniqueName="[OPEXAnaliza].[Период].[All]" allUniqueName="[OPEXAnaliza].[Период].[All]" dimensionUniqueName="[OPEXAnaliza]" displayFolder="" count="0" memberValueDatatype="7" unbalanced="0"/>
    <cacheHierarchy uniqueName="[OPEXAnaliza].[ReportType]" caption="ReportType" attribute="1" defaultMemberUniqueName="[OPEXAnaliza].[ReportType].[All]" allUniqueName="[OPEXAnaliza].[ReportType].[All]" dimensionUniqueName="[OPEXAnaliza]" displayFolder="" count="0" memberValueDatatype="130" unbalanced="0"/>
    <cacheHierarchy uniqueName="[OPEXAnaliza].[StavkaImeMK]" caption="StavkaImeMK" attribute="1" defaultMemberUniqueName="[OPEXAnaliza].[StavkaImeMK].[All]" allUniqueName="[OPEXAnaliza].[StavkaImeMK].[All]" dimensionUniqueName="[OPEXAnaliza]" displayFolder="" count="0" memberValueDatatype="130" unbalanced="0"/>
    <cacheHierarchy uniqueName="[OPEXAnaliza].[StavkaKategorija]" caption="StavkaKategorija" attribute="1" defaultMemberUniqueName="[OPEXAnaliza].[StavkaKategorija].[All]" allUniqueName="[OPEXAnaliza].[StavkaKategorija].[All]" dimensionUniqueName="[OPEXAnaliza]" displayFolder="" count="0" memberValueDatatype="130" unbalanced="0"/>
    <cacheHierarchy uniqueName="[OPEXAnaliza].[ObrazecIme]" caption="ObrazecIme" attribute="1" defaultMemberUniqueName="[OPEXAnaliza].[ObrazecIme].[All]" allUniqueName="[OPEXAnaliza].[ObrazecIme].[All]" dimensionUniqueName="[OPEXAnaliza]" displayFolder="" count="0" memberValueDatatype="130" unbalanced="0"/>
    <cacheHierarchy uniqueName="[OPEXAnaliza].[StavkaImeAOP]" caption="StavkaImeAOP" attribute="1" defaultMemberUniqueName="[OPEXAnaliza].[StavkaImeAOP].[All]" allUniqueName="[OPEXAnaliza].[StavkaImeAOP].[All]" dimensionUniqueName="[OPEXAnaliza]" displayFolder="" count="0" memberValueDatatype="20" unbalanced="0"/>
    <cacheHierarchy uniqueName="[OPEXAnaliza].[Период (Year)]" caption="Период (Year)" attribute="1" defaultMemberUniqueName="[OPEXAnaliza].[Период (Year)].[All]" allUniqueName="[OPEXAnaliza].[Период (Year)].[All]" dimensionUniqueName="[OPEXAnaliza]" displayFolder="" count="0" memberValueDatatype="130" unbalanced="0"/>
    <cacheHierarchy uniqueName="[OPEXAnaliza].[Период (Quarter)]" caption="Период (Quarter)" attribute="1" defaultMemberUniqueName="[OPEXAnaliza].[Период (Quarter)].[All]" allUniqueName="[OPEXAnaliza].[Период (Quarter)].[All]" dimensionUniqueName="[OPEXAnaliza]" displayFolder="" count="0" memberValueDatatype="130" unbalanced="0"/>
    <cacheHierarchy uniqueName="[OPEXAnaliza].[Период (Month)]" caption="Период (Month)" attribute="1" defaultMemberUniqueName="[OPEXAnaliza].[Период (Month)].[All]" allUniqueName="[OPEXAnaliza].[Период (Month)].[All]" dimensionUniqueName="[OPEXAnaliza]" displayFolder="" count="0" memberValueDatatype="130" unbalanced="0"/>
    <cacheHierarchy uniqueName="[rArtikli_HR_Analiza].[Ставка]" caption="Ставка" attribute="1" defaultMemberUniqueName="[rArtikli_HR_Analiza].[Ставка].[All]" allUniqueName="[rArtikli_HR_Analiza].[Ставка].[All]" dimensionUniqueName="[rArtikli_HR_Analiza]" displayFolder="" count="0" memberValueDatatype="130" unbalanced="0"/>
    <cacheHierarchy uniqueName="[rArtikli_HR_Analiza].[Категорија Артикл]" caption="Категорија Артикл" attribute="1" defaultMemberUniqueName="[rArtikli_HR_Analiza].[Категорија Артикл].[All]" allUniqueName="[rArtikli_HR_Analiza].[Категорија Артикл].[All]" dimensionUniqueName="[rArtikli_HR_Analiza]" displayFolder="" count="0" memberValueDatatype="130" unbalanced="0"/>
    <cacheHierarchy uniqueName="[rArtikli_HR_Analiza].[Тип на артикл]" caption="Тип на артикл" attribute="1" defaultMemberUniqueName="[rArtikli_HR_Analiza].[Тип на артикл].[All]" allUniqueName="[rArtikli_HR_Analiza].[Тип на артикл].[All]" dimensionUniqueName="[rArtikli_HR_Analiza]" displayFolder="" count="0" memberValueDatatype="130" unbalanced="0"/>
    <cacheHierarchy uniqueName="[rArtikli_HR_Analiza].[Единечна мерка]" caption="Единечна мерка" attribute="1" defaultMemberUniqueName="[rArtikli_HR_Analiza].[Единечна мерка].[All]" allUniqueName="[rArtikli_HR_Analiza].[Единечна мерка].[All]" dimensionUniqueName="[rArtikli_HR_Analiza]" displayFolder="" count="0" memberValueDatatype="130" unbalanced="0"/>
    <cacheHierarchy uniqueName="[rArtikli_HR_Analiza].[Количина]" caption="Количина" attribute="1" defaultMemberUniqueName="[rArtikli_HR_Analiza].[Количина].[All]" allUniqueName="[rArtikli_HR_Analiza].[Количина].[All]" dimensionUniqueName="[rArtikli_HR_Analiza]" displayFolder="" count="0" memberValueDatatype="5" unbalanced="0"/>
    <cacheHierarchy uniqueName="[rArtikli_HR_Analiza].[Единечна цена]" caption="Единечна цена" attribute="1" defaultMemberUniqueName="[rArtikli_HR_Analiza].[Единечна цена].[All]" allUniqueName="[rArtikli_HR_Analiza].[Единечна цена].[All]" dimensionUniqueName="[rArtikli_HR_Analiza]" displayFolder="" count="0" memberValueDatatype="20" unbalanced="0"/>
    <cacheHierarchy uniqueName="[rArtikli_HR_Analiza].[Вкупно трошок]" caption="Вкупно трошок" attribute="1" defaultMemberUniqueName="[rArtikli_HR_Analiza].[Вкупно трошок].[All]" allUniqueName="[rArtikli_HR_Analiza].[Вкупно трошок].[All]" dimensionUniqueName="[rArtikli_HR_Analiza]" displayFolder="" count="0" memberValueDatatype="5" unbalanced="0"/>
    <cacheHierarchy uniqueName="[rArtikli_HR_Analiza].[ДДВ]" caption="ДДВ" attribute="1" defaultMemberUniqueName="[rArtikli_HR_Analiza].[ДДВ].[All]" allUniqueName="[rArtikli_HR_Analiza].[ДДВ].[All]" dimensionUniqueName="[rArtikli_HR_Analiza]" displayFolder="" count="0" memberValueDatatype="5" unbalanced="0"/>
    <cacheHierarchy uniqueName="[rArtikli_HR_Analiza].[Износ]" caption="Износ" attribute="1" defaultMemberUniqueName="[rArtikli_HR_Analiza].[Износ].[All]" allUniqueName="[rArtikli_HR_Analiza].[Износ].[All]" dimensionUniqueName="[rArtikli_HR_Analiza]" displayFolder="" count="0" memberValueDatatype="5" unbalanced="0"/>
    <cacheHierarchy uniqueName="[rArtikli_HR_Analiza].[Конто]" caption="Конто" attribute="1" defaultMemberUniqueName="[rArtikli_HR_Analiza].[Конто].[All]" allUniqueName="[rArtikli_HR_Analiza].[Конто].[All]" dimensionUniqueName="[rArtikli_HR_Analiza]" displayFolder="" count="0" memberValueDatatype="130" unbalanced="0"/>
    <cacheHierarchy uniqueName="[rArtikli_HR_Analiza].[ReportType]" caption="ReportType" attribute="1" defaultMemberUniqueName="[rArtikli_HR_Analiza].[ReportType].[All]" allUniqueName="[rArtikli_HR_Analiza].[ReportType].[All]" dimensionUniqueName="[rArtikli_HR_Analiza]" displayFolder="" count="0" memberValueDatatype="130" unbalanced="0"/>
    <cacheHierarchy uniqueName="[rArtikli_HR_Analiza].[Период]" caption="Период" attribute="1" time="1" defaultMemberUniqueName="[rArtikli_HR_Analiza].[Период].[All]" allUniqueName="[rArtikli_HR_Analiza].[Период].[All]" dimensionUniqueName="[rArtikli_HR_Analiza]" displayFolder="" count="0" memberValueDatatype="7" unbalanced="0"/>
    <cacheHierarchy uniqueName="[rArtikli_HR_Analiza].[StavkaImeMK]" caption="StavkaImeMK" attribute="1" defaultMemberUniqueName="[rArtikli_HR_Analiza].[StavkaImeMK].[All]" allUniqueName="[rArtikli_HR_Analiza].[StavkaImeMK].[All]" dimensionUniqueName="[rArtikli_HR_Analiza]" displayFolder="" count="0" memberValueDatatype="130" unbalanced="0"/>
    <cacheHierarchy uniqueName="[rArtikli_HR_Analiza].[StavkaAOP]" caption="StavkaAOP" attribute="1" defaultMemberUniqueName="[rArtikli_HR_Analiza].[StavkaAOP].[All]" allUniqueName="[rArtikli_HR_Analiza].[StavkaAOP].[All]" dimensionUniqueName="[rArtikli_HR_Analiza]" displayFolder="" count="0" memberValueDatatype="130" unbalanced="0"/>
    <cacheHierarchy uniqueName="[rArtikli_HR_Analiza].[StavkaGrupa]" caption="StavkaGrupa" attribute="1" defaultMemberUniqueName="[rArtikli_HR_Analiza].[StavkaGrupa].[All]" allUniqueName="[rArtikli_HR_Analiza].[StavkaGrupa].[All]" dimensionUniqueName="[rArtikli_HR_Analiza]" displayFolder="" count="0" memberValueDatatype="130" unbalanced="0"/>
    <cacheHierarchy uniqueName="[rArtikli_HR_Analiza].[StavkaKategorija]" caption="StavkaKategorija" attribute="1" defaultMemberUniqueName="[rArtikli_HR_Analiza].[StavkaKategorija].[All]" allUniqueName="[rArtikli_HR_Analiza].[StavkaKategorija].[All]" dimensionUniqueName="[rArtikli_HR_Analiza]" displayFolder="" count="0" memberValueDatatype="130" unbalanced="0"/>
    <cacheHierarchy uniqueName="[rArtikli_HR_Analiza].[ObrazecIme]" caption="ObrazecIme" attribute="1" defaultMemberUniqueName="[rArtikli_HR_Analiza].[ObrazecIme].[All]" allUniqueName="[rArtikli_HR_Analiza].[ObrazecIme].[All]" dimensionUniqueName="[rArtikli_HR_Analiza]" displayFolder="" count="0" memberValueDatatype="130" unbalanced="0"/>
    <cacheHierarchy uniqueName="[rArtikli_HR_Analiza].[StavkaKategorija.1]" caption="StavkaKategorija.1" attribute="1" defaultMemberUniqueName="[rArtikli_HR_Analiza].[StavkaKategorija.1].[All]" allUniqueName="[rArtikli_HR_Analiza].[StavkaKategorija.1].[All]" dimensionUniqueName="[rArtikli_HR_Analiza]" displayFolder="" count="0" memberValueDatatype="130" unbalanced="0"/>
    <cacheHierarchy uniqueName="[rArtikliAnaliza].[Артикл ИД]" caption="Артикл ИД" attribute="1" defaultMemberUniqueName="[rArtikliAnaliza].[Артикл ИД].[All]" allUniqueName="[rArtikliAnaliza].[Артикл ИД].[All]" dimensionUniqueName="[rArtikliAnaliza]" displayFolder="" count="0" memberValueDatatype="20" unbalanced="0"/>
    <cacheHierarchy uniqueName="[rArtikliAnaliza].[Ставка]" caption="Ставка" attribute="1" defaultMemberUniqueName="[rArtikliAnaliza].[Ставка].[All]" allUniqueName="[rArtikliAnaliza].[Ставка].[All]" dimensionUniqueName="[rArtikliAnaliza]" displayFolder="" count="0" memberValueDatatype="130" unbalanced="0"/>
    <cacheHierarchy uniqueName="[rArtikliAnaliza].[Категорија Артикл ИД]" caption="Категорија Артикл ИД" attribute="1" defaultMemberUniqueName="[rArtikliAnaliza].[Категорија Артикл ИД].[All]" allUniqueName="[rArtikliAnaliza].[Категорија Артикл ИД].[All]" dimensionUniqueName="[rArtikliAnaliza]" displayFolder="" count="0" memberValueDatatype="20" unbalanced="0"/>
    <cacheHierarchy uniqueName="[rArtikliAnaliza].[Категорија Артикл]" caption="Категорија Артикл" attribute="1" defaultMemberUniqueName="[rArtikliAnaliza].[Категорија Артикл].[All]" allUniqueName="[rArtikliAnaliza].[Категорија Артикл].[All]" dimensionUniqueName="[rArtikliAnaliza]" displayFolder="" count="0" memberValueDatatype="130" unbalanced="0"/>
    <cacheHierarchy uniqueName="[rArtikliAnaliza].[Тип на артикл]" caption="Тип на артикл" attribute="1" defaultMemberUniqueName="[rArtikliAnaliza].[Тип на артикл].[All]" allUniqueName="[rArtikliAnaliza].[Тип на артикл].[All]" dimensionUniqueName="[rArtikliAnaliza]" displayFolder="" count="0" memberValueDatatype="130" unbalanced="0"/>
    <cacheHierarchy uniqueName="[rArtikliAnaliza].[Единечна мерка]" caption="Единечна мерка" attribute="1" defaultMemberUniqueName="[rArtikliAnaliza].[Единечна мерка].[All]" allUniqueName="[rArtikliAnaliza].[Единечна мерка].[All]" dimensionUniqueName="[rArtikliAnaliza]" displayFolder="" count="0" memberValueDatatype="130" unbalanced="0"/>
    <cacheHierarchy uniqueName="[rArtikliAnaliza].[Количина]" caption="Количина" attribute="1" defaultMemberUniqueName="[rArtikliAnaliza].[Количина].[All]" allUniqueName="[rArtikliAnaliza].[Количина].[All]" dimensionUniqueName="[rArtikliAnaliza]" displayFolder="" count="0" memberValueDatatype="5" unbalanced="0"/>
    <cacheHierarchy uniqueName="[rArtikliAnaliza].[Единечна цена]" caption="Единечна цена" attribute="1" defaultMemberUniqueName="[rArtikliAnaliza].[Единечна цена].[All]" allUniqueName="[rArtikliAnaliza].[Единечна цена].[All]" dimensionUniqueName="[rArtikliAnaliza]" displayFolder="" count="0" memberValueDatatype="20" unbalanced="0"/>
    <cacheHierarchy uniqueName="[rArtikliAnaliza].[Износ]" caption="Износ" attribute="1" defaultMemberUniqueName="[rArtikliAnaliza].[Износ].[All]" allUniqueName="[rArtikliAnaliza].[Износ].[All]" dimensionUniqueName="[rArtikliAnaliza]" displayFolder="" count="0" memberValueDatatype="5" unbalanced="0"/>
    <cacheHierarchy uniqueName="[rArtikliAnaliza].[ДДВ]" caption="ДДВ" attribute="1" defaultMemberUniqueName="[rArtikliAnaliza].[ДДВ].[All]" allUniqueName="[rArtikliAnaliza].[ДДВ].[All]" dimensionUniqueName="[rArtikliAnaliza]" displayFolder="" count="0" memberValueDatatype="5" unbalanced="0"/>
    <cacheHierarchy uniqueName="[rArtikliAnaliza].[Вкупно трошок со ДДВ]" caption="Вкупно трошок со ДДВ" attribute="1" defaultMemberUniqueName="[rArtikliAnaliza].[Вкупно трошок со ДДВ].[All]" allUniqueName="[rArtikliAnaliza].[Вкупно трошок со ДДВ].[All]" dimensionUniqueName="[rArtikliAnaliza]" displayFolder="" count="0" memberValueDatatype="5" unbalanced="0"/>
    <cacheHierarchy uniqueName="[rArtikliAnaliza].[Конто]" caption="Конто" attribute="1" defaultMemberUniqueName="[rArtikliAnaliza].[Конто].[All]" allUniqueName="[rArtikliAnaliza].[Конто].[All]" dimensionUniqueName="[rArtikliAnaliza]" displayFolder="" count="0" memberValueDatatype="130" unbalanced="0"/>
    <cacheHierarchy uniqueName="[rArtikliAnaliza].[Период]" caption="Период" attribute="1" time="1" defaultMemberUniqueName="[rArtikliAnaliza].[Период].[All]" allUniqueName="[rArtikliAnaliza].[Период].[All]" dimensionUniqueName="[rArtikliAnaliza]" displayFolder="" count="0" memberValueDatatype="7" unbalanced="0"/>
    <cacheHierarchy uniqueName="[rArtikliAnaliza].[ReportType]" caption="ReportType" attribute="1" defaultMemberUniqueName="[rArtikliAnaliza].[ReportType].[All]" allUniqueName="[rArtikliAnaliza].[ReportType].[All]" dimensionUniqueName="[rArtikliAnaliza]" displayFolder="" count="0" memberValueDatatype="130" unbalanced="0"/>
    <cacheHierarchy uniqueName="[rArtikliAnaliza].[StavkaImeMK]" caption="StavkaImeMK" attribute="1" defaultMemberUniqueName="[rArtikliAnaliza].[StavkaImeMK].[All]" allUniqueName="[rArtikliAnaliza].[StavkaImeMK].[All]" dimensionUniqueName="[rArtikliAnaliza]" displayFolder="" count="0" memberValueDatatype="130" unbalanced="0"/>
    <cacheHierarchy uniqueName="[rArtikliAnaliza].[StavkaKategorija]" caption="StavkaKategorija" attribute="1" defaultMemberUniqueName="[rArtikliAnaliza].[StavkaKategorija].[All]" allUniqueName="[rArtikliAnaliza].[StavkaKategorija].[All]" dimensionUniqueName="[rArtikliAnaliza]" displayFolder="" count="0" memberValueDatatype="130" unbalanced="0"/>
    <cacheHierarchy uniqueName="[rArtikliAnaliza].[Период (Year)]" caption="Период (Year)" attribute="1" defaultMemberUniqueName="[rArtikliAnaliza].[Период (Year)].[All]" allUniqueName="[rArtikliAnaliza].[Период (Year)].[All]" dimensionUniqueName="[rArtikliAnaliza]" displayFolder="" count="0" memberValueDatatype="130" unbalanced="0"/>
    <cacheHierarchy uniqueName="[rArtikliAnaliza].[Период (Quarter)]" caption="Период (Quarter)" attribute="1" defaultMemberUniqueName="[rArtikliAnaliza].[Период (Quarter)].[All]" allUniqueName="[rArtikliAnaliza].[Период (Quarter)].[All]" dimensionUniqueName="[rArtikliAnaliza]" displayFolder="" count="0" memberValueDatatype="130" unbalanced="0"/>
    <cacheHierarchy uniqueName="[rArtikliAnaliza].[Период (Month)]" caption="Период (Month)" attribute="1" defaultMemberUniqueName="[rArtikliAnaliza].[Период (Month)].[All]" allUniqueName="[rArtikliAnaliza].[Период (Month)].[All]" dimensionUniqueName="[rArtikliAnaliza]" displayFolder="" count="0" memberValueDatatype="130" unbalanced="0"/>
    <cacheHierarchy uniqueName="[CAPEX].[Очекуван датум за ставање во употреба (месец) (Month Index)]" caption="Очекуван датум за ставање во употреба (месец) (Month Index)" attribute="1" defaultMemberUniqueName="[CAPEX].[Очекуван датум за ставање во употреба (месец) (Month Index)].[All]" allUniqueName="[CAPEX].[Очекуван датум за ставање во употреба (месец) (Month Index)].[All]" dimensionUniqueName="[CAPEX]" displayFolder="" count="0" memberValueDatatype="20" unbalanced="0" hidden="1"/>
    <cacheHierarchy uniqueName="[CAPEX].[Очекуван датум на плаќање (Month Index)]" caption="Очекуван датум на плаќање (Month Index)" attribute="1" defaultMemberUniqueName="[CAPEX].[Очекуван датум на плаќање (Month Index)].[All]" allUniqueName="[CAPEX].[Очекуван датум на плаќање (Month Index)].[All]" dimensionUniqueName="[CAPEX]" displayFolder="" count="0" memberValueDatatype="20" unbalanced="0" hidden="1"/>
    <cacheHierarchy uniqueName="[fActualAndBudget].[StavkaID]" caption="StavkaID" attribute="1" defaultMemberUniqueName="[fActualAndBudget].[StavkaID].[All]" allUniqueName="[fActualAndBudget].[StavkaID].[All]" dimensionUniqueName="[fActualAndBudget]" displayFolder="" count="0" memberValueDatatype="20" unbalanced="0" hidden="1"/>
    <cacheHierarchy uniqueName="[fCoveckiResursi].[Период (Month Index)]" caption="Период (Month Index)" attribute="1" defaultMemberUniqueName="[fCoveckiResursi].[Период (Month Index)].[All]" allUniqueName="[fCoveckiResursi].[Период (Month Index)].[All]" dimensionUniqueName="[fCoveckiResursi]" displayFolder="" count="0" memberValueDatatype="20" unbalanced="0" hidden="1"/>
    <cacheHierarchy uniqueName="[fCoveckiResursi].[Период (Month Index) 1]" caption="Период (Month Index) 1" attribute="1" defaultMemberUniqueName="[fCoveckiResursi].[Период (Month Index) 1].[All]" allUniqueName="[fCoveckiResursi].[Период (Month Index) 1].[All]" dimensionUniqueName="[fCoveckiResursi]" displayFolder="" count="0" memberValueDatatype="20" unbalanced="0" hidden="1"/>
    <cacheHierarchy uniqueName="[OPEXAnaliza].[Период (Month Index)]" caption="Период (Month Index)" attribute="1" defaultMemberUniqueName="[OPEXAnaliza].[Период (Month Index)].[All]" allUniqueName="[OPEXAnaliza].[Период (Month Index)].[All]" dimensionUniqueName="[OPEXAnaliza]" displayFolder="" count="0" memberValueDatatype="20" unbalanced="0" hidden="1"/>
    <cacheHierarchy uniqueName="[rArtikli_HR_Analiza].[Крајна состојба вработени]" caption="Крајна состојба вработени" attribute="1" defaultMemberUniqueName="[rArtikli_HR_Analiza].[Крајна состојба вработени].[All]" allUniqueName="[rArtikli_HR_Analiza].[Крајна состојба вработени].[All]" dimensionUniqueName="[rArtikli_HR_Analiza]" displayFolder="" count="0" memberValueDatatype="20" unbalanced="0" hidden="1"/>
    <cacheHierarchy uniqueName="[rArtikli_HR_Analiza].[Планиран прилив/(одлив)]" caption="Планиран прилив/(одлив)" attribute="1" defaultMemberUniqueName="[rArtikli_HR_Analiza].[Планиран прилив/(одлив)].[All]" allUniqueName="[rArtikli_HR_Analiza].[Планиран прилив/(одлив)].[All]" dimensionUniqueName="[rArtikli_HR_Analiza]" displayFolder="" count="0" memberValueDatatype="20" unbalanced="0" hidden="1"/>
    <cacheHierarchy uniqueName="[rArtikli_HR_Analiza].[Тип на вработување]" caption="Тип на вработување" attribute="1" defaultMemberUniqueName="[rArtikli_HR_Analiza].[Тип на вработување].[All]" allUniqueName="[rArtikli_HR_Analiza].[Тип на вработување].[All]" dimensionUniqueName="[rArtikli_HR_Analiza]" displayFolder="" count="0" memberValueDatatype="130" unbalanced="0" hidden="1"/>
    <cacheHierarchy uniqueName="[rArtikliAnaliza].[Период (Month Index)]" caption="Период (Month Index)" attribute="1" defaultMemberUniqueName="[rArtikliAnaliza].[Период (Month Index)].[All]" allUniqueName="[rArtikliAnaliza].[Период (Month Index)].[All]" dimensionUniqueName="[rArtikliAnaliza]" displayFolder="" count="0" memberValueDatatype="20" unbalanced="0" hidden="1"/>
    <cacheHierarchy uniqueName="[Measures].[__XL_Count Calendar]" caption="__XL_Count Calendar" measure="1" displayFolder="" measureGroup="Calendar" count="0" hidden="1"/>
    <cacheHierarchy uniqueName="[Measures].[__XL_Count CAPEX]" caption="__XL_Count CAPEX" measure="1" displayFolder="" measureGroup="CAPEX" count="0" hidden="1"/>
    <cacheHierarchy uniqueName="[Measures].[__XL_Count Amortizacija]" caption="__XL_Count Amortizacija" measure="1" displayFolder="" measureGroup="Amortizacija" count="0" hidden="1"/>
    <cacheHierarchy uniqueName="[Measures].[__XL_Count fCoveckiResursi]" caption="__XL_Count fCoveckiResursi" measure="1" displayFolder="" measureGroup="fCoveckiResursi" count="0" hidden="1"/>
    <cacheHierarchy uniqueName="[Measures].[__XL_Count fActualAndBudget]" caption="__XL_Count fActualAndBudget" measure="1" displayFolder="" measureGroup="fActualAndBudget" count="0" hidden="1"/>
    <cacheHierarchy uniqueName="[Measures].[__XL_Count fOPEX]" caption="__XL_Count fOPEX" measure="1" displayFolder="" measureGroup="fOPEX" count="0" hidden="1"/>
    <cacheHierarchy uniqueName="[Measures].[__XL_Count OPEXAnaliza]" caption="__XL_Count OPEXAnaliza" measure="1" displayFolder="" measureGroup="OPEXAnaliza" count="0" hidden="1"/>
    <cacheHierarchy uniqueName="[Measures].[__XL_Count rArtikliAnaliza]" caption="__XL_Count rArtikliAnaliza" measure="1" displayFolder="" measureGroup="rArtikliAnaliza" count="0" hidden="1"/>
    <cacheHierarchy uniqueName="[Measures].[__XL_Count fArtikliCeni]" caption="__XL_Count fArtikliCeni" measure="1" displayFolder="" measureGroup="fArtikliCeni" count="0" hidden="1"/>
    <cacheHierarchy uniqueName="[Measures].[__XL_Count rArtikli_HR_Analiza]" caption="__XL_Count rArtikli_HR_Analiza" measure="1" displayFolder="" measureGroup="rArtikli_HR_Analiza" count="0" hidden="1"/>
    <cacheHierarchy uniqueName="[Measures].[__XL_Count fCoveckiResursi  2]" caption="__XL_Count fCoveckiResursi  2" measure="1" displayFolder="" measureGroup="fCoveckiResursi  2" count="0" hidden="1"/>
    <cacheHierarchy uniqueName="[Measures].[__No measures defined]" caption="__No measures defined" measure="1" displayFolder="" count="0" hidden="1"/>
    <cacheHierarchy uniqueName="[Measures].[Sum of Износ 3]" caption="Sum of Износ 3" measure="1" displayFolder="" measureGroup="fCoveckiResursi" count="0" hidden="1">
      <extLst>
        <ext xmlns:x15="http://schemas.microsoft.com/office/spreadsheetml/2010/11/main" uri="{B97F6D7D-B522-45F9-BDA1-12C45D357490}">
          <x15:cacheHierarchy aggregatedColumn="71"/>
        </ext>
      </extLst>
    </cacheHierarchy>
    <cacheHierarchy uniqueName="[Measures].[Sum of Крајна состојба вработени]" caption="Sum of Крајна состојба вработени" measure="1" displayFolder="" measureGroup="fCoveckiResursi" count="0" hidden="1">
      <extLst>
        <ext xmlns:x15="http://schemas.microsoft.com/office/spreadsheetml/2010/11/main" uri="{B97F6D7D-B522-45F9-BDA1-12C45D357490}">
          <x15:cacheHierarchy aggregatedColumn="70"/>
        </ext>
      </extLst>
    </cacheHierarchy>
    <cacheHierarchy uniqueName="[Measures].[Sum of Планиран прилив/(одлив)]" caption="Sum of Планиран прилив/(одлив)" measure="1" displayFolder="" measureGroup="fCoveckiResursi" count="0" hidden="1">
      <extLst>
        <ext xmlns:x15="http://schemas.microsoft.com/office/spreadsheetml/2010/11/main" uri="{B97F6D7D-B522-45F9-BDA1-12C45D357490}">
          <x15:cacheHierarchy aggregatedColumn="68"/>
        </ext>
      </extLst>
    </cacheHierarchy>
    <cacheHierarchy uniqueName="[Measures].[Sum of Износ]" caption="Sum of Износ" measure="1" displayFolder="" measureGroup="fActualAndBudget" count="0" hidden="1">
      <extLst>
        <ext xmlns:x15="http://schemas.microsoft.com/office/spreadsheetml/2010/11/main" uri="{B97F6D7D-B522-45F9-BDA1-12C45D357490}">
          <x15:cacheHierarchy aggregatedColumn="45"/>
        </ext>
      </extLst>
    </cacheHierarchy>
    <cacheHierarchy uniqueName="[Measures].[Sum of Износ (илјади)]" caption="Sum of Износ (илјади)" measure="1" displayFolder="" measureGroup="fActualAndBudget" count="0" hidden="1">
      <extLst>
        <ext xmlns:x15="http://schemas.microsoft.com/office/spreadsheetml/2010/11/main" uri="{B97F6D7D-B522-45F9-BDA1-12C45D357490}">
          <x15:cacheHierarchy aggregatedColumn="46"/>
        </ext>
      </extLst>
    </cacheHierarchy>
    <cacheHierarchy uniqueName="[Measures].[Sum of Износ1]" caption="Sum of Износ1" measure="1" displayFolder="" measureGroup="fActualAndBudget" count="0" oneField="1" hidden="1">
      <fieldsUsage count="1">
        <fieldUsage x="5"/>
      </fieldsUsage>
      <extLst>
        <ext xmlns:x15="http://schemas.microsoft.com/office/spreadsheetml/2010/11/main" uri="{B97F6D7D-B522-45F9-BDA1-12C45D357490}">
          <x15:cacheHierarchy aggregatedColumn="34"/>
        </ext>
      </extLst>
    </cacheHierarchy>
    <cacheHierarchy uniqueName="[Measures].[Sum of Износ 2]" caption="Sum of Износ 2" measure="1" displayFolder="" measureGroup="Amortizacija" count="0" hidden="1">
      <extLst>
        <ext xmlns:x15="http://schemas.microsoft.com/office/spreadsheetml/2010/11/main" uri="{B97F6D7D-B522-45F9-BDA1-12C45D357490}">
          <x15:cacheHierarchy aggregatedColumn="3"/>
        </ext>
      </extLst>
    </cacheHierarchy>
    <cacheHierarchy uniqueName="[Measures].[Sum of Износ 4]" caption="Sum of Износ 4" measure="1" displayFolder="" measureGroup="OPEXAnaliza" count="0" hidden="1">
      <extLst>
        <ext xmlns:x15="http://schemas.microsoft.com/office/spreadsheetml/2010/11/main" uri="{B97F6D7D-B522-45F9-BDA1-12C45D357490}">
          <x15:cacheHierarchy aggregatedColumn="101"/>
        </ext>
      </extLst>
    </cacheHierarchy>
    <cacheHierarchy uniqueName="[Measures].[Sum of Износ донација]" caption="Sum of Износ донација" measure="1" displayFolder="" measureGroup="CAPEX" count="0" hidden="1">
      <extLst>
        <ext xmlns:x15="http://schemas.microsoft.com/office/spreadsheetml/2010/11/main" uri="{B97F6D7D-B522-45F9-BDA1-12C45D357490}">
          <x15:cacheHierarchy aggregatedColumn="24"/>
        </ext>
      </extLst>
    </cacheHierarchy>
    <cacheHierarchy uniqueName="[Measures].[Sum of Вкупно трошок]" caption="Sum of Вкупно трошок" measure="1" displayFolder="" measureGroup="fArtikliCeni" count="0" hidden="1">
      <extLst>
        <ext xmlns:x15="http://schemas.microsoft.com/office/spreadsheetml/2010/11/main" uri="{B97F6D7D-B522-45F9-BDA1-12C45D357490}">
          <x15:cacheHierarchy aggregatedColumn="55"/>
        </ext>
      </extLst>
    </cacheHierarchy>
    <cacheHierarchy uniqueName="[Measures].[Sum of Количина]" caption="Sum of Количина" measure="1" displayFolder="" measureGroup="fArtikliCeni" count="0" hidden="1">
      <extLst>
        <ext xmlns:x15="http://schemas.microsoft.com/office/spreadsheetml/2010/11/main" uri="{B97F6D7D-B522-45F9-BDA1-12C45D357490}">
          <x15:cacheHierarchy aggregatedColumn="53"/>
        </ext>
      </extLst>
    </cacheHierarchy>
    <cacheHierarchy uniqueName="[Measures].[Sum of Единечна цена]" caption="Sum of Единечна цена" measure="1" displayFolder="" measureGroup="fArtikliCeni" count="0" hidden="1">
      <extLst>
        <ext xmlns:x15="http://schemas.microsoft.com/office/spreadsheetml/2010/11/main" uri="{B97F6D7D-B522-45F9-BDA1-12C45D357490}">
          <x15:cacheHierarchy aggregatedColumn="54"/>
        </ext>
      </extLst>
    </cacheHierarchy>
    <cacheHierarchy uniqueName="[Measures].[Sum of ДДВ]" caption="Sum of ДДВ" measure="1" displayFolder="" measureGroup="fArtikliCeni" count="0" hidden="1">
      <extLst>
        <ext xmlns:x15="http://schemas.microsoft.com/office/spreadsheetml/2010/11/main" uri="{B97F6D7D-B522-45F9-BDA1-12C45D357490}">
          <x15:cacheHierarchy aggregatedColumn="56"/>
        </ext>
      </extLst>
    </cacheHierarchy>
    <cacheHierarchy uniqueName="[Measures].[Sum of Износ 6]" caption="Sum of Износ 6" measure="1" displayFolder="" measureGroup="fArtikliCeni" count="0" hidden="1">
      <extLst>
        <ext xmlns:x15="http://schemas.microsoft.com/office/spreadsheetml/2010/11/main" uri="{B97F6D7D-B522-45F9-BDA1-12C45D357490}">
          <x15:cacheHierarchy aggregatedColumn="57"/>
        </ext>
      </extLst>
    </cacheHierarchy>
    <cacheHierarchy uniqueName="[Measures].[Count of Единечна мерка]" caption="Count of Единечна мерка" measure="1" displayFolder="" measureGroup="fArtikliCeni" count="0" hidden="1">
      <extLst>
        <ext xmlns:x15="http://schemas.microsoft.com/office/spreadsheetml/2010/11/main" uri="{B97F6D7D-B522-45F9-BDA1-12C45D357490}">
          <x15:cacheHierarchy aggregatedColumn="52"/>
        </ext>
      </extLst>
    </cacheHierarchy>
    <cacheHierarchy uniqueName="[Measures].[Sum of Количина 2]" caption="Sum of Количина 2" measure="1" displayFolder="" measureGroup="rArtikli_HR_Analiza" count="0" hidden="1">
      <extLst>
        <ext xmlns:x15="http://schemas.microsoft.com/office/spreadsheetml/2010/11/main" uri="{B97F6D7D-B522-45F9-BDA1-12C45D357490}">
          <x15:cacheHierarchy aggregatedColumn="118"/>
        </ext>
      </extLst>
    </cacheHierarchy>
    <cacheHierarchy uniqueName="[Measures].[Sum of Единечна цена 2]" caption="Sum of Единечна цена 2" measure="1" displayFolder="" measureGroup="rArtikli_HR_Analiza" count="0" hidden="1">
      <extLst>
        <ext xmlns:x15="http://schemas.microsoft.com/office/spreadsheetml/2010/11/main" uri="{B97F6D7D-B522-45F9-BDA1-12C45D357490}">
          <x15:cacheHierarchy aggregatedColumn="119"/>
        </ext>
      </extLst>
    </cacheHierarchy>
    <cacheHierarchy uniqueName="[Measures].[Sum of Вкупно трошок 2]" caption="Sum of Вкупно трошок 2" measure="1" displayFolder="" measureGroup="rArtikli_HR_Analiza" count="0" hidden="1">
      <extLst>
        <ext xmlns:x15="http://schemas.microsoft.com/office/spreadsheetml/2010/11/main" uri="{B97F6D7D-B522-45F9-BDA1-12C45D357490}">
          <x15:cacheHierarchy aggregatedColumn="120"/>
        </ext>
      </extLst>
    </cacheHierarchy>
    <cacheHierarchy uniqueName="[Measures].[Sum of ДДВ 2]" caption="Sum of ДДВ 2" measure="1" displayFolder="" measureGroup="rArtikli_HR_Analiza" count="0" hidden="1">
      <extLst>
        <ext xmlns:x15="http://schemas.microsoft.com/office/spreadsheetml/2010/11/main" uri="{B97F6D7D-B522-45F9-BDA1-12C45D357490}">
          <x15:cacheHierarchy aggregatedColumn="121"/>
        </ext>
      </extLst>
    </cacheHierarchy>
    <cacheHierarchy uniqueName="[Measures].[Sum of Износ 7]" caption="Sum of Износ 7" measure="1" displayFolder="" measureGroup="rArtikli_HR_Analiza" count="0" hidden="1">
      <extLst>
        <ext xmlns:x15="http://schemas.microsoft.com/office/spreadsheetml/2010/11/main" uri="{B97F6D7D-B522-45F9-BDA1-12C45D357490}">
          <x15:cacheHierarchy aggregatedColumn="122"/>
        </ext>
      </extLst>
    </cacheHierarchy>
    <cacheHierarchy uniqueName="[Measures].[Sum of Износ 5]" caption="Sum of Износ 5" measure="1" displayFolder="" measureGroup="fCoveckiResursi  2" count="0" hidden="1">
      <extLst>
        <ext xmlns:x15="http://schemas.microsoft.com/office/spreadsheetml/2010/11/main" uri="{B97F6D7D-B522-45F9-BDA1-12C45D357490}">
          <x15:cacheHierarchy aggregatedColumn="82"/>
        </ext>
      </extLst>
    </cacheHierarchy>
    <cacheHierarchy uniqueName="[Measures].[Sum of Проценета вредност на набавка со ДДВ (денари)]" caption="Sum of Проценета вредност на набавка со ДДВ (денари)" measure="1" displayFolder="" measureGroup="CAPEX" count="0" hidden="1">
      <extLst>
        <ext xmlns:x15="http://schemas.microsoft.com/office/spreadsheetml/2010/11/main" uri="{B97F6D7D-B522-45F9-BDA1-12C45D357490}">
          <x15:cacheHierarchy aggregatedColumn="20"/>
        </ext>
      </extLst>
    </cacheHierarchy>
  </cacheHierarchies>
  <kpis count="0"/>
  <dimensions count="12">
    <dimension name="Amortizacija" uniqueName="[Amortizacija]" caption="Amortizacija"/>
    <dimension name="Calendar" uniqueName="[Calendar]" caption="Calendar"/>
    <dimension name="CAPEX" uniqueName="[CAPEX]" caption="CAPEX"/>
    <dimension name="fActualAndBudget" uniqueName="[fActualAndBudget]" caption="fActualAndBudget"/>
    <dimension name="fArtikliCeni" uniqueName="[fArtikliCeni]" caption="fArtikliCeni"/>
    <dimension name="fCoveckiResursi" uniqueName="[fCoveckiResursi]" caption="fCoveckiResursi"/>
    <dimension name="fCoveckiResursi  2" uniqueName="[fCoveckiResursi  2]" caption="fCoveckiResursi  2"/>
    <dimension name="fOPEX" uniqueName="[fOPEX]" caption="fOPEX"/>
    <dimension measure="1" name="Measures" uniqueName="[Measures]" caption="Measures"/>
    <dimension name="OPEXAnaliza" uniqueName="[OPEXAnaliza]" caption="OPEXAnaliza"/>
    <dimension name="rArtikli_HR_Analiza" uniqueName="[rArtikli_HR_Analiza]" caption="rArtikli_HR_Analiza"/>
    <dimension name="rArtikliAnaliza" uniqueName="[rArtikliAnaliza]" caption="rArtikliAnaliza"/>
  </dimensions>
  <measureGroups count="11">
    <measureGroup name="Amortizacija" caption="Amortizacija"/>
    <measureGroup name="Calendar" caption="Calendar"/>
    <measureGroup name="CAPEX" caption="CAPEX"/>
    <measureGroup name="fActualAndBudget" caption="fActualAndBudget"/>
    <measureGroup name="fArtikliCeni" caption="fArtikliCeni"/>
    <measureGroup name="fCoveckiResursi" caption="fCoveckiResursi"/>
    <measureGroup name="fCoveckiResursi  2" caption="fCoveckiResursi  2"/>
    <measureGroup name="fOPEX" caption="fOPEX"/>
    <measureGroup name="OPEXAnaliza" caption="OPEXAnaliza"/>
    <measureGroup name="rArtikli_HR_Analiza" caption="rArtikli_HR_Analiza"/>
    <measureGroup name="rArtikliAnaliza" caption="rArtikliAnaliza"/>
  </measureGroups>
  <maps count="19">
    <map measureGroup="0" dimension="0"/>
    <map measureGroup="0" dimension="1"/>
    <map measureGroup="1" dimension="1"/>
    <map measureGroup="2" dimension="1"/>
    <map measureGroup="2" dimension="2"/>
    <map measureGroup="3" dimension="1"/>
    <map measureGroup="3" dimension="3"/>
    <map measureGroup="4" dimension="4"/>
    <map measureGroup="5" dimension="1"/>
    <map measureGroup="5" dimension="5"/>
    <map measureGroup="6" dimension="1"/>
    <map measureGroup="6" dimension="6"/>
    <map measureGroup="7" dimension="1"/>
    <map measureGroup="7" dimension="7"/>
    <map measureGroup="8" dimension="1"/>
    <map measureGroup="8" dimension="9"/>
    <map measureGroup="9" dimension="10"/>
    <map measureGroup="10" dimension="1"/>
    <map measureGroup="10" dimension="11"/>
  </maps>
  <extLst>
    <ext xmlns:x14="http://schemas.microsoft.com/office/spreadsheetml/2009/9/main" uri="{725AE2AE-9491-48be-B2B4-4EB974FC3084}">
      <x14:pivotCacheDefinition supportSubqueryNonVisual="1" supportSubqueryCalcMem="1" supportAddCalcMems="1"/>
    </ext>
  </extLst>
</pivotCacheDefinition>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6.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17.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15.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16.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14.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27.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13.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12.xml"/></Relationships>
</file>

<file path=xl/pivotTables/_rels/pivotTable17.xml.rels><?xml version="1.0" encoding="UTF-8" standalone="yes"?>
<Relationships xmlns="http://schemas.openxmlformats.org/package/2006/relationships"><Relationship Id="rId1" Type="http://schemas.openxmlformats.org/officeDocument/2006/relationships/pivotCacheDefinition" Target="../pivotCache/pivotCacheDefinition11.xml"/></Relationships>
</file>

<file path=xl/pivotTables/_rels/pivotTable18.xml.rels><?xml version="1.0" encoding="UTF-8" standalone="yes"?>
<Relationships xmlns="http://schemas.openxmlformats.org/package/2006/relationships"><Relationship Id="rId1" Type="http://schemas.openxmlformats.org/officeDocument/2006/relationships/pivotCacheDefinition" Target="../pivotCache/pivotCacheDefinition10.xml"/></Relationships>
</file>

<file path=xl/pivotTables/_rels/pivotTable19.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5.xml"/></Relationships>
</file>

<file path=xl/pivotTables/_rels/pivotTable20.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1.xml.rels><?xml version="1.0" encoding="UTF-8" standalone="yes"?>
<Relationships xmlns="http://schemas.openxmlformats.org/package/2006/relationships"><Relationship Id="rId1" Type="http://schemas.openxmlformats.org/officeDocument/2006/relationships/pivotCacheDefinition" Target="../pivotCache/pivotCacheDefinition28.xml"/></Relationships>
</file>

<file path=xl/pivotTables/_rels/pivotTable22.xml.rels><?xml version="1.0" encoding="UTF-8" standalone="yes"?>
<Relationships xmlns="http://schemas.openxmlformats.org/package/2006/relationships"><Relationship Id="rId1" Type="http://schemas.openxmlformats.org/officeDocument/2006/relationships/pivotCacheDefinition" Target="../pivotCache/pivotCacheDefinition8.xml"/></Relationships>
</file>

<file path=xl/pivotTables/_rels/pivotTable23.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24.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25.xml.rels><?xml version="1.0" encoding="UTF-8" standalone="yes"?>
<Relationships xmlns="http://schemas.openxmlformats.org/package/2006/relationships"><Relationship Id="rId1" Type="http://schemas.openxmlformats.org/officeDocument/2006/relationships/pivotCacheDefinition" Target="../pivotCache/pivotCacheDefinition29.xml"/></Relationships>
</file>

<file path=xl/pivotTables/_rels/pivotTable26.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27.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28.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4.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23.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22.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21.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20.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19.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18.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100-000000000000}" name="PivotTable2" cacheId="25" applyNumberFormats="0" applyBorderFormats="0" applyFontFormats="0" applyPatternFormats="0" applyAlignmentFormats="0" applyWidthHeightFormats="1" dataCaption="Values" tag="ff36060b-e103-4d7c-84e3-f33059617c9c" updatedVersion="6" minRefreshableVersion="3" showDataTips="0" useAutoFormatting="1" subtotalHiddenItems="1" itemPrintTitles="1" createdVersion="5" indent="0" outline="1" outlineData="1">
  <location ref="A5:L140" firstHeaderRow="1" firstDataRow="2" firstDataCol="1" rowPageCount="2" colPageCount="1"/>
  <pivotFields count="10">
    <pivotField allDrilled="1" showAll="0" dataSourceSort="1"/>
    <pivotField showAll="0" dataSourceSort="1"/>
    <pivotField showAll="0" dataSourceSort="1"/>
    <pivotField axis="axisRow" allDrilled="1" showAll="0" dataSourceSort="1">
      <items count="134">
        <item x="0" e="0"/>
        <item x="1" e="0"/>
        <item x="2" e="0"/>
        <item x="3" e="0"/>
        <item x="4" e="0"/>
        <item x="5" e="0"/>
        <item x="6" e="0"/>
        <item x="7" e="0"/>
        <item x="8" e="0"/>
        <item x="9" e="0"/>
        <item x="10" e="0"/>
        <item x="11" e="0"/>
        <item x="12" e="0"/>
        <item x="13" e="0"/>
        <item x="14" e="0"/>
        <item x="15" e="0"/>
        <item x="16" e="0"/>
        <item x="17" e="0"/>
        <item x="18" e="0"/>
        <item x="19" e="0"/>
        <item x="20" e="0"/>
        <item x="21" e="0"/>
        <item x="22" e="0"/>
        <item x="23" e="0"/>
        <item x="24" e="0"/>
        <item x="25" e="0"/>
        <item x="26" e="0"/>
        <item x="27" e="0"/>
        <item x="28" e="0"/>
        <item x="29" e="0"/>
        <item x="30" e="0"/>
        <item x="31" e="0"/>
        <item x="32" e="0"/>
        <item x="33" e="0"/>
        <item x="34" e="0"/>
        <item x="35" e="0"/>
        <item x="36" e="0"/>
        <item x="37" e="0"/>
        <item x="38" e="0"/>
        <item x="39" e="0"/>
        <item x="40" e="0"/>
        <item x="41" e="0"/>
        <item x="42" e="0"/>
        <item x="43" e="0"/>
        <item x="44" e="0"/>
        <item x="45" e="0"/>
        <item x="46" e="0"/>
        <item x="47" e="0"/>
        <item x="48" e="0"/>
        <item x="49" e="0"/>
        <item x="50" e="0"/>
        <item x="51" e="0"/>
        <item x="52" e="0"/>
        <item x="53" e="0"/>
        <item x="54" e="0"/>
        <item x="55" e="0"/>
        <item x="56" e="0"/>
        <item x="57" e="0"/>
        <item x="58" e="0"/>
        <item x="59" e="0"/>
        <item x="60" e="0"/>
        <item x="61" e="0"/>
        <item x="62" e="0"/>
        <item x="63" e="0"/>
        <item x="64" e="0"/>
        <item x="65" e="0"/>
        <item x="66" e="0"/>
        <item x="67" e="0"/>
        <item x="68" e="0"/>
        <item x="69" e="0"/>
        <item x="70" e="0"/>
        <item x="71" e="0"/>
        <item x="72" e="0"/>
        <item x="73" e="0"/>
        <item x="74" e="0"/>
        <item x="75" e="0"/>
        <item x="76" e="0"/>
        <item x="77" e="0"/>
        <item x="78" e="0"/>
        <item x="79" e="0"/>
        <item x="80" e="0"/>
        <item x="81" e="0"/>
        <item x="82" e="0"/>
        <item x="83" e="0"/>
        <item x="84" e="0"/>
        <item x="85" e="0"/>
        <item x="86" e="0"/>
        <item x="87" e="0"/>
        <item x="88" e="0"/>
        <item x="89" e="0"/>
        <item x="90" e="0"/>
        <item x="91" e="0"/>
        <item x="92" e="0"/>
        <item x="93" e="0"/>
        <item x="94" e="0"/>
        <item x="95" e="0"/>
        <item x="96" e="0"/>
        <item x="97" e="0"/>
        <item x="98" e="0"/>
        <item x="99" e="0"/>
        <item x="100" e="0"/>
        <item x="101" e="0"/>
        <item x="102" e="0"/>
        <item x="103" e="0"/>
        <item x="104" e="0"/>
        <item x="105" e="0"/>
        <item x="106" e="0"/>
        <item x="107" e="0"/>
        <item x="108" e="0"/>
        <item x="109" e="0"/>
        <item x="110" e="0"/>
        <item x="111" e="0"/>
        <item x="112" e="0"/>
        <item x="113" e="0"/>
        <item x="114" e="0"/>
        <item x="115" e="0"/>
        <item x="116" e="0"/>
        <item x="117" e="0"/>
        <item x="118" e="0"/>
        <item x="119" e="0"/>
        <item x="120" e="0"/>
        <item x="121" e="0"/>
        <item x="122" e="0"/>
        <item x="123" e="0"/>
        <item x="124" e="0"/>
        <item x="125" e="0"/>
        <item x="126" e="0"/>
        <item x="127" e="0"/>
        <item x="128" e="0"/>
        <item x="129" e="0"/>
        <item x="130" e="0"/>
        <item x="131" e="0"/>
        <item x="132" e="0"/>
        <item t="default"/>
      </items>
    </pivotField>
    <pivotField axis="axisPage" allDrilled="1" showAll="0" defaultAttributeDrillState="1">
      <items count="1">
        <item t="default"/>
      </items>
    </pivotField>
    <pivotField dataField="1" showAll="0"/>
    <pivotField axis="axisRow" allDrilled="1" showAll="0" dataSourceSort="1" defaultAttributeDrillState="1">
      <items count="131">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t="default"/>
      </items>
    </pivotField>
    <pivotField axis="axisPage" allDrilled="1" showAll="0" dataSourceSort="1" defaultAttributeDrillState="1">
      <items count="1">
        <item t="default"/>
      </items>
    </pivotField>
    <pivotField axis="axisCol" allDrilled="1" showAll="0" dataSourceSort="1" defaultAttributeDrillState="1">
      <items count="11">
        <item s="1" x="0"/>
        <item s="1" x="1"/>
        <item s="1" x="2"/>
        <item s="1" x="3"/>
        <item s="1" x="4"/>
        <item s="1" x="5"/>
        <item s="1" x="6"/>
        <item s="1" x="7"/>
        <item s="1" x="8"/>
        <item s="1" x="9"/>
        <item t="default"/>
      </items>
    </pivotField>
    <pivotField allDrilled="1" showAll="0" dataSourceSort="1" defaultAttributeDrillState="1"/>
  </pivotFields>
  <rowFields count="2">
    <field x="3"/>
    <field x="6"/>
  </rowFields>
  <rowItems count="134">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t="grand">
      <x/>
    </i>
  </rowItems>
  <colFields count="1">
    <field x="8"/>
  </colFields>
  <colItems count="11">
    <i>
      <x/>
    </i>
    <i>
      <x v="1"/>
    </i>
    <i>
      <x v="2"/>
    </i>
    <i>
      <x v="3"/>
    </i>
    <i>
      <x v="4"/>
    </i>
    <i>
      <x v="5"/>
    </i>
    <i>
      <x v="6"/>
    </i>
    <i>
      <x v="7"/>
    </i>
    <i>
      <x v="8"/>
    </i>
    <i>
      <x v="9"/>
    </i>
    <i t="grand">
      <x/>
    </i>
  </colItems>
  <pageFields count="2">
    <pageField fld="4" hier="35" name="[fActualAndBudget].[ReportType].&amp;[Остварено]" cap="Остварено"/>
    <pageField fld="7" hier="8" name="[Calendar].[Година].&amp;[2019]" cap="2019"/>
  </pageFields>
  <dataFields count="1">
    <dataField name="Sum of Износ" fld="5" baseField="3" baseItem="4" numFmtId="3"/>
  </dataFields>
  <pivotHierarchies count="195">
    <pivotHierarchy dragToData="1"/>
    <pivotHierarchy dragToData="1"/>
    <pivotHierarchy dragToData="1"/>
    <pivotHierarchy dragToData="1"/>
    <pivotHierarchy dragToData="1"/>
    <pivotHierarchy dragToData="1"/>
    <pivotHierarchy dragToData="1"/>
    <pivotHierarchy multipleItemSelectionAllowed="1">
      <members count="1" level="1">
        <member name="[Calendar].[Date Hierarchy].[Year].&amp;[2020]"/>
      </members>
    </pivotHierarchy>
    <pivotHierarchy multipleItemSelectionAllowed="1" dragToData="1">
      <members count="1" level="1">
        <member name="[Calendar].[Година].&amp;[2019]"/>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fActualAndBudget].[ReportType].&amp;[Остварено]"/>
      </members>
    </pivotHierarchy>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fActualAndBudget].[ObrazecIme].&amp;[Finansiski plan_Bilans na uspeh]"/>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filters count="1">
    <filter fld="3" type="captionBeginsWith" evalOrder="-1" id="1" stringValue1="4">
      <autoFilter ref="A1">
        <filterColumn colId="0">
          <customFilters>
            <customFilter val="4*"/>
          </customFilters>
        </filterColumn>
      </autoFilter>
    </filter>
  </filters>
  <rowHierarchiesUsage count="2">
    <rowHierarchyUsage hierarchyUsage="31"/>
    <rowHierarchyUsage hierarchyUsage="36"/>
  </rowHierarchiesUsage>
  <colHierarchiesUsage count="1">
    <colHierarchyUsage hierarchyUsage="1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fActualAndBudget]"/>
        <x15:activeTabTopLevelEntity name="[Calendar]"/>
      </x15:pivotTableUISettings>
    </ext>
    <ext xmlns:xpdl="http://schemas.microsoft.com/office/spreadsheetml/2016/pivotdefaultlayout" uri="{747A6164-185A-40DC-8AA5-F01512510D54}">
      <xpdl:pivotTableDefinition16/>
    </ext>
  </extLst>
</pivotTableDefinition>
</file>

<file path=xl/pivotTables/pivotTable10.xml><?xml version="1.0" encoding="utf-8"?>
<pivotTableDefinition xmlns="http://schemas.openxmlformats.org/spreadsheetml/2006/main" xmlns:mc="http://schemas.openxmlformats.org/markup-compatibility/2006" xmlns:xr="http://schemas.microsoft.com/office/spreadsheetml/2014/revision" mc:Ignorable="xr" xr:uid="{00000000-0007-0000-0900-000000000000}" name="PivotTable7" cacheId="16" applyNumberFormats="0" applyBorderFormats="0" applyFontFormats="0" applyPatternFormats="0" applyAlignmentFormats="0" applyWidthHeightFormats="1" dataCaption="Values" tag="9a46dde1-dd71-4045-b246-4e259d2911a9" updatedVersion="6" minRefreshableVersion="3" showDataTips="0" useAutoFormatting="1" subtotalHiddenItems="1" itemPrintTitles="1" createdVersion="6" indent="0" compact="0" compactData="0">
  <location ref="A54:N60" firstHeaderRow="1" firstDataRow="2" firstDataCol="1"/>
  <pivotFields count="3">
    <pivotField axis="axisRow" compact="0" allDrilled="1" outline="0" subtotalTop="0" showAll="0" dataSourceSort="1" defaultAttributeDrillState="1">
      <items count="5">
        <item x="0"/>
        <item x="1"/>
        <item x="2"/>
        <item x="3"/>
        <item t="default"/>
      </items>
    </pivotField>
    <pivotField axis="axisCol" compact="0" allDrilled="1" outline="0" subtotalTop="0" showAll="0" dataSourceSort="1" defaultAttributeDrillState="1">
      <items count="13">
        <item x="0"/>
        <item x="1"/>
        <item x="2"/>
        <item x="3"/>
        <item x="4"/>
        <item x="5"/>
        <item x="6"/>
        <item x="7"/>
        <item x="8"/>
        <item x="9"/>
        <item x="10"/>
        <item x="11"/>
        <item t="default"/>
      </items>
    </pivotField>
    <pivotField dataField="1" compact="0" outline="0" subtotalTop="0" showAll="0"/>
  </pivotFields>
  <rowFields count="1">
    <field x="0"/>
  </rowFields>
  <rowItems count="5">
    <i>
      <x/>
    </i>
    <i>
      <x v="1"/>
    </i>
    <i>
      <x v="2"/>
    </i>
    <i>
      <x v="3"/>
    </i>
    <i t="grand">
      <x/>
    </i>
  </rowItems>
  <colFields count="1">
    <field x="1"/>
  </colFields>
  <colItems count="13">
    <i>
      <x/>
    </i>
    <i>
      <x v="1"/>
    </i>
    <i>
      <x v="2"/>
    </i>
    <i>
      <x v="3"/>
    </i>
    <i>
      <x v="4"/>
    </i>
    <i>
      <x v="5"/>
    </i>
    <i>
      <x v="6"/>
    </i>
    <i>
      <x v="7"/>
    </i>
    <i>
      <x v="8"/>
    </i>
    <i>
      <x v="9"/>
    </i>
    <i>
      <x v="10"/>
    </i>
    <i>
      <x v="11"/>
    </i>
    <i t="grand">
      <x/>
    </i>
  </colItems>
  <dataFields count="1">
    <dataField name="Sum of Износ" fld="2" baseField="0" baseItem="0"/>
  </dataFields>
  <pivotHierarchies count="195">
    <pivotHierarchy dragToData="1"/>
    <pivotHierarchy dragToData="1"/>
    <pivotHierarchy dragToData="1"/>
    <pivotHierarchy dragToData="1"/>
    <pivotHierarchy dragToData="1"/>
    <pivotHierarchy dragToData="1"/>
    <pivotHierarchy dragToData="1"/>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4"/>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Amortizacija]"/>
      </x15:pivotTableUISettings>
    </ext>
    <ext xmlns:xpdl="http://schemas.microsoft.com/office/spreadsheetml/2016/pivotdefaultlayout" uri="{747A6164-185A-40DC-8AA5-F01512510D54}">
      <xpdl:pivotTableDefinition16/>
    </ext>
  </extLst>
</pivotTableDefinition>
</file>

<file path=xl/pivotTables/pivotTable11.xml><?xml version="1.0" encoding="utf-8"?>
<pivotTableDefinition xmlns="http://schemas.openxmlformats.org/spreadsheetml/2006/main" xmlns:mc="http://schemas.openxmlformats.org/markup-compatibility/2006" xmlns:xr="http://schemas.microsoft.com/office/spreadsheetml/2014/revision" mc:Ignorable="xr" xr:uid="{00000000-0007-0000-0A00-000000000000}" name="PivotTable2" cacheId="14" applyNumberFormats="0" applyBorderFormats="0" applyFontFormats="0" applyPatternFormats="0" applyAlignmentFormats="0" applyWidthHeightFormats="1" dataCaption="Values" tag="1cde22f6-c95d-4137-82b0-f0639ae3837f" updatedVersion="6" minRefreshableVersion="3" showDataTips="0" useAutoFormatting="1" subtotalHiddenItems="1" rowGrandTotals="0" itemPrintTitles="1" createdVersion="5" indent="0" outline="1" outlineData="1">
  <location ref="B5:F20" firstHeaderRow="1" firstDataRow="2" firstDataCol="1" rowPageCount="2" colPageCount="1"/>
  <pivotFields count="10">
    <pivotField allDrilled="1" showAll="0" dataSourceSort="1"/>
    <pivotField showAll="0" dataSourceSort="1"/>
    <pivotField showAll="0" dataSourceSort="1"/>
    <pivotField axis="axisRow" allDrilled="1" showAll="0" dataSourceSort="1">
      <items count="28">
        <item x="0" e="0"/>
        <item x="1" e="0"/>
        <item x="2" e="0"/>
        <item x="3" e="0"/>
        <item x="4" e="0"/>
        <item x="5" e="0"/>
        <item x="6" e="0"/>
        <item x="7" e="0"/>
        <item x="8" e="0"/>
        <item x="9" e="0"/>
        <item x="10" e="0"/>
        <item x="11" e="0"/>
        <item x="12" e="0"/>
        <item x="13" e="0"/>
        <item x="14" e="0"/>
        <item x="15" e="0"/>
        <item x="16" e="0"/>
        <item x="17" e="0"/>
        <item x="18" e="0"/>
        <item x="19" e="0"/>
        <item x="20" e="0"/>
        <item x="21" e="0"/>
        <item x="22" e="0"/>
        <item x="23" e="0"/>
        <item x="24" e="0"/>
        <item x="25" e="0"/>
        <item x="26" e="0"/>
        <item t="default"/>
      </items>
    </pivotField>
    <pivotField axis="axisPage" allDrilled="1" showAll="0" defaultAttributeDrillState="1">
      <items count="1">
        <item t="default"/>
      </items>
    </pivotField>
    <pivotField dataField="1" showAll="0"/>
    <pivotField allDrilled="1" showAll="0" dataSourceSort="1" defaultAttributeDrillState="1"/>
    <pivotField axis="axisPage" allDrilled="1" showAll="0" dataSourceSort="1" defaultAttributeDrillState="1">
      <items count="1">
        <item t="default"/>
      </items>
    </pivotField>
    <pivotField axis="axisCol" allDrilled="1" showAll="0" dataSourceSort="1" defaultAttributeDrillState="1">
      <items count="4">
        <item x="0"/>
        <item x="1"/>
        <item x="2"/>
        <item t="default"/>
      </items>
    </pivotField>
    <pivotField axis="axisRow" allDrilled="1" showAll="0" dataSourceSort="1">
      <items count="15">
        <item x="0" e="0"/>
        <item x="1" e="0"/>
        <item x="2" e="0"/>
        <item x="3" e="0"/>
        <item x="4" e="0"/>
        <item x="5" e="0"/>
        <item x="6" e="0"/>
        <item x="7" e="0"/>
        <item x="8" e="0"/>
        <item x="9" e="0"/>
        <item x="10" e="0"/>
        <item x="11" e="0"/>
        <item x="12" e="0"/>
        <item x="13" e="0"/>
        <item t="default"/>
      </items>
    </pivotField>
  </pivotFields>
  <rowFields count="2">
    <field x="9"/>
    <field x="3"/>
  </rowFields>
  <rowItems count="14">
    <i>
      <x/>
    </i>
    <i>
      <x v="1"/>
    </i>
    <i>
      <x v="2"/>
    </i>
    <i>
      <x v="3"/>
    </i>
    <i>
      <x v="4"/>
    </i>
    <i>
      <x v="5"/>
    </i>
    <i>
      <x v="6"/>
    </i>
    <i>
      <x v="7"/>
    </i>
    <i>
      <x v="8"/>
    </i>
    <i>
      <x v="9"/>
    </i>
    <i>
      <x v="10"/>
    </i>
    <i>
      <x v="11"/>
    </i>
    <i>
      <x v="12"/>
    </i>
    <i>
      <x v="13"/>
    </i>
  </rowItems>
  <colFields count="1">
    <field x="8"/>
  </colFields>
  <colItems count="4">
    <i>
      <x/>
    </i>
    <i>
      <x v="1"/>
    </i>
    <i>
      <x v="2"/>
    </i>
    <i t="grand">
      <x/>
    </i>
  </colItems>
  <pageFields count="2">
    <pageField fld="4" hier="35" name="[fActualAndBudget].[ReportType].&amp;[Предвидување]" cap="Предвидување"/>
    <pageField fld="7" hier="44" name="[fActualAndBudget].[ObrazecIme].&amp;[Finansiski plan_Bilans na sostojba]" cap="Finansiski plan_Bilans na sostojba"/>
  </pageFields>
  <dataFields count="1">
    <dataField name="Sum of Износ" fld="5" baseField="0" baseItem="0" numFmtId="3"/>
  </dataFields>
  <formats count="5">
    <format dxfId="312">
      <pivotArea field="3" grandCol="1" collapsedLevelsAreSubtotals="1" axis="axisRow" fieldPosition="1">
        <references count="1">
          <reference field="3" count="1">
            <x v="26"/>
          </reference>
        </references>
      </pivotArea>
    </format>
    <format dxfId="311">
      <pivotArea field="3" grandCol="1" collapsedLevelsAreSubtotals="1" axis="axisRow" fieldPosition="1">
        <references count="1">
          <reference field="3" count="1">
            <x v="25"/>
          </reference>
        </references>
      </pivotArea>
    </format>
    <format dxfId="310">
      <pivotArea grandCol="1" outline="0" collapsedLevelsAreSubtotals="1" fieldPosition="0"/>
    </format>
    <format dxfId="309">
      <pivotArea type="topRight" dataOnly="0" labelOnly="1" outline="0" offset="D1" fieldPosition="0"/>
    </format>
    <format dxfId="308">
      <pivotArea dataOnly="0" labelOnly="1" grandCol="1" outline="0" fieldPosition="0"/>
    </format>
  </formats>
  <pivotHierarchies count="195">
    <pivotHierarchy dragToData="1"/>
    <pivotHierarchy dragToData="1"/>
    <pivotHierarchy dragToData="1"/>
    <pivotHierarchy dragToData="1"/>
    <pivotHierarchy dragToData="1"/>
    <pivotHierarchy dragToData="1"/>
    <pivotHierarchy dragToData="1"/>
    <pivotHierarchy multipleItemSelectionAllowed="1">
      <members count="1" level="1">
        <member name="[Calendar].[Date Hierarchy].[Year].&amp;[2019]"/>
      </members>
    </pivotHierarchy>
    <pivotHierarchy multipleItemSelectionAllowed="1" dragToData="1">
      <members count="1" level="1">
        <member name="[Calendar].[Година].&amp;[2020]"/>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fActualAndBudget].[ReportType].&amp;[Предвидување]"/>
      </members>
    </pivotHierarchy>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fActualAndBudget].[ObrazecIme].&amp;[Finansiski plan_Bilans na sostojba]"/>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2">
    <rowHierarchyUsage hierarchyUsage="40"/>
    <rowHierarchyUsage hierarchyUsage="31"/>
  </rowHierarchiesUsage>
  <colHierarchiesUsage count="1">
    <colHierarchyUsage hierarchyUsage="14"/>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fActualAndBudget]"/>
        <x15:activeTabTopLevelEntity name="[Calendar]"/>
      </x15:pivotTableUISettings>
    </ext>
    <ext xmlns:xpdl="http://schemas.microsoft.com/office/spreadsheetml/2016/pivotdefaultlayout" uri="{747A6164-185A-40DC-8AA5-F01512510D54}">
      <xpdl:pivotTableDefinition16/>
    </ext>
  </extLst>
</pivotTableDefinition>
</file>

<file path=xl/pivotTables/pivotTable12.xml><?xml version="1.0" encoding="utf-8"?>
<pivotTableDefinition xmlns="http://schemas.openxmlformats.org/spreadsheetml/2006/main" xmlns:mc="http://schemas.openxmlformats.org/markup-compatibility/2006" xmlns:xr="http://schemas.microsoft.com/office/spreadsheetml/2014/revision" mc:Ignorable="xr" xr:uid="{00000000-0007-0000-0A00-000001000000}" name="PivotTable3" cacheId="15" applyNumberFormats="0" applyBorderFormats="0" applyFontFormats="0" applyPatternFormats="0" applyAlignmentFormats="0" applyWidthHeightFormats="1" dataCaption="Values" tag="3d348c77-16ba-4e2d-a8c8-ee64b6ffe70a" updatedVersion="6" minRefreshableVersion="3" showDataTips="0" useAutoFormatting="1" subtotalHiddenItems="1" rowGrandTotals="0" itemPrintTitles="1" createdVersion="5" indent="0" outline="1" outlineData="1">
  <location ref="B27:F168" firstHeaderRow="1" firstDataRow="3" firstDataCol="1" rowPageCount="1" colPageCount="1"/>
  <pivotFields count="9">
    <pivotField allDrilled="1" showAll="0" dataSourceSort="1" defaultSubtotal="0"/>
    <pivotField showAll="0" dataSourceSort="1" defaultSubtotal="0"/>
    <pivotField showAll="0" dataSourceSort="1" defaultSubtotal="0"/>
    <pivotField axis="axisRow" allDrilled="1" showAll="0" dataSourceSort="1" defaultSubtotal="0" defaultAttributeDrillState="1">
      <items count="127">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s>
    </pivotField>
    <pivotField axis="axisCol" allDrilled="1" showAll="0" defaultSubtotal="0" defaultAttributeDrillState="1">
      <items count="3">
        <item x="2"/>
        <item x="1"/>
        <item x="0"/>
      </items>
    </pivotField>
    <pivotField dataField="1" showAll="0"/>
    <pivotField axis="axisCol" allDrilled="1" showAll="0" dataSourceSort="1" defaultSubtotal="0" defaultAttributeDrillState="1">
      <items count="1">
        <item x="0"/>
      </items>
    </pivotField>
    <pivotField axis="axisPage" allDrilled="1" showAll="0" dataSourceSort="1" defaultSubtotal="0" defaultAttributeDrillState="1"/>
    <pivotField axis="axisRow" allDrilled="1" showAll="0" dataSourceSort="1" defaultSubtotal="0" defaultAttributeDrillState="1">
      <items count="14">
        <item x="0"/>
        <item x="1"/>
        <item x="2"/>
        <item x="3"/>
        <item x="4"/>
        <item x="5"/>
        <item x="6"/>
        <item x="7"/>
        <item x="8"/>
        <item x="9"/>
        <item x="10"/>
        <item x="11"/>
        <item x="12"/>
        <item x="13"/>
      </items>
    </pivotField>
  </pivotFields>
  <rowFields count="2">
    <field x="8"/>
    <field x="3"/>
  </rowFields>
  <rowItems count="139">
    <i>
      <x/>
    </i>
    <i r="1">
      <x/>
    </i>
    <i r="1">
      <x v="1"/>
    </i>
    <i r="1">
      <x v="2"/>
    </i>
    <i r="1">
      <x v="3"/>
    </i>
    <i r="1">
      <x v="4"/>
    </i>
    <i r="1">
      <x v="5"/>
    </i>
    <i r="1">
      <x v="6"/>
    </i>
    <i r="1">
      <x v="7"/>
    </i>
    <i r="1">
      <x v="8"/>
    </i>
    <i r="1">
      <x v="9"/>
    </i>
    <i r="1">
      <x v="10"/>
    </i>
    <i r="1">
      <x v="11"/>
    </i>
    <i r="1">
      <x v="12"/>
    </i>
    <i>
      <x v="1"/>
    </i>
    <i r="1">
      <x v="13"/>
    </i>
    <i>
      <x v="2"/>
    </i>
    <i r="1">
      <x v="14"/>
    </i>
    <i r="1">
      <x v="15"/>
    </i>
    <i r="1">
      <x v="16"/>
    </i>
    <i r="1">
      <x v="17"/>
    </i>
    <i r="1">
      <x v="18"/>
    </i>
    <i r="1">
      <x v="19"/>
    </i>
    <i r="1">
      <x v="20"/>
    </i>
    <i r="1">
      <x v="21"/>
    </i>
    <i r="1">
      <x v="22"/>
    </i>
    <i r="1">
      <x v="23"/>
    </i>
    <i r="1">
      <x v="24"/>
    </i>
    <i r="1">
      <x v="25"/>
    </i>
    <i r="1">
      <x v="26"/>
    </i>
    <i r="1">
      <x v="27"/>
    </i>
    <i r="1">
      <x v="28"/>
    </i>
    <i r="1">
      <x v="29"/>
    </i>
    <i r="1">
      <x v="30"/>
    </i>
    <i r="1">
      <x v="31"/>
    </i>
    <i r="1">
      <x v="32"/>
    </i>
    <i r="1">
      <x v="33"/>
    </i>
    <i r="1">
      <x v="34"/>
    </i>
    <i r="1">
      <x v="35"/>
    </i>
    <i r="1">
      <x v="36"/>
    </i>
    <i r="1">
      <x v="37"/>
    </i>
    <i r="1">
      <x v="38"/>
    </i>
    <i r="1">
      <x v="39"/>
    </i>
    <i r="1">
      <x v="40"/>
    </i>
    <i r="1">
      <x v="41"/>
    </i>
    <i r="1">
      <x v="42"/>
    </i>
    <i r="1">
      <x v="43"/>
    </i>
    <i r="1">
      <x v="44"/>
    </i>
    <i>
      <x v="3"/>
    </i>
    <i r="1">
      <x v="45"/>
    </i>
    <i>
      <x v="4"/>
    </i>
    <i r="1">
      <x v="46"/>
    </i>
    <i>
      <x v="5"/>
    </i>
    <i r="1">
      <x v="47"/>
    </i>
    <i r="1">
      <x v="48"/>
    </i>
    <i r="1">
      <x v="49"/>
    </i>
    <i r="1">
      <x v="50"/>
    </i>
    <i r="1">
      <x v="51"/>
    </i>
    <i r="1">
      <x v="52"/>
    </i>
    <i r="1">
      <x v="53"/>
    </i>
    <i r="1">
      <x v="54"/>
    </i>
    <i r="1">
      <x v="55"/>
    </i>
    <i r="1">
      <x v="56"/>
    </i>
    <i r="1">
      <x v="57"/>
    </i>
    <i r="1">
      <x v="58"/>
    </i>
    <i r="1">
      <x v="59"/>
    </i>
    <i r="1">
      <x v="60"/>
    </i>
    <i r="1">
      <x v="61"/>
    </i>
    <i r="1">
      <x v="62"/>
    </i>
    <i r="1">
      <x v="63"/>
    </i>
    <i r="1">
      <x v="64"/>
    </i>
    <i r="1">
      <x v="65"/>
    </i>
    <i>
      <x v="6"/>
    </i>
    <i r="1">
      <x v="66"/>
    </i>
    <i r="1">
      <x v="67"/>
    </i>
    <i>
      <x v="7"/>
    </i>
    <i r="1">
      <x v="68"/>
    </i>
    <i>
      <x v="8"/>
    </i>
    <i r="1">
      <x v="69"/>
    </i>
    <i r="1">
      <x v="70"/>
    </i>
    <i r="1">
      <x v="71"/>
    </i>
    <i r="1">
      <x v="72"/>
    </i>
    <i r="1">
      <x v="73"/>
    </i>
    <i>
      <x v="9"/>
    </i>
    <i r="1">
      <x v="74"/>
    </i>
    <i>
      <x v="10"/>
    </i>
    <i r="1">
      <x v="75"/>
    </i>
    <i>
      <x v="11"/>
    </i>
    <i r="1">
      <x v="76"/>
    </i>
    <i r="1">
      <x v="77"/>
    </i>
    <i r="1">
      <x v="78"/>
    </i>
    <i r="1">
      <x v="79"/>
    </i>
    <i r="1">
      <x v="80"/>
    </i>
    <i r="1">
      <x v="81"/>
    </i>
    <i r="1">
      <x v="82"/>
    </i>
    <i r="1">
      <x v="83"/>
    </i>
    <i r="1">
      <x v="84"/>
    </i>
    <i>
      <x v="12"/>
    </i>
    <i r="1">
      <x v="85"/>
    </i>
    <i r="1">
      <x v="86"/>
    </i>
    <i r="1">
      <x v="87"/>
    </i>
    <i r="1">
      <x v="88"/>
    </i>
    <i r="1">
      <x v="89"/>
    </i>
    <i r="1">
      <x v="90"/>
    </i>
    <i r="1">
      <x v="91"/>
    </i>
    <i r="1">
      <x v="92"/>
    </i>
    <i r="1">
      <x v="93"/>
    </i>
    <i r="1">
      <x v="94"/>
    </i>
    <i r="1">
      <x v="95"/>
    </i>
    <i r="1">
      <x v="96"/>
    </i>
    <i r="1">
      <x v="97"/>
    </i>
    <i r="1">
      <x v="98"/>
    </i>
    <i r="1">
      <x v="99"/>
    </i>
    <i r="1">
      <x v="100"/>
    </i>
    <i r="1">
      <x v="101"/>
    </i>
    <i r="1">
      <x v="102"/>
    </i>
    <i r="1">
      <x v="103"/>
    </i>
    <i r="1">
      <x v="104"/>
    </i>
    <i r="1">
      <x v="105"/>
    </i>
    <i r="1">
      <x v="106"/>
    </i>
    <i r="1">
      <x v="107"/>
    </i>
    <i r="1">
      <x v="108"/>
    </i>
    <i r="1">
      <x v="109"/>
    </i>
    <i r="1">
      <x v="110"/>
    </i>
    <i r="1">
      <x v="111"/>
    </i>
    <i r="1">
      <x v="112"/>
    </i>
    <i r="1">
      <x v="113"/>
    </i>
    <i r="1">
      <x v="114"/>
    </i>
    <i r="1">
      <x v="115"/>
    </i>
    <i r="1">
      <x v="116"/>
    </i>
    <i r="1">
      <x v="117"/>
    </i>
    <i>
      <x v="13"/>
    </i>
    <i r="1">
      <x v="118"/>
    </i>
    <i r="1">
      <x v="119"/>
    </i>
    <i r="1">
      <x v="120"/>
    </i>
    <i r="1">
      <x v="121"/>
    </i>
    <i r="1">
      <x v="122"/>
    </i>
    <i r="1">
      <x v="123"/>
    </i>
    <i r="1">
      <x v="124"/>
    </i>
  </rowItems>
  <colFields count="2">
    <field x="4"/>
    <field x="6"/>
  </colFields>
  <colItems count="4">
    <i>
      <x/>
      <x/>
    </i>
    <i>
      <x v="1"/>
      <x/>
    </i>
    <i>
      <x v="2"/>
      <x/>
    </i>
    <i t="grand">
      <x/>
    </i>
  </colItems>
  <pageFields count="1">
    <pageField fld="7" hier="44" name="[fActualAndBudget].[ObrazecIme].&amp;[Finansiski plan_Bilans na sostojba]" cap="Finansiski plan_Bilans na sostojba"/>
  </pageFields>
  <dataFields count="1">
    <dataField name="Sum of Износ" fld="5" baseField="0" baseItem="0" numFmtId="3"/>
  </dataFields>
  <formats count="5">
    <format dxfId="317">
      <pivotArea field="3" grandCol="1" collapsedLevelsAreSubtotals="1" axis="axisRow" fieldPosition="1">
        <references count="1">
          <reference field="3" count="1">
            <x v="126"/>
          </reference>
        </references>
      </pivotArea>
    </format>
    <format dxfId="316">
      <pivotArea field="3" grandCol="1" collapsedLevelsAreSubtotals="1" axis="axisRow" fieldPosition="1">
        <references count="1">
          <reference field="3" count="1">
            <x v="125"/>
          </reference>
        </references>
      </pivotArea>
    </format>
    <format dxfId="315">
      <pivotArea grandCol="1" outline="0" collapsedLevelsAreSubtotals="1" fieldPosition="0"/>
    </format>
    <format dxfId="314">
      <pivotArea type="topRight" dataOnly="0" labelOnly="1" outline="0" offset="D1" fieldPosition="0"/>
    </format>
    <format dxfId="313">
      <pivotArea dataOnly="0" labelOnly="1" grandCol="1" outline="0" fieldPosition="0"/>
    </format>
  </formats>
  <pivotHierarchies count="195">
    <pivotHierarchy dragToData="1"/>
    <pivotHierarchy dragToData="1"/>
    <pivotHierarchy dragToData="1"/>
    <pivotHierarchy dragToData="1"/>
    <pivotHierarchy dragToData="1"/>
    <pivotHierarchy dragToData="1"/>
    <pivotHierarchy dragToData="1"/>
    <pivotHierarchy multipleItemSelectionAllowed="1">
      <members count="1" level="1">
        <member name="[Calendar].[Date Hierarchy].[Year].&amp;[2019]"/>
      </members>
    </pivotHierarchy>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fActualAndBudget].[ObrazecIme].&amp;[Finansiski plan_Bilans na sostojba]"/>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2">
    <rowHierarchyUsage hierarchyUsage="40"/>
    <rowHierarchyUsage hierarchyUsage="31"/>
  </rowHierarchiesUsage>
  <colHierarchiesUsage count="2">
    <colHierarchyUsage hierarchyUsage="35"/>
    <colHierarchyUsage hierarchyUsage="8"/>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fActualAndBudget]"/>
        <x15:activeTabTopLevelEntity name="[Calendar]"/>
      </x15:pivotTableUISettings>
    </ext>
    <ext xmlns:xpdl="http://schemas.microsoft.com/office/spreadsheetml/2016/pivotdefaultlayout" uri="{747A6164-185A-40DC-8AA5-F01512510D54}">
      <xpdl:pivotTableDefinition16/>
    </ext>
  </extLst>
</pivotTableDefinition>
</file>

<file path=xl/pivotTables/pivotTable13.xml><?xml version="1.0" encoding="utf-8"?>
<pivotTableDefinition xmlns="http://schemas.openxmlformats.org/spreadsheetml/2006/main" xmlns:mc="http://schemas.openxmlformats.org/markup-compatibility/2006" xmlns:xr="http://schemas.microsoft.com/office/spreadsheetml/2014/revision" mc:Ignorable="xr" xr:uid="{00000000-0007-0000-0B00-000000000000}" name="PivotTable1" cacheId="13" applyNumberFormats="0" applyBorderFormats="0" applyFontFormats="0" applyPatternFormats="0" applyAlignmentFormats="0" applyWidthHeightFormats="1" dataCaption="Values" tag="dddf9060-2245-4c62-b1aa-7a29896f1c19" updatedVersion="6" minRefreshableVersion="3" subtotalHiddenItems="1" itemPrintTitles="1" createdVersion="5" indent="0" compact="0" compactData="0" multipleFieldFilters="0">
  <location ref="A3:AYH36" firstHeaderRow="1" firstDataRow="3" firstDataCol="2" rowPageCount="1" colPageCount="1"/>
  <pivotFields count="7">
    <pivotField name="Број на проект" axis="axisRow" compact="0" allDrilled="1" outline="0" showAll="0" dataSourceSort="1" defaultSubtotal="0" defaultAttributeDrillState="1">
      <items count="28">
        <item x="0"/>
        <item x="1"/>
        <item x="2"/>
        <item x="3"/>
        <item x="4"/>
        <item x="5"/>
        <item x="6"/>
        <item x="7"/>
        <item x="8"/>
        <item x="9"/>
        <item x="10"/>
        <item x="11"/>
        <item x="12"/>
        <item x="13"/>
        <item x="14"/>
        <item x="15"/>
        <item x="16"/>
        <item x="17"/>
        <item x="18"/>
        <item x="19"/>
        <item x="20"/>
        <item x="21"/>
        <item x="22"/>
        <item x="23"/>
        <item x="24"/>
        <item x="25"/>
        <item x="26"/>
        <item x="27"/>
      </items>
    </pivotField>
    <pivotField name="Проект" axis="axisRow" compact="0" allDrilled="1" outline="0" showAll="0" dataSourceSort="1" defaultSubtotal="0" defaultAttributeDrillState="1">
      <items count="30">
        <item x="0"/>
        <item x="1"/>
        <item x="2"/>
        <item x="3"/>
        <item x="4"/>
        <item x="5"/>
        <item x="6"/>
        <item x="7"/>
        <item x="8"/>
        <item x="9"/>
        <item x="10"/>
        <item x="11"/>
        <item x="12"/>
        <item x="13"/>
        <item x="14"/>
        <item x="15"/>
        <item x="16"/>
        <item x="17"/>
        <item x="18"/>
        <item x="19"/>
        <item x="20"/>
        <item x="21"/>
        <item x="22"/>
        <item x="23"/>
        <item x="24"/>
        <item x="25"/>
        <item x="26"/>
        <item x="27"/>
        <item x="28"/>
        <item x="29"/>
      </items>
    </pivotField>
    <pivotField axis="axisPage" compact="0" allDrilled="1" outline="0" subtotalTop="0" showAll="0" dataSourceSort="1" defaultSubtotal="0" defaultAttributeDrillState="1"/>
    <pivotField name="Период" compact="0" allDrilled="1" outline="0" subtotalTop="0" showAll="0" dataSourceSort="1" defaultSubtotal="0" defaultAttributeDrillState="1">
      <items count="3">
        <item x="0"/>
        <item x="1"/>
        <item x="2"/>
      </items>
    </pivotField>
    <pivotField name="Период" compact="0" allDrilled="1" outline="0" subtotalTop="0" showAll="0" dataSourceSort="1" defaultSubtotal="0" defaultAttributeDrillState="1">
      <items count="3">
        <item x="0"/>
        <item x="1"/>
        <item x="2"/>
      </items>
    </pivotField>
    <pivotField axis="axisCol" compact="0" allDrilled="1" outline="0" subtotalTop="0" showAll="0" dataSourceSort="1" defaultSubtotal="0" defaultAttributeDrillState="1">
      <items count="11">
        <item x="0"/>
        <item x="1"/>
        <item x="2"/>
        <item x="3"/>
        <item x="4"/>
        <item x="5"/>
        <item x="6"/>
        <item x="7"/>
        <item x="8"/>
        <item x="9"/>
        <item x="10"/>
      </items>
    </pivotField>
    <pivotField axis="axisCol" compact="0" allDrilled="1" outline="0" subtotalTop="0" showAll="0" dataSourceSort="1" defaultSubtotal="0" defaultAttributeDrillState="1">
      <items count="121">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s>
    </pivotField>
  </pivotFields>
  <rowFields count="2">
    <field x="0"/>
    <field x="1"/>
  </rowFields>
  <rowItems count="31">
    <i>
      <x/>
      <x/>
    </i>
    <i>
      <x v="1"/>
      <x v="1"/>
    </i>
    <i>
      <x v="2"/>
      <x v="2"/>
    </i>
    <i r="1">
      <x v="3"/>
    </i>
    <i r="1">
      <x v="4"/>
    </i>
    <i>
      <x v="3"/>
      <x v="5"/>
    </i>
    <i>
      <x v="4"/>
      <x v="6"/>
    </i>
    <i>
      <x v="5"/>
      <x v="7"/>
    </i>
    <i>
      <x v="6"/>
      <x v="8"/>
    </i>
    <i>
      <x v="7"/>
      <x v="9"/>
    </i>
    <i>
      <x v="8"/>
      <x v="10"/>
    </i>
    <i>
      <x v="9"/>
      <x v="11"/>
    </i>
    <i>
      <x v="10"/>
      <x v="12"/>
    </i>
    <i>
      <x v="11"/>
      <x v="13"/>
    </i>
    <i>
      <x v="12"/>
      <x v="14"/>
    </i>
    <i>
      <x v="13"/>
      <x v="15"/>
    </i>
    <i>
      <x v="14"/>
      <x v="16"/>
    </i>
    <i>
      <x v="15"/>
      <x v="17"/>
    </i>
    <i>
      <x v="16"/>
      <x v="18"/>
    </i>
    <i>
      <x v="17"/>
      <x v="19"/>
    </i>
    <i>
      <x v="18"/>
      <x v="20"/>
    </i>
    <i>
      <x v="19"/>
      <x v="21"/>
    </i>
    <i>
      <x v="20"/>
      <x v="22"/>
    </i>
    <i>
      <x v="21"/>
      <x v="23"/>
    </i>
    <i>
      <x v="22"/>
      <x v="24"/>
    </i>
    <i>
      <x v="23"/>
      <x v="25"/>
    </i>
    <i>
      <x v="24"/>
      <x v="26"/>
    </i>
    <i>
      <x v="25"/>
      <x v="27"/>
    </i>
    <i>
      <x v="26"/>
      <x v="28"/>
    </i>
    <i>
      <x v="27"/>
      <x v="29"/>
    </i>
    <i t="grand">
      <x/>
    </i>
  </rowItems>
  <colFields count="2">
    <field x="6"/>
    <field x="5"/>
  </colFields>
  <colItems count="1332">
    <i>
      <x/>
      <x/>
    </i>
    <i r="1">
      <x v="1"/>
    </i>
    <i r="1">
      <x v="2"/>
    </i>
    <i r="1">
      <x v="3"/>
    </i>
    <i r="1">
      <x v="4"/>
    </i>
    <i r="1">
      <x v="5"/>
    </i>
    <i r="1">
      <x v="6"/>
    </i>
    <i r="1">
      <x v="7"/>
    </i>
    <i r="1">
      <x v="8"/>
    </i>
    <i r="1">
      <x v="9"/>
    </i>
    <i r="1">
      <x v="10"/>
    </i>
    <i>
      <x v="1"/>
      <x/>
    </i>
    <i r="1">
      <x v="1"/>
    </i>
    <i r="1">
      <x v="2"/>
    </i>
    <i r="1">
      <x v="3"/>
    </i>
    <i r="1">
      <x v="4"/>
    </i>
    <i r="1">
      <x v="5"/>
    </i>
    <i r="1">
      <x v="6"/>
    </i>
    <i r="1">
      <x v="7"/>
    </i>
    <i r="1">
      <x v="8"/>
    </i>
    <i r="1">
      <x v="9"/>
    </i>
    <i r="1">
      <x v="10"/>
    </i>
    <i>
      <x v="2"/>
      <x/>
    </i>
    <i r="1">
      <x v="1"/>
    </i>
    <i r="1">
      <x v="2"/>
    </i>
    <i r="1">
      <x v="3"/>
    </i>
    <i r="1">
      <x v="4"/>
    </i>
    <i r="1">
      <x v="5"/>
    </i>
    <i r="1">
      <x v="6"/>
    </i>
    <i r="1">
      <x v="7"/>
    </i>
    <i r="1">
      <x v="8"/>
    </i>
    <i r="1">
      <x v="9"/>
    </i>
    <i r="1">
      <x v="10"/>
    </i>
    <i>
      <x v="3"/>
      <x/>
    </i>
    <i r="1">
      <x v="1"/>
    </i>
    <i r="1">
      <x v="2"/>
    </i>
    <i r="1">
      <x v="3"/>
    </i>
    <i r="1">
      <x v="4"/>
    </i>
    <i r="1">
      <x v="5"/>
    </i>
    <i r="1">
      <x v="6"/>
    </i>
    <i r="1">
      <x v="7"/>
    </i>
    <i r="1">
      <x v="8"/>
    </i>
    <i r="1">
      <x v="9"/>
    </i>
    <i r="1">
      <x v="10"/>
    </i>
    <i>
      <x v="4"/>
      <x/>
    </i>
    <i r="1">
      <x v="1"/>
    </i>
    <i r="1">
      <x v="2"/>
    </i>
    <i r="1">
      <x v="3"/>
    </i>
    <i r="1">
      <x v="4"/>
    </i>
    <i r="1">
      <x v="5"/>
    </i>
    <i r="1">
      <x v="6"/>
    </i>
    <i r="1">
      <x v="7"/>
    </i>
    <i r="1">
      <x v="8"/>
    </i>
    <i r="1">
      <x v="9"/>
    </i>
    <i r="1">
      <x v="10"/>
    </i>
    <i>
      <x v="5"/>
      <x/>
    </i>
    <i r="1">
      <x v="1"/>
    </i>
    <i r="1">
      <x v="2"/>
    </i>
    <i r="1">
      <x v="3"/>
    </i>
    <i r="1">
      <x v="4"/>
    </i>
    <i r="1">
      <x v="5"/>
    </i>
    <i r="1">
      <x v="6"/>
    </i>
    <i r="1">
      <x v="7"/>
    </i>
    <i r="1">
      <x v="8"/>
    </i>
    <i r="1">
      <x v="9"/>
    </i>
    <i r="1">
      <x v="10"/>
    </i>
    <i>
      <x v="6"/>
      <x/>
    </i>
    <i r="1">
      <x v="1"/>
    </i>
    <i r="1">
      <x v="2"/>
    </i>
    <i r="1">
      <x v="3"/>
    </i>
    <i r="1">
      <x v="4"/>
    </i>
    <i r="1">
      <x v="5"/>
    </i>
    <i r="1">
      <x v="6"/>
    </i>
    <i r="1">
      <x v="7"/>
    </i>
    <i r="1">
      <x v="8"/>
    </i>
    <i r="1">
      <x v="9"/>
    </i>
    <i r="1">
      <x v="10"/>
    </i>
    <i>
      <x v="7"/>
      <x/>
    </i>
    <i r="1">
      <x v="1"/>
    </i>
    <i r="1">
      <x v="2"/>
    </i>
    <i r="1">
      <x v="3"/>
    </i>
    <i r="1">
      <x v="4"/>
    </i>
    <i r="1">
      <x v="5"/>
    </i>
    <i r="1">
      <x v="6"/>
    </i>
    <i r="1">
      <x v="7"/>
    </i>
    <i r="1">
      <x v="8"/>
    </i>
    <i r="1">
      <x v="9"/>
    </i>
    <i r="1">
      <x v="10"/>
    </i>
    <i>
      <x v="8"/>
      <x/>
    </i>
    <i r="1">
      <x v="1"/>
    </i>
    <i r="1">
      <x v="2"/>
    </i>
    <i r="1">
      <x v="3"/>
    </i>
    <i r="1">
      <x v="4"/>
    </i>
    <i r="1">
      <x v="5"/>
    </i>
    <i r="1">
      <x v="6"/>
    </i>
    <i r="1">
      <x v="7"/>
    </i>
    <i r="1">
      <x v="8"/>
    </i>
    <i r="1">
      <x v="9"/>
    </i>
    <i r="1">
      <x v="10"/>
    </i>
    <i>
      <x v="9"/>
      <x/>
    </i>
    <i r="1">
      <x v="1"/>
    </i>
    <i r="1">
      <x v="2"/>
    </i>
    <i r="1">
      <x v="3"/>
    </i>
    <i r="1">
      <x v="4"/>
    </i>
    <i r="1">
      <x v="5"/>
    </i>
    <i r="1">
      <x v="6"/>
    </i>
    <i r="1">
      <x v="7"/>
    </i>
    <i r="1">
      <x v="8"/>
    </i>
    <i r="1">
      <x v="9"/>
    </i>
    <i r="1">
      <x v="10"/>
    </i>
    <i>
      <x v="10"/>
      <x/>
    </i>
    <i r="1">
      <x v="1"/>
    </i>
    <i r="1">
      <x v="2"/>
    </i>
    <i r="1">
      <x v="3"/>
    </i>
    <i r="1">
      <x v="4"/>
    </i>
    <i r="1">
      <x v="5"/>
    </i>
    <i r="1">
      <x v="6"/>
    </i>
    <i r="1">
      <x v="7"/>
    </i>
    <i r="1">
      <x v="8"/>
    </i>
    <i r="1">
      <x v="9"/>
    </i>
    <i r="1">
      <x v="10"/>
    </i>
    <i>
      <x v="11"/>
      <x/>
    </i>
    <i r="1">
      <x v="1"/>
    </i>
    <i r="1">
      <x v="2"/>
    </i>
    <i r="1">
      <x v="3"/>
    </i>
    <i r="1">
      <x v="4"/>
    </i>
    <i r="1">
      <x v="5"/>
    </i>
    <i r="1">
      <x v="6"/>
    </i>
    <i r="1">
      <x v="7"/>
    </i>
    <i r="1">
      <x v="8"/>
    </i>
    <i r="1">
      <x v="9"/>
    </i>
    <i r="1">
      <x v="10"/>
    </i>
    <i>
      <x v="12"/>
      <x/>
    </i>
    <i r="1">
      <x v="1"/>
    </i>
    <i r="1">
      <x v="2"/>
    </i>
    <i r="1">
      <x v="3"/>
    </i>
    <i r="1">
      <x v="4"/>
    </i>
    <i r="1">
      <x v="5"/>
    </i>
    <i r="1">
      <x v="6"/>
    </i>
    <i r="1">
      <x v="7"/>
    </i>
    <i r="1">
      <x v="8"/>
    </i>
    <i r="1">
      <x v="9"/>
    </i>
    <i r="1">
      <x v="10"/>
    </i>
    <i>
      <x v="13"/>
      <x/>
    </i>
    <i r="1">
      <x v="1"/>
    </i>
    <i r="1">
      <x v="2"/>
    </i>
    <i r="1">
      <x v="3"/>
    </i>
    <i r="1">
      <x v="4"/>
    </i>
    <i r="1">
      <x v="5"/>
    </i>
    <i r="1">
      <x v="6"/>
    </i>
    <i r="1">
      <x v="7"/>
    </i>
    <i r="1">
      <x v="8"/>
    </i>
    <i r="1">
      <x v="9"/>
    </i>
    <i r="1">
      <x v="10"/>
    </i>
    <i>
      <x v="14"/>
      <x/>
    </i>
    <i r="1">
      <x v="1"/>
    </i>
    <i r="1">
      <x v="2"/>
    </i>
    <i r="1">
      <x v="3"/>
    </i>
    <i r="1">
      <x v="4"/>
    </i>
    <i r="1">
      <x v="5"/>
    </i>
    <i r="1">
      <x v="6"/>
    </i>
    <i r="1">
      <x v="7"/>
    </i>
    <i r="1">
      <x v="8"/>
    </i>
    <i r="1">
      <x v="9"/>
    </i>
    <i r="1">
      <x v="10"/>
    </i>
    <i>
      <x v="15"/>
      <x/>
    </i>
    <i r="1">
      <x v="1"/>
    </i>
    <i r="1">
      <x v="2"/>
    </i>
    <i r="1">
      <x v="3"/>
    </i>
    <i r="1">
      <x v="4"/>
    </i>
    <i r="1">
      <x v="5"/>
    </i>
    <i r="1">
      <x v="6"/>
    </i>
    <i r="1">
      <x v="7"/>
    </i>
    <i r="1">
      <x v="8"/>
    </i>
    <i r="1">
      <x v="9"/>
    </i>
    <i r="1">
      <x v="10"/>
    </i>
    <i>
      <x v="16"/>
      <x/>
    </i>
    <i r="1">
      <x v="1"/>
    </i>
    <i r="1">
      <x v="2"/>
    </i>
    <i r="1">
      <x v="3"/>
    </i>
    <i r="1">
      <x v="4"/>
    </i>
    <i r="1">
      <x v="5"/>
    </i>
    <i r="1">
      <x v="6"/>
    </i>
    <i r="1">
      <x v="7"/>
    </i>
    <i r="1">
      <x v="8"/>
    </i>
    <i r="1">
      <x v="9"/>
    </i>
    <i r="1">
      <x v="10"/>
    </i>
    <i>
      <x v="17"/>
      <x/>
    </i>
    <i r="1">
      <x v="1"/>
    </i>
    <i r="1">
      <x v="2"/>
    </i>
    <i r="1">
      <x v="3"/>
    </i>
    <i r="1">
      <x v="4"/>
    </i>
    <i r="1">
      <x v="5"/>
    </i>
    <i r="1">
      <x v="6"/>
    </i>
    <i r="1">
      <x v="7"/>
    </i>
    <i r="1">
      <x v="8"/>
    </i>
    <i r="1">
      <x v="9"/>
    </i>
    <i r="1">
      <x v="10"/>
    </i>
    <i>
      <x v="18"/>
      <x/>
    </i>
    <i r="1">
      <x v="1"/>
    </i>
    <i r="1">
      <x v="2"/>
    </i>
    <i r="1">
      <x v="3"/>
    </i>
    <i r="1">
      <x v="4"/>
    </i>
    <i r="1">
      <x v="5"/>
    </i>
    <i r="1">
      <x v="6"/>
    </i>
    <i r="1">
      <x v="7"/>
    </i>
    <i r="1">
      <x v="8"/>
    </i>
    <i r="1">
      <x v="9"/>
    </i>
    <i r="1">
      <x v="10"/>
    </i>
    <i>
      <x v="19"/>
      <x/>
    </i>
    <i r="1">
      <x v="1"/>
    </i>
    <i r="1">
      <x v="2"/>
    </i>
    <i r="1">
      <x v="3"/>
    </i>
    <i r="1">
      <x v="4"/>
    </i>
    <i r="1">
      <x v="5"/>
    </i>
    <i r="1">
      <x v="6"/>
    </i>
    <i r="1">
      <x v="7"/>
    </i>
    <i r="1">
      <x v="8"/>
    </i>
    <i r="1">
      <x v="9"/>
    </i>
    <i r="1">
      <x v="10"/>
    </i>
    <i>
      <x v="20"/>
      <x/>
    </i>
    <i r="1">
      <x v="1"/>
    </i>
    <i r="1">
      <x v="2"/>
    </i>
    <i r="1">
      <x v="3"/>
    </i>
    <i r="1">
      <x v="4"/>
    </i>
    <i r="1">
      <x v="5"/>
    </i>
    <i r="1">
      <x v="6"/>
    </i>
    <i r="1">
      <x v="7"/>
    </i>
    <i r="1">
      <x v="8"/>
    </i>
    <i r="1">
      <x v="9"/>
    </i>
    <i r="1">
      <x v="10"/>
    </i>
    <i>
      <x v="21"/>
      <x/>
    </i>
    <i r="1">
      <x v="1"/>
    </i>
    <i r="1">
      <x v="2"/>
    </i>
    <i r="1">
      <x v="3"/>
    </i>
    <i r="1">
      <x v="4"/>
    </i>
    <i r="1">
      <x v="5"/>
    </i>
    <i r="1">
      <x v="6"/>
    </i>
    <i r="1">
      <x v="7"/>
    </i>
    <i r="1">
      <x v="8"/>
    </i>
    <i r="1">
      <x v="9"/>
    </i>
    <i r="1">
      <x v="10"/>
    </i>
    <i>
      <x v="22"/>
      <x/>
    </i>
    <i r="1">
      <x v="1"/>
    </i>
    <i r="1">
      <x v="2"/>
    </i>
    <i r="1">
      <x v="3"/>
    </i>
    <i r="1">
      <x v="4"/>
    </i>
    <i r="1">
      <x v="5"/>
    </i>
    <i r="1">
      <x v="6"/>
    </i>
    <i r="1">
      <x v="7"/>
    </i>
    <i r="1">
      <x v="8"/>
    </i>
    <i r="1">
      <x v="9"/>
    </i>
    <i r="1">
      <x v="10"/>
    </i>
    <i>
      <x v="23"/>
      <x/>
    </i>
    <i r="1">
      <x v="1"/>
    </i>
    <i r="1">
      <x v="2"/>
    </i>
    <i r="1">
      <x v="3"/>
    </i>
    <i r="1">
      <x v="4"/>
    </i>
    <i r="1">
      <x v="5"/>
    </i>
    <i r="1">
      <x v="6"/>
    </i>
    <i r="1">
      <x v="7"/>
    </i>
    <i r="1">
      <x v="8"/>
    </i>
    <i r="1">
      <x v="9"/>
    </i>
    <i r="1">
      <x v="10"/>
    </i>
    <i>
      <x v="24"/>
      <x/>
    </i>
    <i r="1">
      <x v="1"/>
    </i>
    <i r="1">
      <x v="2"/>
    </i>
    <i r="1">
      <x v="3"/>
    </i>
    <i r="1">
      <x v="4"/>
    </i>
    <i r="1">
      <x v="5"/>
    </i>
    <i r="1">
      <x v="6"/>
    </i>
    <i r="1">
      <x v="7"/>
    </i>
    <i r="1">
      <x v="8"/>
    </i>
    <i r="1">
      <x v="9"/>
    </i>
    <i r="1">
      <x v="10"/>
    </i>
    <i>
      <x v="25"/>
      <x/>
    </i>
    <i r="1">
      <x v="1"/>
    </i>
    <i r="1">
      <x v="2"/>
    </i>
    <i r="1">
      <x v="3"/>
    </i>
    <i r="1">
      <x v="4"/>
    </i>
    <i r="1">
      <x v="5"/>
    </i>
    <i r="1">
      <x v="6"/>
    </i>
    <i r="1">
      <x v="7"/>
    </i>
    <i r="1">
      <x v="8"/>
    </i>
    <i r="1">
      <x v="9"/>
    </i>
    <i r="1">
      <x v="10"/>
    </i>
    <i>
      <x v="26"/>
      <x/>
    </i>
    <i r="1">
      <x v="1"/>
    </i>
    <i r="1">
      <x v="2"/>
    </i>
    <i r="1">
      <x v="3"/>
    </i>
    <i r="1">
      <x v="4"/>
    </i>
    <i r="1">
      <x v="5"/>
    </i>
    <i r="1">
      <x v="6"/>
    </i>
    <i r="1">
      <x v="7"/>
    </i>
    <i r="1">
      <x v="8"/>
    </i>
    <i r="1">
      <x v="9"/>
    </i>
    <i r="1">
      <x v="10"/>
    </i>
    <i>
      <x v="27"/>
      <x/>
    </i>
    <i r="1">
      <x v="1"/>
    </i>
    <i r="1">
      <x v="2"/>
    </i>
    <i r="1">
      <x v="3"/>
    </i>
    <i r="1">
      <x v="4"/>
    </i>
    <i r="1">
      <x v="5"/>
    </i>
    <i r="1">
      <x v="6"/>
    </i>
    <i r="1">
      <x v="7"/>
    </i>
    <i r="1">
      <x v="8"/>
    </i>
    <i r="1">
      <x v="9"/>
    </i>
    <i r="1">
      <x v="10"/>
    </i>
    <i>
      <x v="28"/>
      <x/>
    </i>
    <i r="1">
      <x v="1"/>
    </i>
    <i r="1">
      <x v="2"/>
    </i>
    <i r="1">
      <x v="3"/>
    </i>
    <i r="1">
      <x v="4"/>
    </i>
    <i r="1">
      <x v="5"/>
    </i>
    <i r="1">
      <x v="6"/>
    </i>
    <i r="1">
      <x v="7"/>
    </i>
    <i r="1">
      <x v="8"/>
    </i>
    <i r="1">
      <x v="9"/>
    </i>
    <i r="1">
      <x v="10"/>
    </i>
    <i>
      <x v="29"/>
      <x/>
    </i>
    <i r="1">
      <x v="1"/>
    </i>
    <i r="1">
      <x v="2"/>
    </i>
    <i r="1">
      <x v="3"/>
    </i>
    <i r="1">
      <x v="4"/>
    </i>
    <i r="1">
      <x v="5"/>
    </i>
    <i r="1">
      <x v="6"/>
    </i>
    <i r="1">
      <x v="7"/>
    </i>
    <i r="1">
      <x v="8"/>
    </i>
    <i r="1">
      <x v="9"/>
    </i>
    <i r="1">
      <x v="10"/>
    </i>
    <i>
      <x v="30"/>
      <x/>
    </i>
    <i r="1">
      <x v="1"/>
    </i>
    <i r="1">
      <x v="2"/>
    </i>
    <i r="1">
      <x v="3"/>
    </i>
    <i r="1">
      <x v="4"/>
    </i>
    <i r="1">
      <x v="5"/>
    </i>
    <i r="1">
      <x v="6"/>
    </i>
    <i r="1">
      <x v="7"/>
    </i>
    <i r="1">
      <x v="8"/>
    </i>
    <i r="1">
      <x v="9"/>
    </i>
    <i r="1">
      <x v="10"/>
    </i>
    <i>
      <x v="31"/>
      <x/>
    </i>
    <i r="1">
      <x v="1"/>
    </i>
    <i r="1">
      <x v="2"/>
    </i>
    <i r="1">
      <x v="3"/>
    </i>
    <i r="1">
      <x v="4"/>
    </i>
    <i r="1">
      <x v="5"/>
    </i>
    <i r="1">
      <x v="6"/>
    </i>
    <i r="1">
      <x v="7"/>
    </i>
    <i r="1">
      <x v="8"/>
    </i>
    <i r="1">
      <x v="9"/>
    </i>
    <i r="1">
      <x v="10"/>
    </i>
    <i>
      <x v="32"/>
      <x/>
    </i>
    <i r="1">
      <x v="1"/>
    </i>
    <i r="1">
      <x v="2"/>
    </i>
    <i r="1">
      <x v="3"/>
    </i>
    <i r="1">
      <x v="4"/>
    </i>
    <i r="1">
      <x v="5"/>
    </i>
    <i r="1">
      <x v="6"/>
    </i>
    <i r="1">
      <x v="7"/>
    </i>
    <i r="1">
      <x v="8"/>
    </i>
    <i r="1">
      <x v="9"/>
    </i>
    <i r="1">
      <x v="10"/>
    </i>
    <i>
      <x v="33"/>
      <x/>
    </i>
    <i r="1">
      <x v="1"/>
    </i>
    <i r="1">
      <x v="2"/>
    </i>
    <i r="1">
      <x v="3"/>
    </i>
    <i r="1">
      <x v="4"/>
    </i>
    <i r="1">
      <x v="5"/>
    </i>
    <i r="1">
      <x v="6"/>
    </i>
    <i r="1">
      <x v="7"/>
    </i>
    <i r="1">
      <x v="8"/>
    </i>
    <i r="1">
      <x v="9"/>
    </i>
    <i r="1">
      <x v="10"/>
    </i>
    <i>
      <x v="34"/>
      <x/>
    </i>
    <i r="1">
      <x v="1"/>
    </i>
    <i r="1">
      <x v="2"/>
    </i>
    <i r="1">
      <x v="3"/>
    </i>
    <i r="1">
      <x v="4"/>
    </i>
    <i r="1">
      <x v="5"/>
    </i>
    <i r="1">
      <x v="6"/>
    </i>
    <i r="1">
      <x v="7"/>
    </i>
    <i r="1">
      <x v="8"/>
    </i>
    <i r="1">
      <x v="9"/>
    </i>
    <i r="1">
      <x v="10"/>
    </i>
    <i>
      <x v="35"/>
      <x/>
    </i>
    <i r="1">
      <x v="1"/>
    </i>
    <i r="1">
      <x v="2"/>
    </i>
    <i r="1">
      <x v="3"/>
    </i>
    <i r="1">
      <x v="4"/>
    </i>
    <i r="1">
      <x v="5"/>
    </i>
    <i r="1">
      <x v="6"/>
    </i>
    <i r="1">
      <x v="7"/>
    </i>
    <i r="1">
      <x v="8"/>
    </i>
    <i r="1">
      <x v="9"/>
    </i>
    <i r="1">
      <x v="10"/>
    </i>
    <i>
      <x v="36"/>
      <x/>
    </i>
    <i r="1">
      <x v="1"/>
    </i>
    <i r="1">
      <x v="2"/>
    </i>
    <i r="1">
      <x v="3"/>
    </i>
    <i r="1">
      <x v="4"/>
    </i>
    <i r="1">
      <x v="5"/>
    </i>
    <i r="1">
      <x v="6"/>
    </i>
    <i r="1">
      <x v="7"/>
    </i>
    <i r="1">
      <x v="8"/>
    </i>
    <i r="1">
      <x v="9"/>
    </i>
    <i r="1">
      <x v="10"/>
    </i>
    <i>
      <x v="37"/>
      <x/>
    </i>
    <i r="1">
      <x v="1"/>
    </i>
    <i r="1">
      <x v="2"/>
    </i>
    <i r="1">
      <x v="3"/>
    </i>
    <i r="1">
      <x v="4"/>
    </i>
    <i r="1">
      <x v="5"/>
    </i>
    <i r="1">
      <x v="6"/>
    </i>
    <i r="1">
      <x v="7"/>
    </i>
    <i r="1">
      <x v="8"/>
    </i>
    <i r="1">
      <x v="9"/>
    </i>
    <i r="1">
      <x v="10"/>
    </i>
    <i>
      <x v="38"/>
      <x/>
    </i>
    <i r="1">
      <x v="1"/>
    </i>
    <i r="1">
      <x v="2"/>
    </i>
    <i r="1">
      <x v="3"/>
    </i>
    <i r="1">
      <x v="4"/>
    </i>
    <i r="1">
      <x v="5"/>
    </i>
    <i r="1">
      <x v="6"/>
    </i>
    <i r="1">
      <x v="7"/>
    </i>
    <i r="1">
      <x v="8"/>
    </i>
    <i r="1">
      <x v="9"/>
    </i>
    <i r="1">
      <x v="10"/>
    </i>
    <i>
      <x v="39"/>
      <x/>
    </i>
    <i r="1">
      <x v="1"/>
    </i>
    <i r="1">
      <x v="2"/>
    </i>
    <i r="1">
      <x v="3"/>
    </i>
    <i r="1">
      <x v="4"/>
    </i>
    <i r="1">
      <x v="5"/>
    </i>
    <i r="1">
      <x v="6"/>
    </i>
    <i r="1">
      <x v="7"/>
    </i>
    <i r="1">
      <x v="8"/>
    </i>
    <i r="1">
      <x v="9"/>
    </i>
    <i r="1">
      <x v="10"/>
    </i>
    <i>
      <x v="40"/>
      <x/>
    </i>
    <i r="1">
      <x v="1"/>
    </i>
    <i r="1">
      <x v="2"/>
    </i>
    <i r="1">
      <x v="3"/>
    </i>
    <i r="1">
      <x v="4"/>
    </i>
    <i r="1">
      <x v="5"/>
    </i>
    <i r="1">
      <x v="6"/>
    </i>
    <i r="1">
      <x v="7"/>
    </i>
    <i r="1">
      <x v="8"/>
    </i>
    <i r="1">
      <x v="9"/>
    </i>
    <i r="1">
      <x v="10"/>
    </i>
    <i>
      <x v="41"/>
      <x/>
    </i>
    <i r="1">
      <x v="1"/>
    </i>
    <i r="1">
      <x v="2"/>
    </i>
    <i r="1">
      <x v="3"/>
    </i>
    <i r="1">
      <x v="4"/>
    </i>
    <i r="1">
      <x v="5"/>
    </i>
    <i r="1">
      <x v="6"/>
    </i>
    <i r="1">
      <x v="7"/>
    </i>
    <i r="1">
      <x v="8"/>
    </i>
    <i r="1">
      <x v="9"/>
    </i>
    <i r="1">
      <x v="10"/>
    </i>
    <i>
      <x v="42"/>
      <x/>
    </i>
    <i r="1">
      <x v="1"/>
    </i>
    <i r="1">
      <x v="2"/>
    </i>
    <i r="1">
      <x v="3"/>
    </i>
    <i r="1">
      <x v="4"/>
    </i>
    <i r="1">
      <x v="5"/>
    </i>
    <i r="1">
      <x v="6"/>
    </i>
    <i r="1">
      <x v="7"/>
    </i>
    <i r="1">
      <x v="8"/>
    </i>
    <i r="1">
      <x v="9"/>
    </i>
    <i r="1">
      <x v="10"/>
    </i>
    <i>
      <x v="43"/>
      <x/>
    </i>
    <i r="1">
      <x v="1"/>
    </i>
    <i r="1">
      <x v="2"/>
    </i>
    <i r="1">
      <x v="3"/>
    </i>
    <i r="1">
      <x v="4"/>
    </i>
    <i r="1">
      <x v="5"/>
    </i>
    <i r="1">
      <x v="6"/>
    </i>
    <i r="1">
      <x v="7"/>
    </i>
    <i r="1">
      <x v="8"/>
    </i>
    <i r="1">
      <x v="9"/>
    </i>
    <i r="1">
      <x v="10"/>
    </i>
    <i>
      <x v="44"/>
      <x/>
    </i>
    <i r="1">
      <x v="1"/>
    </i>
    <i r="1">
      <x v="2"/>
    </i>
    <i r="1">
      <x v="3"/>
    </i>
    <i r="1">
      <x v="4"/>
    </i>
    <i r="1">
      <x v="5"/>
    </i>
    <i r="1">
      <x v="6"/>
    </i>
    <i r="1">
      <x v="7"/>
    </i>
    <i r="1">
      <x v="8"/>
    </i>
    <i r="1">
      <x v="9"/>
    </i>
    <i r="1">
      <x v="10"/>
    </i>
    <i>
      <x v="45"/>
      <x/>
    </i>
    <i r="1">
      <x v="1"/>
    </i>
    <i r="1">
      <x v="2"/>
    </i>
    <i r="1">
      <x v="3"/>
    </i>
    <i r="1">
      <x v="4"/>
    </i>
    <i r="1">
      <x v="5"/>
    </i>
    <i r="1">
      <x v="6"/>
    </i>
    <i r="1">
      <x v="7"/>
    </i>
    <i r="1">
      <x v="8"/>
    </i>
    <i r="1">
      <x v="9"/>
    </i>
    <i r="1">
      <x v="10"/>
    </i>
    <i>
      <x v="46"/>
      <x/>
    </i>
    <i r="1">
      <x v="1"/>
    </i>
    <i r="1">
      <x v="2"/>
    </i>
    <i r="1">
      <x v="3"/>
    </i>
    <i r="1">
      <x v="4"/>
    </i>
    <i r="1">
      <x v="5"/>
    </i>
    <i r="1">
      <x v="6"/>
    </i>
    <i r="1">
      <x v="7"/>
    </i>
    <i r="1">
      <x v="8"/>
    </i>
    <i r="1">
      <x v="9"/>
    </i>
    <i r="1">
      <x v="10"/>
    </i>
    <i>
      <x v="47"/>
      <x/>
    </i>
    <i r="1">
      <x v="1"/>
    </i>
    <i r="1">
      <x v="2"/>
    </i>
    <i r="1">
      <x v="3"/>
    </i>
    <i r="1">
      <x v="4"/>
    </i>
    <i r="1">
      <x v="5"/>
    </i>
    <i r="1">
      <x v="6"/>
    </i>
    <i r="1">
      <x v="7"/>
    </i>
    <i r="1">
      <x v="8"/>
    </i>
    <i r="1">
      <x v="9"/>
    </i>
    <i r="1">
      <x v="10"/>
    </i>
    <i>
      <x v="48"/>
      <x/>
    </i>
    <i r="1">
      <x v="1"/>
    </i>
    <i r="1">
      <x v="2"/>
    </i>
    <i r="1">
      <x v="3"/>
    </i>
    <i r="1">
      <x v="4"/>
    </i>
    <i r="1">
      <x v="5"/>
    </i>
    <i r="1">
      <x v="6"/>
    </i>
    <i r="1">
      <x v="7"/>
    </i>
    <i r="1">
      <x v="8"/>
    </i>
    <i r="1">
      <x v="9"/>
    </i>
    <i r="1">
      <x v="10"/>
    </i>
    <i>
      <x v="49"/>
      <x/>
    </i>
    <i r="1">
      <x v="1"/>
    </i>
    <i r="1">
      <x v="2"/>
    </i>
    <i r="1">
      <x v="3"/>
    </i>
    <i r="1">
      <x v="4"/>
    </i>
    <i r="1">
      <x v="5"/>
    </i>
    <i r="1">
      <x v="6"/>
    </i>
    <i r="1">
      <x v="7"/>
    </i>
    <i r="1">
      <x v="8"/>
    </i>
    <i r="1">
      <x v="9"/>
    </i>
    <i r="1">
      <x v="10"/>
    </i>
    <i>
      <x v="50"/>
      <x/>
    </i>
    <i r="1">
      <x v="1"/>
    </i>
    <i r="1">
      <x v="2"/>
    </i>
    <i r="1">
      <x v="3"/>
    </i>
    <i r="1">
      <x v="4"/>
    </i>
    <i r="1">
      <x v="5"/>
    </i>
    <i r="1">
      <x v="6"/>
    </i>
    <i r="1">
      <x v="7"/>
    </i>
    <i r="1">
      <x v="8"/>
    </i>
    <i r="1">
      <x v="9"/>
    </i>
    <i r="1">
      <x v="10"/>
    </i>
    <i>
      <x v="51"/>
      <x/>
    </i>
    <i r="1">
      <x v="1"/>
    </i>
    <i r="1">
      <x v="2"/>
    </i>
    <i r="1">
      <x v="3"/>
    </i>
    <i r="1">
      <x v="4"/>
    </i>
    <i r="1">
      <x v="5"/>
    </i>
    <i r="1">
      <x v="6"/>
    </i>
    <i r="1">
      <x v="7"/>
    </i>
    <i r="1">
      <x v="8"/>
    </i>
    <i r="1">
      <x v="9"/>
    </i>
    <i r="1">
      <x v="10"/>
    </i>
    <i>
      <x v="52"/>
      <x/>
    </i>
    <i r="1">
      <x v="1"/>
    </i>
    <i r="1">
      <x v="2"/>
    </i>
    <i r="1">
      <x v="3"/>
    </i>
    <i r="1">
      <x v="4"/>
    </i>
    <i r="1">
      <x v="5"/>
    </i>
    <i r="1">
      <x v="6"/>
    </i>
    <i r="1">
      <x v="7"/>
    </i>
    <i r="1">
      <x v="8"/>
    </i>
    <i r="1">
      <x v="9"/>
    </i>
    <i r="1">
      <x v="10"/>
    </i>
    <i>
      <x v="53"/>
      <x/>
    </i>
    <i r="1">
      <x v="1"/>
    </i>
    <i r="1">
      <x v="2"/>
    </i>
    <i r="1">
      <x v="3"/>
    </i>
    <i r="1">
      <x v="4"/>
    </i>
    <i r="1">
      <x v="5"/>
    </i>
    <i r="1">
      <x v="6"/>
    </i>
    <i r="1">
      <x v="7"/>
    </i>
    <i r="1">
      <x v="8"/>
    </i>
    <i r="1">
      <x v="9"/>
    </i>
    <i r="1">
      <x v="10"/>
    </i>
    <i>
      <x v="54"/>
      <x/>
    </i>
    <i r="1">
      <x v="1"/>
    </i>
    <i r="1">
      <x v="2"/>
    </i>
    <i r="1">
      <x v="3"/>
    </i>
    <i r="1">
      <x v="4"/>
    </i>
    <i r="1">
      <x v="5"/>
    </i>
    <i r="1">
      <x v="6"/>
    </i>
    <i r="1">
      <x v="7"/>
    </i>
    <i r="1">
      <x v="8"/>
    </i>
    <i r="1">
      <x v="9"/>
    </i>
    <i r="1">
      <x v="10"/>
    </i>
    <i>
      <x v="55"/>
      <x/>
    </i>
    <i r="1">
      <x v="1"/>
    </i>
    <i r="1">
      <x v="2"/>
    </i>
    <i r="1">
      <x v="3"/>
    </i>
    <i r="1">
      <x v="4"/>
    </i>
    <i r="1">
      <x v="5"/>
    </i>
    <i r="1">
      <x v="6"/>
    </i>
    <i r="1">
      <x v="7"/>
    </i>
    <i r="1">
      <x v="8"/>
    </i>
    <i r="1">
      <x v="9"/>
    </i>
    <i r="1">
      <x v="10"/>
    </i>
    <i>
      <x v="56"/>
      <x/>
    </i>
    <i r="1">
      <x v="1"/>
    </i>
    <i r="1">
      <x v="2"/>
    </i>
    <i r="1">
      <x v="3"/>
    </i>
    <i r="1">
      <x v="4"/>
    </i>
    <i r="1">
      <x v="5"/>
    </i>
    <i r="1">
      <x v="6"/>
    </i>
    <i r="1">
      <x v="7"/>
    </i>
    <i r="1">
      <x v="8"/>
    </i>
    <i r="1">
      <x v="9"/>
    </i>
    <i r="1">
      <x v="10"/>
    </i>
    <i>
      <x v="57"/>
      <x/>
    </i>
    <i r="1">
      <x v="1"/>
    </i>
    <i r="1">
      <x v="2"/>
    </i>
    <i r="1">
      <x v="3"/>
    </i>
    <i r="1">
      <x v="4"/>
    </i>
    <i r="1">
      <x v="5"/>
    </i>
    <i r="1">
      <x v="6"/>
    </i>
    <i r="1">
      <x v="7"/>
    </i>
    <i r="1">
      <x v="8"/>
    </i>
    <i r="1">
      <x v="9"/>
    </i>
    <i r="1">
      <x v="10"/>
    </i>
    <i>
      <x v="58"/>
      <x/>
    </i>
    <i r="1">
      <x v="1"/>
    </i>
    <i r="1">
      <x v="2"/>
    </i>
    <i r="1">
      <x v="3"/>
    </i>
    <i r="1">
      <x v="4"/>
    </i>
    <i r="1">
      <x v="5"/>
    </i>
    <i r="1">
      <x v="6"/>
    </i>
    <i r="1">
      <x v="7"/>
    </i>
    <i r="1">
      <x v="8"/>
    </i>
    <i r="1">
      <x v="9"/>
    </i>
    <i r="1">
      <x v="10"/>
    </i>
    <i>
      <x v="59"/>
      <x/>
    </i>
    <i r="1">
      <x v="1"/>
    </i>
    <i r="1">
      <x v="2"/>
    </i>
    <i r="1">
      <x v="3"/>
    </i>
    <i r="1">
      <x v="4"/>
    </i>
    <i r="1">
      <x v="5"/>
    </i>
    <i r="1">
      <x v="6"/>
    </i>
    <i r="1">
      <x v="7"/>
    </i>
    <i r="1">
      <x v="8"/>
    </i>
    <i r="1">
      <x v="9"/>
    </i>
    <i r="1">
      <x v="10"/>
    </i>
    <i>
      <x v="60"/>
      <x/>
    </i>
    <i r="1">
      <x v="1"/>
    </i>
    <i r="1">
      <x v="2"/>
    </i>
    <i r="1">
      <x v="3"/>
    </i>
    <i r="1">
      <x v="4"/>
    </i>
    <i r="1">
      <x v="5"/>
    </i>
    <i r="1">
      <x v="6"/>
    </i>
    <i r="1">
      <x v="7"/>
    </i>
    <i r="1">
      <x v="8"/>
    </i>
    <i r="1">
      <x v="9"/>
    </i>
    <i r="1">
      <x v="10"/>
    </i>
    <i>
      <x v="61"/>
      <x/>
    </i>
    <i r="1">
      <x v="1"/>
    </i>
    <i r="1">
      <x v="2"/>
    </i>
    <i r="1">
      <x v="3"/>
    </i>
    <i r="1">
      <x v="4"/>
    </i>
    <i r="1">
      <x v="5"/>
    </i>
    <i r="1">
      <x v="6"/>
    </i>
    <i r="1">
      <x v="7"/>
    </i>
    <i r="1">
      <x v="8"/>
    </i>
    <i r="1">
      <x v="9"/>
    </i>
    <i r="1">
      <x v="10"/>
    </i>
    <i>
      <x v="62"/>
      <x/>
    </i>
    <i r="1">
      <x v="1"/>
    </i>
    <i r="1">
      <x v="2"/>
    </i>
    <i r="1">
      <x v="3"/>
    </i>
    <i r="1">
      <x v="4"/>
    </i>
    <i r="1">
      <x v="5"/>
    </i>
    <i r="1">
      <x v="6"/>
    </i>
    <i r="1">
      <x v="7"/>
    </i>
    <i r="1">
      <x v="8"/>
    </i>
    <i r="1">
      <x v="9"/>
    </i>
    <i r="1">
      <x v="10"/>
    </i>
    <i>
      <x v="63"/>
      <x/>
    </i>
    <i r="1">
      <x v="1"/>
    </i>
    <i r="1">
      <x v="2"/>
    </i>
    <i r="1">
      <x v="3"/>
    </i>
    <i r="1">
      <x v="4"/>
    </i>
    <i r="1">
      <x v="5"/>
    </i>
    <i r="1">
      <x v="6"/>
    </i>
    <i r="1">
      <x v="7"/>
    </i>
    <i r="1">
      <x v="8"/>
    </i>
    <i r="1">
      <x v="9"/>
    </i>
    <i r="1">
      <x v="10"/>
    </i>
    <i>
      <x v="64"/>
      <x/>
    </i>
    <i r="1">
      <x v="1"/>
    </i>
    <i r="1">
      <x v="2"/>
    </i>
    <i r="1">
      <x v="3"/>
    </i>
    <i r="1">
      <x v="4"/>
    </i>
    <i r="1">
      <x v="5"/>
    </i>
    <i r="1">
      <x v="6"/>
    </i>
    <i r="1">
      <x v="7"/>
    </i>
    <i r="1">
      <x v="8"/>
    </i>
    <i r="1">
      <x v="9"/>
    </i>
    <i r="1">
      <x v="10"/>
    </i>
    <i>
      <x v="65"/>
      <x/>
    </i>
    <i r="1">
      <x v="1"/>
    </i>
    <i r="1">
      <x v="2"/>
    </i>
    <i r="1">
      <x v="3"/>
    </i>
    <i r="1">
      <x v="4"/>
    </i>
    <i r="1">
      <x v="5"/>
    </i>
    <i r="1">
      <x v="6"/>
    </i>
    <i r="1">
      <x v="7"/>
    </i>
    <i r="1">
      <x v="8"/>
    </i>
    <i r="1">
      <x v="9"/>
    </i>
    <i r="1">
      <x v="10"/>
    </i>
    <i>
      <x v="66"/>
      <x/>
    </i>
    <i r="1">
      <x v="1"/>
    </i>
    <i r="1">
      <x v="2"/>
    </i>
    <i r="1">
      <x v="3"/>
    </i>
    <i r="1">
      <x v="4"/>
    </i>
    <i r="1">
      <x v="5"/>
    </i>
    <i r="1">
      <x v="6"/>
    </i>
    <i r="1">
      <x v="7"/>
    </i>
    <i r="1">
      <x v="8"/>
    </i>
    <i r="1">
      <x v="9"/>
    </i>
    <i r="1">
      <x v="10"/>
    </i>
    <i>
      <x v="67"/>
      <x/>
    </i>
    <i r="1">
      <x v="1"/>
    </i>
    <i r="1">
      <x v="2"/>
    </i>
    <i r="1">
      <x v="3"/>
    </i>
    <i r="1">
      <x v="4"/>
    </i>
    <i r="1">
      <x v="5"/>
    </i>
    <i r="1">
      <x v="6"/>
    </i>
    <i r="1">
      <x v="7"/>
    </i>
    <i r="1">
      <x v="8"/>
    </i>
    <i r="1">
      <x v="9"/>
    </i>
    <i r="1">
      <x v="10"/>
    </i>
    <i>
      <x v="68"/>
      <x/>
    </i>
    <i r="1">
      <x v="1"/>
    </i>
    <i r="1">
      <x v="2"/>
    </i>
    <i r="1">
      <x v="3"/>
    </i>
    <i r="1">
      <x v="4"/>
    </i>
    <i r="1">
      <x v="5"/>
    </i>
    <i r="1">
      <x v="6"/>
    </i>
    <i r="1">
      <x v="7"/>
    </i>
    <i r="1">
      <x v="8"/>
    </i>
    <i r="1">
      <x v="9"/>
    </i>
    <i r="1">
      <x v="10"/>
    </i>
    <i>
      <x v="69"/>
      <x/>
    </i>
    <i r="1">
      <x v="1"/>
    </i>
    <i r="1">
      <x v="2"/>
    </i>
    <i r="1">
      <x v="3"/>
    </i>
    <i r="1">
      <x v="4"/>
    </i>
    <i r="1">
      <x v="5"/>
    </i>
    <i r="1">
      <x v="6"/>
    </i>
    <i r="1">
      <x v="7"/>
    </i>
    <i r="1">
      <x v="8"/>
    </i>
    <i r="1">
      <x v="9"/>
    </i>
    <i r="1">
      <x v="10"/>
    </i>
    <i>
      <x v="70"/>
      <x/>
    </i>
    <i r="1">
      <x v="1"/>
    </i>
    <i r="1">
      <x v="2"/>
    </i>
    <i r="1">
      <x v="3"/>
    </i>
    <i r="1">
      <x v="4"/>
    </i>
    <i r="1">
      <x v="5"/>
    </i>
    <i r="1">
      <x v="6"/>
    </i>
    <i r="1">
      <x v="7"/>
    </i>
    <i r="1">
      <x v="8"/>
    </i>
    <i r="1">
      <x v="9"/>
    </i>
    <i r="1">
      <x v="10"/>
    </i>
    <i>
      <x v="71"/>
      <x/>
    </i>
    <i r="1">
      <x v="1"/>
    </i>
    <i r="1">
      <x v="2"/>
    </i>
    <i r="1">
      <x v="3"/>
    </i>
    <i r="1">
      <x v="4"/>
    </i>
    <i r="1">
      <x v="5"/>
    </i>
    <i r="1">
      <x v="6"/>
    </i>
    <i r="1">
      <x v="7"/>
    </i>
    <i r="1">
      <x v="8"/>
    </i>
    <i r="1">
      <x v="9"/>
    </i>
    <i r="1">
      <x v="10"/>
    </i>
    <i>
      <x v="72"/>
      <x/>
    </i>
    <i r="1">
      <x v="1"/>
    </i>
    <i r="1">
      <x v="2"/>
    </i>
    <i r="1">
      <x v="3"/>
    </i>
    <i r="1">
      <x v="4"/>
    </i>
    <i r="1">
      <x v="5"/>
    </i>
    <i r="1">
      <x v="6"/>
    </i>
    <i r="1">
      <x v="7"/>
    </i>
    <i r="1">
      <x v="8"/>
    </i>
    <i r="1">
      <x v="9"/>
    </i>
    <i r="1">
      <x v="10"/>
    </i>
    <i>
      <x v="73"/>
      <x/>
    </i>
    <i r="1">
      <x v="1"/>
    </i>
    <i r="1">
      <x v="2"/>
    </i>
    <i r="1">
      <x v="3"/>
    </i>
    <i r="1">
      <x v="4"/>
    </i>
    <i r="1">
      <x v="5"/>
    </i>
    <i r="1">
      <x v="6"/>
    </i>
    <i r="1">
      <x v="7"/>
    </i>
    <i r="1">
      <x v="8"/>
    </i>
    <i r="1">
      <x v="9"/>
    </i>
    <i r="1">
      <x v="10"/>
    </i>
    <i>
      <x v="74"/>
      <x/>
    </i>
    <i r="1">
      <x v="1"/>
    </i>
    <i r="1">
      <x v="2"/>
    </i>
    <i r="1">
      <x v="3"/>
    </i>
    <i r="1">
      <x v="4"/>
    </i>
    <i r="1">
      <x v="5"/>
    </i>
    <i r="1">
      <x v="6"/>
    </i>
    <i r="1">
      <x v="7"/>
    </i>
    <i r="1">
      <x v="8"/>
    </i>
    <i r="1">
      <x v="9"/>
    </i>
    <i r="1">
      <x v="10"/>
    </i>
    <i>
      <x v="75"/>
      <x/>
    </i>
    <i r="1">
      <x v="1"/>
    </i>
    <i r="1">
      <x v="2"/>
    </i>
    <i r="1">
      <x v="3"/>
    </i>
    <i r="1">
      <x v="4"/>
    </i>
    <i r="1">
      <x v="5"/>
    </i>
    <i r="1">
      <x v="6"/>
    </i>
    <i r="1">
      <x v="7"/>
    </i>
    <i r="1">
      <x v="8"/>
    </i>
    <i r="1">
      <x v="9"/>
    </i>
    <i r="1">
      <x v="10"/>
    </i>
    <i>
      <x v="76"/>
      <x/>
    </i>
    <i r="1">
      <x v="1"/>
    </i>
    <i r="1">
      <x v="2"/>
    </i>
    <i r="1">
      <x v="3"/>
    </i>
    <i r="1">
      <x v="4"/>
    </i>
    <i r="1">
      <x v="5"/>
    </i>
    <i r="1">
      <x v="6"/>
    </i>
    <i r="1">
      <x v="7"/>
    </i>
    <i r="1">
      <x v="8"/>
    </i>
    <i r="1">
      <x v="9"/>
    </i>
    <i r="1">
      <x v="10"/>
    </i>
    <i>
      <x v="77"/>
      <x/>
    </i>
    <i r="1">
      <x v="1"/>
    </i>
    <i r="1">
      <x v="2"/>
    </i>
    <i r="1">
      <x v="3"/>
    </i>
    <i r="1">
      <x v="4"/>
    </i>
    <i r="1">
      <x v="5"/>
    </i>
    <i r="1">
      <x v="6"/>
    </i>
    <i r="1">
      <x v="7"/>
    </i>
    <i r="1">
      <x v="8"/>
    </i>
    <i r="1">
      <x v="9"/>
    </i>
    <i r="1">
      <x v="10"/>
    </i>
    <i>
      <x v="78"/>
      <x/>
    </i>
    <i r="1">
      <x v="1"/>
    </i>
    <i r="1">
      <x v="2"/>
    </i>
    <i r="1">
      <x v="3"/>
    </i>
    <i r="1">
      <x v="4"/>
    </i>
    <i r="1">
      <x v="5"/>
    </i>
    <i r="1">
      <x v="6"/>
    </i>
    <i r="1">
      <x v="7"/>
    </i>
    <i r="1">
      <x v="8"/>
    </i>
    <i r="1">
      <x v="9"/>
    </i>
    <i r="1">
      <x v="10"/>
    </i>
    <i>
      <x v="79"/>
      <x/>
    </i>
    <i r="1">
      <x v="1"/>
    </i>
    <i r="1">
      <x v="2"/>
    </i>
    <i r="1">
      <x v="3"/>
    </i>
    <i r="1">
      <x v="4"/>
    </i>
    <i r="1">
      <x v="5"/>
    </i>
    <i r="1">
      <x v="6"/>
    </i>
    <i r="1">
      <x v="7"/>
    </i>
    <i r="1">
      <x v="8"/>
    </i>
    <i r="1">
      <x v="9"/>
    </i>
    <i r="1">
      <x v="10"/>
    </i>
    <i>
      <x v="80"/>
      <x/>
    </i>
    <i r="1">
      <x v="1"/>
    </i>
    <i r="1">
      <x v="2"/>
    </i>
    <i r="1">
      <x v="3"/>
    </i>
    <i r="1">
      <x v="4"/>
    </i>
    <i r="1">
      <x v="5"/>
    </i>
    <i r="1">
      <x v="6"/>
    </i>
    <i r="1">
      <x v="7"/>
    </i>
    <i r="1">
      <x v="8"/>
    </i>
    <i r="1">
      <x v="9"/>
    </i>
    <i r="1">
      <x v="10"/>
    </i>
    <i>
      <x v="81"/>
      <x/>
    </i>
    <i r="1">
      <x v="1"/>
    </i>
    <i r="1">
      <x v="2"/>
    </i>
    <i r="1">
      <x v="3"/>
    </i>
    <i r="1">
      <x v="4"/>
    </i>
    <i r="1">
      <x v="5"/>
    </i>
    <i r="1">
      <x v="6"/>
    </i>
    <i r="1">
      <x v="7"/>
    </i>
    <i r="1">
      <x v="8"/>
    </i>
    <i r="1">
      <x v="9"/>
    </i>
    <i r="1">
      <x v="10"/>
    </i>
    <i>
      <x v="82"/>
      <x/>
    </i>
    <i r="1">
      <x v="1"/>
    </i>
    <i r="1">
      <x v="2"/>
    </i>
    <i r="1">
      <x v="3"/>
    </i>
    <i r="1">
      <x v="4"/>
    </i>
    <i r="1">
      <x v="5"/>
    </i>
    <i r="1">
      <x v="6"/>
    </i>
    <i r="1">
      <x v="7"/>
    </i>
    <i r="1">
      <x v="8"/>
    </i>
    <i r="1">
      <x v="9"/>
    </i>
    <i r="1">
      <x v="10"/>
    </i>
    <i>
      <x v="83"/>
      <x/>
    </i>
    <i r="1">
      <x v="1"/>
    </i>
    <i r="1">
      <x v="2"/>
    </i>
    <i r="1">
      <x v="3"/>
    </i>
    <i r="1">
      <x v="4"/>
    </i>
    <i r="1">
      <x v="5"/>
    </i>
    <i r="1">
      <x v="6"/>
    </i>
    <i r="1">
      <x v="7"/>
    </i>
    <i r="1">
      <x v="8"/>
    </i>
    <i r="1">
      <x v="9"/>
    </i>
    <i r="1">
      <x v="10"/>
    </i>
    <i>
      <x v="84"/>
      <x/>
    </i>
    <i r="1">
      <x v="1"/>
    </i>
    <i r="1">
      <x v="2"/>
    </i>
    <i r="1">
      <x v="3"/>
    </i>
    <i r="1">
      <x v="4"/>
    </i>
    <i r="1">
      <x v="5"/>
    </i>
    <i r="1">
      <x v="6"/>
    </i>
    <i r="1">
      <x v="7"/>
    </i>
    <i r="1">
      <x v="8"/>
    </i>
    <i r="1">
      <x v="9"/>
    </i>
    <i r="1">
      <x v="10"/>
    </i>
    <i>
      <x v="85"/>
      <x/>
    </i>
    <i r="1">
      <x v="1"/>
    </i>
    <i r="1">
      <x v="2"/>
    </i>
    <i r="1">
      <x v="3"/>
    </i>
    <i r="1">
      <x v="4"/>
    </i>
    <i r="1">
      <x v="5"/>
    </i>
    <i r="1">
      <x v="6"/>
    </i>
    <i r="1">
      <x v="7"/>
    </i>
    <i r="1">
      <x v="8"/>
    </i>
    <i r="1">
      <x v="9"/>
    </i>
    <i r="1">
      <x v="10"/>
    </i>
    <i>
      <x v="86"/>
      <x/>
    </i>
    <i r="1">
      <x v="1"/>
    </i>
    <i r="1">
      <x v="2"/>
    </i>
    <i r="1">
      <x v="3"/>
    </i>
    <i r="1">
      <x v="4"/>
    </i>
    <i r="1">
      <x v="5"/>
    </i>
    <i r="1">
      <x v="6"/>
    </i>
    <i r="1">
      <x v="7"/>
    </i>
    <i r="1">
      <x v="8"/>
    </i>
    <i r="1">
      <x v="9"/>
    </i>
    <i r="1">
      <x v="10"/>
    </i>
    <i>
      <x v="87"/>
      <x/>
    </i>
    <i r="1">
      <x v="1"/>
    </i>
    <i r="1">
      <x v="2"/>
    </i>
    <i r="1">
      <x v="3"/>
    </i>
    <i r="1">
      <x v="4"/>
    </i>
    <i r="1">
      <x v="5"/>
    </i>
    <i r="1">
      <x v="6"/>
    </i>
    <i r="1">
      <x v="7"/>
    </i>
    <i r="1">
      <x v="8"/>
    </i>
    <i r="1">
      <x v="9"/>
    </i>
    <i r="1">
      <x v="10"/>
    </i>
    <i>
      <x v="88"/>
      <x/>
    </i>
    <i r="1">
      <x v="1"/>
    </i>
    <i r="1">
      <x v="2"/>
    </i>
    <i r="1">
      <x v="3"/>
    </i>
    <i r="1">
      <x v="4"/>
    </i>
    <i r="1">
      <x v="5"/>
    </i>
    <i r="1">
      <x v="6"/>
    </i>
    <i r="1">
      <x v="7"/>
    </i>
    <i r="1">
      <x v="8"/>
    </i>
    <i r="1">
      <x v="9"/>
    </i>
    <i r="1">
      <x v="10"/>
    </i>
    <i>
      <x v="89"/>
      <x/>
    </i>
    <i r="1">
      <x v="1"/>
    </i>
    <i r="1">
      <x v="2"/>
    </i>
    <i r="1">
      <x v="3"/>
    </i>
    <i r="1">
      <x v="4"/>
    </i>
    <i r="1">
      <x v="5"/>
    </i>
    <i r="1">
      <x v="6"/>
    </i>
    <i r="1">
      <x v="7"/>
    </i>
    <i r="1">
      <x v="8"/>
    </i>
    <i r="1">
      <x v="9"/>
    </i>
    <i r="1">
      <x v="10"/>
    </i>
    <i>
      <x v="90"/>
      <x/>
    </i>
    <i r="1">
      <x v="1"/>
    </i>
    <i r="1">
      <x v="2"/>
    </i>
    <i r="1">
      <x v="3"/>
    </i>
    <i r="1">
      <x v="4"/>
    </i>
    <i r="1">
      <x v="5"/>
    </i>
    <i r="1">
      <x v="6"/>
    </i>
    <i r="1">
      <x v="7"/>
    </i>
    <i r="1">
      <x v="8"/>
    </i>
    <i r="1">
      <x v="9"/>
    </i>
    <i r="1">
      <x v="10"/>
    </i>
    <i>
      <x v="91"/>
      <x/>
    </i>
    <i r="1">
      <x v="1"/>
    </i>
    <i r="1">
      <x v="2"/>
    </i>
    <i r="1">
      <x v="3"/>
    </i>
    <i r="1">
      <x v="4"/>
    </i>
    <i r="1">
      <x v="5"/>
    </i>
    <i r="1">
      <x v="6"/>
    </i>
    <i r="1">
      <x v="7"/>
    </i>
    <i r="1">
      <x v="8"/>
    </i>
    <i r="1">
      <x v="9"/>
    </i>
    <i r="1">
      <x v="10"/>
    </i>
    <i>
      <x v="92"/>
      <x/>
    </i>
    <i r="1">
      <x v="1"/>
    </i>
    <i r="1">
      <x v="2"/>
    </i>
    <i r="1">
      <x v="3"/>
    </i>
    <i r="1">
      <x v="4"/>
    </i>
    <i r="1">
      <x v="5"/>
    </i>
    <i r="1">
      <x v="6"/>
    </i>
    <i r="1">
      <x v="7"/>
    </i>
    <i r="1">
      <x v="8"/>
    </i>
    <i r="1">
      <x v="9"/>
    </i>
    <i r="1">
      <x v="10"/>
    </i>
    <i>
      <x v="93"/>
      <x/>
    </i>
    <i r="1">
      <x v="1"/>
    </i>
    <i r="1">
      <x v="2"/>
    </i>
    <i r="1">
      <x v="3"/>
    </i>
    <i r="1">
      <x v="4"/>
    </i>
    <i r="1">
      <x v="5"/>
    </i>
    <i r="1">
      <x v="6"/>
    </i>
    <i r="1">
      <x v="7"/>
    </i>
    <i r="1">
      <x v="8"/>
    </i>
    <i r="1">
      <x v="9"/>
    </i>
    <i r="1">
      <x v="10"/>
    </i>
    <i>
      <x v="94"/>
      <x/>
    </i>
    <i r="1">
      <x v="1"/>
    </i>
    <i r="1">
      <x v="2"/>
    </i>
    <i r="1">
      <x v="3"/>
    </i>
    <i r="1">
      <x v="4"/>
    </i>
    <i r="1">
      <x v="5"/>
    </i>
    <i r="1">
      <x v="6"/>
    </i>
    <i r="1">
      <x v="7"/>
    </i>
    <i r="1">
      <x v="8"/>
    </i>
    <i r="1">
      <x v="9"/>
    </i>
    <i r="1">
      <x v="10"/>
    </i>
    <i>
      <x v="95"/>
      <x/>
    </i>
    <i r="1">
      <x v="1"/>
    </i>
    <i r="1">
      <x v="2"/>
    </i>
    <i r="1">
      <x v="3"/>
    </i>
    <i r="1">
      <x v="4"/>
    </i>
    <i r="1">
      <x v="5"/>
    </i>
    <i r="1">
      <x v="6"/>
    </i>
    <i r="1">
      <x v="7"/>
    </i>
    <i r="1">
      <x v="8"/>
    </i>
    <i r="1">
      <x v="9"/>
    </i>
    <i r="1">
      <x v="10"/>
    </i>
    <i>
      <x v="96"/>
      <x/>
    </i>
    <i r="1">
      <x v="1"/>
    </i>
    <i r="1">
      <x v="2"/>
    </i>
    <i r="1">
      <x v="3"/>
    </i>
    <i r="1">
      <x v="4"/>
    </i>
    <i r="1">
      <x v="5"/>
    </i>
    <i r="1">
      <x v="6"/>
    </i>
    <i r="1">
      <x v="7"/>
    </i>
    <i r="1">
      <x v="8"/>
    </i>
    <i r="1">
      <x v="9"/>
    </i>
    <i r="1">
      <x v="10"/>
    </i>
    <i>
      <x v="97"/>
      <x/>
    </i>
    <i r="1">
      <x v="1"/>
    </i>
    <i r="1">
      <x v="2"/>
    </i>
    <i r="1">
      <x v="3"/>
    </i>
    <i r="1">
      <x v="4"/>
    </i>
    <i r="1">
      <x v="5"/>
    </i>
    <i r="1">
      <x v="6"/>
    </i>
    <i r="1">
      <x v="7"/>
    </i>
    <i r="1">
      <x v="8"/>
    </i>
    <i r="1">
      <x v="9"/>
    </i>
    <i r="1">
      <x v="10"/>
    </i>
    <i>
      <x v="98"/>
      <x/>
    </i>
    <i r="1">
      <x v="1"/>
    </i>
    <i r="1">
      <x v="2"/>
    </i>
    <i r="1">
      <x v="3"/>
    </i>
    <i r="1">
      <x v="4"/>
    </i>
    <i r="1">
      <x v="5"/>
    </i>
    <i r="1">
      <x v="6"/>
    </i>
    <i r="1">
      <x v="7"/>
    </i>
    <i r="1">
      <x v="8"/>
    </i>
    <i r="1">
      <x v="9"/>
    </i>
    <i r="1">
      <x v="10"/>
    </i>
    <i>
      <x v="99"/>
      <x/>
    </i>
    <i r="1">
      <x v="1"/>
    </i>
    <i r="1">
      <x v="2"/>
    </i>
    <i r="1">
      <x v="3"/>
    </i>
    <i r="1">
      <x v="4"/>
    </i>
    <i r="1">
      <x v="5"/>
    </i>
    <i r="1">
      <x v="6"/>
    </i>
    <i r="1">
      <x v="7"/>
    </i>
    <i r="1">
      <x v="8"/>
    </i>
    <i r="1">
      <x v="9"/>
    </i>
    <i r="1">
      <x v="10"/>
    </i>
    <i>
      <x v="100"/>
      <x/>
    </i>
    <i r="1">
      <x v="1"/>
    </i>
    <i r="1">
      <x v="2"/>
    </i>
    <i r="1">
      <x v="3"/>
    </i>
    <i r="1">
      <x v="4"/>
    </i>
    <i r="1">
      <x v="5"/>
    </i>
    <i r="1">
      <x v="6"/>
    </i>
    <i r="1">
      <x v="7"/>
    </i>
    <i r="1">
      <x v="8"/>
    </i>
    <i r="1">
      <x v="9"/>
    </i>
    <i r="1">
      <x v="10"/>
    </i>
    <i>
      <x v="101"/>
      <x/>
    </i>
    <i r="1">
      <x v="1"/>
    </i>
    <i r="1">
      <x v="2"/>
    </i>
    <i r="1">
      <x v="3"/>
    </i>
    <i r="1">
      <x v="4"/>
    </i>
    <i r="1">
      <x v="5"/>
    </i>
    <i r="1">
      <x v="6"/>
    </i>
    <i r="1">
      <x v="7"/>
    </i>
    <i r="1">
      <x v="8"/>
    </i>
    <i r="1">
      <x v="9"/>
    </i>
    <i r="1">
      <x v="10"/>
    </i>
    <i>
      <x v="102"/>
      <x/>
    </i>
    <i r="1">
      <x v="1"/>
    </i>
    <i r="1">
      <x v="2"/>
    </i>
    <i r="1">
      <x v="3"/>
    </i>
    <i r="1">
      <x v="4"/>
    </i>
    <i r="1">
      <x v="5"/>
    </i>
    <i r="1">
      <x v="6"/>
    </i>
    <i r="1">
      <x v="7"/>
    </i>
    <i r="1">
      <x v="8"/>
    </i>
    <i r="1">
      <x v="9"/>
    </i>
    <i r="1">
      <x v="10"/>
    </i>
    <i>
      <x v="103"/>
      <x/>
    </i>
    <i r="1">
      <x v="1"/>
    </i>
    <i r="1">
      <x v="2"/>
    </i>
    <i r="1">
      <x v="3"/>
    </i>
    <i r="1">
      <x v="4"/>
    </i>
    <i r="1">
      <x v="5"/>
    </i>
    <i r="1">
      <x v="6"/>
    </i>
    <i r="1">
      <x v="7"/>
    </i>
    <i r="1">
      <x v="8"/>
    </i>
    <i r="1">
      <x v="9"/>
    </i>
    <i r="1">
      <x v="10"/>
    </i>
    <i>
      <x v="104"/>
      <x/>
    </i>
    <i r="1">
      <x v="1"/>
    </i>
    <i r="1">
      <x v="2"/>
    </i>
    <i r="1">
      <x v="3"/>
    </i>
    <i r="1">
      <x v="4"/>
    </i>
    <i r="1">
      <x v="5"/>
    </i>
    <i r="1">
      <x v="6"/>
    </i>
    <i r="1">
      <x v="7"/>
    </i>
    <i r="1">
      <x v="8"/>
    </i>
    <i r="1">
      <x v="9"/>
    </i>
    <i r="1">
      <x v="10"/>
    </i>
    <i>
      <x v="105"/>
      <x/>
    </i>
    <i r="1">
      <x v="1"/>
    </i>
    <i r="1">
      <x v="2"/>
    </i>
    <i r="1">
      <x v="3"/>
    </i>
    <i r="1">
      <x v="4"/>
    </i>
    <i r="1">
      <x v="5"/>
    </i>
    <i r="1">
      <x v="6"/>
    </i>
    <i r="1">
      <x v="7"/>
    </i>
    <i r="1">
      <x v="8"/>
    </i>
    <i r="1">
      <x v="9"/>
    </i>
    <i r="1">
      <x v="10"/>
    </i>
    <i>
      <x v="106"/>
      <x/>
    </i>
    <i r="1">
      <x v="1"/>
    </i>
    <i r="1">
      <x v="2"/>
    </i>
    <i r="1">
      <x v="3"/>
    </i>
    <i r="1">
      <x v="4"/>
    </i>
    <i r="1">
      <x v="5"/>
    </i>
    <i r="1">
      <x v="6"/>
    </i>
    <i r="1">
      <x v="7"/>
    </i>
    <i r="1">
      <x v="8"/>
    </i>
    <i r="1">
      <x v="9"/>
    </i>
    <i r="1">
      <x v="10"/>
    </i>
    <i>
      <x v="107"/>
      <x/>
    </i>
    <i r="1">
      <x v="1"/>
    </i>
    <i r="1">
      <x v="2"/>
    </i>
    <i r="1">
      <x v="3"/>
    </i>
    <i r="1">
      <x v="4"/>
    </i>
    <i r="1">
      <x v="5"/>
    </i>
    <i r="1">
      <x v="6"/>
    </i>
    <i r="1">
      <x v="7"/>
    </i>
    <i r="1">
      <x v="8"/>
    </i>
    <i r="1">
      <x v="9"/>
    </i>
    <i r="1">
      <x v="10"/>
    </i>
    <i>
      <x v="108"/>
      <x/>
    </i>
    <i r="1">
      <x v="1"/>
    </i>
    <i r="1">
      <x v="2"/>
    </i>
    <i r="1">
      <x v="3"/>
    </i>
    <i r="1">
      <x v="4"/>
    </i>
    <i r="1">
      <x v="5"/>
    </i>
    <i r="1">
      <x v="6"/>
    </i>
    <i r="1">
      <x v="7"/>
    </i>
    <i r="1">
      <x v="8"/>
    </i>
    <i r="1">
      <x v="9"/>
    </i>
    <i r="1">
      <x v="10"/>
    </i>
    <i>
      <x v="109"/>
      <x/>
    </i>
    <i r="1">
      <x v="1"/>
    </i>
    <i r="1">
      <x v="2"/>
    </i>
    <i r="1">
      <x v="3"/>
    </i>
    <i r="1">
      <x v="4"/>
    </i>
    <i r="1">
      <x v="5"/>
    </i>
    <i r="1">
      <x v="6"/>
    </i>
    <i r="1">
      <x v="7"/>
    </i>
    <i r="1">
      <x v="8"/>
    </i>
    <i r="1">
      <x v="9"/>
    </i>
    <i r="1">
      <x v="10"/>
    </i>
    <i>
      <x v="110"/>
      <x/>
    </i>
    <i r="1">
      <x v="1"/>
    </i>
    <i r="1">
      <x v="2"/>
    </i>
    <i r="1">
      <x v="3"/>
    </i>
    <i r="1">
      <x v="4"/>
    </i>
    <i r="1">
      <x v="5"/>
    </i>
    <i r="1">
      <x v="6"/>
    </i>
    <i r="1">
      <x v="7"/>
    </i>
    <i r="1">
      <x v="8"/>
    </i>
    <i r="1">
      <x v="9"/>
    </i>
    <i r="1">
      <x v="10"/>
    </i>
    <i>
      <x v="111"/>
      <x/>
    </i>
    <i r="1">
      <x v="1"/>
    </i>
    <i r="1">
      <x v="2"/>
    </i>
    <i r="1">
      <x v="3"/>
    </i>
    <i r="1">
      <x v="4"/>
    </i>
    <i r="1">
      <x v="5"/>
    </i>
    <i r="1">
      <x v="6"/>
    </i>
    <i r="1">
      <x v="7"/>
    </i>
    <i r="1">
      <x v="8"/>
    </i>
    <i r="1">
      <x v="9"/>
    </i>
    <i r="1">
      <x v="10"/>
    </i>
    <i>
      <x v="112"/>
      <x/>
    </i>
    <i r="1">
      <x v="1"/>
    </i>
    <i r="1">
      <x v="2"/>
    </i>
    <i r="1">
      <x v="3"/>
    </i>
    <i r="1">
      <x v="4"/>
    </i>
    <i r="1">
      <x v="5"/>
    </i>
    <i r="1">
      <x v="6"/>
    </i>
    <i r="1">
      <x v="7"/>
    </i>
    <i r="1">
      <x v="8"/>
    </i>
    <i r="1">
      <x v="9"/>
    </i>
    <i r="1">
      <x v="10"/>
    </i>
    <i>
      <x v="113"/>
      <x/>
    </i>
    <i r="1">
      <x v="1"/>
    </i>
    <i r="1">
      <x v="2"/>
    </i>
    <i r="1">
      <x v="3"/>
    </i>
    <i r="1">
      <x v="4"/>
    </i>
    <i r="1">
      <x v="5"/>
    </i>
    <i r="1">
      <x v="6"/>
    </i>
    <i r="1">
      <x v="7"/>
    </i>
    <i r="1">
      <x v="8"/>
    </i>
    <i r="1">
      <x v="9"/>
    </i>
    <i r="1">
      <x v="10"/>
    </i>
    <i>
      <x v="114"/>
      <x/>
    </i>
    <i r="1">
      <x v="1"/>
    </i>
    <i r="1">
      <x v="2"/>
    </i>
    <i r="1">
      <x v="3"/>
    </i>
    <i r="1">
      <x v="4"/>
    </i>
    <i r="1">
      <x v="5"/>
    </i>
    <i r="1">
      <x v="6"/>
    </i>
    <i r="1">
      <x v="7"/>
    </i>
    <i r="1">
      <x v="8"/>
    </i>
    <i r="1">
      <x v="9"/>
    </i>
    <i r="1">
      <x v="10"/>
    </i>
    <i>
      <x v="115"/>
      <x/>
    </i>
    <i r="1">
      <x v="1"/>
    </i>
    <i r="1">
      <x v="2"/>
    </i>
    <i r="1">
      <x v="3"/>
    </i>
    <i r="1">
      <x v="4"/>
    </i>
    <i r="1">
      <x v="5"/>
    </i>
    <i r="1">
      <x v="6"/>
    </i>
    <i r="1">
      <x v="7"/>
    </i>
    <i r="1">
      <x v="8"/>
    </i>
    <i r="1">
      <x v="9"/>
    </i>
    <i r="1">
      <x v="10"/>
    </i>
    <i>
      <x v="116"/>
      <x/>
    </i>
    <i r="1">
      <x v="1"/>
    </i>
    <i r="1">
      <x v="2"/>
    </i>
    <i r="1">
      <x v="3"/>
    </i>
    <i r="1">
      <x v="4"/>
    </i>
    <i r="1">
      <x v="5"/>
    </i>
    <i r="1">
      <x v="6"/>
    </i>
    <i r="1">
      <x v="7"/>
    </i>
    <i r="1">
      <x v="8"/>
    </i>
    <i r="1">
      <x v="9"/>
    </i>
    <i r="1">
      <x v="10"/>
    </i>
    <i>
      <x v="117"/>
      <x/>
    </i>
    <i r="1">
      <x v="1"/>
    </i>
    <i r="1">
      <x v="2"/>
    </i>
    <i r="1">
      <x v="3"/>
    </i>
    <i r="1">
      <x v="4"/>
    </i>
    <i r="1">
      <x v="5"/>
    </i>
    <i r="1">
      <x v="6"/>
    </i>
    <i r="1">
      <x v="7"/>
    </i>
    <i r="1">
      <x v="8"/>
    </i>
    <i r="1">
      <x v="9"/>
    </i>
    <i r="1">
      <x v="10"/>
    </i>
    <i>
      <x v="118"/>
      <x/>
    </i>
    <i r="1">
      <x v="1"/>
    </i>
    <i r="1">
      <x v="2"/>
    </i>
    <i r="1">
      <x v="3"/>
    </i>
    <i r="1">
      <x v="4"/>
    </i>
    <i r="1">
      <x v="5"/>
    </i>
    <i r="1">
      <x v="6"/>
    </i>
    <i r="1">
      <x v="7"/>
    </i>
    <i r="1">
      <x v="8"/>
    </i>
    <i r="1">
      <x v="9"/>
    </i>
    <i r="1">
      <x v="10"/>
    </i>
    <i>
      <x v="119"/>
      <x/>
    </i>
    <i r="1">
      <x v="1"/>
    </i>
    <i r="1">
      <x v="2"/>
    </i>
    <i r="1">
      <x v="3"/>
    </i>
    <i r="1">
      <x v="4"/>
    </i>
    <i r="1">
      <x v="5"/>
    </i>
    <i r="1">
      <x v="6"/>
    </i>
    <i r="1">
      <x v="7"/>
    </i>
    <i r="1">
      <x v="8"/>
    </i>
    <i r="1">
      <x v="9"/>
    </i>
    <i r="1">
      <x v="10"/>
    </i>
    <i>
      <x v="120"/>
      <x/>
    </i>
    <i r="1">
      <x v="1"/>
    </i>
    <i r="1">
      <x v="2"/>
    </i>
    <i r="1">
      <x v="3"/>
    </i>
    <i r="1">
      <x v="4"/>
    </i>
    <i r="1">
      <x v="5"/>
    </i>
    <i r="1">
      <x v="6"/>
    </i>
    <i r="1">
      <x v="7"/>
    </i>
    <i r="1">
      <x v="8"/>
    </i>
    <i r="1">
      <x v="9"/>
    </i>
    <i r="1">
      <x v="10"/>
    </i>
    <i t="grand">
      <x/>
    </i>
  </colItems>
  <pageFields count="1">
    <pageField fld="2" hier="22" name="[CAPEX].[Конто Средства].[All]" cap="All"/>
  </pageFields>
  <formats count="76">
    <format dxfId="307">
      <pivotArea type="origin" dataOnly="0" labelOnly="1" outline="0" fieldPosition="0"/>
    </format>
    <format dxfId="306">
      <pivotArea field="0" type="button" dataOnly="0" labelOnly="1" outline="0" axis="axisRow" fieldPosition="0"/>
    </format>
    <format dxfId="305">
      <pivotArea dataOnly="0" labelOnly="1" fieldPosition="0">
        <references count="1">
          <reference field="0" count="0"/>
        </references>
      </pivotArea>
    </format>
    <format dxfId="304">
      <pivotArea dataOnly="0" labelOnly="1" grandRow="1" outline="0" fieldPosition="0"/>
    </format>
    <format dxfId="303">
      <pivotArea dataOnly="0" labelOnly="1" fieldPosition="0">
        <references count="2">
          <reference field="0" count="1" selected="0">
            <x v="1"/>
          </reference>
          <reference field="1" count="1">
            <x v="1"/>
          </reference>
        </references>
      </pivotArea>
    </format>
    <format dxfId="302">
      <pivotArea field="-2" type="button" dataOnly="0" labelOnly="1" outline="0"/>
    </format>
    <format dxfId="301">
      <pivotArea type="topRight" dataOnly="0" labelOnly="1" outline="0" fieldPosition="0"/>
    </format>
    <format dxfId="300">
      <pivotArea dataOnly="0" labelOnly="1" outline="0" fieldPosition="0">
        <references count="1">
          <reference field="0" count="1">
            <x v="0"/>
          </reference>
        </references>
      </pivotArea>
    </format>
    <format dxfId="299">
      <pivotArea dataOnly="0" labelOnly="1" outline="0" fieldPosition="0">
        <references count="1">
          <reference field="0" count="0"/>
        </references>
      </pivotArea>
    </format>
    <format dxfId="298">
      <pivotArea dataOnly="0" labelOnly="1" outline="0" fieldPosition="0">
        <references count="2">
          <reference field="0" count="1" selected="0">
            <x v="0"/>
          </reference>
          <reference field="1" count="1">
            <x v="0"/>
          </reference>
        </references>
      </pivotArea>
    </format>
    <format dxfId="297">
      <pivotArea dataOnly="0" labelOnly="1" outline="0" fieldPosition="0">
        <references count="2">
          <reference field="0" count="1" selected="0">
            <x v="1"/>
          </reference>
          <reference field="1" count="1">
            <x v="1"/>
          </reference>
        </references>
      </pivotArea>
    </format>
    <format dxfId="296">
      <pivotArea dataOnly="0" labelOnly="1" outline="0" fieldPosition="0">
        <references count="2">
          <reference field="0" count="1" selected="0">
            <x v="2"/>
          </reference>
          <reference field="1" count="3">
            <x v="2"/>
            <x v="3"/>
            <x v="4"/>
          </reference>
        </references>
      </pivotArea>
    </format>
    <format dxfId="295">
      <pivotArea dataOnly="0" labelOnly="1" outline="0" fieldPosition="0">
        <references count="2">
          <reference field="0" count="1" selected="0">
            <x v="3"/>
          </reference>
          <reference field="1" count="1">
            <x v="5"/>
          </reference>
        </references>
      </pivotArea>
    </format>
    <format dxfId="294">
      <pivotArea dataOnly="0" labelOnly="1" outline="0" fieldPosition="0">
        <references count="2">
          <reference field="0" count="1" selected="0">
            <x v="4"/>
          </reference>
          <reference field="1" count="1">
            <x v="6"/>
          </reference>
        </references>
      </pivotArea>
    </format>
    <format dxfId="293">
      <pivotArea dataOnly="0" labelOnly="1" outline="0" fieldPosition="0">
        <references count="2">
          <reference field="0" count="1" selected="0">
            <x v="5"/>
          </reference>
          <reference field="1" count="1">
            <x v="7"/>
          </reference>
        </references>
      </pivotArea>
    </format>
    <format dxfId="292">
      <pivotArea dataOnly="0" labelOnly="1" outline="0" fieldPosition="0">
        <references count="2">
          <reference field="0" count="1" selected="0">
            <x v="6"/>
          </reference>
          <reference field="1" count="1">
            <x v="8"/>
          </reference>
        </references>
      </pivotArea>
    </format>
    <format dxfId="291">
      <pivotArea dataOnly="0" labelOnly="1" outline="0" fieldPosition="0">
        <references count="2">
          <reference field="0" count="1" selected="0">
            <x v="7"/>
          </reference>
          <reference field="1" count="1">
            <x v="9"/>
          </reference>
        </references>
      </pivotArea>
    </format>
    <format dxfId="290">
      <pivotArea dataOnly="0" labelOnly="1" outline="0" fieldPosition="0">
        <references count="2">
          <reference field="0" count="1" selected="0">
            <x v="8"/>
          </reference>
          <reference field="1" count="1">
            <x v="10"/>
          </reference>
        </references>
      </pivotArea>
    </format>
    <format dxfId="289">
      <pivotArea dataOnly="0" labelOnly="1" outline="0" fieldPosition="0">
        <references count="2">
          <reference field="0" count="1" selected="0">
            <x v="9"/>
          </reference>
          <reference field="1" count="1">
            <x v="11"/>
          </reference>
        </references>
      </pivotArea>
    </format>
    <format dxfId="288">
      <pivotArea dataOnly="0" labelOnly="1" outline="0" fieldPosition="0">
        <references count="2">
          <reference field="0" count="1" selected="0">
            <x v="10"/>
          </reference>
          <reference field="1" count="1">
            <x v="12"/>
          </reference>
        </references>
      </pivotArea>
    </format>
    <format dxfId="287">
      <pivotArea dataOnly="0" labelOnly="1" outline="0" fieldPosition="0">
        <references count="2">
          <reference field="0" count="1" selected="0">
            <x v="11"/>
          </reference>
          <reference field="1" count="1">
            <x v="13"/>
          </reference>
        </references>
      </pivotArea>
    </format>
    <format dxfId="286">
      <pivotArea dataOnly="0" labelOnly="1" outline="0" fieldPosition="0">
        <references count="2">
          <reference field="0" count="1" selected="0">
            <x v="12"/>
          </reference>
          <reference field="1" count="1">
            <x v="14"/>
          </reference>
        </references>
      </pivotArea>
    </format>
    <format dxfId="285">
      <pivotArea dataOnly="0" labelOnly="1" outline="0" fieldPosition="0">
        <references count="2">
          <reference field="0" count="1" selected="0">
            <x v="13"/>
          </reference>
          <reference field="1" count="1">
            <x v="15"/>
          </reference>
        </references>
      </pivotArea>
    </format>
    <format dxfId="284">
      <pivotArea dataOnly="0" labelOnly="1" outline="0" fieldPosition="0">
        <references count="2">
          <reference field="0" count="1" selected="0">
            <x v="14"/>
          </reference>
          <reference field="1" count="1">
            <x v="16"/>
          </reference>
        </references>
      </pivotArea>
    </format>
    <format dxfId="283">
      <pivotArea dataOnly="0" labelOnly="1" outline="0" fieldPosition="0">
        <references count="2">
          <reference field="0" count="1" selected="0">
            <x v="15"/>
          </reference>
          <reference field="1" count="1">
            <x v="17"/>
          </reference>
        </references>
      </pivotArea>
    </format>
    <format dxfId="282">
      <pivotArea dataOnly="0" labelOnly="1" outline="0" fieldPosition="0">
        <references count="2">
          <reference field="0" count="1" selected="0">
            <x v="16"/>
          </reference>
          <reference field="1" count="1">
            <x v="18"/>
          </reference>
        </references>
      </pivotArea>
    </format>
    <format dxfId="281">
      <pivotArea dataOnly="0" labelOnly="1" outline="0" fieldPosition="0">
        <references count="2">
          <reference field="0" count="1" selected="0">
            <x v="17"/>
          </reference>
          <reference field="1" count="1">
            <x v="19"/>
          </reference>
        </references>
      </pivotArea>
    </format>
    <format dxfId="280">
      <pivotArea dataOnly="0" labelOnly="1" outline="0" fieldPosition="0">
        <references count="2">
          <reference field="0" count="1" selected="0">
            <x v="18"/>
          </reference>
          <reference field="1" count="1">
            <x v="20"/>
          </reference>
        </references>
      </pivotArea>
    </format>
    <format dxfId="279">
      <pivotArea dataOnly="0" labelOnly="1" outline="0" fieldPosition="0">
        <references count="2">
          <reference field="0" count="1" selected="0">
            <x v="19"/>
          </reference>
          <reference field="1" count="1">
            <x v="21"/>
          </reference>
        </references>
      </pivotArea>
    </format>
    <format dxfId="278">
      <pivotArea dataOnly="0" labelOnly="1" outline="0" fieldPosition="0">
        <references count="2">
          <reference field="0" count="1" selected="0">
            <x v="20"/>
          </reference>
          <reference field="1" count="1">
            <x v="22"/>
          </reference>
        </references>
      </pivotArea>
    </format>
    <format dxfId="277">
      <pivotArea dataOnly="0" labelOnly="1" outline="0" fieldPosition="0">
        <references count="2">
          <reference field="0" count="1" selected="0">
            <x v="21"/>
          </reference>
          <reference field="1" count="1">
            <x v="23"/>
          </reference>
        </references>
      </pivotArea>
    </format>
    <format dxfId="276">
      <pivotArea dataOnly="0" labelOnly="1" outline="0" fieldPosition="0">
        <references count="2">
          <reference field="0" count="1" selected="0">
            <x v="22"/>
          </reference>
          <reference field="1" count="1">
            <x v="24"/>
          </reference>
        </references>
      </pivotArea>
    </format>
    <format dxfId="275">
      <pivotArea dataOnly="0" labelOnly="1" outline="0" fieldPosition="0">
        <references count="2">
          <reference field="0" count="1" selected="0">
            <x v="23"/>
          </reference>
          <reference field="1" count="1">
            <x v="25"/>
          </reference>
        </references>
      </pivotArea>
    </format>
    <format dxfId="274">
      <pivotArea dataOnly="0" labelOnly="1" outline="0" fieldPosition="0">
        <references count="2">
          <reference field="0" count="1" selected="0">
            <x v="24"/>
          </reference>
          <reference field="1" count="1">
            <x v="26"/>
          </reference>
        </references>
      </pivotArea>
    </format>
    <format dxfId="273">
      <pivotArea dataOnly="0" labelOnly="1" outline="0" fieldPosition="0">
        <references count="2">
          <reference field="0" count="1" selected="0">
            <x v="25"/>
          </reference>
          <reference field="1" count="1">
            <x v="27"/>
          </reference>
        </references>
      </pivotArea>
    </format>
    <format dxfId="272">
      <pivotArea dataOnly="0" labelOnly="1" outline="0" fieldPosition="0">
        <references count="2">
          <reference field="0" count="1" selected="0">
            <x v="26"/>
          </reference>
          <reference field="1" count="1">
            <x v="28"/>
          </reference>
        </references>
      </pivotArea>
    </format>
    <format dxfId="271">
      <pivotArea dataOnly="0" labelOnly="1" outline="0" fieldPosition="0">
        <references count="2">
          <reference field="0" count="1" selected="0">
            <x v="27"/>
          </reference>
          <reference field="1" count="1">
            <x v="29"/>
          </reference>
        </references>
      </pivotArea>
    </format>
    <format dxfId="270">
      <pivotArea field="0" type="button" dataOnly="0" labelOnly="1" outline="0" axis="axisRow" fieldPosition="0"/>
    </format>
    <format dxfId="269">
      <pivotArea type="all" dataOnly="0" outline="0" fieldPosition="0"/>
    </format>
    <format dxfId="268">
      <pivotArea outline="0" collapsedLevelsAreSubtotals="1" fieldPosition="0"/>
    </format>
    <format dxfId="267">
      <pivotArea type="origin" dataOnly="0" labelOnly="1" outline="0" fieldPosition="0"/>
    </format>
    <format dxfId="266">
      <pivotArea field="3" type="button" dataOnly="0" labelOnly="1" outline="0"/>
    </format>
    <format dxfId="265">
      <pivotArea field="-2" type="button" dataOnly="0" labelOnly="1" outline="0"/>
    </format>
    <format dxfId="264">
      <pivotArea type="topRight" dataOnly="0" labelOnly="1" outline="0" fieldPosition="0"/>
    </format>
    <format dxfId="263">
      <pivotArea field="0" type="button" dataOnly="0" labelOnly="1" outline="0" axis="axisRow" fieldPosition="0"/>
    </format>
    <format dxfId="262">
      <pivotArea field="1" type="button" dataOnly="0" labelOnly="1" outline="0" axis="axisRow" fieldPosition="1"/>
    </format>
    <format dxfId="261">
      <pivotArea dataOnly="0" labelOnly="1" outline="0" fieldPosition="0">
        <references count="1">
          <reference field="0" count="0"/>
        </references>
      </pivotArea>
    </format>
    <format dxfId="260">
      <pivotArea dataOnly="0" labelOnly="1" grandRow="1" outline="0" fieldPosition="0"/>
    </format>
    <format dxfId="259">
      <pivotArea dataOnly="0" labelOnly="1" outline="0" fieldPosition="0">
        <references count="2">
          <reference field="0" count="1" selected="0">
            <x v="0"/>
          </reference>
          <reference field="1" count="1">
            <x v="0"/>
          </reference>
        </references>
      </pivotArea>
    </format>
    <format dxfId="258">
      <pivotArea dataOnly="0" labelOnly="1" outline="0" fieldPosition="0">
        <references count="2">
          <reference field="0" count="1" selected="0">
            <x v="1"/>
          </reference>
          <reference field="1" count="1">
            <x v="1"/>
          </reference>
        </references>
      </pivotArea>
    </format>
    <format dxfId="257">
      <pivotArea dataOnly="0" labelOnly="1" outline="0" fieldPosition="0">
        <references count="2">
          <reference field="0" count="1" selected="0">
            <x v="2"/>
          </reference>
          <reference field="1" count="3">
            <x v="2"/>
            <x v="3"/>
            <x v="4"/>
          </reference>
        </references>
      </pivotArea>
    </format>
    <format dxfId="256">
      <pivotArea dataOnly="0" labelOnly="1" outline="0" fieldPosition="0">
        <references count="2">
          <reference field="0" count="1" selected="0">
            <x v="3"/>
          </reference>
          <reference field="1" count="1">
            <x v="5"/>
          </reference>
        </references>
      </pivotArea>
    </format>
    <format dxfId="255">
      <pivotArea dataOnly="0" labelOnly="1" outline="0" fieldPosition="0">
        <references count="2">
          <reference field="0" count="1" selected="0">
            <x v="4"/>
          </reference>
          <reference field="1" count="1">
            <x v="6"/>
          </reference>
        </references>
      </pivotArea>
    </format>
    <format dxfId="254">
      <pivotArea dataOnly="0" labelOnly="1" outline="0" fieldPosition="0">
        <references count="2">
          <reference field="0" count="1" selected="0">
            <x v="5"/>
          </reference>
          <reference field="1" count="1">
            <x v="7"/>
          </reference>
        </references>
      </pivotArea>
    </format>
    <format dxfId="253">
      <pivotArea dataOnly="0" labelOnly="1" outline="0" fieldPosition="0">
        <references count="2">
          <reference field="0" count="1" selected="0">
            <x v="6"/>
          </reference>
          <reference field="1" count="1">
            <x v="8"/>
          </reference>
        </references>
      </pivotArea>
    </format>
    <format dxfId="252">
      <pivotArea dataOnly="0" labelOnly="1" outline="0" fieldPosition="0">
        <references count="2">
          <reference field="0" count="1" selected="0">
            <x v="7"/>
          </reference>
          <reference field="1" count="1">
            <x v="9"/>
          </reference>
        </references>
      </pivotArea>
    </format>
    <format dxfId="251">
      <pivotArea dataOnly="0" labelOnly="1" outline="0" fieldPosition="0">
        <references count="2">
          <reference field="0" count="1" selected="0">
            <x v="8"/>
          </reference>
          <reference field="1" count="1">
            <x v="10"/>
          </reference>
        </references>
      </pivotArea>
    </format>
    <format dxfId="250">
      <pivotArea dataOnly="0" labelOnly="1" outline="0" fieldPosition="0">
        <references count="2">
          <reference field="0" count="1" selected="0">
            <x v="9"/>
          </reference>
          <reference field="1" count="1">
            <x v="11"/>
          </reference>
        </references>
      </pivotArea>
    </format>
    <format dxfId="249">
      <pivotArea dataOnly="0" labelOnly="1" outline="0" fieldPosition="0">
        <references count="2">
          <reference field="0" count="1" selected="0">
            <x v="10"/>
          </reference>
          <reference field="1" count="1">
            <x v="12"/>
          </reference>
        </references>
      </pivotArea>
    </format>
    <format dxfId="248">
      <pivotArea dataOnly="0" labelOnly="1" outline="0" fieldPosition="0">
        <references count="2">
          <reference field="0" count="1" selected="0">
            <x v="11"/>
          </reference>
          <reference field="1" count="1">
            <x v="13"/>
          </reference>
        </references>
      </pivotArea>
    </format>
    <format dxfId="247">
      <pivotArea dataOnly="0" labelOnly="1" outline="0" fieldPosition="0">
        <references count="2">
          <reference field="0" count="1" selected="0">
            <x v="12"/>
          </reference>
          <reference field="1" count="1">
            <x v="14"/>
          </reference>
        </references>
      </pivotArea>
    </format>
    <format dxfId="246">
      <pivotArea dataOnly="0" labelOnly="1" outline="0" fieldPosition="0">
        <references count="2">
          <reference field="0" count="1" selected="0">
            <x v="13"/>
          </reference>
          <reference field="1" count="1">
            <x v="15"/>
          </reference>
        </references>
      </pivotArea>
    </format>
    <format dxfId="245">
      <pivotArea dataOnly="0" labelOnly="1" outline="0" fieldPosition="0">
        <references count="2">
          <reference field="0" count="1" selected="0">
            <x v="14"/>
          </reference>
          <reference field="1" count="1">
            <x v="16"/>
          </reference>
        </references>
      </pivotArea>
    </format>
    <format dxfId="244">
      <pivotArea dataOnly="0" labelOnly="1" outline="0" fieldPosition="0">
        <references count="2">
          <reference field="0" count="1" selected="0">
            <x v="15"/>
          </reference>
          <reference field="1" count="1">
            <x v="17"/>
          </reference>
        </references>
      </pivotArea>
    </format>
    <format dxfId="243">
      <pivotArea dataOnly="0" labelOnly="1" outline="0" fieldPosition="0">
        <references count="2">
          <reference field="0" count="1" selected="0">
            <x v="16"/>
          </reference>
          <reference field="1" count="1">
            <x v="18"/>
          </reference>
        </references>
      </pivotArea>
    </format>
    <format dxfId="242">
      <pivotArea dataOnly="0" labelOnly="1" outline="0" fieldPosition="0">
        <references count="2">
          <reference field="0" count="1" selected="0">
            <x v="17"/>
          </reference>
          <reference field="1" count="1">
            <x v="19"/>
          </reference>
        </references>
      </pivotArea>
    </format>
    <format dxfId="241">
      <pivotArea dataOnly="0" labelOnly="1" outline="0" fieldPosition="0">
        <references count="2">
          <reference field="0" count="1" selected="0">
            <x v="18"/>
          </reference>
          <reference field="1" count="1">
            <x v="20"/>
          </reference>
        </references>
      </pivotArea>
    </format>
    <format dxfId="240">
      <pivotArea dataOnly="0" labelOnly="1" outline="0" fieldPosition="0">
        <references count="2">
          <reference field="0" count="1" selected="0">
            <x v="19"/>
          </reference>
          <reference field="1" count="1">
            <x v="21"/>
          </reference>
        </references>
      </pivotArea>
    </format>
    <format dxfId="239">
      <pivotArea dataOnly="0" labelOnly="1" outline="0" fieldPosition="0">
        <references count="2">
          <reference field="0" count="1" selected="0">
            <x v="20"/>
          </reference>
          <reference field="1" count="1">
            <x v="22"/>
          </reference>
        </references>
      </pivotArea>
    </format>
    <format dxfId="238">
      <pivotArea dataOnly="0" labelOnly="1" outline="0" fieldPosition="0">
        <references count="2">
          <reference field="0" count="1" selected="0">
            <x v="21"/>
          </reference>
          <reference field="1" count="1">
            <x v="23"/>
          </reference>
        </references>
      </pivotArea>
    </format>
    <format dxfId="237">
      <pivotArea dataOnly="0" labelOnly="1" outline="0" fieldPosition="0">
        <references count="2">
          <reference field="0" count="1" selected="0">
            <x v="22"/>
          </reference>
          <reference field="1" count="1">
            <x v="24"/>
          </reference>
        </references>
      </pivotArea>
    </format>
    <format dxfId="236">
      <pivotArea dataOnly="0" labelOnly="1" outline="0" fieldPosition="0">
        <references count="2">
          <reference field="0" count="1" selected="0">
            <x v="23"/>
          </reference>
          <reference field="1" count="1">
            <x v="25"/>
          </reference>
        </references>
      </pivotArea>
    </format>
    <format dxfId="235">
      <pivotArea dataOnly="0" labelOnly="1" outline="0" fieldPosition="0">
        <references count="2">
          <reference field="0" count="1" selected="0">
            <x v="24"/>
          </reference>
          <reference field="1" count="1">
            <x v="26"/>
          </reference>
        </references>
      </pivotArea>
    </format>
    <format dxfId="234">
      <pivotArea dataOnly="0" labelOnly="1" outline="0" fieldPosition="0">
        <references count="2">
          <reference field="0" count="1" selected="0">
            <x v="25"/>
          </reference>
          <reference field="1" count="1">
            <x v="27"/>
          </reference>
        </references>
      </pivotArea>
    </format>
    <format dxfId="233">
      <pivotArea dataOnly="0" labelOnly="1" outline="0" fieldPosition="0">
        <references count="2">
          <reference field="0" count="1" selected="0">
            <x v="26"/>
          </reference>
          <reference field="1" count="1">
            <x v="28"/>
          </reference>
        </references>
      </pivotArea>
    </format>
    <format dxfId="232">
      <pivotArea dataOnly="0" labelOnly="1" outline="0" fieldPosition="0">
        <references count="2">
          <reference field="0" count="1" selected="0">
            <x v="27"/>
          </reference>
          <reference field="1" count="1">
            <x v="29"/>
          </reference>
        </references>
      </pivotArea>
    </format>
  </formats>
  <pivotHierarchies count="195">
    <pivotHierarchy dragToData="1"/>
    <pivotHierarchy dragToData="1"/>
    <pivotHierarchy dragToData="1"/>
    <pivotHierarchy dragToData="1"/>
    <pivotHierarchy dragToData="1"/>
    <pivotHierarchy dragToData="1"/>
    <pivotHierarchy dragToData="1"/>
    <pivotHierarchy/>
    <pivotHierarchy dragToData="1"/>
    <pivotHierarchy dragToData="1"/>
    <pivotHierarchy dragToData="1"/>
    <pivotHierarchy dragToData="1"/>
    <pivotHierarchy dragToData="1"/>
    <pivotHierarchy dragToData="1"/>
    <pivotHierarchy dragToData="1"/>
    <pivotHierarchy dragToData="1"/>
    <pivotHierarchy dragToData="1" caption="Број на проект"/>
    <pivotHierarchy dragToData="1" caption="Проект"/>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caption="Период"/>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2">
    <rowHierarchyUsage hierarchyUsage="16"/>
    <rowHierarchyUsage hierarchyUsage="17"/>
  </rowHierarchiesUsage>
  <colHierarchiesUsage count="2">
    <colHierarchyUsage hierarchyUsage="11"/>
    <colHierarchyUsage hierarchyUsage="27"/>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Calendar]"/>
        <x15:activeTabTopLevelEntity name="[CAPEX]"/>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14.xml><?xml version="1.0" encoding="utf-8"?>
<pivotTableDefinition xmlns="http://schemas.openxmlformats.org/spreadsheetml/2006/main" xmlns:mc="http://schemas.openxmlformats.org/markup-compatibility/2006" xmlns:xr="http://schemas.microsoft.com/office/spreadsheetml/2014/revision" mc:Ignorable="xr" xr:uid="{00000000-0007-0000-0D00-000000000000}" name="PivotTable1" cacheId="26" applyNumberFormats="0" applyBorderFormats="0" applyFontFormats="0" applyPatternFormats="0" applyAlignmentFormats="0" applyWidthHeightFormats="1" dataCaption="Values" tag="78dfedfd-1548-4f3a-ba90-196b2f1cec9e" updatedVersion="6" minRefreshableVersion="3" subtotalHiddenItems="1" itemPrintTitles="1" createdVersion="5" indent="0" compact="0" compactData="0" multipleFieldFilters="0">
  <location ref="A3:J36" firstHeaderRow="1" firstDataRow="3" firstDataCol="2" rowPageCount="1" colPageCount="1"/>
  <pivotFields count="7">
    <pivotField name="Број на проект" axis="axisRow" compact="0" allDrilled="1" outline="0" showAll="0" dataSourceSort="1" defaultSubtotal="0" defaultAttributeDrillState="1">
      <items count="28">
        <item x="0"/>
        <item x="1"/>
        <item x="2"/>
        <item x="3"/>
        <item x="4"/>
        <item x="5"/>
        <item x="6"/>
        <item x="7"/>
        <item x="8"/>
        <item x="9"/>
        <item x="10"/>
        <item x="11"/>
        <item x="12"/>
        <item x="13"/>
        <item x="14"/>
        <item x="15"/>
        <item x="16"/>
        <item x="17"/>
        <item x="18"/>
        <item x="19"/>
        <item x="20"/>
        <item x="21"/>
        <item x="22"/>
        <item x="23"/>
        <item x="24"/>
        <item x="25"/>
        <item x="26"/>
        <item x="27"/>
      </items>
    </pivotField>
    <pivotField name="Проект" axis="axisRow" compact="0" allDrilled="1" outline="0" showAll="0" dataSourceSort="1" defaultSubtotal="0" defaultAttributeDrillState="1">
      <items count="30">
        <item x="0"/>
        <item x="1"/>
        <item x="2"/>
        <item x="3"/>
        <item x="4"/>
        <item x="5"/>
        <item x="6"/>
        <item x="7"/>
        <item x="8"/>
        <item x="9"/>
        <item x="10"/>
        <item x="11"/>
        <item x="12"/>
        <item x="13"/>
        <item x="14"/>
        <item x="15"/>
        <item x="16"/>
        <item x="17"/>
        <item x="18"/>
        <item x="19"/>
        <item x="20"/>
        <item x="21"/>
        <item x="22"/>
        <item x="23"/>
        <item n="Единствен регистар за водење на трансакциски сметки" x="24"/>
        <item x="25"/>
        <item x="26"/>
        <item x="27"/>
        <item x="28"/>
        <item x="29"/>
      </items>
    </pivotField>
    <pivotField dataField="1" compact="0" outline="0" showAll="0" defaultSubtotal="0"/>
    <pivotField axis="axisPage" compact="0" allDrilled="1" outline="0" subtotalTop="0" showAll="0" dataSourceSort="1" defaultSubtotal="0" defaultAttributeDrillState="1"/>
    <pivotField name="Период" compact="0" allDrilled="1" outline="0" subtotalTop="0" showAll="0" dataSourceSort="1" defaultSubtotal="0" defaultAttributeDrillState="1">
      <items count="3">
        <item x="0"/>
        <item x="1"/>
        <item x="2"/>
      </items>
    </pivotField>
    <pivotField name="Период" axis="axisCol" compact="0" allDrilled="1" outline="0" subtotalTop="0" showAll="0" dataSourceSort="1" defaultSubtotal="0" defaultAttributeDrillState="1">
      <items count="3">
        <item x="0"/>
        <item x="1"/>
        <item x="2"/>
      </items>
    </pivotField>
    <pivotField dataField="1" compact="0" outline="0" subtotalTop="0" showAll="0" defaultSubtotal="0"/>
  </pivotFields>
  <rowFields count="2">
    <field x="0"/>
    <field x="1"/>
  </rowFields>
  <rowItems count="31">
    <i>
      <x/>
      <x/>
    </i>
    <i>
      <x v="1"/>
      <x v="1"/>
    </i>
    <i>
      <x v="2"/>
      <x v="2"/>
    </i>
    <i r="1">
      <x v="3"/>
    </i>
    <i r="1">
      <x v="4"/>
    </i>
    <i>
      <x v="3"/>
      <x v="5"/>
    </i>
    <i>
      <x v="4"/>
      <x v="6"/>
    </i>
    <i>
      <x v="5"/>
      <x v="7"/>
    </i>
    <i>
      <x v="6"/>
      <x v="8"/>
    </i>
    <i>
      <x v="7"/>
      <x v="9"/>
    </i>
    <i>
      <x v="8"/>
      <x v="10"/>
    </i>
    <i>
      <x v="9"/>
      <x v="11"/>
    </i>
    <i>
      <x v="10"/>
      <x v="12"/>
    </i>
    <i>
      <x v="11"/>
      <x v="13"/>
    </i>
    <i>
      <x v="12"/>
      <x v="14"/>
    </i>
    <i>
      <x v="13"/>
      <x v="15"/>
    </i>
    <i>
      <x v="14"/>
      <x v="16"/>
    </i>
    <i>
      <x v="15"/>
      <x v="17"/>
    </i>
    <i>
      <x v="16"/>
      <x v="18"/>
    </i>
    <i>
      <x v="17"/>
      <x v="19"/>
    </i>
    <i>
      <x v="18"/>
      <x v="20"/>
    </i>
    <i>
      <x v="19"/>
      <x v="21"/>
    </i>
    <i>
      <x v="20"/>
      <x v="22"/>
    </i>
    <i>
      <x v="21"/>
      <x v="23"/>
    </i>
    <i>
      <x v="22"/>
      <x v="24"/>
    </i>
    <i>
      <x v="23"/>
      <x v="25"/>
    </i>
    <i>
      <x v="24"/>
      <x v="26"/>
    </i>
    <i>
      <x v="25"/>
      <x v="27"/>
    </i>
    <i>
      <x v="26"/>
      <x v="28"/>
    </i>
    <i>
      <x v="27"/>
      <x v="29"/>
    </i>
    <i t="grand">
      <x/>
    </i>
  </rowItems>
  <colFields count="2">
    <field x="5"/>
    <field x="-2"/>
  </colFields>
  <colItems count="8">
    <i>
      <x/>
      <x/>
    </i>
    <i r="1" i="1">
      <x v="1"/>
    </i>
    <i>
      <x v="1"/>
      <x/>
    </i>
    <i r="1" i="1">
      <x v="1"/>
    </i>
    <i>
      <x v="2"/>
      <x/>
    </i>
    <i r="1" i="1">
      <x v="1"/>
    </i>
    <i t="grand">
      <x/>
    </i>
    <i t="grand" i="1">
      <x/>
    </i>
  </colItems>
  <pageFields count="1">
    <pageField fld="3" hier="22" name="[CAPEX].[Конто Средства].[All]" cap="All"/>
  </pageFields>
  <dataFields count="2">
    <dataField name="Sum of Проценета вредност на набавка со ДДВ (денари)" fld="6" baseField="0" baseItem="0"/>
    <dataField name="Sum of Износ донација" fld="2" baseField="0" baseItem="0"/>
  </dataFields>
  <formats count="87">
    <format dxfId="231">
      <pivotArea type="origin" dataOnly="0" labelOnly="1" outline="0" fieldPosition="0"/>
    </format>
    <format dxfId="230">
      <pivotArea field="0" type="button" dataOnly="0" labelOnly="1" outline="0" axis="axisRow" fieldPosition="0"/>
    </format>
    <format dxfId="229">
      <pivotArea dataOnly="0" labelOnly="1" fieldPosition="0">
        <references count="1">
          <reference field="0" count="0"/>
        </references>
      </pivotArea>
    </format>
    <format dxfId="228">
      <pivotArea dataOnly="0" labelOnly="1" grandRow="1" outline="0" fieldPosition="0"/>
    </format>
    <format dxfId="227">
      <pivotArea dataOnly="0" labelOnly="1" fieldPosition="0">
        <references count="2">
          <reference field="0" count="1" selected="0">
            <x v="1"/>
          </reference>
          <reference field="1" count="1">
            <x v="1"/>
          </reference>
        </references>
      </pivotArea>
    </format>
    <format dxfId="226">
      <pivotArea field="-2" type="button" dataOnly="0" labelOnly="1" outline="0" axis="axisCol" fieldPosition="1"/>
    </format>
    <format dxfId="225">
      <pivotArea type="topRight" dataOnly="0" labelOnly="1" outline="0" fieldPosition="0"/>
    </format>
    <format dxfId="224">
      <pivotArea dataOnly="0" labelOnly="1" outline="0" fieldPosition="0">
        <references count="1">
          <reference field="0" count="1">
            <x v="0"/>
          </reference>
        </references>
      </pivotArea>
    </format>
    <format dxfId="223">
      <pivotArea dataOnly="0" labelOnly="1" outline="0" fieldPosition="0">
        <references count="1">
          <reference field="0" count="0"/>
        </references>
      </pivotArea>
    </format>
    <format dxfId="222">
      <pivotArea dataOnly="0" labelOnly="1" outline="0" fieldPosition="0">
        <references count="2">
          <reference field="0" count="1" selected="0">
            <x v="0"/>
          </reference>
          <reference field="1" count="1">
            <x v="0"/>
          </reference>
        </references>
      </pivotArea>
    </format>
    <format dxfId="221">
      <pivotArea dataOnly="0" labelOnly="1" outline="0" fieldPosition="0">
        <references count="2">
          <reference field="0" count="1" selected="0">
            <x v="1"/>
          </reference>
          <reference field="1" count="1">
            <x v="1"/>
          </reference>
        </references>
      </pivotArea>
    </format>
    <format dxfId="220">
      <pivotArea dataOnly="0" labelOnly="1" outline="0" fieldPosition="0">
        <references count="2">
          <reference field="0" count="1" selected="0">
            <x v="2"/>
          </reference>
          <reference field="1" count="3">
            <x v="2"/>
            <x v="3"/>
            <x v="4"/>
          </reference>
        </references>
      </pivotArea>
    </format>
    <format dxfId="219">
      <pivotArea dataOnly="0" labelOnly="1" outline="0" fieldPosition="0">
        <references count="2">
          <reference field="0" count="1" selected="0">
            <x v="3"/>
          </reference>
          <reference field="1" count="1">
            <x v="5"/>
          </reference>
        </references>
      </pivotArea>
    </format>
    <format dxfId="218">
      <pivotArea dataOnly="0" labelOnly="1" outline="0" fieldPosition="0">
        <references count="2">
          <reference field="0" count="1" selected="0">
            <x v="4"/>
          </reference>
          <reference field="1" count="1">
            <x v="6"/>
          </reference>
        </references>
      </pivotArea>
    </format>
    <format dxfId="217">
      <pivotArea dataOnly="0" labelOnly="1" outline="0" fieldPosition="0">
        <references count="2">
          <reference field="0" count="1" selected="0">
            <x v="5"/>
          </reference>
          <reference field="1" count="1">
            <x v="7"/>
          </reference>
        </references>
      </pivotArea>
    </format>
    <format dxfId="216">
      <pivotArea dataOnly="0" labelOnly="1" outline="0" fieldPosition="0">
        <references count="2">
          <reference field="0" count="1" selected="0">
            <x v="6"/>
          </reference>
          <reference field="1" count="1">
            <x v="8"/>
          </reference>
        </references>
      </pivotArea>
    </format>
    <format dxfId="215">
      <pivotArea dataOnly="0" labelOnly="1" outline="0" fieldPosition="0">
        <references count="2">
          <reference field="0" count="1" selected="0">
            <x v="7"/>
          </reference>
          <reference field="1" count="1">
            <x v="9"/>
          </reference>
        </references>
      </pivotArea>
    </format>
    <format dxfId="214">
      <pivotArea dataOnly="0" labelOnly="1" outline="0" fieldPosition="0">
        <references count="2">
          <reference field="0" count="1" selected="0">
            <x v="8"/>
          </reference>
          <reference field="1" count="1">
            <x v="10"/>
          </reference>
        </references>
      </pivotArea>
    </format>
    <format dxfId="213">
      <pivotArea dataOnly="0" labelOnly="1" outline="0" fieldPosition="0">
        <references count="2">
          <reference field="0" count="1" selected="0">
            <x v="9"/>
          </reference>
          <reference field="1" count="1">
            <x v="11"/>
          </reference>
        </references>
      </pivotArea>
    </format>
    <format dxfId="212">
      <pivotArea dataOnly="0" labelOnly="1" outline="0" fieldPosition="0">
        <references count="2">
          <reference field="0" count="1" selected="0">
            <x v="10"/>
          </reference>
          <reference field="1" count="1">
            <x v="12"/>
          </reference>
        </references>
      </pivotArea>
    </format>
    <format dxfId="211">
      <pivotArea dataOnly="0" labelOnly="1" outline="0" fieldPosition="0">
        <references count="2">
          <reference field="0" count="1" selected="0">
            <x v="11"/>
          </reference>
          <reference field="1" count="1">
            <x v="13"/>
          </reference>
        </references>
      </pivotArea>
    </format>
    <format dxfId="210">
      <pivotArea dataOnly="0" labelOnly="1" outline="0" fieldPosition="0">
        <references count="2">
          <reference field="0" count="1" selected="0">
            <x v="12"/>
          </reference>
          <reference field="1" count="1">
            <x v="14"/>
          </reference>
        </references>
      </pivotArea>
    </format>
    <format dxfId="209">
      <pivotArea dataOnly="0" labelOnly="1" outline="0" fieldPosition="0">
        <references count="2">
          <reference field="0" count="1" selected="0">
            <x v="13"/>
          </reference>
          <reference field="1" count="1">
            <x v="15"/>
          </reference>
        </references>
      </pivotArea>
    </format>
    <format dxfId="208">
      <pivotArea dataOnly="0" labelOnly="1" outline="0" fieldPosition="0">
        <references count="2">
          <reference field="0" count="1" selected="0">
            <x v="14"/>
          </reference>
          <reference field="1" count="1">
            <x v="16"/>
          </reference>
        </references>
      </pivotArea>
    </format>
    <format dxfId="207">
      <pivotArea dataOnly="0" labelOnly="1" outline="0" fieldPosition="0">
        <references count="2">
          <reference field="0" count="1" selected="0">
            <x v="15"/>
          </reference>
          <reference field="1" count="1">
            <x v="17"/>
          </reference>
        </references>
      </pivotArea>
    </format>
    <format dxfId="206">
      <pivotArea dataOnly="0" labelOnly="1" outline="0" fieldPosition="0">
        <references count="2">
          <reference field="0" count="1" selected="0">
            <x v="16"/>
          </reference>
          <reference field="1" count="1">
            <x v="18"/>
          </reference>
        </references>
      </pivotArea>
    </format>
    <format dxfId="205">
      <pivotArea dataOnly="0" labelOnly="1" outline="0" fieldPosition="0">
        <references count="2">
          <reference field="0" count="1" selected="0">
            <x v="17"/>
          </reference>
          <reference field="1" count="1">
            <x v="19"/>
          </reference>
        </references>
      </pivotArea>
    </format>
    <format dxfId="204">
      <pivotArea dataOnly="0" labelOnly="1" outline="0" fieldPosition="0">
        <references count="2">
          <reference field="0" count="1" selected="0">
            <x v="18"/>
          </reference>
          <reference field="1" count="1">
            <x v="20"/>
          </reference>
        </references>
      </pivotArea>
    </format>
    <format dxfId="203">
      <pivotArea dataOnly="0" labelOnly="1" outline="0" fieldPosition="0">
        <references count="2">
          <reference field="0" count="1" selected="0">
            <x v="19"/>
          </reference>
          <reference field="1" count="1">
            <x v="21"/>
          </reference>
        </references>
      </pivotArea>
    </format>
    <format dxfId="202">
      <pivotArea dataOnly="0" labelOnly="1" outline="0" fieldPosition="0">
        <references count="2">
          <reference field="0" count="1" selected="0">
            <x v="20"/>
          </reference>
          <reference field="1" count="1">
            <x v="22"/>
          </reference>
        </references>
      </pivotArea>
    </format>
    <format dxfId="201">
      <pivotArea dataOnly="0" labelOnly="1" outline="0" fieldPosition="0">
        <references count="2">
          <reference field="0" count="1" selected="0">
            <x v="21"/>
          </reference>
          <reference field="1" count="1">
            <x v="23"/>
          </reference>
        </references>
      </pivotArea>
    </format>
    <format dxfId="200">
      <pivotArea dataOnly="0" labelOnly="1" outline="0" fieldPosition="0">
        <references count="2">
          <reference field="0" count="1" selected="0">
            <x v="22"/>
          </reference>
          <reference field="1" count="1">
            <x v="24"/>
          </reference>
        </references>
      </pivotArea>
    </format>
    <format dxfId="199">
      <pivotArea dataOnly="0" labelOnly="1" outline="0" fieldPosition="0">
        <references count="2">
          <reference field="0" count="1" selected="0">
            <x v="23"/>
          </reference>
          <reference field="1" count="1">
            <x v="25"/>
          </reference>
        </references>
      </pivotArea>
    </format>
    <format dxfId="198">
      <pivotArea dataOnly="0" labelOnly="1" outline="0" fieldPosition="0">
        <references count="2">
          <reference field="0" count="1" selected="0">
            <x v="24"/>
          </reference>
          <reference field="1" count="1">
            <x v="26"/>
          </reference>
        </references>
      </pivotArea>
    </format>
    <format dxfId="197">
      <pivotArea dataOnly="0" labelOnly="1" outline="0" fieldPosition="0">
        <references count="2">
          <reference field="0" count="1" selected="0">
            <x v="25"/>
          </reference>
          <reference field="1" count="1">
            <x v="27"/>
          </reference>
        </references>
      </pivotArea>
    </format>
    <format dxfId="196">
      <pivotArea dataOnly="0" labelOnly="1" outline="0" fieldPosition="0">
        <references count="2">
          <reference field="0" count="1" selected="0">
            <x v="26"/>
          </reference>
          <reference field="1" count="1">
            <x v="28"/>
          </reference>
        </references>
      </pivotArea>
    </format>
    <format dxfId="195">
      <pivotArea dataOnly="0" labelOnly="1" outline="0" fieldPosition="0">
        <references count="2">
          <reference field="0" count="1" selected="0">
            <x v="27"/>
          </reference>
          <reference field="1" count="1">
            <x v="29"/>
          </reference>
        </references>
      </pivotArea>
    </format>
    <format dxfId="194">
      <pivotArea field="4" dataOnly="0" labelOnly="1" outline="0">
        <references count="1">
          <reference field="4294967294" count="1" selected="0">
            <x v="1"/>
          </reference>
        </references>
      </pivotArea>
    </format>
    <format dxfId="193">
      <pivotArea field="0" type="button" dataOnly="0" labelOnly="1" outline="0" axis="axisRow" fieldPosition="0"/>
    </format>
    <format dxfId="192">
      <pivotArea type="all" dataOnly="0" outline="0" fieldPosition="0"/>
    </format>
    <format dxfId="191">
      <pivotArea outline="0" collapsedLevelsAreSubtotals="1" fieldPosition="0"/>
    </format>
    <format dxfId="190">
      <pivotArea type="origin" dataOnly="0" labelOnly="1" outline="0" fieldPosition="0"/>
    </format>
    <format dxfId="189">
      <pivotArea field="4" type="button" dataOnly="0" labelOnly="1" outline="0"/>
    </format>
    <format dxfId="188">
      <pivotArea field="-2" type="button" dataOnly="0" labelOnly="1" outline="0" axis="axisCol" fieldPosition="1"/>
    </format>
    <format dxfId="187">
      <pivotArea type="topRight" dataOnly="0" labelOnly="1" outline="0" fieldPosition="0"/>
    </format>
    <format dxfId="186">
      <pivotArea field="0" type="button" dataOnly="0" labelOnly="1" outline="0" axis="axisRow" fieldPosition="0"/>
    </format>
    <format dxfId="185">
      <pivotArea field="1" type="button" dataOnly="0" labelOnly="1" outline="0" axis="axisRow" fieldPosition="1"/>
    </format>
    <format dxfId="184">
      <pivotArea dataOnly="0" labelOnly="1" outline="0" fieldPosition="0">
        <references count="1">
          <reference field="0" count="0"/>
        </references>
      </pivotArea>
    </format>
    <format dxfId="183">
      <pivotArea dataOnly="0" labelOnly="1" grandRow="1" outline="0" fieldPosition="0"/>
    </format>
    <format dxfId="182">
      <pivotArea dataOnly="0" labelOnly="1" outline="0" fieldPosition="0">
        <references count="2">
          <reference field="0" count="1" selected="0">
            <x v="0"/>
          </reference>
          <reference field="1" count="1">
            <x v="0"/>
          </reference>
        </references>
      </pivotArea>
    </format>
    <format dxfId="181">
      <pivotArea dataOnly="0" labelOnly="1" outline="0" fieldPosition="0">
        <references count="2">
          <reference field="0" count="1" selected="0">
            <x v="1"/>
          </reference>
          <reference field="1" count="1">
            <x v="1"/>
          </reference>
        </references>
      </pivotArea>
    </format>
    <format dxfId="180">
      <pivotArea dataOnly="0" labelOnly="1" outline="0" fieldPosition="0">
        <references count="2">
          <reference field="0" count="1" selected="0">
            <x v="2"/>
          </reference>
          <reference field="1" count="3">
            <x v="2"/>
            <x v="3"/>
            <x v="4"/>
          </reference>
        </references>
      </pivotArea>
    </format>
    <format dxfId="179">
      <pivotArea dataOnly="0" labelOnly="1" outline="0" fieldPosition="0">
        <references count="2">
          <reference field="0" count="1" selected="0">
            <x v="3"/>
          </reference>
          <reference field="1" count="1">
            <x v="5"/>
          </reference>
        </references>
      </pivotArea>
    </format>
    <format dxfId="178">
      <pivotArea dataOnly="0" labelOnly="1" outline="0" fieldPosition="0">
        <references count="2">
          <reference field="0" count="1" selected="0">
            <x v="4"/>
          </reference>
          <reference field="1" count="1">
            <x v="6"/>
          </reference>
        </references>
      </pivotArea>
    </format>
    <format dxfId="177">
      <pivotArea dataOnly="0" labelOnly="1" outline="0" fieldPosition="0">
        <references count="2">
          <reference field="0" count="1" selected="0">
            <x v="5"/>
          </reference>
          <reference field="1" count="1">
            <x v="7"/>
          </reference>
        </references>
      </pivotArea>
    </format>
    <format dxfId="176">
      <pivotArea dataOnly="0" labelOnly="1" outline="0" fieldPosition="0">
        <references count="2">
          <reference field="0" count="1" selected="0">
            <x v="6"/>
          </reference>
          <reference field="1" count="1">
            <x v="8"/>
          </reference>
        </references>
      </pivotArea>
    </format>
    <format dxfId="175">
      <pivotArea dataOnly="0" labelOnly="1" outline="0" fieldPosition="0">
        <references count="2">
          <reference field="0" count="1" selected="0">
            <x v="7"/>
          </reference>
          <reference field="1" count="1">
            <x v="9"/>
          </reference>
        </references>
      </pivotArea>
    </format>
    <format dxfId="174">
      <pivotArea dataOnly="0" labelOnly="1" outline="0" fieldPosition="0">
        <references count="2">
          <reference field="0" count="1" selected="0">
            <x v="8"/>
          </reference>
          <reference field="1" count="1">
            <x v="10"/>
          </reference>
        </references>
      </pivotArea>
    </format>
    <format dxfId="173">
      <pivotArea dataOnly="0" labelOnly="1" outline="0" fieldPosition="0">
        <references count="2">
          <reference field="0" count="1" selected="0">
            <x v="9"/>
          </reference>
          <reference field="1" count="1">
            <x v="11"/>
          </reference>
        </references>
      </pivotArea>
    </format>
    <format dxfId="172">
      <pivotArea dataOnly="0" labelOnly="1" outline="0" fieldPosition="0">
        <references count="2">
          <reference field="0" count="1" selected="0">
            <x v="10"/>
          </reference>
          <reference field="1" count="1">
            <x v="12"/>
          </reference>
        </references>
      </pivotArea>
    </format>
    <format dxfId="171">
      <pivotArea dataOnly="0" labelOnly="1" outline="0" fieldPosition="0">
        <references count="2">
          <reference field="0" count="1" selected="0">
            <x v="11"/>
          </reference>
          <reference field="1" count="1">
            <x v="13"/>
          </reference>
        </references>
      </pivotArea>
    </format>
    <format dxfId="170">
      <pivotArea dataOnly="0" labelOnly="1" outline="0" fieldPosition="0">
        <references count="2">
          <reference field="0" count="1" selected="0">
            <x v="12"/>
          </reference>
          <reference field="1" count="1">
            <x v="14"/>
          </reference>
        </references>
      </pivotArea>
    </format>
    <format dxfId="169">
      <pivotArea dataOnly="0" labelOnly="1" outline="0" fieldPosition="0">
        <references count="2">
          <reference field="0" count="1" selected="0">
            <x v="13"/>
          </reference>
          <reference field="1" count="1">
            <x v="15"/>
          </reference>
        </references>
      </pivotArea>
    </format>
    <format dxfId="168">
      <pivotArea dataOnly="0" labelOnly="1" outline="0" fieldPosition="0">
        <references count="2">
          <reference field="0" count="1" selected="0">
            <x v="14"/>
          </reference>
          <reference field="1" count="1">
            <x v="16"/>
          </reference>
        </references>
      </pivotArea>
    </format>
    <format dxfId="167">
      <pivotArea dataOnly="0" labelOnly="1" outline="0" fieldPosition="0">
        <references count="2">
          <reference field="0" count="1" selected="0">
            <x v="15"/>
          </reference>
          <reference field="1" count="1">
            <x v="17"/>
          </reference>
        </references>
      </pivotArea>
    </format>
    <format dxfId="166">
      <pivotArea dataOnly="0" labelOnly="1" outline="0" fieldPosition="0">
        <references count="2">
          <reference field="0" count="1" selected="0">
            <x v="16"/>
          </reference>
          <reference field="1" count="1">
            <x v="18"/>
          </reference>
        </references>
      </pivotArea>
    </format>
    <format dxfId="165">
      <pivotArea dataOnly="0" labelOnly="1" outline="0" fieldPosition="0">
        <references count="2">
          <reference field="0" count="1" selected="0">
            <x v="17"/>
          </reference>
          <reference field="1" count="1">
            <x v="19"/>
          </reference>
        </references>
      </pivotArea>
    </format>
    <format dxfId="164">
      <pivotArea dataOnly="0" labelOnly="1" outline="0" fieldPosition="0">
        <references count="2">
          <reference field="0" count="1" selected="0">
            <x v="18"/>
          </reference>
          <reference field="1" count="1">
            <x v="20"/>
          </reference>
        </references>
      </pivotArea>
    </format>
    <format dxfId="163">
      <pivotArea dataOnly="0" labelOnly="1" outline="0" fieldPosition="0">
        <references count="2">
          <reference field="0" count="1" selected="0">
            <x v="19"/>
          </reference>
          <reference field="1" count="1">
            <x v="21"/>
          </reference>
        </references>
      </pivotArea>
    </format>
    <format dxfId="162">
      <pivotArea dataOnly="0" labelOnly="1" outline="0" fieldPosition="0">
        <references count="2">
          <reference field="0" count="1" selected="0">
            <x v="20"/>
          </reference>
          <reference field="1" count="1">
            <x v="22"/>
          </reference>
        </references>
      </pivotArea>
    </format>
    <format dxfId="161">
      <pivotArea dataOnly="0" labelOnly="1" outline="0" fieldPosition="0">
        <references count="2">
          <reference field="0" count="1" selected="0">
            <x v="21"/>
          </reference>
          <reference field="1" count="1">
            <x v="23"/>
          </reference>
        </references>
      </pivotArea>
    </format>
    <format dxfId="160">
      <pivotArea dataOnly="0" labelOnly="1" outline="0" fieldPosition="0">
        <references count="2">
          <reference field="0" count="1" selected="0">
            <x v="22"/>
          </reference>
          <reference field="1" count="1">
            <x v="24"/>
          </reference>
        </references>
      </pivotArea>
    </format>
    <format dxfId="159">
      <pivotArea dataOnly="0" labelOnly="1" outline="0" fieldPosition="0">
        <references count="2">
          <reference field="0" count="1" selected="0">
            <x v="23"/>
          </reference>
          <reference field="1" count="1">
            <x v="25"/>
          </reference>
        </references>
      </pivotArea>
    </format>
    <format dxfId="158">
      <pivotArea dataOnly="0" labelOnly="1" outline="0" fieldPosition="0">
        <references count="2">
          <reference field="0" count="1" selected="0">
            <x v="24"/>
          </reference>
          <reference field="1" count="1">
            <x v="26"/>
          </reference>
        </references>
      </pivotArea>
    </format>
    <format dxfId="157">
      <pivotArea dataOnly="0" labelOnly="1" outline="0" fieldPosition="0">
        <references count="2">
          <reference field="0" count="1" selected="0">
            <x v="25"/>
          </reference>
          <reference field="1" count="1">
            <x v="27"/>
          </reference>
        </references>
      </pivotArea>
    </format>
    <format dxfId="156">
      <pivotArea dataOnly="0" labelOnly="1" outline="0" fieldPosition="0">
        <references count="2">
          <reference field="0" count="1" selected="0">
            <x v="26"/>
          </reference>
          <reference field="1" count="1">
            <x v="28"/>
          </reference>
        </references>
      </pivotArea>
    </format>
    <format dxfId="155">
      <pivotArea dataOnly="0" labelOnly="1" outline="0" fieldPosition="0">
        <references count="2">
          <reference field="0" count="1" selected="0">
            <x v="27"/>
          </reference>
          <reference field="1" count="1">
            <x v="29"/>
          </reference>
        </references>
      </pivotArea>
    </format>
    <format dxfId="154">
      <pivotArea field="4" dataOnly="0" labelOnly="1" outline="0">
        <references count="1">
          <reference field="4294967294" count="1" selected="0">
            <x v="1"/>
          </reference>
        </references>
      </pivotArea>
    </format>
    <format dxfId="153">
      <pivotArea dataOnly="0" labelOnly="1" outline="0" fieldPosition="0">
        <references count="1">
          <reference field="5" count="0"/>
        </references>
      </pivotArea>
    </format>
    <format dxfId="152">
      <pivotArea field="5" dataOnly="0" labelOnly="1" grandCol="1" outline="0" axis="axisCol" fieldPosition="0">
        <references count="1">
          <reference field="4294967294" count="1" selected="0">
            <x v="1"/>
          </reference>
        </references>
      </pivotArea>
    </format>
    <format dxfId="151">
      <pivotArea dataOnly="0" labelOnly="1" outline="0" fieldPosition="0">
        <references count="1">
          <reference field="5" count="0"/>
        </references>
      </pivotArea>
    </format>
    <format dxfId="150">
      <pivotArea field="5" dataOnly="0" labelOnly="1" grandCol="1" outline="0" axis="axisCol" fieldPosition="0">
        <references count="1">
          <reference field="4294967294" count="1" selected="0">
            <x v="1"/>
          </reference>
        </references>
      </pivotArea>
    </format>
    <format dxfId="149">
      <pivotArea dataOnly="0" labelOnly="1" outline="0" fieldPosition="0">
        <references count="1">
          <reference field="5" count="0"/>
        </references>
      </pivotArea>
    </format>
    <format dxfId="148">
      <pivotArea field="5" dataOnly="0" labelOnly="1" grandCol="1" outline="0" axis="axisCol" fieldPosition="0">
        <references count="1">
          <reference field="4294967294" count="1" selected="0">
            <x v="1"/>
          </reference>
        </references>
      </pivotArea>
    </format>
    <format dxfId="147">
      <pivotArea dataOnly="0" labelOnly="1" outline="0" fieldPosition="0">
        <references count="2">
          <reference field="4294967294" count="2">
            <x v="0"/>
            <x v="1"/>
          </reference>
          <reference field="5" count="1" selected="0">
            <x v="0"/>
          </reference>
        </references>
      </pivotArea>
    </format>
    <format dxfId="146">
      <pivotArea dataOnly="0" labelOnly="1" outline="0" fieldPosition="0">
        <references count="2">
          <reference field="4294967294" count="2">
            <x v="0"/>
            <x v="1"/>
          </reference>
          <reference field="5" count="1" selected="0">
            <x v="1"/>
          </reference>
        </references>
      </pivotArea>
    </format>
    <format dxfId="145">
      <pivotArea dataOnly="0" labelOnly="1" outline="0" fieldPosition="0">
        <references count="2">
          <reference field="4294967294" count="1">
            <x v="0"/>
          </reference>
          <reference field="5" count="1" selected="0">
            <x v="2"/>
          </reference>
        </references>
      </pivotArea>
    </format>
  </formats>
  <pivotHierarchies count="195">
    <pivotHierarchy dragToData="1"/>
    <pivotHierarchy dragToData="1"/>
    <pivotHierarchy dragToData="1"/>
    <pivotHierarchy dragToData="1"/>
    <pivotHierarchy dragToData="1"/>
    <pivotHierarchy dragToData="1"/>
    <pivotHierarchy dragToData="1"/>
    <pivotHierarchy/>
    <pivotHierarchy dragToData="1"/>
    <pivotHierarchy dragToData="1"/>
    <pivotHierarchy dragToData="1"/>
    <pivotHierarchy dragToData="1"/>
    <pivotHierarchy dragToData="1"/>
    <pivotHierarchy dragToData="1"/>
    <pivotHierarchy dragToData="1"/>
    <pivotHierarchy dragToData="1"/>
    <pivotHierarchy dragToData="1" caption="Број на проект"/>
    <pivotHierarchy dragToData="1" caption="Проект"/>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caption="Период"/>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2">
    <rowHierarchyUsage hierarchyUsage="16"/>
    <rowHierarchyUsage hierarchyUsage="17"/>
  </rowHierarchiesUsage>
  <colHierarchiesUsage count="2">
    <colHierarchyUsage hierarchyUsage="28"/>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Calendar]"/>
        <x15:activeTabTopLevelEntity name="[CAPEX]"/>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15.xml><?xml version="1.0" encoding="utf-8"?>
<pivotTableDefinition xmlns="http://schemas.openxmlformats.org/spreadsheetml/2006/main" xmlns:mc="http://schemas.openxmlformats.org/markup-compatibility/2006" xmlns:xr="http://schemas.microsoft.com/office/spreadsheetml/2014/revision" mc:Ignorable="xr" xr:uid="{00000000-0007-0000-1000-000000000000}" name="PivotTable2" cacheId="12" applyNumberFormats="0" applyBorderFormats="0" applyFontFormats="0" applyPatternFormats="0" applyAlignmentFormats="0" applyWidthHeightFormats="1" dataCaption="Values" tag="4c7c7699-cd80-4548-b23f-4baa068b0a38" updatedVersion="6" minRefreshableVersion="3" showDataTips="0" subtotalHiddenItems="1" colGrandTotals="0" itemPrintTitles="1" createdVersion="5" indent="0" outline="1" outlineData="1">
  <location ref="A14:K98" firstHeaderRow="1" firstDataRow="3" firstDataCol="1" rowPageCount="1" colPageCount="1"/>
  <pivotFields count="11">
    <pivotField allDrilled="1" showAll="0" dataSourceSort="1"/>
    <pivotField showAll="0" dataSourceSort="1"/>
    <pivotField showAll="0" dataSourceSort="1"/>
    <pivotField dataField="1" showAll="0"/>
    <pivotField axis="axisCol" allDrilled="1" showAll="0" dataSourceSort="1" defaultAttributeDrillState="1">
      <items count="4">
        <item s="1" x="0"/>
        <item s="1" x="1"/>
        <item s="1" x="2"/>
        <item t="default"/>
      </items>
    </pivotField>
    <pivotField axis="axisPage" allDrilled="1" showAll="0" dataSourceSort="1" defaultAttributeDrillState="1">
      <items count="1">
        <item t="default"/>
      </items>
    </pivotField>
    <pivotField axis="axisRow" allDrilled="1" showAll="0" dataSourceSort="1">
      <items count="45">
        <item x="0" e="0"/>
        <item x="1" e="0"/>
        <item x="2" e="0"/>
        <item x="3" e="0"/>
        <item x="4" e="0"/>
        <item x="5" e="0"/>
        <item x="6" e="0"/>
        <item x="7" e="0"/>
        <item x="8" e="0"/>
        <item x="9" e="0"/>
        <item x="10" e="0"/>
        <item x="11" e="0"/>
        <item x="12" e="0"/>
        <item x="13" e="0"/>
        <item x="14" e="0"/>
        <item x="15" e="0"/>
        <item x="16" e="0"/>
        <item x="17" e="0"/>
        <item x="18" e="0"/>
        <item x="19" e="0"/>
        <item x="20" e="0"/>
        <item x="21" e="0"/>
        <item x="22"/>
        <item x="23" e="0"/>
        <item x="24" e="0"/>
        <item x="25" e="0"/>
        <item x="26" e="0"/>
        <item x="27" e="0"/>
        <item x="28" e="0"/>
        <item x="29" e="0"/>
        <item x="30"/>
        <item x="31" e="0"/>
        <item x="32" e="0"/>
        <item x="33" e="0"/>
        <item x="34"/>
        <item x="35" e="0"/>
        <item x="36" e="0"/>
        <item x="37" e="0"/>
        <item x="38" e="0"/>
        <item x="39" e="0"/>
        <item x="40" e="0"/>
        <item x="41" e="0"/>
        <item x="42" e="0"/>
        <item x="43" e="0"/>
        <item t="default"/>
      </items>
    </pivotField>
    <pivotField axis="axisCol" allDrilled="1" showAll="0" defaultAttributeDrillState="1">
      <items count="4">
        <item x="0"/>
        <item x="2"/>
        <item x="1"/>
        <item t="default"/>
      </items>
    </pivotField>
    <pivotField axis="axisRow" allDrilled="1" showAll="0" dataSourceSort="1" defaultAttributeDrillState="1">
      <items count="5">
        <item x="0"/>
        <item x="1"/>
        <item x="2"/>
        <item x="3"/>
        <item t="default"/>
      </items>
    </pivotField>
    <pivotField axis="axisRow" allDrilled="1" showAll="0" dataSourceSort="1" defaultAttributeDrillState="1">
      <items count="38">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t="default"/>
      </items>
    </pivotField>
    <pivotField allDrilled="1" showAll="0" dataSourceSort="1" defaultAttributeDrillState="1"/>
  </pivotFields>
  <rowFields count="3">
    <field x="8"/>
    <field x="6"/>
    <field x="9"/>
  </rowFields>
  <rowItems count="82">
    <i>
      <x/>
    </i>
    <i r="1">
      <x/>
    </i>
    <i r="1">
      <x v="1"/>
    </i>
    <i r="1">
      <x v="2"/>
    </i>
    <i r="1">
      <x v="3"/>
    </i>
    <i r="1">
      <x v="4"/>
    </i>
    <i r="1">
      <x v="5"/>
    </i>
    <i r="1">
      <x v="6"/>
    </i>
    <i r="1">
      <x v="7"/>
    </i>
    <i r="1">
      <x v="8"/>
    </i>
    <i r="1">
      <x v="9"/>
    </i>
    <i r="1">
      <x v="10"/>
    </i>
    <i r="1">
      <x v="11"/>
    </i>
    <i r="1">
      <x v="12"/>
    </i>
    <i>
      <x v="1"/>
    </i>
    <i r="1">
      <x v="13"/>
    </i>
    <i r="1">
      <x v="14"/>
    </i>
    <i r="1">
      <x v="15"/>
    </i>
    <i r="1">
      <x v="16"/>
    </i>
    <i r="1">
      <x v="17"/>
    </i>
    <i r="1">
      <x v="18"/>
    </i>
    <i r="1">
      <x v="19"/>
    </i>
    <i r="1">
      <x v="20"/>
    </i>
    <i>
      <x v="2"/>
    </i>
    <i r="1">
      <x v="21"/>
    </i>
    <i r="1">
      <x v="22"/>
    </i>
    <i r="2">
      <x/>
    </i>
    <i r="2">
      <x v="1"/>
    </i>
    <i r="2">
      <x v="2"/>
    </i>
    <i r="2">
      <x v="3"/>
    </i>
    <i r="2">
      <x v="4"/>
    </i>
    <i r="2">
      <x v="5"/>
    </i>
    <i r="2">
      <x v="6"/>
    </i>
    <i r="2">
      <x v="7"/>
    </i>
    <i r="2">
      <x v="8"/>
    </i>
    <i r="2">
      <x v="9"/>
    </i>
    <i r="2">
      <x v="10"/>
    </i>
    <i r="2">
      <x v="11"/>
    </i>
    <i r="2">
      <x v="12"/>
    </i>
    <i r="2">
      <x v="13"/>
    </i>
    <i r="1">
      <x v="23"/>
    </i>
    <i r="1">
      <x v="24"/>
    </i>
    <i r="1">
      <x v="25"/>
    </i>
    <i r="1">
      <x v="26"/>
    </i>
    <i r="1">
      <x v="27"/>
    </i>
    <i r="1">
      <x v="28"/>
    </i>
    <i r="1">
      <x v="29"/>
    </i>
    <i r="1">
      <x v="30"/>
    </i>
    <i r="2">
      <x v="14"/>
    </i>
    <i r="2">
      <x v="15"/>
    </i>
    <i r="2">
      <x v="16"/>
    </i>
    <i r="2">
      <x v="17"/>
    </i>
    <i r="2">
      <x v="18"/>
    </i>
    <i r="2">
      <x v="19"/>
    </i>
    <i r="2">
      <x v="20"/>
    </i>
    <i r="2">
      <x v="21"/>
    </i>
    <i r="2">
      <x v="22"/>
    </i>
    <i r="2">
      <x v="23"/>
    </i>
    <i r="2">
      <x v="24"/>
    </i>
    <i r="2">
      <x v="25"/>
    </i>
    <i r="1">
      <x v="31"/>
    </i>
    <i r="1">
      <x v="32"/>
    </i>
    <i r="1">
      <x v="33"/>
    </i>
    <i r="1">
      <x v="34"/>
    </i>
    <i r="2">
      <x v="26"/>
    </i>
    <i r="2">
      <x v="27"/>
    </i>
    <i r="2">
      <x v="28"/>
    </i>
    <i r="2">
      <x v="29"/>
    </i>
    <i r="2">
      <x v="30"/>
    </i>
    <i r="2">
      <x v="31"/>
    </i>
    <i r="2">
      <x v="32"/>
    </i>
    <i r="1">
      <x v="35"/>
    </i>
    <i r="1">
      <x v="36"/>
    </i>
    <i r="1">
      <x v="37"/>
    </i>
    <i r="1">
      <x v="38"/>
    </i>
    <i>
      <x v="3"/>
    </i>
    <i r="1">
      <x v="39"/>
    </i>
    <i r="1">
      <x v="40"/>
    </i>
    <i r="1">
      <x v="41"/>
    </i>
    <i r="1">
      <x v="42"/>
    </i>
    <i r="1">
      <x v="43"/>
    </i>
    <i t="grand">
      <x/>
    </i>
  </rowItems>
  <colFields count="2">
    <field x="7"/>
    <field x="4"/>
  </colFields>
  <colItems count="10">
    <i>
      <x/>
      <x/>
    </i>
    <i r="1">
      <x v="1"/>
    </i>
    <i r="1">
      <x v="2"/>
    </i>
    <i t="default">
      <x/>
    </i>
    <i>
      <x v="1"/>
      <x v="1"/>
    </i>
    <i r="1">
      <x v="2"/>
    </i>
    <i t="default">
      <x v="1"/>
    </i>
    <i>
      <x v="2"/>
      <x v="1"/>
    </i>
    <i r="1">
      <x v="2"/>
    </i>
    <i t="default">
      <x v="2"/>
    </i>
  </colItems>
  <pageFields count="1">
    <pageField fld="5" hier="44" name="[fActualAndBudget].[ObrazecIme].&amp;[Finansiski plan_Bilans na uspeh]" cap="Finansiski plan_Bilans na uspeh"/>
  </pageFields>
  <dataFields count="1">
    <dataField name="Sum of Износ" fld="3" baseField="0" baseItem="0" numFmtId="3"/>
  </dataFields>
  <formats count="5">
    <format dxfId="144">
      <pivotArea collapsedLevelsAreSubtotals="1" fieldPosition="0">
        <references count="4">
          <reference field="6" count="1" selected="0">
            <x v="30"/>
          </reference>
          <reference field="7" count="2" selected="0" defaultSubtotal="1">
            <x v="0"/>
            <x v="1"/>
          </reference>
          <reference field="8" count="1" selected="0">
            <x v="2"/>
          </reference>
          <reference field="9" count="1">
            <x v="33"/>
          </reference>
        </references>
      </pivotArea>
    </format>
    <format dxfId="143">
      <pivotArea collapsedLevelsAreSubtotals="1" fieldPosition="0">
        <references count="5">
          <reference field="4" count="2" selected="0">
            <x v="1"/>
            <x v="2"/>
          </reference>
          <reference field="6" count="1" selected="0">
            <x v="30"/>
          </reference>
          <reference field="7" count="1" selected="0">
            <x v="2"/>
          </reference>
          <reference field="8" count="1" selected="0">
            <x v="2"/>
          </reference>
          <reference field="9" count="1">
            <x v="33"/>
          </reference>
        </references>
      </pivotArea>
    </format>
    <format dxfId="142">
      <pivotArea collapsedLevelsAreSubtotals="1" fieldPosition="0">
        <references count="4">
          <reference field="6" count="1" selected="0">
            <x v="34"/>
          </reference>
          <reference field="7" count="2" selected="0" defaultSubtotal="1">
            <x v="0"/>
            <x v="1"/>
          </reference>
          <reference field="8" count="1" selected="0">
            <x v="2"/>
          </reference>
          <reference field="9" count="3">
            <x v="34"/>
            <x v="35"/>
            <x v="36"/>
          </reference>
        </references>
      </pivotArea>
    </format>
    <format dxfId="141">
      <pivotArea collapsedLevelsAreSubtotals="1" fieldPosition="0">
        <references count="5">
          <reference field="4" count="2" selected="0">
            <x v="1"/>
            <x v="2"/>
          </reference>
          <reference field="6" count="1" selected="0">
            <x v="34"/>
          </reference>
          <reference field="7" count="1" selected="0">
            <x v="2"/>
          </reference>
          <reference field="8" count="1" selected="0">
            <x v="2"/>
          </reference>
          <reference field="9" count="3">
            <x v="34"/>
            <x v="35"/>
            <x v="36"/>
          </reference>
        </references>
      </pivotArea>
    </format>
    <format dxfId="140">
      <pivotArea dataOnly="0" labelOnly="1" fieldPosition="0">
        <references count="3">
          <reference field="6" count="1" selected="0">
            <x v="34"/>
          </reference>
          <reference field="8" count="1" selected="0">
            <x v="2"/>
          </reference>
          <reference field="9" count="3">
            <x v="34"/>
            <x v="35"/>
            <x v="36"/>
          </reference>
        </references>
      </pivotArea>
    </format>
  </formats>
  <pivotHierarchies count="195">
    <pivotHierarchy dragToData="1"/>
    <pivotHierarchy dragToData="1"/>
    <pivotHierarchy dragToData="1"/>
    <pivotHierarchy dragToData="1"/>
    <pivotHierarchy dragToData="1"/>
    <pivotHierarchy dragToData="1"/>
    <pivotHierarchy dragToData="1"/>
    <pivotHierarchy multipleItemSelectionAllowed="1">
      <members count="3" level="1">
        <member name="[Calendar].[Date Hierarchy].[Year].&amp;[2018]"/>
        <member name="[Calendar].[Date Hierarchy].[Year].&amp;[2019]"/>
        <member name="[Calendar].[Date Hierarchy].[Year].&amp;[2020]"/>
      </members>
    </pivotHierarchy>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multipleItemSelectionAllowed="1" dragToData="1"/>
    <pivotHierarchy multipleItemSelectionAllowed="1" dragToData="1"/>
    <pivotHierarchy dragToData="1"/>
    <pivotHierarchy dragToData="1"/>
    <pivotHierarchy dragToData="1"/>
    <pivotHierarchy multipleItemSelectionAllowed="1" dragToData="1">
      <members count="1" level="1">
        <member name="[fActualAndBudget].[ObrazecIme].&amp;[Finansiski plan_Bilans na uspeh]"/>
      </members>
    </pivotHierarchy>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3">
    <rowHierarchyUsage hierarchyUsage="39"/>
    <rowHierarchyUsage hierarchyUsage="47"/>
    <rowHierarchyUsage hierarchyUsage="48"/>
  </rowHierarchiesUsage>
  <colHierarchiesUsage count="2">
    <colHierarchyUsage hierarchyUsage="35"/>
    <colHierarchyUsage hierarchyUsage="8"/>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fActualAndBudget]"/>
        <x15:activeTabTopLevelEntity name="[Calendar]"/>
      </x15:pivotTableUISettings>
    </ext>
    <ext xmlns:xpdl="http://schemas.microsoft.com/office/spreadsheetml/2016/pivotdefaultlayout" uri="{747A6164-185A-40DC-8AA5-F01512510D54}">
      <xpdl:pivotTableDefinition16/>
    </ext>
  </extLst>
</pivotTableDefinition>
</file>

<file path=xl/pivotTables/pivotTable16.xml><?xml version="1.0" encoding="utf-8"?>
<pivotTableDefinition xmlns="http://schemas.openxmlformats.org/spreadsheetml/2006/main" xmlns:mc="http://schemas.openxmlformats.org/markup-compatibility/2006" xmlns:xr="http://schemas.microsoft.com/office/spreadsheetml/2014/revision" mc:Ignorable="xr" xr:uid="{00000000-0007-0000-1100-000000000000}" name="PivotTable2" cacheId="11" applyNumberFormats="0" applyBorderFormats="0" applyFontFormats="0" applyPatternFormats="0" applyAlignmentFormats="0" applyWidthHeightFormats="1" dataCaption="Values" tag="4c7c7699-cd80-4548-b23f-4baa068b0a38" updatedVersion="6" minRefreshableVersion="3" showDataTips="0" subtotalHiddenItems="1" colGrandTotals="0" itemPrintTitles="1" createdVersion="5" indent="0" outline="1" outlineData="1">
  <location ref="A14:K79" firstHeaderRow="1" firstDataRow="3" firstDataCol="1" rowPageCount="1" colPageCount="1"/>
  <pivotFields count="11">
    <pivotField allDrilled="1" showAll="0" dataSourceSort="1"/>
    <pivotField showAll="0" dataSourceSort="1"/>
    <pivotField showAll="0" dataSourceSort="1"/>
    <pivotField dataField="1" showAll="0"/>
    <pivotField axis="axisCol" allDrilled="1" showAll="0" dataSourceSort="1" defaultAttributeDrillState="1">
      <items count="4">
        <item s="1" x="0"/>
        <item s="1" x="1"/>
        <item s="1" x="2"/>
        <item t="default"/>
      </items>
    </pivotField>
    <pivotField axis="axisPage" allDrilled="1" showAll="0" dataSourceSort="1" defaultAttributeDrillState="1">
      <items count="1">
        <item t="default"/>
      </items>
    </pivotField>
    <pivotField axis="axisRow" allDrilled="1" showAll="0" dataSourceSort="1">
      <items count="45">
        <item x="0" e="0"/>
        <item x="1" e="0"/>
        <item x="2" e="0"/>
        <item x="3" e="0"/>
        <item x="4" e="0"/>
        <item x="5" e="0"/>
        <item x="6" e="0"/>
        <item x="7" e="0"/>
        <item x="8" e="0"/>
        <item x="9" e="0"/>
        <item x="10" e="0"/>
        <item x="11" e="0"/>
        <item x="12" e="0"/>
        <item x="13" e="0"/>
        <item x="14" e="0"/>
        <item x="15" e="0"/>
        <item x="16" e="0"/>
        <item x="17" e="0"/>
        <item x="18" e="0"/>
        <item x="19" e="0"/>
        <item x="20" e="0"/>
        <item x="21" e="0"/>
        <item x="22"/>
        <item x="23" e="0"/>
        <item x="24" e="0"/>
        <item x="25" e="0"/>
        <item x="26" e="0"/>
        <item x="27" e="0"/>
        <item x="28" e="0"/>
        <item x="29" e="0"/>
        <item x="30" e="0"/>
        <item x="31" e="0"/>
        <item x="32" e="0"/>
        <item x="33" e="0"/>
        <item x="34" e="0"/>
        <item x="35" e="0"/>
        <item x="36" e="0"/>
        <item x="37" e="0"/>
        <item x="38" e="0"/>
        <item x="39" e="0"/>
        <item x="40" e="0"/>
        <item x="41" e="0"/>
        <item x="42" e="0"/>
        <item x="43" e="0"/>
        <item t="default"/>
      </items>
    </pivotField>
    <pivotField axis="axisCol" allDrilled="1" showAll="0" defaultAttributeDrillState="1">
      <items count="4">
        <item x="2"/>
        <item x="0"/>
        <item x="1"/>
        <item t="default"/>
      </items>
    </pivotField>
    <pivotField axis="axisRow" allDrilled="1" showAll="0" dataSourceSort="1" defaultAttributeDrillState="1">
      <items count="5">
        <item x="0"/>
        <item x="1"/>
        <item x="2"/>
        <item x="3"/>
        <item t="default"/>
      </items>
    </pivotField>
    <pivotField axis="axisRow" allDrilled="1" showAll="0" dataSourceSort="1" defaultAttributeDrillState="1">
      <items count="94">
        <item x="0"/>
        <item x="1"/>
        <item x="2"/>
        <item x="3"/>
        <item x="4"/>
        <item x="5"/>
        <item x="6"/>
        <item x="7"/>
        <item x="8"/>
        <item x="9"/>
        <item x="10"/>
        <item x="11"/>
        <item x="12"/>
        <item x="13"/>
        <item n="40103 - ПОТРОШЕН КАНЦЕЛАРИСКИ МАТЕРИИЈАЛ" x="14"/>
        <item n="40105 - ПОТРОШ.МАТЕР.ЗА ХИГИЕНА" x="15"/>
        <item n="40107 - ПОТРОШ.POTR.SRED.ZA ZA[TITA PRI RAB.-RAB.(OBLEKA I OBUVKI" x="16"/>
        <item n="43030 - АМОРТИЗАЦИЈА НА СОФТВЕР 0030" x="17"/>
        <item n="43031 - АМОРТИЗАЦИЈА НА СОФТВЕР 0031" x="18"/>
        <item n="43132 - АМОРТИЗ. НА ТРАНС. СРЕДСТВА" x="19"/>
        <item n="43133 - АМОРИТИЗАЦИЈА НА ТЕЛЕКОМУИКАЦИКСИ УРЕДИ" x="20"/>
        <item n="43136 - АМОРТИЗАЦИЈА НА КАНЦЕЛАРИСКИ МЕБЕЛ 01363" x="21"/>
        <item n="43139 - АМОРИТЗАЦИЈА НА МЕД. УРЕДИ ДЕФИБРИЛАТОР 01391" x="22"/>
        <item n="43155 - АМОРТИЗАЦИЈА НА ВЛОЖУВАЊЕ ВО ТУЃИ НЕДВИЖНОСТИ" x="23"/>
        <item n="4401 - ПАТНИ ТРОШОЦИ ВО ЗЕМЈАТА" x="24"/>
        <item n="44011 - ПАТНИ ТРОШОЦИ ЗА СЛУЖБЕНИ ПАТУВАЊА ВО СТРАНСТВО" x="25"/>
        <item n="4403 - НАДОМЕСТ ЗА НОЌЕВАЊЕ ВО ЗЕМЈА" x="26"/>
        <item n="44032 - НАДОМЕСТ ЗА НОЌЕВАЊЕ ВО СТРАНСТВО" x="27"/>
        <item n="4170 - ТРОШОЦИ ЗА РЕКЛАМИ, ПРОПАГАНДА И ПРОМОЦИЈА" x="28"/>
        <item n="44500 - ПРЕМИЈА ЗА ОСИГУРУВАЊЕ НА ГРАДЕЖНИ ОБЈЕКТИ" x="29"/>
        <item n="44501 - ПРЕМИЈА ЗА ОСИГУРУВАЊЕ НА ТРАНСПОРТНИ СРЕДСТВАPREMIJA ZA OSIGUR.NA TRANSPORTNI SRED." x="30"/>
        <item n="44502 - ПРЕМИЈА ЗА ОСИГУРУВАЊЕ НА КОМПЈУТЕРСКА ОПРЕМА " x="31"/>
        <item n="4459 - ДРУГИ ПРЕМИИ ЗА ОСИГУРУВАЊЕ" x="32"/>
        <item n="4476 - ЧЛАНАРИНА" x="33"/>
        <item n="4460 - БАНКАРСКИ УСЛУГИ И ТРОШОЦИ ЗА ПЛАТЕН ПРОМЕТ" x="34"/>
        <item n="41330 - УСЛУГИ ЗА ТЕКОВНО ОДРЖУВАЊЕ НА НЕМАТЕРИЈАЛНИ ВЛОЖУВАЊА (ЛИЦЕНЦИ)" x="35"/>
        <item n="41733 - ОСТАНАТИ НЕСПОМАНТИ ТРОШОЦИ" x="36"/>
        <item n="4440 - ТРОШОЦИ ЗА РЕПРЕЗЕНТАЦИЈА" x="37"/>
        <item n="4494 - ТРОШОЦИ ЗА ПРЕТПЛАТА НА ВЕСНИЦИ И СПИСАНИЈА" x="38"/>
        <item n="4497 - СУДСКИ ТРОШОЦИ" x="39"/>
        <item n="4499 - ДРУГИ НЕСПОМНАТИ НЕМАТЕРИЈАЛНИ ТРОШОЦИ" x="40"/>
        <item n="44990 -ДАДЕНА ПАРИЧНА ПОМОШ НА ФИЗИЧКИ ЛИЦА" x="41"/>
        <item n="4030 - ПОТРОШЕНА ЕЛЕКТ. ЕНЕРГИЈА" x="42"/>
        <item n="40304 - ПОТРОШЕНА НАФТА" x="43"/>
        <item n="403102 - ПОТРОШЕНО ГОРИВО SK 2082 AI" x="44"/>
        <item n="403103 - ПОТРОШЕНО ГОРИВО SK 2083 AI" x="45"/>
        <item n="403104 - ПОТРОШЕНО ГОРИВО SK 2084 AI" x="46"/>
        <item n="403105 - ПОТРОШЕНО ГОРИВО SK 2085 AI" x="47"/>
        <item n="4031601 - ПОТРОШЕНО ГОРИВО SK 0601 АС" x="48"/>
        <item n="4031602 - ПОТРОШЕНО ГОРИВО SK 0602 АС" x="49"/>
        <item n="4031603 - ПОТРОШЕНО ГОРИВО SK 0603 АС" x="50"/>
        <item n="4031604 - ПОТРОШЕНО ГОРИВО SK 0604 АС" x="51"/>
        <item n="4031605 - ПОТРОШЕНО ГОРИВО SK 0605 АС" x="52"/>
        <item n="4031606 - ПОТРОШЕНО ГОРИВО SK 0606 АС" x="53"/>
        <item n="4031607 - ПОТРОШЕНО ГОРИВО SK 0607 АС" x="54"/>
        <item n="4031608 - ПОТРОШЕНО ГОРИВО SK 0608 АС" x="55"/>
        <item n="4031609 - ПОТРОШЕНО ГОРИВО SK 0609 АС" x="56"/>
        <item n="4031610 - ПОТРОШЕНО ГОРИВО SK 0610 АС" x="57"/>
        <item n="4031611 - ПОТРОШЕНО ГОРИВО SK 0611 АС" x="58"/>
        <item n="4051 -ПОТРОШЕНИ РЕЗЕРВНИ ДЕЛОВИ ЗА ТЕКОВНО ОДРЖУВАЊЕ" x="59"/>
        <item n="4080 - ОТПИС НА СИТЕН ИНВЕНТР ВО УПОТРЕБА" x="60"/>
        <item n="4081 - ОТПИС НА АВТОГУМИ ВО УПОТРЕБА" x="61"/>
        <item n="4104 - ТАКСИ ПРЕВОЗ" x="62"/>
        <item n="4106 - ДРУГИ ТРАНСПОРТНИ УСЛУГИ" x="63"/>
        <item n="41101 - ТРОШОЦИ ЗА ТЕЛЕКОМУНИКАЦИИ" x="64"/>
        <item n="41102 - ТРОШОЦИ ЗА ИНТЕРНЕТ" x="65"/>
        <item n="41103 - ТРОШОЦИ ЗА МОБИЛНА ТЕЛЕФОНИЈА" x="66"/>
        <item n="4111 - ПОШТЕНСКИ УСЛУГИ" x="67"/>
        <item n="4113 - ОСТАНАТИ НАДВОРЕШНИ УСЛУГИ" x="68"/>
        <item n="41500 - ТРОШШОЦИ ЗА ВОДА" x="69"/>
        <item n="41501 - ТРОШОЦИ ЗА СМЕТ" x="70"/>
        <item n="41502 - ТРОШОЦИ ЗА ОДРЖУВАЊЕ НА ЗЕЛЕНИЛО" x="71"/>
        <item n="41503 - ТРОШОЦИ ЗА ГАРАЖИРАЊЕ И ПАРКИНГ" x="72"/>
        <item n="41700 - ОСТАНАТИ ТРОШОЦИ ЗА СНИМАЊЕ, ФОТО, ИКЕБАНИ" x="73"/>
        <item n="41701 - ОГЛАСИ ВО ПЕЧАТЕНИ МЕДИУМИ" x="74"/>
        <item n="4131 - УСЛУГИ ЗА ТЕКОВНО ОДРЖУВАЊЕ НА ГРАДЕЖНИ ОБЈЕКТИ" x="75"/>
        <item n="4132 - УСЛУГИ ЗА ТЕКОВНО ОДРЖУВАЊЕ НА ОПРЕМА" x="76"/>
        <item n="4133 - УСЛУГИ ЗА ТЕКОВНО ОДРЖУВАЊЕ НА ОПРЕМА ЗА АОП" x="77"/>
        <item n="4134 - УСЛУГИ ЗА ОДРЖУВАЊЕ НА ХИГИЕНА ВО ПРОСТОРИИ" x="78"/>
        <item n="4139 - ОСТАНАТИ УСЛУГИ ЗА ОДРЖУВАЊЕ" x="79"/>
        <item n="4143 - НАМЕМНИНИ ЗА НЕДВИЖНОСТИ - ЗАКУП ОД ПРАВНО ЛИЦЕ" x="80"/>
        <item n="41931 - ИНТЕЛЕКТУАЛНИ УСЛУГИ" x="81"/>
        <item n="44902 - ПРАВНИ, АДВОКАТСКИ И НОТАРСКИ УСЛУГИ" x="82"/>
        <item n="44903 - УСЛУГИ ЗА РЕВИЗИЈА И ПРОЦЕНКА" x="83"/>
        <item n="44904 - УСЛУГИ ЗА ПРЕПИСИ И ПРЕВОДИ" x="84"/>
        <item n="44907 - ДРУГИ ДОГОВОРНИ УСЛУГИ" x="85"/>
        <item n="44908 - ЗАЕД. ТРОШОЦИ СО НБР" x="86"/>
        <item n="4496 - КОПИРАЊЕ, ПЕЧАТЕЊЕ, ПОВРЗУВАЊЕ, ПЕЧАТЕЊЕ И ИЗДАВАЊЕ" x="87"/>
        <item n="44970 - ТРОШОЦИ ЗА РЕГИСТРАЦИЈА НА ВОЗИЛО" x="88"/>
        <item n="44972 - СЕРВИСИРАЊЕ И ПОПРАВКА НА ВОЗИЛО" x="89"/>
        <item n="44973 - ДР. ТРОШОЦИ НА ВОЗИЛО" x="90"/>
        <item n="44980 - ТРОШОЦИ ЗА ПАТАРИНА" x="91"/>
        <item n="4660 - РАСХОД ОД ПОРАНЕШНИ ГОДИНИ" x="92"/>
        <item t="default"/>
      </items>
    </pivotField>
    <pivotField allDrilled="1" showAll="0" dataSourceSort="1" defaultAttributeDrillState="1"/>
  </pivotFields>
  <rowFields count="3">
    <field x="8"/>
    <field x="6"/>
    <field x="9"/>
  </rowFields>
  <rowItems count="63">
    <i>
      <x/>
    </i>
    <i r="1">
      <x/>
    </i>
    <i r="1">
      <x v="1"/>
    </i>
    <i r="1">
      <x v="2"/>
    </i>
    <i r="1">
      <x v="3"/>
    </i>
    <i r="1">
      <x v="4"/>
    </i>
    <i r="1">
      <x v="5"/>
    </i>
    <i r="1">
      <x v="6"/>
    </i>
    <i r="1">
      <x v="7"/>
    </i>
    <i r="1">
      <x v="8"/>
    </i>
    <i r="1">
      <x v="9"/>
    </i>
    <i r="1">
      <x v="10"/>
    </i>
    <i r="1">
      <x v="11"/>
    </i>
    <i r="1">
      <x v="12"/>
    </i>
    <i>
      <x v="1"/>
    </i>
    <i r="1">
      <x v="13"/>
    </i>
    <i r="1">
      <x v="14"/>
    </i>
    <i r="1">
      <x v="15"/>
    </i>
    <i r="1">
      <x v="16"/>
    </i>
    <i r="1">
      <x v="17"/>
    </i>
    <i r="1">
      <x v="18"/>
    </i>
    <i r="1">
      <x v="19"/>
    </i>
    <i r="1">
      <x v="20"/>
    </i>
    <i>
      <x v="2"/>
    </i>
    <i r="1">
      <x v="21"/>
    </i>
    <i r="1">
      <x v="22"/>
    </i>
    <i r="2">
      <x/>
    </i>
    <i r="2">
      <x v="1"/>
    </i>
    <i r="2">
      <x v="2"/>
    </i>
    <i r="2">
      <x v="3"/>
    </i>
    <i r="2">
      <x v="4"/>
    </i>
    <i r="2">
      <x v="5"/>
    </i>
    <i r="2">
      <x v="6"/>
    </i>
    <i r="2">
      <x v="7"/>
    </i>
    <i r="2">
      <x v="8"/>
    </i>
    <i r="2">
      <x v="9"/>
    </i>
    <i r="2">
      <x v="10"/>
    </i>
    <i r="2">
      <x v="11"/>
    </i>
    <i r="2">
      <x v="12"/>
    </i>
    <i r="2">
      <x v="13"/>
    </i>
    <i r="1">
      <x v="23"/>
    </i>
    <i r="1">
      <x v="24"/>
    </i>
    <i r="1">
      <x v="25"/>
    </i>
    <i r="1">
      <x v="26"/>
    </i>
    <i r="1">
      <x v="27"/>
    </i>
    <i r="1">
      <x v="28"/>
    </i>
    <i r="1">
      <x v="29"/>
    </i>
    <i r="1">
      <x v="30"/>
    </i>
    <i r="1">
      <x v="31"/>
    </i>
    <i r="1">
      <x v="32"/>
    </i>
    <i r="1">
      <x v="33"/>
    </i>
    <i r="1">
      <x v="34"/>
    </i>
    <i r="1">
      <x v="35"/>
    </i>
    <i r="1">
      <x v="36"/>
    </i>
    <i r="1">
      <x v="37"/>
    </i>
    <i r="1">
      <x v="38"/>
    </i>
    <i>
      <x v="3"/>
    </i>
    <i r="1">
      <x v="39"/>
    </i>
    <i r="1">
      <x v="40"/>
    </i>
    <i r="1">
      <x v="41"/>
    </i>
    <i r="1">
      <x v="42"/>
    </i>
    <i r="1">
      <x v="43"/>
    </i>
    <i t="grand">
      <x/>
    </i>
  </rowItems>
  <colFields count="2">
    <field x="7"/>
    <field x="4"/>
  </colFields>
  <colItems count="10">
    <i>
      <x/>
      <x v="1"/>
    </i>
    <i r="1">
      <x v="2"/>
    </i>
    <i t="default">
      <x/>
    </i>
    <i>
      <x v="1"/>
      <x/>
    </i>
    <i r="1">
      <x v="1"/>
    </i>
    <i r="1">
      <x v="2"/>
    </i>
    <i t="default">
      <x v="1"/>
    </i>
    <i>
      <x v="2"/>
      <x v="1"/>
    </i>
    <i r="1">
      <x v="2"/>
    </i>
    <i t="default">
      <x v="2"/>
    </i>
  </colItems>
  <pageFields count="1">
    <pageField fld="5" hier="44" name="[fActualAndBudget].[ObrazecIme].&amp;[Finansiski plan_Bilans na uspeh]" cap="Finansiski plan_Bilans na uspeh"/>
  </pageFields>
  <dataFields count="1">
    <dataField name="Sum of Износ" fld="3" baseField="0" baseItem="0" numFmtId="3"/>
  </dataFields>
  <formats count="1">
    <format dxfId="139">
      <pivotArea dataOnly="0" labelOnly="1" fieldPosition="0">
        <references count="1">
          <reference field="9" count="0"/>
        </references>
      </pivotArea>
    </format>
  </formats>
  <pivotHierarchies count="195">
    <pivotHierarchy dragToData="1"/>
    <pivotHierarchy dragToData="1"/>
    <pivotHierarchy dragToData="1"/>
    <pivotHierarchy dragToData="1"/>
    <pivotHierarchy dragToData="1"/>
    <pivotHierarchy dragToData="1"/>
    <pivotHierarchy dragToData="1"/>
    <pivotHierarchy multipleItemSelectionAllowed="1">
      <members count="3" level="1">
        <member name="[Calendar].[Date Hierarchy].[Year].&amp;[2018]"/>
        <member name="[Calendar].[Date Hierarchy].[Year].&amp;[2019]"/>
        <member name="[Calendar].[Date Hierarchy].[Year].&amp;[2020]"/>
      </members>
    </pivotHierarchy>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multipleItemSelectionAllowed="1" dragToData="1"/>
    <pivotHierarchy multipleItemSelectionAllowed="1" dragToData="1"/>
    <pivotHierarchy dragToData="1"/>
    <pivotHierarchy dragToData="1"/>
    <pivotHierarchy dragToData="1"/>
    <pivotHierarchy multipleItemSelectionAllowed="1" dragToData="1">
      <members count="1" level="1">
        <member name="[fActualAndBudget].[ObrazecIme].&amp;[Finansiski plan_Bilans na uspeh]"/>
      </members>
    </pivotHierarchy>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3">
    <rowHierarchyUsage hierarchyUsage="39"/>
    <rowHierarchyUsage hierarchyUsage="47"/>
    <rowHierarchyUsage hierarchyUsage="48"/>
  </rowHierarchiesUsage>
  <colHierarchiesUsage count="2">
    <colHierarchyUsage hierarchyUsage="35"/>
    <colHierarchyUsage hierarchyUsage="8"/>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fActualAndBudget]"/>
        <x15:activeTabTopLevelEntity name="[Calendar]"/>
      </x15:pivotTableUISettings>
    </ext>
    <ext xmlns:xpdl="http://schemas.microsoft.com/office/spreadsheetml/2016/pivotdefaultlayout" uri="{747A6164-185A-40DC-8AA5-F01512510D54}">
      <xpdl:pivotTableDefinition16/>
    </ext>
  </extLst>
</pivotTableDefinition>
</file>

<file path=xl/pivotTables/pivotTable17.xml><?xml version="1.0" encoding="utf-8"?>
<pivotTableDefinition xmlns="http://schemas.openxmlformats.org/spreadsheetml/2006/main" xmlns:mc="http://schemas.openxmlformats.org/markup-compatibility/2006" xmlns:xr="http://schemas.microsoft.com/office/spreadsheetml/2014/revision" mc:Ignorable="xr" xr:uid="{00000000-0007-0000-1300-000000000000}" name="PivotTable4" cacheId="10" applyNumberFormats="0" applyBorderFormats="0" applyFontFormats="0" applyPatternFormats="0" applyAlignmentFormats="0" applyWidthHeightFormats="1" dataCaption="Values" tag="50ef6e3c-6195-4b7d-a539-1367d0d83ebb" updatedVersion="6" minRefreshableVersion="3" showDataTips="0" subtotalHiddenItems="1" colGrandTotals="0" itemPrintTitles="1" createdVersion="5" indent="0" outline="1" outlineData="1">
  <location ref="A13:I35" firstHeaderRow="1" firstDataRow="3" firstDataCol="1" rowPageCount="1" colPageCount="1"/>
  <pivotFields count="11">
    <pivotField dataField="1" showAll="0"/>
    <pivotField axis="axisCol" allDrilled="1" showAll="0" defaultSubtotal="0" defaultAttributeDrillState="1">
      <items count="3">
        <item s="1" x="0"/>
        <item s="1" x="1"/>
        <item s="1" x="2"/>
      </items>
    </pivotField>
    <pivotField axis="axisPage" allDrilled="1" showAll="0" dataSourceSort="1" defaultSubtotal="0" defaultAttributeDrillState="1"/>
    <pivotField axis="axisRow" allDrilled="1" showAll="0" dataSourceSort="1" defaultSubtotal="0">
      <items count="18">
        <item x="0" e="0"/>
        <item x="1" e="0"/>
        <item x="2" e="0"/>
        <item x="3" e="0"/>
        <item x="4" e="0"/>
        <item x="5" e="0"/>
        <item x="6" e="0"/>
        <item x="7" e="0"/>
        <item x="8" e="0"/>
        <item x="9" e="0"/>
        <item x="10" e="0"/>
        <item x="11" e="0"/>
        <item x="12" e="0"/>
        <item x="13" e="0"/>
        <item x="14" e="0"/>
        <item x="15" e="0"/>
        <item x="16" e="0"/>
        <item x="17" e="0"/>
      </items>
    </pivotField>
    <pivotField axis="axisCol" allDrilled="1" showAll="0" defaultSubtotal="0" defaultAttributeDrillState="1">
      <items count="3">
        <item x="2"/>
        <item x="1"/>
        <item x="0"/>
      </items>
    </pivotField>
    <pivotField axis="axisRow" allDrilled="1" showAll="0" dataSourceSort="1" defaultSubtotal="0" defaultAttributeDrillState="1">
      <items count="1">
        <item s="1" x="0"/>
      </items>
    </pivotField>
    <pivotField axis="axisRow" allDrilled="1" showAll="0" dataSourceSort="1" defaultSubtotal="0" defaultAttributeDrillState="1">
      <items count="48">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s>
    </pivotField>
    <pivotField allDrilled="1" showAll="0" dataSourceSort="1" defaultSubtotal="0"/>
    <pivotField showAll="0" dataSourceSort="1" defaultSubtotal="0"/>
    <pivotField showAll="0" dataSourceSort="1" defaultSubtotal="0"/>
    <pivotField allDrilled="1" showAll="0" dataSourceSort="1" defaultAttributeDrillState="1"/>
  </pivotFields>
  <rowFields count="3">
    <field x="5"/>
    <field x="3"/>
    <field x="6"/>
  </rowFields>
  <rowItems count="20">
    <i>
      <x/>
    </i>
    <i r="1">
      <x/>
    </i>
    <i r="1">
      <x v="1"/>
    </i>
    <i r="1">
      <x v="2"/>
    </i>
    <i r="1">
      <x v="3"/>
    </i>
    <i r="1">
      <x v="4"/>
    </i>
    <i r="1">
      <x v="5"/>
    </i>
    <i r="1">
      <x v="6"/>
    </i>
    <i r="1">
      <x v="7"/>
    </i>
    <i r="1">
      <x v="8"/>
    </i>
    <i r="1">
      <x v="9"/>
    </i>
    <i r="1">
      <x v="10"/>
    </i>
    <i r="1">
      <x v="11"/>
    </i>
    <i r="1">
      <x v="12"/>
    </i>
    <i r="1">
      <x v="13"/>
    </i>
    <i r="1">
      <x v="14"/>
    </i>
    <i r="1">
      <x v="15"/>
    </i>
    <i r="1">
      <x v="16"/>
    </i>
    <i r="1">
      <x v="17"/>
    </i>
    <i t="grand">
      <x/>
    </i>
  </rowItems>
  <colFields count="2">
    <field x="1"/>
    <field x="4"/>
  </colFields>
  <colItems count="8">
    <i>
      <x/>
      <x/>
    </i>
    <i r="1">
      <x v="1"/>
    </i>
    <i r="1">
      <x v="2"/>
    </i>
    <i>
      <x v="1"/>
      <x/>
    </i>
    <i r="1">
      <x v="1"/>
    </i>
    <i r="1">
      <x v="2"/>
    </i>
    <i>
      <x v="2"/>
      <x v="1"/>
    </i>
    <i r="1">
      <x v="2"/>
    </i>
  </colItems>
  <pageFields count="1">
    <pageField fld="2" hier="44" name="[fActualAndBudget].[ObrazecIme].&amp;[Finansiski plan_Bilans na uspeh]" cap="Finansiski plan_Bilans na uspeh"/>
  </pageFields>
  <dataFields count="1">
    <dataField name="Sum of Износ" fld="0" baseField="0" baseItem="0" numFmtId="3"/>
  </dataFields>
  <pivotHierarchies count="195">
    <pivotHierarchy dragToData="1"/>
    <pivotHierarchy dragToData="1"/>
    <pivotHierarchy dragToData="1"/>
    <pivotHierarchy dragToData="1"/>
    <pivotHierarchy dragToData="1"/>
    <pivotHierarchy dragToData="1"/>
    <pivotHierarchy dragToData="1"/>
    <pivotHierarchy multipleItemSelectionAllowed="1">
      <members count="1" level="1">
        <member name="[Calendar].[Date Hierarchy].[Year].&amp;[2020]"/>
      </members>
    </pivotHierarchy>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multipleItemSelectionAllowed="1" dragToData="1"/>
    <pivotHierarchy multipleItemSelectionAllowed="1" dragToData="1"/>
    <pivotHierarchy dragToData="1"/>
    <pivotHierarchy dragToData="1"/>
    <pivotHierarchy dragToData="1"/>
    <pivotHierarchy multipleItemSelectionAllowed="1" dragToData="1">
      <members count="1" level="1">
        <member name="[fActualAndBudget].[ObrazecIme].&amp;[Finansiski plan_Bilans na uspeh]"/>
      </members>
    </pivotHierarchy>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3">
    <rowHierarchyUsage hierarchyUsage="39"/>
    <rowHierarchyUsage hierarchyUsage="47"/>
    <rowHierarchyUsage hierarchyUsage="48"/>
  </rowHierarchiesUsage>
  <colHierarchiesUsage count="2">
    <colHierarchyUsage hierarchyUsage="8"/>
    <colHierarchyUsage hierarchyUsage="35"/>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fActualAndBudget]"/>
        <x15:activeTabTopLevelEntity name="[Calendar]"/>
      </x15:pivotTableUISettings>
    </ext>
    <ext xmlns:xpdl="http://schemas.microsoft.com/office/spreadsheetml/2016/pivotdefaultlayout" uri="{747A6164-185A-40DC-8AA5-F01512510D54}">
      <xpdl:pivotTableDefinition16/>
    </ext>
  </extLst>
</pivotTableDefinition>
</file>

<file path=xl/pivotTables/pivotTable18.xml><?xml version="1.0" encoding="utf-8"?>
<pivotTableDefinition xmlns="http://schemas.openxmlformats.org/spreadsheetml/2006/main" xmlns:mc="http://schemas.openxmlformats.org/markup-compatibility/2006" xmlns:xr="http://schemas.microsoft.com/office/spreadsheetml/2014/revision" mc:Ignorable="xr" xr:uid="{00000000-0007-0000-1400-000000000000}" name="PivotTable4" cacheId="9" applyNumberFormats="0" applyBorderFormats="0" applyFontFormats="0" applyPatternFormats="0" applyAlignmentFormats="0" applyWidthHeightFormats="1" dataCaption="Values" tag="a39eaea4-49b5-4bd5-959b-dd52bf2a2dad" updatedVersion="6" minRefreshableVersion="3" showDrill="0" showDataTips="0" subtotalHiddenItems="1" itemPrintTitles="1" createdVersion="5" indent="0" outline="1" outlineData="1">
  <location ref="A4:C302" firstHeaderRow="1" firstDataRow="2" firstDataCol="1" rowPageCount="1" colPageCount="1"/>
  <pivotFields count="9">
    <pivotField allDrilled="1" showAll="0" dataSourceSort="1" defaultAttributeDrillState="1"/>
    <pivotField axis="axisPage" allDrilled="1" showAll="0" defaultAttributeDrillState="1">
      <items count="2">
        <item s="1" x="0"/>
        <item t="default"/>
      </items>
    </pivotField>
    <pivotField dataField="1" showAll="0"/>
    <pivotField axis="axisCol" allDrilled="1" showAll="0" dataSourceSort="1">
      <items count="2">
        <item s="1" c="1" x="0"/>
        <item t="default"/>
      </items>
    </pivotField>
    <pivotField axis="axisCol" showAll="0" dataSourceSort="1">
      <items count="1">
        <item t="default"/>
      </items>
    </pivotField>
    <pivotField axis="axisCol" showAll="0" dataSourceSort="1">
      <items count="1">
        <item t="default"/>
      </items>
    </pivotField>
    <pivotField axis="axisRow" allDrilled="1" showAll="0" dataSourceSort="1" defaultAttributeDrillState="1">
      <items count="9">
        <item x="0"/>
        <item x="1"/>
        <item x="2"/>
        <item x="3"/>
        <item x="4"/>
        <item x="5"/>
        <item x="6"/>
        <item x="7"/>
        <item t="default"/>
      </items>
    </pivotField>
    <pivotField axis="axisRow" allDrilled="1" showAll="0" dataSourceSort="1" defaultAttributeDrillState="1">
      <items count="14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t="default"/>
      </items>
    </pivotField>
    <pivotField axis="axisRow" allDrilled="1" showAll="0" dataSourceSort="1" defaultAttributeDrillState="1">
      <items count="14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t="default"/>
      </items>
    </pivotField>
  </pivotFields>
  <rowFields count="3">
    <field x="6"/>
    <field x="7"/>
    <field x="8"/>
  </rowFields>
  <rowItems count="297">
    <i>
      <x/>
    </i>
    <i r="1">
      <x/>
    </i>
    <i r="2">
      <x/>
    </i>
    <i r="1">
      <x v="1"/>
    </i>
    <i r="2">
      <x v="1"/>
    </i>
    <i r="1">
      <x v="2"/>
    </i>
    <i r="2">
      <x v="2"/>
    </i>
    <i r="1">
      <x v="3"/>
    </i>
    <i r="2">
      <x v="3"/>
    </i>
    <i r="1">
      <x v="4"/>
    </i>
    <i r="2">
      <x v="4"/>
    </i>
    <i r="1">
      <x v="5"/>
    </i>
    <i r="2">
      <x v="5"/>
    </i>
    <i r="1">
      <x v="6"/>
    </i>
    <i r="2">
      <x v="6"/>
    </i>
    <i r="1">
      <x v="7"/>
    </i>
    <i r="2">
      <x v="7"/>
    </i>
    <i r="1">
      <x v="8"/>
    </i>
    <i r="2">
      <x v="8"/>
    </i>
    <i r="1">
      <x v="9"/>
    </i>
    <i r="2">
      <x v="9"/>
    </i>
    <i r="1">
      <x v="10"/>
    </i>
    <i r="2">
      <x v="10"/>
    </i>
    <i r="1">
      <x v="11"/>
    </i>
    <i r="2">
      <x v="11"/>
    </i>
    <i r="1">
      <x v="12"/>
    </i>
    <i r="2">
      <x v="12"/>
    </i>
    <i r="1">
      <x v="13"/>
    </i>
    <i r="2">
      <x v="13"/>
    </i>
    <i r="1">
      <x v="14"/>
    </i>
    <i r="2">
      <x v="14"/>
    </i>
    <i r="1">
      <x v="15"/>
    </i>
    <i r="2">
      <x v="15"/>
    </i>
    <i r="1">
      <x v="16"/>
    </i>
    <i r="2">
      <x v="15"/>
    </i>
    <i r="1">
      <x v="17"/>
    </i>
    <i r="2">
      <x v="16"/>
    </i>
    <i r="1">
      <x v="18"/>
    </i>
    <i r="2">
      <x v="17"/>
    </i>
    <i r="1">
      <x v="19"/>
    </i>
    <i r="2">
      <x v="18"/>
    </i>
    <i r="1">
      <x v="20"/>
    </i>
    <i r="2">
      <x v="19"/>
    </i>
    <i r="1">
      <x v="21"/>
    </i>
    <i r="2">
      <x v="20"/>
    </i>
    <i r="1">
      <x v="22"/>
    </i>
    <i r="2">
      <x v="21"/>
    </i>
    <i r="1">
      <x v="23"/>
    </i>
    <i r="2">
      <x v="22"/>
    </i>
    <i r="1">
      <x v="24"/>
    </i>
    <i r="2">
      <x v="23"/>
    </i>
    <i r="1">
      <x v="25"/>
    </i>
    <i r="2">
      <x v="24"/>
    </i>
    <i r="1">
      <x v="26"/>
    </i>
    <i r="2">
      <x v="25"/>
    </i>
    <i r="1">
      <x v="27"/>
    </i>
    <i r="2">
      <x v="26"/>
    </i>
    <i r="1">
      <x v="28"/>
    </i>
    <i r="2">
      <x v="27"/>
    </i>
    <i r="1">
      <x v="29"/>
    </i>
    <i r="2">
      <x v="28"/>
    </i>
    <i r="1">
      <x v="30"/>
    </i>
    <i r="2">
      <x v="29"/>
    </i>
    <i r="1">
      <x v="31"/>
    </i>
    <i r="2">
      <x v="30"/>
    </i>
    <i r="1">
      <x v="32"/>
    </i>
    <i r="2">
      <x v="31"/>
    </i>
    <i r="1">
      <x v="33"/>
    </i>
    <i r="2">
      <x v="32"/>
    </i>
    <i r="1">
      <x v="34"/>
    </i>
    <i r="2">
      <x v="33"/>
    </i>
    <i r="1">
      <x v="35"/>
    </i>
    <i r="2">
      <x v="34"/>
    </i>
    <i r="1">
      <x v="36"/>
    </i>
    <i r="2">
      <x v="35"/>
    </i>
    <i>
      <x v="1"/>
    </i>
    <i r="1">
      <x v="37"/>
    </i>
    <i r="2">
      <x v="36"/>
    </i>
    <i r="1">
      <x v="38"/>
    </i>
    <i r="2">
      <x v="37"/>
    </i>
    <i r="1">
      <x v="39"/>
    </i>
    <i r="2">
      <x v="38"/>
    </i>
    <i r="1">
      <x v="40"/>
    </i>
    <i r="2">
      <x v="39"/>
    </i>
    <i>
      <x v="2"/>
    </i>
    <i r="1">
      <x v="41"/>
    </i>
    <i r="2">
      <x v="40"/>
    </i>
    <i r="1">
      <x v="42"/>
    </i>
    <i r="2">
      <x v="41"/>
    </i>
    <i r="1">
      <x v="43"/>
    </i>
    <i r="2">
      <x v="42"/>
    </i>
    <i r="1">
      <x v="44"/>
    </i>
    <i r="2">
      <x v="43"/>
    </i>
    <i r="1">
      <x v="45"/>
    </i>
    <i r="2">
      <x v="44"/>
    </i>
    <i r="1">
      <x v="46"/>
    </i>
    <i r="2">
      <x v="45"/>
    </i>
    <i r="1">
      <x v="47"/>
    </i>
    <i r="2">
      <x v="46"/>
    </i>
    <i r="1">
      <x v="48"/>
    </i>
    <i r="2">
      <x v="47"/>
    </i>
    <i r="1">
      <x v="49"/>
    </i>
    <i r="2">
      <x v="48"/>
    </i>
    <i r="1">
      <x v="50"/>
    </i>
    <i r="2">
      <x v="49"/>
    </i>
    <i r="1">
      <x v="51"/>
    </i>
    <i r="2">
      <x v="50"/>
    </i>
    <i r="1">
      <x v="52"/>
    </i>
    <i r="2">
      <x v="51"/>
    </i>
    <i r="1">
      <x v="53"/>
    </i>
    <i r="2">
      <x v="52"/>
    </i>
    <i r="1">
      <x v="54"/>
    </i>
    <i r="2">
      <x v="53"/>
    </i>
    <i r="1">
      <x v="55"/>
    </i>
    <i r="2">
      <x v="54"/>
    </i>
    <i r="1">
      <x v="56"/>
    </i>
    <i r="2">
      <x v="55"/>
    </i>
    <i r="1">
      <x v="57"/>
    </i>
    <i r="2">
      <x v="56"/>
    </i>
    <i r="1">
      <x v="58"/>
    </i>
    <i r="2">
      <x v="57"/>
    </i>
    <i r="1">
      <x v="59"/>
    </i>
    <i r="2">
      <x v="58"/>
    </i>
    <i r="1">
      <x v="60"/>
    </i>
    <i r="2">
      <x v="59"/>
    </i>
    <i r="1">
      <x v="61"/>
    </i>
    <i r="2">
      <x v="60"/>
    </i>
    <i r="1">
      <x v="62"/>
    </i>
    <i r="2">
      <x v="61"/>
    </i>
    <i r="1">
      <x v="63"/>
    </i>
    <i r="2">
      <x v="62"/>
    </i>
    <i>
      <x v="3"/>
    </i>
    <i r="1">
      <x v="64"/>
    </i>
    <i r="2">
      <x v="63"/>
    </i>
    <i r="1">
      <x v="65"/>
    </i>
    <i r="2">
      <x v="64"/>
    </i>
    <i r="1">
      <x v="66"/>
    </i>
    <i r="2">
      <x v="65"/>
    </i>
    <i r="1">
      <x v="67"/>
    </i>
    <i r="2">
      <x v="66"/>
    </i>
    <i r="1">
      <x v="68"/>
    </i>
    <i r="2">
      <x v="67"/>
    </i>
    <i>
      <x v="4"/>
    </i>
    <i r="1">
      <x v="69"/>
    </i>
    <i r="2">
      <x v="68"/>
    </i>
    <i r="1">
      <x v="70"/>
    </i>
    <i r="2">
      <x v="69"/>
    </i>
    <i r="1">
      <x v="71"/>
    </i>
    <i r="2">
      <x v="70"/>
    </i>
    <i r="1">
      <x v="72"/>
    </i>
    <i r="2">
      <x v="71"/>
    </i>
    <i r="1">
      <x v="73"/>
    </i>
    <i r="2">
      <x v="72"/>
    </i>
    <i r="1">
      <x v="74"/>
    </i>
    <i r="2">
      <x v="73"/>
    </i>
    <i r="1">
      <x v="75"/>
    </i>
    <i r="2">
      <x v="74"/>
    </i>
    <i r="1">
      <x v="76"/>
    </i>
    <i r="2">
      <x v="75"/>
    </i>
    <i r="1">
      <x v="77"/>
    </i>
    <i r="2">
      <x v="76"/>
    </i>
    <i r="1">
      <x v="78"/>
    </i>
    <i r="2">
      <x v="77"/>
    </i>
    <i>
      <x v="5"/>
    </i>
    <i r="1">
      <x v="79"/>
    </i>
    <i r="2">
      <x v="78"/>
    </i>
    <i r="1">
      <x v="80"/>
    </i>
    <i r="2">
      <x v="79"/>
    </i>
    <i r="1">
      <x v="81"/>
    </i>
    <i r="2">
      <x v="80"/>
    </i>
    <i r="1">
      <x v="82"/>
    </i>
    <i r="2">
      <x v="81"/>
    </i>
    <i r="1">
      <x v="83"/>
    </i>
    <i r="2">
      <x v="82"/>
    </i>
    <i r="1">
      <x v="84"/>
    </i>
    <i r="2">
      <x v="83"/>
    </i>
    <i r="1">
      <x v="85"/>
    </i>
    <i r="2">
      <x v="84"/>
    </i>
    <i r="1">
      <x v="86"/>
    </i>
    <i r="2">
      <x v="85"/>
    </i>
    <i r="1">
      <x v="87"/>
    </i>
    <i r="2">
      <x v="86"/>
    </i>
    <i r="1">
      <x v="88"/>
    </i>
    <i r="2">
      <x v="87"/>
    </i>
    <i r="1">
      <x v="89"/>
    </i>
    <i r="2">
      <x v="88"/>
    </i>
    <i r="1">
      <x v="90"/>
    </i>
    <i r="2">
      <x v="89"/>
    </i>
    <i r="1">
      <x v="91"/>
    </i>
    <i r="2">
      <x v="90"/>
    </i>
    <i r="1">
      <x v="92"/>
    </i>
    <i r="2">
      <x v="91"/>
    </i>
    <i r="1">
      <x v="93"/>
    </i>
    <i r="2">
      <x v="92"/>
    </i>
    <i r="1">
      <x v="94"/>
    </i>
    <i r="2">
      <x v="93"/>
    </i>
    <i r="1">
      <x v="95"/>
    </i>
    <i r="2">
      <x v="94"/>
    </i>
    <i r="1">
      <x v="96"/>
    </i>
    <i r="2">
      <x v="95"/>
    </i>
    <i r="1">
      <x v="97"/>
    </i>
    <i r="2">
      <x v="96"/>
    </i>
    <i r="1">
      <x v="98"/>
    </i>
    <i r="2">
      <x v="97"/>
    </i>
    <i r="1">
      <x v="99"/>
    </i>
    <i r="2">
      <x v="98"/>
    </i>
    <i r="1">
      <x v="100"/>
    </i>
    <i r="2">
      <x v="99"/>
    </i>
    <i r="1">
      <x v="101"/>
    </i>
    <i r="2">
      <x v="100"/>
    </i>
    <i r="1">
      <x v="102"/>
    </i>
    <i r="2">
      <x v="101"/>
    </i>
    <i r="1">
      <x v="103"/>
    </i>
    <i r="2">
      <x v="102"/>
    </i>
    <i r="1">
      <x v="104"/>
    </i>
    <i r="2">
      <x v="103"/>
    </i>
    <i r="1">
      <x v="105"/>
    </i>
    <i r="2">
      <x v="104"/>
    </i>
    <i r="1">
      <x v="106"/>
    </i>
    <i r="2">
      <x v="105"/>
    </i>
    <i r="1">
      <x v="107"/>
    </i>
    <i r="2">
      <x v="106"/>
    </i>
    <i r="1">
      <x v="108"/>
    </i>
    <i r="2">
      <x v="107"/>
    </i>
    <i r="1">
      <x v="109"/>
    </i>
    <i r="2">
      <x v="108"/>
    </i>
    <i r="1">
      <x v="110"/>
    </i>
    <i r="2">
      <x v="109"/>
    </i>
    <i r="1">
      <x v="111"/>
    </i>
    <i r="2">
      <x v="110"/>
    </i>
    <i r="1">
      <x v="112"/>
    </i>
    <i r="2">
      <x v="111"/>
    </i>
    <i r="1">
      <x v="113"/>
    </i>
    <i r="2">
      <x v="112"/>
    </i>
    <i r="1">
      <x v="114"/>
    </i>
    <i r="2">
      <x v="113"/>
    </i>
    <i r="1">
      <x v="115"/>
    </i>
    <i r="2">
      <x v="114"/>
    </i>
    <i r="1">
      <x v="116"/>
    </i>
    <i r="2">
      <x v="115"/>
    </i>
    <i r="1">
      <x v="117"/>
    </i>
    <i r="2">
      <x v="116"/>
    </i>
    <i r="1">
      <x v="118"/>
    </i>
    <i r="2">
      <x v="117"/>
    </i>
    <i r="1">
      <x v="119"/>
    </i>
    <i r="2">
      <x v="118"/>
    </i>
    <i r="1">
      <x v="120"/>
    </i>
    <i r="2">
      <x v="119"/>
    </i>
    <i r="1">
      <x v="121"/>
    </i>
    <i r="2">
      <x v="120"/>
    </i>
    <i r="1">
      <x v="122"/>
    </i>
    <i r="2">
      <x v="121"/>
    </i>
    <i r="1">
      <x v="123"/>
    </i>
    <i r="2">
      <x v="122"/>
    </i>
    <i r="1">
      <x v="124"/>
    </i>
    <i r="2">
      <x v="123"/>
    </i>
    <i r="1">
      <x v="125"/>
    </i>
    <i r="2">
      <x v="124"/>
    </i>
    <i r="1">
      <x v="126"/>
    </i>
    <i r="2">
      <x v="125"/>
    </i>
    <i r="1">
      <x v="127"/>
    </i>
    <i r="2">
      <x v="126"/>
    </i>
    <i r="1">
      <x v="128"/>
    </i>
    <i r="2">
      <x v="127"/>
    </i>
    <i r="1">
      <x v="129"/>
    </i>
    <i r="2">
      <x v="128"/>
    </i>
    <i r="1">
      <x v="130"/>
    </i>
    <i r="2">
      <x v="129"/>
    </i>
    <i r="1">
      <x v="131"/>
    </i>
    <i r="2">
      <x v="130"/>
    </i>
    <i r="1">
      <x v="132"/>
    </i>
    <i r="2">
      <x v="131"/>
    </i>
    <i r="1">
      <x v="133"/>
    </i>
    <i r="2">
      <x v="132"/>
    </i>
    <i r="1">
      <x v="134"/>
    </i>
    <i r="2">
      <x v="133"/>
    </i>
    <i r="1">
      <x v="135"/>
    </i>
    <i r="2">
      <x v="134"/>
    </i>
    <i r="1">
      <x v="136"/>
    </i>
    <i r="2">
      <x v="135"/>
    </i>
    <i r="1">
      <x v="137"/>
    </i>
    <i r="2">
      <x v="136"/>
    </i>
    <i>
      <x v="6"/>
    </i>
    <i r="1">
      <x v="138"/>
    </i>
    <i r="2">
      <x v="137"/>
    </i>
    <i r="1">
      <x v="139"/>
    </i>
    <i r="2">
      <x v="138"/>
    </i>
    <i r="1">
      <x v="140"/>
    </i>
    <i r="2">
      <x v="139"/>
    </i>
    <i r="1">
      <x v="141"/>
    </i>
    <i r="2">
      <x v="140"/>
    </i>
    <i>
      <x v="7"/>
    </i>
    <i r="1">
      <x v="142"/>
    </i>
    <i r="2">
      <x v="141"/>
    </i>
    <i r="1">
      <x v="143"/>
    </i>
    <i r="2">
      <x v="142"/>
    </i>
    <i t="grand">
      <x/>
    </i>
  </rowItems>
  <colFields count="1">
    <field x="3"/>
  </colFields>
  <colItems count="2">
    <i>
      <x/>
    </i>
    <i t="grand">
      <x/>
    </i>
  </colItems>
  <pageFields count="1">
    <pageField fld="1" hier="35" name="[fActualAndBudget].[ReportType].&amp;[План]" cap="План"/>
  </pageFields>
  <dataFields count="1">
    <dataField name="Sum of Износ" fld="2" baseField="0" baseItem="0" numFmtId="3"/>
  </dataFields>
  <formats count="2">
    <format dxfId="138">
      <pivotArea dataOnly="0" labelOnly="1" grandRow="1" outline="0" fieldPosition="0"/>
    </format>
    <format dxfId="137">
      <pivotArea outline="0" fieldPosition="0">
        <references count="1">
          <reference field="4294967294" count="1">
            <x v="0"/>
          </reference>
        </references>
      </pivotArea>
    </format>
  </formats>
  <pivotHierarchies count="195">
    <pivotHierarchy dragToData="1"/>
    <pivotHierarchy dragToData="1"/>
    <pivotHierarchy dragToData="1"/>
    <pivotHierarchy dragToData="1"/>
    <pivotHierarchy dragToData="1"/>
    <pivotHierarchy dragToData="1"/>
    <pivotHierarchy dragToData="1"/>
    <pivotHierarchy multipleItemSelectionAllowed="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multipleItemSelectionAllowed="1" dragToData="1"/>
    <pivotHierarchy multipleItemSelectionAllowed="1" dragToData="1"/>
    <pivotHierarchy dragToData="1"/>
    <pivotHierarchy dragToData="1"/>
    <pivotHierarchy dragToData="1"/>
    <pivotHierarchy multipleItemSelectionAllowed="1" dragToData="1">
      <members count="1" level="1">
        <member name="[fActualAndBudget].[ObrazecIme].&amp;[Finansiski plan_Bilans na uspeh]"/>
      </members>
    </pivotHierarchy>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3">
    <rowHierarchyUsage hierarchyUsage="40"/>
    <rowHierarchyUsage hierarchyUsage="31"/>
    <rowHierarchyUsage hierarchyUsage="32"/>
  </rowHierarchiesUsage>
  <colHierarchiesUsage count="1">
    <colHierarchyUsage hierarchyUsage="7"/>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Calendar]"/>
        <x15:activeTabTopLevelEntity name="[fActualAndBudget]"/>
      </x15:pivotTableUISettings>
    </ext>
    <ext xmlns:xpdl="http://schemas.microsoft.com/office/spreadsheetml/2016/pivotdefaultlayout" uri="{747A6164-185A-40DC-8AA5-F01512510D54}">
      <xpdl:pivotTableDefinition16/>
    </ext>
  </extLst>
</pivotTableDefinition>
</file>

<file path=xl/pivotTables/pivotTable19.xml><?xml version="1.0" encoding="utf-8"?>
<pivotTableDefinition xmlns="http://schemas.openxmlformats.org/spreadsheetml/2006/main" xmlns:mc="http://schemas.openxmlformats.org/markup-compatibility/2006" xmlns:xr="http://schemas.microsoft.com/office/spreadsheetml/2014/revision" mc:Ignorable="xr" xr:uid="{00000000-0007-0000-1500-000000000000}" name="PivotTable4" cacheId="8" applyNumberFormats="0" applyBorderFormats="0" applyFontFormats="0" applyPatternFormats="0" applyAlignmentFormats="0" applyWidthHeightFormats="1" dataCaption="Values" tag="1b1d1138-d7fb-4282-842b-8dbabf6bff51" updatedVersion="6" minRefreshableVersion="3" showDrill="0" showDataTips="0" subtotalHiddenItems="1" itemPrintTitles="1" createdVersion="5" indent="0" outline="1" outlineData="1">
  <location ref="A4:N159" firstHeaderRow="1" firstDataRow="2" firstDataCol="1" rowPageCount="2" colPageCount="1"/>
  <pivotFields count="6">
    <pivotField axis="axisPage" allDrilled="1" showAll="0" dataSourceSort="1" defaultAttributeDrillState="1">
      <items count="2">
        <item x="0"/>
        <item t="default"/>
      </items>
    </pivotField>
    <pivotField allDrilled="1" showAll="0" dataSourceSort="1" defaultAttributeDrillState="1"/>
    <pivotField axis="axisPage" allDrilled="1" showAll="0" defaultAttributeDrillState="1">
      <items count="1">
        <item t="default"/>
      </items>
    </pivotField>
    <pivotField axis="axisRow" allDrilled="1" showAll="0" dataSourceSort="1" defaultAttributeDrillState="1">
      <items count="15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t="default"/>
      </items>
    </pivotField>
    <pivotField axis="axisCol" allDrilled="1" showAll="0" dataSourceSort="1" defaultAttributeDrillState="1">
      <items count="13">
        <item x="0"/>
        <item x="1"/>
        <item x="2"/>
        <item x="3"/>
        <item x="4"/>
        <item x="5"/>
        <item x="6"/>
        <item x="7"/>
        <item x="8"/>
        <item x="9"/>
        <item x="10"/>
        <item x="11"/>
        <item t="default"/>
      </items>
    </pivotField>
    <pivotField dataField="1" showAll="0"/>
  </pivotFields>
  <rowFields count="1">
    <field x="3"/>
  </rowFields>
  <rowItems count="154">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t="grand">
      <x/>
    </i>
  </rowItems>
  <colFields count="1">
    <field x="4"/>
  </colFields>
  <colItems count="13">
    <i>
      <x/>
    </i>
    <i>
      <x v="1"/>
    </i>
    <i>
      <x v="2"/>
    </i>
    <i>
      <x v="3"/>
    </i>
    <i>
      <x v="4"/>
    </i>
    <i>
      <x v="5"/>
    </i>
    <i>
      <x v="6"/>
    </i>
    <i>
      <x v="7"/>
    </i>
    <i>
      <x v="8"/>
    </i>
    <i>
      <x v="9"/>
    </i>
    <i>
      <x v="10"/>
    </i>
    <i>
      <x v="11"/>
    </i>
    <i t="grand">
      <x/>
    </i>
  </colItems>
  <pageFields count="2">
    <pageField fld="2" hier="35" name="[fActualAndBudget].[ReportType].&amp;[План]" cap="План"/>
    <pageField fld="0" hier="8" name="[Calendar].[Година].&amp;[2023]" cap="2023"/>
  </pageFields>
  <dataFields count="1">
    <dataField name="Sum of Износ1" fld="5" baseField="3" baseItem="146" numFmtId="3"/>
  </dataFields>
  <formats count="6">
    <format dxfId="136">
      <pivotArea dataOnly="0" labelOnly="1" grandRow="1" outline="0" fieldPosition="0"/>
    </format>
    <format dxfId="135">
      <pivotArea field="3" grandCol="1" collapsedLevelsAreSubtotals="1" axis="axisRow" fieldPosition="0">
        <references count="1">
          <reference field="3" count="1">
            <x v="3"/>
          </reference>
        </references>
      </pivotArea>
    </format>
    <format dxfId="134">
      <pivotArea field="3" grandCol="1" collapsedLevelsAreSubtotals="1" axis="axisRow" fieldPosition="0">
        <references count="1">
          <reference field="3" count="1">
            <x v="82"/>
          </reference>
        </references>
      </pivotArea>
    </format>
    <format dxfId="133">
      <pivotArea field="3" grandCol="1" collapsedLevelsAreSubtotals="1" axis="axisRow" fieldPosition="0">
        <references count="1">
          <reference field="3" count="1">
            <x v="91"/>
          </reference>
        </references>
      </pivotArea>
    </format>
    <format dxfId="132">
      <pivotArea field="3" grandCol="1" collapsedLevelsAreSubtotals="1" axis="axisRow" fieldPosition="0">
        <references count="1">
          <reference field="3" count="1">
            <x v="92"/>
          </reference>
        </references>
      </pivotArea>
    </format>
    <format dxfId="131">
      <pivotArea outline="0" fieldPosition="0">
        <references count="1">
          <reference field="4294967294" count="1">
            <x v="0"/>
          </reference>
        </references>
      </pivotArea>
    </format>
  </formats>
  <pivotHierarchies count="195">
    <pivotHierarchy dragToData="1"/>
    <pivotHierarchy dragToData="1"/>
    <pivotHierarchy dragToData="1"/>
    <pivotHierarchy dragToData="1"/>
    <pivotHierarchy dragToData="1"/>
    <pivotHierarchy dragToData="1"/>
    <pivotHierarchy dragToData="1"/>
    <pivotHierarchy multipleItemSelectionAllowed="1"/>
    <pivotHierarchy multipleItemSelectionAllowed="1" dragToData="1">
      <members count="1" level="1">
        <member name="[Calendar].[Година].&amp;[2023]"/>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fActualAndBudget].[ReportType].&amp;[План]"/>
      </members>
    </pivotHierarchy>
    <pivotHierarchy dragToData="1"/>
    <pivotHierarchy dragToData="1"/>
    <pivotHierarchy dragToData="1"/>
    <pivotHierarchy multipleItemSelectionAllowed="1" dragToData="1"/>
    <pivotHierarchy multipleItemSelectionAllowed="1" dragToData="1"/>
    <pivotHierarchy dragToData="1"/>
    <pivotHierarchy dragToData="1"/>
    <pivotHierarchy dragToData="1"/>
    <pivotHierarchy multipleItemSelectionAllowed="1" dragToData="1">
      <members count="1" level="1">
        <member name="[fActualAndBudget].[ObrazecIme].&amp;[Finansiski plan_Bilans na uspeh]"/>
      </members>
    </pivotHierarchy>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31"/>
  </rowHierarchiesUsage>
  <colHierarchiesUsage count="1">
    <colHierarchyUsage hierarchyUsage="1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Calendar]"/>
        <x15:activeTabTopLevelEntity name="[fActualAndBudget]"/>
      </x15:pivotTableUISettings>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200-000000000000}" name="PivotTable4" cacheId="24" applyNumberFormats="0" applyBorderFormats="0" applyFontFormats="0" applyPatternFormats="0" applyAlignmentFormats="0" applyWidthHeightFormats="1" dataCaption="Values" tag="e3f99197-06f0-4f87-9aa1-9258ed3b822f" updatedVersion="6" minRefreshableVersion="3" showDrill="0" showDataTips="0" subtotalHiddenItems="1" itemPrintTitles="1" createdVersion="5" indent="0" outline="1" outlineData="1">
  <location ref="A4:N159" firstHeaderRow="1" firstDataRow="2" firstDataCol="1" rowPageCount="2" colPageCount="1"/>
  <pivotFields count="6">
    <pivotField axis="axisPage" allDrilled="1" showAll="0" dataSourceSort="1" defaultAttributeDrillState="1">
      <items count="2">
        <item x="0"/>
        <item t="default"/>
      </items>
    </pivotField>
    <pivotField allDrilled="1" showAll="0" dataSourceSort="1" defaultAttributeDrillState="1"/>
    <pivotField axis="axisPage" allDrilled="1" showAll="0" defaultAttributeDrillState="1">
      <items count="1">
        <item t="default"/>
      </items>
    </pivotField>
    <pivotField dataField="1" showAll="0"/>
    <pivotField axis="axisRow" allDrilled="1" showAll="0" dataSourceSort="1" defaultAttributeDrillState="1">
      <items count="15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t="default"/>
      </items>
    </pivotField>
    <pivotField axis="axisCol" allDrilled="1" showAll="0" dataSourceSort="1" defaultAttributeDrillState="1">
      <items count="13">
        <item x="0"/>
        <item x="1"/>
        <item x="2"/>
        <item x="3"/>
        <item x="4"/>
        <item x="5"/>
        <item x="6"/>
        <item x="7"/>
        <item x="8"/>
        <item x="9"/>
        <item x="10"/>
        <item x="11"/>
        <item t="default"/>
      </items>
    </pivotField>
  </pivotFields>
  <rowFields count="1">
    <field x="4"/>
  </rowFields>
  <rowItems count="154">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t="grand">
      <x/>
    </i>
  </rowItems>
  <colFields count="1">
    <field x="5"/>
  </colFields>
  <colItems count="13">
    <i>
      <x/>
    </i>
    <i>
      <x v="1"/>
    </i>
    <i>
      <x v="2"/>
    </i>
    <i>
      <x v="3"/>
    </i>
    <i>
      <x v="4"/>
    </i>
    <i>
      <x v="5"/>
    </i>
    <i>
      <x v="6"/>
    </i>
    <i>
      <x v="7"/>
    </i>
    <i>
      <x v="8"/>
    </i>
    <i>
      <x v="9"/>
    </i>
    <i>
      <x v="10"/>
    </i>
    <i>
      <x v="11"/>
    </i>
    <i t="grand">
      <x/>
    </i>
  </colItems>
  <pageFields count="2">
    <pageField fld="2" hier="35" name="[fActualAndBudget].[ReportType].&amp;[План]" cap="План"/>
    <pageField fld="0" hier="8" name="[Calendar].[Година].&amp;[2023]" cap="2023"/>
  </pageFields>
  <dataFields count="1">
    <dataField name="Sum of Износ" fld="3" baseField="0" baseItem="0" numFmtId="3"/>
  </dataFields>
  <formats count="6">
    <format dxfId="346">
      <pivotArea dataOnly="0" labelOnly="1" grandRow="1" outline="0" fieldPosition="0"/>
    </format>
    <format dxfId="345">
      <pivotArea outline="0" fieldPosition="0">
        <references count="1">
          <reference field="4294967294" count="1">
            <x v="0"/>
          </reference>
        </references>
      </pivotArea>
    </format>
    <format dxfId="344">
      <pivotArea field="4" grandCol="1" collapsedLevelsAreSubtotals="1" axis="axisRow" fieldPosition="0">
        <references count="1">
          <reference field="4" count="1">
            <x v="3"/>
          </reference>
        </references>
      </pivotArea>
    </format>
    <format dxfId="343">
      <pivotArea field="4" grandCol="1" collapsedLevelsAreSubtotals="1" axis="axisRow" fieldPosition="0">
        <references count="1">
          <reference field="4" count="1">
            <x v="82"/>
          </reference>
        </references>
      </pivotArea>
    </format>
    <format dxfId="342">
      <pivotArea field="4" grandCol="1" collapsedLevelsAreSubtotals="1" axis="axisRow" fieldPosition="0">
        <references count="1">
          <reference field="4" count="1">
            <x v="91"/>
          </reference>
        </references>
      </pivotArea>
    </format>
    <format dxfId="341">
      <pivotArea field="4" grandCol="1" collapsedLevelsAreSubtotals="1" axis="axisRow" fieldPosition="0">
        <references count="1">
          <reference field="4" count="1">
            <x v="92"/>
          </reference>
        </references>
      </pivotArea>
    </format>
  </formats>
  <pivotHierarchies count="195">
    <pivotHierarchy dragToData="1"/>
    <pivotHierarchy dragToData="1"/>
    <pivotHierarchy dragToData="1"/>
    <pivotHierarchy dragToData="1"/>
    <pivotHierarchy dragToData="1"/>
    <pivotHierarchy dragToData="1"/>
    <pivotHierarchy dragToData="1"/>
    <pivotHierarchy multipleItemSelectionAllowed="1"/>
    <pivotHierarchy multipleItemSelectionAllowed="1" dragToData="1">
      <members count="1" level="1">
        <member name="[Calendar].[Година].&amp;[2023]"/>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fActualAndBudget].[ReportType].&amp;[План]"/>
      </members>
    </pivotHierarchy>
    <pivotHierarchy dragToData="1"/>
    <pivotHierarchy dragToData="1"/>
    <pivotHierarchy dragToData="1"/>
    <pivotHierarchy multipleItemSelectionAllowed="1" dragToData="1"/>
    <pivotHierarchy multipleItemSelectionAllowed="1" dragToData="1"/>
    <pivotHierarchy dragToData="1"/>
    <pivotHierarchy dragToData="1"/>
    <pivotHierarchy dragToData="1"/>
    <pivotHierarchy multipleItemSelectionAllowed="1" dragToData="1">
      <members count="1" level="1">
        <member name="[fActualAndBudget].[ObrazecIme].&amp;[Finansiski plan_Bilans na uspeh]"/>
      </members>
    </pivotHierarchy>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31"/>
  </rowHierarchiesUsage>
  <colHierarchiesUsage count="1">
    <colHierarchyUsage hierarchyUsage="1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Calendar]"/>
        <x15:activeTabTopLevelEntity name="[fActualAndBudget]"/>
      </x15:pivotTableUISettings>
    </ext>
    <ext xmlns:xpdl="http://schemas.microsoft.com/office/spreadsheetml/2016/pivotdefaultlayout" uri="{747A6164-185A-40DC-8AA5-F01512510D54}">
      <xpdl:pivotTableDefinition16/>
    </ext>
  </extLst>
</pivotTableDefinition>
</file>

<file path=xl/pivotTables/pivotTable20.xml><?xml version="1.0" encoding="utf-8"?>
<pivotTableDefinition xmlns="http://schemas.openxmlformats.org/spreadsheetml/2006/main" xmlns:mc="http://schemas.openxmlformats.org/markup-compatibility/2006" xmlns:xr="http://schemas.microsoft.com/office/spreadsheetml/2014/revision" mc:Ignorable="xr" xr:uid="{00000000-0007-0000-1600-000000000000}" name="PivotTable2" cacheId="1" applyNumberFormats="0" applyBorderFormats="0" applyFontFormats="0" applyPatternFormats="0" applyAlignmentFormats="0" applyWidthHeightFormats="1" dataCaption="Values" tag="da369282-80a3-41bc-b42d-7f41abf916ce" updatedVersion="6" minRefreshableVersion="3" showDataTips="0" subtotalHiddenItems="1" colGrandTotals="0" itemPrintTitles="1" createdVersion="5" indent="0" outline="1" outlineData="1">
  <location ref="B6:J43" firstHeaderRow="1" firstDataRow="3" firstDataCol="1" rowPageCount="1" colPageCount="1"/>
  <pivotFields count="8">
    <pivotField axis="axisCol" allDrilled="1" showAll="0" defaultSubtotal="0" defaultAttributeDrillState="1">
      <items count="3">
        <item x="0"/>
        <item x="2"/>
        <item x="1"/>
      </items>
      <extLst>
        <ext xmlns:x14="http://schemas.microsoft.com/office/spreadsheetml/2009/9/main" uri="{2946ED86-A175-432a-8AC1-64E0C546D7DE}">
          <x14:pivotField fillDownLabels="1"/>
        </ext>
      </extLst>
    </pivotField>
    <pivotField axis="axisCol" allDrilled="1" showAll="0" dataSourceSort="1" defaultSubtotal="0" defaultAttributeDrillState="1">
      <items count="6">
        <item s="1" x="0"/>
        <item s="1" x="1"/>
        <item s="1" x="2"/>
        <item s="1" x="3"/>
        <item s="1" x="4"/>
        <item s="1" x="5"/>
      </items>
      <extLst>
        <ext xmlns:x14="http://schemas.microsoft.com/office/spreadsheetml/2009/9/main" uri="{2946ED86-A175-432a-8AC1-64E0C546D7DE}">
          <x14:pivotField fillDownLabels="1"/>
        </ext>
      </extLst>
    </pivotField>
    <pivotField axis="axisPage" allDrilled="1" showAll="0" dataSourceSort="1" defaultSubtotal="0" defaultAttributeDrillState="1">
      <extLst>
        <ext xmlns:x14="http://schemas.microsoft.com/office/spreadsheetml/2009/9/main" uri="{2946ED86-A175-432a-8AC1-64E0C546D7DE}">
          <x14:pivotField fillDownLabels="1"/>
        </ext>
      </extLst>
    </pivotField>
    <pivotField axis="axisRow" allDrilled="1" showAll="0" dataSourceSort="1">
      <items count="10">
        <item n=" 2.29. Приходи од продажба" x="0" e="0"/>
        <item x="1" e="0"/>
        <item x="2"/>
        <item x="3" e="0"/>
        <item x="4" e="0"/>
        <item x="5" e="0"/>
        <item x="6" e="0"/>
        <item x="7" e="0"/>
        <item x="8" e="0"/>
        <item t="default"/>
      </items>
      <extLst>
        <ext xmlns:x14="http://schemas.microsoft.com/office/spreadsheetml/2009/9/main" uri="{2946ED86-A175-432a-8AC1-64E0C546D7DE}">
          <x14:pivotField fillDownLabels="1"/>
        </ext>
      </extLst>
    </pivotField>
    <pivotField axis="axisRow" allDrilled="1" showAll="0" dataSourceSort="1" defaultSubtotal="0" defaultAttributeDrillState="1">
      <items count="31">
        <item x="0"/>
        <item x="1"/>
        <item x="2"/>
        <item x="3"/>
        <item x="4"/>
        <item x="5"/>
        <item x="6"/>
        <item x="7"/>
        <item x="8"/>
        <item x="9"/>
        <item x="10"/>
        <item x="11"/>
        <item x="12"/>
        <item x="13"/>
        <item x="14"/>
        <item x="15"/>
        <item x="16"/>
        <item x="17"/>
        <item x="18"/>
        <item n=" " x="19"/>
        <item n="ИНТЕЛЕКТУАЛНИ УСЛУГИ" x="20"/>
        <item n="ПРАВНИ, АДВОКАТСКИ И НОТАРСКИ УСЛУГИ" x="21"/>
        <item n="УСЛУГИ ЗА РЕВИЗИЈА И ПРОЦЕНКА" x="22"/>
        <item n="УСЛУГИ ЗА ПРЕПИСИ И ПРЕВОДИ" x="23"/>
        <item n="ДРУГИ ДОГОВОРНИ УСЛУГИ" x="24"/>
        <item n="ЗАЕДНИЧКИ ТРОШОЦИ СО НБРМ" x="25"/>
        <item n="КОПИРАЊЕ, ПЕЧАТЕЊЕ, ПОВРЗУВАЊЕ И ИЗДАВАЊЕ" x="26"/>
        <item n="ТРОШОЦИ ЗА РЕГИСТРАЦИЈА НА ВОЗИЛО" x="27"/>
        <item n="СЕРВИСИРАЊЕ И ПОПРАВКА НА ВОЗИЛО" x="28"/>
        <item n="ДР.ТРОШОЦИ ЗА ВОЗИЛА" x="29"/>
        <item n="ТРОШОЦИ ЗА ПАТАРИНА" x="30"/>
      </items>
      <extLst>
        <ext xmlns:x14="http://schemas.microsoft.com/office/spreadsheetml/2009/9/main" uri="{2946ED86-A175-432a-8AC1-64E0C546D7DE}">
          <x14:pivotField fillDownLabels="1"/>
        </ext>
      </extLst>
    </pivotField>
    <pivotField dataField="1" subtotalTop="0" showAll="0" defaultSubtotal="0">
      <extLst>
        <ext xmlns:x14="http://schemas.microsoft.com/office/spreadsheetml/2009/9/main" uri="{2946ED86-A175-432a-8AC1-64E0C546D7DE}">
          <x14:pivotField fillDownLabels="1"/>
        </ext>
      </extLst>
    </pivotField>
    <pivotField axis="axisRow" allDrilled="1" subtotalTop="0" showAll="0" dataSourceSort="1" defaultSubtotal="0" defaultAttributeDrillState="1">
      <items count="4">
        <item x="0"/>
        <item x="1"/>
        <item x="2" e="0"/>
        <item x="3" e="0"/>
      </items>
      <extLst>
        <ext xmlns:x14="http://schemas.microsoft.com/office/spreadsheetml/2009/9/main" uri="{2946ED86-A175-432a-8AC1-64E0C546D7DE}">
          <x14:pivotField fillDownLabels="1"/>
        </ext>
      </extLst>
    </pivotField>
    <pivotField axis="axisRow" allDrilled="1" subtotalTop="0" showAll="0" dataSourceSort="1" defaultSubtotal="0" defaultAttributeDrillState="1">
      <items count="1">
        <item x="0"/>
      </items>
      <extLst>
        <ext xmlns:x14="http://schemas.microsoft.com/office/spreadsheetml/2009/9/main" uri="{2946ED86-A175-432a-8AC1-64E0C546D7DE}">
          <x14:pivotField fillDownLabels="1"/>
        </ext>
      </extLst>
    </pivotField>
  </pivotFields>
  <rowFields count="4">
    <field x="3"/>
    <field x="7"/>
    <field x="6"/>
    <field x="4"/>
  </rowFields>
  <rowItems count="35">
    <i>
      <x/>
    </i>
    <i>
      <x v="1"/>
    </i>
    <i>
      <x v="2"/>
    </i>
    <i r="1">
      <x/>
    </i>
    <i r="2">
      <x/>
    </i>
    <i r="3">
      <x/>
    </i>
    <i r="3">
      <x v="1"/>
    </i>
    <i r="3">
      <x v="2"/>
    </i>
    <i r="3">
      <x v="3"/>
    </i>
    <i r="3">
      <x v="4"/>
    </i>
    <i r="3">
      <x v="5"/>
    </i>
    <i r="3">
      <x v="6"/>
    </i>
    <i r="3">
      <x v="7"/>
    </i>
    <i r="3">
      <x v="8"/>
    </i>
    <i r="3">
      <x v="9"/>
    </i>
    <i r="3">
      <x v="10"/>
    </i>
    <i r="3">
      <x v="11"/>
    </i>
    <i r="3">
      <x v="12"/>
    </i>
    <i r="3">
      <x v="13"/>
    </i>
    <i r="3">
      <x v="14"/>
    </i>
    <i r="3">
      <x v="15"/>
    </i>
    <i r="3">
      <x v="16"/>
    </i>
    <i r="3">
      <x v="17"/>
    </i>
    <i r="2">
      <x v="1"/>
    </i>
    <i r="3">
      <x/>
    </i>
    <i r="3">
      <x v="18"/>
    </i>
    <i r="2">
      <x v="2"/>
    </i>
    <i r="2">
      <x v="3"/>
    </i>
    <i>
      <x v="3"/>
    </i>
    <i>
      <x v="4"/>
    </i>
    <i>
      <x v="5"/>
    </i>
    <i>
      <x v="6"/>
    </i>
    <i>
      <x v="7"/>
    </i>
    <i>
      <x v="8"/>
    </i>
    <i t="grand">
      <x/>
    </i>
  </rowItems>
  <colFields count="2">
    <field x="1"/>
    <field x="0"/>
  </colFields>
  <colItems count="8">
    <i>
      <x/>
      <x/>
    </i>
    <i r="1">
      <x v="1"/>
    </i>
    <i r="1">
      <x v="2"/>
    </i>
    <i>
      <x v="1"/>
      <x/>
    </i>
    <i r="1">
      <x v="2"/>
    </i>
    <i>
      <x v="2"/>
      <x v="1"/>
    </i>
    <i r="1">
      <x v="2"/>
    </i>
    <i>
      <x v="3"/>
      <x v="2"/>
    </i>
  </colItems>
  <pageFields count="1">
    <pageField fld="2" hier="44" name="[fActualAndBudget].[ObrazecIme].&amp;[Finansiski plan_Bilans na uspeh]" cap="Finansiski plan_Bilans na uspeh"/>
  </pageFields>
  <dataFields count="1">
    <dataField name="Sum of Износ1" fld="5" baseField="3" baseItem="5" numFmtId="3"/>
  </dataFields>
  <formats count="27">
    <format dxfId="130">
      <pivotArea grandCol="1" outline="0" collapsedLevelsAreSubtotals="1" fieldPosition="0"/>
    </format>
    <format dxfId="129">
      <pivotArea dataOnly="0" labelOnly="1" grandCol="1" outline="0" fieldPosition="0"/>
    </format>
    <format dxfId="128">
      <pivotArea dataOnly="0" labelOnly="1" fieldPosition="0">
        <references count="2">
          <reference field="0" count="0"/>
          <reference field="1" count="1" selected="0">
            <x v="0"/>
          </reference>
        </references>
      </pivotArea>
    </format>
    <format dxfId="127">
      <pivotArea dataOnly="0" labelOnly="1" fieldPosition="0">
        <references count="2">
          <reference field="0" count="2">
            <x v="0"/>
            <x v="2"/>
          </reference>
          <reference field="1" count="1" selected="0">
            <x v="1"/>
          </reference>
        </references>
      </pivotArea>
    </format>
    <format dxfId="126">
      <pivotArea dataOnly="0" labelOnly="1" fieldPosition="0">
        <references count="2">
          <reference field="0" count="2">
            <x v="1"/>
            <x v="2"/>
          </reference>
          <reference field="1" count="1" selected="0">
            <x v="2"/>
          </reference>
        </references>
      </pivotArea>
    </format>
    <format dxfId="125">
      <pivotArea dataOnly="0" labelOnly="1" fieldPosition="0">
        <references count="2">
          <reference field="0" count="1">
            <x v="2"/>
          </reference>
          <reference field="1" count="1" selected="0">
            <x v="3"/>
          </reference>
        </references>
      </pivotArea>
    </format>
    <format dxfId="124">
      <pivotArea dataOnly="0" labelOnly="1" fieldPosition="0">
        <references count="2">
          <reference field="0" count="0"/>
          <reference field="1" count="1" selected="0">
            <x v="0"/>
          </reference>
        </references>
      </pivotArea>
    </format>
    <format dxfId="123">
      <pivotArea dataOnly="0" labelOnly="1" fieldPosition="0">
        <references count="2">
          <reference field="0" count="2">
            <x v="0"/>
            <x v="2"/>
          </reference>
          <reference field="1" count="1" selected="0">
            <x v="1"/>
          </reference>
        </references>
      </pivotArea>
    </format>
    <format dxfId="122">
      <pivotArea dataOnly="0" labelOnly="1" fieldPosition="0">
        <references count="2">
          <reference field="0" count="2">
            <x v="1"/>
            <x v="2"/>
          </reference>
          <reference field="1" count="1" selected="0">
            <x v="2"/>
          </reference>
        </references>
      </pivotArea>
    </format>
    <format dxfId="121">
      <pivotArea dataOnly="0" labelOnly="1" fieldPosition="0">
        <references count="2">
          <reference field="0" count="1">
            <x v="2"/>
          </reference>
          <reference field="1" count="1" selected="0">
            <x v="3"/>
          </reference>
        </references>
      </pivotArea>
    </format>
    <format dxfId="120">
      <pivotArea outline="0" collapsedLevelsAreSubtotals="1" fieldPosition="0">
        <references count="2">
          <reference field="0" count="1" selected="0">
            <x v="0"/>
          </reference>
          <reference field="1" count="1" selected="0">
            <x v="0"/>
          </reference>
        </references>
      </pivotArea>
    </format>
    <format dxfId="119">
      <pivotArea outline="0" collapsedLevelsAreSubtotals="1" fieldPosition="0">
        <references count="2">
          <reference field="0" count="1" selected="0">
            <x v="0"/>
          </reference>
          <reference field="1" count="1" selected="0">
            <x v="1"/>
          </reference>
        </references>
      </pivotArea>
    </format>
    <format dxfId="118">
      <pivotArea outline="0" collapsedLevelsAreSubtotals="1" fieldPosition="0">
        <references count="2">
          <reference field="0" count="1" selected="0">
            <x v="1"/>
          </reference>
          <reference field="1" count="1" selected="0">
            <x v="2"/>
          </reference>
        </references>
      </pivotArea>
    </format>
    <format dxfId="117">
      <pivotArea outline="0" fieldPosition="0">
        <references count="1">
          <reference field="4294967294" count="1">
            <x v="0"/>
          </reference>
        </references>
      </pivotArea>
    </format>
    <format dxfId="116">
      <pivotArea outline="0" collapsedLevelsAreSubtotals="1" fieldPosition="0">
        <references count="1">
          <reference field="1" count="1" selected="0">
            <x v="3"/>
          </reference>
        </references>
      </pivotArea>
    </format>
    <format dxfId="115">
      <pivotArea outline="0" collapsedLevelsAreSubtotals="1" fieldPosition="0"/>
    </format>
    <format dxfId="114">
      <pivotArea dataOnly="0" labelOnly="1" outline="0" fieldPosition="0">
        <references count="1">
          <reference field="2" count="0"/>
        </references>
      </pivotArea>
    </format>
    <format dxfId="113">
      <pivotArea field="1" type="button" dataOnly="0" labelOnly="1" outline="0" axis="axisCol" fieldPosition="0"/>
    </format>
    <format dxfId="112">
      <pivotArea field="0" type="button" dataOnly="0" labelOnly="1" outline="0" axis="axisCol" fieldPosition="1"/>
    </format>
    <format dxfId="111">
      <pivotArea type="topRight" dataOnly="0" labelOnly="1" outline="0" fieldPosition="0"/>
    </format>
    <format dxfId="110">
      <pivotArea dataOnly="0" labelOnly="1" fieldPosition="0">
        <references count="1">
          <reference field="1" count="4">
            <x v="0"/>
            <x v="1"/>
            <x v="2"/>
            <x v="3"/>
          </reference>
        </references>
      </pivotArea>
    </format>
    <format dxfId="109">
      <pivotArea dataOnly="0" labelOnly="1" fieldPosition="0">
        <references count="2">
          <reference field="0" count="0"/>
          <reference field="1" count="1" selected="0">
            <x v="0"/>
          </reference>
        </references>
      </pivotArea>
    </format>
    <format dxfId="108">
      <pivotArea dataOnly="0" labelOnly="1" fieldPosition="0">
        <references count="2">
          <reference field="0" count="2">
            <x v="0"/>
            <x v="2"/>
          </reference>
          <reference field="1" count="1" selected="0">
            <x v="1"/>
          </reference>
        </references>
      </pivotArea>
    </format>
    <format dxfId="107">
      <pivotArea dataOnly="0" labelOnly="1" fieldPosition="0">
        <references count="2">
          <reference field="0" count="2">
            <x v="1"/>
            <x v="2"/>
          </reference>
          <reference field="1" count="1" selected="0">
            <x v="2"/>
          </reference>
        </references>
      </pivotArea>
    </format>
    <format dxfId="106">
      <pivotArea dataOnly="0" labelOnly="1" fieldPosition="0">
        <references count="2">
          <reference field="0" count="1">
            <x v="2"/>
          </reference>
          <reference field="1" count="1" selected="0">
            <x v="3"/>
          </reference>
        </references>
      </pivotArea>
    </format>
    <format dxfId="105">
      <pivotArea type="origin" dataOnly="0" labelOnly="1" outline="0" fieldPosition="0"/>
    </format>
    <format dxfId="104">
      <pivotArea field="3" type="button" dataOnly="0" labelOnly="1" outline="0" axis="axisRow" fieldPosition="0"/>
    </format>
  </formats>
  <pivotHierarchies count="195">
    <pivotHierarchy dragToData="1"/>
    <pivotHierarchy dragToData="1"/>
    <pivotHierarchy dragToData="1"/>
    <pivotHierarchy dragToData="1"/>
    <pivotHierarchy dragToData="1"/>
    <pivotHierarchy dragToData="1"/>
    <pivotHierarchy dragToData="1"/>
    <pivotHierarchy multipleItemSelectionAllowed="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fActualAndBudget].[ObrazecIme].&amp;[Finansiski plan_Bilans na uspeh]"/>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4">
    <rowHierarchyUsage hierarchyUsage="40"/>
    <rowHierarchyUsage hierarchyUsage="39"/>
    <rowHierarchyUsage hierarchyUsage="38"/>
    <rowHierarchyUsage hierarchyUsage="36"/>
  </rowHierarchiesUsage>
  <colHierarchiesUsage count="2">
    <colHierarchyUsage hierarchyUsage="8"/>
    <colHierarchyUsage hierarchyUsage="35"/>
  </colHierarchiesUsage>
  <extLst>
    <ext xmlns:x14="http://schemas.microsoft.com/office/spreadsheetml/2009/9/main" uri="{962EF5D1-5CA2-4c93-8EF4-DBF5C05439D2}">
      <x14:pivotTableDefinition xmlns:xm="http://schemas.microsoft.com/office/excel/2006/main" fillDownLabelsDefault="1" calculatedMembersInFilters="1" hideValuesRow="1"/>
    </ext>
    <ext xmlns:x15="http://schemas.microsoft.com/office/spreadsheetml/2010/11/main" uri="{E67621CE-5B39-4880-91FE-76760E9C1902}">
      <x15:pivotTableUISettings>
        <x15:activeTabTopLevelEntity name="[fActualAndBudget]"/>
        <x15:activeTabTopLevelEntity name="[Calendar]"/>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21.xml><?xml version="1.0" encoding="utf-8"?>
<pivotTableDefinition xmlns="http://schemas.openxmlformats.org/spreadsheetml/2006/main" xmlns:mc="http://schemas.openxmlformats.org/markup-compatibility/2006" xmlns:xr="http://schemas.microsoft.com/office/spreadsheetml/2014/revision" mc:Ignorable="xr" xr:uid="{00000000-0007-0000-1700-000000000000}" name="PivotTable4" cacheId="27" applyNumberFormats="0" applyBorderFormats="0" applyFontFormats="0" applyPatternFormats="0" applyAlignmentFormats="0" applyWidthHeightFormats="1" dataCaption="Values" tag="cca56bb4-b019-44ca-8702-88fda8f225a6" updatedVersion="6" minRefreshableVersion="3" showDataTips="0" subtotalHiddenItems="1" colGrandTotals="0" itemPrintTitles="1" createdVersion="5" indent="0" outline="1" outlineData="1">
  <location ref="A4:B27" firstHeaderRow="1" firstDataRow="1" firstDataCol="1" rowPageCount="1" colPageCount="1"/>
  <pivotFields count="10">
    <pivotField allDrilled="1" showAll="0" dataSourceSort="1" defaultAttributeDrillState="1">
      <items count="4">
        <item s="1" x="0"/>
        <item s="1" x="1"/>
        <item s="1" x="2"/>
        <item t="default"/>
      </items>
    </pivotField>
    <pivotField allDrilled="1" showAll="0" dataSourceSort="1" defaultAttributeDrillState="1"/>
    <pivotField allDrilled="1" showAll="0" defaultAttributeDrillState="1">
      <items count="2">
        <item s="1" x="0"/>
        <item t="default"/>
      </items>
    </pivotField>
    <pivotField allDrilled="1" showAll="0" dataSourceSort="1" defaultAttributeDrillState="1"/>
    <pivotField allDrilled="1" showAll="0" dataSourceSort="1" defaultAttributeDrillState="1"/>
    <pivotField axis="axisRow" allDrilled="1" showAll="0" dataSourceSort="1" defaultAttributeDrillState="1">
      <items count="17">
        <item x="0"/>
        <item x="1"/>
        <item x="2"/>
        <item x="3"/>
        <item x="4"/>
        <item x="5"/>
        <item x="6"/>
        <item x="7"/>
        <item x="8"/>
        <item x="9"/>
        <item x="10"/>
        <item x="11"/>
        <item x="12"/>
        <item x="13"/>
        <item x="14"/>
        <item x="15"/>
        <item t="default"/>
      </items>
    </pivotField>
    <pivotField axis="axisRow" allDrilled="1" showAll="0" dataSourceSort="1" defaultAttributeDrillState="1">
      <items count="3">
        <item x="0"/>
        <item x="1"/>
        <item t="default"/>
      </items>
    </pivotField>
    <pivotField dataField="1" showAll="0"/>
    <pivotField axis="axisPage" allDrilled="1" showAll="0" dataSourceSort="1" defaultAttributeDrillState="1">
      <items count="1">
        <item t="default"/>
      </items>
    </pivotField>
    <pivotField axis="axisRow" allDrilled="1" showAll="0" dataSourceSort="1" defaultAttributeDrillState="1">
      <items count="5">
        <item x="0"/>
        <item x="1"/>
        <item x="2"/>
        <item x="3"/>
        <item t="default"/>
      </items>
    </pivotField>
  </pivotFields>
  <rowFields count="3">
    <field x="6"/>
    <field x="9"/>
    <field x="5"/>
  </rowFields>
  <rowItems count="23">
    <i>
      <x/>
    </i>
    <i r="1">
      <x/>
    </i>
    <i r="2">
      <x/>
    </i>
    <i r="2">
      <x v="1"/>
    </i>
    <i r="2">
      <x v="2"/>
    </i>
    <i r="2">
      <x v="3"/>
    </i>
    <i r="2">
      <x v="4"/>
    </i>
    <i>
      <x v="1"/>
    </i>
    <i r="1">
      <x v="1"/>
    </i>
    <i r="2">
      <x v="5"/>
    </i>
    <i r="2">
      <x v="6"/>
    </i>
    <i r="1">
      <x v="2"/>
    </i>
    <i r="2">
      <x v="7"/>
    </i>
    <i r="2">
      <x v="8"/>
    </i>
    <i r="2">
      <x v="9"/>
    </i>
    <i r="2">
      <x v="10"/>
    </i>
    <i r="1">
      <x v="3"/>
    </i>
    <i r="2">
      <x v="11"/>
    </i>
    <i r="2">
      <x v="12"/>
    </i>
    <i r="2">
      <x v="13"/>
    </i>
    <i r="2">
      <x v="14"/>
    </i>
    <i r="2">
      <x v="15"/>
    </i>
    <i t="grand">
      <x/>
    </i>
  </rowItems>
  <colItems count="1">
    <i/>
  </colItems>
  <pageFields count="1">
    <pageField fld="8" hier="87" name="[fCoveckiResursi  2].[ObrazecIme].&amp;[Finansiski plan_Bilans na uspeh]" cap="Finansiski plan_Bilans na uspeh"/>
  </pageFields>
  <dataFields count="1">
    <dataField name="Sum of Износ" fld="7" baseField="0" baseItem="0"/>
  </dataFields>
  <formats count="3">
    <format dxfId="103">
      <pivotArea dataOnly="0" labelOnly="1" grandRow="1" outline="0" fieldPosition="0"/>
    </format>
    <format dxfId="102">
      <pivotArea outline="0" collapsedLevelsAreSubtotals="1" fieldPosition="0"/>
    </format>
    <format dxfId="101">
      <pivotArea dataOnly="0" labelOnly="1" outline="0" axis="axisValues" fieldPosition="0"/>
    </format>
  </formats>
  <pivotHierarchies count="195">
    <pivotHierarchy dragToData="1"/>
    <pivotHierarchy dragToData="1"/>
    <pivotHierarchy dragToData="1"/>
    <pivotHierarchy dragToData="1"/>
    <pivotHierarchy dragToData="1"/>
    <pivotHierarchy dragToData="1"/>
    <pivotHierarchy dragToData="1"/>
    <pivotHierarchy multipleItemSelectionAllowed="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multipleItemSelectionAllowed="1" dragToData="1"/>
    <pivotHierarchy multipleItemSelectionAllowed="1" dragToData="1">
      <members count="1" level="1">
        <member name="[fActualAndBudget].[StavkaKategorija].&amp;[2.32. Потрошени суровини и материјали]"/>
      </members>
    </pivotHierarchy>
    <pivotHierarchy dragToData="1"/>
    <pivotHierarchy dragToData="1"/>
    <pivotHierarchy dragToData="1"/>
    <pivotHierarchy multipleItemSelectionAllowed="1" dragToData="1">
      <members count="1" level="1">
        <member name="[fActualAndBudget].[ObrazecIme].&amp;[Finansiski plan_Bilans na uspeh]"/>
      </members>
    </pivotHierarchy>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fCoveckiResursi  2].[ObrazecIme].&amp;[Finansiski plan_Bilans na uspeh]"/>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OPEXAnaliza].[ReportType].&amp;[План]"/>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3">
    <rowHierarchyUsage hierarchyUsage="86"/>
    <rowHierarchyUsage hierarchyUsage="85"/>
    <rowHierarchyUsage hierarchyUsage="80"/>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Calendar]"/>
        <x15:activeTabTopLevelEntity name="[fCoveckiResursi  2]"/>
      </x15:pivotTableUISettings>
    </ext>
    <ext xmlns:xpdl="http://schemas.microsoft.com/office/spreadsheetml/2016/pivotdefaultlayout" uri="{747A6164-185A-40DC-8AA5-F01512510D54}">
      <xpdl:pivotTableDefinition16/>
    </ext>
  </extLst>
</pivotTableDefinition>
</file>

<file path=xl/pivotTables/pivotTable22.xml><?xml version="1.0" encoding="utf-8"?>
<pivotTableDefinition xmlns="http://schemas.openxmlformats.org/spreadsheetml/2006/main" xmlns:mc="http://schemas.openxmlformats.org/markup-compatibility/2006" xmlns:xr="http://schemas.microsoft.com/office/spreadsheetml/2014/revision" mc:Ignorable="xr" xr:uid="{00000000-0007-0000-1800-000000000000}" name="PivotTable2" cacheId="7" applyNumberFormats="0" applyBorderFormats="0" applyFontFormats="0" applyPatternFormats="0" applyAlignmentFormats="0" applyWidthHeightFormats="1" dataCaption="Values" tag="5aa7b997-6ff6-4bc7-aab8-5566b1566a04" updatedVersion="6" minRefreshableVersion="3" showDataTips="0" subtotalHiddenItems="1" rowGrandTotals="0" colGrandTotals="0" itemPrintTitles="1" createdVersion="5" indent="0" compact="0" compactData="0">
  <location ref="A5:I148" firstHeaderRow="0" firstDataRow="1" firstDataCol="4" rowPageCount="2" colPageCount="1"/>
  <pivotFields count="18">
    <pivotField compact="0" allDrilled="1" outline="0" showAll="0" dataSourceSort="1"/>
    <pivotField compact="0" outline="0" showAll="0" dataSourceSort="1"/>
    <pivotField compact="0" outline="0" showAll="0" dataSourceSort="1"/>
    <pivotField compact="0" allDrilled="1" outline="0" showAll="0" dataSourceSort="1" defaultAttributeDrillState="1">
      <items count="4">
        <item s="1" x="0"/>
        <item s="1" x="1"/>
        <item s="1" x="2"/>
        <item t="default"/>
      </items>
    </pivotField>
    <pivotField compact="0" allDrilled="1" outline="0" showAll="0" dataSourceSort="1" defaultAttributeDrillState="1"/>
    <pivotField compact="0" allDrilled="1" outline="0" showAll="0" dataSourceSort="1" defaultAttributeDrillState="1"/>
    <pivotField compact="0" allDrilled="1" outline="0" showAll="0" dataSourceSort="1" defaultAttributeDrillState="1"/>
    <pivotField axis="axisRow" compact="0" allDrilled="1" outline="0" showAll="0" dataSourceSort="1" defaultSubtotal="0" defaultAttributeDrillState="1">
      <items count="12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s>
    </pivotField>
    <pivotField axis="axisRow" compact="0" allDrilled="1" outline="0" showAll="0" dataSourceSort="1" defaultAttributeDrillState="1">
      <items count="19">
        <item x="0"/>
        <item x="1"/>
        <item x="2"/>
        <item x="3"/>
        <item x="4"/>
        <item x="5"/>
        <item x="6"/>
        <item x="7"/>
        <item x="8"/>
        <item x="9"/>
        <item x="10"/>
        <item x="11"/>
        <item x="12"/>
        <item x="13"/>
        <item x="14"/>
        <item x="15"/>
        <item x="16"/>
        <item x="17"/>
        <item t="default"/>
      </items>
    </pivotField>
    <pivotField axis="axisRow" compact="0" allDrilled="1" outline="0" showAll="0" dataSourceSort="1" defaultAttributeDrillState="1">
      <items count="14">
        <item x="0"/>
        <item x="1"/>
        <item x="2"/>
        <item x="3"/>
        <item x="4"/>
        <item x="5"/>
        <item x="6"/>
        <item x="7"/>
        <item x="8"/>
        <item x="9"/>
        <item x="10"/>
        <item x="11"/>
        <item x="12"/>
        <item t="default"/>
      </items>
    </pivotField>
    <pivotField dataField="1" compact="0" outline="0" showAll="0"/>
    <pivotField dataField="1" compact="0" outline="0" showAll="0"/>
    <pivotField dataField="1" compact="0" outline="0" showAll="0"/>
    <pivotField dataField="1" compact="0" outline="0" showAll="0"/>
    <pivotField dataField="1" compact="0" outline="0" showAll="0"/>
    <pivotField axis="axisPage" compact="0" allDrilled="1" outline="0" showAll="0" dataSourceSort="1" defaultAttributeDrillState="1">
      <items count="1">
        <item t="default"/>
      </items>
    </pivotField>
    <pivotField axis="axisPage" compact="0" allDrilled="1" outline="0" showAll="0" dataSourceSort="1" defaultAttributeDrillState="1">
      <items count="1">
        <item t="default"/>
      </items>
    </pivotField>
    <pivotField name="Опис на трошок" axis="axisRow" compact="0" allDrilled="1" outline="0" showAll="0" dataSourceSort="1" defaultAttributeDrillState="1">
      <items count="2">
        <item s="1" x="0"/>
        <item t="default"/>
      </items>
    </pivotField>
  </pivotFields>
  <rowFields count="4">
    <field x="17"/>
    <field x="9"/>
    <field x="7"/>
    <field x="8"/>
  </rowFields>
  <rowItems count="143">
    <i>
      <x/>
      <x/>
      <x/>
      <x/>
    </i>
    <i r="2">
      <x v="1"/>
      <x/>
    </i>
    <i r="2">
      <x v="2"/>
      <x/>
    </i>
    <i r="2">
      <x v="3"/>
      <x/>
    </i>
    <i r="2">
      <x v="4"/>
      <x/>
    </i>
    <i r="2">
      <x v="5"/>
      <x/>
    </i>
    <i r="2">
      <x v="6"/>
      <x/>
    </i>
    <i r="2">
      <x v="7"/>
      <x/>
    </i>
    <i r="2">
      <x v="8"/>
      <x/>
    </i>
    <i r="2">
      <x v="9"/>
      <x/>
    </i>
    <i r="2">
      <x v="10"/>
      <x/>
    </i>
    <i t="default" r="1">
      <x/>
    </i>
    <i r="1">
      <x v="1"/>
      <x v="11"/>
      <x v="1"/>
    </i>
    <i t="default" r="1">
      <x v="1"/>
    </i>
    <i r="1">
      <x v="2"/>
      <x v="12"/>
      <x v="2"/>
    </i>
    <i r="2">
      <x v="13"/>
      <x v="2"/>
    </i>
    <i r="2">
      <x v="14"/>
      <x v="2"/>
    </i>
    <i t="default" r="1">
      <x v="2"/>
    </i>
    <i r="1">
      <x v="3"/>
      <x v="15"/>
      <x v="3"/>
    </i>
    <i r="2">
      <x v="16"/>
      <x v="3"/>
    </i>
    <i r="2">
      <x v="17"/>
      <x v="3"/>
    </i>
    <i r="2">
      <x v="18"/>
      <x v="1"/>
    </i>
    <i r="2">
      <x v="19"/>
      <x v="4"/>
    </i>
    <i r="2">
      <x v="20"/>
      <x v="4"/>
    </i>
    <i r="2">
      <x v="21"/>
      <x v="4"/>
    </i>
    <i r="2">
      <x v="22"/>
      <x v="4"/>
    </i>
    <i t="default" r="1">
      <x v="3"/>
    </i>
    <i r="1">
      <x v="4"/>
      <x v="23"/>
      <x v="5"/>
    </i>
    <i r="2">
      <x v="24"/>
      <x v="6"/>
    </i>
    <i r="2">
      <x v="25"/>
      <x v="5"/>
    </i>
    <i r="2">
      <x v="26"/>
      <x v="5"/>
    </i>
    <i r="2">
      <x v="27"/>
      <x v="5"/>
    </i>
    <i r="2">
      <x v="28"/>
      <x v="5"/>
    </i>
    <i r="2">
      <x v="29"/>
      <x v="5"/>
    </i>
    <i r="2">
      <x v="30"/>
      <x v="5"/>
    </i>
    <i r="2">
      <x v="31"/>
      <x v="5"/>
    </i>
    <i t="default" r="1">
      <x v="4"/>
    </i>
    <i r="1">
      <x v="5"/>
      <x v="32"/>
      <x v="1"/>
    </i>
    <i r="2">
      <x v="33"/>
      <x v="1"/>
    </i>
    <i r="2">
      <x v="34"/>
      <x v="7"/>
    </i>
    <i r="2">
      <x v="35"/>
      <x v="1"/>
    </i>
    <i t="default" r="1">
      <x v="5"/>
    </i>
    <i r="1">
      <x v="6"/>
      <x v="36"/>
      <x v="8"/>
    </i>
    <i r="2">
      <x v="37"/>
      <x v="1"/>
    </i>
    <i t="default" r="1">
      <x v="6"/>
    </i>
    <i r="1">
      <x v="7"/>
      <x v="38"/>
      <x v="5"/>
    </i>
    <i r="2">
      <x v="39"/>
      <x v="9"/>
    </i>
    <i r="2">
      <x v="40"/>
      <x v="6"/>
    </i>
    <i r="2">
      <x v="41"/>
      <x v="6"/>
    </i>
    <i r="2">
      <x v="42"/>
      <x v="6"/>
    </i>
    <i r="2">
      <x v="43"/>
      <x v="9"/>
    </i>
    <i r="2">
      <x v="44"/>
      <x v="10"/>
    </i>
    <i r="2">
      <x v="45"/>
      <x v="5"/>
    </i>
    <i r="2">
      <x v="46"/>
      <x v="11"/>
    </i>
    <i r="2">
      <x v="47"/>
      <x v="12"/>
    </i>
    <i r="2">
      <x v="48"/>
      <x v="5"/>
    </i>
    <i r="2">
      <x v="49"/>
      <x v="7"/>
    </i>
    <i r="2">
      <x v="50"/>
      <x v="12"/>
    </i>
    <i r="2">
      <x v="51"/>
      <x v="12"/>
    </i>
    <i r="2">
      <x v="52"/>
      <x v="10"/>
    </i>
    <i r="2">
      <x v="53"/>
      <x v="13"/>
    </i>
    <i r="2">
      <x v="54"/>
      <x v="14"/>
    </i>
    <i r="2">
      <x v="55"/>
      <x v="14"/>
    </i>
    <i r="2">
      <x v="56"/>
      <x v="5"/>
    </i>
    <i r="2">
      <x v="57"/>
      <x v="15"/>
    </i>
    <i r="2">
      <x v="58"/>
      <x v="8"/>
    </i>
    <i r="2">
      <x v="59"/>
      <x v="13"/>
    </i>
    <i r="2">
      <x v="60"/>
      <x v="11"/>
    </i>
    <i t="default" r="1">
      <x v="7"/>
    </i>
    <i r="1">
      <x v="8"/>
      <x v="61"/>
      <x v="5"/>
    </i>
    <i r="2">
      <x v="62"/>
      <x v="7"/>
    </i>
    <i r="2">
      <x v="63"/>
      <x v="5"/>
    </i>
    <i r="2">
      <x v="64"/>
      <x v="1"/>
    </i>
    <i r="2">
      <x v="65"/>
      <x v="1"/>
    </i>
    <i r="2">
      <x v="66"/>
      <x v="16"/>
    </i>
    <i r="2">
      <x v="67"/>
      <x v="16"/>
    </i>
    <i r="2">
      <x v="68"/>
      <x v="5"/>
    </i>
    <i r="2">
      <x v="69"/>
      <x v="5"/>
    </i>
    <i r="2">
      <x v="70"/>
      <x v="8"/>
    </i>
    <i r="2">
      <x v="71"/>
      <x v="1"/>
    </i>
    <i r="2">
      <x v="72"/>
      <x v="7"/>
    </i>
    <i r="2">
      <x v="73"/>
      <x v="7"/>
    </i>
    <i r="2">
      <x v="74"/>
      <x v="1"/>
    </i>
    <i r="2">
      <x v="75"/>
      <x v="6"/>
    </i>
    <i r="2">
      <x v="76"/>
      <x v="1"/>
    </i>
    <i r="2">
      <x v="77"/>
      <x v="5"/>
    </i>
    <i r="2">
      <x v="78"/>
      <x v="5"/>
    </i>
    <i r="2">
      <x v="79"/>
      <x v="5"/>
    </i>
    <i r="2">
      <x v="80"/>
      <x v="7"/>
    </i>
    <i r="2">
      <x v="81"/>
      <x v="16"/>
    </i>
    <i r="2">
      <x v="82"/>
      <x v="16"/>
    </i>
    <i r="2">
      <x v="83"/>
      <x v="7"/>
    </i>
    <i r="2">
      <x v="84"/>
      <x v="5"/>
    </i>
    <i r="2">
      <x v="85"/>
      <x v="7"/>
    </i>
    <i r="2">
      <x v="86"/>
      <x v="7"/>
    </i>
    <i r="2">
      <x v="87"/>
      <x v="7"/>
    </i>
    <i r="2">
      <x v="88"/>
      <x v="1"/>
    </i>
    <i r="2">
      <x v="89"/>
      <x v="5"/>
    </i>
    <i r="2">
      <x v="90"/>
      <x v="10"/>
    </i>
    <i r="2">
      <x v="91"/>
      <x v="5"/>
    </i>
    <i r="2">
      <x v="92"/>
      <x v="5"/>
    </i>
    <i t="default" r="1">
      <x v="8"/>
    </i>
    <i r="1">
      <x v="9"/>
      <x v="93"/>
      <x v="5"/>
    </i>
    <i r="2">
      <x v="94"/>
      <x v="5"/>
    </i>
    <i r="2">
      <x v="95"/>
      <x v="5"/>
    </i>
    <i r="2">
      <x v="96"/>
      <x v="5"/>
    </i>
    <i r="2">
      <x v="97"/>
      <x v="5"/>
    </i>
    <i r="2">
      <x v="98"/>
      <x v="5"/>
    </i>
    <i t="default" r="1">
      <x v="9"/>
    </i>
    <i r="1">
      <x v="10"/>
      <x v="99"/>
      <x v="1"/>
    </i>
    <i r="2">
      <x v="100"/>
      <x v="1"/>
    </i>
    <i r="2">
      <x v="101"/>
      <x v="1"/>
    </i>
    <i r="2">
      <x v="102"/>
      <x v="1"/>
    </i>
    <i r="2">
      <x v="103"/>
      <x v="1"/>
    </i>
    <i r="2">
      <x v="104"/>
      <x v="1"/>
    </i>
    <i r="2">
      <x v="105"/>
      <x v="17"/>
    </i>
    <i r="2">
      <x v="106"/>
      <x v="1"/>
    </i>
    <i r="2">
      <x v="107"/>
      <x v="1"/>
    </i>
    <i t="default" r="1">
      <x v="10"/>
    </i>
    <i r="1">
      <x v="11"/>
      <x v="108"/>
      <x v="8"/>
    </i>
    <i r="2">
      <x v="109"/>
      <x v="8"/>
    </i>
    <i r="2">
      <x v="110"/>
      <x v="10"/>
    </i>
    <i r="2">
      <x v="111"/>
      <x v="8"/>
    </i>
    <i r="2">
      <x v="112"/>
      <x v="6"/>
    </i>
    <i r="2">
      <x v="113"/>
      <x v="8"/>
    </i>
    <i r="2">
      <x v="114"/>
      <x v="8"/>
    </i>
    <i r="2">
      <x v="115"/>
      <x v="8"/>
    </i>
    <i r="2">
      <x v="116"/>
      <x v="8"/>
    </i>
    <i r="2">
      <x v="117"/>
      <x v="5"/>
    </i>
    <i r="2">
      <x v="118"/>
      <x v="8"/>
    </i>
    <i r="2">
      <x v="119"/>
      <x v="6"/>
    </i>
    <i r="2">
      <x v="120"/>
      <x v="6"/>
    </i>
    <i r="2">
      <x v="121"/>
      <x v="8"/>
    </i>
    <i r="2">
      <x v="122"/>
      <x v="8"/>
    </i>
    <i t="default" r="1">
      <x v="11"/>
    </i>
    <i r="1">
      <x v="12"/>
      <x v="123"/>
      <x v="1"/>
    </i>
    <i r="2">
      <x v="124"/>
      <x v="7"/>
    </i>
    <i r="2">
      <x v="125"/>
      <x v="1"/>
    </i>
    <i r="2">
      <x v="126"/>
      <x v="1"/>
    </i>
    <i r="2">
      <x v="127"/>
      <x v="1"/>
    </i>
    <i r="2">
      <x v="128"/>
      <x v="1"/>
    </i>
    <i t="default" r="1">
      <x v="12"/>
    </i>
    <i t="default">
      <x/>
    </i>
  </rowItems>
  <colFields count="1">
    <field x="-2"/>
  </colFields>
  <colItems count="5">
    <i>
      <x/>
    </i>
    <i i="1">
      <x v="1"/>
    </i>
    <i i="2">
      <x v="2"/>
    </i>
    <i i="3">
      <x v="3"/>
    </i>
    <i i="4">
      <x v="4"/>
    </i>
  </colItems>
  <pageFields count="2">
    <pageField fld="15" hier="125" name="[rArtikli_HR_Analiza].[Период].[All]" cap="All"/>
    <pageField fld="16" hier="130" name="[rArtikli_HR_Analiza].[ObrazecIme].[All]" cap="All"/>
  </pageFields>
  <dataFields count="5">
    <dataField name="Количина" fld="10" baseField="9" baseItem="14" numFmtId="3"/>
    <dataField name="Единечна цена" fld="11" baseField="9" baseItem="14" numFmtId="3"/>
    <dataField name="Вкупно трошок" fld="12" baseField="9" baseItem="13" numFmtId="3"/>
    <dataField name="ДДВ %" fld="13" baseField="9" baseItem="13" numFmtId="9"/>
    <dataField name="Износ" fld="14" baseField="9" baseItem="13" numFmtId="3"/>
  </dataFields>
  <formats count="22">
    <format dxfId="100">
      <pivotArea type="all" dataOnly="0" outline="0" fieldPosition="0"/>
    </format>
    <format dxfId="99">
      <pivotArea outline="0" collapsedLevelsAreSubtotals="1" fieldPosition="0"/>
    </format>
    <format dxfId="98">
      <pivotArea type="topRight" dataOnly="0" labelOnly="1" outline="0" offset="B1" fieldPosition="0"/>
    </format>
    <format dxfId="97">
      <pivotArea outline="0" fieldPosition="0">
        <references count="1">
          <reference field="4294967294" count="1">
            <x v="0"/>
          </reference>
        </references>
      </pivotArea>
    </format>
    <format dxfId="96">
      <pivotArea outline="0" fieldPosition="0">
        <references count="1">
          <reference field="4294967294" count="1">
            <x v="1"/>
          </reference>
        </references>
      </pivotArea>
    </format>
    <format dxfId="95">
      <pivotArea outline="0" fieldPosition="0">
        <references count="1">
          <reference field="4294967294" count="1">
            <x v="2"/>
          </reference>
        </references>
      </pivotArea>
    </format>
    <format dxfId="94">
      <pivotArea outline="0" fieldPosition="0">
        <references count="1">
          <reference field="4294967294" count="1">
            <x v="3"/>
          </reference>
        </references>
      </pivotArea>
    </format>
    <format dxfId="93">
      <pivotArea outline="0" fieldPosition="0">
        <references count="1">
          <reference field="4294967294" count="1">
            <x v="4"/>
          </reference>
        </references>
      </pivotArea>
    </format>
    <format dxfId="92">
      <pivotArea field="8" type="button" dataOnly="0" labelOnly="1" outline="0" axis="axisRow" fieldPosition="3"/>
    </format>
    <format dxfId="91">
      <pivotArea dataOnly="0" labelOnly="1" outline="0" fieldPosition="0">
        <references count="1">
          <reference field="4294967294" count="5">
            <x v="0"/>
            <x v="1"/>
            <x v="2"/>
            <x v="3"/>
            <x v="4"/>
          </reference>
        </references>
      </pivotArea>
    </format>
    <format dxfId="90">
      <pivotArea field="17" type="button" dataOnly="0" labelOnly="1" outline="0" axis="axisRow" fieldPosition="0"/>
    </format>
    <format dxfId="89">
      <pivotArea field="9" type="button" dataOnly="0" labelOnly="1" outline="0" axis="axisRow" fieldPosition="1"/>
    </format>
    <format dxfId="88">
      <pivotArea field="7" type="button" dataOnly="0" labelOnly="1" outline="0" axis="axisRow" fieldPosition="2"/>
    </format>
    <format dxfId="87">
      <pivotArea field="8" type="button" dataOnly="0" labelOnly="1" outline="0" axis="axisRow" fieldPosition="3"/>
    </format>
    <format dxfId="86">
      <pivotArea dataOnly="0" labelOnly="1" outline="0" fieldPosition="0">
        <references count="1">
          <reference field="4294967294" count="5">
            <x v="0"/>
            <x v="1"/>
            <x v="2"/>
            <x v="3"/>
            <x v="4"/>
          </reference>
        </references>
      </pivotArea>
    </format>
    <format dxfId="85">
      <pivotArea field="17" type="button" dataOnly="0" labelOnly="1" outline="0" axis="axisRow" fieldPosition="0"/>
    </format>
    <format dxfId="84">
      <pivotArea field="9" type="button" dataOnly="0" labelOnly="1" outline="0" axis="axisRow" fieldPosition="1"/>
    </format>
    <format dxfId="83">
      <pivotArea field="7" type="button" dataOnly="0" labelOnly="1" outline="0" axis="axisRow" fieldPosition="2"/>
    </format>
    <format dxfId="82">
      <pivotArea dataOnly="0" labelOnly="1" outline="0" fieldPosition="0">
        <references count="1">
          <reference field="4294967294" count="5">
            <x v="0"/>
            <x v="1"/>
            <x v="2"/>
            <x v="3"/>
            <x v="4"/>
          </reference>
        </references>
      </pivotArea>
    </format>
    <format dxfId="81">
      <pivotArea outline="0" fieldPosition="0">
        <references count="1">
          <reference field="17" count="1" selected="0" defaultSubtotal="1">
            <x v="0"/>
          </reference>
        </references>
      </pivotArea>
    </format>
    <format dxfId="80">
      <pivotArea field="8" type="button" dataOnly="0" labelOnly="1" outline="0" axis="axisRow" fieldPosition="3"/>
    </format>
    <format dxfId="79">
      <pivotArea dataOnly="0" labelOnly="1" outline="0" fieldPosition="0">
        <references count="1">
          <reference field="17" count="1" defaultSubtotal="1">
            <x v="0"/>
          </reference>
        </references>
      </pivotArea>
    </format>
  </formats>
  <pivotHierarchies count="195">
    <pivotHierarchy dragToData="1"/>
    <pivotHierarchy dragToData="1"/>
    <pivotHierarchy dragToData="1"/>
    <pivotHierarchy dragToData="1"/>
    <pivotHierarchy dragToData="1"/>
    <pivotHierarchy dragToData="1"/>
    <pivotHierarchy dragToData="1"/>
    <pivotHierarchy multipleItemSelectionAllowed="1">
      <members count="1" level="1">
        <member name="[Calendar].[Date Hierarchy].[Year].&amp;[2020]"/>
      </members>
    </pivotHierarchy>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fActualAndBudget].[ObrazecIme].&amp;[Finansiski plan_Bilans na uspeh]"/>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multipleItemSelectionAllowed="1" dragToData="1">
      <members count="1" level="1">
        <member name="[fArtikliCeni].[ObrazecIme].&amp;[Finansiski plan_Bilans na uspeh]"/>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rArtikliAnaliza].[Период (Year)].&amp;[2021]"/>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Вкупно трошок"/>
    <pivotHierarchy dragToData="1" caption="Количина"/>
    <pivotHierarchy dragToData="1" caption="Единечна цена"/>
    <pivotHierarchy dragToData="1" caption="ДДВ"/>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4">
    <rowHierarchyUsage hierarchyUsage="131"/>
    <rowHierarchyUsage hierarchyUsage="115"/>
    <rowHierarchyUsage hierarchyUsage="114"/>
    <rowHierarchyUsage hierarchyUsage="117"/>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rArtikli_HR_Analiza]"/>
      </x15:pivotTableUISettings>
    </ext>
    <ext xmlns:xpdl="http://schemas.microsoft.com/office/spreadsheetml/2016/pivotdefaultlayout" uri="{747A6164-185A-40DC-8AA5-F01512510D54}">
      <xpdl:pivotTableDefinition16/>
    </ext>
  </extLst>
</pivotTableDefinition>
</file>

<file path=xl/pivotTables/pivotTable23.xml><?xml version="1.0" encoding="utf-8"?>
<pivotTableDefinition xmlns="http://schemas.openxmlformats.org/spreadsheetml/2006/main" xmlns:mc="http://schemas.openxmlformats.org/markup-compatibility/2006" xmlns:xr="http://schemas.microsoft.com/office/spreadsheetml/2014/revision" mc:Ignorable="xr" xr:uid="{00000000-0007-0000-1900-000000000000}" name="PivotTable2" cacheId="6" applyNumberFormats="0" applyBorderFormats="0" applyFontFormats="0" applyPatternFormats="0" applyAlignmentFormats="0" applyWidthHeightFormats="1" dataCaption="Values" tag="5aa7b997-6ff6-4bc7-aab8-5566b1566a04" updatedVersion="6" minRefreshableVersion="3" showDataTips="0" subtotalHiddenItems="1" rowGrandTotals="0" colGrandTotals="0" itemPrintTitles="1" createdVersion="5" indent="0" compact="0" compactData="0">
  <location ref="A5" firstHeaderRow="0" firstDataRow="0" firstDataCol="0" rowPageCount="2" colPageCount="1"/>
  <pivotFields count="10">
    <pivotField compact="0" allDrilled="1" outline="0" showAll="0" dataSourceSort="1"/>
    <pivotField compact="0" outline="0" showAll="0" dataSourceSort="1"/>
    <pivotField compact="0" outline="0" showAll="0" dataSourceSort="1"/>
    <pivotField compact="0" allDrilled="1" outline="0" showAll="0" dataSourceSort="1" defaultAttributeDrillState="1">
      <items count="4">
        <item s="1" x="0"/>
        <item s="1" x="1"/>
        <item s="1" x="2"/>
        <item t="default"/>
      </items>
    </pivotField>
    <pivotField compact="0" allDrilled="1" outline="0" showAll="0" dataSourceSort="1" defaultAttributeDrillState="1"/>
    <pivotField compact="0" allDrilled="1" outline="0" showAll="0" dataSourceSort="1" defaultAttributeDrillState="1"/>
    <pivotField compact="0" allDrilled="1" outline="0" showAll="0" dataSourceSort="1" defaultAttributeDrillState="1"/>
    <pivotField axis="axisPage" compact="0" allDrilled="1" outline="0" showAll="0" dataSourceSort="1" defaultAttributeDrillState="1">
      <items count="1">
        <item t="default"/>
      </items>
    </pivotField>
    <pivotField axis="axisPage" compact="0" allDrilled="1" outline="0" showAll="0" dataSourceSort="1" defaultAttributeDrillState="1">
      <items count="1">
        <item t="default"/>
      </items>
    </pivotField>
    <pivotField name="Опис на трошок" compact="0" allDrilled="1" outline="0" showAll="0" dataSourceSort="1" defaultAttributeDrillState="1">
      <items count="3">
        <item s="1" x="0"/>
        <item s="1" x="1"/>
        <item t="default"/>
      </items>
    </pivotField>
  </pivotFields>
  <pageFields count="2">
    <pageField fld="7" hier="125" name="[rArtikli_HR_Analiza].[Период].[All]" cap="All"/>
    <pageField fld="8" hier="130" name="[rArtikli_HR_Analiza].[ObrazecIme].[All]" cap="All"/>
  </pageFields>
  <formats count="5">
    <format dxfId="78">
      <pivotArea type="all" dataOnly="0" outline="0" fieldPosition="0"/>
    </format>
    <format dxfId="77">
      <pivotArea outline="0" collapsedLevelsAreSubtotals="1" fieldPosition="0"/>
    </format>
    <format dxfId="76">
      <pivotArea type="topRight" dataOnly="0" labelOnly="1" outline="0" offset="B1" fieldPosition="0"/>
    </format>
    <format dxfId="75">
      <pivotArea field="9" type="button" dataOnly="0" labelOnly="1" outline="0"/>
    </format>
    <format dxfId="74">
      <pivotArea field="9" type="button" dataOnly="0" labelOnly="1" outline="0"/>
    </format>
  </formats>
  <pivotHierarchies count="195">
    <pivotHierarchy dragToData="1"/>
    <pivotHierarchy dragToData="1"/>
    <pivotHierarchy dragToData="1"/>
    <pivotHierarchy dragToData="1"/>
    <pivotHierarchy dragToData="1"/>
    <pivotHierarchy dragToData="1"/>
    <pivotHierarchy dragToData="1"/>
    <pivotHierarchy multipleItemSelectionAllowed="1">
      <members count="1" level="1">
        <member name="[Calendar].[Date Hierarchy].[Year].&amp;[2020]"/>
      </members>
    </pivotHierarchy>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fActualAndBudget].[ObrazecIme].&amp;[Finansiski plan_Bilans na uspeh]"/>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multipleItemSelectionAllowed="1" dragToData="1">
      <members count="1" level="1">
        <member name="[fArtikliCeni].[ObrazecIme].&amp;[Finansiski plan_Bilans na uspeh]"/>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rArtikliAnaliza].[Период (Year)].&amp;[2021]"/>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Вкупно трошок"/>
    <pivotHierarchy dragToData="1" caption="Количина"/>
    <pivotHierarchy dragToData="1" caption="Единечна цена"/>
    <pivotHierarchy dragToData="1" caption="ДДВ"/>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rArtikli_HR_Analiza]"/>
      </x15:pivotTableUISettings>
    </ext>
    <ext xmlns:xpdl="http://schemas.microsoft.com/office/spreadsheetml/2016/pivotdefaultlayout" uri="{747A6164-185A-40DC-8AA5-F01512510D54}">
      <xpdl:pivotTableDefinition16/>
    </ext>
  </extLst>
</pivotTableDefinition>
</file>

<file path=xl/pivotTables/pivotTable24.xml><?xml version="1.0" encoding="utf-8"?>
<pivotTableDefinition xmlns="http://schemas.openxmlformats.org/spreadsheetml/2006/main" xmlns:mc="http://schemas.openxmlformats.org/markup-compatibility/2006" xmlns:xr="http://schemas.microsoft.com/office/spreadsheetml/2014/revision" mc:Ignorable="xr" xr:uid="{00000000-0007-0000-1A00-000000000000}" name="PivotTable2" cacheId="5" applyNumberFormats="0" applyBorderFormats="0" applyFontFormats="0" applyPatternFormats="0" applyAlignmentFormats="0" applyWidthHeightFormats="1" dataCaption="Values" tag="7ea3ca91-ea6e-4924-b3a0-3f9eab44d317" updatedVersion="6" minRefreshableVersion="3" showDataTips="0" subtotalHiddenItems="1" rowGrandTotals="0" colGrandTotals="0" itemPrintTitles="1" createdVersion="5" indent="0" outline="1" outlineData="1">
  <location ref="A5:I60" firstHeaderRow="1" firstDataRow="3" firstDataCol="1" rowPageCount="1" colPageCount="1"/>
  <pivotFields count="11">
    <pivotField allDrilled="1" showAll="0" dataSourceSort="1" defaultSubtotal="0"/>
    <pivotField showAll="0" dataSourceSort="1" defaultSubtotal="0"/>
    <pivotField showAll="0" dataSourceSort="1" defaultSubtotal="0"/>
    <pivotField axis="axisRow" allDrilled="1" showAll="0" dataSourceSort="1" defaultSubtotal="0">
      <items count="44">
        <item x="0" e="0"/>
        <item x="1" e="0"/>
        <item x="2" e="0"/>
        <item x="3" e="0"/>
        <item x="4" e="0"/>
        <item x="5" e="0"/>
        <item x="6" e="0"/>
        <item x="7" e="0"/>
        <item x="8" e="0"/>
        <item x="9" e="0"/>
        <item x="10" e="0"/>
        <item x="11" e="0"/>
        <item x="12" e="0"/>
        <item x="13" e="0"/>
        <item x="14" e="0"/>
        <item x="15" e="0"/>
        <item x="16" e="0"/>
        <item x="17" e="0"/>
        <item x="18" e="0"/>
        <item x="19" e="0"/>
        <item x="20" e="0"/>
        <item x="21" e="0"/>
        <item x="22" e="0"/>
        <item x="23" e="0"/>
        <item x="24" e="0"/>
        <item x="25" e="0"/>
        <item x="26" e="0"/>
        <item x="27" e="0"/>
        <item x="28" e="0"/>
        <item x="29" e="0"/>
        <item x="30" e="0"/>
        <item x="31" e="0"/>
        <item x="32" e="0"/>
        <item x="33" e="0"/>
        <item x="34" e="0"/>
        <item x="35" e="0"/>
        <item x="36" e="0"/>
        <item x="37" e="0"/>
        <item x="38" e="0"/>
        <item x="39" e="0"/>
        <item x="40" e="0"/>
        <item x="41" e="0"/>
        <item x="42" e="0"/>
        <item x="43" e="0"/>
      </items>
    </pivotField>
    <pivotField axis="axisRow" allDrilled="1" showAll="0" dataSourceSort="1" defaultSubtotal="0" defaultAttributeDrillState="1">
      <items count="24">
        <item x="0"/>
        <item x="1"/>
        <item x="2"/>
        <item x="3"/>
        <item x="4"/>
        <item x="5"/>
        <item x="6"/>
        <item x="7"/>
        <item x="8"/>
        <item x="9"/>
        <item x="10"/>
        <item x="11"/>
        <item x="12"/>
        <item x="13"/>
        <item x="14"/>
        <item x="15"/>
        <item x="16"/>
        <item x="17"/>
        <item x="18"/>
        <item x="19"/>
        <item x="20"/>
        <item x="21"/>
        <item x="22"/>
        <item x="23"/>
      </items>
    </pivotField>
    <pivotField axis="axisCol" allDrilled="1" showAll="0" defaultSubtotal="0" defaultAttributeDrillState="1">
      <items count="3">
        <item x="0"/>
        <item x="1"/>
        <item x="2"/>
      </items>
    </pivotField>
    <pivotField dataField="1" showAll="0"/>
    <pivotField axis="axisRow" allDrilled="1" showAll="0" dataSourceSort="1" defaultSubtotal="0">
      <items count="9">
        <item x="0"/>
        <item x="1"/>
        <item x="2"/>
        <item x="3"/>
        <item x="4"/>
        <item x="5" e="0"/>
        <item x="6"/>
        <item x="7"/>
        <item x="8"/>
      </items>
    </pivotField>
    <pivotField axis="axisRow" allDrilled="1" showAll="0" dataSourceSort="1" defaultSubtotal="0" defaultAttributeDrillState="1">
      <items count="24">
        <item x="0"/>
        <item x="1"/>
        <item x="2"/>
        <item x="3"/>
        <item x="4"/>
        <item x="5"/>
        <item x="6"/>
        <item x="7"/>
        <item x="8"/>
        <item x="9"/>
        <item x="10"/>
        <item x="11"/>
        <item x="12"/>
        <item x="13"/>
        <item x="14"/>
        <item x="15"/>
        <item x="16"/>
        <item x="17"/>
        <item x="18"/>
        <item x="19"/>
        <item x="20"/>
        <item x="21"/>
        <item x="22"/>
        <item x="23"/>
      </items>
    </pivotField>
    <pivotField axis="axisCol" allDrilled="1" showAll="0" dataSourceSort="1" defaultSubtotal="0" defaultAttributeDrillState="1">
      <items count="3">
        <item s="1" x="0"/>
        <item s="1" x="1"/>
        <item s="1" x="2"/>
      </items>
    </pivotField>
    <pivotField axis="axisPage" allDrilled="1" showAll="0" dataSourceSort="1" defaultSubtotal="0" defaultAttributeDrillState="1"/>
  </pivotFields>
  <rowFields count="4">
    <field x="7"/>
    <field x="3"/>
    <field x="4"/>
    <field x="8"/>
  </rowFields>
  <rowItems count="53">
    <i>
      <x/>
    </i>
    <i r="1">
      <x/>
    </i>
    <i r="1">
      <x v="1"/>
    </i>
    <i r="1">
      <x v="2"/>
    </i>
    <i r="1">
      <x v="3"/>
    </i>
    <i r="1">
      <x v="4"/>
    </i>
    <i r="1">
      <x v="5"/>
    </i>
    <i r="1">
      <x v="6"/>
    </i>
    <i r="1">
      <x v="7"/>
    </i>
    <i r="1">
      <x v="8"/>
    </i>
    <i r="1">
      <x v="9"/>
    </i>
    <i r="1">
      <x v="10"/>
    </i>
    <i r="1">
      <x v="11"/>
    </i>
    <i r="1">
      <x v="12"/>
    </i>
    <i r="1">
      <x v="13"/>
    </i>
    <i>
      <x v="1"/>
    </i>
    <i r="1">
      <x v="14"/>
    </i>
    <i r="1">
      <x v="15"/>
    </i>
    <i r="1">
      <x v="16"/>
    </i>
    <i r="1">
      <x v="17"/>
    </i>
    <i r="1">
      <x v="18"/>
    </i>
    <i r="1">
      <x v="19"/>
    </i>
    <i>
      <x v="2"/>
    </i>
    <i r="1">
      <x v="20"/>
    </i>
    <i r="1">
      <x v="21"/>
    </i>
    <i r="1">
      <x v="22"/>
    </i>
    <i r="1">
      <x v="23"/>
    </i>
    <i>
      <x v="3"/>
    </i>
    <i r="1">
      <x v="24"/>
    </i>
    <i>
      <x v="4"/>
    </i>
    <i r="1">
      <x v="25"/>
    </i>
    <i>
      <x v="5"/>
    </i>
    <i>
      <x v="6"/>
    </i>
    <i r="1">
      <x v="26"/>
    </i>
    <i r="1">
      <x v="27"/>
    </i>
    <i r="1">
      <x v="28"/>
    </i>
    <i r="1">
      <x v="29"/>
    </i>
    <i r="1">
      <x v="30"/>
    </i>
    <i r="1">
      <x v="31"/>
    </i>
    <i r="1">
      <x v="32"/>
    </i>
    <i r="1">
      <x v="33"/>
    </i>
    <i r="1">
      <x v="34"/>
    </i>
    <i r="1">
      <x v="35"/>
    </i>
    <i r="1">
      <x v="36"/>
    </i>
    <i r="1">
      <x v="37"/>
    </i>
    <i r="1">
      <x v="38"/>
    </i>
    <i>
      <x v="7"/>
    </i>
    <i r="1">
      <x v="39"/>
    </i>
    <i r="1">
      <x v="40"/>
    </i>
    <i>
      <x v="8"/>
    </i>
    <i r="1">
      <x v="41"/>
    </i>
    <i r="1">
      <x v="42"/>
    </i>
    <i r="1">
      <x v="43"/>
    </i>
  </rowItems>
  <colFields count="2">
    <field x="5"/>
    <field x="9"/>
  </colFields>
  <colItems count="8">
    <i>
      <x/>
      <x/>
    </i>
    <i r="1">
      <x v="1"/>
    </i>
    <i r="1">
      <x v="2"/>
    </i>
    <i>
      <x v="1"/>
      <x/>
    </i>
    <i r="1">
      <x v="1"/>
    </i>
    <i r="1">
      <x v="2"/>
    </i>
    <i>
      <x v="2"/>
      <x/>
    </i>
    <i r="1">
      <x v="1"/>
    </i>
  </colItems>
  <pageFields count="1">
    <pageField fld="10" hier="44" name="[fActualAndBudget].[ObrazecIme].&amp;[Finansiski plan_Bilans na uspeh]" cap="Finansiski plan_Bilans na uspeh"/>
  </pageFields>
  <dataFields count="1">
    <dataField name="Sum of Износ" fld="6" baseField="3" baseItem="4" numFmtId="3"/>
  </dataFields>
  <formats count="61">
    <format dxfId="73">
      <pivotArea type="all" dataOnly="0" outline="0" fieldPosition="0"/>
    </format>
    <format dxfId="72">
      <pivotArea outline="0" collapsedLevelsAreSubtotals="1" fieldPosition="0"/>
    </format>
    <format dxfId="71">
      <pivotArea dataOnly="0" labelOnly="1" fieldPosition="0">
        <references count="1">
          <reference field="7" count="0"/>
        </references>
      </pivotArea>
    </format>
    <format dxfId="70">
      <pivotArea dataOnly="0" labelOnly="1" fieldPosition="0">
        <references count="2">
          <reference field="3" count="0"/>
          <reference field="7" count="1" selected="0">
            <x v="0"/>
          </reference>
        </references>
      </pivotArea>
    </format>
    <format dxfId="69">
      <pivotArea dataOnly="0" labelOnly="1" fieldPosition="0">
        <references count="1">
          <reference field="5" count="0"/>
        </references>
      </pivotArea>
    </format>
    <format dxfId="68">
      <pivotArea dataOnly="0" labelOnly="1" fieldPosition="0">
        <references count="2">
          <reference field="5" count="1" selected="0">
            <x v="0"/>
          </reference>
          <reference field="9" count="1">
            <x v="0"/>
          </reference>
        </references>
      </pivotArea>
    </format>
    <format dxfId="67">
      <pivotArea dataOnly="0" labelOnly="1" fieldPosition="0">
        <references count="2">
          <reference field="5" count="1" selected="0">
            <x v="1"/>
          </reference>
          <reference field="9" count="0"/>
        </references>
      </pivotArea>
    </format>
    <format dxfId="66">
      <pivotArea dataOnly="0" labelOnly="1" fieldPosition="0">
        <references count="2">
          <reference field="5" count="1" selected="0">
            <x v="2"/>
          </reference>
          <reference field="9" count="2">
            <x v="0"/>
            <x v="1"/>
          </reference>
        </references>
      </pivotArea>
    </format>
    <format dxfId="65">
      <pivotArea dataOnly="0" labelOnly="1" fieldPosition="0">
        <references count="2">
          <reference field="5" count="1" selected="0">
            <x v="0"/>
          </reference>
          <reference field="9" count="1">
            <x v="0"/>
          </reference>
        </references>
      </pivotArea>
    </format>
    <format dxfId="64">
      <pivotArea dataOnly="0" labelOnly="1" fieldPosition="0">
        <references count="2">
          <reference field="5" count="1" selected="0">
            <x v="1"/>
          </reference>
          <reference field="9" count="0"/>
        </references>
      </pivotArea>
    </format>
    <format dxfId="63">
      <pivotArea dataOnly="0" labelOnly="1" fieldPosition="0">
        <references count="2">
          <reference field="5" count="1" selected="0">
            <x v="2"/>
          </reference>
          <reference field="9" count="2">
            <x v="0"/>
            <x v="1"/>
          </reference>
        </references>
      </pivotArea>
    </format>
    <format dxfId="62">
      <pivotArea collapsedLevelsAreSubtotals="1" fieldPosition="0">
        <references count="6">
          <reference field="3" count="1" selected="0">
            <x v="36"/>
          </reference>
          <reference field="4" count="1" selected="0">
            <x v="21"/>
          </reference>
          <reference field="5" count="1" selected="0">
            <x v="1"/>
          </reference>
          <reference field="7" count="1" selected="0">
            <x v="6"/>
          </reference>
          <reference field="8" count="1">
            <x v="21"/>
          </reference>
          <reference field="9" count="1" selected="0">
            <x v="1"/>
          </reference>
        </references>
      </pivotArea>
    </format>
    <format dxfId="61">
      <pivotArea collapsedLevelsAreSubtotals="1" fieldPosition="0">
        <references count="6">
          <reference field="3" count="1" selected="0">
            <x v="36"/>
          </reference>
          <reference field="4" count="1" selected="0">
            <x v="22"/>
          </reference>
          <reference field="5" count="1" selected="0">
            <x v="1"/>
          </reference>
          <reference field="7" count="1" selected="0">
            <x v="6"/>
          </reference>
          <reference field="8" count="1">
            <x v="22"/>
          </reference>
          <reference field="9" count="1" selected="0">
            <x v="1"/>
          </reference>
        </references>
      </pivotArea>
    </format>
    <format dxfId="60">
      <pivotArea collapsedLevelsAreSubtotals="1" fieldPosition="0">
        <references count="6">
          <reference field="3" count="1" selected="0">
            <x v="38"/>
          </reference>
          <reference field="4" count="1" selected="0">
            <x v="23"/>
          </reference>
          <reference field="5" count="1" selected="0">
            <x v="1"/>
          </reference>
          <reference field="7" count="1" selected="0">
            <x v="6"/>
          </reference>
          <reference field="8" count="1">
            <x v="23"/>
          </reference>
          <reference field="9" count="1" selected="0">
            <x v="2"/>
          </reference>
        </references>
      </pivotArea>
    </format>
    <format dxfId="59">
      <pivotArea collapsedLevelsAreSubtotals="1" fieldPosition="0">
        <references count="6">
          <reference field="3" count="1" selected="0">
            <x v="38"/>
          </reference>
          <reference field="4" count="1" selected="0">
            <x v="23"/>
          </reference>
          <reference field="5" count="1" selected="0">
            <x v="2"/>
          </reference>
          <reference field="7" count="1" selected="0">
            <x v="6"/>
          </reference>
          <reference field="8" count="1">
            <x v="23"/>
          </reference>
          <reference field="9" count="1" selected="0">
            <x v="1"/>
          </reference>
        </references>
      </pivotArea>
    </format>
    <format dxfId="58">
      <pivotArea outline="0" collapsedLevelsAreSubtotals="1" fieldPosition="0">
        <references count="2">
          <reference field="5" count="1" selected="0">
            <x v="1"/>
          </reference>
          <reference field="9" count="1" selected="0">
            <x v="2"/>
          </reference>
        </references>
      </pivotArea>
    </format>
    <format dxfId="57">
      <pivotArea type="topRight" dataOnly="0" labelOnly="1" outline="0" offset="B1" fieldPosition="0"/>
    </format>
    <format dxfId="56">
      <pivotArea dataOnly="0" labelOnly="1" offset="IV256" fieldPosition="0">
        <references count="1">
          <reference field="5" count="1">
            <x v="1"/>
          </reference>
        </references>
      </pivotArea>
    </format>
    <format dxfId="55">
      <pivotArea dataOnly="0" labelOnly="1" fieldPosition="0">
        <references count="2">
          <reference field="5" count="1" selected="0">
            <x v="1"/>
          </reference>
          <reference field="9" count="1">
            <x v="2"/>
          </reference>
        </references>
      </pivotArea>
    </format>
    <format dxfId="54">
      <pivotArea dataOnly="0" fieldPosition="0">
        <references count="1">
          <reference field="7" count="1">
            <x v="2"/>
          </reference>
        </references>
      </pivotArea>
    </format>
    <format dxfId="53">
      <pivotArea dataOnly="0" fieldPosition="0">
        <references count="1">
          <reference field="7" count="1">
            <x v="3"/>
          </reference>
        </references>
      </pivotArea>
    </format>
    <format dxfId="52">
      <pivotArea dataOnly="0" fieldPosition="0">
        <references count="1">
          <reference field="7" count="1">
            <x v="6"/>
          </reference>
        </references>
      </pivotArea>
    </format>
    <format dxfId="51">
      <pivotArea collapsedLevelsAreSubtotals="1" fieldPosition="0">
        <references count="2">
          <reference field="3" count="1">
            <x v="26"/>
          </reference>
          <reference field="7" count="1" selected="0">
            <x v="6"/>
          </reference>
        </references>
      </pivotArea>
    </format>
    <format dxfId="50">
      <pivotArea collapsedLevelsAreSubtotals="1" fieldPosition="0">
        <references count="2">
          <reference field="3" count="1">
            <x v="27"/>
          </reference>
          <reference field="7" count="1" selected="0">
            <x v="6"/>
          </reference>
        </references>
      </pivotArea>
    </format>
    <format dxfId="49">
      <pivotArea collapsedLevelsAreSubtotals="1" fieldPosition="0">
        <references count="2">
          <reference field="3" count="1">
            <x v="28"/>
          </reference>
          <reference field="7" count="1" selected="0">
            <x v="6"/>
          </reference>
        </references>
      </pivotArea>
    </format>
    <format dxfId="48">
      <pivotArea collapsedLevelsAreSubtotals="1" fieldPosition="0">
        <references count="2">
          <reference field="3" count="1">
            <x v="29"/>
          </reference>
          <reference field="7" count="1" selected="0">
            <x v="6"/>
          </reference>
        </references>
      </pivotArea>
    </format>
    <format dxfId="47">
      <pivotArea collapsedLevelsAreSubtotals="1" fieldPosition="0">
        <references count="2">
          <reference field="3" count="1">
            <x v="30"/>
          </reference>
          <reference field="7" count="1" selected="0">
            <x v="6"/>
          </reference>
        </references>
      </pivotArea>
    </format>
    <format dxfId="46">
      <pivotArea collapsedLevelsAreSubtotals="1" fieldPosition="0">
        <references count="2">
          <reference field="3" count="1">
            <x v="31"/>
          </reference>
          <reference field="7" count="1" selected="0">
            <x v="6"/>
          </reference>
        </references>
      </pivotArea>
    </format>
    <format dxfId="45">
      <pivotArea collapsedLevelsAreSubtotals="1" fieldPosition="0">
        <references count="2">
          <reference field="3" count="1">
            <x v="32"/>
          </reference>
          <reference field="7" count="1" selected="0">
            <x v="6"/>
          </reference>
        </references>
      </pivotArea>
    </format>
    <format dxfId="44">
      <pivotArea collapsedLevelsAreSubtotals="1" fieldPosition="0">
        <references count="2">
          <reference field="3" count="1">
            <x v="33"/>
          </reference>
          <reference field="7" count="1" selected="0">
            <x v="6"/>
          </reference>
        </references>
      </pivotArea>
    </format>
    <format dxfId="43">
      <pivotArea collapsedLevelsAreSubtotals="1" fieldPosition="0">
        <references count="2">
          <reference field="3" count="1">
            <x v="34"/>
          </reference>
          <reference field="7" count="1" selected="0">
            <x v="6"/>
          </reference>
        </references>
      </pivotArea>
    </format>
    <format dxfId="42">
      <pivotArea collapsedLevelsAreSubtotals="1" fieldPosition="0">
        <references count="2">
          <reference field="3" count="1">
            <x v="35"/>
          </reference>
          <reference field="7" count="1" selected="0">
            <x v="6"/>
          </reference>
        </references>
      </pivotArea>
    </format>
    <format dxfId="41">
      <pivotArea collapsedLevelsAreSubtotals="1" fieldPosition="0">
        <references count="2">
          <reference field="3" count="1">
            <x v="36"/>
          </reference>
          <reference field="7" count="1" selected="0">
            <x v="6"/>
          </reference>
        </references>
      </pivotArea>
    </format>
    <format dxfId="40">
      <pivotArea collapsedLevelsAreSubtotals="1" fieldPosition="0">
        <references count="2">
          <reference field="3" count="1">
            <x v="37"/>
          </reference>
          <reference field="7" count="1" selected="0">
            <x v="6"/>
          </reference>
        </references>
      </pivotArea>
    </format>
    <format dxfId="39">
      <pivotArea collapsedLevelsAreSubtotals="1" fieldPosition="0">
        <references count="2">
          <reference field="3" count="1">
            <x v="38"/>
          </reference>
          <reference field="7" count="1" selected="0">
            <x v="6"/>
          </reference>
        </references>
      </pivotArea>
    </format>
    <format dxfId="38">
      <pivotArea dataOnly="0" labelOnly="1" fieldPosition="0">
        <references count="2">
          <reference field="3" count="13">
            <x v="26"/>
            <x v="27"/>
            <x v="28"/>
            <x v="29"/>
            <x v="30"/>
            <x v="31"/>
            <x v="32"/>
            <x v="33"/>
            <x v="34"/>
            <x v="35"/>
            <x v="36"/>
            <x v="37"/>
            <x v="38"/>
          </reference>
          <reference field="7" count="1" selected="0">
            <x v="6"/>
          </reference>
        </references>
      </pivotArea>
    </format>
    <format dxfId="37">
      <pivotArea collapsedLevelsAreSubtotals="1" fieldPosition="0">
        <references count="2">
          <reference field="3" count="1">
            <x v="20"/>
          </reference>
          <reference field="7" count="1" selected="0">
            <x v="2"/>
          </reference>
        </references>
      </pivotArea>
    </format>
    <format dxfId="36">
      <pivotArea collapsedLevelsAreSubtotals="1" fieldPosition="0">
        <references count="2">
          <reference field="3" count="1">
            <x v="21"/>
          </reference>
          <reference field="7" count="1" selected="0">
            <x v="2"/>
          </reference>
        </references>
      </pivotArea>
    </format>
    <format dxfId="35">
      <pivotArea collapsedLevelsAreSubtotals="1" fieldPosition="0">
        <references count="2">
          <reference field="3" count="1">
            <x v="22"/>
          </reference>
          <reference field="7" count="1" selected="0">
            <x v="2"/>
          </reference>
        </references>
      </pivotArea>
    </format>
    <format dxfId="34">
      <pivotArea collapsedLevelsAreSubtotals="1" fieldPosition="0">
        <references count="2">
          <reference field="3" count="1">
            <x v="23"/>
          </reference>
          <reference field="7" count="1" selected="0">
            <x v="2"/>
          </reference>
        </references>
      </pivotArea>
    </format>
    <format dxfId="33">
      <pivotArea collapsedLevelsAreSubtotals="1" fieldPosition="0">
        <references count="1">
          <reference field="7" count="1">
            <x v="2"/>
          </reference>
        </references>
      </pivotArea>
    </format>
    <format dxfId="32">
      <pivotArea dataOnly="0" labelOnly="1" fieldPosition="0">
        <references count="1">
          <reference field="7" count="1">
            <x v="2"/>
          </reference>
        </references>
      </pivotArea>
    </format>
    <format dxfId="31">
      <pivotArea collapsedLevelsAreSubtotals="1" fieldPosition="0">
        <references count="1">
          <reference field="7" count="1">
            <x v="3"/>
          </reference>
        </references>
      </pivotArea>
    </format>
    <format dxfId="30">
      <pivotArea dataOnly="0" labelOnly="1" fieldPosition="0">
        <references count="1">
          <reference field="7" count="1">
            <x v="3"/>
          </reference>
        </references>
      </pivotArea>
    </format>
    <format dxfId="29">
      <pivotArea collapsedLevelsAreSubtotals="1" fieldPosition="0">
        <references count="1">
          <reference field="7" count="1">
            <x v="6"/>
          </reference>
        </references>
      </pivotArea>
    </format>
    <format dxfId="28">
      <pivotArea dataOnly="0" labelOnly="1" fieldPosition="0">
        <references count="1">
          <reference field="7" count="1">
            <x v="6"/>
          </reference>
        </references>
      </pivotArea>
    </format>
    <format dxfId="27">
      <pivotArea collapsedLevelsAreSubtotals="1" fieldPosition="0">
        <references count="2">
          <reference field="3" count="1">
            <x v="29"/>
          </reference>
          <reference field="7" count="1" selected="0">
            <x v="6"/>
          </reference>
        </references>
      </pivotArea>
    </format>
    <format dxfId="26">
      <pivotArea collapsedLevelsAreSubtotals="1" fieldPosition="0">
        <references count="2">
          <reference field="3" count="1">
            <x v="30"/>
          </reference>
          <reference field="7" count="1" selected="0">
            <x v="6"/>
          </reference>
        </references>
      </pivotArea>
    </format>
    <format dxfId="25">
      <pivotArea collapsedLevelsAreSubtotals="1" fieldPosition="0">
        <references count="2">
          <reference field="3" count="1">
            <x v="31"/>
          </reference>
          <reference field="7" count="1" selected="0">
            <x v="6"/>
          </reference>
        </references>
      </pivotArea>
    </format>
    <format dxfId="24">
      <pivotArea collapsedLevelsAreSubtotals="1" fieldPosition="0">
        <references count="2">
          <reference field="3" count="1">
            <x v="32"/>
          </reference>
          <reference field="7" count="1" selected="0">
            <x v="6"/>
          </reference>
        </references>
      </pivotArea>
    </format>
    <format dxfId="23">
      <pivotArea collapsedLevelsAreSubtotals="1" fieldPosition="0">
        <references count="2">
          <reference field="3" count="1">
            <x v="33"/>
          </reference>
          <reference field="7" count="1" selected="0">
            <x v="6"/>
          </reference>
        </references>
      </pivotArea>
    </format>
    <format dxfId="22">
      <pivotArea collapsedLevelsAreSubtotals="1" fieldPosition="0">
        <references count="2">
          <reference field="3" count="1">
            <x v="34"/>
          </reference>
          <reference field="7" count="1" selected="0">
            <x v="6"/>
          </reference>
        </references>
      </pivotArea>
    </format>
    <format dxfId="21">
      <pivotArea collapsedLevelsAreSubtotals="1" fieldPosition="0">
        <references count="2">
          <reference field="3" count="1">
            <x v="35"/>
          </reference>
          <reference field="7" count="1" selected="0">
            <x v="6"/>
          </reference>
        </references>
      </pivotArea>
    </format>
    <format dxfId="20">
      <pivotArea collapsedLevelsAreSubtotals="1" fieldPosition="0">
        <references count="2">
          <reference field="3" count="1">
            <x v="36"/>
          </reference>
          <reference field="7" count="1" selected="0">
            <x v="6"/>
          </reference>
        </references>
      </pivotArea>
    </format>
    <format dxfId="19">
      <pivotArea collapsedLevelsAreSubtotals="1" fieldPosition="0">
        <references count="2">
          <reference field="3" count="1">
            <x v="37"/>
          </reference>
          <reference field="7" count="1" selected="0">
            <x v="6"/>
          </reference>
        </references>
      </pivotArea>
    </format>
    <format dxfId="18">
      <pivotArea collapsedLevelsAreSubtotals="1" fieldPosition="0">
        <references count="2">
          <reference field="3" count="1">
            <x v="38"/>
          </reference>
          <reference field="7" count="1" selected="0">
            <x v="6"/>
          </reference>
        </references>
      </pivotArea>
    </format>
    <format dxfId="17">
      <pivotArea dataOnly="0" labelOnly="1" fieldPosition="0">
        <references count="2">
          <reference field="3" count="10">
            <x v="29"/>
            <x v="30"/>
            <x v="31"/>
            <x v="32"/>
            <x v="33"/>
            <x v="34"/>
            <x v="35"/>
            <x v="36"/>
            <x v="37"/>
            <x v="38"/>
          </reference>
          <reference field="7" count="1" selected="0">
            <x v="6"/>
          </reference>
        </references>
      </pivotArea>
    </format>
    <format dxfId="16">
      <pivotArea collapsedLevelsAreSubtotals="1" fieldPosition="0">
        <references count="2">
          <reference field="3" count="1">
            <x v="26"/>
          </reference>
          <reference field="7" count="1" selected="0">
            <x v="6"/>
          </reference>
        </references>
      </pivotArea>
    </format>
    <format dxfId="15">
      <pivotArea collapsedLevelsAreSubtotals="1" fieldPosition="0">
        <references count="2">
          <reference field="3" count="1">
            <x v="27"/>
          </reference>
          <reference field="7" count="1" selected="0">
            <x v="6"/>
          </reference>
        </references>
      </pivotArea>
    </format>
    <format dxfId="14">
      <pivotArea collapsedLevelsAreSubtotals="1" fieldPosition="0">
        <references count="2">
          <reference field="3" count="1">
            <x v="28"/>
          </reference>
          <reference field="7" count="1" selected="0">
            <x v="6"/>
          </reference>
        </references>
      </pivotArea>
    </format>
    <format dxfId="13">
      <pivotArea dataOnly="0" labelOnly="1" fieldPosition="0">
        <references count="2">
          <reference field="3" count="3">
            <x v="26"/>
            <x v="27"/>
            <x v="28"/>
          </reference>
          <reference field="7" count="1" selected="0">
            <x v="6"/>
          </reference>
        </references>
      </pivotArea>
    </format>
  </formats>
  <pivotHierarchies count="195">
    <pivotHierarchy dragToData="1"/>
    <pivotHierarchy dragToData="1"/>
    <pivotHierarchy dragToData="1"/>
    <pivotHierarchy dragToData="1"/>
    <pivotHierarchy dragToData="1"/>
    <pivotHierarchy dragToData="1"/>
    <pivotHierarchy dragToData="1"/>
    <pivotHierarchy multipleItemSelectionAllowed="1">
      <members count="1" level="1">
        <member name="[Calendar].[Date Hierarchy].[Year].&amp;[2020]"/>
      </members>
    </pivotHierarchy>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fActualAndBudget].[ObrazecIme].&amp;[Finansiski plan_Bilans na uspeh]"/>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4">
    <rowHierarchyUsage hierarchyUsage="40"/>
    <rowHierarchyUsage hierarchyUsage="38"/>
    <rowHierarchyUsage hierarchyUsage="31"/>
    <rowHierarchyUsage hierarchyUsage="36"/>
  </rowHierarchiesUsage>
  <colHierarchiesUsage count="2">
    <colHierarchyUsage hierarchyUsage="35"/>
    <colHierarchyUsage hierarchyUsage="8"/>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fActualAndBudget]"/>
        <x15:activeTabTopLevelEntity name="[Calendar]"/>
      </x15:pivotTableUISettings>
    </ext>
    <ext xmlns:xpdl="http://schemas.microsoft.com/office/spreadsheetml/2016/pivotdefaultlayout" uri="{747A6164-185A-40DC-8AA5-F01512510D54}">
      <xpdl:pivotTableDefinition16/>
    </ext>
  </extLst>
</pivotTableDefinition>
</file>

<file path=xl/pivotTables/pivotTable25.xml><?xml version="1.0" encoding="utf-8"?>
<pivotTableDefinition xmlns="http://schemas.openxmlformats.org/spreadsheetml/2006/main" xmlns:mc="http://schemas.openxmlformats.org/markup-compatibility/2006" xmlns:xr="http://schemas.microsoft.com/office/spreadsheetml/2014/revision" mc:Ignorable="xr" xr:uid="{00000000-0007-0000-1B00-000000000000}" name="PivotTable4" cacheId="28" applyNumberFormats="0" applyBorderFormats="0" applyFontFormats="0" applyPatternFormats="0" applyAlignmentFormats="0" applyWidthHeightFormats="1" dataCaption="Values" tag="8c701313-f2be-44c4-b2d4-f043cf7a6868" updatedVersion="6" minRefreshableVersion="3" showDataTips="0" subtotalHiddenItems="1" colGrandTotals="0" itemPrintTitles="1" createdVersion="5" indent="0" outline="1" outlineData="1">
  <location ref="A4:B198" firstHeaderRow="1" firstDataRow="1" firstDataCol="1" rowPageCount="1" colPageCount="1"/>
  <pivotFields count="10">
    <pivotField allDrilled="1" showAll="0" dataSourceSort="1" defaultAttributeDrillState="1">
      <items count="4">
        <item s="1" x="0"/>
        <item s="1" x="1"/>
        <item s="1" x="2"/>
        <item t="default"/>
      </items>
    </pivotField>
    <pivotField allDrilled="1" showAll="0" dataSourceSort="1" defaultAttributeDrillState="1"/>
    <pivotField allDrilled="1" showAll="0" defaultAttributeDrillState="1">
      <items count="2">
        <item s="1" x="0"/>
        <item t="default"/>
      </items>
    </pivotField>
    <pivotField allDrilled="1" showAll="0" dataSourceSort="1" defaultAttributeDrillState="1"/>
    <pivotField allDrilled="1" showAll="0" dataSourceSort="1" defaultAttributeDrillState="1"/>
    <pivotField axis="axisRow" allDrilled="1" showAll="0" dataSourceSort="1" defaultAttributeDrillState="1">
      <items count="171">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n="Закуп ( сала - по потреба)"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t="default"/>
      </items>
    </pivotField>
    <pivotField axis="axisRow" allDrilled="1" showAll="0" dataSourceSort="1" defaultAttributeDrillState="1">
      <items count="5">
        <item x="0"/>
        <item x="1"/>
        <item x="2"/>
        <item x="3"/>
        <item t="default"/>
      </items>
    </pivotField>
    <pivotField axis="axisRow" allDrilled="1" showAll="0" dataSourceSort="1">
      <items count="20">
        <item x="0"/>
        <item x="1"/>
        <item x="2"/>
        <item x="3"/>
        <item x="4"/>
        <item x="5"/>
        <item x="6"/>
        <item x="7"/>
        <item x="8"/>
        <item x="9"/>
        <item x="10"/>
        <item x="11"/>
        <item x="12"/>
        <item x="13"/>
        <item x="14"/>
        <item x="15"/>
        <item x="16"/>
        <item x="17" e="0"/>
        <item x="18" e="0"/>
        <item t="default"/>
      </items>
    </pivotField>
    <pivotField axis="axisPage" allDrilled="1" showAll="0" dataSourceSort="1" defaultAttributeDrillState="1">
      <items count="1">
        <item t="default"/>
      </items>
    </pivotField>
    <pivotField dataField="1" showAll="0"/>
  </pivotFields>
  <rowFields count="3">
    <field x="6"/>
    <field x="7"/>
    <field x="5"/>
  </rowFields>
  <rowItems count="194">
    <i>
      <x/>
    </i>
    <i r="1">
      <x/>
    </i>
    <i r="2">
      <x/>
    </i>
    <i r="2">
      <x v="1"/>
    </i>
    <i r="2">
      <x v="2"/>
    </i>
    <i r="2">
      <x v="3"/>
    </i>
    <i r="2">
      <x v="4"/>
    </i>
    <i r="2">
      <x v="5"/>
    </i>
    <i r="2">
      <x v="6"/>
    </i>
    <i r="2">
      <x v="7"/>
    </i>
    <i r="2">
      <x v="8"/>
    </i>
    <i r="2">
      <x v="9"/>
    </i>
    <i r="2">
      <x v="10"/>
    </i>
    <i r="2">
      <x v="11"/>
    </i>
    <i r="2">
      <x v="12"/>
    </i>
    <i r="2">
      <x v="13"/>
    </i>
    <i r="2">
      <x v="14"/>
    </i>
    <i r="2">
      <x v="15"/>
    </i>
    <i r="2">
      <x v="16"/>
    </i>
    <i r="2">
      <x v="17"/>
    </i>
    <i r="1">
      <x v="1"/>
    </i>
    <i r="2">
      <x v="18"/>
    </i>
    <i r="2">
      <x v="19"/>
    </i>
    <i r="2">
      <x v="20"/>
    </i>
    <i r="2">
      <x v="21"/>
    </i>
    <i r="2">
      <x v="22"/>
    </i>
    <i r="1">
      <x v="2"/>
    </i>
    <i r="2">
      <x v="23"/>
    </i>
    <i r="2">
      <x v="24"/>
    </i>
    <i r="2">
      <x v="25"/>
    </i>
    <i r="2">
      <x v="26"/>
    </i>
    <i r="2">
      <x v="27"/>
    </i>
    <i r="2">
      <x v="28"/>
    </i>
    <i r="2">
      <x v="29"/>
    </i>
    <i r="2">
      <x v="30"/>
    </i>
    <i r="2">
      <x v="31"/>
    </i>
    <i r="2">
      <x v="32"/>
    </i>
    <i r="2">
      <x v="33"/>
    </i>
    <i r="2">
      <x v="34"/>
    </i>
    <i r="2">
      <x v="35"/>
    </i>
    <i r="2">
      <x v="36"/>
    </i>
    <i r="2">
      <x v="37"/>
    </i>
    <i r="2">
      <x v="38"/>
    </i>
    <i r="2">
      <x v="39"/>
    </i>
    <i r="2">
      <x v="40"/>
    </i>
    <i r="2">
      <x v="41"/>
    </i>
    <i r="2">
      <x v="42"/>
    </i>
    <i r="2">
      <x v="43"/>
    </i>
    <i r="2">
      <x v="44"/>
    </i>
    <i r="2">
      <x v="45"/>
    </i>
    <i r="2">
      <x v="46"/>
    </i>
    <i r="1">
      <x v="3"/>
    </i>
    <i r="2">
      <x v="47"/>
    </i>
    <i r="2">
      <x v="48"/>
    </i>
    <i r="2">
      <x v="49"/>
    </i>
    <i>
      <x v="1"/>
    </i>
    <i r="1">
      <x v="4"/>
    </i>
    <i r="2">
      <x v="50"/>
    </i>
    <i r="2">
      <x v="51"/>
    </i>
    <i>
      <x v="2"/>
    </i>
    <i r="1">
      <x v="5"/>
    </i>
    <i r="2">
      <x v="52"/>
    </i>
    <i r="1">
      <x v="6"/>
    </i>
    <i r="2">
      <x v="53"/>
    </i>
    <i r="2">
      <x v="54"/>
    </i>
    <i r="2">
      <x v="55"/>
    </i>
    <i r="1">
      <x v="7"/>
    </i>
    <i r="2">
      <x v="56"/>
    </i>
    <i r="2">
      <x v="57"/>
    </i>
    <i r="2">
      <x v="58"/>
    </i>
    <i r="2">
      <x v="59"/>
    </i>
    <i r="2">
      <x v="60"/>
    </i>
    <i r="2">
      <x v="61"/>
    </i>
    <i r="2">
      <x v="62"/>
    </i>
    <i r="2">
      <x v="63"/>
    </i>
    <i r="1">
      <x v="8"/>
    </i>
    <i r="2">
      <x v="64"/>
    </i>
    <i r="2">
      <x v="65"/>
    </i>
    <i r="2">
      <x v="66"/>
    </i>
    <i r="2">
      <x v="67"/>
    </i>
    <i r="2">
      <x v="68"/>
    </i>
    <i r="2">
      <x v="69"/>
    </i>
    <i r="2">
      <x v="70"/>
    </i>
    <i r="2">
      <x v="71"/>
    </i>
    <i r="2">
      <x v="72"/>
    </i>
    <i r="1">
      <x v="9"/>
    </i>
    <i r="2">
      <x v="73"/>
    </i>
    <i r="2">
      <x v="74"/>
    </i>
    <i r="2">
      <x v="75"/>
    </i>
    <i r="2">
      <x v="76"/>
    </i>
    <i r="2">
      <x v="77"/>
    </i>
    <i r="2">
      <x v="78"/>
    </i>
    <i r="1">
      <x v="10"/>
    </i>
    <i r="2">
      <x v="79"/>
    </i>
    <i r="2">
      <x v="80"/>
    </i>
    <i r="1">
      <x v="11"/>
    </i>
    <i r="2">
      <x v="81"/>
    </i>
    <i r="2">
      <x v="82"/>
    </i>
    <i r="2">
      <x v="83"/>
    </i>
    <i r="2">
      <x v="84"/>
    </i>
    <i r="2">
      <x v="85"/>
    </i>
    <i r="2">
      <x v="86"/>
    </i>
    <i r="2">
      <x v="87"/>
    </i>
    <i r="2">
      <x v="88"/>
    </i>
    <i r="2">
      <x v="89"/>
    </i>
    <i r="2">
      <x v="90"/>
    </i>
    <i r="2">
      <x v="91"/>
    </i>
    <i r="2">
      <x v="92"/>
    </i>
    <i r="2">
      <x v="93"/>
    </i>
    <i r="2">
      <x v="94"/>
    </i>
    <i r="2">
      <x v="95"/>
    </i>
    <i r="2">
      <x v="96"/>
    </i>
    <i r="2">
      <x v="97"/>
    </i>
    <i r="2">
      <x v="98"/>
    </i>
    <i r="2">
      <x v="99"/>
    </i>
    <i r="2">
      <x v="100"/>
    </i>
    <i r="2">
      <x v="101"/>
    </i>
    <i r="1">
      <x v="12"/>
    </i>
    <i r="2">
      <x v="102"/>
    </i>
    <i r="2">
      <x v="103"/>
    </i>
    <i r="2">
      <x v="104"/>
    </i>
    <i r="2">
      <x v="105"/>
    </i>
    <i r="2">
      <x v="106"/>
    </i>
    <i r="2">
      <x v="107"/>
    </i>
    <i r="2">
      <x v="108"/>
    </i>
    <i r="2">
      <x v="109"/>
    </i>
    <i r="2">
      <x v="110"/>
    </i>
    <i r="2">
      <x v="111"/>
    </i>
    <i r="2">
      <x v="112"/>
    </i>
    <i r="2">
      <x v="113"/>
    </i>
    <i r="2">
      <x v="114"/>
    </i>
    <i r="2">
      <x v="115"/>
    </i>
    <i r="2">
      <x v="116"/>
    </i>
    <i r="2">
      <x v="117"/>
    </i>
    <i r="2">
      <x v="118"/>
    </i>
    <i r="2">
      <x v="119"/>
    </i>
    <i r="2">
      <x v="120"/>
    </i>
    <i r="2">
      <x v="121"/>
    </i>
    <i r="2">
      <x v="122"/>
    </i>
    <i r="2">
      <x v="123"/>
    </i>
    <i r="2">
      <x v="124"/>
    </i>
    <i r="2">
      <x v="125"/>
    </i>
    <i r="2">
      <x v="126"/>
    </i>
    <i r="2">
      <x v="127"/>
    </i>
    <i r="2">
      <x v="128"/>
    </i>
    <i r="2">
      <x v="129"/>
    </i>
    <i r="2">
      <x v="130"/>
    </i>
    <i r="2">
      <x v="131"/>
    </i>
    <i r="2">
      <x v="132"/>
    </i>
    <i r="2">
      <x v="133"/>
    </i>
    <i r="2">
      <x v="134"/>
    </i>
    <i r="1">
      <x v="13"/>
    </i>
    <i r="2">
      <x v="135"/>
    </i>
    <i r="2">
      <x v="136"/>
    </i>
    <i r="2">
      <x v="137"/>
    </i>
    <i r="2">
      <x v="138"/>
    </i>
    <i r="2">
      <x v="139"/>
    </i>
    <i r="2">
      <x v="140"/>
    </i>
    <i r="1">
      <x v="14"/>
    </i>
    <i r="2">
      <x v="141"/>
    </i>
    <i r="2">
      <x v="142"/>
    </i>
    <i r="2">
      <x v="143"/>
    </i>
    <i r="2">
      <x v="144"/>
    </i>
    <i r="2">
      <x v="145"/>
    </i>
    <i r="2">
      <x v="146"/>
    </i>
    <i r="2">
      <x v="147"/>
    </i>
    <i r="2">
      <x v="148"/>
    </i>
    <i r="2">
      <x v="149"/>
    </i>
    <i r="1">
      <x v="15"/>
    </i>
    <i r="2">
      <x v="150"/>
    </i>
    <i r="2">
      <x v="151"/>
    </i>
    <i r="2">
      <x v="152"/>
    </i>
    <i r="2">
      <x v="153"/>
    </i>
    <i r="2">
      <x v="154"/>
    </i>
    <i r="2">
      <x v="155"/>
    </i>
    <i r="2">
      <x v="156"/>
    </i>
    <i r="2">
      <x v="157"/>
    </i>
    <i r="2">
      <x v="158"/>
    </i>
    <i r="2">
      <x v="159"/>
    </i>
    <i r="2">
      <x v="160"/>
    </i>
    <i r="2">
      <x v="161"/>
    </i>
    <i r="2">
      <x v="162"/>
    </i>
    <i r="1">
      <x v="16"/>
    </i>
    <i r="2">
      <x v="163"/>
    </i>
    <i r="2">
      <x v="164"/>
    </i>
    <i r="2">
      <x v="165"/>
    </i>
    <i r="2">
      <x v="166"/>
    </i>
    <i r="2">
      <x v="167"/>
    </i>
    <i r="2">
      <x v="168"/>
    </i>
    <i r="2">
      <x v="169"/>
    </i>
    <i>
      <x v="3"/>
    </i>
    <i r="1">
      <x v="17"/>
    </i>
    <i r="1">
      <x v="18"/>
    </i>
    <i t="grand">
      <x/>
    </i>
  </rowItems>
  <colItems count="1">
    <i/>
  </colItems>
  <pageFields count="1">
    <pageField fld="8" hier="65" name="[fArtikliCeni].[ObrazecIme].&amp;[Finansiski plan_Bilans na uspeh]" cap="Finansiski plan_Bilans na uspeh"/>
  </pageFields>
  <dataFields count="1">
    <dataField name="Sum of Вкупно трошок" fld="9" baseField="0" baseItem="0"/>
  </dataFields>
  <formats count="6">
    <format dxfId="12">
      <pivotArea dataOnly="0" labelOnly="1" grandRow="1" outline="0" fieldPosition="0"/>
    </format>
    <format dxfId="11">
      <pivotArea outline="0" collapsedLevelsAreSubtotals="1" fieldPosition="0"/>
    </format>
    <format dxfId="10">
      <pivotArea dataOnly="0" labelOnly="1" outline="0" axis="axisValues" fieldPosition="0"/>
    </format>
    <format dxfId="9">
      <pivotArea collapsedLevelsAreSubtotals="1" fieldPosition="0">
        <references count="2">
          <reference field="6" count="1" selected="0">
            <x v="2"/>
          </reference>
          <reference field="7" count="1">
            <x v="7"/>
          </reference>
        </references>
      </pivotArea>
    </format>
    <format dxfId="8">
      <pivotArea collapsedLevelsAreSubtotals="1" fieldPosition="0">
        <references count="2">
          <reference field="6" count="1" selected="0">
            <x v="2"/>
          </reference>
          <reference field="7" count="1">
            <x v="11"/>
          </reference>
        </references>
      </pivotArea>
    </format>
    <format dxfId="7">
      <pivotArea collapsedLevelsAreSubtotals="1" fieldPosition="0">
        <references count="2">
          <reference field="6" count="1" selected="0">
            <x v="2"/>
          </reference>
          <reference field="7" count="1">
            <x v="12"/>
          </reference>
        </references>
      </pivotArea>
    </format>
  </formats>
  <pivotHierarchies count="195">
    <pivotHierarchy dragToData="1"/>
    <pivotHierarchy dragToData="1"/>
    <pivotHierarchy dragToData="1"/>
    <pivotHierarchy dragToData="1"/>
    <pivotHierarchy dragToData="1"/>
    <pivotHierarchy dragToData="1"/>
    <pivotHierarchy dragToData="1"/>
    <pivotHierarchy multipleItemSelectionAllowed="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multipleItemSelectionAllowed="1" dragToData="1"/>
    <pivotHierarchy multipleItemSelectionAllowed="1" dragToData="1">
      <members count="1" level="1">
        <member name="[fActualAndBudget].[StavkaKategorija].&amp;[2.32. Потрошени суровини и материјали]"/>
      </members>
    </pivotHierarchy>
    <pivotHierarchy dragToData="1"/>
    <pivotHierarchy dragToData="1"/>
    <pivotHierarchy dragToData="1"/>
    <pivotHierarchy multipleItemSelectionAllowed="1" dragToData="1">
      <members count="1" level="1">
        <member name="[fActualAndBudget].[ObrazecIme].&amp;[Finansiski plan_Bilans na uspeh]"/>
      </members>
    </pivotHierarchy>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fArtikliCeni].[ObrazecIme].&amp;[Finansiski plan_Bilans na uspeh]"/>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OPEXAnaliza].[ReportType].&amp;[План]"/>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3">
    <rowHierarchyUsage hierarchyUsage="64"/>
    <rowHierarchyUsage hierarchyUsage="61"/>
    <rowHierarchyUsage hierarchyUsage="49"/>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Calendar]"/>
        <x15:activeTabTopLevelEntity name="[fArtikliCeni]"/>
      </x15:pivotTableUISettings>
    </ext>
    <ext xmlns:xpdl="http://schemas.microsoft.com/office/spreadsheetml/2016/pivotdefaultlayout" uri="{747A6164-185A-40DC-8AA5-F01512510D54}">
      <xpdl:pivotTableDefinition16/>
    </ext>
  </extLst>
</pivotTableDefinition>
</file>

<file path=xl/pivotTables/pivotTable26.xml><?xml version="1.0" encoding="utf-8"?>
<pivotTableDefinition xmlns="http://schemas.openxmlformats.org/spreadsheetml/2006/main" xmlns:mc="http://schemas.openxmlformats.org/markup-compatibility/2006" xmlns:xr="http://schemas.microsoft.com/office/spreadsheetml/2014/revision" mc:Ignorable="xr" xr:uid="{00000000-0007-0000-1D00-000000000000}" name="PivotTable2" cacheId="4" applyNumberFormats="0" applyBorderFormats="0" applyFontFormats="0" applyPatternFormats="0" applyAlignmentFormats="0" applyWidthHeightFormats="1" dataCaption="Values" tag="6d37a9af-c5a2-4d61-91af-a15b9f7a5878" updatedVersion="6" minRefreshableVersion="3" showDataTips="0" subtotalHiddenItems="1" rowGrandTotals="0" itemPrintTitles="1" createdVersion="5" indent="0" outline="1" outlineData="1">
  <location ref="B5" firstHeaderRow="0" firstDataRow="0" firstDataCol="0" rowPageCount="2" colPageCount="1"/>
  <pivotFields count="6">
    <pivotField allDrilled="1" showAll="0" dataSourceSort="1"/>
    <pivotField showAll="0" dataSourceSort="1"/>
    <pivotField showAll="0" dataSourceSort="1"/>
    <pivotField axis="axisPage" allDrilled="1" showAll="0" defaultAttributeDrillState="1">
      <items count="1">
        <item t="default"/>
      </items>
    </pivotField>
    <pivotField allDrilled="1" showAll="0" dataSourceSort="1" defaultAttributeDrillState="1"/>
    <pivotField axis="axisPage" allDrilled="1" showAll="0" dataSourceSort="1" defaultAttributeDrillState="1">
      <items count="1">
        <item t="default"/>
      </items>
    </pivotField>
  </pivotFields>
  <pageFields count="2">
    <pageField fld="3" hier="35" name="[fActualAndBudget].[ReportType].[All]" cap="All"/>
    <pageField fld="5" hier="44" name="[fActualAndBudget].[ObrazecIme].&amp;[Finansiski plan_Bilans na uspeh]" cap="Finansiski plan_Bilans na uspeh"/>
  </pageFields>
  <pivotHierarchies count="195">
    <pivotHierarchy dragToData="1"/>
    <pivotHierarchy dragToData="1"/>
    <pivotHierarchy dragToData="1"/>
    <pivotHierarchy dragToData="1"/>
    <pivotHierarchy dragToData="1"/>
    <pivotHierarchy dragToData="1"/>
    <pivotHierarchy dragToData="1"/>
    <pivotHierarchy multipleItemSelectionAllowed="1">
      <members count="1" level="1">
        <member name="[Calendar].[Date Hierarchy].[Year].&amp;[2020]"/>
      </members>
    </pivotHierarchy>
    <pivotHierarchy multipleItemSelectionAllowed="1" dragToData="1">
      <members count="1" level="1">
        <member name="[Calendar].[Година].&amp;[2020]"/>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fActualAndBudget].[ObrazecIme].&amp;[Finansiski plan_Bilans na uspeh]"/>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fActualAndBudget]"/>
        <x15:activeTabTopLevelEntity name="[Calendar]"/>
      </x15:pivotTableUISettings>
    </ext>
    <ext xmlns:xpdl="http://schemas.microsoft.com/office/spreadsheetml/2016/pivotdefaultlayout" uri="{747A6164-185A-40DC-8AA5-F01512510D54}">
      <xpdl:pivotTableDefinition16/>
    </ext>
  </extLst>
</pivotTableDefinition>
</file>

<file path=xl/pivotTables/pivotTable27.xml><?xml version="1.0" encoding="utf-8"?>
<pivotTableDefinition xmlns="http://schemas.openxmlformats.org/spreadsheetml/2006/main" xmlns:mc="http://schemas.openxmlformats.org/markup-compatibility/2006" xmlns:xr="http://schemas.microsoft.com/office/spreadsheetml/2014/revision" mc:Ignorable="xr" xr:uid="{00000000-0007-0000-1E00-000000000000}" name="PivotTable2" cacheId="3" applyNumberFormats="0" applyBorderFormats="0" applyFontFormats="0" applyPatternFormats="0" applyAlignmentFormats="0" applyWidthHeightFormats="1" dataCaption="Values" tag="edf9d89e-557d-48db-9261-61f1f8ab5a78" updatedVersion="6" minRefreshableVersion="3" showDataTips="0" subtotalHiddenItems="1" rowGrandTotals="0" itemPrintTitles="1" createdVersion="5" indent="0" outline="1" outlineData="1">
  <location ref="B5" firstHeaderRow="0" firstDataRow="0" firstDataCol="0" rowPageCount="2" colPageCount="1"/>
  <pivotFields count="6">
    <pivotField allDrilled="1" showAll="0" dataSourceSort="1"/>
    <pivotField showAll="0" dataSourceSort="1"/>
    <pivotField showAll="0" dataSourceSort="1"/>
    <pivotField axis="axisPage" allDrilled="1" showAll="0" defaultAttributeDrillState="1">
      <items count="1">
        <item t="default"/>
      </items>
    </pivotField>
    <pivotField allDrilled="1" showAll="0" dataSourceSort="1" defaultAttributeDrillState="1"/>
    <pivotField axis="axisPage" allDrilled="1" showAll="0" dataSourceSort="1" defaultAttributeDrillState="1">
      <items count="1">
        <item t="default"/>
      </items>
    </pivotField>
  </pivotFields>
  <pageFields count="2">
    <pageField fld="3" hier="35" name="[fActualAndBudget].[ReportType].&amp;[План]" cap="План"/>
    <pageField fld="5" hier="44" name="[fActualAndBudget].[ObrazecIme].&amp;[Finansiski plan_Bilans na uspeh]" cap="Finansiski plan_Bilans na uspeh"/>
  </pageFields>
  <pivotHierarchies count="195">
    <pivotHierarchy dragToData="1"/>
    <pivotHierarchy dragToData="1"/>
    <pivotHierarchy dragToData="1"/>
    <pivotHierarchy dragToData="1"/>
    <pivotHierarchy dragToData="1"/>
    <pivotHierarchy dragToData="1"/>
    <pivotHierarchy dragToData="1"/>
    <pivotHierarchy multipleItemSelectionAllowed="1">
      <members count="1" level="1">
        <member name="[Calendar].[Date Hierarchy].[Year].&amp;[2020]"/>
      </members>
    </pivotHierarchy>
    <pivotHierarchy multipleItemSelectionAllowed="1" dragToData="1">
      <members count="1" level="1">
        <member name="[Calendar].[Година].&amp;[2020]"/>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fActualAndBudget].[ReportType].&amp;[План]"/>
      </members>
    </pivotHierarchy>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fActualAndBudget].[ObrazecIme].&amp;[Finansiski plan_Bilans na uspeh]"/>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fActualAndBudget]"/>
        <x15:activeTabTopLevelEntity name="[Calendar]"/>
      </x15:pivotTableUISettings>
    </ext>
    <ext xmlns:xpdl="http://schemas.microsoft.com/office/spreadsheetml/2016/pivotdefaultlayout" uri="{747A6164-185A-40DC-8AA5-F01512510D54}">
      <xpdl:pivotTableDefinition16/>
    </ext>
  </extLst>
</pivotTableDefinition>
</file>

<file path=xl/pivotTables/pivotTable28.xml><?xml version="1.0" encoding="utf-8"?>
<pivotTableDefinition xmlns="http://schemas.openxmlformats.org/spreadsheetml/2006/main" xmlns:mc="http://schemas.openxmlformats.org/markup-compatibility/2006" xmlns:xr="http://schemas.microsoft.com/office/spreadsheetml/2014/revision" mc:Ignorable="xr" xr:uid="{00000000-0007-0000-1F00-000000000000}" name="PivotTable2" cacheId="2" applyNumberFormats="0" applyBorderFormats="0" applyFontFormats="0" applyPatternFormats="0" applyAlignmentFormats="0" applyWidthHeightFormats="1" dataCaption="Values" tag="d5dad6c4-1a9a-4271-81ee-c7d1802afe57" updatedVersion="6" minRefreshableVersion="3" showDataTips="0" subtotalHiddenItems="1" rowGrandTotals="0" itemPrintTitles="1" createdVersion="5" indent="0" outline="1" outlineData="1">
  <location ref="B5" firstHeaderRow="0" firstDataRow="0" firstDataCol="0" rowPageCount="2" colPageCount="1"/>
  <pivotFields count="6">
    <pivotField allDrilled="1" showAll="0" dataSourceSort="1"/>
    <pivotField showAll="0" dataSourceSort="1"/>
    <pivotField showAll="0" dataSourceSort="1"/>
    <pivotField axis="axisPage" allDrilled="1" showAll="0" defaultAttributeDrillState="1">
      <items count="1">
        <item t="default"/>
      </items>
    </pivotField>
    <pivotField allDrilled="1" showAll="0" dataSourceSort="1" defaultAttributeDrillState="1"/>
    <pivotField axis="axisPage" allDrilled="1" showAll="0" dataSourceSort="1" defaultAttributeDrillState="1">
      <items count="1">
        <item t="default"/>
      </items>
    </pivotField>
  </pivotFields>
  <pageFields count="2">
    <pageField fld="3" hier="35" name="[fActualAndBudget].[ReportType].&amp;[План]" cap="План"/>
    <pageField fld="5" hier="44" name="[fActualAndBudget].[ObrazecIme].&amp;[Finansiski plan_Bilans na uspeh]" cap="Finansiski plan_Bilans na uspeh"/>
  </pageFields>
  <pivotHierarchies count="195">
    <pivotHierarchy dragToData="1"/>
    <pivotHierarchy dragToData="1"/>
    <pivotHierarchy dragToData="1"/>
    <pivotHierarchy dragToData="1"/>
    <pivotHierarchy dragToData="1"/>
    <pivotHierarchy dragToData="1"/>
    <pivotHierarchy dragToData="1"/>
    <pivotHierarchy multipleItemSelectionAllowed="1">
      <members count="1" level="1">
        <member name="[Calendar].[Date Hierarchy].[Year].&amp;[2020]"/>
      </members>
    </pivotHierarchy>
    <pivotHierarchy multipleItemSelectionAllowed="1" dragToData="1">
      <members count="1" level="1">
        <member name="[Calendar].[Година].&amp;[2020]"/>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fActualAndBudget].[ReportType].&amp;[План]"/>
      </members>
    </pivotHierarchy>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fActualAndBudget].[ObrazecIme].&amp;[Finansiski plan_Bilans na uspeh]"/>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fActualAndBudget]"/>
        <x15:activeTabTopLevelEntity name="[Calendar]"/>
      </x15:pivotTableUISettings>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0000000-0007-0000-0300-000000000000}" name="PivotTable2" cacheId="23" applyNumberFormats="0" applyBorderFormats="0" applyFontFormats="0" applyPatternFormats="0" applyAlignmentFormats="0" applyWidthHeightFormats="1" dataCaption="Values" tag="f5484686-8529-41f5-b56d-e4c00ceb38a0" updatedVersion="6" minRefreshableVersion="3" showDataTips="0" subtotalHiddenItems="1" rowGrandTotals="0" itemPrintTitles="1" createdVersion="5" indent="0" outline="1" outlineData="1">
  <location ref="B5:AA75" firstHeaderRow="1" firstDataRow="2" firstDataCol="1" rowPageCount="2" colPageCount="1"/>
  <pivotFields count="12">
    <pivotField axis="axisRow" allDrilled="1" showAll="0" dataSourceSort="1" defaultSubtotal="0" defaultAttributeDrillState="1">
      <items count="16">
        <item x="0"/>
        <item x="1"/>
        <item x="2"/>
        <item x="3"/>
        <item x="4"/>
        <item x="5"/>
        <item x="6"/>
        <item x="7"/>
        <item x="8"/>
        <item x="9"/>
        <item x="10"/>
        <item x="11"/>
        <item x="12"/>
        <item x="13"/>
        <item x="14"/>
        <item x="15"/>
      </items>
    </pivotField>
    <pivotField axis="axisPage" allDrilled="1" showAll="0" defaultAttributeDrillState="1">
      <items count="1">
        <item t="default"/>
      </items>
    </pivotField>
    <pivotField dataField="1" showAll="0"/>
    <pivotField allDrilled="1" showAll="0" dataSourceSort="1" defaultAttributeDrillState="1"/>
    <pivotField axis="axisPage" allDrilled="1" showAll="0" dataSourceSort="1" defaultAttributeDrillState="1">
      <items count="1">
        <item t="default"/>
      </items>
    </pivotField>
    <pivotField axis="axisCol" allDrilled="1" showAll="0" dataSourceSort="1" defaultAttributeDrillState="1">
      <items count="25">
        <item x="0"/>
        <item x="1"/>
        <item x="2"/>
        <item x="3"/>
        <item x="4"/>
        <item x="5"/>
        <item x="6"/>
        <item x="7"/>
        <item x="8"/>
        <item x="9"/>
        <item x="10"/>
        <item x="11"/>
        <item x="12"/>
        <item x="13"/>
        <item x="14"/>
        <item x="15"/>
        <item x="16"/>
        <item x="17"/>
        <item x="18"/>
        <item x="19"/>
        <item x="20"/>
        <item x="21"/>
        <item x="22"/>
        <item x="23"/>
        <item t="default"/>
      </items>
    </pivotField>
    <pivotField axis="axisRow" allDrilled="1" showAll="0" dataSourceSort="1">
      <items count="10">
        <item x="0" e="0"/>
        <item x="1" e="0"/>
        <item x="2" e="0"/>
        <item x="3" e="0"/>
        <item x="4"/>
        <item x="5" e="0"/>
        <item x="6" e="0"/>
        <item x="7" e="0"/>
        <item x="8" e="0"/>
        <item t="default"/>
      </items>
    </pivotField>
    <pivotField axis="axisRow" allDrilled="1" showAll="0" dataSourceSort="1">
      <items count="2">
        <item x="0"/>
        <item t="default"/>
      </items>
    </pivotField>
    <pivotField axis="axisRow" allDrilled="1" showAll="0" dataSourceSort="1" defaultAttributeDrillState="1">
      <items count="3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t="default"/>
      </items>
    </pivotField>
    <pivotField allDrilled="1" showAll="0" dataSourceSort="1"/>
    <pivotField showAll="0" dataSourceSort="1"/>
    <pivotField showAll="0" dataSourceSort="1"/>
  </pivotFields>
  <rowFields count="4">
    <field x="6"/>
    <field x="7"/>
    <field x="0"/>
    <field x="8"/>
  </rowFields>
  <rowItems count="69">
    <i>
      <x/>
    </i>
    <i>
      <x v="1"/>
    </i>
    <i>
      <x v="2"/>
    </i>
    <i>
      <x v="3"/>
    </i>
    <i>
      <x v="4"/>
    </i>
    <i r="1">
      <x/>
    </i>
    <i r="2">
      <x/>
    </i>
    <i r="3">
      <x/>
    </i>
    <i r="2">
      <x v="1"/>
    </i>
    <i r="3">
      <x/>
    </i>
    <i r="2">
      <x v="2"/>
    </i>
    <i r="3">
      <x/>
    </i>
    <i r="3">
      <x v="1"/>
    </i>
    <i r="2">
      <x v="3"/>
    </i>
    <i r="3">
      <x/>
    </i>
    <i r="3">
      <x v="2"/>
    </i>
    <i r="3">
      <x v="3"/>
    </i>
    <i r="3">
      <x v="4"/>
    </i>
    <i r="3">
      <x v="5"/>
    </i>
    <i r="3">
      <x v="6"/>
    </i>
    <i r="3">
      <x v="7"/>
    </i>
    <i r="3">
      <x v="8"/>
    </i>
    <i r="3">
      <x v="9"/>
    </i>
    <i r="3">
      <x v="10"/>
    </i>
    <i r="3">
      <x v="11"/>
    </i>
    <i r="3">
      <x v="12"/>
    </i>
    <i r="3">
      <x v="13"/>
    </i>
    <i r="2">
      <x v="4"/>
    </i>
    <i r="3">
      <x/>
    </i>
    <i r="3">
      <x v="14"/>
    </i>
    <i r="2">
      <x v="5"/>
    </i>
    <i r="3">
      <x/>
    </i>
    <i r="3">
      <x v="15"/>
    </i>
    <i r="3">
      <x v="16"/>
    </i>
    <i r="2">
      <x v="6"/>
    </i>
    <i r="3">
      <x/>
    </i>
    <i r="3">
      <x v="17"/>
    </i>
    <i r="2">
      <x v="7"/>
    </i>
    <i r="3">
      <x/>
    </i>
    <i r="3">
      <x v="18"/>
    </i>
    <i r="2">
      <x v="8"/>
    </i>
    <i r="3">
      <x/>
    </i>
    <i r="3">
      <x v="19"/>
    </i>
    <i r="2">
      <x v="9"/>
    </i>
    <i r="3">
      <x/>
    </i>
    <i r="3">
      <x v="20"/>
    </i>
    <i r="3">
      <x v="21"/>
    </i>
    <i r="3">
      <x v="22"/>
    </i>
    <i r="3">
      <x v="23"/>
    </i>
    <i r="3">
      <x v="24"/>
    </i>
    <i r="3">
      <x v="25"/>
    </i>
    <i r="3">
      <x v="26"/>
    </i>
    <i r="2">
      <x v="10"/>
    </i>
    <i r="3">
      <x/>
    </i>
    <i r="3">
      <x v="27"/>
    </i>
    <i r="3">
      <x v="28"/>
    </i>
    <i r="3">
      <x v="29"/>
    </i>
    <i r="2">
      <x v="11"/>
    </i>
    <i r="3">
      <x/>
    </i>
    <i r="3">
      <x v="30"/>
    </i>
    <i r="2">
      <x v="12"/>
    </i>
    <i r="3">
      <x/>
    </i>
    <i r="3">
      <x v="31"/>
    </i>
    <i r="2">
      <x v="13"/>
    </i>
    <i r="3">
      <x/>
    </i>
    <i>
      <x v="5"/>
    </i>
    <i>
      <x v="6"/>
    </i>
    <i>
      <x v="7"/>
    </i>
    <i>
      <x v="8"/>
    </i>
  </rowItems>
  <colFields count="1">
    <field x="5"/>
  </colFields>
  <colItems count="25">
    <i>
      <x/>
    </i>
    <i>
      <x v="1"/>
    </i>
    <i>
      <x v="2"/>
    </i>
    <i>
      <x v="3"/>
    </i>
    <i>
      <x v="4"/>
    </i>
    <i>
      <x v="5"/>
    </i>
    <i>
      <x v="6"/>
    </i>
    <i>
      <x v="7"/>
    </i>
    <i>
      <x v="8"/>
    </i>
    <i>
      <x v="9"/>
    </i>
    <i>
      <x v="10"/>
    </i>
    <i>
      <x v="11"/>
    </i>
    <i>
      <x v="12"/>
    </i>
    <i>
      <x v="13"/>
    </i>
    <i>
      <x v="14"/>
    </i>
    <i>
      <x v="15"/>
    </i>
    <i>
      <x v="16"/>
    </i>
    <i>
      <x v="17"/>
    </i>
    <i>
      <x v="18"/>
    </i>
    <i>
      <x v="19"/>
    </i>
    <i>
      <x v="20"/>
    </i>
    <i>
      <x v="21"/>
    </i>
    <i>
      <x v="22"/>
    </i>
    <i>
      <x v="23"/>
    </i>
    <i t="grand">
      <x/>
    </i>
  </colItems>
  <pageFields count="2">
    <pageField fld="1" hier="35" name="[fActualAndBudget].[ReportType].[All]" cap="All"/>
    <pageField fld="4" hier="44" name="[fActualAndBudget].[ObrazecIme].&amp;[Finansiski plan_Bilans na uspeh]" cap="Finansiski plan_Bilans na uspeh"/>
  </pageFields>
  <dataFields count="1">
    <dataField name="Sum of Износ" fld="2" baseField="0" baseItem="0" numFmtId="3"/>
  </dataFields>
  <formats count="5">
    <format dxfId="340">
      <pivotArea field="0" grandCol="1" collapsedLevelsAreSubtotals="1" axis="axisRow" fieldPosition="2">
        <references count="1">
          <reference field="0" count="1">
            <x v="14"/>
          </reference>
        </references>
      </pivotArea>
    </format>
    <format dxfId="339">
      <pivotArea field="0" grandCol="1" collapsedLevelsAreSubtotals="1" axis="axisRow" fieldPosition="2">
        <references count="1">
          <reference field="0" count="1">
            <x v="15"/>
          </reference>
        </references>
      </pivotArea>
    </format>
    <format dxfId="338">
      <pivotArea grandCol="1" outline="0" collapsedLevelsAreSubtotals="1" fieldPosition="0"/>
    </format>
    <format dxfId="337">
      <pivotArea type="topRight" dataOnly="0" labelOnly="1" outline="0" offset="D1" fieldPosition="0"/>
    </format>
    <format dxfId="336">
      <pivotArea dataOnly="0" labelOnly="1" grandCol="1" outline="0" fieldPosition="0"/>
    </format>
  </formats>
  <pivotHierarchies count="195">
    <pivotHierarchy dragToData="1"/>
    <pivotHierarchy dragToData="1"/>
    <pivotHierarchy dragToData="1"/>
    <pivotHierarchy dragToData="1"/>
    <pivotHierarchy dragToData="1"/>
    <pivotHierarchy dragToData="1"/>
    <pivotHierarchy dragToData="1"/>
    <pivotHierarchy multipleItemSelectionAllowed="1"/>
    <pivotHierarchy multipleItemSelectionAllowed="1" dragToData="1">
      <members count="1" level="1">
        <member name="[Calendar].[Година].&amp;[2020]"/>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fActualAndBudget].[ObrazecIme].&amp;[Finansiski plan_Bilans na uspeh]"/>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4">
    <rowHierarchyUsage hierarchyUsage="40"/>
    <rowHierarchyUsage hierarchyUsage="47"/>
    <rowHierarchyUsage hierarchyUsage="31"/>
    <rowHierarchyUsage hierarchyUsage="36"/>
  </rowHierarchiesUsage>
  <colHierarchiesUsage count="1">
    <colHierarchyUsage hierarchyUsage="14"/>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fActualAndBudget]"/>
        <x15:activeTabTopLevelEntity name="[Calendar]"/>
      </x15:pivotTableUISettings>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00000000-0007-0000-0400-000000000000}" name="PivotTable2" cacheId="22" applyNumberFormats="0" applyBorderFormats="0" applyFontFormats="0" applyPatternFormats="0" applyAlignmentFormats="0" applyWidthHeightFormats="1" dataCaption="Values" tag="663e23a3-8d01-491a-a0dc-a9bf757f1ec0" updatedVersion="6" minRefreshableVersion="3" showDataTips="0" useAutoFormatting="1" subtotalHiddenItems="1" rowGrandTotals="0" itemPrintTitles="1" createdVersion="5" indent="0" outline="1" outlineData="1">
  <location ref="B5:G9" firstHeaderRow="1" firstDataRow="2" firstDataCol="1" rowPageCount="2" colPageCount="1"/>
  <pivotFields count="10">
    <pivotField allDrilled="1" showAll="0" dataSourceSort="1"/>
    <pivotField showAll="0" dataSourceSort="1"/>
    <pivotField showAll="0" dataSourceSort="1"/>
    <pivotField axis="axisPage" allDrilled="1" showAll="0" defaultAttributeDrillState="1">
      <items count="1">
        <item t="default"/>
      </items>
    </pivotField>
    <pivotField dataField="1" showAll="0"/>
    <pivotField allDrilled="1" showAll="0" dataSourceSort="1" defaultAttributeDrillState="1"/>
    <pivotField axis="axisPage" allDrilled="1" showAll="0" dataSourceSort="1" defaultAttributeDrillState="1">
      <items count="1">
        <item t="default"/>
      </items>
    </pivotField>
    <pivotField axis="axisCol" allDrilled="1" showAll="0" dataSourceSort="1" defaultAttributeDrillState="1">
      <items count="5">
        <item x="0"/>
        <item x="1"/>
        <item x="2"/>
        <item x="3"/>
        <item t="default"/>
      </items>
    </pivotField>
    <pivotField axis="axisRow" allDrilled="1" showAll="0" dataSourceSort="1">
      <items count="4">
        <item x="0" e="0"/>
        <item x="1" e="0"/>
        <item x="2" e="0"/>
        <item t="default"/>
      </items>
    </pivotField>
    <pivotField axis="axisRow" allDrilled="1" showAll="0" dataSourceSort="1" defaultAttributeDrillState="1">
      <items count="18">
        <item x="0"/>
        <item x="1"/>
        <item x="2"/>
        <item x="3"/>
        <item x="4"/>
        <item x="5"/>
        <item x="6"/>
        <item x="7"/>
        <item x="8"/>
        <item x="9"/>
        <item x="10"/>
        <item x="11"/>
        <item x="12"/>
        <item x="13"/>
        <item x="14"/>
        <item x="15"/>
        <item x="16"/>
        <item t="default"/>
      </items>
    </pivotField>
  </pivotFields>
  <rowFields count="2">
    <field x="8"/>
    <field x="9"/>
  </rowFields>
  <rowItems count="3">
    <i>
      <x/>
    </i>
    <i>
      <x v="1"/>
    </i>
    <i>
      <x v="2"/>
    </i>
  </rowItems>
  <colFields count="1">
    <field x="7"/>
  </colFields>
  <colItems count="5">
    <i>
      <x/>
    </i>
    <i>
      <x v="1"/>
    </i>
    <i>
      <x v="2"/>
    </i>
    <i>
      <x v="3"/>
    </i>
    <i t="grand">
      <x/>
    </i>
  </colItems>
  <pageFields count="2">
    <pageField fld="3" hier="35" name="[fActualAndBudget].[ReportType].&amp;[План]" cap="План"/>
    <pageField fld="6" hier="44" name="[fActualAndBudget].[ObrazecIme].&amp;[Finansiski plan_Bilans na uspeh]" cap="Finansiski plan_Bilans na uspeh"/>
  </pageFields>
  <dataFields count="1">
    <dataField name="Sum of Износ" fld="4" baseField="0" baseItem="0" numFmtId="3"/>
  </dataFields>
  <pivotHierarchies count="195">
    <pivotHierarchy dragToData="1"/>
    <pivotHierarchy dragToData="1"/>
    <pivotHierarchy dragToData="1"/>
    <pivotHierarchy dragToData="1"/>
    <pivotHierarchy dragToData="1"/>
    <pivotHierarchy dragToData="1"/>
    <pivotHierarchy dragToData="1"/>
    <pivotHierarchy multipleItemSelectionAllowed="1">
      <members count="1" level="1">
        <member name="[Calendar].[Date Hierarchy].[Year].&amp;[2020]"/>
      </members>
    </pivotHierarchy>
    <pivotHierarchy multipleItemSelectionAllowed="1" dragToData="1">
      <members count="1" level="1">
        <member name="[Calendar].[Година].&amp;[2020]"/>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fActualAndBudget].[ReportType].&amp;[План]"/>
      </members>
    </pivotHierarchy>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fActualAndBudget].[ObrazecIme].&amp;[Finansiski plan_Bilans na uspeh]"/>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2">
    <rowHierarchyUsage hierarchyUsage="39"/>
    <rowHierarchyUsage hierarchyUsage="38"/>
  </rowHierarchiesUsage>
  <colHierarchiesUsage count="1">
    <colHierarchyUsage hierarchyUsage="14"/>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fActualAndBudget]"/>
        <x15:activeTabTopLevelEntity name="[Calendar]"/>
      </x15:pivotTableUISettings>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00000000-0007-0000-0500-000000000000}" name="PivotTable2" cacheId="21" applyNumberFormats="0" applyBorderFormats="0" applyFontFormats="0" applyPatternFormats="0" applyAlignmentFormats="0" applyWidthHeightFormats="1" dataCaption="Values" tag="038dd624-92e1-42ea-a054-f083bd4a77e3" updatedVersion="6" minRefreshableVersion="3" showDataTips="0" subtotalHiddenItems="1" rowGrandTotals="0" itemPrintTitles="1" createdVersion="5" indent="0" outline="1" outlineData="1">
  <location ref="B5" firstHeaderRow="0" firstDataRow="0" firstDataCol="0" rowPageCount="2" colPageCount="1"/>
  <pivotFields count="6">
    <pivotField allDrilled="1" showAll="0" dataSourceSort="1"/>
    <pivotField showAll="0" dataSourceSort="1"/>
    <pivotField showAll="0" dataSourceSort="1"/>
    <pivotField axis="axisPage" allDrilled="1" showAll="0" defaultAttributeDrillState="1">
      <items count="1">
        <item t="default"/>
      </items>
    </pivotField>
    <pivotField allDrilled="1" showAll="0" dataSourceSort="1" defaultAttributeDrillState="1"/>
    <pivotField axis="axisPage" allDrilled="1" showAll="0" dataSourceSort="1" defaultAttributeDrillState="1">
      <items count="1">
        <item t="default"/>
      </items>
    </pivotField>
  </pivotFields>
  <pageFields count="2">
    <pageField fld="3" hier="35" name="[fActualAndBudget].[ReportType].&amp;[План]" cap="План"/>
    <pageField fld="5" hier="44" name="[fActualAndBudget].[ObrazecIme].&amp;[Finansiski plan_Bilans na uspeh]" cap="Finansiski plan_Bilans na uspeh"/>
  </pageFields>
  <pivotHierarchies count="195">
    <pivotHierarchy dragToData="1"/>
    <pivotHierarchy dragToData="1"/>
    <pivotHierarchy dragToData="1"/>
    <pivotHierarchy dragToData="1"/>
    <pivotHierarchy dragToData="1"/>
    <pivotHierarchy dragToData="1"/>
    <pivotHierarchy dragToData="1"/>
    <pivotHierarchy multipleItemSelectionAllowed="1">
      <members count="1" level="1">
        <member name="[Calendar].[Date Hierarchy].[Year].&amp;[2019]"/>
      </members>
    </pivotHierarchy>
    <pivotHierarchy multipleItemSelectionAllowed="1" dragToData="1">
      <members count="1" level="1">
        <member name="[Calendar].[Година].&amp;[2020]"/>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fActualAndBudget].[ReportType].&amp;[План]"/>
      </members>
    </pivotHierarchy>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fActualAndBudget].[ObrazecIme].&amp;[Finansiski plan_Bilans na uspeh]"/>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fActualAndBudget]"/>
        <x15:activeTabTopLevelEntity name="[Calendar]"/>
      </x15:pivotTableUISettings>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00000000-0007-0000-0500-000001000000}" name="PivotTable4" cacheId="20" applyNumberFormats="0" applyBorderFormats="0" applyFontFormats="0" applyPatternFormats="0" applyAlignmentFormats="0" applyWidthHeightFormats="1" dataCaption="Values" tag="57c22881-48b3-4c5f-9554-72a889cf11c9" updatedVersion="6" minRefreshableVersion="3" showDataTips="0" subtotalHiddenItems="1" rowGrandTotals="0" itemPrintTitles="1" createdVersion="5" indent="0" outline="1" outlineData="1">
  <location ref="Q5" firstHeaderRow="0" firstDataRow="0" firstDataCol="0" rowPageCount="2" colPageCount="1"/>
  <pivotFields count="6">
    <pivotField allDrilled="1" showAll="0" dataSourceSort="1"/>
    <pivotField showAll="0" dataSourceSort="1"/>
    <pivotField showAll="0" dataSourceSort="1"/>
    <pivotField axis="axisPage" allDrilled="1" showAll="0" defaultAttributeDrillState="1">
      <items count="1">
        <item t="default"/>
      </items>
    </pivotField>
    <pivotField allDrilled="1" showAll="0" dataSourceSort="1" defaultAttributeDrillState="1"/>
    <pivotField axis="axisPage" allDrilled="1" showAll="0" dataSourceSort="1" defaultAttributeDrillState="1">
      <items count="1">
        <item t="default"/>
      </items>
    </pivotField>
  </pivotFields>
  <pageFields count="2">
    <pageField fld="3" hier="35" name="[fActualAndBudget].[ReportType].&amp;[Предвидување]" cap="Предвидување"/>
    <pageField fld="5" hier="44" name="[fActualAndBudget].[ObrazecIme].&amp;[Finansiski plan_Bilans na uspeh]" cap="Finansiski plan_Bilans na uspeh"/>
  </pageFields>
  <pivotHierarchies count="195">
    <pivotHierarchy dragToData="1"/>
    <pivotHierarchy dragToData="1"/>
    <pivotHierarchy dragToData="1"/>
    <pivotHierarchy dragToData="1"/>
    <pivotHierarchy dragToData="1"/>
    <pivotHierarchy dragToData="1"/>
    <pivotHierarchy dragToData="1"/>
    <pivotHierarchy multipleItemSelectionAllowed="1">
      <members count="1" level="1">
        <member name="[Calendar].[Date Hierarchy].[Year].&amp;[2019]"/>
      </members>
    </pivotHierarchy>
    <pivotHierarchy multipleItemSelectionAllowed="1" dragToData="1">
      <members count="1" level="1">
        <member name="[Calendar].[Година].&amp;[2020]"/>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fActualAndBudget].[ReportType].&amp;[Предвидување]"/>
      </members>
    </pivotHierarchy>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fActualAndBudget].[ObrazecIme].&amp;[Finansiski plan_Bilans na uspeh]"/>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showRowHeaders="1" showColHeaders="1" showRowStripes="0" showColStripes="0" showLastColumn="1"/>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fActualAndBudget]"/>
        <x15:activeTabTopLevelEntity name="[Calendar]"/>
      </x15:pivotTableUISettings>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00000000-0007-0000-0600-000000000000}" name="PivotTable2" cacheId="19" applyNumberFormats="0" applyBorderFormats="0" applyFontFormats="0" applyPatternFormats="0" applyAlignmentFormats="0" applyWidthHeightFormats="1" dataCaption="Values" tag="9e873c60-db76-4f91-85c6-2caa3cb319dd" updatedVersion="6" minRefreshableVersion="3" showDataTips="0" useAutoFormatting="1" subtotalHiddenItems="1" rowGrandTotals="0" itemPrintTitles="1" createdVersion="5" indent="0" showHeaders="0" outline="1" outlineData="1">
  <location ref="A5:N32" firstHeaderRow="1" firstDataRow="2" firstDataCol="1" rowPageCount="1" colPageCount="1"/>
  <pivotFields count="11">
    <pivotField axis="axisRow" allDrilled="1" showAll="0" dataSourceSort="1">
      <items count="18">
        <item x="0" e="0"/>
        <item x="1" e="0"/>
        <item x="2" e="0"/>
        <item x="3" e="0"/>
        <item x="4" e="0"/>
        <item x="5" e="0"/>
        <item x="6" e="0"/>
        <item x="7" e="0"/>
        <item x="8" e="0"/>
        <item x="9" e="0"/>
        <item x="10" e="0"/>
        <item x="11" e="0"/>
        <item x="12" e="0"/>
        <item x="13" e="0"/>
        <item x="14" e="0"/>
        <item x="15" e="0"/>
        <item x="16" e="0"/>
        <item t="default"/>
      </items>
    </pivotField>
    <pivotField allDrilled="1" showAll="0" defaultAttributeDrillState="1"/>
    <pivotField dataField="1" showAll="0"/>
    <pivotField axis="axisRow" allDrilled="1" showAll="0" dataSourceSort="1">
      <items count="10">
        <item x="0"/>
        <item x="1" e="0"/>
        <item x="2"/>
        <item x="3" e="0"/>
        <item x="4"/>
        <item x="5" e="0"/>
        <item x="6" e="0"/>
        <item x="7" e="0"/>
        <item x="8" e="0"/>
        <item t="default"/>
      </items>
    </pivotField>
    <pivotField allDrilled="1" showAll="0" dataSourceSort="1" defaultAttributeDrillState="1"/>
    <pivotField axis="axisCol" allDrilled="1" showAll="0" dataSourceSort="1" defaultAttributeDrillState="1">
      <items count="13">
        <item x="0"/>
        <item x="1"/>
        <item x="2"/>
        <item x="3"/>
        <item x="4"/>
        <item x="5"/>
        <item x="6"/>
        <item x="7"/>
        <item x="8"/>
        <item x="9"/>
        <item x="10"/>
        <item x="11"/>
        <item t="default"/>
      </items>
    </pivotField>
    <pivotField axis="axisPage" allDrilled="1" showAll="0" dataSourceSort="1" defaultAttributeDrillState="1">
      <items count="1">
        <item t="default"/>
      </items>
    </pivotField>
    <pivotField allDrilled="1" showAll="0" dataSourceSort="1"/>
    <pivotField showAll="0" dataSourceSort="1"/>
    <pivotField showAll="0" dataSourceSort="1"/>
    <pivotField axis="axisRow" allDrilled="1" showAll="0" dataSourceSort="1" defaultAttributeDrillState="1">
      <items count="31">
        <item x="0"/>
        <item x="1"/>
        <item x="2"/>
        <item x="3"/>
        <item x="4"/>
        <item x="5"/>
        <item x="6"/>
        <item x="7"/>
        <item x="8"/>
        <item x="9"/>
        <item x="10"/>
        <item x="11"/>
        <item x="12"/>
        <item x="13"/>
        <item x="14"/>
        <item x="15"/>
        <item x="16"/>
        <item x="17"/>
        <item x="18"/>
        <item x="19"/>
        <item x="20"/>
        <item x="21"/>
        <item x="22"/>
        <item x="23"/>
        <item x="24"/>
        <item x="25"/>
        <item x="26"/>
        <item x="27"/>
        <item x="28"/>
        <item x="29"/>
        <item t="default"/>
      </items>
    </pivotField>
  </pivotFields>
  <rowFields count="3">
    <field x="3"/>
    <field x="0"/>
    <field x="10"/>
  </rowFields>
  <rowItems count="26">
    <i>
      <x/>
    </i>
    <i r="1">
      <x/>
    </i>
    <i r="1">
      <x v="1"/>
    </i>
    <i r="1">
      <x v="2"/>
    </i>
    <i r="1">
      <x v="3"/>
    </i>
    <i r="1">
      <x v="4"/>
    </i>
    <i r="1">
      <x v="5"/>
    </i>
    <i r="1">
      <x v="6"/>
    </i>
    <i r="1">
      <x v="7"/>
    </i>
    <i r="1">
      <x v="8"/>
    </i>
    <i r="1">
      <x v="9"/>
    </i>
    <i r="1">
      <x v="10"/>
    </i>
    <i r="1">
      <x v="11"/>
    </i>
    <i>
      <x v="1"/>
    </i>
    <i>
      <x v="2"/>
    </i>
    <i r="1">
      <x v="12"/>
    </i>
    <i r="1">
      <x v="13"/>
    </i>
    <i r="1">
      <x v="14"/>
    </i>
    <i r="1">
      <x v="15"/>
    </i>
    <i>
      <x v="3"/>
    </i>
    <i>
      <x v="4"/>
    </i>
    <i r="1">
      <x v="16"/>
    </i>
    <i>
      <x v="5"/>
    </i>
    <i>
      <x v="6"/>
    </i>
    <i>
      <x v="7"/>
    </i>
    <i>
      <x v="8"/>
    </i>
  </rowItems>
  <colFields count="1">
    <field x="5"/>
  </colFields>
  <colItems count="13">
    <i>
      <x/>
    </i>
    <i>
      <x v="1"/>
    </i>
    <i>
      <x v="2"/>
    </i>
    <i>
      <x v="3"/>
    </i>
    <i>
      <x v="4"/>
    </i>
    <i>
      <x v="5"/>
    </i>
    <i>
      <x v="6"/>
    </i>
    <i>
      <x v="7"/>
    </i>
    <i>
      <x v="8"/>
    </i>
    <i>
      <x v="9"/>
    </i>
    <i>
      <x v="10"/>
    </i>
    <i>
      <x v="11"/>
    </i>
    <i t="grand">
      <x/>
    </i>
  </colItems>
  <pageFields count="1">
    <pageField fld="6" hier="44" name="[fActualAndBudget].[ObrazecIme].&amp;[Finansiski plan_Bilans na uspeh]" cap="Finansiski plan_Bilans na uspeh"/>
  </pageFields>
  <dataFields count="1">
    <dataField name="Sum of Износ" fld="2" baseField="0" baseItem="4" numFmtId="3"/>
  </dataFields>
  <pivotHierarchies count="195">
    <pivotHierarchy dragToData="1"/>
    <pivotHierarchy dragToData="1"/>
    <pivotHierarchy dragToData="1"/>
    <pivotHierarchy dragToData="1"/>
    <pivotHierarchy dragToData="1"/>
    <pivotHierarchy dragToData="1"/>
    <pivotHierarchy dragToData="1"/>
    <pivotHierarchy multipleItemSelectionAllowed="1">
      <members count="1" level="1">
        <member name="[Calendar].[Date Hierarchy].[Year].&amp;[2023]"/>
      </members>
    </pivotHierarchy>
    <pivotHierarchy multipleItemSelectionAllowed="1" dragToData="1">
      <members count="1" level="1">
        <member name="[Calendar].[Година].&amp;[2022]"/>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fActualAndBudget].[ReportType].&amp;[План]"/>
      </members>
    </pivotHierarchy>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fActualAndBudget].[ObrazecIme].&amp;[Finansiski plan_Bilans na uspeh]"/>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3">
    <rowHierarchyUsage hierarchyUsage="40"/>
    <rowHierarchyUsage hierarchyUsage="38"/>
    <rowHierarchyUsage hierarchyUsage="36"/>
  </rowHierarchiesUsage>
  <colHierarchiesUsage count="1">
    <colHierarchyUsage hierarchyUsage="1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fActualAndBudget]"/>
        <x15:activeTabTopLevelEntity name="[Calendar]"/>
      </x15:pivotTableUISettings>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00000000-0007-0000-0800-000000000000}" name="PivotTable2" cacheId="18" applyNumberFormats="0" applyBorderFormats="0" applyFontFormats="0" applyPatternFormats="0" applyAlignmentFormats="0" applyWidthHeightFormats="1" dataCaption="Values" tag="8e62a585-f3c4-4d25-b7c6-95563c4b6fe1" updatedVersion="6" minRefreshableVersion="3" showDataTips="0" useAutoFormatting="1" subtotalHiddenItems="1" rowGrandTotals="0" itemPrintTitles="1" createdVersion="5" indent="0" outline="1" outlineData="1">
  <location ref="A5:L20" firstHeaderRow="1" firstDataRow="2" firstDataCol="1" rowPageCount="3" colPageCount="1"/>
  <pivotFields count="11">
    <pivotField allDrilled="1" showAll="0" dataSourceSort="1"/>
    <pivotField showAll="0" dataSourceSort="1"/>
    <pivotField showAll="0" dataSourceSort="1"/>
    <pivotField axis="axisRow" allDrilled="1" showAll="0" dataSourceSort="1" defaultAttributeDrillState="1">
      <items count="26">
        <item x="0"/>
        <item x="1"/>
        <item x="2"/>
        <item x="3"/>
        <item x="4"/>
        <item x="5"/>
        <item x="6"/>
        <item x="7"/>
        <item x="8"/>
        <item x="9"/>
        <item x="10"/>
        <item x="11"/>
        <item x="12"/>
        <item x="13"/>
        <item x="14"/>
        <item x="15"/>
        <item x="16"/>
        <item x="17"/>
        <item x="18"/>
        <item x="19"/>
        <item x="20"/>
        <item x="21"/>
        <item x="22"/>
        <item x="23"/>
        <item x="24"/>
        <item t="default"/>
      </items>
    </pivotField>
    <pivotField axis="axisPage" allDrilled="1" showAll="0" defaultAttributeDrillState="1">
      <items count="1">
        <item t="default"/>
      </items>
    </pivotField>
    <pivotField dataField="1" showAll="0"/>
    <pivotField axis="axisRow" allDrilled="1" showAll="0" dataSourceSort="1">
      <items count="16">
        <item x="0" e="0"/>
        <item x="1" e="0"/>
        <item x="2" e="0"/>
        <item x="3" e="0"/>
        <item x="4" e="0"/>
        <item x="5" e="0"/>
        <item x="6" e="0"/>
        <item x="7" e="0"/>
        <item x="8" e="0"/>
        <item x="9" e="0"/>
        <item x="10" e="0"/>
        <item x="11" e="0"/>
        <item x="12" e="0"/>
        <item x="13" e="0"/>
        <item x="14" e="0"/>
        <item t="default"/>
      </items>
    </pivotField>
    <pivotField axis="axisPage" allDrilled="1" showAll="0" dataSourceSort="1" defaultAttributeDrillState="1">
      <items count="3">
        <item x="0"/>
        <item x="1"/>
        <item t="default"/>
      </items>
    </pivotField>
    <pivotField axis="axisPage" allDrilled="1" showAll="0" dataSourceSort="1" defaultAttributeDrillState="1">
      <items count="1">
        <item t="default"/>
      </items>
    </pivotField>
    <pivotField axis="axisRow" allDrilled="1" showAll="0" dataSourceSort="1" defaultAttributeDrillState="1">
      <items count="10">
        <item x="0"/>
        <item x="1"/>
        <item x="2"/>
        <item x="3"/>
        <item x="4"/>
        <item x="5"/>
        <item x="6"/>
        <item x="7"/>
        <item x="8" e="0"/>
        <item t="default"/>
      </items>
    </pivotField>
    <pivotField axis="axisCol" allDrilled="1" showAll="0" dataSourceSort="1" defaultAttributeDrillState="1">
      <items count="11">
        <item x="0"/>
        <item x="1"/>
        <item x="2"/>
        <item x="3"/>
        <item x="4"/>
        <item x="5"/>
        <item x="6"/>
        <item x="7"/>
        <item x="8"/>
        <item x="9"/>
        <item t="default"/>
      </items>
    </pivotField>
  </pivotFields>
  <rowFields count="3">
    <field x="6"/>
    <field x="9"/>
    <field x="3"/>
  </rowFields>
  <rowItems count="14">
    <i>
      <x/>
    </i>
    <i>
      <x v="1"/>
    </i>
    <i>
      <x v="2"/>
    </i>
    <i>
      <x v="3"/>
    </i>
    <i>
      <x v="4"/>
    </i>
    <i>
      <x v="5"/>
    </i>
    <i>
      <x v="6"/>
    </i>
    <i>
      <x v="7"/>
    </i>
    <i>
      <x v="8"/>
    </i>
    <i>
      <x v="9"/>
    </i>
    <i>
      <x v="10"/>
    </i>
    <i>
      <x v="11"/>
    </i>
    <i>
      <x v="12"/>
    </i>
    <i>
      <x v="13"/>
    </i>
  </rowItems>
  <colFields count="1">
    <field x="10"/>
  </colFields>
  <colItems count="11">
    <i>
      <x/>
    </i>
    <i>
      <x v="1"/>
    </i>
    <i>
      <x v="2"/>
    </i>
    <i>
      <x v="3"/>
    </i>
    <i>
      <x v="4"/>
    </i>
    <i>
      <x v="5"/>
    </i>
    <i>
      <x v="6"/>
    </i>
    <i>
      <x v="7"/>
    </i>
    <i>
      <x v="8"/>
    </i>
    <i>
      <x v="9"/>
    </i>
    <i t="grand">
      <x/>
    </i>
  </colItems>
  <pageFields count="3">
    <pageField fld="4" hier="35" name="[fActualAndBudget].[ReportType].&amp;[Предвидување]" cap="Предвидување"/>
    <pageField fld="8" hier="44" name="[fActualAndBudget].[ObrazecIme].&amp;[Finansiski plan_Bilans na sostojba]" cap="Finansiski plan_Bilans na sostojba"/>
    <pageField fld="7" hier="8" name="[Calendar].[Година].&amp;[2022]" cap="2022"/>
  </pageFields>
  <dataFields count="1">
    <dataField name="Sum of Износ" fld="5" baseField="0" baseItem="0" numFmtId="3"/>
  </dataFields>
  <formats count="18">
    <format dxfId="335">
      <pivotArea collapsedLevelsAreSubtotals="1" fieldPosition="0">
        <references count="1">
          <reference field="6" count="1">
            <x v="2"/>
          </reference>
        </references>
      </pivotArea>
    </format>
    <format dxfId="334">
      <pivotArea collapsedLevelsAreSubtotals="1" fieldPosition="0">
        <references count="1">
          <reference field="6" count="1">
            <x v="4"/>
          </reference>
        </references>
      </pivotArea>
    </format>
    <format dxfId="333">
      <pivotArea collapsedLevelsAreSubtotals="1" fieldPosition="0">
        <references count="1">
          <reference field="6" count="1">
            <x v="0"/>
          </reference>
        </references>
      </pivotArea>
    </format>
    <format dxfId="332">
      <pivotArea collapsedLevelsAreSubtotals="1" fieldPosition="0">
        <references count="1">
          <reference field="6" count="1">
            <x v="5"/>
          </reference>
        </references>
      </pivotArea>
    </format>
    <format dxfId="331">
      <pivotArea collapsedLevelsAreSubtotals="1" fieldPosition="0">
        <references count="1">
          <reference field="6" count="1">
            <x v="11"/>
          </reference>
        </references>
      </pivotArea>
    </format>
    <format dxfId="330">
      <pivotArea collapsedLevelsAreSubtotals="1" fieldPosition="0">
        <references count="1">
          <reference field="6" count="1">
            <x v="12"/>
          </reference>
        </references>
      </pivotArea>
    </format>
    <format dxfId="329">
      <pivotArea collapsedLevelsAreSubtotals="1" fieldPosition="0">
        <references count="1">
          <reference field="6" count="1">
            <x v="13"/>
          </reference>
        </references>
      </pivotArea>
    </format>
    <format dxfId="328">
      <pivotArea field="9" grandCol="1" collapsedLevelsAreSubtotals="1" axis="axisRow" fieldPosition="1">
        <references count="3">
          <reference field="3" count="1">
            <x v="24"/>
          </reference>
          <reference field="6" count="1" selected="0">
            <x v="14"/>
          </reference>
          <reference field="9" count="1" selected="0">
            <x v="8"/>
          </reference>
        </references>
      </pivotArea>
    </format>
    <format dxfId="327">
      <pivotArea grandCol="1" outline="0" collapsedLevelsAreSubtotals="1" fieldPosition="0"/>
    </format>
    <format dxfId="326">
      <pivotArea field="6" grandCol="1" collapsedLevelsAreSubtotals="1" axis="axisRow" fieldPosition="0">
        <references count="1">
          <reference field="6" count="1">
            <x v="13"/>
          </reference>
        </references>
      </pivotArea>
    </format>
    <format dxfId="325">
      <pivotArea field="6" grandCol="1" collapsedLevelsAreSubtotals="1" axis="axisRow" fieldPosition="0">
        <references count="1">
          <reference field="6" count="1">
            <x v="12"/>
          </reference>
        </references>
      </pivotArea>
    </format>
    <format dxfId="324">
      <pivotArea field="9" grandCol="1" collapsedLevelsAreSubtotals="1" axis="axisRow" fieldPosition="1">
        <references count="3">
          <reference field="3" count="1">
            <x v="23"/>
          </reference>
          <reference field="6" count="1" selected="0">
            <x v="11"/>
          </reference>
          <reference field="9" count="1" selected="0">
            <x v="7"/>
          </reference>
        </references>
      </pivotArea>
    </format>
    <format dxfId="323">
      <pivotArea field="6" grandCol="1" collapsedLevelsAreSubtotals="1" axis="axisRow" fieldPosition="0">
        <references count="1">
          <reference field="6" count="1">
            <x v="8"/>
          </reference>
        </references>
      </pivotArea>
    </format>
    <format dxfId="322">
      <pivotArea field="6" grandCol="1" collapsedLevelsAreSubtotals="1" axis="axisRow" fieldPosition="0">
        <references count="1">
          <reference field="6" count="1">
            <x v="5"/>
          </reference>
        </references>
      </pivotArea>
    </format>
    <format dxfId="321">
      <pivotArea field="6" grandCol="1" collapsedLevelsAreSubtotals="1" axis="axisRow" fieldPosition="0">
        <references count="1">
          <reference field="6" count="1">
            <x v="0"/>
          </reference>
        </references>
      </pivotArea>
    </format>
    <format dxfId="320">
      <pivotArea field="6" grandCol="1" collapsedLevelsAreSubtotals="1" axis="axisRow" fieldPosition="0">
        <references count="1">
          <reference field="6" count="1">
            <x v="2"/>
          </reference>
        </references>
      </pivotArea>
    </format>
    <format dxfId="319">
      <pivotArea field="6" grandCol="1" collapsedLevelsAreSubtotals="1" axis="axisRow" fieldPosition="0">
        <references count="1">
          <reference field="6" count="1">
            <x v="4"/>
          </reference>
        </references>
      </pivotArea>
    </format>
    <format dxfId="318">
      <pivotArea field="6" grandCol="1" collapsedLevelsAreSubtotals="1" axis="axisRow" fieldPosition="0">
        <references count="1">
          <reference field="6" count="1">
            <x v="3"/>
          </reference>
        </references>
      </pivotArea>
    </format>
  </formats>
  <pivotHierarchies count="195">
    <pivotHierarchy dragToData="1"/>
    <pivotHierarchy dragToData="1"/>
    <pivotHierarchy dragToData="1"/>
    <pivotHierarchy dragToData="1"/>
    <pivotHierarchy dragToData="1"/>
    <pivotHierarchy dragToData="1"/>
    <pivotHierarchy dragToData="1"/>
    <pivotHierarchy multipleItemSelectionAllowed="1">
      <members count="2" level="1">
        <member name="[Calendar].[Date Hierarchy].[Year].&amp;[2019]"/>
        <member name="[Calendar].[Date Hierarchy].[Year].&amp;[2020]"/>
      </members>
    </pivotHierarchy>
    <pivotHierarchy multipleItemSelectionAllowed="1" dragToData="1">
      <members count="1" level="1">
        <member name="[Calendar].[Година].&amp;[2022]"/>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fActualAndBudget].[ReportType].&amp;[Предвидување]"/>
      </members>
    </pivotHierarchy>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fActualAndBudget].[ObrazecIme].&amp;[Finansiski plan_Bilans na sostojba]"/>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3">
    <rowHierarchyUsage hierarchyUsage="40"/>
    <rowHierarchyUsage hierarchyUsage="38"/>
    <rowHierarchyUsage hierarchyUsage="31"/>
  </rowHierarchiesUsage>
  <colHierarchiesUsage count="1">
    <colHierarchyUsage hierarchyUsage="9"/>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fActualAndBudget]"/>
        <x15:activeTabTopLevelEntity name="[Calendar]"/>
      </x15:pivotTableUISettings>
    </ext>
    <ext xmlns:xpdl="http://schemas.microsoft.com/office/spreadsheetml/2016/pivotdefaultlayout" uri="{747A6164-185A-40DC-8AA5-F01512510D54}">
      <xpdl:pivotTableDefinition16/>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00000000-0007-0000-0900-000001000000}" name="PivotTable9" cacheId="17" applyNumberFormats="0" applyBorderFormats="0" applyFontFormats="0" applyPatternFormats="0" applyAlignmentFormats="0" applyWidthHeightFormats="1" dataCaption="Values" tag="16b9145e-693a-4ceb-989d-8265fc609a95" updatedVersion="6" minRefreshableVersion="3" showDataTips="0" useAutoFormatting="1" subtotalHiddenItems="1" rowGrandTotals="0" itemPrintTitles="1" createdVersion="6" indent="0" compact="0" compactData="0">
  <location ref="A68:N70" firstHeaderRow="1" firstDataRow="2" firstDataCol="1" rowPageCount="3" colPageCount="1"/>
  <pivotFields count="5">
    <pivotField axis="axisPage" compact="0" allDrilled="1" outline="0" subtotalTop="0" showAll="0" dataSourceSort="1" defaultAttributeDrillState="1">
      <items count="1">
        <item t="default"/>
      </items>
    </pivotField>
    <pivotField dataField="1" compact="0" outline="0" subtotalTop="0" showAll="0"/>
    <pivotField axis="axisCol" compact="0" allDrilled="1" outline="0" subtotalTop="0" showAll="0" dataSourceSort="1" defaultAttributeDrillState="1">
      <items count="13">
        <item x="0"/>
        <item x="1"/>
        <item x="2"/>
        <item x="3"/>
        <item x="4"/>
        <item x="5"/>
        <item x="6"/>
        <item x="7"/>
        <item x="8"/>
        <item x="9"/>
        <item x="10"/>
        <item x="11"/>
        <item t="default"/>
      </items>
    </pivotField>
    <pivotField axis="axisPage" compact="0" allDrilled="1" outline="0" subtotalTop="0" showAll="0" dataSourceSort="1" defaultAttributeDrillState="1">
      <items count="1">
        <item t="default"/>
      </items>
    </pivotField>
    <pivotField axis="axisPage" compact="0" allDrilled="1" outline="0" showAll="0" dataSourceSort="1" defaultAttributeDrillState="1">
      <items count="1">
        <item t="default"/>
      </items>
    </pivotField>
  </pivotFields>
  <rowItems count="1">
    <i/>
  </rowItems>
  <colFields count="1">
    <field x="2"/>
  </colFields>
  <colItems count="13">
    <i>
      <x/>
    </i>
    <i>
      <x v="1"/>
    </i>
    <i>
      <x v="2"/>
    </i>
    <i>
      <x v="3"/>
    </i>
    <i>
      <x v="4"/>
    </i>
    <i>
      <x v="5"/>
    </i>
    <i>
      <x v="6"/>
    </i>
    <i>
      <x v="7"/>
    </i>
    <i>
      <x v="8"/>
    </i>
    <i>
      <x v="9"/>
    </i>
    <i>
      <x v="10"/>
    </i>
    <i>
      <x v="11"/>
    </i>
    <i t="grand">
      <x/>
    </i>
  </colItems>
  <pageFields count="3">
    <pageField fld="0" hier="31" name="[fActualAndBudget].[Конто].&amp;[43010]" cap="43010"/>
    <pageField fld="3" hier="8" name="[Calendar].[Година].&amp;[2022]" cap="2022"/>
    <pageField fld="4" hier="35" name="[fActualAndBudget].[ReportType].&amp;[Предвидување]" cap="Предвидување"/>
  </pageFields>
  <dataFields count="1">
    <dataField name="Sum of Износ" fld="1" baseField="0" baseItem="0"/>
  </dataFields>
  <pivotHierarchies count="195">
    <pivotHierarchy dragToData="1"/>
    <pivotHierarchy dragToData="1"/>
    <pivotHierarchy dragToData="1"/>
    <pivotHierarchy dragToData="1"/>
    <pivotHierarchy dragToData="1"/>
    <pivotHierarchy dragToData="1"/>
    <pivotHierarchy dragToData="1"/>
    <pivotHierarchy/>
    <pivotHierarchy multipleItemSelectionAllowed="1" dragToData="1">
      <members count="1" level="1">
        <member name="[Calendar].[Година].&amp;[2022]"/>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4" level="1">
        <member name="[fActualAndBudget].[Конто].&amp;[43010]"/>
        <member name="[fActualAndBudget].[Конто].&amp;[43011]"/>
        <member name="[fActualAndBudget].[Конто].&amp;[43020]"/>
        <member name="[fActualAndBudget].[Конто].&amp;[43030]"/>
        <member name="[fActualAndBudget].[Конто].&amp;[43031]"/>
        <member name="[fActualAndBudget].[Конто].&amp;[43132]"/>
        <member name="[fActualAndBudget].[Конто].&amp;[43133]"/>
        <member name="[fActualAndBudget].[Конто].&amp;[43134]"/>
        <member name="[fActualAndBudget].[Конто].&amp;[43136]"/>
        <member name="[fActualAndBudget].[Конто].&amp;[43139]"/>
        <member name="[fActualAndBudget].[Конто].&amp;[43155]"/>
        <member name="[fActualAndBudget].[Конто].&amp;[43211]"/>
        <member name="[fActualAndBudget].[Конто].&amp;[431001]"/>
        <member name="[fActualAndBudget].[Конто].&amp;[431002]"/>
      </members>
    </pivotHierarchy>
    <pivotHierarchy dragToData="1"/>
    <pivotHierarchy dragToData="1"/>
    <pivotHierarchy dragToData="1"/>
    <pivotHierarchy multipleItemSelectionAllowed="1" dragToData="1">
      <members count="1" level="1">
        <member name="[fActualAndBudget].[ReportType].&amp;[Предвидување]"/>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colHierarchiesUsage count="1">
    <colHierarchyUsage hierarchyUsage="1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fActualAndBudget]"/>
        <x15:activeTabTopLevelEntity name="[Calendar]"/>
      </x15:pivotTableUISettings>
    </ext>
    <ext xmlns:xpdl="http://schemas.microsoft.com/office/spreadsheetml/2016/pivotdefaultlayout" uri="{747A6164-185A-40DC-8AA5-F01512510D54}">
      <xpdl:pivotTableDefinition16/>
    </ext>
  </extLst>
</pivotTableDefinition>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xternalData_1" connectionId="4" xr16:uid="{00000000-0016-0000-2500-000000000000}" autoFormatId="0" applyNumberFormats="0" applyBorderFormats="0" applyFontFormats="1" applyPatternFormats="1" applyAlignmentFormats="0" applyWidthHeightFormats="0">
  <queryTableRefresh preserveSortFilterLayout="0" nextId="6">
    <queryTableFields count="5">
      <queryTableField id="1" name="Предмет на јавна набавка" tableColumnId="1"/>
      <queryTableField id="2" name="Предвиден датум на набавка" tableColumnId="2"/>
      <queryTableField id="3" name="Проценета вредност на набавка со ДДВ (денари)" tableColumnId="3"/>
      <queryTableField id="4" name="Конто" tableColumnId="4"/>
      <queryTableField id="5" name="ReportType" tableColumnId="5"/>
    </queryTableFields>
  </queryTableRefresh>
</queryTable>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Месец112" xr10:uid="{00000000-0013-0000-FFFF-FFFF01000000}" sourceName="[Calendar].[Месец]">
  <data>
    <olap pivotCacheId="1819734876">
      <levels count="2">
        <level uniqueName="[Calendar].[Месец].[(All)]" sourceCaption="(All)" count="0"/>
        <level uniqueName="[Calendar].[Месец].[Месец]" sourceCaption="Месец" count="13">
          <ranges>
            <range startItem="0">
              <i n="[Calendar].[Месец].&amp;[Jan]" c="Jan"/>
              <i n="[Calendar].[Месец].&amp;[Feb]" c="Feb"/>
              <i n="[Calendar].[Месец].&amp;[Mar]" c="Mar"/>
              <i n="[Calendar].[Месец].&amp;[Apr]" c="Apr"/>
              <i n="[Calendar].[Месец].&amp;[May]" c="May"/>
              <i n="[Calendar].[Месец].&amp;[Jun]" c="Jun"/>
              <i n="[Calendar].[Месец].&amp;[Jul]" c="Jul"/>
              <i n="[Calendar].[Месец].&amp;[Aug]" c="Aug"/>
              <i n="[Calendar].[Месец].&amp;[Sep]" c="Sep"/>
              <i n="[Calendar].[Месец].&amp;[Oct]" c="Oct"/>
              <i n="[Calendar].[Месец].&amp;[Nov]" c="Nov"/>
              <i n="[Calendar].[Месец].&amp;[Dec]" c="Dec"/>
              <i n="[Calendar].[Месец].&amp;" c="(blank)"/>
            </range>
          </ranges>
        </level>
      </levels>
      <selections count="1">
        <selection n="[Calendar].[Месец].&amp;[Jan]"/>
      </selections>
    </olap>
  </data>
</slicerCacheDefinition>
</file>

<file path=xl/slicerCaches/slicerCache10.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ate_Hierarchy732" xr10:uid="{00000000-0013-0000-FFFF-FFFF0A000000}" sourceName="[Calendar].[Date Hierarchy]">
  <pivotTables>
    <pivotTable tabId="95" name="PivotTable2"/>
  </pivotTables>
  <data>
    <olap pivotCacheId="671485133">
      <levels count="4">
        <level uniqueName="[Calendar].[Date Hierarchy].[(All)]" sourceCaption="(All)" count="0"/>
        <level uniqueName="[Calendar].[Date Hierarchy].[Year]" sourceCaption="Year" count="11">
          <ranges>
            <range startItem="0">
              <i n="[Calendar].[Date Hierarchy].[Year].&amp;[2018]" c="2018"/>
              <i n="[Calendar].[Date Hierarchy].[Year].&amp;[2019]" c="2019"/>
              <i n="[Calendar].[Date Hierarchy].[Year].&amp;[2020]" c="2020"/>
              <i n="[Calendar].[Date Hierarchy].[Year].&amp;[2015]" c="2015" nd="1"/>
              <i n="[Calendar].[Date Hierarchy].[Year].&amp;[2016]" c="2016" nd="1"/>
              <i n="[Calendar].[Date Hierarchy].[Year].&amp;[2017]" c="2017" nd="1"/>
              <i n="[Calendar].[Date Hierarchy].[Year].&amp;[2021]" c="2021" nd="1"/>
              <i n="[Calendar].[Date Hierarchy].[Year].&amp;[2022]" c="2022" nd="1"/>
              <i n="[Calendar].[Date Hierarchy].[Year].&amp;[2023]" c="2023" nd="1"/>
              <i n="[Calendar].[Date Hierarchy].[Year].&amp;[2024]" c="2024" nd="1"/>
              <i n="[Calendar].[Date Hierarchy].[Year].&amp;" c="(blank)" nd="1"/>
            </range>
          </ranges>
        </level>
        <level uniqueName="[Calendar].[Date Hierarchy].[Month]" sourceCaption="Month" count="0"/>
        <level uniqueName="[Calendar].[Date Hierarchy].[DateColumn]" sourceCaption="DateColumn" count="0"/>
      </levels>
      <selections count="3">
        <selection n="[Calendar].[Date Hierarchy].[Year].&amp;[2018]"/>
        <selection n="[Calendar].[Date Hierarchy].[Year].&amp;[2019]"/>
        <selection n="[Calendar].[Date Hierarchy].[Year].&amp;[2020]"/>
      </selections>
    </olap>
  </data>
</slicerCacheDefinition>
</file>

<file path=xl/slicerCaches/slicerCache1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tavkaImeAOP1" xr10:uid="{00000000-0013-0000-FFFF-FFFF0B000000}" sourceName="[fActualAndBudget].[StavkaImeAOP]">
  <pivotTables>
    <pivotTable tabId="95" name="PivotTable2"/>
  </pivotTables>
  <data>
    <olap pivotCacheId="671485133">
      <levels count="2">
        <level uniqueName="[fActualAndBudget].[StavkaImeAOP].[(All)]" sourceCaption="(All)" count="0"/>
        <level uniqueName="[fActualAndBudget].[StavkaImeAOP].[StavkaImeAOP]" sourceCaption="StavkaImeAOP" count="81">
          <ranges>
            <range startItem="0">
              <i n="[fActualAndBudget].[StavkaImeAOP].&amp;[3.1.1 - Приходи од заложен регистар]" c="3.1.1 - Приходи од заложен регистар"/>
              <i n="[fActualAndBudget].[StavkaImeAOP].&amp;[3.1.10 - Приходи од регионален портал]" c="3.1.10 - Приходи од регионален портал"/>
              <i n="[fActualAndBudget].[StavkaImeAOP].&amp;[3.1.11 - Приходи од прекршочна постапка]" c="3.1.11 - Приходи од прекршочна постапка"/>
              <i n="[fActualAndBudget].[StavkaImeAOP].&amp;[3.1.12 - Приходи од интернет дистрибутивен систем]" c="3.1.12 - Приходи од интернет дистрибутивен систем"/>
              <i n="[fActualAndBudget].[StavkaImeAOP].&amp;[3.1.13 - Приходи од странство]" c="3.1.13 - Приходи од странство"/>
              <i n="[fActualAndBudget].[StavkaImeAOP].&amp;[3.1.14 - Приходи од регистар на задолжница]" c="3.1.14 - Приходи од регистар на задолжница"/>
              <i n="[fActualAndBudget].[StavkaImeAOP].&amp;[3.1.2 - Приходи од годишни сметки]" c="3.1.2 - Приходи од годишни сметки"/>
              <i n="[fActualAndBudget].[StavkaImeAOP].&amp;[3.1.4 - Приходи од Регистар на резиденти и нерезиденти]" c="3.1.4 - Приходи од Регистар на резиденти и нерезиденти"/>
              <i n="[fActualAndBudget].[StavkaImeAOP].&amp;[3.1.5 - Приходи од Регистар на лизинг]" c="3.1.5 - Приходи од Регистар на лизинг"/>
              <i n="[fActualAndBudget].[StavkaImeAOP].&amp;[3.1.6 - Приходи од регистар на недвижности]" c="3.1.6 - Приходи од регистар на недвижности"/>
              <i n="[fActualAndBudget].[StavkaImeAOP].&amp;[3.1.7 - Приходи од трговски регистар]" c="3.1.7 - Приходи од трговски регистар"/>
              <i n="[fActualAndBudget].[StavkaImeAOP].&amp;[3.1.8 - Приходи од регистар на директни странски инвестиции]" c="3.1.8 - Приходи од регистар на директни странски инвестиции"/>
              <i n="[fActualAndBudget].[StavkaImeAOP].&amp;[3.1.9 - Приходи од регистрите за кривични санкции, пресуди и др.]" c="3.1.9 - Приходи од регистрите за кривични санкции, пресуди и др."/>
              <i n="[fActualAndBudget].[StavkaImeAOP].&amp;[3.2.1 - Приходи од камати]" c="3.2.1 - Приходи од камати"/>
              <i n="[fActualAndBudget].[StavkaImeAOP].&amp;[3.2.2 - Приходи од курсни разлики]" c="3.2.2 - Приходи од курсни разлики"/>
              <i n="[fActualAndBudget].[StavkaImeAOP].&amp;[3.2.3 - Други неспомнати приходи]" c="3.2.3 - Други неспомнати приходи"/>
              <i n="[fActualAndBudget].[StavkaImeAOP].&amp;[3.2.4 - Капитална добивка од продажба на материјални и неметеријални средства]" c="3.2.4 - Капитална добивка од продажба на материјални и неметеријални средства"/>
              <i n="[fActualAndBudget].[StavkaImeAOP].&amp;[3.2.5 - Приходи од донации]" c="3.2.5 - Приходи од донации"/>
              <i n="[fActualAndBudget].[StavkaImeAOP].&amp;[3.2.6 - Приходи од продажба на подвижен имот]" c="3.2.6 - Приходи од продажба на подвижен имот"/>
              <i n="[fActualAndBudget].[StavkaImeAOP].&amp;[3.2.7 - Приходи од закуп]" c="3.2.7 - Приходи од закуп"/>
              <i n="[fActualAndBudget].[StavkaImeAOP].&amp;[3.2.8 - Вонредни невообичаени приходи]" c="3.2.8 - Вонредни невообичаени приходи"/>
              <i n="[fActualAndBudget].[StavkaImeAOP].&amp;[4.1.1 - Потрошени суровини и материјали]" c="4.1.1 - Потрошени суровини и материјали"/>
              <i n="[fActualAndBudget].[StavkaImeAOP].&amp;[4.1.10 - Амортизација по минимални стапки]" c="4.1.10 - Амортизација по минимални стапки"/>
              <i n="[fActualAndBudget].[StavkaImeAOP].&amp;[4.1.11 - Надомест на трошоци на вработените, подароци и помошти]" c="4.1.11 - Надомест на трошоци на вработените, подароци и помошти"/>
              <i n="[fActualAndBudget].[StavkaImeAOP].&amp;[4.1.12 - Дневници за службени патувања и патни трошоци]" c="4.1.12 - Дневници за службени патувања и патни трошоци"/>
              <i n="[fActualAndBudget].[StavkaImeAOP].&amp;[4.1.13 - Трошоци за промоција,пропаганда, реклама, репрезентација и спонзорство]" c="4.1.13 - Трошоци за промоција,пропаганда, реклама, репрезентација и спонзорство"/>
              <i n="[fActualAndBudget].[StavkaImeAOP].&amp;[4.1.14 - Премии за осигурување]" c="4.1.14 - Премии за осигурување"/>
              <i n="[fActualAndBudget].[StavkaImeAOP].&amp;[4.1.15 - Даноци,чланарини и други давачки кои не зависат од резултатот]" c="4.1.15 - Даноци,чланарини и други давачки кои не зависат од резултатот"/>
              <i n="[fActualAndBudget].[StavkaImeAOP].&amp;[4.1.16 - Банкарски услуги и трошоци за платен промет]" c="4.1.16 - Банкарски услуги и трошоци за платен промет"/>
              <i n="[fActualAndBudget].[StavkaImeAOP].&amp;[4.1.17 - Лиценци за разни софтвери (едногодишни, обновливи)]" c="4.1.17 - Лиценци за разни софтвери (едногодишни, обновливи)"/>
              <i n="[fActualAndBudget].[StavkaImeAOP].&amp;[4.1.19 - Останати нематеријални трошоци]" c="4.1.19 - Останати нематеријални трошоци"/>
              <i n="[fActualAndBudget].[StavkaImeAOP].&amp;[4.1.2 - Потрoшена енергија и гориво за возила]" c="4.1.2 - Потрoшена енергија и гориво за возила"/>
              <i n="[fActualAndBudget].[StavkaImeAOP].&amp;[4.1.3 - Потрошени резервни делови]" c="4.1.3 - Потрошени резервни делови"/>
              <i n="[fActualAndBudget].[StavkaImeAOP].&amp;[4.1.4 - Потрошок на ситен инвентар и автогуми]" c="4.1.4 - Потрошок на ситен инвентар и автогуми"/>
              <i n="[fActualAndBudget].[StavkaImeAOP].&amp;[4.1.5 - Транспортни услуги]" c="4.1.5 - Транспортни услуги"/>
              <i n="[fActualAndBudget].[StavkaImeAOP].&amp;[4.1.6 - Надворешни услуги]" c="4.1.6 - Надворешни услуги"/>
              <i n="[fActualAndBudget].[StavkaImeAOP].&amp;[4.1.7 - Услуги за одржување и заштита]" c="4.1.7 - Услуги за одржување и заштита"/>
              <i n="[fActualAndBudget].[StavkaImeAOP].&amp;[4.1.8 - Наемнини и лизинг]" c="4.1.8 - Наемнини и лизинг"/>
              <i n="[fActualAndBudget].[StavkaImeAOP].&amp;[4.1.9 - Останати услуги]" c="4.1.9 - Останати услуги"/>
              <i n="[fActualAndBudget].[StavkaImeAOP].&amp;[4.2.2 - Казни, пенали и надомест на штети затезни камати]" c="4.2.2 - Казни, пенали и надомест на штети затезни камати"/>
              <i n="[fActualAndBudget].[StavkaImeAOP].&amp;[4.2.3 - Вредносно усогласување на тековни и нетековни средства]" c="4.2.3 - Вредносно усогласување на тековни и нетековни средства"/>
              <i n="[fActualAndBudget].[StavkaImeAOP].&amp;[4.2.5 - Курсни разлики]" c="4.2.5 - Курсни разлики"/>
              <i n="[fActualAndBudget].[StavkaImeAOP].&amp;[4.2.6 - Загуби и кусоци]" c="4.2.6 - Загуби и кусоци"/>
              <i n="[fActualAndBudget].[StavkaImeAOP].&amp;[4.2.7 - Останати расходи]" c="4.2.7 - Останати расходи"/>
              <i n="[fActualAndBudget].[StavkaImeAOP].&amp;[ - ]" c=" - " nd="1"/>
              <i n="[fActualAndBudget].[StavkaImeAOP].&amp;[ - 0]" c=" - 0" nd="1"/>
              <i n="[fActualAndBudget].[StavkaImeAOP].&amp;[1.1.1 - Жиро сметки]" c="1.1.1 - Жиро сметки" nd="1"/>
              <i n="[fActualAndBudget].[StavkaImeAOP].&amp;[1.1.3 - Готовина домашна валута]" c="1.1.3 - Готовина домашна валута" nd="1"/>
              <i n="[fActualAndBudget].[StavkaImeAOP].&amp;[1.1.4 - Готовина странска валута]" c="1.1.4 - Готовина странска валута" nd="1"/>
              <i n="[fActualAndBudget].[StavkaImeAOP].&amp;[1.13.1 - Вонбилансна актива]" c="1.13.1 - Вонбилансна актива" nd="1"/>
              <i n="[fActualAndBudget].[StavkaImeAOP].&amp;[1.14.1 - Обврски кон добавувачи во земјата]" c="1.14.1 - Обврски кон добавувачи во земјата" nd="1"/>
              <i n="[fActualAndBudget].[StavkaImeAOP].&amp;[1.14.3 - Обврски кон вработените]" c="1.14.3 - Обврски кон вработените" nd="1"/>
              <i n="[fActualAndBudget].[StavkaImeAOP].&amp;[1.14.6 - Обврски спрема државата]" c="1.14.6 - Обврски спрема државата" nd="1"/>
              <i n="[fActualAndBudget].[StavkaImeAOP].&amp;[1.14.7 - Обврски за даноци и придонеси]" c="1.14.7 - Обврски за даноци и придонеси" nd="1"/>
              <i n="[fActualAndBudget].[StavkaImeAOP].&amp;[1.14.99 - Останати тековни обврски]" c="1.14.99 - Останати тековни обврски" nd="1"/>
              <i n="[fActualAndBudget].[StavkaImeAOP].&amp;[1.15.1 - Одложено плаќање на трошоци и признавање на приходи (ПВР)]" c="1.15.1 - Одложено плаќање на трошоци и признавање на приходи (ПВР)" nd="1"/>
              <i n="[fActualAndBudget].[StavkaImeAOP].&amp;[1.17.3 - Долгорочни финансиски обврски]" c="1.17.3 - Долгорочни финансиски обврски" nd="1"/>
              <i n="[fActualAndBudget].[StavkaImeAOP].&amp;[1.2.3 - Побарувања од вработените]" c="1.2.3 - Побарувања од вработените" nd="1"/>
              <i n="[fActualAndBudget].[StavkaImeAOP].&amp;[1.2.4 - Побарувања од државата]" c="1.2.4 - Побарувања од државата" nd="1"/>
              <i n="[fActualAndBudget].[StavkaImeAOP].&amp;[1.2.6 - Краткорочни финансиски побарувања]" c="1.2.6 - Краткорочни финансиски побарувања" nd="1"/>
              <i n="[fActualAndBudget].[StavkaImeAOP].&amp;[1.21.1 - Државен капитал]" c="1.21.1 - Државен капитал" nd="1"/>
              <i n="[fActualAndBudget].[StavkaImeAOP].&amp;[1.22.1 - Акумулирана добивка]" c="1.22.1 - Акумулирана добивка" nd="1"/>
              <i n="[fActualAndBudget].[StavkaImeAOP].&amp;[1.23.1 - Законска резерва]" c="1.23.1 - Законска резерва" nd="1"/>
              <i n="[fActualAndBudget].[StavkaImeAOP].&amp;[1.23.2 - Реинвестирана добивка]" c="1.23.2 - Реинвестирана добивка" nd="1"/>
              <i n="[fActualAndBudget].[StavkaImeAOP].&amp;[1.23.3 - Останати резерви - резерви за развој]" c="1.23.3 - Останати резерви - резерви за развој" nd="1"/>
              <i n="[fActualAndBudget].[StavkaImeAOP].&amp;[1.25.1 - Добивка/ Загуба за деловната година]" c="1.25.1 - Добивка/ Загуба за деловната година" nd="1"/>
              <i n="[fActualAndBudget].[StavkaImeAOP].&amp;[1.28.1 - Вонбилансна пасива]" c="1.28.1 - Вонбилансна пасива" nd="1"/>
              <i n="[fActualAndBudget].[StavkaImeAOP].&amp;[1.3.1 - Залихи на канцелариски и останат материјал]" c="1.3.1 - Залихи на канцелариски и останат материјал" nd="1"/>
              <i n="[fActualAndBudget].[StavkaImeAOP].&amp;[1.3.2 - Залихи на ситен инвентар и авто гуми]" c="1.3.2 - Залихи на ситен инвентар и авто гуми" nd="1"/>
              <i n="[fActualAndBudget].[StavkaImeAOP].&amp;[1.3.3 - Залихи на резервни делови]" c="1.3.3 - Залихи на резервни делови" nd="1"/>
              <i n="[fActualAndBudget].[StavkaImeAOP].&amp;[15.4 - Посебна резерва - реинвестирана добивка]" c="15.4 - Посебна резерва - реинвестирана добивка" nd="1"/>
              <i n="[fActualAndBudget].[StavkaImeAOP].&amp;[3.1.7 - Приходи од регистар на вистински сопственици]" c="3.1.7 - Приходи од регистар на вистински сопственици" nd="1"/>
              <i n="[fActualAndBudget].[StavkaImeAOP].&amp;[5.1.1 - Недвижности]" c="5.1.1 - Недвижности" nd="1"/>
              <i n="[fActualAndBudget].[StavkaImeAOP].&amp;[5.1.2 - Компјутерска и останата опрема]" c="5.1.2 - Компјутерска и останата опрема" nd="1"/>
              <i n="[fActualAndBudget].[StavkaImeAOP].&amp;[5.10.1 - Софтвер]" c="5.10.1 - Софтвер" nd="1"/>
              <i n="[fActualAndBudget].[StavkaImeAOP].&amp;[5.10.2 - Нематеријални средства во подготовка]" c="5.10.2 - Нематеријални средства во подготовка" nd="1"/>
              <i n="[fActualAndBudget].[StavkaImeAOP].&amp;[5.2.1 - Патнички автомобили]" c="5.2.1 - Патнички автомобили" nd="1"/>
              <i n="[fActualAndBudget].[StavkaImeAOP].&amp;[5.3.1 - Канцелариски мебел]" c="5.3.1 - Канцелариски мебел" nd="1"/>
              <i n="[fActualAndBudget].[StavkaImeAOP].&amp;[5.4.1 - Останати материјални основни средства]" c="5.4.1 - Останати материјални основни средства" nd="1"/>
              <i n="[fActualAndBudget].[StavkaImeAOP].&amp;[5.4.2 - Инвестиции во тек - недвижности]" c="5.4.2 - Инвестиции во тек - недвижности" nd="1"/>
              <i n="[fActualAndBudget].[StavkaImeAOP].&amp;[5.6.1 - Побарувања за аванси за материјални исредства]" c="5.6.1 - Побарувања за аванси за материјални исредства" nd="1"/>
            </range>
          </ranges>
        </level>
      </levels>
      <selections count="1">
        <selection n="[fActualAndBudget].[StavkaImeAOP].[All]"/>
      </selections>
    </olap>
  </data>
</slicerCacheDefinition>
</file>

<file path=xl/slicerCaches/slicerCache1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tavkaKategorija2" xr10:uid="{00000000-0013-0000-FFFF-FFFF0C000000}" sourceName="[fActualAndBudget].[StavkaKategorija]">
  <pivotTables>
    <pivotTable tabId="95" name="PivotTable2"/>
  </pivotTables>
  <data>
    <olap pivotCacheId="671485133">
      <levels count="2">
        <level uniqueName="[fActualAndBudget].[StavkaKategorija].[(All)]" sourceCaption="(All)" count="0"/>
        <level uniqueName="[fActualAndBudget].[StavkaKategorija].[StavkaKategorija]" sourceCaption="StavkaKategorija" count="25">
          <ranges>
            <range startItem="0">
              <i n="[fActualAndBudget].[StavkaKategorija].&amp;[2.29. Приходи од продажба]" c="2.29. Приходи од продажба"/>
              <i n="[fActualAndBudget].[StavkaKategorija].&amp;[2.30. Останати оперативни приходи]" c="2.30. Останати оперативни приходи"/>
              <i n="[fActualAndBudget].[StavkaKategorija].&amp;[2.32. Потрошени суровини и материјали]" c="2.32. Потрошени суровини и материјали"/>
              <i n="[fActualAndBudget].[StavkaKategorija].&amp;[2.33. Трошоци за вработените]" c="2.33. Трошоци за вработените"/>
              <i n="[fActualAndBudget].[StavkaKategorija].&amp;[2.34. Амортизација на материјални средства]" c="2.34. Амортизација на материјални средства"/>
              <i n="[fActualAndBudget].[StavkaKategorija].&amp;[2.35. Вредносно усогласување на тековни средства]" c="2.35. Вредносно усогласување на тековни средства"/>
              <i n="[fActualAndBudget].[StavkaKategorija].&amp;[2.37. Останати оперативни расходи]" c="2.37. Останати оперативни расходи"/>
              <i n="[fActualAndBudget].[StavkaKategorija].&amp;[2.40. Приходи од финансирање]" c="2.40. Приходи од финансирање"/>
              <i n="[fActualAndBudget].[StavkaKategorija].&amp;[2.41. Расходи од финансирање]" c="2.41. Расходи од финансирање"/>
              <i n="[fActualAndBudget].[StavkaKategorija].&amp;" c="(blank)" nd="1"/>
              <i n="[fActualAndBudget].[StavkaKategorija].&amp;[1.1. Парични средства]" c="1.1. Парични средства" nd="1"/>
              <i n="[fActualAndBudget].[StavkaKategorija].&amp;[1.13. Вонбилансна актива]" c="1.13. Вонбилансна актива" nd="1"/>
              <i n="[fActualAndBudget].[StavkaKategorija].&amp;[1.14. Краткорочни обврски]" c="1.14. Краткорочни обврски" nd="1"/>
              <i n="[fActualAndBudget].[StavkaKategorija].&amp;[1.15. Одложено плаќање на трошоци и приходи (ПВР)]" c="1.15. Одложено плаќање на трошоци и приходи (ПВР)" nd="1"/>
              <i n="[fActualAndBudget].[StavkaKategorija].&amp;[1.17. Долгорочни обврски]" c="1.17. Долгорочни обврски" nd="1"/>
              <i n="[fActualAndBudget].[StavkaKategorija].&amp;[1.2. Побарувања]" c="1.2. Побарувања" nd="1"/>
              <i n="[fActualAndBudget].[StavkaKategorija].&amp;[1.21. Капитал]" c="1.21. Капитал" nd="1"/>
              <i n="[fActualAndBudget].[StavkaKategorija].&amp;[1.22. Акумулирана добивка]" c="1.22. Акумулирана добивка" nd="1"/>
              <i n="[fActualAndBudget].[StavkaKategorija].&amp;[1.23. Резерви]" c="1.23. Резерви" nd="1"/>
              <i n="[fActualAndBudget].[StavkaKategorija].&amp;[1.25. Добивка / Загуба за деловната година]" c="1.25. Добивка / Загуба за деловната година" nd="1"/>
              <i n="[fActualAndBudget].[StavkaKategorija].&amp;[1.28. Вонбилансна пасива]" c="1.28. Вонбилансна пасива" nd="1"/>
              <i n="[fActualAndBudget].[StavkaKategorija].&amp;[1.3. Залихи]" c="1.3. Залихи" nd="1"/>
              <i n="[fActualAndBudget].[StavkaKategorija].&amp;[1.7. Материјални средства и вложувања во недвижности]" c="1.7. Материјални средства и вложувања во недвижности" nd="1"/>
              <i n="[fActualAndBudget].[StavkaKategorija].&amp;[1.9. Нематеријални средства]" c="1.9. Нематеријални средства" nd="1"/>
              <i n="[fActualAndBudget].[StavkaKategorija].&amp;[Сопственичка главнина]" c="Сопственичка главнина" nd="1"/>
            </range>
          </ranges>
        </level>
      </levels>
      <selections count="1">
        <selection n="[fActualAndBudget].[StavkaKategorija].[All]"/>
      </selections>
    </olap>
  </data>
</slicerCacheDefinition>
</file>

<file path=xl/slicerCaches/slicerCache1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ate_Hierarchy" xr10:uid="{00000000-0013-0000-FFFF-FFFF0D000000}" sourceName="[Calendar].[Date Hierarchy]">
  <pivotTables>
    <pivotTable tabId="67" name="PivotTable2"/>
  </pivotTables>
  <data>
    <olap pivotCacheId="1937656969">
      <levels count="4">
        <level uniqueName="[Calendar].[Date Hierarchy].[(All)]" sourceCaption="(All)" count="0"/>
        <level uniqueName="[Calendar].[Date Hierarchy].[Year]" sourceCaption="Year" count="11">
          <ranges>
            <range startItem="0">
              <i n="[Calendar].[Date Hierarchy].[Year].&amp;[2019]" c="2019"/>
              <i n="[Calendar].[Date Hierarchy].[Year].&amp;[2020]" c="2020"/>
              <i n="[Calendar].[Date Hierarchy].[Year].&amp;[2021]" c="2021"/>
              <i n="[Calendar].[Date Hierarchy].[Year].&amp;[2022]" c="2022"/>
              <i n="[Calendar].[Date Hierarchy].[Year].&amp;[2023]" c="2023"/>
              <i n="[Calendar].[Date Hierarchy].[Year].&amp;[2015]" c="2015" nd="1"/>
              <i n="[Calendar].[Date Hierarchy].[Year].&amp;[2016]" c="2016" nd="1"/>
              <i n="[Calendar].[Date Hierarchy].[Year].&amp;[2017]" c="2017" nd="1"/>
              <i n="[Calendar].[Date Hierarchy].[Year].&amp;[2018]" c="2018" nd="1"/>
              <i n="[Calendar].[Date Hierarchy].[Year].&amp;[2024]" c="2024" nd="1"/>
              <i n="[Calendar].[Date Hierarchy].[Year].&amp;" c="(blank)" nd="1"/>
            </range>
          </ranges>
        </level>
        <level uniqueName="[Calendar].[Date Hierarchy].[Month]" sourceCaption="Month" count="121">
          <ranges>
            <range startItem="0">
              <i n="[Calendar].[Date Hierarchy].[Year].&amp;[2019].&amp;[Jan]" c="Jan">
                <p n="[Calendar].[Date Hierarchy].[Year].&amp;[2019]"/>
              </i>
              <i n="[Calendar].[Date Hierarchy].[Year].&amp;[2019].&amp;[Feb]" c="Feb">
                <p n="[Calendar].[Date Hierarchy].[Year].&amp;[2019]"/>
              </i>
              <i n="[Calendar].[Date Hierarchy].[Year].&amp;[2019].&amp;[Mar]" c="Mar">
                <p n="[Calendar].[Date Hierarchy].[Year].&amp;[2019]"/>
              </i>
              <i n="[Calendar].[Date Hierarchy].[Year].&amp;[2019].&amp;[Apr]" c="Apr">
                <p n="[Calendar].[Date Hierarchy].[Year].&amp;[2019]"/>
              </i>
              <i n="[Calendar].[Date Hierarchy].[Year].&amp;[2019].&amp;[May]" c="May">
                <p n="[Calendar].[Date Hierarchy].[Year].&amp;[2019]"/>
              </i>
              <i n="[Calendar].[Date Hierarchy].[Year].&amp;[2019].&amp;[Jun]" c="Jun">
                <p n="[Calendar].[Date Hierarchy].[Year].&amp;[2019]"/>
              </i>
              <i n="[Calendar].[Date Hierarchy].[Year].&amp;[2019].&amp;[Jul]" c="Jul">
                <p n="[Calendar].[Date Hierarchy].[Year].&amp;[2019]"/>
              </i>
              <i n="[Calendar].[Date Hierarchy].[Year].&amp;[2019].&amp;[Aug]" c="Aug">
                <p n="[Calendar].[Date Hierarchy].[Year].&amp;[2019]"/>
              </i>
              <i n="[Calendar].[Date Hierarchy].[Year].&amp;[2019].&amp;[Sep]" c="Sep">
                <p n="[Calendar].[Date Hierarchy].[Year].&amp;[2019]"/>
              </i>
              <i n="[Calendar].[Date Hierarchy].[Year].&amp;[2019].&amp;[Oct]" c="Oct">
                <p n="[Calendar].[Date Hierarchy].[Year].&amp;[2019]"/>
              </i>
              <i n="[Calendar].[Date Hierarchy].[Year].&amp;[2019].&amp;[Nov]" c="Nov">
                <p n="[Calendar].[Date Hierarchy].[Year].&amp;[2019]"/>
              </i>
              <i n="[Calendar].[Date Hierarchy].[Year].&amp;[2019].&amp;[Dec]" c="Dec">
                <p n="[Calendar].[Date Hierarchy].[Year].&amp;[2019]"/>
              </i>
              <i n="[Calendar].[Date Hierarchy].[Year].&amp;[2020].&amp;[Jan]" c="Jan">
                <p n="[Calendar].[Date Hierarchy].[Year].&amp;[2020]"/>
              </i>
              <i n="[Calendar].[Date Hierarchy].[Year].&amp;[2020].&amp;[Feb]" c="Feb">
                <p n="[Calendar].[Date Hierarchy].[Year].&amp;[2020]"/>
              </i>
              <i n="[Calendar].[Date Hierarchy].[Year].&amp;[2020].&amp;[Mar]" c="Mar">
                <p n="[Calendar].[Date Hierarchy].[Year].&amp;[2020]"/>
              </i>
              <i n="[Calendar].[Date Hierarchy].[Year].&amp;[2020].&amp;[Apr]" c="Apr">
                <p n="[Calendar].[Date Hierarchy].[Year].&amp;[2020]"/>
              </i>
              <i n="[Calendar].[Date Hierarchy].[Year].&amp;[2020].&amp;[May]" c="May">
                <p n="[Calendar].[Date Hierarchy].[Year].&amp;[2020]"/>
              </i>
              <i n="[Calendar].[Date Hierarchy].[Year].&amp;[2020].&amp;[Jun]" c="Jun">
                <p n="[Calendar].[Date Hierarchy].[Year].&amp;[2020]"/>
              </i>
              <i n="[Calendar].[Date Hierarchy].[Year].&amp;[2020].&amp;[Jul]" c="Jul">
                <p n="[Calendar].[Date Hierarchy].[Year].&amp;[2020]"/>
              </i>
              <i n="[Calendar].[Date Hierarchy].[Year].&amp;[2020].&amp;[Aug]" c="Aug">
                <p n="[Calendar].[Date Hierarchy].[Year].&amp;[2020]"/>
              </i>
              <i n="[Calendar].[Date Hierarchy].[Year].&amp;[2020].&amp;[Sep]" c="Sep">
                <p n="[Calendar].[Date Hierarchy].[Year].&amp;[2020]"/>
              </i>
              <i n="[Calendar].[Date Hierarchy].[Year].&amp;[2020].&amp;[Oct]" c="Oct">
                <p n="[Calendar].[Date Hierarchy].[Year].&amp;[2020]"/>
              </i>
              <i n="[Calendar].[Date Hierarchy].[Year].&amp;[2020].&amp;[Nov]" c="Nov">
                <p n="[Calendar].[Date Hierarchy].[Year].&amp;[2020]"/>
              </i>
              <i n="[Calendar].[Date Hierarchy].[Year].&amp;[2020].&amp;[Dec]" c="Dec">
                <p n="[Calendar].[Date Hierarchy].[Year].&amp;[2020]"/>
              </i>
              <i n="[Calendar].[Date Hierarchy].[Year].&amp;[2021].&amp;[Jan]" c="Jan">
                <p n="[Calendar].[Date Hierarchy].[Year].&amp;[2021]"/>
              </i>
              <i n="[Calendar].[Date Hierarchy].[Year].&amp;[2021].&amp;[Feb]" c="Feb">
                <p n="[Calendar].[Date Hierarchy].[Year].&amp;[2021]"/>
              </i>
              <i n="[Calendar].[Date Hierarchy].[Year].&amp;[2021].&amp;[Mar]" c="Mar">
                <p n="[Calendar].[Date Hierarchy].[Year].&amp;[2021]"/>
              </i>
              <i n="[Calendar].[Date Hierarchy].[Year].&amp;[2021].&amp;[Apr]" c="Apr">
                <p n="[Calendar].[Date Hierarchy].[Year].&amp;[2021]"/>
              </i>
              <i n="[Calendar].[Date Hierarchy].[Year].&amp;[2021].&amp;[May]" c="May">
                <p n="[Calendar].[Date Hierarchy].[Year].&amp;[2021]"/>
              </i>
              <i n="[Calendar].[Date Hierarchy].[Year].&amp;[2021].&amp;[Jun]" c="Jun">
                <p n="[Calendar].[Date Hierarchy].[Year].&amp;[2021]"/>
              </i>
              <i n="[Calendar].[Date Hierarchy].[Year].&amp;[2021].&amp;[Jul]" c="Jul">
                <p n="[Calendar].[Date Hierarchy].[Year].&amp;[2021]"/>
              </i>
              <i n="[Calendar].[Date Hierarchy].[Year].&amp;[2021].&amp;[Aug]" c="Aug">
                <p n="[Calendar].[Date Hierarchy].[Year].&amp;[2021]"/>
              </i>
              <i n="[Calendar].[Date Hierarchy].[Year].&amp;[2021].&amp;[Sep]" c="Sep">
                <p n="[Calendar].[Date Hierarchy].[Year].&amp;[2021]"/>
              </i>
              <i n="[Calendar].[Date Hierarchy].[Year].&amp;[2021].&amp;[Oct]" c="Oct">
                <p n="[Calendar].[Date Hierarchy].[Year].&amp;[2021]"/>
              </i>
              <i n="[Calendar].[Date Hierarchy].[Year].&amp;[2021].&amp;[Nov]" c="Nov">
                <p n="[Calendar].[Date Hierarchy].[Year].&amp;[2021]"/>
              </i>
              <i n="[Calendar].[Date Hierarchy].[Year].&amp;[2021].&amp;[Dec]" c="Dec">
                <p n="[Calendar].[Date Hierarchy].[Year].&amp;[2021]"/>
              </i>
              <i n="[Calendar].[Date Hierarchy].[Year].&amp;[2022].&amp;[Jan]" c="Jan">
                <p n="[Calendar].[Date Hierarchy].[Year].&amp;[2022]"/>
              </i>
              <i n="[Calendar].[Date Hierarchy].[Year].&amp;[2022].&amp;[Feb]" c="Feb">
                <p n="[Calendar].[Date Hierarchy].[Year].&amp;[2022]"/>
              </i>
              <i n="[Calendar].[Date Hierarchy].[Year].&amp;[2022].&amp;[Mar]" c="Mar">
                <p n="[Calendar].[Date Hierarchy].[Year].&amp;[2022]"/>
              </i>
              <i n="[Calendar].[Date Hierarchy].[Year].&amp;[2022].&amp;[Apr]" c="Apr">
                <p n="[Calendar].[Date Hierarchy].[Year].&amp;[2022]"/>
              </i>
              <i n="[Calendar].[Date Hierarchy].[Year].&amp;[2022].&amp;[May]" c="May">
                <p n="[Calendar].[Date Hierarchy].[Year].&amp;[2022]"/>
              </i>
              <i n="[Calendar].[Date Hierarchy].[Year].&amp;[2022].&amp;[Jun]" c="Jun">
                <p n="[Calendar].[Date Hierarchy].[Year].&amp;[2022]"/>
              </i>
              <i n="[Calendar].[Date Hierarchy].[Year].&amp;[2022].&amp;[Jul]" c="Jul">
                <p n="[Calendar].[Date Hierarchy].[Year].&amp;[2022]"/>
              </i>
              <i n="[Calendar].[Date Hierarchy].[Year].&amp;[2022].&amp;[Aug]" c="Aug">
                <p n="[Calendar].[Date Hierarchy].[Year].&amp;[2022]"/>
              </i>
              <i n="[Calendar].[Date Hierarchy].[Year].&amp;[2022].&amp;[Sep]" c="Sep">
                <p n="[Calendar].[Date Hierarchy].[Year].&amp;[2022]"/>
              </i>
              <i n="[Calendar].[Date Hierarchy].[Year].&amp;[2022].&amp;[Oct]" c="Oct">
                <p n="[Calendar].[Date Hierarchy].[Year].&amp;[2022]"/>
              </i>
              <i n="[Calendar].[Date Hierarchy].[Year].&amp;[2022].&amp;[Nov]" c="Nov">
                <p n="[Calendar].[Date Hierarchy].[Year].&amp;[2022]"/>
              </i>
              <i n="[Calendar].[Date Hierarchy].[Year].&amp;[2022].&amp;[Dec]" c="Dec">
                <p n="[Calendar].[Date Hierarchy].[Year].&amp;[2022]"/>
              </i>
              <i n="[Calendar].[Date Hierarchy].[Year].&amp;[2023].&amp;[Jan]" c="Jan">
                <p n="[Calendar].[Date Hierarchy].[Year].&amp;[2023]"/>
              </i>
              <i n="[Calendar].[Date Hierarchy].[Year].&amp;[2023].&amp;[Feb]" c="Feb">
                <p n="[Calendar].[Date Hierarchy].[Year].&amp;[2023]"/>
              </i>
              <i n="[Calendar].[Date Hierarchy].[Year].&amp;[2023].&amp;[Mar]" c="Mar">
                <p n="[Calendar].[Date Hierarchy].[Year].&amp;[2023]"/>
              </i>
              <i n="[Calendar].[Date Hierarchy].[Year].&amp;[2023].&amp;[Apr]" c="Apr">
                <p n="[Calendar].[Date Hierarchy].[Year].&amp;[2023]"/>
              </i>
              <i n="[Calendar].[Date Hierarchy].[Year].&amp;[2023].&amp;[May]" c="May">
                <p n="[Calendar].[Date Hierarchy].[Year].&amp;[2023]"/>
              </i>
              <i n="[Calendar].[Date Hierarchy].[Year].&amp;[2023].&amp;[Jun]" c="Jun">
                <p n="[Calendar].[Date Hierarchy].[Year].&amp;[2023]"/>
              </i>
              <i n="[Calendar].[Date Hierarchy].[Year].&amp;[2023].&amp;[Jul]" c="Jul">
                <p n="[Calendar].[Date Hierarchy].[Year].&amp;[2023]"/>
              </i>
              <i n="[Calendar].[Date Hierarchy].[Year].&amp;[2023].&amp;[Aug]" c="Aug">
                <p n="[Calendar].[Date Hierarchy].[Year].&amp;[2023]"/>
              </i>
              <i n="[Calendar].[Date Hierarchy].[Year].&amp;[2023].&amp;[Sep]" c="Sep">
                <p n="[Calendar].[Date Hierarchy].[Year].&amp;[2023]"/>
              </i>
              <i n="[Calendar].[Date Hierarchy].[Year].&amp;[2023].&amp;[Oct]" c="Oct">
                <p n="[Calendar].[Date Hierarchy].[Year].&amp;[2023]"/>
              </i>
              <i n="[Calendar].[Date Hierarchy].[Year].&amp;[2023].&amp;[Nov]" c="Nov">
                <p n="[Calendar].[Date Hierarchy].[Year].&amp;[2023]"/>
              </i>
              <i n="[Calendar].[Date Hierarchy].[Year].&amp;[2023].&amp;[Dec]" c="Dec">
                <p n="[Calendar].[Date Hierarchy].[Year].&amp;[2023]"/>
              </i>
              <i n="[Calendar].[Date Hierarchy].[Year].&amp;[2015].&amp;[Jan]" c="Jan" nd="1">
                <p n="[Calendar].[Date Hierarchy].[Year].&amp;[2015]"/>
              </i>
              <i n="[Calendar].[Date Hierarchy].[Year].&amp;[2015].&amp;[Feb]" c="Feb" nd="1">
                <p n="[Calendar].[Date Hierarchy].[Year].&amp;[2015]"/>
              </i>
              <i n="[Calendar].[Date Hierarchy].[Year].&amp;[2015].&amp;[Mar]" c="Mar" nd="1">
                <p n="[Calendar].[Date Hierarchy].[Year].&amp;[2015]"/>
              </i>
              <i n="[Calendar].[Date Hierarchy].[Year].&amp;[2015].&amp;[Apr]" c="Apr" nd="1">
                <p n="[Calendar].[Date Hierarchy].[Year].&amp;[2015]"/>
              </i>
              <i n="[Calendar].[Date Hierarchy].[Year].&amp;[2015].&amp;[May]" c="May" nd="1">
                <p n="[Calendar].[Date Hierarchy].[Year].&amp;[2015]"/>
              </i>
              <i n="[Calendar].[Date Hierarchy].[Year].&amp;[2015].&amp;[Jun]" c="Jun" nd="1">
                <p n="[Calendar].[Date Hierarchy].[Year].&amp;[2015]"/>
              </i>
              <i n="[Calendar].[Date Hierarchy].[Year].&amp;[2015].&amp;[Jul]" c="Jul" nd="1">
                <p n="[Calendar].[Date Hierarchy].[Year].&amp;[2015]"/>
              </i>
              <i n="[Calendar].[Date Hierarchy].[Year].&amp;[2015].&amp;[Aug]" c="Aug" nd="1">
                <p n="[Calendar].[Date Hierarchy].[Year].&amp;[2015]"/>
              </i>
              <i n="[Calendar].[Date Hierarchy].[Year].&amp;[2015].&amp;[Sep]" c="Sep" nd="1">
                <p n="[Calendar].[Date Hierarchy].[Year].&amp;[2015]"/>
              </i>
              <i n="[Calendar].[Date Hierarchy].[Year].&amp;[2015].&amp;[Oct]" c="Oct" nd="1">
                <p n="[Calendar].[Date Hierarchy].[Year].&amp;[2015]"/>
              </i>
              <i n="[Calendar].[Date Hierarchy].[Year].&amp;[2015].&amp;[Nov]" c="Nov" nd="1">
                <p n="[Calendar].[Date Hierarchy].[Year].&amp;[2015]"/>
              </i>
              <i n="[Calendar].[Date Hierarchy].[Year].&amp;[2015].&amp;[Dec]" c="Dec" nd="1">
                <p n="[Calendar].[Date Hierarchy].[Year].&amp;[2015]"/>
              </i>
              <i n="[Calendar].[Date Hierarchy].[Year].&amp;[2016].&amp;[Jan]" c="Jan" nd="1">
                <p n="[Calendar].[Date Hierarchy].[Year].&amp;[2016]"/>
              </i>
              <i n="[Calendar].[Date Hierarchy].[Year].&amp;[2016].&amp;[Feb]" c="Feb" nd="1">
                <p n="[Calendar].[Date Hierarchy].[Year].&amp;[2016]"/>
              </i>
              <i n="[Calendar].[Date Hierarchy].[Year].&amp;[2016].&amp;[Mar]" c="Mar" nd="1">
                <p n="[Calendar].[Date Hierarchy].[Year].&amp;[2016]"/>
              </i>
              <i n="[Calendar].[Date Hierarchy].[Year].&amp;[2016].&amp;[Apr]" c="Apr" nd="1">
                <p n="[Calendar].[Date Hierarchy].[Year].&amp;[2016]"/>
              </i>
              <i n="[Calendar].[Date Hierarchy].[Year].&amp;[2016].&amp;[May]" c="May" nd="1">
                <p n="[Calendar].[Date Hierarchy].[Year].&amp;[2016]"/>
              </i>
              <i n="[Calendar].[Date Hierarchy].[Year].&amp;[2016].&amp;[Jun]" c="Jun" nd="1">
                <p n="[Calendar].[Date Hierarchy].[Year].&amp;[2016]"/>
              </i>
              <i n="[Calendar].[Date Hierarchy].[Year].&amp;[2016].&amp;[Jul]" c="Jul" nd="1">
                <p n="[Calendar].[Date Hierarchy].[Year].&amp;[2016]"/>
              </i>
              <i n="[Calendar].[Date Hierarchy].[Year].&amp;[2016].&amp;[Aug]" c="Aug" nd="1">
                <p n="[Calendar].[Date Hierarchy].[Year].&amp;[2016]"/>
              </i>
              <i n="[Calendar].[Date Hierarchy].[Year].&amp;[2016].&amp;[Sep]" c="Sep" nd="1">
                <p n="[Calendar].[Date Hierarchy].[Year].&amp;[2016]"/>
              </i>
              <i n="[Calendar].[Date Hierarchy].[Year].&amp;[2016].&amp;[Oct]" c="Oct" nd="1">
                <p n="[Calendar].[Date Hierarchy].[Year].&amp;[2016]"/>
              </i>
              <i n="[Calendar].[Date Hierarchy].[Year].&amp;[2016].&amp;[Nov]" c="Nov" nd="1">
                <p n="[Calendar].[Date Hierarchy].[Year].&amp;[2016]"/>
              </i>
              <i n="[Calendar].[Date Hierarchy].[Year].&amp;[2016].&amp;[Dec]" c="Dec" nd="1">
                <p n="[Calendar].[Date Hierarchy].[Year].&amp;[2016]"/>
              </i>
              <i n="[Calendar].[Date Hierarchy].[Year].&amp;[2017].&amp;[Jan]" c="Jan" nd="1">
                <p n="[Calendar].[Date Hierarchy].[Year].&amp;[2017]"/>
              </i>
              <i n="[Calendar].[Date Hierarchy].[Year].&amp;[2017].&amp;[Feb]" c="Feb" nd="1">
                <p n="[Calendar].[Date Hierarchy].[Year].&amp;[2017]"/>
              </i>
              <i n="[Calendar].[Date Hierarchy].[Year].&amp;[2017].&amp;[Mar]" c="Mar" nd="1">
                <p n="[Calendar].[Date Hierarchy].[Year].&amp;[2017]"/>
              </i>
              <i n="[Calendar].[Date Hierarchy].[Year].&amp;[2017].&amp;[Apr]" c="Apr" nd="1">
                <p n="[Calendar].[Date Hierarchy].[Year].&amp;[2017]"/>
              </i>
              <i n="[Calendar].[Date Hierarchy].[Year].&amp;[2017].&amp;[May]" c="May" nd="1">
                <p n="[Calendar].[Date Hierarchy].[Year].&amp;[2017]"/>
              </i>
              <i n="[Calendar].[Date Hierarchy].[Year].&amp;[2017].&amp;[Jun]" c="Jun" nd="1">
                <p n="[Calendar].[Date Hierarchy].[Year].&amp;[2017]"/>
              </i>
              <i n="[Calendar].[Date Hierarchy].[Year].&amp;[2017].&amp;[Jul]" c="Jul" nd="1">
                <p n="[Calendar].[Date Hierarchy].[Year].&amp;[2017]"/>
              </i>
              <i n="[Calendar].[Date Hierarchy].[Year].&amp;[2017].&amp;[Aug]" c="Aug" nd="1">
                <p n="[Calendar].[Date Hierarchy].[Year].&amp;[2017]"/>
              </i>
              <i n="[Calendar].[Date Hierarchy].[Year].&amp;[2017].&amp;[Sep]" c="Sep" nd="1">
                <p n="[Calendar].[Date Hierarchy].[Year].&amp;[2017]"/>
              </i>
              <i n="[Calendar].[Date Hierarchy].[Year].&amp;[2017].&amp;[Oct]" c="Oct" nd="1">
                <p n="[Calendar].[Date Hierarchy].[Year].&amp;[2017]"/>
              </i>
              <i n="[Calendar].[Date Hierarchy].[Year].&amp;[2017].&amp;[Nov]" c="Nov" nd="1">
                <p n="[Calendar].[Date Hierarchy].[Year].&amp;[2017]"/>
              </i>
              <i n="[Calendar].[Date Hierarchy].[Year].&amp;[2017].&amp;[Dec]" c="Dec" nd="1">
                <p n="[Calendar].[Date Hierarchy].[Year].&amp;[2017]"/>
              </i>
              <i n="[Calendar].[Date Hierarchy].[Year].&amp;[2018].&amp;[Jan]" c="Jan" nd="1">
                <p n="[Calendar].[Date Hierarchy].[Year].&amp;[2018]"/>
              </i>
              <i n="[Calendar].[Date Hierarchy].[Year].&amp;[2018].&amp;[Feb]" c="Feb" nd="1">
                <p n="[Calendar].[Date Hierarchy].[Year].&amp;[2018]"/>
              </i>
              <i n="[Calendar].[Date Hierarchy].[Year].&amp;[2018].&amp;[Mar]" c="Mar" nd="1">
                <p n="[Calendar].[Date Hierarchy].[Year].&amp;[2018]"/>
              </i>
              <i n="[Calendar].[Date Hierarchy].[Year].&amp;[2018].&amp;[Apr]" c="Apr" nd="1">
                <p n="[Calendar].[Date Hierarchy].[Year].&amp;[2018]"/>
              </i>
              <i n="[Calendar].[Date Hierarchy].[Year].&amp;[2018].&amp;[May]" c="May" nd="1">
                <p n="[Calendar].[Date Hierarchy].[Year].&amp;[2018]"/>
              </i>
              <i n="[Calendar].[Date Hierarchy].[Year].&amp;[2018].&amp;[Jun]" c="Jun" nd="1">
                <p n="[Calendar].[Date Hierarchy].[Year].&amp;[2018]"/>
              </i>
              <i n="[Calendar].[Date Hierarchy].[Year].&amp;[2018].&amp;[Jul]" c="Jul" nd="1">
                <p n="[Calendar].[Date Hierarchy].[Year].&amp;[2018]"/>
              </i>
              <i n="[Calendar].[Date Hierarchy].[Year].&amp;[2018].&amp;[Aug]" c="Aug" nd="1">
                <p n="[Calendar].[Date Hierarchy].[Year].&amp;[2018]"/>
              </i>
              <i n="[Calendar].[Date Hierarchy].[Year].&amp;[2018].&amp;[Sep]" c="Sep" nd="1">
                <p n="[Calendar].[Date Hierarchy].[Year].&amp;[2018]"/>
              </i>
              <i n="[Calendar].[Date Hierarchy].[Year].&amp;[2018].&amp;[Oct]" c="Oct" nd="1">
                <p n="[Calendar].[Date Hierarchy].[Year].&amp;[2018]"/>
              </i>
              <i n="[Calendar].[Date Hierarchy].[Year].&amp;[2018].&amp;[Nov]" c="Nov" nd="1">
                <p n="[Calendar].[Date Hierarchy].[Year].&amp;[2018]"/>
              </i>
              <i n="[Calendar].[Date Hierarchy].[Year].&amp;[2018].&amp;[Dec]" c="Dec" nd="1">
                <p n="[Calendar].[Date Hierarchy].[Year].&amp;[2018]"/>
              </i>
              <i n="[Calendar].[Date Hierarchy].[Year].&amp;[2024].&amp;[Jan]" c="Jan" nd="1">
                <p n="[Calendar].[Date Hierarchy].[Year].&amp;[2024]"/>
              </i>
              <i n="[Calendar].[Date Hierarchy].[Year].&amp;[2024].&amp;[Feb]" c="Feb" nd="1">
                <p n="[Calendar].[Date Hierarchy].[Year].&amp;[2024]"/>
              </i>
              <i n="[Calendar].[Date Hierarchy].[Year].&amp;[2024].&amp;[Mar]" c="Mar" nd="1">
                <p n="[Calendar].[Date Hierarchy].[Year].&amp;[2024]"/>
              </i>
              <i n="[Calendar].[Date Hierarchy].[Year].&amp;[2024].&amp;[Apr]" c="Apr" nd="1">
                <p n="[Calendar].[Date Hierarchy].[Year].&amp;[2024]"/>
              </i>
              <i n="[Calendar].[Date Hierarchy].[Year].&amp;[2024].&amp;[May]" c="May" nd="1">
                <p n="[Calendar].[Date Hierarchy].[Year].&amp;[2024]"/>
              </i>
              <i n="[Calendar].[Date Hierarchy].[Year].&amp;[2024].&amp;[Jun]" c="Jun" nd="1">
                <p n="[Calendar].[Date Hierarchy].[Year].&amp;[2024]"/>
              </i>
              <i n="[Calendar].[Date Hierarchy].[Year].&amp;[2024].&amp;[Jul]" c="Jul" nd="1">
                <p n="[Calendar].[Date Hierarchy].[Year].&amp;[2024]"/>
              </i>
              <i n="[Calendar].[Date Hierarchy].[Year].&amp;[2024].&amp;[Aug]" c="Aug" nd="1">
                <p n="[Calendar].[Date Hierarchy].[Year].&amp;[2024]"/>
              </i>
              <i n="[Calendar].[Date Hierarchy].[Year].&amp;[2024].&amp;[Sep]" c="Sep" nd="1">
                <p n="[Calendar].[Date Hierarchy].[Year].&amp;[2024]"/>
              </i>
              <i n="[Calendar].[Date Hierarchy].[Year].&amp;[2024].&amp;[Oct]" c="Oct" nd="1">
                <p n="[Calendar].[Date Hierarchy].[Year].&amp;[2024]"/>
              </i>
              <i n="[Calendar].[Date Hierarchy].[Year].&amp;[2024].&amp;[Nov]" c="Nov" nd="1">
                <p n="[Calendar].[Date Hierarchy].[Year].&amp;[2024]"/>
              </i>
              <i n="[Calendar].[Date Hierarchy].[Year].&amp;[2024].&amp;[Dec]" c="Dec" nd="1">
                <p n="[Calendar].[Date Hierarchy].[Year].&amp;[2024]"/>
              </i>
              <i n="[Calendar].[Date Hierarchy].[Year].&amp;.&amp;" c="(blank)" nd="1">
                <p n="[Calendar].[Date Hierarchy].[Year].&amp;"/>
              </i>
            </range>
          </ranges>
        </level>
        <level uniqueName="[Calendar].[Date Hierarchy].[DateColumn]" sourceCaption="DateColumn" count="0"/>
      </levels>
      <selections count="1">
        <selection n="[Calendar].[Date Hierarchy].[Year].&amp;[2023]"/>
      </selections>
    </olap>
  </data>
</slicerCacheDefinition>
</file>

<file path=xl/slicerCaches/slicerCache1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ReportType" xr10:uid="{00000000-0013-0000-FFFF-FFFF0E000000}" sourceName="[fActualAndBudget].[ReportType]">
  <pivotTables>
    <pivotTable tabId="67" name="PivotTable2"/>
  </pivotTables>
  <data>
    <olap pivotCacheId="1937656969">
      <levels count="2">
        <level uniqueName="[fActualAndBudget].[ReportType].[(All)]" sourceCaption="(All)" count="0"/>
        <level uniqueName="[fActualAndBudget].[ReportType].[ReportType]" sourceCaption="ReportType" count="4">
          <ranges>
            <range startItem="0">
              <i n="[fActualAndBudget].[ReportType].&amp;[План]" c="План"/>
              <i n="[fActualAndBudget].[ReportType].&amp;" c="(blank)" nd="1"/>
              <i n="[fActualAndBudget].[ReportType].&amp;[Остварено]" c="Остварено" nd="1"/>
              <i n="[fActualAndBudget].[ReportType].&amp;[Предвидување]" c="Предвидување" nd="1"/>
            </range>
          </ranges>
        </level>
      </levels>
      <selections count="1">
        <selection n="[fActualAndBudget].[ReportType].&amp;[План]"/>
      </selections>
    </olap>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ate_Hierarchy71" xr10:uid="{00000000-0013-0000-FFFF-FFFF02000000}" sourceName="[Calendar].[Date Hierarchy]">
  <pivotTables>
    <pivotTable tabId="68" name="PivotTable2"/>
  </pivotTables>
  <data>
    <olap pivotCacheId="1221345042">
      <levels count="4">
        <level uniqueName="[Calendar].[Date Hierarchy].[(All)]" sourceCaption="(All)" count="0"/>
        <level uniqueName="[Calendar].[Date Hierarchy].[Year]" sourceCaption="Year" count="11">
          <ranges>
            <range startItem="0">
              <i n="[Calendar].[Date Hierarchy].[Year].&amp;[2018]" c="2018"/>
              <i n="[Calendar].[Date Hierarchy].[Year].&amp;[2019]" c="2019"/>
              <i n="[Calendar].[Date Hierarchy].[Year].&amp;[2020]" c="2020"/>
              <i n="[Calendar].[Date Hierarchy].[Year].&amp;[2021]" c="2021"/>
              <i n="[Calendar].[Date Hierarchy].[Year].&amp;[2022]" c="2022"/>
              <i n="[Calendar].[Date Hierarchy].[Year].&amp;[2023]" c="2023"/>
              <i n="[Calendar].[Date Hierarchy].[Year].&amp;[2015]" c="2015" nd="1"/>
              <i n="[Calendar].[Date Hierarchy].[Year].&amp;[2016]" c="2016" nd="1"/>
              <i n="[Calendar].[Date Hierarchy].[Year].&amp;[2017]" c="2017" nd="1"/>
              <i n="[Calendar].[Date Hierarchy].[Year].&amp;[2024]" c="2024" nd="1"/>
              <i n="[Calendar].[Date Hierarchy].[Year].&amp;" c="(blank)" nd="1"/>
            </range>
          </ranges>
        </level>
        <level uniqueName="[Calendar].[Date Hierarchy].[Month]" sourceCaption="Month" count="0"/>
        <level uniqueName="[Calendar].[Date Hierarchy].[DateColumn]" sourceCaption="DateColumn" count="0"/>
      </levels>
      <selections count="1">
        <selection n="[Calendar].[Date Hierarchy].[All]"/>
      </selections>
    </olap>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ate_Hierarchy712" xr10:uid="{00000000-0013-0000-FFFF-FFFF03000000}" sourceName="[Calendar].[Date Hierarchy]">
  <pivotTables>
    <pivotTable tabId="74" name="PivotTable2"/>
  </pivotTables>
  <data>
    <olap pivotCacheId="627414974">
      <levels count="4">
        <level uniqueName="[Calendar].[Date Hierarchy].[(All)]" sourceCaption="(All)" count="0"/>
        <level uniqueName="[Calendar].[Date Hierarchy].[Year]" sourceCaption="Year" count="11">
          <ranges>
            <range startItem="0">
              <i n="[Calendar].[Date Hierarchy].[Year].&amp;[2019]" c="2019"/>
              <i n="[Calendar].[Date Hierarchy].[Year].&amp;[2020]" c="2020"/>
              <i n="[Calendar].[Date Hierarchy].[Year].&amp;[2021]" c="2021"/>
              <i n="[Calendar].[Date Hierarchy].[Year].&amp;[2022]" c="2022"/>
              <i n="[Calendar].[Date Hierarchy].[Year].&amp;[2023]" c="2023"/>
              <i n="[Calendar].[Date Hierarchy].[Year].&amp;[2015]" c="2015" nd="1"/>
              <i n="[Calendar].[Date Hierarchy].[Year].&amp;[2016]" c="2016" nd="1"/>
              <i n="[Calendar].[Date Hierarchy].[Year].&amp;[2017]" c="2017" nd="1"/>
              <i n="[Calendar].[Date Hierarchy].[Year].&amp;[2018]" c="2018" nd="1"/>
              <i n="[Calendar].[Date Hierarchy].[Year].&amp;[2024]" c="2024" nd="1"/>
              <i n="[Calendar].[Date Hierarchy].[Year].&amp;" c="(blank)" nd="1"/>
            </range>
          </ranges>
        </level>
        <level uniqueName="[Calendar].[Date Hierarchy].[Month]" sourceCaption="Month" count="0"/>
        <level uniqueName="[Calendar].[Date Hierarchy].[DateColumn]" sourceCaption="DateColumn" count="0"/>
      </levels>
      <selections count="1">
        <selection n="[Calendar].[Date Hierarchy].[Year].&amp;[2020]"/>
      </selections>
    </olap>
  </data>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ate_Hierarchy711" xr10:uid="{00000000-0013-0000-FFFF-FFFF04000000}" sourceName="[Calendar].[Date Hierarchy]">
  <pivotTables>
    <pivotTable tabId="78" name="PivotTable2"/>
    <pivotTable tabId="78" name="PivotTable3"/>
  </pivotTables>
  <data>
    <olap pivotCacheId="2097522385">
      <levels count="4">
        <level uniqueName="[Calendar].[Date Hierarchy].[(All)]" sourceCaption="(All)" count="0"/>
        <level uniqueName="[Calendar].[Date Hierarchy].[Year]" sourceCaption="Year" count="11">
          <ranges>
            <range startItem="0">
              <i n="[Calendar].[Date Hierarchy].[Year].&amp;[2019]" c="2019"/>
              <i n="[Calendar].[Date Hierarchy].[Year].&amp;[2020]" c="2020"/>
              <i n="[Calendar].[Date Hierarchy].[Year].&amp;[2022]" c="2022"/>
              <i n="[Calendar].[Date Hierarchy].[Year].&amp;[2018]" c="2018"/>
              <i n="[Calendar].[Date Hierarchy].[Year].&amp;[2021]" c="2021"/>
              <i n="[Calendar].[Date Hierarchy].[Year].&amp;[2015]" c="2015" nd="1"/>
              <i n="[Calendar].[Date Hierarchy].[Year].&amp;[2016]" c="2016" nd="1"/>
              <i n="[Calendar].[Date Hierarchy].[Year].&amp;[2017]" c="2017" nd="1"/>
              <i n="[Calendar].[Date Hierarchy].[Year].&amp;[2023]" c="2023" nd="1"/>
              <i n="[Calendar].[Date Hierarchy].[Year].&amp;[2024]" c="2024" nd="1"/>
              <i n="[Calendar].[Date Hierarchy].[Year].&amp;" c="(blank)" nd="1"/>
            </range>
          </ranges>
        </level>
        <level uniqueName="[Calendar].[Date Hierarchy].[Month]" sourceCaption="Month" count="0"/>
        <level uniqueName="[Calendar].[Date Hierarchy].[DateColumn]" sourceCaption="DateColumn" count="0"/>
      </levels>
      <selections count="1">
        <selection n="[Calendar].[Date Hierarchy].[Year].&amp;[2019]"/>
      </selections>
    </olap>
  </data>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ate_Hierarchy73" xr10:uid="{00000000-0013-0000-FFFF-FFFF05000000}" sourceName="[Calendar].[Date Hierarchy]">
  <pivotTables>
    <pivotTable tabId="91" name="PivotTable2"/>
  </pivotTables>
  <data>
    <olap pivotCacheId="346738741">
      <levels count="4">
        <level uniqueName="[Calendar].[Date Hierarchy].[(All)]" sourceCaption="(All)" count="0"/>
        <level uniqueName="[Calendar].[Date Hierarchy].[Year]" sourceCaption="Year" count="11">
          <ranges>
            <range startItem="0">
              <i n="[Calendar].[Date Hierarchy].[Year].&amp;[2018]" c="2018"/>
              <i n="[Calendar].[Date Hierarchy].[Year].&amp;[2019]" c="2019"/>
              <i n="[Calendar].[Date Hierarchy].[Year].&amp;[2020]" c="2020"/>
              <i n="[Calendar].[Date Hierarchy].[Year].&amp;[2015]" c="2015" nd="1"/>
              <i n="[Calendar].[Date Hierarchy].[Year].&amp;[2016]" c="2016" nd="1"/>
              <i n="[Calendar].[Date Hierarchy].[Year].&amp;[2017]" c="2017" nd="1"/>
              <i n="[Calendar].[Date Hierarchy].[Year].&amp;[2021]" c="2021" nd="1"/>
              <i n="[Calendar].[Date Hierarchy].[Year].&amp;[2022]" c="2022" nd="1"/>
              <i n="[Calendar].[Date Hierarchy].[Year].&amp;[2023]" c="2023" nd="1"/>
              <i n="[Calendar].[Date Hierarchy].[Year].&amp;[2024]" c="2024" nd="1"/>
              <i n="[Calendar].[Date Hierarchy].[Year].&amp;" c="(blank)" nd="1"/>
            </range>
          </ranges>
        </level>
        <level uniqueName="[Calendar].[Date Hierarchy].[Month]" sourceCaption="Month" count="0"/>
        <level uniqueName="[Calendar].[Date Hierarchy].[DateColumn]" sourceCaption="DateColumn" count="0"/>
      </levels>
      <selections count="3">
        <selection n="[Calendar].[Date Hierarchy].[Year].&amp;[2018]"/>
        <selection n="[Calendar].[Date Hierarchy].[Year].&amp;[2019]"/>
        <selection n="[Calendar].[Date Hierarchy].[Year].&amp;[2020]"/>
      </selections>
    </olap>
  </data>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tavkaImeAOP" xr10:uid="{00000000-0013-0000-FFFF-FFFF06000000}" sourceName="[fActualAndBudget].[StavkaImeAOP]">
  <pivotTables>
    <pivotTable tabId="91" name="PivotTable2"/>
  </pivotTables>
  <data>
    <olap pivotCacheId="346738741">
      <levels count="2">
        <level uniqueName="[fActualAndBudget].[StavkaImeAOP].[(All)]" sourceCaption="(All)" count="0"/>
        <level uniqueName="[fActualAndBudget].[StavkaImeAOP].[StavkaImeAOP]" sourceCaption="StavkaImeAOP" count="81">
          <ranges>
            <range startItem="0">
              <i n="[fActualAndBudget].[StavkaImeAOP].&amp;[3.1.1 - Приходи од заложен регистар]" c="3.1.1 - Приходи од заложен регистар"/>
              <i n="[fActualAndBudget].[StavkaImeAOP].&amp;[3.1.10 - Приходи од регионален портал]" c="3.1.10 - Приходи од регионален портал"/>
              <i n="[fActualAndBudget].[StavkaImeAOP].&amp;[3.1.11 - Приходи од прекршочна постапка]" c="3.1.11 - Приходи од прекршочна постапка"/>
              <i n="[fActualAndBudget].[StavkaImeAOP].&amp;[3.1.12 - Приходи од интернет дистрибутивен систем]" c="3.1.12 - Приходи од интернет дистрибутивен систем"/>
              <i n="[fActualAndBudget].[StavkaImeAOP].&amp;[3.1.13 - Приходи од странство]" c="3.1.13 - Приходи од странство"/>
              <i n="[fActualAndBudget].[StavkaImeAOP].&amp;[3.1.14 - Приходи од регистар на задолжница]" c="3.1.14 - Приходи од регистар на задолжница"/>
              <i n="[fActualAndBudget].[StavkaImeAOP].&amp;[3.1.2 - Приходи од годишни сметки]" c="3.1.2 - Приходи од годишни сметки"/>
              <i n="[fActualAndBudget].[StavkaImeAOP].&amp;[3.1.4 - Приходи од Регистар на резиденти и нерезиденти]" c="3.1.4 - Приходи од Регистар на резиденти и нерезиденти"/>
              <i n="[fActualAndBudget].[StavkaImeAOP].&amp;[3.1.5 - Приходи од Регистар на лизинг]" c="3.1.5 - Приходи од Регистар на лизинг"/>
              <i n="[fActualAndBudget].[StavkaImeAOP].&amp;[3.1.6 - Приходи од регистар на недвижности]" c="3.1.6 - Приходи од регистар на недвижности"/>
              <i n="[fActualAndBudget].[StavkaImeAOP].&amp;[3.1.7 - Приходи од трговски регистар]" c="3.1.7 - Приходи од трговски регистар"/>
              <i n="[fActualAndBudget].[StavkaImeAOP].&amp;[3.1.8 - Приходи од регистар на директни странски инвестиции]" c="3.1.8 - Приходи од регистар на директни странски инвестиции"/>
              <i n="[fActualAndBudget].[StavkaImeAOP].&amp;[3.1.9 - Приходи од регистрите за кривични санкции, пресуди и др.]" c="3.1.9 - Приходи од регистрите за кривични санкции, пресуди и др."/>
              <i n="[fActualAndBudget].[StavkaImeAOP].&amp;[3.2.1 - Приходи од камати]" c="3.2.1 - Приходи од камати"/>
              <i n="[fActualAndBudget].[StavkaImeAOP].&amp;[3.2.2 - Приходи од курсни разлики]" c="3.2.2 - Приходи од курсни разлики"/>
              <i n="[fActualAndBudget].[StavkaImeAOP].&amp;[3.2.3 - Други неспомнати приходи]" c="3.2.3 - Други неспомнати приходи"/>
              <i n="[fActualAndBudget].[StavkaImeAOP].&amp;[3.2.4 - Капитална добивка од продажба на материјални и неметеријални средства]" c="3.2.4 - Капитална добивка од продажба на материјални и неметеријални средства"/>
              <i n="[fActualAndBudget].[StavkaImeAOP].&amp;[3.2.5 - Приходи од донации]" c="3.2.5 - Приходи од донации"/>
              <i n="[fActualAndBudget].[StavkaImeAOP].&amp;[3.2.6 - Приходи од продажба на подвижен имот]" c="3.2.6 - Приходи од продажба на подвижен имот"/>
              <i n="[fActualAndBudget].[StavkaImeAOP].&amp;[3.2.7 - Приходи од закуп]" c="3.2.7 - Приходи од закуп"/>
              <i n="[fActualAndBudget].[StavkaImeAOP].&amp;[3.2.8 - Вонредни невообичаени приходи]" c="3.2.8 - Вонредни невообичаени приходи"/>
              <i n="[fActualAndBudget].[StavkaImeAOP].&amp;[4.1.1 - Потрошени суровини и материјали]" c="4.1.1 - Потрошени суровини и материјали"/>
              <i n="[fActualAndBudget].[StavkaImeAOP].&amp;[4.1.10 - Амортизација по минимални стапки]" c="4.1.10 - Амортизација по минимални стапки"/>
              <i n="[fActualAndBudget].[StavkaImeAOP].&amp;[4.1.11 - Надомест на трошоци на вработените, подароци и помошти]" c="4.1.11 - Надомест на трошоци на вработените, подароци и помошти"/>
              <i n="[fActualAndBudget].[StavkaImeAOP].&amp;[4.1.12 - Дневници за службени патувања и патни трошоци]" c="4.1.12 - Дневници за службени патувања и патни трошоци"/>
              <i n="[fActualAndBudget].[StavkaImeAOP].&amp;[4.1.13 - Трошоци за промоција,пропаганда, реклама, репрезентација и спонзорство]" c="4.1.13 - Трошоци за промоција,пропаганда, реклама, репрезентација и спонзорство"/>
              <i n="[fActualAndBudget].[StavkaImeAOP].&amp;[4.1.14 - Премии за осигурување]" c="4.1.14 - Премии за осигурување"/>
              <i n="[fActualAndBudget].[StavkaImeAOP].&amp;[4.1.15 - Даноци,чланарини и други давачки кои не зависат од резултатот]" c="4.1.15 - Даноци,чланарини и други давачки кои не зависат од резултатот"/>
              <i n="[fActualAndBudget].[StavkaImeAOP].&amp;[4.1.16 - Банкарски услуги и трошоци за платен промет]" c="4.1.16 - Банкарски услуги и трошоци за платен промет"/>
              <i n="[fActualAndBudget].[StavkaImeAOP].&amp;[4.1.17 - Лиценци за разни софтвери (едногодишни, обновливи)]" c="4.1.17 - Лиценци за разни софтвери (едногодишни, обновливи)"/>
              <i n="[fActualAndBudget].[StavkaImeAOP].&amp;[4.1.19 - Останати нематеријални трошоци]" c="4.1.19 - Останати нематеријални трошоци"/>
              <i n="[fActualAndBudget].[StavkaImeAOP].&amp;[4.1.2 - Потрoшена енергија и гориво за возила]" c="4.1.2 - Потрoшена енергија и гориво за возила"/>
              <i n="[fActualAndBudget].[StavkaImeAOP].&amp;[4.1.3 - Потрошени резервни делови]" c="4.1.3 - Потрошени резервни делови"/>
              <i n="[fActualAndBudget].[StavkaImeAOP].&amp;[4.1.4 - Потрошок на ситен инвентар и автогуми]" c="4.1.4 - Потрошок на ситен инвентар и автогуми"/>
              <i n="[fActualAndBudget].[StavkaImeAOP].&amp;[4.1.5 - Транспортни услуги]" c="4.1.5 - Транспортни услуги"/>
              <i n="[fActualAndBudget].[StavkaImeAOP].&amp;[4.1.6 - Надворешни услуги]" c="4.1.6 - Надворешни услуги"/>
              <i n="[fActualAndBudget].[StavkaImeAOP].&amp;[4.1.7 - Услуги за одржување и заштита]" c="4.1.7 - Услуги за одржување и заштита"/>
              <i n="[fActualAndBudget].[StavkaImeAOP].&amp;[4.1.8 - Наемнини и лизинг]" c="4.1.8 - Наемнини и лизинг"/>
              <i n="[fActualAndBudget].[StavkaImeAOP].&amp;[4.1.9 - Останати услуги]" c="4.1.9 - Останати услуги"/>
              <i n="[fActualAndBudget].[StavkaImeAOP].&amp;[4.2.2 - Казни, пенали и надомест на штети затезни камати]" c="4.2.2 - Казни, пенали и надомест на штети затезни камати"/>
              <i n="[fActualAndBudget].[StavkaImeAOP].&amp;[4.2.3 - Вредносно усогласување на тековни и нетековни средства]" c="4.2.3 - Вредносно усогласување на тековни и нетековни средства"/>
              <i n="[fActualAndBudget].[StavkaImeAOP].&amp;[4.2.5 - Курсни разлики]" c="4.2.5 - Курсни разлики"/>
              <i n="[fActualAndBudget].[StavkaImeAOP].&amp;[4.2.6 - Загуби и кусоци]" c="4.2.6 - Загуби и кусоци"/>
              <i n="[fActualAndBudget].[StavkaImeAOP].&amp;[4.2.7 - Останати расходи]" c="4.2.7 - Останати расходи"/>
              <i n="[fActualAndBudget].[StavkaImeAOP].&amp;[ - ]" c=" - " nd="1"/>
              <i n="[fActualAndBudget].[StavkaImeAOP].&amp;[ - 0]" c=" - 0" nd="1"/>
              <i n="[fActualAndBudget].[StavkaImeAOP].&amp;[1.1.1 - Жиро сметки]" c="1.1.1 - Жиро сметки" nd="1"/>
              <i n="[fActualAndBudget].[StavkaImeAOP].&amp;[1.1.3 - Готовина домашна валута]" c="1.1.3 - Готовина домашна валута" nd="1"/>
              <i n="[fActualAndBudget].[StavkaImeAOP].&amp;[1.1.4 - Готовина странска валута]" c="1.1.4 - Готовина странска валута" nd="1"/>
              <i n="[fActualAndBudget].[StavkaImeAOP].&amp;[1.13.1 - Вонбилансна актива]" c="1.13.1 - Вонбилансна актива" nd="1"/>
              <i n="[fActualAndBudget].[StavkaImeAOP].&amp;[1.14.1 - Обврски кон добавувачи во земјата]" c="1.14.1 - Обврски кон добавувачи во земјата" nd="1"/>
              <i n="[fActualAndBudget].[StavkaImeAOP].&amp;[1.14.3 - Обврски кон вработените]" c="1.14.3 - Обврски кон вработените" nd="1"/>
              <i n="[fActualAndBudget].[StavkaImeAOP].&amp;[1.14.6 - Обврски спрема државата]" c="1.14.6 - Обврски спрема државата" nd="1"/>
              <i n="[fActualAndBudget].[StavkaImeAOP].&amp;[1.14.7 - Обврски за даноци и придонеси]" c="1.14.7 - Обврски за даноци и придонеси" nd="1"/>
              <i n="[fActualAndBudget].[StavkaImeAOP].&amp;[1.14.99 - Останати тековни обврски]" c="1.14.99 - Останати тековни обврски" nd="1"/>
              <i n="[fActualAndBudget].[StavkaImeAOP].&amp;[1.15.1 - Одложено плаќање на трошоци и признавање на приходи (ПВР)]" c="1.15.1 - Одложено плаќање на трошоци и признавање на приходи (ПВР)" nd="1"/>
              <i n="[fActualAndBudget].[StavkaImeAOP].&amp;[1.17.3 - Долгорочни финансиски обврски]" c="1.17.3 - Долгорочни финансиски обврски" nd="1"/>
              <i n="[fActualAndBudget].[StavkaImeAOP].&amp;[1.2.3 - Побарувања од вработените]" c="1.2.3 - Побарувања од вработените" nd="1"/>
              <i n="[fActualAndBudget].[StavkaImeAOP].&amp;[1.2.4 - Побарувања од државата]" c="1.2.4 - Побарувања од државата" nd="1"/>
              <i n="[fActualAndBudget].[StavkaImeAOP].&amp;[1.2.6 - Краткорочни финансиски побарувања]" c="1.2.6 - Краткорочни финансиски побарувања" nd="1"/>
              <i n="[fActualAndBudget].[StavkaImeAOP].&amp;[1.21.1 - Државен капитал]" c="1.21.1 - Државен капитал" nd="1"/>
              <i n="[fActualAndBudget].[StavkaImeAOP].&amp;[1.22.1 - Акумулирана добивка]" c="1.22.1 - Акумулирана добивка" nd="1"/>
              <i n="[fActualAndBudget].[StavkaImeAOP].&amp;[1.23.1 - Законска резерва]" c="1.23.1 - Законска резерва" nd="1"/>
              <i n="[fActualAndBudget].[StavkaImeAOP].&amp;[1.23.2 - Реинвестирана добивка]" c="1.23.2 - Реинвестирана добивка" nd="1"/>
              <i n="[fActualAndBudget].[StavkaImeAOP].&amp;[1.23.3 - Останати резерви - резерви за развој]" c="1.23.3 - Останати резерви - резерви за развој" nd="1"/>
              <i n="[fActualAndBudget].[StavkaImeAOP].&amp;[1.25.1 - Добивка/ Загуба за деловната година]" c="1.25.1 - Добивка/ Загуба за деловната година" nd="1"/>
              <i n="[fActualAndBudget].[StavkaImeAOP].&amp;[1.28.1 - Вонбилансна пасива]" c="1.28.1 - Вонбилансна пасива" nd="1"/>
              <i n="[fActualAndBudget].[StavkaImeAOP].&amp;[1.3.1 - Залихи на канцелариски и останат материјал]" c="1.3.1 - Залихи на канцелариски и останат материјал" nd="1"/>
              <i n="[fActualAndBudget].[StavkaImeAOP].&amp;[1.3.2 - Залихи на ситен инвентар и авто гуми]" c="1.3.2 - Залихи на ситен инвентар и авто гуми" nd="1"/>
              <i n="[fActualAndBudget].[StavkaImeAOP].&amp;[1.3.3 - Залихи на резервни делови]" c="1.3.3 - Залихи на резервни делови" nd="1"/>
              <i n="[fActualAndBudget].[StavkaImeAOP].&amp;[15.4 - Посебна резерва - реинвестирана добивка]" c="15.4 - Посебна резерва - реинвестирана добивка" nd="1"/>
              <i n="[fActualAndBudget].[StavkaImeAOP].&amp;[3.1.7 - Приходи од регистар на вистински сопственици]" c="3.1.7 - Приходи од регистар на вистински сопственици" nd="1"/>
              <i n="[fActualAndBudget].[StavkaImeAOP].&amp;[5.1.1 - Недвижности]" c="5.1.1 - Недвижности" nd="1"/>
              <i n="[fActualAndBudget].[StavkaImeAOP].&amp;[5.1.2 - Компјутерска и останата опрема]" c="5.1.2 - Компјутерска и останата опрема" nd="1"/>
              <i n="[fActualAndBudget].[StavkaImeAOP].&amp;[5.10.1 - Софтвер]" c="5.10.1 - Софтвер" nd="1"/>
              <i n="[fActualAndBudget].[StavkaImeAOP].&amp;[5.10.2 - Нематеријални средства во подготовка]" c="5.10.2 - Нематеријални средства во подготовка" nd="1"/>
              <i n="[fActualAndBudget].[StavkaImeAOP].&amp;[5.2.1 - Патнички автомобили]" c="5.2.1 - Патнички автомобили" nd="1"/>
              <i n="[fActualAndBudget].[StavkaImeAOP].&amp;[5.3.1 - Канцелариски мебел]" c="5.3.1 - Канцелариски мебел" nd="1"/>
              <i n="[fActualAndBudget].[StavkaImeAOP].&amp;[5.4.1 - Останати материјални основни средства]" c="5.4.1 - Останати материјални основни средства" nd="1"/>
              <i n="[fActualAndBudget].[StavkaImeAOP].&amp;[5.4.2 - Инвестиции во тек - недвижности]" c="5.4.2 - Инвестиции во тек - недвижности" nd="1"/>
              <i n="[fActualAndBudget].[StavkaImeAOP].&amp;[5.6.1 - Побарувања за аванси за материјални исредства]" c="5.6.1 - Побарувања за аванси за материјални исредства" nd="1"/>
            </range>
          </ranges>
        </level>
      </levels>
      <selections count="1">
        <selection n="[fActualAndBudget].[StavkaImeAOP].[All]"/>
      </selections>
    </olap>
  </data>
</slicerCacheDefinition>
</file>

<file path=xl/slicerCaches/slicerCache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tavkaKategorija" xr10:uid="{00000000-0013-0000-FFFF-FFFF07000000}" sourceName="[fActualAndBudget].[StavkaKategorija]">
  <pivotTables>
    <pivotTable tabId="91" name="PivotTable2"/>
  </pivotTables>
  <data>
    <olap pivotCacheId="346738741">
      <levels count="2">
        <level uniqueName="[fActualAndBudget].[StavkaKategorija].[(All)]" sourceCaption="(All)" count="0"/>
        <level uniqueName="[fActualAndBudget].[StavkaKategorija].[StavkaKategorija]" sourceCaption="StavkaKategorija" count="25">
          <ranges>
            <range startItem="0">
              <i n="[fActualAndBudget].[StavkaKategorija].&amp;[2.29. Приходи од продажба]" c="2.29. Приходи од продажба"/>
              <i n="[fActualAndBudget].[StavkaKategorija].&amp;[2.30. Останати оперативни приходи]" c="2.30. Останати оперативни приходи"/>
              <i n="[fActualAndBudget].[StavkaKategorija].&amp;[2.32. Потрошени суровини и материјали]" c="2.32. Потрошени суровини и материјали"/>
              <i n="[fActualAndBudget].[StavkaKategorija].&amp;[2.33. Трошоци за вработените]" c="2.33. Трошоци за вработените"/>
              <i n="[fActualAndBudget].[StavkaKategorija].&amp;[2.34. Амортизација на материјални средства]" c="2.34. Амортизација на материјални средства"/>
              <i n="[fActualAndBudget].[StavkaKategorija].&amp;[2.35. Вредносно усогласување на тековни средства]" c="2.35. Вредносно усогласување на тековни средства"/>
              <i n="[fActualAndBudget].[StavkaKategorija].&amp;[2.37. Останати оперативни расходи]" c="2.37. Останати оперативни расходи"/>
              <i n="[fActualAndBudget].[StavkaKategorija].&amp;[2.40. Приходи од финансирање]" c="2.40. Приходи од финансирање"/>
              <i n="[fActualAndBudget].[StavkaKategorija].&amp;[2.41. Расходи од финансирање]" c="2.41. Расходи од финансирање"/>
              <i n="[fActualAndBudget].[StavkaKategorija].&amp;" c="(blank)" nd="1"/>
              <i n="[fActualAndBudget].[StavkaKategorija].&amp;[1.1. Парични средства]" c="1.1. Парични средства" nd="1"/>
              <i n="[fActualAndBudget].[StavkaKategorija].&amp;[1.13. Вонбилансна актива]" c="1.13. Вонбилансна актива" nd="1"/>
              <i n="[fActualAndBudget].[StavkaKategorija].&amp;[1.14. Краткорочни обврски]" c="1.14. Краткорочни обврски" nd="1"/>
              <i n="[fActualAndBudget].[StavkaKategorija].&amp;[1.15. Одложено плаќање на трошоци и приходи (ПВР)]" c="1.15. Одложено плаќање на трошоци и приходи (ПВР)" nd="1"/>
              <i n="[fActualAndBudget].[StavkaKategorija].&amp;[1.17. Долгорочни обврски]" c="1.17. Долгорочни обврски" nd="1"/>
              <i n="[fActualAndBudget].[StavkaKategorija].&amp;[1.2. Побарувања]" c="1.2. Побарувања" nd="1"/>
              <i n="[fActualAndBudget].[StavkaKategorija].&amp;[1.21. Капитал]" c="1.21. Капитал" nd="1"/>
              <i n="[fActualAndBudget].[StavkaKategorija].&amp;[1.22. Акумулирана добивка]" c="1.22. Акумулирана добивка" nd="1"/>
              <i n="[fActualAndBudget].[StavkaKategorija].&amp;[1.23. Резерви]" c="1.23. Резерви" nd="1"/>
              <i n="[fActualAndBudget].[StavkaKategorija].&amp;[1.25. Добивка / Загуба за деловната година]" c="1.25. Добивка / Загуба за деловната година" nd="1"/>
              <i n="[fActualAndBudget].[StavkaKategorija].&amp;[1.28. Вонбилансна пасива]" c="1.28. Вонбилансна пасива" nd="1"/>
              <i n="[fActualAndBudget].[StavkaKategorija].&amp;[1.3. Залихи]" c="1.3. Залихи" nd="1"/>
              <i n="[fActualAndBudget].[StavkaKategorija].&amp;[1.7. Материјални средства и вложувања во недвижности]" c="1.7. Материјални средства и вложувања во недвижности" nd="1"/>
              <i n="[fActualAndBudget].[StavkaKategorija].&amp;[1.9. Нематеријални средства]" c="1.9. Нематеријални средства" nd="1"/>
              <i n="[fActualAndBudget].[StavkaKategorija].&amp;[Сопственичка главнина]" c="Сопственичка главнина" nd="1"/>
            </range>
          </ranges>
        </level>
      </levels>
      <selections count="1">
        <selection n="[fActualAndBudget].[StavkaKategorija].[All]"/>
      </selections>
    </olap>
  </data>
</slicerCacheDefinition>
</file>

<file path=xl/slicerCaches/slicerCache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tavkaGrupa" xr10:uid="{00000000-0013-0000-FFFF-FFFF08000000}" sourceName="[fActualAndBudget].[StavkaGrupa]">
  <pivotTables>
    <pivotTable tabId="33" name="PivotTable4"/>
  </pivotTables>
  <data>
    <olap pivotCacheId="1790257277">
      <levels count="2">
        <level uniqueName="[fActualAndBudget].[StavkaGrupa].[(All)]" sourceCaption="(All)" count="0"/>
        <level uniqueName="[fActualAndBudget].[StavkaGrupa].[StavkaGrupa]" sourceCaption="StavkaGrupa" count="14">
          <ranges>
            <range startItem="0">
              <i n="[fActualAndBudget].[StavkaGrupa].&amp;[3.1. Приходи од дејноста]" c="3.1. Приходи од дејноста"/>
              <i n="[fActualAndBudget].[StavkaGrupa].&amp;[3.2. Останати приходи]" c="3.2. Останати приходи"/>
              <i n="[fActualAndBudget].[StavkaGrupa].&amp;[4.1. Расходи од дејноста]" c="4.1. Расходи од дејноста"/>
              <i n="[fActualAndBudget].[StavkaGrupa].&amp;[4.2. Останати расходи]" c="4.2. Останати расходи"/>
              <i n="[fActualAndBudget].[StavkaGrupa].&amp;" c="(blank)" nd="1"/>
              <i n="[fActualAndBudget].[StavkaGrupa].&amp;[0]" c="0" nd="1"/>
              <i n="[fActualAndBudget].[StavkaGrupa].&amp;[5.1 Имот, машини и опрема]" c="5.1 Имот, машини и опрема" nd="1"/>
              <i n="[fActualAndBudget].[StavkaGrupa].&amp;[5.10 Други нематеријални средства]" c="5.10 Други нематеријални средства" nd="1"/>
              <i n="[fActualAndBudget].[StavkaGrupa].&amp;[5.11 Нематеријални средства во подготовка]" c="5.11 Нематеријални средства во подготовка" nd="1"/>
              <i n="[fActualAndBudget].[StavkaGrupa].&amp;[5.2 Возила]" c="5.2 Возила" nd="1"/>
              <i n="[fActualAndBudget].[StavkaGrupa].&amp;[5.3 Мебел и вградување на мебел]" c="5.3 Мебел и вградување на мебел" nd="1"/>
              <i n="[fActualAndBudget].[StavkaGrupa].&amp;[5.4 Останати материјални основни средства]" c="5.4 Останати материјални основни средства" nd="1"/>
              <i n="[fActualAndBudget].[StavkaGrupa].&amp;[5.6 Дадени аванси]" c="5.6 Дадени аванси" nd="1"/>
              <i n="[fActualAndBudget].[StavkaGrupa].&amp;[Посебна резерва - реинвестирана добивка]" c="Посебна резерва - реинвестирана добивка" nd="1"/>
            </range>
          </ranges>
        </level>
      </levels>
      <selections count="1">
        <selection n="[fActualAndBudget].[StavkaGrupa].&amp;[4.1. Расходи од дејноста]"/>
      </selections>
    </olap>
  </data>
</slicerCacheDefinition>
</file>

<file path=xl/slicerCaches/slicerCache9.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tavkaKategorija1" xr10:uid="{00000000-0013-0000-FFFF-FFFF09000000}" sourceName="[fActualAndBudget].[StavkaKategorija]">
  <pivotTables>
    <pivotTable tabId="33" name="PivotTable4"/>
  </pivotTables>
  <data>
    <olap pivotCacheId="1790257277">
      <levels count="2">
        <level uniqueName="[fActualAndBudget].[StavkaKategorija].[(All)]" sourceCaption="(All)" count="0"/>
        <level uniqueName="[fActualAndBudget].[StavkaKategorija].[StavkaKategorija]" sourceCaption="StavkaKategorija" count="25">
          <ranges>
            <range startItem="0">
              <i n="[fActualAndBudget].[StavkaKategorija].&amp;[2.32. Потрошени суровини и материјали]" c="2.32. Потрошени суровини и материјали"/>
              <i n="[fActualAndBudget].[StavkaKategorija].&amp;[2.33. Трошоци за вработените]" c="2.33. Трошоци за вработените"/>
              <i n="[fActualAndBudget].[StavkaKategorija].&amp;[2.34. Амортизација на материјални средства]" c="2.34. Амортизација на материјални средства"/>
              <i n="[fActualAndBudget].[StavkaKategorija].&amp;[2.37. Останати оперативни расходи]" c="2.37. Останати оперативни расходи"/>
              <i n="[fActualAndBudget].[StavkaKategorija].&amp;" c="(blank)" nd="1"/>
              <i n="[fActualAndBudget].[StavkaKategorija].&amp;[1.1. Парични средства]" c="1.1. Парични средства" nd="1"/>
              <i n="[fActualAndBudget].[StavkaKategorija].&amp;[1.13. Вонбилансна актива]" c="1.13. Вонбилансна актива" nd="1"/>
              <i n="[fActualAndBudget].[StavkaKategorija].&amp;[1.14. Краткорочни обврски]" c="1.14. Краткорочни обврски" nd="1"/>
              <i n="[fActualAndBudget].[StavkaKategorija].&amp;[1.15. Одложено плаќање на трошоци и приходи (ПВР)]" c="1.15. Одложено плаќање на трошоци и приходи (ПВР)" nd="1"/>
              <i n="[fActualAndBudget].[StavkaKategorija].&amp;[1.17. Долгорочни обврски]" c="1.17. Долгорочни обврски" nd="1"/>
              <i n="[fActualAndBudget].[StavkaKategorija].&amp;[1.2. Побарувања]" c="1.2. Побарувања" nd="1"/>
              <i n="[fActualAndBudget].[StavkaKategorija].&amp;[1.21. Капитал]" c="1.21. Капитал" nd="1"/>
              <i n="[fActualAndBudget].[StavkaKategorija].&amp;[1.22. Акумулирана добивка]" c="1.22. Акумулирана добивка" nd="1"/>
              <i n="[fActualAndBudget].[StavkaKategorija].&amp;[1.23. Резерви]" c="1.23. Резерви" nd="1"/>
              <i n="[fActualAndBudget].[StavkaKategorija].&amp;[1.25. Добивка / Загуба за деловната година]" c="1.25. Добивка / Загуба за деловната година" nd="1"/>
              <i n="[fActualAndBudget].[StavkaKategorija].&amp;[1.28. Вонбилансна пасива]" c="1.28. Вонбилансна пасива" nd="1"/>
              <i n="[fActualAndBudget].[StavkaKategorija].&amp;[1.3. Залихи]" c="1.3. Залихи" nd="1"/>
              <i n="[fActualAndBudget].[StavkaKategorija].&amp;[1.7. Материјални средства и вложувања во недвижности]" c="1.7. Материјални средства и вложувања во недвижности" nd="1"/>
              <i n="[fActualAndBudget].[StavkaKategorija].&amp;[1.9. Нематеријални средства]" c="1.9. Нематеријални средства" nd="1"/>
              <i n="[fActualAndBudget].[StavkaKategorija].&amp;[2.29. Приходи од продажба]" c="2.29. Приходи од продажба" nd="1"/>
              <i n="[fActualAndBudget].[StavkaKategorija].&amp;[2.30. Останати оперативни приходи]" c="2.30. Останати оперативни приходи" nd="1"/>
              <i n="[fActualAndBudget].[StavkaKategorija].&amp;[2.35. Вредносно усогласување на тековни средства]" c="2.35. Вредносно усогласување на тековни средства" nd="1"/>
              <i n="[fActualAndBudget].[StavkaKategorija].&amp;[2.40. Приходи од финансирање]" c="2.40. Приходи од финансирање" nd="1"/>
              <i n="[fActualAndBudget].[StavkaKategorija].&amp;[2.41. Расходи од финансирање]" c="2.41. Расходи од финансирање" nd="1"/>
              <i n="[fActualAndBudget].[StavkaKategorija].&amp;[Сопственичка главнина]" c="Сопственичка главнина" nd="1"/>
            </range>
          </ranges>
        </level>
      </levels>
      <selections count="1">
        <selection n="[fActualAndBudget].[StavkaKategorija].[All]"/>
      </selections>
    </olap>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Year 13" xr10:uid="{00000000-0014-0000-FFFF-FFFF01000000}" cache="Slicer_Date_Hierarchy71" caption="Year" level="1" rowHeight="234950"/>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Year 17" xr10:uid="{00000000-0014-0000-FFFF-FFFF02000000}" cache="Slicer_Date_Hierarchy712" caption="Year" level="1" rowHeight="234950"/>
</slicers>
</file>

<file path=xl/slicers/slicer3.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Month" xr10:uid="{00000000-0014-0000-FFFF-FFFF03000000}" cache="Slicer_Date_Hierarchy" caption="Month" startItem="25" level="2" rowHeight="241300"/>
  <slicer name="Year" xr10:uid="{00000000-0014-0000-FFFF-FFFF04000000}" cache="Slicer_Date_Hierarchy" caption="Year" level="1" rowHeight="241300"/>
  <slicer name="ReportType" xr10:uid="{00000000-0014-0000-FFFF-FFFF05000000}" cache="Slicer_ReportType" caption="ReportType" level="1" rowHeight="241300"/>
</slicers>
</file>

<file path=xl/slicers/slicer4.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Year 14" xr10:uid="{00000000-0014-0000-FFFF-FFFF06000000}" cache="Slicer_Date_Hierarchy711" caption="Year" startItem="1" level="1" rowHeight="234950"/>
</slicers>
</file>

<file path=xl/slicers/slicer5.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Year 16" xr10:uid="{00000000-0014-0000-FFFF-FFFF07000000}" cache="Slicer_Date_Hierarchy73" caption="Year" columnCount="2" level="1" rowHeight="234950"/>
  <slicer name="StavkaImeAOP" xr10:uid="{00000000-0014-0000-FFFF-FFFF08000000}" cache="Slicer_StavkaImeAOP" caption="StavkaImeAOP" columnCount="5" level="1" rowHeight="234950"/>
  <slicer name="StavkaKategorija" xr10:uid="{00000000-0014-0000-FFFF-FFFF09000000}" cache="Slicer_StavkaKategorija" caption="StavkaKategorija" startItem="15" columnCount="3" level="1" rowHeight="234950"/>
</slicers>
</file>

<file path=xl/slicers/slicer6.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Year 19" xr10:uid="{00000000-0014-0000-FFFF-FFFF0A000000}" cache="Slicer_Date_Hierarchy732" caption="Year" columnCount="2" level="1" rowHeight="234950"/>
  <slicer name="StavkaImeAOP 1" xr10:uid="{00000000-0014-0000-FFFF-FFFF0B000000}" cache="Slicer_StavkaImeAOP1" caption="StavkaImeAOP" columnCount="5" level="1" rowHeight="234950"/>
  <slicer name="StavkaKategorija 2" xr10:uid="{00000000-0014-0000-FFFF-FFFF0C000000}" cache="Slicer_StavkaKategorija2" caption="StavkaKategorija" columnCount="3" level="1" rowHeight="234950"/>
</slicers>
</file>

<file path=xl/slicers/slicer7.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Месец 11" xr10:uid="{00000000-0014-0000-FFFF-FFFF0D000000}" cache="Slicer_Месец112" caption="Месец" level="1" rowHeight="234950"/>
  <slicer name="Месец 12" xr10:uid="{00000000-0014-0000-FFFF-FFFF0E000000}" cache="Slicer_Месец112" caption="Месец" level="1" rowHeight="234950"/>
  <slicer name="StavkaGrupa" xr10:uid="{00000000-0014-0000-FFFF-FFFF0F000000}" cache="Slicer_StavkaGrupa" caption="StavkaGrupa" startItem="2" level="1" rowHeight="234950"/>
  <slicer name="StavkaKategorija 1" xr10:uid="{00000000-0014-0000-FFFF-FFFF10000000}" cache="Slicer_StavkaKategorija1" caption="StavkaKategorija" columnCount="2" level="1" rowHeight="234950"/>
</slicers>
</file>

<file path=xl/slicers/slicer8.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Месец 18" xr10:uid="{00000000-0014-0000-FFFF-FFFF11000000}" cache="Slicer_Месец112" caption="Месец" level="1" rowHeight="234950"/>
  <slicer name="Месец 19" xr10:uid="{00000000-0014-0000-FFFF-FFFF12000000}" cache="Slicer_Месец112" caption="Месец" level="1" rowHeight="234950"/>
</slicers>
</file>

<file path=xl/slicers/slicer9.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Месец 20" xr10:uid="{00000000-0014-0000-FFFF-FFFF13000000}" cache="Slicer_Месец112" caption="Месец" level="1" rowHeight="234950"/>
  <slicer name="Месец 21" xr10:uid="{00000000-0014-0000-FFFF-FFFF14000000}" cache="Slicer_Месец112" caption="Месец" level="1" rowHeight="234950"/>
</slicers>
</file>

<file path=xl/tables/_rels/table2.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Transakcii" displayName="Transakcii" ref="A1:G5321" totalsRowShown="0">
  <autoFilter ref="A1:G5321" xr:uid="{00000000-0009-0000-0100-000003000000}"/>
  <tableColumns count="7">
    <tableColumn id="1" xr3:uid="{00000000-0010-0000-0000-000001000000}" name="Регион" dataDxfId="352"/>
    <tableColumn id="2" xr3:uid="{00000000-0010-0000-0000-000002000000}" name="Продажно место" dataDxfId="351"/>
    <tableColumn id="7" xr3:uid="{00000000-0010-0000-0000-000007000000}" name="Поштенски код" dataDxfId="350"/>
    <tableColumn id="3" xr3:uid="{00000000-0010-0000-0000-000003000000}" name="Регистар име" dataDxfId="349"/>
    <tableColumn id="4" xr3:uid="{00000000-0010-0000-0000-000004000000}" name="Услуга име" dataDxfId="348"/>
    <tableColumn id="5" xr3:uid="{00000000-0010-0000-0000-000005000000}" name="Период" dataDxfId="347"/>
    <tableColumn id="6" xr3:uid="{00000000-0010-0000-0000-000006000000}" name="Трансакции"/>
  </tableColumns>
  <tableStyleInfo name="TableStyleMedium7"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1000000}" name="CAPEX_JN" displayName="CAPEX_JN" ref="A1:E31" tableType="queryTable" totalsRowShown="0" headerRowDxfId="6" dataDxfId="5">
  <autoFilter ref="A1:E31" xr:uid="{00000000-0009-0000-0100-000001000000}"/>
  <tableColumns count="5">
    <tableColumn id="1" xr3:uid="{00000000-0010-0000-0100-000001000000}" uniqueName="1" name="Предмет на јавна набавка" queryTableFieldId="1" dataDxfId="4"/>
    <tableColumn id="2" xr3:uid="{00000000-0010-0000-0100-000002000000}" uniqueName="2" name="Предвиден датум на набавка" queryTableFieldId="2" dataDxfId="3"/>
    <tableColumn id="3" xr3:uid="{00000000-0010-0000-0100-000003000000}" uniqueName="3" name="Проценета вредност на набавка со ДДВ (денари)" queryTableFieldId="3" dataDxfId="2"/>
    <tableColumn id="4" xr3:uid="{00000000-0010-0000-0100-000004000000}" uniqueName="4" name="Конто" queryTableFieldId="4" dataDxfId="1"/>
    <tableColumn id="5" xr3:uid="{00000000-0010-0000-0100-000005000000}" uniqueName="5" name="ReportType" queryTableFieldId="5" dataDxfId="0"/>
  </tableColumns>
  <tableStyleInfo name="TableStyleQueryResult"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table" Target="../tables/table1.xml"/></Relationships>
</file>

<file path=xl/worksheets/_rels/sheet10.xml.rels><?xml version="1.0" encoding="UTF-8" standalone="yes"?>
<Relationships xmlns="http://schemas.openxmlformats.org/package/2006/relationships"><Relationship Id="rId2" Type="http://schemas.openxmlformats.org/officeDocument/2006/relationships/pivotTable" Target="../pivotTables/pivotTable10.xml"/><Relationship Id="rId1" Type="http://schemas.openxmlformats.org/officeDocument/2006/relationships/pivotTable" Target="../pivotTables/pivotTable9.xm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ivotTable" Target="../pivotTables/pivotTable12.xml"/><Relationship Id="rId1" Type="http://schemas.openxmlformats.org/officeDocument/2006/relationships/pivotTable" Target="../pivotTables/pivotTable11.xml"/><Relationship Id="rId4" Type="http://schemas.microsoft.com/office/2007/relationships/slicer" Target="../slicers/slicer4.xml"/></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ivotTable" Target="../pivotTables/pivotTable13.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ivotTable" Target="../pivotTables/pivotTable14.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7.bin"/><Relationship Id="rId1" Type="http://schemas.openxmlformats.org/officeDocument/2006/relationships/pivotTable" Target="../pivotTables/pivotTable15.xml"/><Relationship Id="rId4" Type="http://schemas.microsoft.com/office/2007/relationships/slicer" Target="../slicers/slicer5.xml"/></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8.bin"/><Relationship Id="rId1" Type="http://schemas.openxmlformats.org/officeDocument/2006/relationships/pivotTable" Target="../pivotTables/pivotTable16.xml"/><Relationship Id="rId4" Type="http://schemas.microsoft.com/office/2007/relationships/slicer" Target="../slicers/slicer6.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10.bin"/><Relationship Id="rId1" Type="http://schemas.openxmlformats.org/officeDocument/2006/relationships/pivotTable" Target="../pivotTables/pivotTable17.xml"/><Relationship Id="rId4" Type="http://schemas.microsoft.com/office/2007/relationships/slicer" Target="../slicers/slicer7.xml"/></Relationships>
</file>

<file path=xl/worksheets/_rels/sheet21.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pivotTable" Target="../pivotTables/pivotTable18.xml"/></Relationships>
</file>

<file path=xl/worksheets/_rels/sheet22.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pivotTable" Target="../pivotTables/pivotTable19.xml"/></Relationships>
</file>

<file path=xl/worksheets/_rels/sheet23.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pivotTable" Target="../pivotTables/pivotTable20.xml"/></Relationships>
</file>

<file path=xl/worksheets/_rels/sheet24.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4.bin"/><Relationship Id="rId1" Type="http://schemas.openxmlformats.org/officeDocument/2006/relationships/pivotTable" Target="../pivotTables/pivotTable21.xml"/><Relationship Id="rId4" Type="http://schemas.microsoft.com/office/2007/relationships/slicer" Target="../slicers/slicer8.xml"/></Relationships>
</file>

<file path=xl/worksheets/_rels/sheet25.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ivotTable" Target="../pivotTables/pivotTable22.xml"/></Relationships>
</file>

<file path=xl/worksheets/_rels/sheet26.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ivotTable" Target="../pivotTables/pivotTable23.xml"/></Relationships>
</file>

<file path=xl/worksheets/_rels/sheet27.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ivotTable" Target="../pivotTables/pivotTable24.xml"/></Relationships>
</file>

<file path=xl/worksheets/_rels/sheet28.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8.bin"/><Relationship Id="rId1" Type="http://schemas.openxmlformats.org/officeDocument/2006/relationships/pivotTable" Target="../pivotTables/pivotTable25.xml"/><Relationship Id="rId4" Type="http://schemas.microsoft.com/office/2007/relationships/slicer" Target="../slicers/slicer9.xml"/></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pivotTable" Target="../pivotTables/pivotTable2.xml"/></Relationships>
</file>

<file path=xl/worksheets/_rels/sheet30.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ivotTable" Target="../pivotTables/pivotTable26.xml"/></Relationships>
</file>

<file path=xl/worksheets/_rels/sheet31.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ivotTable" Target="../pivotTables/pivotTable27.xml"/></Relationships>
</file>

<file path=xl/worksheets/_rels/sheet32.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ivotTable" Target="../pivotTables/pivotTable28.xml"/></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9.xml.rels><?xml version="1.0" encoding="UTF-8" standalone="yes"?>
<Relationships xmlns="http://schemas.openxmlformats.org/package/2006/relationships"><Relationship Id="rId1" Type="http://schemas.openxmlformats.org/officeDocument/2006/relationships/table" Target="../tables/table2.xml"/></Relationships>
</file>

<file path=xl/worksheets/_rels/sheet4.xml.rels><?xml version="1.0" encoding="UTF-8" standalone="yes"?>
<Relationships xmlns="http://schemas.openxmlformats.org/package/2006/relationships"><Relationship Id="rId3" Type="http://schemas.microsoft.com/office/2007/relationships/slicer" Target="../slicers/slicer1.xml"/><Relationship Id="rId2" Type="http://schemas.openxmlformats.org/officeDocument/2006/relationships/drawing" Target="../drawings/drawing1.xml"/><Relationship Id="rId1" Type="http://schemas.openxmlformats.org/officeDocument/2006/relationships/pivotTable" Target="../pivotTables/pivotTable3.xml"/></Relationships>
</file>

<file path=xl/worksheets/_rels/sheet5.xml.rels><?xml version="1.0" encoding="UTF-8" standalone="yes"?>
<Relationships xmlns="http://schemas.openxmlformats.org/package/2006/relationships"><Relationship Id="rId3" Type="http://schemas.microsoft.com/office/2007/relationships/slicer" Target="../slicers/slicer2.xml"/><Relationship Id="rId2" Type="http://schemas.openxmlformats.org/officeDocument/2006/relationships/drawing" Target="../drawings/drawing2.xml"/><Relationship Id="rId1" Type="http://schemas.openxmlformats.org/officeDocument/2006/relationships/pivotTable" Target="../pivotTables/pivotTable4.xml"/></Relationships>
</file>

<file path=xl/worksheets/_rels/sheet6.xml.rels><?xml version="1.0" encoding="UTF-8" standalone="yes"?>
<Relationships xmlns="http://schemas.openxmlformats.org/package/2006/relationships"><Relationship Id="rId2" Type="http://schemas.openxmlformats.org/officeDocument/2006/relationships/pivotTable" Target="../pivotTables/pivotTable6.xml"/><Relationship Id="rId1" Type="http://schemas.openxmlformats.org/officeDocument/2006/relationships/pivotTable" Target="../pivotTables/pivotTable5.xml"/></Relationships>
</file>

<file path=xl/worksheets/_rels/sheet7.xml.rels><?xml version="1.0" encoding="UTF-8" standalone="yes"?>
<Relationships xmlns="http://schemas.openxmlformats.org/package/2006/relationships"><Relationship Id="rId3" Type="http://schemas.microsoft.com/office/2007/relationships/slicer" Target="../slicers/slicer3.xml"/><Relationship Id="rId2" Type="http://schemas.openxmlformats.org/officeDocument/2006/relationships/drawing" Target="../drawings/drawing3.xml"/><Relationship Id="rId1" Type="http://schemas.openxmlformats.org/officeDocument/2006/relationships/pivotTable" Target="../pivotTables/pivotTable7.xml"/></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9.xml.rels><?xml version="1.0" encoding="UTF-8" standalone="yes"?>
<Relationships xmlns="http://schemas.openxmlformats.org/package/2006/relationships"><Relationship Id="rId1" Type="http://schemas.openxmlformats.org/officeDocument/2006/relationships/pivotTable" Target="../pivotTables/pivotTable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G5321"/>
  <sheetViews>
    <sheetView topLeftCell="A5182" workbookViewId="0">
      <selection activeCell="E5310" sqref="E5310"/>
    </sheetView>
  </sheetViews>
  <sheetFormatPr defaultRowHeight="15" x14ac:dyDescent="0.25"/>
  <cols>
    <col min="1" max="1" width="13.5703125" bestFit="1" customWidth="1"/>
    <col min="2" max="2" width="18.5703125" bestFit="1" customWidth="1"/>
    <col min="3" max="3" width="27.28515625" customWidth="1"/>
    <col min="4" max="4" width="30.42578125" customWidth="1"/>
    <col min="5" max="5" width="10.140625" bestFit="1" customWidth="1"/>
    <col min="6" max="6" width="13.7109375" bestFit="1" customWidth="1"/>
  </cols>
  <sheetData>
    <row r="1" spans="1:7" x14ac:dyDescent="0.25">
      <c r="A1" t="s">
        <v>0</v>
      </c>
      <c r="B1" t="s">
        <v>1</v>
      </c>
      <c r="C1" t="s">
        <v>2</v>
      </c>
      <c r="D1" t="s">
        <v>3</v>
      </c>
      <c r="E1" t="s">
        <v>4</v>
      </c>
      <c r="F1" t="s">
        <v>5</v>
      </c>
      <c r="G1" t="s">
        <v>6</v>
      </c>
    </row>
    <row r="2" spans="1:7" x14ac:dyDescent="0.25">
      <c r="A2" t="s">
        <v>7</v>
      </c>
      <c r="B2" t="s">
        <v>7</v>
      </c>
      <c r="D2" t="s">
        <v>8</v>
      </c>
      <c r="E2" t="s">
        <v>9</v>
      </c>
      <c r="F2" s="5">
        <v>42370</v>
      </c>
      <c r="G2">
        <v>0</v>
      </c>
    </row>
    <row r="3" spans="1:7" x14ac:dyDescent="0.25">
      <c r="A3" t="s">
        <v>7</v>
      </c>
      <c r="B3" t="s">
        <v>7</v>
      </c>
      <c r="D3" t="s">
        <v>8</v>
      </c>
      <c r="E3" t="s">
        <v>9</v>
      </c>
      <c r="F3" s="5">
        <v>42736</v>
      </c>
      <c r="G3">
        <v>0</v>
      </c>
    </row>
    <row r="4" spans="1:7" x14ac:dyDescent="0.25">
      <c r="A4" t="s">
        <v>7</v>
      </c>
      <c r="B4" t="s">
        <v>7</v>
      </c>
      <c r="D4" t="s">
        <v>8</v>
      </c>
      <c r="E4" t="s">
        <v>10</v>
      </c>
      <c r="F4" s="5">
        <v>42370</v>
      </c>
      <c r="G4">
        <v>97</v>
      </c>
    </row>
    <row r="5" spans="1:7" x14ac:dyDescent="0.25">
      <c r="A5" t="s">
        <v>7</v>
      </c>
      <c r="B5" t="s">
        <v>7</v>
      </c>
      <c r="D5" t="s">
        <v>8</v>
      </c>
      <c r="E5" t="s">
        <v>10</v>
      </c>
      <c r="F5" s="5">
        <v>42736</v>
      </c>
      <c r="G5">
        <v>77</v>
      </c>
    </row>
    <row r="6" spans="1:7" x14ac:dyDescent="0.25">
      <c r="A6" t="s">
        <v>7</v>
      </c>
      <c r="B6" t="s">
        <v>7</v>
      </c>
      <c r="D6" t="s">
        <v>8</v>
      </c>
      <c r="E6" t="s">
        <v>11</v>
      </c>
      <c r="F6" s="5">
        <v>42370</v>
      </c>
      <c r="G6">
        <v>0</v>
      </c>
    </row>
    <row r="7" spans="1:7" x14ac:dyDescent="0.25">
      <c r="A7" t="s">
        <v>7</v>
      </c>
      <c r="B7" t="s">
        <v>7</v>
      </c>
      <c r="D7" t="s">
        <v>8</v>
      </c>
      <c r="E7" t="s">
        <v>11</v>
      </c>
      <c r="F7" s="5">
        <v>42736</v>
      </c>
      <c r="G7">
        <v>0</v>
      </c>
    </row>
    <row r="8" spans="1:7" x14ac:dyDescent="0.25">
      <c r="A8" t="s">
        <v>7</v>
      </c>
      <c r="B8" t="s">
        <v>7</v>
      </c>
      <c r="D8" t="s">
        <v>8</v>
      </c>
      <c r="E8" t="s">
        <v>12</v>
      </c>
      <c r="F8" s="5">
        <v>42370</v>
      </c>
      <c r="G8">
        <v>0</v>
      </c>
    </row>
    <row r="9" spans="1:7" x14ac:dyDescent="0.25">
      <c r="A9" t="s">
        <v>7</v>
      </c>
      <c r="B9" t="s">
        <v>7</v>
      </c>
      <c r="D9" t="s">
        <v>8</v>
      </c>
      <c r="E9" t="s">
        <v>12</v>
      </c>
      <c r="F9" s="5">
        <v>42736</v>
      </c>
      <c r="G9">
        <v>0</v>
      </c>
    </row>
    <row r="10" spans="1:7" x14ac:dyDescent="0.25">
      <c r="A10" t="s">
        <v>7</v>
      </c>
      <c r="B10" t="s">
        <v>7</v>
      </c>
      <c r="D10" t="s">
        <v>8</v>
      </c>
      <c r="E10" t="s">
        <v>13</v>
      </c>
      <c r="F10" s="5">
        <v>42370</v>
      </c>
      <c r="G10">
        <v>0</v>
      </c>
    </row>
    <row r="11" spans="1:7" x14ac:dyDescent="0.25">
      <c r="A11" t="s">
        <v>7</v>
      </c>
      <c r="B11" t="s">
        <v>7</v>
      </c>
      <c r="D11" t="s">
        <v>8</v>
      </c>
      <c r="E11" t="s">
        <v>13</v>
      </c>
      <c r="F11" s="5">
        <v>42736</v>
      </c>
      <c r="G11">
        <v>0</v>
      </c>
    </row>
    <row r="12" spans="1:7" x14ac:dyDescent="0.25">
      <c r="A12" t="s">
        <v>7</v>
      </c>
      <c r="B12" t="s">
        <v>7</v>
      </c>
      <c r="D12" t="s">
        <v>8</v>
      </c>
      <c r="E12" t="s">
        <v>14</v>
      </c>
      <c r="F12" s="5">
        <v>42370</v>
      </c>
      <c r="G12">
        <v>0</v>
      </c>
    </row>
    <row r="13" spans="1:7" x14ac:dyDescent="0.25">
      <c r="A13" t="s">
        <v>7</v>
      </c>
      <c r="B13" t="s">
        <v>7</v>
      </c>
      <c r="D13" t="s">
        <v>8</v>
      </c>
      <c r="E13" t="s">
        <v>14</v>
      </c>
      <c r="F13" s="5">
        <v>42736</v>
      </c>
      <c r="G13">
        <v>0</v>
      </c>
    </row>
    <row r="14" spans="1:7" x14ac:dyDescent="0.25">
      <c r="A14" t="s">
        <v>7</v>
      </c>
      <c r="B14" t="s">
        <v>7</v>
      </c>
      <c r="D14" t="s">
        <v>8</v>
      </c>
      <c r="E14" t="s">
        <v>15</v>
      </c>
      <c r="F14" s="5">
        <v>42370</v>
      </c>
      <c r="G14">
        <v>0</v>
      </c>
    </row>
    <row r="15" spans="1:7" x14ac:dyDescent="0.25">
      <c r="A15" t="s">
        <v>7</v>
      </c>
      <c r="B15" t="s">
        <v>7</v>
      </c>
      <c r="D15" t="s">
        <v>8</v>
      </c>
      <c r="E15" t="s">
        <v>15</v>
      </c>
      <c r="F15" s="5">
        <v>42736</v>
      </c>
      <c r="G15">
        <v>0</v>
      </c>
    </row>
    <row r="16" spans="1:7" x14ac:dyDescent="0.25">
      <c r="A16" t="s">
        <v>7</v>
      </c>
      <c r="B16" t="s">
        <v>7</v>
      </c>
      <c r="D16" t="s">
        <v>8</v>
      </c>
      <c r="E16" t="s">
        <v>16</v>
      </c>
      <c r="F16" s="5">
        <v>42370</v>
      </c>
      <c r="G16">
        <v>0</v>
      </c>
    </row>
    <row r="17" spans="1:7" x14ac:dyDescent="0.25">
      <c r="A17" t="s">
        <v>7</v>
      </c>
      <c r="B17" t="s">
        <v>7</v>
      </c>
      <c r="D17" t="s">
        <v>8</v>
      </c>
      <c r="E17" t="s">
        <v>16</v>
      </c>
      <c r="F17" s="5">
        <v>42736</v>
      </c>
      <c r="G17">
        <v>0</v>
      </c>
    </row>
    <row r="18" spans="1:7" x14ac:dyDescent="0.25">
      <c r="A18" t="s">
        <v>7</v>
      </c>
      <c r="B18" t="s">
        <v>7</v>
      </c>
      <c r="D18" t="s">
        <v>8</v>
      </c>
      <c r="E18" t="s">
        <v>17</v>
      </c>
      <c r="F18" s="5">
        <v>42370</v>
      </c>
      <c r="G18">
        <v>0</v>
      </c>
    </row>
    <row r="19" spans="1:7" x14ac:dyDescent="0.25">
      <c r="A19" t="s">
        <v>7</v>
      </c>
      <c r="B19" t="s">
        <v>7</v>
      </c>
      <c r="D19" t="s">
        <v>8</v>
      </c>
      <c r="E19" t="s">
        <v>17</v>
      </c>
      <c r="F19" s="5">
        <v>42736</v>
      </c>
      <c r="G19">
        <v>0</v>
      </c>
    </row>
    <row r="20" spans="1:7" x14ac:dyDescent="0.25">
      <c r="A20" t="s">
        <v>7</v>
      </c>
      <c r="B20" t="s">
        <v>7</v>
      </c>
      <c r="D20" t="s">
        <v>8</v>
      </c>
      <c r="E20" t="s">
        <v>18</v>
      </c>
      <c r="F20" s="5">
        <v>42370</v>
      </c>
      <c r="G20">
        <v>0</v>
      </c>
    </row>
    <row r="21" spans="1:7" x14ac:dyDescent="0.25">
      <c r="A21" t="s">
        <v>7</v>
      </c>
      <c r="B21" t="s">
        <v>7</v>
      </c>
      <c r="D21" t="s">
        <v>8</v>
      </c>
      <c r="E21" t="s">
        <v>18</v>
      </c>
      <c r="F21" s="5">
        <v>42736</v>
      </c>
      <c r="G21">
        <v>0</v>
      </c>
    </row>
    <row r="22" spans="1:7" x14ac:dyDescent="0.25">
      <c r="A22" t="s">
        <v>7</v>
      </c>
      <c r="B22" t="s">
        <v>7</v>
      </c>
      <c r="D22" t="s">
        <v>8</v>
      </c>
      <c r="E22" t="s">
        <v>19</v>
      </c>
      <c r="F22" s="5">
        <v>42370</v>
      </c>
      <c r="G22">
        <v>0</v>
      </c>
    </row>
    <row r="23" spans="1:7" x14ac:dyDescent="0.25">
      <c r="A23" t="s">
        <v>7</v>
      </c>
      <c r="B23" t="s">
        <v>7</v>
      </c>
      <c r="D23" t="s">
        <v>8</v>
      </c>
      <c r="E23" t="s">
        <v>19</v>
      </c>
      <c r="F23" s="5">
        <v>42736</v>
      </c>
      <c r="G23">
        <v>0</v>
      </c>
    </row>
    <row r="24" spans="1:7" x14ac:dyDescent="0.25">
      <c r="A24" t="s">
        <v>7</v>
      </c>
      <c r="B24" t="s">
        <v>7</v>
      </c>
      <c r="D24" t="s">
        <v>20</v>
      </c>
      <c r="E24" t="s">
        <v>9</v>
      </c>
      <c r="F24" s="5">
        <v>42370</v>
      </c>
      <c r="G24">
        <v>82</v>
      </c>
    </row>
    <row r="25" spans="1:7" x14ac:dyDescent="0.25">
      <c r="A25" t="s">
        <v>7</v>
      </c>
      <c r="B25" t="s">
        <v>7</v>
      </c>
      <c r="D25" t="s">
        <v>20</v>
      </c>
      <c r="E25" t="s">
        <v>9</v>
      </c>
      <c r="F25" s="5">
        <v>42736</v>
      </c>
      <c r="G25">
        <v>1025</v>
      </c>
    </row>
    <row r="26" spans="1:7" x14ac:dyDescent="0.25">
      <c r="A26" t="s">
        <v>7</v>
      </c>
      <c r="B26" t="s">
        <v>7</v>
      </c>
      <c r="D26" t="s">
        <v>20</v>
      </c>
      <c r="E26" t="s">
        <v>21</v>
      </c>
      <c r="F26" s="5">
        <v>42370</v>
      </c>
      <c r="G26">
        <v>0</v>
      </c>
    </row>
    <row r="27" spans="1:7" x14ac:dyDescent="0.25">
      <c r="A27" t="s">
        <v>7</v>
      </c>
      <c r="B27" t="s">
        <v>7</v>
      </c>
      <c r="D27" t="s">
        <v>20</v>
      </c>
      <c r="E27" t="s">
        <v>21</v>
      </c>
      <c r="F27" s="5">
        <v>42736</v>
      </c>
      <c r="G27">
        <v>0</v>
      </c>
    </row>
    <row r="28" spans="1:7" x14ac:dyDescent="0.25">
      <c r="A28" t="s">
        <v>7</v>
      </c>
      <c r="B28" t="s">
        <v>7</v>
      </c>
      <c r="D28" t="s">
        <v>20</v>
      </c>
      <c r="E28" t="s">
        <v>22</v>
      </c>
      <c r="F28" s="5">
        <v>42370</v>
      </c>
      <c r="G28">
        <v>0</v>
      </c>
    </row>
    <row r="29" spans="1:7" x14ac:dyDescent="0.25">
      <c r="A29" t="s">
        <v>7</v>
      </c>
      <c r="B29" t="s">
        <v>7</v>
      </c>
      <c r="D29" t="s">
        <v>20</v>
      </c>
      <c r="E29" t="s">
        <v>22</v>
      </c>
      <c r="F29" s="5">
        <v>42736</v>
      </c>
      <c r="G29">
        <v>0</v>
      </c>
    </row>
    <row r="30" spans="1:7" x14ac:dyDescent="0.25">
      <c r="A30" t="s">
        <v>7</v>
      </c>
      <c r="B30" t="s">
        <v>7</v>
      </c>
      <c r="D30" t="s">
        <v>20</v>
      </c>
      <c r="E30" t="s">
        <v>23</v>
      </c>
      <c r="F30" s="5">
        <v>42370</v>
      </c>
      <c r="G30">
        <v>0</v>
      </c>
    </row>
    <row r="31" spans="1:7" x14ac:dyDescent="0.25">
      <c r="A31" t="s">
        <v>7</v>
      </c>
      <c r="B31" t="s">
        <v>7</v>
      </c>
      <c r="D31" t="s">
        <v>20</v>
      </c>
      <c r="E31" t="s">
        <v>23</v>
      </c>
      <c r="F31" s="5">
        <v>42736</v>
      </c>
      <c r="G31">
        <v>0</v>
      </c>
    </row>
    <row r="32" spans="1:7" x14ac:dyDescent="0.25">
      <c r="A32" t="s">
        <v>7</v>
      </c>
      <c r="B32" t="s">
        <v>7</v>
      </c>
      <c r="D32" t="s">
        <v>20</v>
      </c>
      <c r="E32" t="s">
        <v>24</v>
      </c>
      <c r="F32" s="5">
        <v>42370</v>
      </c>
      <c r="G32">
        <v>0</v>
      </c>
    </row>
    <row r="33" spans="1:7" x14ac:dyDescent="0.25">
      <c r="A33" t="s">
        <v>7</v>
      </c>
      <c r="B33" t="s">
        <v>7</v>
      </c>
      <c r="D33" t="s">
        <v>20</v>
      </c>
      <c r="E33" t="s">
        <v>24</v>
      </c>
      <c r="F33" s="5">
        <v>42736</v>
      </c>
      <c r="G33">
        <v>0</v>
      </c>
    </row>
    <row r="34" spans="1:7" x14ac:dyDescent="0.25">
      <c r="A34" t="s">
        <v>7</v>
      </c>
      <c r="B34" t="s">
        <v>7</v>
      </c>
      <c r="D34" t="s">
        <v>20</v>
      </c>
      <c r="E34" t="s">
        <v>25</v>
      </c>
      <c r="F34" s="5">
        <v>42370</v>
      </c>
      <c r="G34">
        <v>0</v>
      </c>
    </row>
    <row r="35" spans="1:7" x14ac:dyDescent="0.25">
      <c r="A35" t="s">
        <v>7</v>
      </c>
      <c r="B35" t="s">
        <v>7</v>
      </c>
      <c r="D35" t="s">
        <v>20</v>
      </c>
      <c r="E35" t="s">
        <v>25</v>
      </c>
      <c r="F35" s="5">
        <v>42736</v>
      </c>
      <c r="G35">
        <v>0</v>
      </c>
    </row>
    <row r="36" spans="1:7" x14ac:dyDescent="0.25">
      <c r="A36" t="s">
        <v>7</v>
      </c>
      <c r="B36" t="s">
        <v>7</v>
      </c>
      <c r="D36" t="s">
        <v>20</v>
      </c>
      <c r="E36" t="s">
        <v>26</v>
      </c>
      <c r="F36" s="5">
        <v>42370</v>
      </c>
      <c r="G36">
        <v>176</v>
      </c>
    </row>
    <row r="37" spans="1:7" x14ac:dyDescent="0.25">
      <c r="A37" t="s">
        <v>7</v>
      </c>
      <c r="B37" t="s">
        <v>7</v>
      </c>
      <c r="D37" t="s">
        <v>20</v>
      </c>
      <c r="E37" t="s">
        <v>26</v>
      </c>
      <c r="F37" s="5">
        <v>42736</v>
      </c>
      <c r="G37">
        <v>287</v>
      </c>
    </row>
    <row r="38" spans="1:7" x14ac:dyDescent="0.25">
      <c r="A38" t="s">
        <v>7</v>
      </c>
      <c r="B38" t="s">
        <v>7</v>
      </c>
      <c r="D38" t="s">
        <v>20</v>
      </c>
      <c r="E38" t="s">
        <v>27</v>
      </c>
      <c r="F38" s="5">
        <v>42370</v>
      </c>
      <c r="G38">
        <v>0</v>
      </c>
    </row>
    <row r="39" spans="1:7" x14ac:dyDescent="0.25">
      <c r="A39" t="s">
        <v>7</v>
      </c>
      <c r="B39" t="s">
        <v>7</v>
      </c>
      <c r="D39" t="s">
        <v>20</v>
      </c>
      <c r="E39" t="s">
        <v>27</v>
      </c>
      <c r="F39" s="5">
        <v>42736</v>
      </c>
      <c r="G39">
        <v>0</v>
      </c>
    </row>
    <row r="40" spans="1:7" x14ac:dyDescent="0.25">
      <c r="A40" t="s">
        <v>7</v>
      </c>
      <c r="B40" t="s">
        <v>7</v>
      </c>
      <c r="D40" t="s">
        <v>20</v>
      </c>
      <c r="E40" t="s">
        <v>28</v>
      </c>
      <c r="F40" s="5">
        <v>42370</v>
      </c>
      <c r="G40">
        <v>0</v>
      </c>
    </row>
    <row r="41" spans="1:7" x14ac:dyDescent="0.25">
      <c r="A41" t="s">
        <v>7</v>
      </c>
      <c r="B41" t="s">
        <v>7</v>
      </c>
      <c r="D41" t="s">
        <v>20</v>
      </c>
      <c r="E41" t="s">
        <v>28</v>
      </c>
      <c r="F41" s="5">
        <v>42736</v>
      </c>
      <c r="G41">
        <v>0</v>
      </c>
    </row>
    <row r="42" spans="1:7" x14ac:dyDescent="0.25">
      <c r="A42" t="s">
        <v>7</v>
      </c>
      <c r="B42" t="s">
        <v>7</v>
      </c>
      <c r="D42" t="s">
        <v>20</v>
      </c>
      <c r="E42" t="s">
        <v>29</v>
      </c>
      <c r="F42" s="5">
        <v>42370</v>
      </c>
      <c r="G42">
        <v>172</v>
      </c>
    </row>
    <row r="43" spans="1:7" x14ac:dyDescent="0.25">
      <c r="A43" t="s">
        <v>7</v>
      </c>
      <c r="B43" t="s">
        <v>7</v>
      </c>
      <c r="D43" t="s">
        <v>20</v>
      </c>
      <c r="E43" t="s">
        <v>29</v>
      </c>
      <c r="F43" s="5">
        <v>42736</v>
      </c>
      <c r="G43">
        <v>296</v>
      </c>
    </row>
    <row r="44" spans="1:7" x14ac:dyDescent="0.25">
      <c r="A44" t="s">
        <v>7</v>
      </c>
      <c r="B44" t="s">
        <v>7</v>
      </c>
      <c r="D44" t="s">
        <v>20</v>
      </c>
      <c r="E44" t="s">
        <v>30</v>
      </c>
      <c r="F44" s="5">
        <v>42370</v>
      </c>
      <c r="G44">
        <v>162</v>
      </c>
    </row>
    <row r="45" spans="1:7" x14ac:dyDescent="0.25">
      <c r="A45" t="s">
        <v>7</v>
      </c>
      <c r="B45" t="s">
        <v>7</v>
      </c>
      <c r="D45" t="s">
        <v>20</v>
      </c>
      <c r="E45" t="s">
        <v>30</v>
      </c>
      <c r="F45" s="5">
        <v>42736</v>
      </c>
      <c r="G45">
        <v>266</v>
      </c>
    </row>
    <row r="46" spans="1:7" x14ac:dyDescent="0.25">
      <c r="A46" t="s">
        <v>7</v>
      </c>
      <c r="B46" t="s">
        <v>7</v>
      </c>
      <c r="D46" t="s">
        <v>20</v>
      </c>
      <c r="E46" t="s">
        <v>31</v>
      </c>
      <c r="F46" s="5">
        <v>42370</v>
      </c>
      <c r="G46">
        <v>260</v>
      </c>
    </row>
    <row r="47" spans="1:7" x14ac:dyDescent="0.25">
      <c r="A47" t="s">
        <v>7</v>
      </c>
      <c r="B47" t="s">
        <v>7</v>
      </c>
      <c r="D47" t="s">
        <v>20</v>
      </c>
      <c r="E47" t="s">
        <v>31</v>
      </c>
      <c r="F47" s="5">
        <v>42736</v>
      </c>
      <c r="G47">
        <v>499</v>
      </c>
    </row>
    <row r="48" spans="1:7" x14ac:dyDescent="0.25">
      <c r="A48" t="s">
        <v>7</v>
      </c>
      <c r="B48" t="s">
        <v>7</v>
      </c>
      <c r="D48" t="s">
        <v>20</v>
      </c>
      <c r="E48" t="s">
        <v>32</v>
      </c>
      <c r="F48" s="5">
        <v>42370</v>
      </c>
      <c r="G48">
        <v>187</v>
      </c>
    </row>
    <row r="49" spans="1:7" x14ac:dyDescent="0.25">
      <c r="A49" t="s">
        <v>7</v>
      </c>
      <c r="B49" t="s">
        <v>7</v>
      </c>
      <c r="D49" t="s">
        <v>20</v>
      </c>
      <c r="E49" t="s">
        <v>32</v>
      </c>
      <c r="F49" s="5">
        <v>42736</v>
      </c>
      <c r="G49">
        <v>324</v>
      </c>
    </row>
    <row r="50" spans="1:7" x14ac:dyDescent="0.25">
      <c r="A50" t="s">
        <v>7</v>
      </c>
      <c r="B50" t="s">
        <v>7</v>
      </c>
      <c r="D50" t="s">
        <v>33</v>
      </c>
      <c r="E50" t="s">
        <v>9</v>
      </c>
      <c r="F50" s="5">
        <v>42370</v>
      </c>
      <c r="G50">
        <v>0</v>
      </c>
    </row>
    <row r="51" spans="1:7" x14ac:dyDescent="0.25">
      <c r="A51" t="s">
        <v>7</v>
      </c>
      <c r="B51" t="s">
        <v>7</v>
      </c>
      <c r="D51" t="s">
        <v>33</v>
      </c>
      <c r="E51" t="s">
        <v>9</v>
      </c>
      <c r="F51" s="5">
        <v>42736</v>
      </c>
      <c r="G51">
        <v>0</v>
      </c>
    </row>
    <row r="52" spans="1:7" x14ac:dyDescent="0.25">
      <c r="A52" t="s">
        <v>7</v>
      </c>
      <c r="B52" t="s">
        <v>7</v>
      </c>
      <c r="D52" t="s">
        <v>33</v>
      </c>
      <c r="E52" t="s">
        <v>34</v>
      </c>
      <c r="F52" s="5">
        <v>42370</v>
      </c>
      <c r="G52">
        <v>0</v>
      </c>
    </row>
    <row r="53" spans="1:7" x14ac:dyDescent="0.25">
      <c r="A53" t="s">
        <v>7</v>
      </c>
      <c r="B53" t="s">
        <v>7</v>
      </c>
      <c r="D53" t="s">
        <v>33</v>
      </c>
      <c r="E53" t="s">
        <v>34</v>
      </c>
      <c r="F53" s="5">
        <v>42736</v>
      </c>
      <c r="G53">
        <v>0</v>
      </c>
    </row>
    <row r="54" spans="1:7" x14ac:dyDescent="0.25">
      <c r="A54" t="s">
        <v>7</v>
      </c>
      <c r="B54" t="s">
        <v>7</v>
      </c>
      <c r="D54" t="s">
        <v>35</v>
      </c>
      <c r="E54" t="s">
        <v>36</v>
      </c>
      <c r="F54" s="5">
        <v>42370</v>
      </c>
      <c r="G54">
        <v>0</v>
      </c>
    </row>
    <row r="55" spans="1:7" x14ac:dyDescent="0.25">
      <c r="A55" t="s">
        <v>7</v>
      </c>
      <c r="B55" t="s">
        <v>7</v>
      </c>
      <c r="D55" t="s">
        <v>35</v>
      </c>
      <c r="E55" t="s">
        <v>36</v>
      </c>
      <c r="F55" s="5">
        <v>42736</v>
      </c>
      <c r="G55">
        <v>0</v>
      </c>
    </row>
    <row r="56" spans="1:7" x14ac:dyDescent="0.25">
      <c r="A56" t="s">
        <v>7</v>
      </c>
      <c r="B56" t="s">
        <v>7</v>
      </c>
      <c r="D56" t="s">
        <v>35</v>
      </c>
      <c r="E56" t="s">
        <v>37</v>
      </c>
      <c r="F56" s="5">
        <v>42370</v>
      </c>
      <c r="G56">
        <v>0</v>
      </c>
    </row>
    <row r="57" spans="1:7" x14ac:dyDescent="0.25">
      <c r="A57" t="s">
        <v>7</v>
      </c>
      <c r="B57" t="s">
        <v>7</v>
      </c>
      <c r="D57" t="s">
        <v>35</v>
      </c>
      <c r="E57" t="s">
        <v>37</v>
      </c>
      <c r="F57" s="5">
        <v>42736</v>
      </c>
      <c r="G57">
        <v>0</v>
      </c>
    </row>
    <row r="58" spans="1:7" x14ac:dyDescent="0.25">
      <c r="A58" t="s">
        <v>7</v>
      </c>
      <c r="B58" t="s">
        <v>7</v>
      </c>
      <c r="D58" t="s">
        <v>35</v>
      </c>
      <c r="E58" t="s">
        <v>38</v>
      </c>
      <c r="F58" s="5">
        <v>42370</v>
      </c>
      <c r="G58">
        <v>0</v>
      </c>
    </row>
    <row r="59" spans="1:7" x14ac:dyDescent="0.25">
      <c r="A59" t="s">
        <v>7</v>
      </c>
      <c r="B59" t="s">
        <v>7</v>
      </c>
      <c r="D59" t="s">
        <v>35</v>
      </c>
      <c r="E59" t="s">
        <v>38</v>
      </c>
      <c r="F59" s="5">
        <v>42736</v>
      </c>
      <c r="G59">
        <v>0</v>
      </c>
    </row>
    <row r="60" spans="1:7" x14ac:dyDescent="0.25">
      <c r="A60" t="s">
        <v>7</v>
      </c>
      <c r="B60" t="s">
        <v>7</v>
      </c>
      <c r="D60" t="s">
        <v>35</v>
      </c>
      <c r="E60" t="s">
        <v>39</v>
      </c>
      <c r="F60" s="5">
        <v>42370</v>
      </c>
      <c r="G60">
        <v>0</v>
      </c>
    </row>
    <row r="61" spans="1:7" x14ac:dyDescent="0.25">
      <c r="A61" t="s">
        <v>7</v>
      </c>
      <c r="B61" t="s">
        <v>7</v>
      </c>
      <c r="D61" t="s">
        <v>35</v>
      </c>
      <c r="E61" t="s">
        <v>39</v>
      </c>
      <c r="F61" s="5">
        <v>42736</v>
      </c>
      <c r="G61">
        <v>0</v>
      </c>
    </row>
    <row r="62" spans="1:7" x14ac:dyDescent="0.25">
      <c r="A62" t="s">
        <v>7</v>
      </c>
      <c r="B62" t="s">
        <v>7</v>
      </c>
      <c r="D62" t="s">
        <v>35</v>
      </c>
      <c r="E62" t="s">
        <v>40</v>
      </c>
      <c r="F62" s="5">
        <v>42370</v>
      </c>
      <c r="G62">
        <v>0</v>
      </c>
    </row>
    <row r="63" spans="1:7" x14ac:dyDescent="0.25">
      <c r="A63" t="s">
        <v>7</v>
      </c>
      <c r="B63" t="s">
        <v>7</v>
      </c>
      <c r="D63" t="s">
        <v>35</v>
      </c>
      <c r="E63" t="s">
        <v>40</v>
      </c>
      <c r="F63" s="5">
        <v>42736</v>
      </c>
      <c r="G63">
        <v>0</v>
      </c>
    </row>
    <row r="64" spans="1:7" x14ac:dyDescent="0.25">
      <c r="A64" t="s">
        <v>7</v>
      </c>
      <c r="B64" t="s">
        <v>7</v>
      </c>
      <c r="D64" t="s">
        <v>35</v>
      </c>
      <c r="E64" t="s">
        <v>41</v>
      </c>
      <c r="F64" s="5">
        <v>42370</v>
      </c>
      <c r="G64">
        <v>0</v>
      </c>
    </row>
    <row r="65" spans="1:7" x14ac:dyDescent="0.25">
      <c r="A65" t="s">
        <v>7</v>
      </c>
      <c r="B65" t="s">
        <v>7</v>
      </c>
      <c r="D65" t="s">
        <v>35</v>
      </c>
      <c r="E65" t="s">
        <v>41</v>
      </c>
      <c r="F65" s="5">
        <v>42736</v>
      </c>
      <c r="G65">
        <v>0</v>
      </c>
    </row>
    <row r="66" spans="1:7" x14ac:dyDescent="0.25">
      <c r="A66" t="s">
        <v>7</v>
      </c>
      <c r="B66" t="s">
        <v>7</v>
      </c>
      <c r="D66" t="s">
        <v>35</v>
      </c>
      <c r="E66" t="s">
        <v>42</v>
      </c>
      <c r="F66" s="5">
        <v>42370</v>
      </c>
      <c r="G66">
        <v>0</v>
      </c>
    </row>
    <row r="67" spans="1:7" x14ac:dyDescent="0.25">
      <c r="A67" t="s">
        <v>7</v>
      </c>
      <c r="B67" t="s">
        <v>7</v>
      </c>
      <c r="D67" t="s">
        <v>35</v>
      </c>
      <c r="E67" t="s">
        <v>42</v>
      </c>
      <c r="F67" s="5">
        <v>42736</v>
      </c>
      <c r="G67">
        <v>0</v>
      </c>
    </row>
    <row r="68" spans="1:7" x14ac:dyDescent="0.25">
      <c r="A68" t="s">
        <v>7</v>
      </c>
      <c r="B68" t="s">
        <v>7</v>
      </c>
      <c r="D68" t="s">
        <v>35</v>
      </c>
      <c r="E68" t="s">
        <v>43</v>
      </c>
      <c r="F68" s="5">
        <v>42370</v>
      </c>
      <c r="G68">
        <v>0</v>
      </c>
    </row>
    <row r="69" spans="1:7" x14ac:dyDescent="0.25">
      <c r="A69" t="s">
        <v>7</v>
      </c>
      <c r="B69" t="s">
        <v>7</v>
      </c>
      <c r="D69" t="s">
        <v>35</v>
      </c>
      <c r="E69" t="s">
        <v>43</v>
      </c>
      <c r="F69" s="5">
        <v>42736</v>
      </c>
      <c r="G69">
        <v>0</v>
      </c>
    </row>
    <row r="70" spans="1:7" x14ac:dyDescent="0.25">
      <c r="A70" t="s">
        <v>7</v>
      </c>
      <c r="B70" t="s">
        <v>7</v>
      </c>
      <c r="D70" t="s">
        <v>44</v>
      </c>
      <c r="E70" t="s">
        <v>36</v>
      </c>
      <c r="F70" s="5">
        <v>42370</v>
      </c>
      <c r="G70">
        <v>0</v>
      </c>
    </row>
    <row r="71" spans="1:7" x14ac:dyDescent="0.25">
      <c r="A71" t="s">
        <v>7</v>
      </c>
      <c r="B71" t="s">
        <v>7</v>
      </c>
      <c r="D71" t="s">
        <v>44</v>
      </c>
      <c r="E71" t="s">
        <v>36</v>
      </c>
      <c r="F71" s="5">
        <v>42736</v>
      </c>
      <c r="G71">
        <v>0</v>
      </c>
    </row>
    <row r="72" spans="1:7" x14ac:dyDescent="0.25">
      <c r="A72" t="s">
        <v>7</v>
      </c>
      <c r="B72" t="s">
        <v>7</v>
      </c>
      <c r="D72" t="s">
        <v>44</v>
      </c>
      <c r="E72" t="s">
        <v>37</v>
      </c>
      <c r="F72" s="5">
        <v>42370</v>
      </c>
      <c r="G72">
        <v>0</v>
      </c>
    </row>
    <row r="73" spans="1:7" x14ac:dyDescent="0.25">
      <c r="A73" t="s">
        <v>7</v>
      </c>
      <c r="B73" t="s">
        <v>7</v>
      </c>
      <c r="D73" t="s">
        <v>44</v>
      </c>
      <c r="E73" t="s">
        <v>37</v>
      </c>
      <c r="F73" s="5">
        <v>42736</v>
      </c>
      <c r="G73">
        <v>0</v>
      </c>
    </row>
    <row r="74" spans="1:7" x14ac:dyDescent="0.25">
      <c r="A74" t="s">
        <v>7</v>
      </c>
      <c r="B74" t="s">
        <v>7</v>
      </c>
      <c r="D74" t="s">
        <v>44</v>
      </c>
      <c r="E74" t="s">
        <v>38</v>
      </c>
      <c r="F74" s="5">
        <v>42370</v>
      </c>
      <c r="G74">
        <v>0</v>
      </c>
    </row>
    <row r="75" spans="1:7" x14ac:dyDescent="0.25">
      <c r="A75" t="s">
        <v>7</v>
      </c>
      <c r="B75" t="s">
        <v>7</v>
      </c>
      <c r="D75" t="s">
        <v>44</v>
      </c>
      <c r="E75" t="s">
        <v>38</v>
      </c>
      <c r="F75" s="5">
        <v>42736</v>
      </c>
      <c r="G75">
        <v>0</v>
      </c>
    </row>
    <row r="76" spans="1:7" x14ac:dyDescent="0.25">
      <c r="A76" t="s">
        <v>7</v>
      </c>
      <c r="B76" t="s">
        <v>7</v>
      </c>
      <c r="D76" t="s">
        <v>44</v>
      </c>
      <c r="E76" t="s">
        <v>39</v>
      </c>
      <c r="F76" s="5">
        <v>42370</v>
      </c>
      <c r="G76">
        <v>0</v>
      </c>
    </row>
    <row r="77" spans="1:7" x14ac:dyDescent="0.25">
      <c r="A77" t="s">
        <v>7</v>
      </c>
      <c r="B77" t="s">
        <v>7</v>
      </c>
      <c r="D77" t="s">
        <v>44</v>
      </c>
      <c r="E77" t="s">
        <v>39</v>
      </c>
      <c r="F77" s="5">
        <v>42736</v>
      </c>
      <c r="G77">
        <v>0</v>
      </c>
    </row>
    <row r="78" spans="1:7" x14ac:dyDescent="0.25">
      <c r="A78" t="s">
        <v>7</v>
      </c>
      <c r="B78" t="s">
        <v>7</v>
      </c>
      <c r="D78" t="s">
        <v>44</v>
      </c>
      <c r="E78" t="s">
        <v>40</v>
      </c>
      <c r="F78" s="5">
        <v>42370</v>
      </c>
      <c r="G78">
        <v>0</v>
      </c>
    </row>
    <row r="79" spans="1:7" x14ac:dyDescent="0.25">
      <c r="A79" t="s">
        <v>7</v>
      </c>
      <c r="B79" t="s">
        <v>7</v>
      </c>
      <c r="D79" t="s">
        <v>44</v>
      </c>
      <c r="E79" t="s">
        <v>40</v>
      </c>
      <c r="F79" s="5">
        <v>42736</v>
      </c>
      <c r="G79">
        <v>0</v>
      </c>
    </row>
    <row r="80" spans="1:7" x14ac:dyDescent="0.25">
      <c r="A80" t="s">
        <v>7</v>
      </c>
      <c r="B80" t="s">
        <v>7</v>
      </c>
      <c r="D80" t="s">
        <v>44</v>
      </c>
      <c r="E80" t="s">
        <v>41</v>
      </c>
      <c r="F80" s="5">
        <v>42370</v>
      </c>
      <c r="G80">
        <v>0</v>
      </c>
    </row>
    <row r="81" spans="1:7" x14ac:dyDescent="0.25">
      <c r="A81" t="s">
        <v>7</v>
      </c>
      <c r="B81" t="s">
        <v>7</v>
      </c>
      <c r="D81" t="s">
        <v>44</v>
      </c>
      <c r="E81" t="s">
        <v>41</v>
      </c>
      <c r="F81" s="5">
        <v>42736</v>
      </c>
      <c r="G81">
        <v>0</v>
      </c>
    </row>
    <row r="82" spans="1:7" x14ac:dyDescent="0.25">
      <c r="A82" t="s">
        <v>7</v>
      </c>
      <c r="B82" t="s">
        <v>7</v>
      </c>
      <c r="D82" t="s">
        <v>44</v>
      </c>
      <c r="E82" t="s">
        <v>42</v>
      </c>
      <c r="F82" s="5">
        <v>42370</v>
      </c>
      <c r="G82">
        <v>0</v>
      </c>
    </row>
    <row r="83" spans="1:7" x14ac:dyDescent="0.25">
      <c r="A83" t="s">
        <v>7</v>
      </c>
      <c r="B83" t="s">
        <v>7</v>
      </c>
      <c r="D83" t="s">
        <v>44</v>
      </c>
      <c r="E83" t="s">
        <v>42</v>
      </c>
      <c r="F83" s="5">
        <v>42736</v>
      </c>
      <c r="G83">
        <v>0</v>
      </c>
    </row>
    <row r="84" spans="1:7" x14ac:dyDescent="0.25">
      <c r="A84" t="s">
        <v>7</v>
      </c>
      <c r="B84" t="s">
        <v>7</v>
      </c>
      <c r="D84" t="s">
        <v>44</v>
      </c>
      <c r="E84" t="s">
        <v>43</v>
      </c>
      <c r="F84" s="5">
        <v>42370</v>
      </c>
      <c r="G84">
        <v>0</v>
      </c>
    </row>
    <row r="85" spans="1:7" x14ac:dyDescent="0.25">
      <c r="A85" t="s">
        <v>7</v>
      </c>
      <c r="B85" t="s">
        <v>7</v>
      </c>
      <c r="D85" t="s">
        <v>44</v>
      </c>
      <c r="E85" t="s">
        <v>43</v>
      </c>
      <c r="F85" s="5">
        <v>42736</v>
      </c>
      <c r="G85">
        <v>0</v>
      </c>
    </row>
    <row r="86" spans="1:7" x14ac:dyDescent="0.25">
      <c r="A86" t="s">
        <v>7</v>
      </c>
      <c r="B86" t="s">
        <v>7</v>
      </c>
      <c r="D86" t="s">
        <v>45</v>
      </c>
      <c r="E86" t="s">
        <v>46</v>
      </c>
      <c r="F86" s="5">
        <v>42370</v>
      </c>
      <c r="G86">
        <v>0</v>
      </c>
    </row>
    <row r="87" spans="1:7" x14ac:dyDescent="0.25">
      <c r="A87" t="s">
        <v>7</v>
      </c>
      <c r="B87" t="s">
        <v>7</v>
      </c>
      <c r="D87" t="s">
        <v>45</v>
      </c>
      <c r="E87" t="s">
        <v>46</v>
      </c>
      <c r="F87" s="5">
        <v>42736</v>
      </c>
      <c r="G87">
        <v>0</v>
      </c>
    </row>
    <row r="88" spans="1:7" x14ac:dyDescent="0.25">
      <c r="A88" t="s">
        <v>7</v>
      </c>
      <c r="B88" t="s">
        <v>7</v>
      </c>
      <c r="D88" t="s">
        <v>45</v>
      </c>
      <c r="E88" t="s">
        <v>47</v>
      </c>
      <c r="F88" s="5">
        <v>42370</v>
      </c>
      <c r="G88">
        <v>42</v>
      </c>
    </row>
    <row r="89" spans="1:7" x14ac:dyDescent="0.25">
      <c r="A89" t="s">
        <v>7</v>
      </c>
      <c r="B89" t="s">
        <v>7</v>
      </c>
      <c r="D89" t="s">
        <v>45</v>
      </c>
      <c r="E89" t="s">
        <v>47</v>
      </c>
      <c r="F89" s="5">
        <v>42736</v>
      </c>
      <c r="G89">
        <v>0</v>
      </c>
    </row>
    <row r="90" spans="1:7" x14ac:dyDescent="0.25">
      <c r="A90" t="s">
        <v>7</v>
      </c>
      <c r="B90" t="s">
        <v>7</v>
      </c>
      <c r="D90" t="s">
        <v>45</v>
      </c>
      <c r="E90" t="s">
        <v>48</v>
      </c>
      <c r="F90" s="5">
        <v>42370</v>
      </c>
      <c r="G90">
        <v>954</v>
      </c>
    </row>
    <row r="91" spans="1:7" x14ac:dyDescent="0.25">
      <c r="A91" t="s">
        <v>7</v>
      </c>
      <c r="B91" t="s">
        <v>7</v>
      </c>
      <c r="D91" t="s">
        <v>45</v>
      </c>
      <c r="E91" t="s">
        <v>48</v>
      </c>
      <c r="F91" s="5">
        <v>42736</v>
      </c>
      <c r="G91">
        <v>1425</v>
      </c>
    </row>
    <row r="92" spans="1:7" x14ac:dyDescent="0.25">
      <c r="A92" t="s">
        <v>7</v>
      </c>
      <c r="B92" t="s">
        <v>7</v>
      </c>
      <c r="D92" t="s">
        <v>45</v>
      </c>
      <c r="E92" t="s">
        <v>49</v>
      </c>
      <c r="F92" s="5">
        <v>42370</v>
      </c>
      <c r="G92">
        <v>0</v>
      </c>
    </row>
    <row r="93" spans="1:7" x14ac:dyDescent="0.25">
      <c r="A93" t="s">
        <v>7</v>
      </c>
      <c r="B93" t="s">
        <v>7</v>
      </c>
      <c r="D93" t="s">
        <v>45</v>
      </c>
      <c r="E93" t="s">
        <v>49</v>
      </c>
      <c r="F93" s="5">
        <v>42736</v>
      </c>
      <c r="G93">
        <v>0</v>
      </c>
    </row>
    <row r="94" spans="1:7" x14ac:dyDescent="0.25">
      <c r="A94" t="s">
        <v>7</v>
      </c>
      <c r="B94" t="s">
        <v>7</v>
      </c>
      <c r="D94" t="s">
        <v>45</v>
      </c>
      <c r="E94" t="s">
        <v>50</v>
      </c>
      <c r="F94" s="5">
        <v>42370</v>
      </c>
      <c r="G94">
        <v>0</v>
      </c>
    </row>
    <row r="95" spans="1:7" x14ac:dyDescent="0.25">
      <c r="A95" t="s">
        <v>7</v>
      </c>
      <c r="B95" t="s">
        <v>7</v>
      </c>
      <c r="D95" t="s">
        <v>45</v>
      </c>
      <c r="E95" t="s">
        <v>50</v>
      </c>
      <c r="F95" s="5">
        <v>42736</v>
      </c>
      <c r="G95">
        <v>0</v>
      </c>
    </row>
    <row r="96" spans="1:7" x14ac:dyDescent="0.25">
      <c r="A96" t="s">
        <v>7</v>
      </c>
      <c r="B96" t="s">
        <v>7</v>
      </c>
      <c r="D96" t="s">
        <v>45</v>
      </c>
      <c r="E96" t="s">
        <v>51</v>
      </c>
      <c r="F96" s="5">
        <v>42370</v>
      </c>
      <c r="G96">
        <v>0</v>
      </c>
    </row>
    <row r="97" spans="1:7" x14ac:dyDescent="0.25">
      <c r="A97" t="s">
        <v>7</v>
      </c>
      <c r="B97" t="s">
        <v>7</v>
      </c>
      <c r="D97" t="s">
        <v>45</v>
      </c>
      <c r="E97" t="s">
        <v>51</v>
      </c>
      <c r="F97" s="5">
        <v>42736</v>
      </c>
      <c r="G97">
        <v>0</v>
      </c>
    </row>
    <row r="98" spans="1:7" x14ac:dyDescent="0.25">
      <c r="A98" t="s">
        <v>7</v>
      </c>
      <c r="B98" t="s">
        <v>7</v>
      </c>
      <c r="D98" t="s">
        <v>45</v>
      </c>
      <c r="E98" t="s">
        <v>52</v>
      </c>
      <c r="F98" s="5">
        <v>42370</v>
      </c>
      <c r="G98">
        <v>0</v>
      </c>
    </row>
    <row r="99" spans="1:7" x14ac:dyDescent="0.25">
      <c r="A99" t="s">
        <v>7</v>
      </c>
      <c r="B99" t="s">
        <v>7</v>
      </c>
      <c r="D99" t="s">
        <v>45</v>
      </c>
      <c r="E99" t="s">
        <v>52</v>
      </c>
      <c r="F99" s="5">
        <v>42736</v>
      </c>
      <c r="G99">
        <v>0</v>
      </c>
    </row>
    <row r="100" spans="1:7" x14ac:dyDescent="0.25">
      <c r="A100" t="s">
        <v>7</v>
      </c>
      <c r="B100" t="s">
        <v>7</v>
      </c>
      <c r="D100" t="s">
        <v>45</v>
      </c>
      <c r="E100" t="s">
        <v>53</v>
      </c>
      <c r="F100" s="5">
        <v>42370</v>
      </c>
      <c r="G100">
        <v>2220</v>
      </c>
    </row>
    <row r="101" spans="1:7" x14ac:dyDescent="0.25">
      <c r="A101" t="s">
        <v>7</v>
      </c>
      <c r="B101" t="s">
        <v>7</v>
      </c>
      <c r="D101" t="s">
        <v>45</v>
      </c>
      <c r="E101" t="s">
        <v>53</v>
      </c>
      <c r="F101" s="5">
        <v>42736</v>
      </c>
      <c r="G101">
        <v>6738</v>
      </c>
    </row>
    <row r="102" spans="1:7" x14ac:dyDescent="0.25">
      <c r="A102" t="s">
        <v>7</v>
      </c>
      <c r="B102" t="s">
        <v>7</v>
      </c>
      <c r="D102" t="s">
        <v>45</v>
      </c>
      <c r="E102" t="s">
        <v>54</v>
      </c>
      <c r="F102" s="5">
        <v>42370</v>
      </c>
      <c r="G102">
        <v>0</v>
      </c>
    </row>
    <row r="103" spans="1:7" x14ac:dyDescent="0.25">
      <c r="A103" t="s">
        <v>7</v>
      </c>
      <c r="B103" t="s">
        <v>7</v>
      </c>
      <c r="D103" t="s">
        <v>45</v>
      </c>
      <c r="E103" t="s">
        <v>54</v>
      </c>
      <c r="F103" s="5">
        <v>42736</v>
      </c>
      <c r="G103">
        <v>0</v>
      </c>
    </row>
    <row r="104" spans="1:7" x14ac:dyDescent="0.25">
      <c r="A104" t="s">
        <v>7</v>
      </c>
      <c r="B104" t="s">
        <v>7</v>
      </c>
      <c r="D104" t="s">
        <v>45</v>
      </c>
      <c r="E104" t="s">
        <v>55</v>
      </c>
      <c r="F104" s="5">
        <v>42370</v>
      </c>
      <c r="G104">
        <v>0</v>
      </c>
    </row>
    <row r="105" spans="1:7" x14ac:dyDescent="0.25">
      <c r="A105" t="s">
        <v>7</v>
      </c>
      <c r="B105" t="s">
        <v>7</v>
      </c>
      <c r="D105" t="s">
        <v>45</v>
      </c>
      <c r="E105" t="s">
        <v>55</v>
      </c>
      <c r="F105" s="5">
        <v>42736</v>
      </c>
      <c r="G105">
        <v>0</v>
      </c>
    </row>
    <row r="106" spans="1:7" x14ac:dyDescent="0.25">
      <c r="A106" t="s">
        <v>7</v>
      </c>
      <c r="B106" t="s">
        <v>7</v>
      </c>
      <c r="D106" t="s">
        <v>45</v>
      </c>
      <c r="E106" t="s">
        <v>56</v>
      </c>
      <c r="F106" s="5">
        <v>42370</v>
      </c>
      <c r="G106">
        <v>0</v>
      </c>
    </row>
    <row r="107" spans="1:7" x14ac:dyDescent="0.25">
      <c r="A107" t="s">
        <v>7</v>
      </c>
      <c r="B107" t="s">
        <v>7</v>
      </c>
      <c r="D107" t="s">
        <v>45</v>
      </c>
      <c r="E107" t="s">
        <v>56</v>
      </c>
      <c r="F107" s="5">
        <v>42736</v>
      </c>
      <c r="G107">
        <v>0</v>
      </c>
    </row>
    <row r="108" spans="1:7" x14ac:dyDescent="0.25">
      <c r="A108" t="s">
        <v>7</v>
      </c>
      <c r="B108" t="s">
        <v>7</v>
      </c>
      <c r="D108" t="s">
        <v>45</v>
      </c>
      <c r="E108" t="s">
        <v>57</v>
      </c>
      <c r="F108" s="5">
        <v>42370</v>
      </c>
      <c r="G108">
        <v>15</v>
      </c>
    </row>
    <row r="109" spans="1:7" x14ac:dyDescent="0.25">
      <c r="A109" t="s">
        <v>7</v>
      </c>
      <c r="B109" t="s">
        <v>7</v>
      </c>
      <c r="D109" t="s">
        <v>45</v>
      </c>
      <c r="E109" t="s">
        <v>57</v>
      </c>
      <c r="F109" s="5">
        <v>42736</v>
      </c>
      <c r="G109">
        <v>0</v>
      </c>
    </row>
    <row r="110" spans="1:7" x14ac:dyDescent="0.25">
      <c r="A110" t="s">
        <v>7</v>
      </c>
      <c r="B110" t="s">
        <v>7</v>
      </c>
      <c r="D110" t="s">
        <v>45</v>
      </c>
      <c r="E110" t="s">
        <v>58</v>
      </c>
      <c r="F110" s="5">
        <v>42370</v>
      </c>
      <c r="G110">
        <v>0</v>
      </c>
    </row>
    <row r="111" spans="1:7" x14ac:dyDescent="0.25">
      <c r="A111" t="s">
        <v>7</v>
      </c>
      <c r="B111" t="s">
        <v>7</v>
      </c>
      <c r="D111" t="s">
        <v>45</v>
      </c>
      <c r="E111" t="s">
        <v>58</v>
      </c>
      <c r="F111" s="5">
        <v>42736</v>
      </c>
      <c r="G111">
        <v>0</v>
      </c>
    </row>
    <row r="112" spans="1:7" x14ac:dyDescent="0.25">
      <c r="A112" t="s">
        <v>7</v>
      </c>
      <c r="B112" t="s">
        <v>7</v>
      </c>
      <c r="D112" t="s">
        <v>45</v>
      </c>
      <c r="E112" t="s">
        <v>59</v>
      </c>
      <c r="F112" s="5">
        <v>42370</v>
      </c>
      <c r="G112">
        <v>0</v>
      </c>
    </row>
    <row r="113" spans="1:7" x14ac:dyDescent="0.25">
      <c r="A113" t="s">
        <v>7</v>
      </c>
      <c r="B113" t="s">
        <v>7</v>
      </c>
      <c r="D113" t="s">
        <v>45</v>
      </c>
      <c r="E113" t="s">
        <v>59</v>
      </c>
      <c r="F113" s="5">
        <v>42736</v>
      </c>
      <c r="G113">
        <v>0</v>
      </c>
    </row>
    <row r="114" spans="1:7" x14ac:dyDescent="0.25">
      <c r="A114" t="s">
        <v>7</v>
      </c>
      <c r="B114" t="s">
        <v>7</v>
      </c>
      <c r="D114" t="s">
        <v>45</v>
      </c>
      <c r="E114" t="s">
        <v>60</v>
      </c>
      <c r="F114" s="5">
        <v>42370</v>
      </c>
      <c r="G114">
        <v>90885</v>
      </c>
    </row>
    <row r="115" spans="1:7" x14ac:dyDescent="0.25">
      <c r="A115" t="s">
        <v>7</v>
      </c>
      <c r="B115" t="s">
        <v>7</v>
      </c>
      <c r="D115" t="s">
        <v>45</v>
      </c>
      <c r="E115" t="s">
        <v>60</v>
      </c>
      <c r="F115" s="5">
        <v>42736</v>
      </c>
      <c r="G115">
        <v>121536</v>
      </c>
    </row>
    <row r="116" spans="1:7" x14ac:dyDescent="0.25">
      <c r="A116" t="s">
        <v>7</v>
      </c>
      <c r="B116" t="s">
        <v>7</v>
      </c>
      <c r="D116" t="s">
        <v>45</v>
      </c>
      <c r="E116" t="s">
        <v>61</v>
      </c>
      <c r="F116" s="5">
        <v>42370</v>
      </c>
      <c r="G116">
        <v>0</v>
      </c>
    </row>
    <row r="117" spans="1:7" x14ac:dyDescent="0.25">
      <c r="A117" t="s">
        <v>7</v>
      </c>
      <c r="B117" t="s">
        <v>7</v>
      </c>
      <c r="D117" t="s">
        <v>45</v>
      </c>
      <c r="E117" t="s">
        <v>61</v>
      </c>
      <c r="F117" s="5">
        <v>42736</v>
      </c>
      <c r="G117">
        <v>0</v>
      </c>
    </row>
    <row r="118" spans="1:7" x14ac:dyDescent="0.25">
      <c r="A118" t="s">
        <v>7</v>
      </c>
      <c r="B118" t="s">
        <v>7</v>
      </c>
      <c r="D118" t="s">
        <v>62</v>
      </c>
      <c r="E118" t="s">
        <v>63</v>
      </c>
      <c r="F118" s="5">
        <v>42370</v>
      </c>
      <c r="G118">
        <v>0</v>
      </c>
    </row>
    <row r="119" spans="1:7" x14ac:dyDescent="0.25">
      <c r="A119" t="s">
        <v>7</v>
      </c>
      <c r="B119" t="s">
        <v>7</v>
      </c>
      <c r="D119" t="s">
        <v>62</v>
      </c>
      <c r="E119" t="s">
        <v>63</v>
      </c>
      <c r="F119" s="5">
        <v>42736</v>
      </c>
      <c r="G119">
        <v>0</v>
      </c>
    </row>
    <row r="120" spans="1:7" x14ac:dyDescent="0.25">
      <c r="A120" t="s">
        <v>7</v>
      </c>
      <c r="B120" t="s">
        <v>7</v>
      </c>
      <c r="D120" t="s">
        <v>62</v>
      </c>
      <c r="E120" t="s">
        <v>64</v>
      </c>
      <c r="F120" s="5">
        <v>42370</v>
      </c>
      <c r="G120">
        <v>0</v>
      </c>
    </row>
    <row r="121" spans="1:7" x14ac:dyDescent="0.25">
      <c r="A121" t="s">
        <v>7</v>
      </c>
      <c r="B121" t="s">
        <v>7</v>
      </c>
      <c r="D121" t="s">
        <v>62</v>
      </c>
      <c r="E121" t="s">
        <v>64</v>
      </c>
      <c r="F121" s="5">
        <v>42736</v>
      </c>
      <c r="G121">
        <v>0</v>
      </c>
    </row>
    <row r="122" spans="1:7" x14ac:dyDescent="0.25">
      <c r="A122" t="s">
        <v>7</v>
      </c>
      <c r="B122" t="s">
        <v>7</v>
      </c>
      <c r="D122" t="s">
        <v>62</v>
      </c>
      <c r="E122" t="s">
        <v>9</v>
      </c>
      <c r="F122" s="5">
        <v>42370</v>
      </c>
      <c r="G122">
        <v>0</v>
      </c>
    </row>
    <row r="123" spans="1:7" x14ac:dyDescent="0.25">
      <c r="A123" t="s">
        <v>7</v>
      </c>
      <c r="B123" t="s">
        <v>7</v>
      </c>
      <c r="D123" t="s">
        <v>62</v>
      </c>
      <c r="E123" t="s">
        <v>9</v>
      </c>
      <c r="F123" s="5">
        <v>42736</v>
      </c>
      <c r="G123">
        <v>0</v>
      </c>
    </row>
    <row r="124" spans="1:7" x14ac:dyDescent="0.25">
      <c r="A124" t="s">
        <v>7</v>
      </c>
      <c r="B124" t="s">
        <v>7</v>
      </c>
      <c r="D124" t="s">
        <v>62</v>
      </c>
      <c r="E124" t="s">
        <v>65</v>
      </c>
      <c r="F124" s="5">
        <v>42370</v>
      </c>
      <c r="G124">
        <v>0</v>
      </c>
    </row>
    <row r="125" spans="1:7" x14ac:dyDescent="0.25">
      <c r="A125" t="s">
        <v>7</v>
      </c>
      <c r="B125" t="s">
        <v>7</v>
      </c>
      <c r="D125" t="s">
        <v>62</v>
      </c>
      <c r="E125" t="s">
        <v>65</v>
      </c>
      <c r="F125" s="5">
        <v>42736</v>
      </c>
      <c r="G125">
        <v>0</v>
      </c>
    </row>
    <row r="126" spans="1:7" x14ac:dyDescent="0.25">
      <c r="A126" t="s">
        <v>7</v>
      </c>
      <c r="B126" t="s">
        <v>7</v>
      </c>
      <c r="D126" t="s">
        <v>62</v>
      </c>
      <c r="E126" t="s">
        <v>66</v>
      </c>
      <c r="F126" s="5">
        <v>42370</v>
      </c>
      <c r="G126">
        <v>0</v>
      </c>
    </row>
    <row r="127" spans="1:7" x14ac:dyDescent="0.25">
      <c r="A127" t="s">
        <v>7</v>
      </c>
      <c r="B127" t="s">
        <v>7</v>
      </c>
      <c r="D127" t="s">
        <v>62</v>
      </c>
      <c r="E127" t="s">
        <v>66</v>
      </c>
      <c r="F127" s="5">
        <v>42736</v>
      </c>
      <c r="G127">
        <v>0</v>
      </c>
    </row>
    <row r="128" spans="1:7" x14ac:dyDescent="0.25">
      <c r="A128" t="s">
        <v>7</v>
      </c>
      <c r="B128" t="s">
        <v>7</v>
      </c>
      <c r="D128" t="s">
        <v>62</v>
      </c>
      <c r="E128" t="s">
        <v>67</v>
      </c>
      <c r="F128" s="5">
        <v>42370</v>
      </c>
      <c r="G128">
        <v>0</v>
      </c>
    </row>
    <row r="129" spans="1:7" x14ac:dyDescent="0.25">
      <c r="A129" t="s">
        <v>7</v>
      </c>
      <c r="B129" t="s">
        <v>7</v>
      </c>
      <c r="D129" t="s">
        <v>62</v>
      </c>
      <c r="E129" t="s">
        <v>67</v>
      </c>
      <c r="F129" s="5">
        <v>42736</v>
      </c>
      <c r="G129">
        <v>0</v>
      </c>
    </row>
    <row r="130" spans="1:7" x14ac:dyDescent="0.25">
      <c r="A130" t="s">
        <v>7</v>
      </c>
      <c r="B130" t="s">
        <v>7</v>
      </c>
      <c r="D130" t="s">
        <v>62</v>
      </c>
      <c r="E130" t="s">
        <v>68</v>
      </c>
      <c r="F130" s="5">
        <v>42370</v>
      </c>
      <c r="G130">
        <v>0</v>
      </c>
    </row>
    <row r="131" spans="1:7" x14ac:dyDescent="0.25">
      <c r="A131" t="s">
        <v>7</v>
      </c>
      <c r="B131" t="s">
        <v>7</v>
      </c>
      <c r="D131" t="s">
        <v>62</v>
      </c>
      <c r="E131" t="s">
        <v>68</v>
      </c>
      <c r="F131" s="5">
        <v>42736</v>
      </c>
      <c r="G131">
        <v>0</v>
      </c>
    </row>
    <row r="132" spans="1:7" x14ac:dyDescent="0.25">
      <c r="A132" t="s">
        <v>7</v>
      </c>
      <c r="B132" t="s">
        <v>7</v>
      </c>
      <c r="D132" t="s">
        <v>62</v>
      </c>
      <c r="E132" t="s">
        <v>69</v>
      </c>
      <c r="F132" s="5">
        <v>42370</v>
      </c>
      <c r="G132">
        <v>0</v>
      </c>
    </row>
    <row r="133" spans="1:7" x14ac:dyDescent="0.25">
      <c r="A133" t="s">
        <v>7</v>
      </c>
      <c r="B133" t="s">
        <v>7</v>
      </c>
      <c r="D133" t="s">
        <v>62</v>
      </c>
      <c r="E133" t="s">
        <v>69</v>
      </c>
      <c r="F133" s="5">
        <v>42736</v>
      </c>
      <c r="G133">
        <v>0</v>
      </c>
    </row>
    <row r="134" spans="1:7" x14ac:dyDescent="0.25">
      <c r="A134" t="s">
        <v>7</v>
      </c>
      <c r="B134" t="s">
        <v>7</v>
      </c>
      <c r="D134" t="s">
        <v>62</v>
      </c>
      <c r="E134" t="s">
        <v>70</v>
      </c>
      <c r="F134" s="5">
        <v>42370</v>
      </c>
      <c r="G134">
        <v>0</v>
      </c>
    </row>
    <row r="135" spans="1:7" x14ac:dyDescent="0.25">
      <c r="A135" t="s">
        <v>7</v>
      </c>
      <c r="B135" t="s">
        <v>7</v>
      </c>
      <c r="D135" t="s">
        <v>62</v>
      </c>
      <c r="E135" t="s">
        <v>70</v>
      </c>
      <c r="F135" s="5">
        <v>42736</v>
      </c>
      <c r="G135">
        <v>0</v>
      </c>
    </row>
    <row r="136" spans="1:7" x14ac:dyDescent="0.25">
      <c r="A136" t="s">
        <v>7</v>
      </c>
      <c r="B136" t="s">
        <v>7</v>
      </c>
      <c r="D136" t="s">
        <v>62</v>
      </c>
      <c r="E136" t="s">
        <v>71</v>
      </c>
      <c r="F136" s="5">
        <v>42370</v>
      </c>
      <c r="G136">
        <v>0</v>
      </c>
    </row>
    <row r="137" spans="1:7" x14ac:dyDescent="0.25">
      <c r="A137" t="s">
        <v>7</v>
      </c>
      <c r="B137" t="s">
        <v>7</v>
      </c>
      <c r="D137" t="s">
        <v>62</v>
      </c>
      <c r="E137" t="s">
        <v>71</v>
      </c>
      <c r="F137" s="5">
        <v>42736</v>
      </c>
      <c r="G137">
        <v>0</v>
      </c>
    </row>
    <row r="138" spans="1:7" x14ac:dyDescent="0.25">
      <c r="A138" t="s">
        <v>7</v>
      </c>
      <c r="B138" t="s">
        <v>7</v>
      </c>
      <c r="D138" t="s">
        <v>72</v>
      </c>
      <c r="E138" t="s">
        <v>73</v>
      </c>
      <c r="F138" s="5">
        <v>42370</v>
      </c>
      <c r="G138">
        <v>0</v>
      </c>
    </row>
    <row r="139" spans="1:7" x14ac:dyDescent="0.25">
      <c r="A139" t="s">
        <v>7</v>
      </c>
      <c r="B139" t="s">
        <v>7</v>
      </c>
      <c r="D139" t="s">
        <v>72</v>
      </c>
      <c r="E139" t="s">
        <v>73</v>
      </c>
      <c r="F139" s="5">
        <v>42736</v>
      </c>
      <c r="G139">
        <v>0</v>
      </c>
    </row>
    <row r="140" spans="1:7" x14ac:dyDescent="0.25">
      <c r="A140" t="s">
        <v>7</v>
      </c>
      <c r="B140" t="s">
        <v>7</v>
      </c>
      <c r="D140" t="s">
        <v>72</v>
      </c>
      <c r="E140" t="s">
        <v>9</v>
      </c>
      <c r="F140" s="5">
        <v>42370</v>
      </c>
      <c r="G140">
        <v>0</v>
      </c>
    </row>
    <row r="141" spans="1:7" x14ac:dyDescent="0.25">
      <c r="A141" t="s">
        <v>7</v>
      </c>
      <c r="B141" t="s">
        <v>7</v>
      </c>
      <c r="D141" t="s">
        <v>72</v>
      </c>
      <c r="E141" t="s">
        <v>9</v>
      </c>
      <c r="F141" s="5">
        <v>42736</v>
      </c>
      <c r="G141">
        <v>0</v>
      </c>
    </row>
    <row r="142" spans="1:7" x14ac:dyDescent="0.25">
      <c r="A142" t="s">
        <v>7</v>
      </c>
      <c r="B142" t="s">
        <v>7</v>
      </c>
      <c r="D142" t="s">
        <v>72</v>
      </c>
      <c r="E142" t="s">
        <v>34</v>
      </c>
      <c r="F142" s="5">
        <v>42370</v>
      </c>
      <c r="G142">
        <v>0</v>
      </c>
    </row>
    <row r="143" spans="1:7" x14ac:dyDescent="0.25">
      <c r="A143" t="s">
        <v>7</v>
      </c>
      <c r="B143" t="s">
        <v>7</v>
      </c>
      <c r="D143" t="s">
        <v>72</v>
      </c>
      <c r="E143" t="s">
        <v>34</v>
      </c>
      <c r="F143" s="5">
        <v>42736</v>
      </c>
      <c r="G143">
        <v>0</v>
      </c>
    </row>
    <row r="144" spans="1:7" x14ac:dyDescent="0.25">
      <c r="A144" t="s">
        <v>7</v>
      </c>
      <c r="B144" t="s">
        <v>7</v>
      </c>
      <c r="D144" t="s">
        <v>72</v>
      </c>
      <c r="E144" t="s">
        <v>74</v>
      </c>
      <c r="F144" s="5">
        <v>42370</v>
      </c>
      <c r="G144">
        <v>0</v>
      </c>
    </row>
    <row r="145" spans="1:7" x14ac:dyDescent="0.25">
      <c r="A145" t="s">
        <v>7</v>
      </c>
      <c r="B145" t="s">
        <v>7</v>
      </c>
      <c r="D145" t="s">
        <v>72</v>
      </c>
      <c r="E145" t="s">
        <v>74</v>
      </c>
      <c r="F145" s="5">
        <v>42736</v>
      </c>
      <c r="G145">
        <v>0</v>
      </c>
    </row>
    <row r="146" spans="1:7" x14ac:dyDescent="0.25">
      <c r="A146" t="s">
        <v>7</v>
      </c>
      <c r="B146" t="s">
        <v>7</v>
      </c>
      <c r="D146" t="s">
        <v>72</v>
      </c>
      <c r="E146" t="s">
        <v>75</v>
      </c>
      <c r="F146" s="5">
        <v>42370</v>
      </c>
      <c r="G146">
        <v>0</v>
      </c>
    </row>
    <row r="147" spans="1:7" x14ac:dyDescent="0.25">
      <c r="A147" t="s">
        <v>7</v>
      </c>
      <c r="B147" t="s">
        <v>7</v>
      </c>
      <c r="D147" t="s">
        <v>72</v>
      </c>
      <c r="E147" t="s">
        <v>75</v>
      </c>
      <c r="F147" s="5">
        <v>42736</v>
      </c>
      <c r="G147">
        <v>0</v>
      </c>
    </row>
    <row r="148" spans="1:7" x14ac:dyDescent="0.25">
      <c r="A148" t="s">
        <v>7</v>
      </c>
      <c r="B148" t="s">
        <v>7</v>
      </c>
      <c r="D148" t="s">
        <v>76</v>
      </c>
      <c r="E148" t="s">
        <v>9</v>
      </c>
      <c r="F148" s="5">
        <v>42370</v>
      </c>
      <c r="G148">
        <v>0</v>
      </c>
    </row>
    <row r="149" spans="1:7" x14ac:dyDescent="0.25">
      <c r="A149" t="s">
        <v>7</v>
      </c>
      <c r="B149" t="s">
        <v>7</v>
      </c>
      <c r="D149" t="s">
        <v>76</v>
      </c>
      <c r="E149" t="s">
        <v>9</v>
      </c>
      <c r="F149" s="5">
        <v>42736</v>
      </c>
      <c r="G149">
        <v>0</v>
      </c>
    </row>
    <row r="150" spans="1:7" x14ac:dyDescent="0.25">
      <c r="A150" t="s">
        <v>7</v>
      </c>
      <c r="B150" t="s">
        <v>7</v>
      </c>
      <c r="D150" t="s">
        <v>76</v>
      </c>
      <c r="E150" t="s">
        <v>77</v>
      </c>
      <c r="F150" s="5">
        <v>42370</v>
      </c>
      <c r="G150">
        <v>0</v>
      </c>
    </row>
    <row r="151" spans="1:7" x14ac:dyDescent="0.25">
      <c r="A151" t="s">
        <v>7</v>
      </c>
      <c r="B151" t="s">
        <v>7</v>
      </c>
      <c r="D151" t="s">
        <v>76</v>
      </c>
      <c r="E151" t="s">
        <v>77</v>
      </c>
      <c r="F151" s="5">
        <v>42736</v>
      </c>
      <c r="G151">
        <v>0</v>
      </c>
    </row>
    <row r="152" spans="1:7" x14ac:dyDescent="0.25">
      <c r="A152" t="s">
        <v>7</v>
      </c>
      <c r="B152" t="s">
        <v>7</v>
      </c>
      <c r="D152" t="s">
        <v>78</v>
      </c>
      <c r="E152" t="s">
        <v>79</v>
      </c>
      <c r="F152" s="5">
        <v>42370</v>
      </c>
      <c r="G152">
        <v>0</v>
      </c>
    </row>
    <row r="153" spans="1:7" x14ac:dyDescent="0.25">
      <c r="A153" t="s">
        <v>7</v>
      </c>
      <c r="B153" t="s">
        <v>7</v>
      </c>
      <c r="D153" t="s">
        <v>78</v>
      </c>
      <c r="E153" t="s">
        <v>79</v>
      </c>
      <c r="F153" s="5">
        <v>42736</v>
      </c>
      <c r="G153">
        <v>0</v>
      </c>
    </row>
    <row r="154" spans="1:7" x14ac:dyDescent="0.25">
      <c r="A154" t="s">
        <v>7</v>
      </c>
      <c r="B154" t="s">
        <v>7</v>
      </c>
      <c r="D154" t="s">
        <v>78</v>
      </c>
      <c r="E154" t="s">
        <v>80</v>
      </c>
      <c r="F154" s="5">
        <v>42370</v>
      </c>
      <c r="G154">
        <v>0</v>
      </c>
    </row>
    <row r="155" spans="1:7" x14ac:dyDescent="0.25">
      <c r="A155" t="s">
        <v>7</v>
      </c>
      <c r="B155" t="s">
        <v>7</v>
      </c>
      <c r="D155" t="s">
        <v>78</v>
      </c>
      <c r="E155" t="s">
        <v>80</v>
      </c>
      <c r="F155" s="5">
        <v>42736</v>
      </c>
      <c r="G155">
        <v>0</v>
      </c>
    </row>
    <row r="156" spans="1:7" x14ac:dyDescent="0.25">
      <c r="A156" t="s">
        <v>7</v>
      </c>
      <c r="B156" t="s">
        <v>7</v>
      </c>
      <c r="D156" t="s">
        <v>78</v>
      </c>
      <c r="E156" t="s">
        <v>81</v>
      </c>
      <c r="F156" s="5">
        <v>42370</v>
      </c>
      <c r="G156">
        <v>2149</v>
      </c>
    </row>
    <row r="157" spans="1:7" x14ac:dyDescent="0.25">
      <c r="A157" t="s">
        <v>7</v>
      </c>
      <c r="B157" t="s">
        <v>7</v>
      </c>
      <c r="D157" t="s">
        <v>78</v>
      </c>
      <c r="E157" t="s">
        <v>81</v>
      </c>
      <c r="F157" s="5">
        <v>42736</v>
      </c>
      <c r="G157">
        <v>8063</v>
      </c>
    </row>
    <row r="158" spans="1:7" x14ac:dyDescent="0.25">
      <c r="A158" t="s">
        <v>7</v>
      </c>
      <c r="B158" t="s">
        <v>7</v>
      </c>
      <c r="D158" t="s">
        <v>78</v>
      </c>
      <c r="E158" t="s">
        <v>82</v>
      </c>
      <c r="F158" s="5">
        <v>42370</v>
      </c>
      <c r="G158">
        <v>9416</v>
      </c>
    </row>
    <row r="159" spans="1:7" x14ac:dyDescent="0.25">
      <c r="A159" t="s">
        <v>7</v>
      </c>
      <c r="B159" t="s">
        <v>7</v>
      </c>
      <c r="D159" t="s">
        <v>78</v>
      </c>
      <c r="E159" t="s">
        <v>82</v>
      </c>
      <c r="F159" s="5">
        <v>42736</v>
      </c>
      <c r="G159">
        <v>0</v>
      </c>
    </row>
    <row r="160" spans="1:7" x14ac:dyDescent="0.25">
      <c r="A160" t="s">
        <v>7</v>
      </c>
      <c r="B160" t="s">
        <v>7</v>
      </c>
      <c r="D160" t="s">
        <v>78</v>
      </c>
      <c r="E160" t="s">
        <v>83</v>
      </c>
      <c r="F160" s="5">
        <v>42370</v>
      </c>
      <c r="G160">
        <v>0</v>
      </c>
    </row>
    <row r="161" spans="1:7" x14ac:dyDescent="0.25">
      <c r="A161" t="s">
        <v>7</v>
      </c>
      <c r="B161" t="s">
        <v>7</v>
      </c>
      <c r="D161" t="s">
        <v>78</v>
      </c>
      <c r="E161" t="s">
        <v>83</v>
      </c>
      <c r="F161" s="5">
        <v>42736</v>
      </c>
      <c r="G161">
        <v>0</v>
      </c>
    </row>
    <row r="162" spans="1:7" x14ac:dyDescent="0.25">
      <c r="A162" t="s">
        <v>7</v>
      </c>
      <c r="B162" t="s">
        <v>7</v>
      </c>
      <c r="D162" t="s">
        <v>78</v>
      </c>
      <c r="E162" t="s">
        <v>84</v>
      </c>
      <c r="F162" s="5">
        <v>42370</v>
      </c>
      <c r="G162">
        <v>942</v>
      </c>
    </row>
    <row r="163" spans="1:7" x14ac:dyDescent="0.25">
      <c r="A163" t="s">
        <v>7</v>
      </c>
      <c r="B163" t="s">
        <v>7</v>
      </c>
      <c r="D163" t="s">
        <v>78</v>
      </c>
      <c r="E163" t="s">
        <v>84</v>
      </c>
      <c r="F163" s="5">
        <v>42736</v>
      </c>
      <c r="G163">
        <v>1447</v>
      </c>
    </row>
    <row r="164" spans="1:7" x14ac:dyDescent="0.25">
      <c r="A164" t="s">
        <v>7</v>
      </c>
      <c r="B164" t="s">
        <v>7</v>
      </c>
      <c r="D164" t="s">
        <v>78</v>
      </c>
      <c r="E164" t="s">
        <v>85</v>
      </c>
      <c r="F164" s="5">
        <v>42370</v>
      </c>
      <c r="G164">
        <v>0</v>
      </c>
    </row>
    <row r="165" spans="1:7" x14ac:dyDescent="0.25">
      <c r="A165" t="s">
        <v>7</v>
      </c>
      <c r="B165" t="s">
        <v>7</v>
      </c>
      <c r="D165" t="s">
        <v>78</v>
      </c>
      <c r="E165" t="s">
        <v>85</v>
      </c>
      <c r="F165" s="5">
        <v>42736</v>
      </c>
      <c r="G165">
        <v>0</v>
      </c>
    </row>
    <row r="166" spans="1:7" x14ac:dyDescent="0.25">
      <c r="A166" t="s">
        <v>7</v>
      </c>
      <c r="B166" t="s">
        <v>7</v>
      </c>
      <c r="D166" t="s">
        <v>78</v>
      </c>
      <c r="E166" t="s">
        <v>86</v>
      </c>
      <c r="F166" s="5">
        <v>42370</v>
      </c>
      <c r="G166">
        <v>0</v>
      </c>
    </row>
    <row r="167" spans="1:7" x14ac:dyDescent="0.25">
      <c r="A167" t="s">
        <v>7</v>
      </c>
      <c r="B167" t="s">
        <v>7</v>
      </c>
      <c r="D167" t="s">
        <v>78</v>
      </c>
      <c r="E167" t="s">
        <v>86</v>
      </c>
      <c r="F167" s="5">
        <v>42736</v>
      </c>
      <c r="G167">
        <v>2324</v>
      </c>
    </row>
    <row r="168" spans="1:7" x14ac:dyDescent="0.25">
      <c r="A168" t="s">
        <v>7</v>
      </c>
      <c r="B168" t="s">
        <v>7</v>
      </c>
      <c r="D168" t="s">
        <v>78</v>
      </c>
      <c r="E168" t="s">
        <v>87</v>
      </c>
      <c r="F168" s="5">
        <v>42370</v>
      </c>
      <c r="G168">
        <v>0</v>
      </c>
    </row>
    <row r="169" spans="1:7" x14ac:dyDescent="0.25">
      <c r="A169" t="s">
        <v>7</v>
      </c>
      <c r="B169" t="s">
        <v>7</v>
      </c>
      <c r="D169" t="s">
        <v>78</v>
      </c>
      <c r="E169" t="s">
        <v>87</v>
      </c>
      <c r="F169" s="5">
        <v>42736</v>
      </c>
      <c r="G169">
        <v>0</v>
      </c>
    </row>
    <row r="170" spans="1:7" x14ac:dyDescent="0.25">
      <c r="A170" t="s">
        <v>7</v>
      </c>
      <c r="B170" t="s">
        <v>7</v>
      </c>
      <c r="D170" t="s">
        <v>78</v>
      </c>
      <c r="E170" t="s">
        <v>88</v>
      </c>
      <c r="F170" s="5">
        <v>42370</v>
      </c>
      <c r="G170">
        <v>421</v>
      </c>
    </row>
    <row r="171" spans="1:7" x14ac:dyDescent="0.25">
      <c r="A171" t="s">
        <v>7</v>
      </c>
      <c r="B171" t="s">
        <v>7</v>
      </c>
      <c r="D171" t="s">
        <v>78</v>
      </c>
      <c r="E171" t="s">
        <v>88</v>
      </c>
      <c r="F171" s="5">
        <v>42736</v>
      </c>
      <c r="G171">
        <v>1030</v>
      </c>
    </row>
    <row r="172" spans="1:7" x14ac:dyDescent="0.25">
      <c r="A172" t="s">
        <v>7</v>
      </c>
      <c r="B172" t="s">
        <v>7</v>
      </c>
      <c r="D172" t="s">
        <v>78</v>
      </c>
      <c r="E172" t="s">
        <v>89</v>
      </c>
      <c r="F172" s="5">
        <v>42370</v>
      </c>
      <c r="G172">
        <v>63575</v>
      </c>
    </row>
    <row r="173" spans="1:7" x14ac:dyDescent="0.25">
      <c r="A173" t="s">
        <v>7</v>
      </c>
      <c r="B173" t="s">
        <v>7</v>
      </c>
      <c r="D173" t="s">
        <v>78</v>
      </c>
      <c r="E173" t="s">
        <v>89</v>
      </c>
      <c r="F173" s="5">
        <v>42736</v>
      </c>
      <c r="G173">
        <v>136108</v>
      </c>
    </row>
    <row r="174" spans="1:7" x14ac:dyDescent="0.25">
      <c r="A174" t="s">
        <v>7</v>
      </c>
      <c r="B174" t="s">
        <v>7</v>
      </c>
      <c r="D174" t="s">
        <v>78</v>
      </c>
      <c r="E174" t="s">
        <v>90</v>
      </c>
      <c r="F174" s="5">
        <v>42370</v>
      </c>
      <c r="G174">
        <v>0</v>
      </c>
    </row>
    <row r="175" spans="1:7" x14ac:dyDescent="0.25">
      <c r="A175" t="s">
        <v>7</v>
      </c>
      <c r="B175" t="s">
        <v>7</v>
      </c>
      <c r="D175" t="s">
        <v>78</v>
      </c>
      <c r="E175" t="s">
        <v>90</v>
      </c>
      <c r="F175" s="5">
        <v>42736</v>
      </c>
      <c r="G175">
        <v>0</v>
      </c>
    </row>
    <row r="176" spans="1:7" x14ac:dyDescent="0.25">
      <c r="A176" t="s">
        <v>7</v>
      </c>
      <c r="B176" t="s">
        <v>7</v>
      </c>
      <c r="D176" t="s">
        <v>78</v>
      </c>
      <c r="E176" t="s">
        <v>91</v>
      </c>
      <c r="F176" s="5">
        <v>42370</v>
      </c>
      <c r="G176">
        <v>1178</v>
      </c>
    </row>
    <row r="177" spans="1:7" x14ac:dyDescent="0.25">
      <c r="A177" t="s">
        <v>7</v>
      </c>
      <c r="B177" t="s">
        <v>7</v>
      </c>
      <c r="D177" t="s">
        <v>78</v>
      </c>
      <c r="E177" t="s">
        <v>91</v>
      </c>
      <c r="F177" s="5">
        <v>42736</v>
      </c>
      <c r="G177">
        <v>6252</v>
      </c>
    </row>
    <row r="178" spans="1:7" x14ac:dyDescent="0.25">
      <c r="A178" t="s">
        <v>7</v>
      </c>
      <c r="B178" t="s">
        <v>7</v>
      </c>
      <c r="D178" t="s">
        <v>78</v>
      </c>
      <c r="E178" t="s">
        <v>92</v>
      </c>
      <c r="F178" s="5">
        <v>42370</v>
      </c>
      <c r="G178">
        <v>1529</v>
      </c>
    </row>
    <row r="179" spans="1:7" x14ac:dyDescent="0.25">
      <c r="A179" t="s">
        <v>7</v>
      </c>
      <c r="B179" t="s">
        <v>7</v>
      </c>
      <c r="D179" t="s">
        <v>78</v>
      </c>
      <c r="E179" t="s">
        <v>92</v>
      </c>
      <c r="F179" s="5">
        <v>42736</v>
      </c>
      <c r="G179">
        <v>2258</v>
      </c>
    </row>
    <row r="180" spans="1:7" x14ac:dyDescent="0.25">
      <c r="A180" t="s">
        <v>7</v>
      </c>
      <c r="B180" t="s">
        <v>7</v>
      </c>
      <c r="D180" t="s">
        <v>78</v>
      </c>
      <c r="E180" t="s">
        <v>93</v>
      </c>
      <c r="F180" s="5">
        <v>42370</v>
      </c>
      <c r="G180">
        <v>4578</v>
      </c>
    </row>
    <row r="181" spans="1:7" x14ac:dyDescent="0.25">
      <c r="A181" t="s">
        <v>7</v>
      </c>
      <c r="B181" t="s">
        <v>7</v>
      </c>
      <c r="D181" t="s">
        <v>78</v>
      </c>
      <c r="E181" t="s">
        <v>93</v>
      </c>
      <c r="F181" s="5">
        <v>42736</v>
      </c>
      <c r="G181">
        <v>6897</v>
      </c>
    </row>
    <row r="182" spans="1:7" x14ac:dyDescent="0.25">
      <c r="A182" t="s">
        <v>7</v>
      </c>
      <c r="B182" t="s">
        <v>7</v>
      </c>
      <c r="D182" t="s">
        <v>78</v>
      </c>
      <c r="E182" t="s">
        <v>94</v>
      </c>
      <c r="F182" s="5">
        <v>42370</v>
      </c>
      <c r="G182">
        <v>10243</v>
      </c>
    </row>
    <row r="183" spans="1:7" x14ac:dyDescent="0.25">
      <c r="A183" t="s">
        <v>7</v>
      </c>
      <c r="B183" t="s">
        <v>7</v>
      </c>
      <c r="D183" t="s">
        <v>78</v>
      </c>
      <c r="E183" t="s">
        <v>94</v>
      </c>
      <c r="F183" s="5">
        <v>42736</v>
      </c>
      <c r="G183">
        <v>15130</v>
      </c>
    </row>
    <row r="184" spans="1:7" x14ac:dyDescent="0.25">
      <c r="A184" t="s">
        <v>7</v>
      </c>
      <c r="B184" t="s">
        <v>7</v>
      </c>
      <c r="D184" t="s">
        <v>78</v>
      </c>
      <c r="E184" t="s">
        <v>95</v>
      </c>
      <c r="F184" s="5">
        <v>42370</v>
      </c>
      <c r="G184">
        <v>2896</v>
      </c>
    </row>
    <row r="185" spans="1:7" x14ac:dyDescent="0.25">
      <c r="A185" t="s">
        <v>7</v>
      </c>
      <c r="B185" t="s">
        <v>7</v>
      </c>
      <c r="D185" t="s">
        <v>78</v>
      </c>
      <c r="E185" t="s">
        <v>95</v>
      </c>
      <c r="F185" s="5">
        <v>42736</v>
      </c>
      <c r="G185">
        <v>3583</v>
      </c>
    </row>
    <row r="186" spans="1:7" x14ac:dyDescent="0.25">
      <c r="A186" t="s">
        <v>7</v>
      </c>
      <c r="B186" t="s">
        <v>7</v>
      </c>
      <c r="D186" t="s">
        <v>78</v>
      </c>
      <c r="E186" t="s">
        <v>96</v>
      </c>
      <c r="F186" s="5">
        <v>42370</v>
      </c>
      <c r="G186">
        <v>45</v>
      </c>
    </row>
    <row r="187" spans="1:7" x14ac:dyDescent="0.25">
      <c r="A187" t="s">
        <v>7</v>
      </c>
      <c r="B187" t="s">
        <v>7</v>
      </c>
      <c r="D187" t="s">
        <v>78</v>
      </c>
      <c r="E187" t="s">
        <v>96</v>
      </c>
      <c r="F187" s="5">
        <v>42736</v>
      </c>
      <c r="G187">
        <v>94</v>
      </c>
    </row>
    <row r="188" spans="1:7" x14ac:dyDescent="0.25">
      <c r="A188" t="s">
        <v>7</v>
      </c>
      <c r="B188" t="s">
        <v>7</v>
      </c>
      <c r="D188" t="s">
        <v>78</v>
      </c>
      <c r="E188" t="s">
        <v>97</v>
      </c>
      <c r="F188" s="5">
        <v>42370</v>
      </c>
      <c r="G188">
        <v>0</v>
      </c>
    </row>
    <row r="189" spans="1:7" x14ac:dyDescent="0.25">
      <c r="A189" t="s">
        <v>7</v>
      </c>
      <c r="B189" t="s">
        <v>7</v>
      </c>
      <c r="D189" t="s">
        <v>78</v>
      </c>
      <c r="E189" t="s">
        <v>97</v>
      </c>
      <c r="F189" s="5">
        <v>42736</v>
      </c>
      <c r="G189">
        <v>0</v>
      </c>
    </row>
    <row r="190" spans="1:7" x14ac:dyDescent="0.25">
      <c r="A190" t="s">
        <v>7</v>
      </c>
      <c r="B190" t="s">
        <v>7</v>
      </c>
      <c r="D190" t="s">
        <v>78</v>
      </c>
      <c r="E190" t="s">
        <v>98</v>
      </c>
      <c r="F190" s="5">
        <v>42370</v>
      </c>
      <c r="G190">
        <v>3126</v>
      </c>
    </row>
    <row r="191" spans="1:7" x14ac:dyDescent="0.25">
      <c r="A191" t="s">
        <v>7</v>
      </c>
      <c r="B191" t="s">
        <v>7</v>
      </c>
      <c r="D191" t="s">
        <v>78</v>
      </c>
      <c r="E191" t="s">
        <v>98</v>
      </c>
      <c r="F191" s="5">
        <v>42736</v>
      </c>
      <c r="G191">
        <v>0</v>
      </c>
    </row>
    <row r="192" spans="1:7" x14ac:dyDescent="0.25">
      <c r="A192" t="s">
        <v>99</v>
      </c>
      <c r="B192" t="s">
        <v>100</v>
      </c>
      <c r="C192">
        <v>7000</v>
      </c>
      <c r="D192" t="s">
        <v>8</v>
      </c>
      <c r="E192" t="s">
        <v>9</v>
      </c>
      <c r="F192" s="5">
        <v>42370</v>
      </c>
      <c r="G192">
        <v>0</v>
      </c>
    </row>
    <row r="193" spans="1:7" x14ac:dyDescent="0.25">
      <c r="A193" t="s">
        <v>99</v>
      </c>
      <c r="B193" t="s">
        <v>100</v>
      </c>
      <c r="C193">
        <v>7000</v>
      </c>
      <c r="D193" t="s">
        <v>8</v>
      </c>
      <c r="E193" t="s">
        <v>9</v>
      </c>
      <c r="F193" s="5">
        <v>42736</v>
      </c>
      <c r="G193">
        <v>0</v>
      </c>
    </row>
    <row r="194" spans="1:7" x14ac:dyDescent="0.25">
      <c r="A194" t="s">
        <v>99</v>
      </c>
      <c r="B194" t="s">
        <v>100</v>
      </c>
      <c r="C194">
        <v>7000</v>
      </c>
      <c r="D194" t="s">
        <v>8</v>
      </c>
      <c r="E194" t="s">
        <v>10</v>
      </c>
      <c r="F194" s="5">
        <v>42370</v>
      </c>
      <c r="G194">
        <v>409</v>
      </c>
    </row>
    <row r="195" spans="1:7" x14ac:dyDescent="0.25">
      <c r="A195" t="s">
        <v>99</v>
      </c>
      <c r="B195" t="s">
        <v>100</v>
      </c>
      <c r="C195">
        <v>7000</v>
      </c>
      <c r="D195" t="s">
        <v>8</v>
      </c>
      <c r="E195" t="s">
        <v>10</v>
      </c>
      <c r="F195" s="5">
        <v>42736</v>
      </c>
      <c r="G195">
        <v>654</v>
      </c>
    </row>
    <row r="196" spans="1:7" x14ac:dyDescent="0.25">
      <c r="A196" t="s">
        <v>99</v>
      </c>
      <c r="B196" t="s">
        <v>100</v>
      </c>
      <c r="C196">
        <v>7000</v>
      </c>
      <c r="D196" t="s">
        <v>8</v>
      </c>
      <c r="E196" t="s">
        <v>11</v>
      </c>
      <c r="F196" s="5">
        <v>42370</v>
      </c>
      <c r="G196">
        <v>208</v>
      </c>
    </row>
    <row r="197" spans="1:7" x14ac:dyDescent="0.25">
      <c r="A197" t="s">
        <v>99</v>
      </c>
      <c r="B197" t="s">
        <v>100</v>
      </c>
      <c r="C197">
        <v>7000</v>
      </c>
      <c r="D197" t="s">
        <v>8</v>
      </c>
      <c r="E197" t="s">
        <v>11</v>
      </c>
      <c r="F197" s="5">
        <v>42736</v>
      </c>
      <c r="G197">
        <v>252</v>
      </c>
    </row>
    <row r="198" spans="1:7" x14ac:dyDescent="0.25">
      <c r="A198" t="s">
        <v>99</v>
      </c>
      <c r="B198" t="s">
        <v>100</v>
      </c>
      <c r="C198">
        <v>7000</v>
      </c>
      <c r="D198" t="s">
        <v>8</v>
      </c>
      <c r="E198" t="s">
        <v>12</v>
      </c>
      <c r="F198" s="5">
        <v>42370</v>
      </c>
      <c r="G198">
        <v>0</v>
      </c>
    </row>
    <row r="199" spans="1:7" x14ac:dyDescent="0.25">
      <c r="A199" t="s">
        <v>99</v>
      </c>
      <c r="B199" t="s">
        <v>100</v>
      </c>
      <c r="C199">
        <v>7000</v>
      </c>
      <c r="D199" t="s">
        <v>8</v>
      </c>
      <c r="E199" t="s">
        <v>12</v>
      </c>
      <c r="F199" s="5">
        <v>42736</v>
      </c>
      <c r="G199">
        <v>0</v>
      </c>
    </row>
    <row r="200" spans="1:7" x14ac:dyDescent="0.25">
      <c r="A200" t="s">
        <v>99</v>
      </c>
      <c r="B200" t="s">
        <v>100</v>
      </c>
      <c r="C200">
        <v>7000</v>
      </c>
      <c r="D200" t="s">
        <v>8</v>
      </c>
      <c r="E200" t="s">
        <v>13</v>
      </c>
      <c r="F200" s="5">
        <v>42370</v>
      </c>
      <c r="G200">
        <v>0</v>
      </c>
    </row>
    <row r="201" spans="1:7" x14ac:dyDescent="0.25">
      <c r="A201" t="s">
        <v>99</v>
      </c>
      <c r="B201" t="s">
        <v>100</v>
      </c>
      <c r="C201">
        <v>7000</v>
      </c>
      <c r="D201" t="s">
        <v>8</v>
      </c>
      <c r="E201" t="s">
        <v>13</v>
      </c>
      <c r="F201" s="5">
        <v>42736</v>
      </c>
      <c r="G201">
        <v>0</v>
      </c>
    </row>
    <row r="202" spans="1:7" x14ac:dyDescent="0.25">
      <c r="A202" t="s">
        <v>99</v>
      </c>
      <c r="B202" t="s">
        <v>100</v>
      </c>
      <c r="C202">
        <v>7000</v>
      </c>
      <c r="D202" t="s">
        <v>8</v>
      </c>
      <c r="E202" t="s">
        <v>14</v>
      </c>
      <c r="F202" s="5">
        <v>42370</v>
      </c>
      <c r="G202">
        <v>0</v>
      </c>
    </row>
    <row r="203" spans="1:7" x14ac:dyDescent="0.25">
      <c r="A203" t="s">
        <v>99</v>
      </c>
      <c r="B203" t="s">
        <v>100</v>
      </c>
      <c r="C203">
        <v>7000</v>
      </c>
      <c r="D203" t="s">
        <v>8</v>
      </c>
      <c r="E203" t="s">
        <v>14</v>
      </c>
      <c r="F203" s="5">
        <v>42736</v>
      </c>
      <c r="G203">
        <v>0</v>
      </c>
    </row>
    <row r="204" spans="1:7" x14ac:dyDescent="0.25">
      <c r="A204" t="s">
        <v>99</v>
      </c>
      <c r="B204" t="s">
        <v>100</v>
      </c>
      <c r="C204">
        <v>7000</v>
      </c>
      <c r="D204" t="s">
        <v>8</v>
      </c>
      <c r="E204" t="s">
        <v>15</v>
      </c>
      <c r="F204" s="5">
        <v>42370</v>
      </c>
      <c r="G204">
        <v>0</v>
      </c>
    </row>
    <row r="205" spans="1:7" x14ac:dyDescent="0.25">
      <c r="A205" t="s">
        <v>99</v>
      </c>
      <c r="B205" t="s">
        <v>100</v>
      </c>
      <c r="C205">
        <v>7000</v>
      </c>
      <c r="D205" t="s">
        <v>8</v>
      </c>
      <c r="E205" t="s">
        <v>15</v>
      </c>
      <c r="F205" s="5">
        <v>42736</v>
      </c>
      <c r="G205">
        <v>0</v>
      </c>
    </row>
    <row r="206" spans="1:7" x14ac:dyDescent="0.25">
      <c r="A206" t="s">
        <v>99</v>
      </c>
      <c r="B206" t="s">
        <v>100</v>
      </c>
      <c r="C206">
        <v>7000</v>
      </c>
      <c r="D206" t="s">
        <v>8</v>
      </c>
      <c r="E206" t="s">
        <v>16</v>
      </c>
      <c r="F206" s="5">
        <v>42370</v>
      </c>
      <c r="G206">
        <v>118</v>
      </c>
    </row>
    <row r="207" spans="1:7" x14ac:dyDescent="0.25">
      <c r="A207" t="s">
        <v>99</v>
      </c>
      <c r="B207" t="s">
        <v>100</v>
      </c>
      <c r="C207">
        <v>7000</v>
      </c>
      <c r="D207" t="s">
        <v>8</v>
      </c>
      <c r="E207" t="s">
        <v>16</v>
      </c>
      <c r="F207" s="5">
        <v>42736</v>
      </c>
      <c r="G207">
        <v>163</v>
      </c>
    </row>
    <row r="208" spans="1:7" x14ac:dyDescent="0.25">
      <c r="A208" t="s">
        <v>99</v>
      </c>
      <c r="B208" t="s">
        <v>100</v>
      </c>
      <c r="C208">
        <v>7000</v>
      </c>
      <c r="D208" t="s">
        <v>8</v>
      </c>
      <c r="E208" t="s">
        <v>17</v>
      </c>
      <c r="F208" s="5">
        <v>42370</v>
      </c>
      <c r="G208">
        <v>0</v>
      </c>
    </row>
    <row r="209" spans="1:7" x14ac:dyDescent="0.25">
      <c r="A209" t="s">
        <v>99</v>
      </c>
      <c r="B209" t="s">
        <v>100</v>
      </c>
      <c r="C209">
        <v>7000</v>
      </c>
      <c r="D209" t="s">
        <v>8</v>
      </c>
      <c r="E209" t="s">
        <v>17</v>
      </c>
      <c r="F209" s="5">
        <v>42736</v>
      </c>
      <c r="G209">
        <v>0</v>
      </c>
    </row>
    <row r="210" spans="1:7" x14ac:dyDescent="0.25">
      <c r="A210" t="s">
        <v>99</v>
      </c>
      <c r="B210" t="s">
        <v>100</v>
      </c>
      <c r="C210">
        <v>7000</v>
      </c>
      <c r="D210" t="s">
        <v>8</v>
      </c>
      <c r="E210" t="s">
        <v>18</v>
      </c>
      <c r="F210" s="5">
        <v>42370</v>
      </c>
      <c r="G210">
        <v>24</v>
      </c>
    </row>
    <row r="211" spans="1:7" x14ac:dyDescent="0.25">
      <c r="A211" t="s">
        <v>99</v>
      </c>
      <c r="B211" t="s">
        <v>100</v>
      </c>
      <c r="C211">
        <v>7000</v>
      </c>
      <c r="D211" t="s">
        <v>8</v>
      </c>
      <c r="E211" t="s">
        <v>18</v>
      </c>
      <c r="F211" s="5">
        <v>42736</v>
      </c>
      <c r="G211">
        <v>31</v>
      </c>
    </row>
    <row r="212" spans="1:7" x14ac:dyDescent="0.25">
      <c r="A212" t="s">
        <v>99</v>
      </c>
      <c r="B212" t="s">
        <v>100</v>
      </c>
      <c r="C212">
        <v>7000</v>
      </c>
      <c r="D212" t="s">
        <v>8</v>
      </c>
      <c r="E212" t="s">
        <v>19</v>
      </c>
      <c r="F212" s="5">
        <v>42370</v>
      </c>
      <c r="G212">
        <v>0</v>
      </c>
    </row>
    <row r="213" spans="1:7" x14ac:dyDescent="0.25">
      <c r="A213" t="s">
        <v>99</v>
      </c>
      <c r="B213" t="s">
        <v>100</v>
      </c>
      <c r="C213">
        <v>7000</v>
      </c>
      <c r="D213" t="s">
        <v>8</v>
      </c>
      <c r="E213" t="s">
        <v>19</v>
      </c>
      <c r="F213" s="5">
        <v>42736</v>
      </c>
      <c r="G213">
        <v>0</v>
      </c>
    </row>
    <row r="214" spans="1:7" x14ac:dyDescent="0.25">
      <c r="A214" t="s">
        <v>99</v>
      </c>
      <c r="B214" t="s">
        <v>100</v>
      </c>
      <c r="C214">
        <v>7000</v>
      </c>
      <c r="D214" t="s">
        <v>20</v>
      </c>
      <c r="E214" t="s">
        <v>9</v>
      </c>
      <c r="F214" s="5">
        <v>42370</v>
      </c>
      <c r="G214">
        <v>18</v>
      </c>
    </row>
    <row r="215" spans="1:7" x14ac:dyDescent="0.25">
      <c r="A215" t="s">
        <v>99</v>
      </c>
      <c r="B215" t="s">
        <v>100</v>
      </c>
      <c r="C215">
        <v>7000</v>
      </c>
      <c r="D215" t="s">
        <v>20</v>
      </c>
      <c r="E215" t="s">
        <v>9</v>
      </c>
      <c r="F215" s="5">
        <v>42736</v>
      </c>
      <c r="G215">
        <v>84</v>
      </c>
    </row>
    <row r="216" spans="1:7" x14ac:dyDescent="0.25">
      <c r="A216" t="s">
        <v>99</v>
      </c>
      <c r="B216" t="s">
        <v>100</v>
      </c>
      <c r="C216">
        <v>7000</v>
      </c>
      <c r="D216" t="s">
        <v>20</v>
      </c>
      <c r="E216" t="s">
        <v>21</v>
      </c>
      <c r="F216" s="5">
        <v>42370</v>
      </c>
      <c r="G216">
        <v>2</v>
      </c>
    </row>
    <row r="217" spans="1:7" x14ac:dyDescent="0.25">
      <c r="A217" t="s">
        <v>99</v>
      </c>
      <c r="B217" t="s">
        <v>100</v>
      </c>
      <c r="C217">
        <v>7000</v>
      </c>
      <c r="D217" t="s">
        <v>20</v>
      </c>
      <c r="E217" t="s">
        <v>21</v>
      </c>
      <c r="F217" s="5">
        <v>42736</v>
      </c>
      <c r="G217">
        <v>1</v>
      </c>
    </row>
    <row r="218" spans="1:7" x14ac:dyDescent="0.25">
      <c r="A218" t="s">
        <v>99</v>
      </c>
      <c r="B218" t="s">
        <v>100</v>
      </c>
      <c r="C218">
        <v>7000</v>
      </c>
      <c r="D218" t="s">
        <v>20</v>
      </c>
      <c r="E218" t="s">
        <v>22</v>
      </c>
      <c r="F218" s="5">
        <v>42370</v>
      </c>
      <c r="G218">
        <v>11</v>
      </c>
    </row>
    <row r="219" spans="1:7" x14ac:dyDescent="0.25">
      <c r="A219" t="s">
        <v>99</v>
      </c>
      <c r="B219" t="s">
        <v>100</v>
      </c>
      <c r="C219">
        <v>7000</v>
      </c>
      <c r="D219" t="s">
        <v>20</v>
      </c>
      <c r="E219" t="s">
        <v>22</v>
      </c>
      <c r="F219" s="5">
        <v>42736</v>
      </c>
      <c r="G219">
        <v>0</v>
      </c>
    </row>
    <row r="220" spans="1:7" x14ac:dyDescent="0.25">
      <c r="A220" t="s">
        <v>99</v>
      </c>
      <c r="B220" t="s">
        <v>100</v>
      </c>
      <c r="C220">
        <v>7000</v>
      </c>
      <c r="D220" t="s">
        <v>20</v>
      </c>
      <c r="E220" t="s">
        <v>23</v>
      </c>
      <c r="F220" s="5">
        <v>42370</v>
      </c>
      <c r="G220">
        <v>1</v>
      </c>
    </row>
    <row r="221" spans="1:7" x14ac:dyDescent="0.25">
      <c r="A221" t="s">
        <v>99</v>
      </c>
      <c r="B221" t="s">
        <v>100</v>
      </c>
      <c r="C221">
        <v>7000</v>
      </c>
      <c r="D221" t="s">
        <v>20</v>
      </c>
      <c r="E221" t="s">
        <v>23</v>
      </c>
      <c r="F221" s="5">
        <v>42736</v>
      </c>
      <c r="G221">
        <v>35</v>
      </c>
    </row>
    <row r="222" spans="1:7" x14ac:dyDescent="0.25">
      <c r="A222" t="s">
        <v>99</v>
      </c>
      <c r="B222" t="s">
        <v>100</v>
      </c>
      <c r="C222">
        <v>7000</v>
      </c>
      <c r="D222" t="s">
        <v>20</v>
      </c>
      <c r="E222" t="s">
        <v>24</v>
      </c>
      <c r="F222" s="5">
        <v>42370</v>
      </c>
      <c r="G222">
        <v>0</v>
      </c>
    </row>
    <row r="223" spans="1:7" x14ac:dyDescent="0.25">
      <c r="A223" t="s">
        <v>99</v>
      </c>
      <c r="B223" t="s">
        <v>100</v>
      </c>
      <c r="C223">
        <v>7000</v>
      </c>
      <c r="D223" t="s">
        <v>20</v>
      </c>
      <c r="E223" t="s">
        <v>24</v>
      </c>
      <c r="F223" s="5">
        <v>42736</v>
      </c>
      <c r="G223">
        <v>0</v>
      </c>
    </row>
    <row r="224" spans="1:7" x14ac:dyDescent="0.25">
      <c r="A224" t="s">
        <v>99</v>
      </c>
      <c r="B224" t="s">
        <v>100</v>
      </c>
      <c r="C224">
        <v>7000</v>
      </c>
      <c r="D224" t="s">
        <v>20</v>
      </c>
      <c r="E224" t="s">
        <v>25</v>
      </c>
      <c r="F224" s="5">
        <v>42370</v>
      </c>
      <c r="G224">
        <v>0</v>
      </c>
    </row>
    <row r="225" spans="1:7" x14ac:dyDescent="0.25">
      <c r="A225" t="s">
        <v>99</v>
      </c>
      <c r="B225" t="s">
        <v>100</v>
      </c>
      <c r="C225">
        <v>7000</v>
      </c>
      <c r="D225" t="s">
        <v>20</v>
      </c>
      <c r="E225" t="s">
        <v>25</v>
      </c>
      <c r="F225" s="5">
        <v>42736</v>
      </c>
      <c r="G225">
        <v>0</v>
      </c>
    </row>
    <row r="226" spans="1:7" x14ac:dyDescent="0.25">
      <c r="A226" t="s">
        <v>99</v>
      </c>
      <c r="B226" t="s">
        <v>100</v>
      </c>
      <c r="C226">
        <v>7000</v>
      </c>
      <c r="D226" t="s">
        <v>20</v>
      </c>
      <c r="E226" t="s">
        <v>26</v>
      </c>
      <c r="F226" s="5">
        <v>42370</v>
      </c>
      <c r="G226">
        <v>313</v>
      </c>
    </row>
    <row r="227" spans="1:7" x14ac:dyDescent="0.25">
      <c r="A227" t="s">
        <v>99</v>
      </c>
      <c r="B227" t="s">
        <v>100</v>
      </c>
      <c r="C227">
        <v>7000</v>
      </c>
      <c r="D227" t="s">
        <v>20</v>
      </c>
      <c r="E227" t="s">
        <v>26</v>
      </c>
      <c r="F227" s="5">
        <v>42736</v>
      </c>
      <c r="G227">
        <v>426</v>
      </c>
    </row>
    <row r="228" spans="1:7" x14ac:dyDescent="0.25">
      <c r="A228" t="s">
        <v>99</v>
      </c>
      <c r="B228" t="s">
        <v>100</v>
      </c>
      <c r="C228">
        <v>7000</v>
      </c>
      <c r="D228" t="s">
        <v>20</v>
      </c>
      <c r="E228" t="s">
        <v>27</v>
      </c>
      <c r="F228" s="5">
        <v>42370</v>
      </c>
      <c r="G228">
        <v>0</v>
      </c>
    </row>
    <row r="229" spans="1:7" x14ac:dyDescent="0.25">
      <c r="A229" t="s">
        <v>99</v>
      </c>
      <c r="B229" t="s">
        <v>100</v>
      </c>
      <c r="C229">
        <v>7000</v>
      </c>
      <c r="D229" t="s">
        <v>20</v>
      </c>
      <c r="E229" t="s">
        <v>27</v>
      </c>
      <c r="F229" s="5">
        <v>42736</v>
      </c>
      <c r="G229">
        <v>0</v>
      </c>
    </row>
    <row r="230" spans="1:7" x14ac:dyDescent="0.25">
      <c r="A230" t="s">
        <v>99</v>
      </c>
      <c r="B230" t="s">
        <v>100</v>
      </c>
      <c r="C230">
        <v>7000</v>
      </c>
      <c r="D230" t="s">
        <v>20</v>
      </c>
      <c r="E230" t="s">
        <v>28</v>
      </c>
      <c r="F230" s="5">
        <v>42370</v>
      </c>
      <c r="G230">
        <v>0</v>
      </c>
    </row>
    <row r="231" spans="1:7" x14ac:dyDescent="0.25">
      <c r="A231" t="s">
        <v>99</v>
      </c>
      <c r="B231" t="s">
        <v>100</v>
      </c>
      <c r="C231">
        <v>7000</v>
      </c>
      <c r="D231" t="s">
        <v>20</v>
      </c>
      <c r="E231" t="s">
        <v>28</v>
      </c>
      <c r="F231" s="5">
        <v>42736</v>
      </c>
      <c r="G231">
        <v>0</v>
      </c>
    </row>
    <row r="232" spans="1:7" x14ac:dyDescent="0.25">
      <c r="A232" t="s">
        <v>99</v>
      </c>
      <c r="B232" t="s">
        <v>100</v>
      </c>
      <c r="C232">
        <v>7000</v>
      </c>
      <c r="D232" t="s">
        <v>20</v>
      </c>
      <c r="E232" t="s">
        <v>29</v>
      </c>
      <c r="F232" s="5">
        <v>42370</v>
      </c>
      <c r="G232">
        <v>322</v>
      </c>
    </row>
    <row r="233" spans="1:7" x14ac:dyDescent="0.25">
      <c r="A233" t="s">
        <v>99</v>
      </c>
      <c r="B233" t="s">
        <v>100</v>
      </c>
      <c r="C233">
        <v>7000</v>
      </c>
      <c r="D233" t="s">
        <v>20</v>
      </c>
      <c r="E233" t="s">
        <v>29</v>
      </c>
      <c r="F233" s="5">
        <v>42736</v>
      </c>
      <c r="G233">
        <v>432</v>
      </c>
    </row>
    <row r="234" spans="1:7" x14ac:dyDescent="0.25">
      <c r="A234" t="s">
        <v>99</v>
      </c>
      <c r="B234" t="s">
        <v>100</v>
      </c>
      <c r="C234">
        <v>7000</v>
      </c>
      <c r="D234" t="s">
        <v>20</v>
      </c>
      <c r="E234" t="s">
        <v>30</v>
      </c>
      <c r="F234" s="5">
        <v>42370</v>
      </c>
      <c r="G234">
        <v>313</v>
      </c>
    </row>
    <row r="235" spans="1:7" x14ac:dyDescent="0.25">
      <c r="A235" t="s">
        <v>99</v>
      </c>
      <c r="B235" t="s">
        <v>100</v>
      </c>
      <c r="C235">
        <v>7000</v>
      </c>
      <c r="D235" t="s">
        <v>20</v>
      </c>
      <c r="E235" t="s">
        <v>30</v>
      </c>
      <c r="F235" s="5">
        <v>42736</v>
      </c>
      <c r="G235">
        <v>426</v>
      </c>
    </row>
    <row r="236" spans="1:7" x14ac:dyDescent="0.25">
      <c r="A236" t="s">
        <v>99</v>
      </c>
      <c r="B236" t="s">
        <v>100</v>
      </c>
      <c r="C236">
        <v>7000</v>
      </c>
      <c r="D236" t="s">
        <v>20</v>
      </c>
      <c r="E236" t="s">
        <v>31</v>
      </c>
      <c r="F236" s="5">
        <v>42370</v>
      </c>
      <c r="G236">
        <v>603</v>
      </c>
    </row>
    <row r="237" spans="1:7" x14ac:dyDescent="0.25">
      <c r="A237" t="s">
        <v>99</v>
      </c>
      <c r="B237" t="s">
        <v>100</v>
      </c>
      <c r="C237">
        <v>7000</v>
      </c>
      <c r="D237" t="s">
        <v>20</v>
      </c>
      <c r="E237" t="s">
        <v>31</v>
      </c>
      <c r="F237" s="5">
        <v>42736</v>
      </c>
      <c r="G237">
        <v>980</v>
      </c>
    </row>
    <row r="238" spans="1:7" x14ac:dyDescent="0.25">
      <c r="A238" t="s">
        <v>99</v>
      </c>
      <c r="B238" t="s">
        <v>100</v>
      </c>
      <c r="C238">
        <v>7000</v>
      </c>
      <c r="D238" t="s">
        <v>20</v>
      </c>
      <c r="E238" t="s">
        <v>32</v>
      </c>
      <c r="F238" s="5">
        <v>42370</v>
      </c>
      <c r="G238">
        <v>317</v>
      </c>
    </row>
    <row r="239" spans="1:7" x14ac:dyDescent="0.25">
      <c r="A239" t="s">
        <v>99</v>
      </c>
      <c r="B239" t="s">
        <v>100</v>
      </c>
      <c r="C239">
        <v>7000</v>
      </c>
      <c r="D239" t="s">
        <v>20</v>
      </c>
      <c r="E239" t="s">
        <v>32</v>
      </c>
      <c r="F239" s="5">
        <v>42736</v>
      </c>
      <c r="G239">
        <v>415</v>
      </c>
    </row>
    <row r="240" spans="1:7" x14ac:dyDescent="0.25">
      <c r="A240" t="s">
        <v>99</v>
      </c>
      <c r="B240" t="s">
        <v>100</v>
      </c>
      <c r="C240">
        <v>7000</v>
      </c>
      <c r="D240" t="s">
        <v>33</v>
      </c>
      <c r="E240" t="s">
        <v>9</v>
      </c>
      <c r="F240" s="5">
        <v>42370</v>
      </c>
      <c r="G240">
        <v>0</v>
      </c>
    </row>
    <row r="241" spans="1:7" x14ac:dyDescent="0.25">
      <c r="A241" t="s">
        <v>99</v>
      </c>
      <c r="B241" t="s">
        <v>100</v>
      </c>
      <c r="C241">
        <v>7000</v>
      </c>
      <c r="D241" t="s">
        <v>33</v>
      </c>
      <c r="E241" t="s">
        <v>9</v>
      </c>
      <c r="F241" s="5">
        <v>42736</v>
      </c>
      <c r="G241">
        <v>0</v>
      </c>
    </row>
    <row r="242" spans="1:7" x14ac:dyDescent="0.25">
      <c r="A242" t="s">
        <v>99</v>
      </c>
      <c r="B242" t="s">
        <v>100</v>
      </c>
      <c r="C242">
        <v>7000</v>
      </c>
      <c r="D242" t="s">
        <v>33</v>
      </c>
      <c r="E242" t="s">
        <v>34</v>
      </c>
      <c r="F242" s="5">
        <v>42370</v>
      </c>
      <c r="G242">
        <v>0</v>
      </c>
    </row>
    <row r="243" spans="1:7" x14ac:dyDescent="0.25">
      <c r="A243" t="s">
        <v>99</v>
      </c>
      <c r="B243" t="s">
        <v>100</v>
      </c>
      <c r="C243">
        <v>7000</v>
      </c>
      <c r="D243" t="s">
        <v>33</v>
      </c>
      <c r="E243" t="s">
        <v>34</v>
      </c>
      <c r="F243" s="5">
        <v>42736</v>
      </c>
      <c r="G243">
        <v>0</v>
      </c>
    </row>
    <row r="244" spans="1:7" x14ac:dyDescent="0.25">
      <c r="A244" t="s">
        <v>99</v>
      </c>
      <c r="B244" t="s">
        <v>100</v>
      </c>
      <c r="C244">
        <v>7000</v>
      </c>
      <c r="D244" t="s">
        <v>35</v>
      </c>
      <c r="E244" t="s">
        <v>36</v>
      </c>
      <c r="F244" s="5">
        <v>42370</v>
      </c>
      <c r="G244">
        <v>0</v>
      </c>
    </row>
    <row r="245" spans="1:7" x14ac:dyDescent="0.25">
      <c r="A245" t="s">
        <v>99</v>
      </c>
      <c r="B245" t="s">
        <v>100</v>
      </c>
      <c r="C245">
        <v>7000</v>
      </c>
      <c r="D245" t="s">
        <v>35</v>
      </c>
      <c r="E245" t="s">
        <v>36</v>
      </c>
      <c r="F245" s="5">
        <v>42736</v>
      </c>
      <c r="G245">
        <v>0</v>
      </c>
    </row>
    <row r="246" spans="1:7" x14ac:dyDescent="0.25">
      <c r="A246" t="s">
        <v>99</v>
      </c>
      <c r="B246" t="s">
        <v>100</v>
      </c>
      <c r="C246">
        <v>7000</v>
      </c>
      <c r="D246" t="s">
        <v>35</v>
      </c>
      <c r="E246" t="s">
        <v>37</v>
      </c>
      <c r="F246" s="5">
        <v>42370</v>
      </c>
      <c r="G246">
        <v>3</v>
      </c>
    </row>
    <row r="247" spans="1:7" x14ac:dyDescent="0.25">
      <c r="A247" t="s">
        <v>99</v>
      </c>
      <c r="B247" t="s">
        <v>100</v>
      </c>
      <c r="C247">
        <v>7000</v>
      </c>
      <c r="D247" t="s">
        <v>35</v>
      </c>
      <c r="E247" t="s">
        <v>37</v>
      </c>
      <c r="F247" s="5">
        <v>42736</v>
      </c>
      <c r="G247">
        <v>7</v>
      </c>
    </row>
    <row r="248" spans="1:7" x14ac:dyDescent="0.25">
      <c r="A248" t="s">
        <v>99</v>
      </c>
      <c r="B248" t="s">
        <v>100</v>
      </c>
      <c r="C248">
        <v>7000</v>
      </c>
      <c r="D248" t="s">
        <v>35</v>
      </c>
      <c r="E248" t="s">
        <v>38</v>
      </c>
      <c r="F248" s="5">
        <v>42370</v>
      </c>
      <c r="G248">
        <v>0</v>
      </c>
    </row>
    <row r="249" spans="1:7" x14ac:dyDescent="0.25">
      <c r="A249" t="s">
        <v>99</v>
      </c>
      <c r="B249" t="s">
        <v>100</v>
      </c>
      <c r="C249">
        <v>7000</v>
      </c>
      <c r="D249" t="s">
        <v>35</v>
      </c>
      <c r="E249" t="s">
        <v>38</v>
      </c>
      <c r="F249" s="5">
        <v>42736</v>
      </c>
      <c r="G249">
        <v>0</v>
      </c>
    </row>
    <row r="250" spans="1:7" x14ac:dyDescent="0.25">
      <c r="A250" t="s">
        <v>99</v>
      </c>
      <c r="B250" t="s">
        <v>100</v>
      </c>
      <c r="C250">
        <v>7000</v>
      </c>
      <c r="D250" t="s">
        <v>35</v>
      </c>
      <c r="E250" t="s">
        <v>39</v>
      </c>
      <c r="F250" s="5">
        <v>42370</v>
      </c>
      <c r="G250">
        <v>0</v>
      </c>
    </row>
    <row r="251" spans="1:7" x14ac:dyDescent="0.25">
      <c r="A251" t="s">
        <v>99</v>
      </c>
      <c r="B251" t="s">
        <v>100</v>
      </c>
      <c r="C251">
        <v>7000</v>
      </c>
      <c r="D251" t="s">
        <v>35</v>
      </c>
      <c r="E251" t="s">
        <v>39</v>
      </c>
      <c r="F251" s="5">
        <v>42736</v>
      </c>
      <c r="G251">
        <v>0</v>
      </c>
    </row>
    <row r="252" spans="1:7" x14ac:dyDescent="0.25">
      <c r="A252" t="s">
        <v>99</v>
      </c>
      <c r="B252" t="s">
        <v>100</v>
      </c>
      <c r="C252">
        <v>7000</v>
      </c>
      <c r="D252" t="s">
        <v>35</v>
      </c>
      <c r="E252" t="s">
        <v>40</v>
      </c>
      <c r="F252" s="5">
        <v>42370</v>
      </c>
      <c r="G252">
        <v>0</v>
      </c>
    </row>
    <row r="253" spans="1:7" x14ac:dyDescent="0.25">
      <c r="A253" t="s">
        <v>99</v>
      </c>
      <c r="B253" t="s">
        <v>100</v>
      </c>
      <c r="C253">
        <v>7000</v>
      </c>
      <c r="D253" t="s">
        <v>35</v>
      </c>
      <c r="E253" t="s">
        <v>40</v>
      </c>
      <c r="F253" s="5">
        <v>42736</v>
      </c>
      <c r="G253">
        <v>1</v>
      </c>
    </row>
    <row r="254" spans="1:7" x14ac:dyDescent="0.25">
      <c r="A254" t="s">
        <v>99</v>
      </c>
      <c r="B254" t="s">
        <v>100</v>
      </c>
      <c r="C254">
        <v>7000</v>
      </c>
      <c r="D254" t="s">
        <v>35</v>
      </c>
      <c r="E254" t="s">
        <v>41</v>
      </c>
      <c r="F254" s="5">
        <v>42370</v>
      </c>
      <c r="G254">
        <v>14</v>
      </c>
    </row>
    <row r="255" spans="1:7" x14ac:dyDescent="0.25">
      <c r="A255" t="s">
        <v>99</v>
      </c>
      <c r="B255" t="s">
        <v>100</v>
      </c>
      <c r="C255">
        <v>7000</v>
      </c>
      <c r="D255" t="s">
        <v>35</v>
      </c>
      <c r="E255" t="s">
        <v>41</v>
      </c>
      <c r="F255" s="5">
        <v>42736</v>
      </c>
      <c r="G255">
        <v>10</v>
      </c>
    </row>
    <row r="256" spans="1:7" x14ac:dyDescent="0.25">
      <c r="A256" t="s">
        <v>99</v>
      </c>
      <c r="B256" t="s">
        <v>100</v>
      </c>
      <c r="C256">
        <v>7000</v>
      </c>
      <c r="D256" t="s">
        <v>35</v>
      </c>
      <c r="E256" t="s">
        <v>42</v>
      </c>
      <c r="F256" s="5">
        <v>42370</v>
      </c>
      <c r="G256">
        <v>0</v>
      </c>
    </row>
    <row r="257" spans="1:7" x14ac:dyDescent="0.25">
      <c r="A257" t="s">
        <v>99</v>
      </c>
      <c r="B257" t="s">
        <v>100</v>
      </c>
      <c r="C257">
        <v>7000</v>
      </c>
      <c r="D257" t="s">
        <v>35</v>
      </c>
      <c r="E257" t="s">
        <v>42</v>
      </c>
      <c r="F257" s="5">
        <v>42736</v>
      </c>
      <c r="G257">
        <v>0</v>
      </c>
    </row>
    <row r="258" spans="1:7" x14ac:dyDescent="0.25">
      <c r="A258" t="s">
        <v>99</v>
      </c>
      <c r="B258" t="s">
        <v>100</v>
      </c>
      <c r="C258">
        <v>7000</v>
      </c>
      <c r="D258" t="s">
        <v>35</v>
      </c>
      <c r="E258" t="s">
        <v>43</v>
      </c>
      <c r="F258" s="5">
        <v>42370</v>
      </c>
      <c r="G258">
        <v>0</v>
      </c>
    </row>
    <row r="259" spans="1:7" x14ac:dyDescent="0.25">
      <c r="A259" t="s">
        <v>99</v>
      </c>
      <c r="B259" t="s">
        <v>100</v>
      </c>
      <c r="C259">
        <v>7000</v>
      </c>
      <c r="D259" t="s">
        <v>35</v>
      </c>
      <c r="E259" t="s">
        <v>43</v>
      </c>
      <c r="F259" s="5">
        <v>42736</v>
      </c>
      <c r="G259">
        <v>0</v>
      </c>
    </row>
    <row r="260" spans="1:7" x14ac:dyDescent="0.25">
      <c r="A260" t="s">
        <v>99</v>
      </c>
      <c r="B260" t="s">
        <v>100</v>
      </c>
      <c r="C260">
        <v>7000</v>
      </c>
      <c r="D260" t="s">
        <v>44</v>
      </c>
      <c r="E260" t="s">
        <v>36</v>
      </c>
      <c r="F260" s="5">
        <v>42370</v>
      </c>
      <c r="G260">
        <v>0</v>
      </c>
    </row>
    <row r="261" spans="1:7" x14ac:dyDescent="0.25">
      <c r="A261" t="s">
        <v>99</v>
      </c>
      <c r="B261" t="s">
        <v>100</v>
      </c>
      <c r="C261">
        <v>7000</v>
      </c>
      <c r="D261" t="s">
        <v>44</v>
      </c>
      <c r="E261" t="s">
        <v>36</v>
      </c>
      <c r="F261" s="5">
        <v>42736</v>
      </c>
      <c r="G261">
        <v>0</v>
      </c>
    </row>
    <row r="262" spans="1:7" x14ac:dyDescent="0.25">
      <c r="A262" t="s">
        <v>99</v>
      </c>
      <c r="B262" t="s">
        <v>100</v>
      </c>
      <c r="C262">
        <v>7000</v>
      </c>
      <c r="D262" t="s">
        <v>44</v>
      </c>
      <c r="E262" t="s">
        <v>37</v>
      </c>
      <c r="F262" s="5">
        <v>42370</v>
      </c>
      <c r="G262">
        <v>0</v>
      </c>
    </row>
    <row r="263" spans="1:7" x14ac:dyDescent="0.25">
      <c r="A263" t="s">
        <v>99</v>
      </c>
      <c r="B263" t="s">
        <v>100</v>
      </c>
      <c r="C263">
        <v>7000</v>
      </c>
      <c r="D263" t="s">
        <v>44</v>
      </c>
      <c r="E263" t="s">
        <v>37</v>
      </c>
      <c r="F263" s="5">
        <v>42736</v>
      </c>
      <c r="G263">
        <v>1</v>
      </c>
    </row>
    <row r="264" spans="1:7" x14ac:dyDescent="0.25">
      <c r="A264" t="s">
        <v>99</v>
      </c>
      <c r="B264" t="s">
        <v>100</v>
      </c>
      <c r="C264">
        <v>7000</v>
      </c>
      <c r="D264" t="s">
        <v>44</v>
      </c>
      <c r="E264" t="s">
        <v>38</v>
      </c>
      <c r="F264" s="5">
        <v>42370</v>
      </c>
      <c r="G264">
        <v>0</v>
      </c>
    </row>
    <row r="265" spans="1:7" x14ac:dyDescent="0.25">
      <c r="A265" t="s">
        <v>99</v>
      </c>
      <c r="B265" t="s">
        <v>100</v>
      </c>
      <c r="C265">
        <v>7000</v>
      </c>
      <c r="D265" t="s">
        <v>44</v>
      </c>
      <c r="E265" t="s">
        <v>38</v>
      </c>
      <c r="F265" s="5">
        <v>42736</v>
      </c>
      <c r="G265">
        <v>0</v>
      </c>
    </row>
    <row r="266" spans="1:7" x14ac:dyDescent="0.25">
      <c r="A266" t="s">
        <v>99</v>
      </c>
      <c r="B266" t="s">
        <v>100</v>
      </c>
      <c r="C266">
        <v>7000</v>
      </c>
      <c r="D266" t="s">
        <v>44</v>
      </c>
      <c r="E266" t="s">
        <v>39</v>
      </c>
      <c r="F266" s="5">
        <v>42370</v>
      </c>
      <c r="G266">
        <v>0</v>
      </c>
    </row>
    <row r="267" spans="1:7" x14ac:dyDescent="0.25">
      <c r="A267" t="s">
        <v>99</v>
      </c>
      <c r="B267" t="s">
        <v>100</v>
      </c>
      <c r="C267">
        <v>7000</v>
      </c>
      <c r="D267" t="s">
        <v>44</v>
      </c>
      <c r="E267" t="s">
        <v>39</v>
      </c>
      <c r="F267" s="5">
        <v>42736</v>
      </c>
      <c r="G267">
        <v>0</v>
      </c>
    </row>
    <row r="268" spans="1:7" x14ac:dyDescent="0.25">
      <c r="A268" t="s">
        <v>99</v>
      </c>
      <c r="B268" t="s">
        <v>100</v>
      </c>
      <c r="C268">
        <v>7000</v>
      </c>
      <c r="D268" t="s">
        <v>44</v>
      </c>
      <c r="E268" t="s">
        <v>40</v>
      </c>
      <c r="F268" s="5">
        <v>42370</v>
      </c>
      <c r="G268">
        <v>0</v>
      </c>
    </row>
    <row r="269" spans="1:7" x14ac:dyDescent="0.25">
      <c r="A269" t="s">
        <v>99</v>
      </c>
      <c r="B269" t="s">
        <v>100</v>
      </c>
      <c r="C269">
        <v>7000</v>
      </c>
      <c r="D269" t="s">
        <v>44</v>
      </c>
      <c r="E269" t="s">
        <v>40</v>
      </c>
      <c r="F269" s="5">
        <v>42736</v>
      </c>
      <c r="G269">
        <v>0</v>
      </c>
    </row>
    <row r="270" spans="1:7" x14ac:dyDescent="0.25">
      <c r="A270" t="s">
        <v>99</v>
      </c>
      <c r="B270" t="s">
        <v>100</v>
      </c>
      <c r="C270">
        <v>7000</v>
      </c>
      <c r="D270" t="s">
        <v>44</v>
      </c>
      <c r="E270" t="s">
        <v>41</v>
      </c>
      <c r="F270" s="5">
        <v>42370</v>
      </c>
      <c r="G270">
        <v>0</v>
      </c>
    </row>
    <row r="271" spans="1:7" x14ac:dyDescent="0.25">
      <c r="A271" t="s">
        <v>99</v>
      </c>
      <c r="B271" t="s">
        <v>100</v>
      </c>
      <c r="C271">
        <v>7000</v>
      </c>
      <c r="D271" t="s">
        <v>44</v>
      </c>
      <c r="E271" t="s">
        <v>41</v>
      </c>
      <c r="F271" s="5">
        <v>42736</v>
      </c>
      <c r="G271">
        <v>0</v>
      </c>
    </row>
    <row r="272" spans="1:7" x14ac:dyDescent="0.25">
      <c r="A272" t="s">
        <v>99</v>
      </c>
      <c r="B272" t="s">
        <v>100</v>
      </c>
      <c r="C272">
        <v>7000</v>
      </c>
      <c r="D272" t="s">
        <v>44</v>
      </c>
      <c r="E272" t="s">
        <v>42</v>
      </c>
      <c r="F272" s="5">
        <v>42370</v>
      </c>
      <c r="G272">
        <v>0</v>
      </c>
    </row>
    <row r="273" spans="1:7" x14ac:dyDescent="0.25">
      <c r="A273" t="s">
        <v>99</v>
      </c>
      <c r="B273" t="s">
        <v>100</v>
      </c>
      <c r="C273">
        <v>7000</v>
      </c>
      <c r="D273" t="s">
        <v>44</v>
      </c>
      <c r="E273" t="s">
        <v>42</v>
      </c>
      <c r="F273" s="5">
        <v>42736</v>
      </c>
      <c r="G273">
        <v>0</v>
      </c>
    </row>
    <row r="274" spans="1:7" x14ac:dyDescent="0.25">
      <c r="A274" t="s">
        <v>99</v>
      </c>
      <c r="B274" t="s">
        <v>100</v>
      </c>
      <c r="C274">
        <v>7000</v>
      </c>
      <c r="D274" t="s">
        <v>44</v>
      </c>
      <c r="E274" t="s">
        <v>43</v>
      </c>
      <c r="F274" s="5">
        <v>42370</v>
      </c>
      <c r="G274">
        <v>0</v>
      </c>
    </row>
    <row r="275" spans="1:7" x14ac:dyDescent="0.25">
      <c r="A275" t="s">
        <v>99</v>
      </c>
      <c r="B275" t="s">
        <v>100</v>
      </c>
      <c r="C275">
        <v>7000</v>
      </c>
      <c r="D275" t="s">
        <v>44</v>
      </c>
      <c r="E275" t="s">
        <v>43</v>
      </c>
      <c r="F275" s="5">
        <v>42736</v>
      </c>
      <c r="G275">
        <v>0</v>
      </c>
    </row>
    <row r="276" spans="1:7" x14ac:dyDescent="0.25">
      <c r="A276" t="s">
        <v>99</v>
      </c>
      <c r="B276" t="s">
        <v>100</v>
      </c>
      <c r="C276">
        <v>7000</v>
      </c>
      <c r="D276" t="s">
        <v>45</v>
      </c>
      <c r="E276" t="s">
        <v>46</v>
      </c>
      <c r="F276" s="5">
        <v>42370</v>
      </c>
      <c r="G276">
        <v>0</v>
      </c>
    </row>
    <row r="277" spans="1:7" x14ac:dyDescent="0.25">
      <c r="A277" t="s">
        <v>99</v>
      </c>
      <c r="B277" t="s">
        <v>100</v>
      </c>
      <c r="C277">
        <v>7000</v>
      </c>
      <c r="D277" t="s">
        <v>45</v>
      </c>
      <c r="E277" t="s">
        <v>46</v>
      </c>
      <c r="F277" s="5">
        <v>42736</v>
      </c>
      <c r="G277">
        <v>0</v>
      </c>
    </row>
    <row r="278" spans="1:7" x14ac:dyDescent="0.25">
      <c r="A278" t="s">
        <v>99</v>
      </c>
      <c r="B278" t="s">
        <v>100</v>
      </c>
      <c r="C278">
        <v>7000</v>
      </c>
      <c r="D278" t="s">
        <v>45</v>
      </c>
      <c r="E278" t="s">
        <v>47</v>
      </c>
      <c r="F278" s="5">
        <v>42370</v>
      </c>
      <c r="G278">
        <v>3</v>
      </c>
    </row>
    <row r="279" spans="1:7" x14ac:dyDescent="0.25">
      <c r="A279" t="s">
        <v>99</v>
      </c>
      <c r="B279" t="s">
        <v>100</v>
      </c>
      <c r="C279">
        <v>7000</v>
      </c>
      <c r="D279" t="s">
        <v>45</v>
      </c>
      <c r="E279" t="s">
        <v>47</v>
      </c>
      <c r="F279" s="5">
        <v>42736</v>
      </c>
      <c r="G279">
        <v>8</v>
      </c>
    </row>
    <row r="280" spans="1:7" x14ac:dyDescent="0.25">
      <c r="A280" t="s">
        <v>99</v>
      </c>
      <c r="B280" t="s">
        <v>100</v>
      </c>
      <c r="C280">
        <v>7000</v>
      </c>
      <c r="D280" t="s">
        <v>45</v>
      </c>
      <c r="E280" t="s">
        <v>48</v>
      </c>
      <c r="F280" s="5">
        <v>42370</v>
      </c>
      <c r="G280">
        <v>98</v>
      </c>
    </row>
    <row r="281" spans="1:7" x14ac:dyDescent="0.25">
      <c r="A281" t="s">
        <v>99</v>
      </c>
      <c r="B281" t="s">
        <v>100</v>
      </c>
      <c r="C281">
        <v>7000</v>
      </c>
      <c r="D281" t="s">
        <v>45</v>
      </c>
      <c r="E281" t="s">
        <v>48</v>
      </c>
      <c r="F281" s="5">
        <v>42736</v>
      </c>
      <c r="G281">
        <v>151</v>
      </c>
    </row>
    <row r="282" spans="1:7" x14ac:dyDescent="0.25">
      <c r="A282" t="s">
        <v>99</v>
      </c>
      <c r="B282" t="s">
        <v>100</v>
      </c>
      <c r="C282">
        <v>7000</v>
      </c>
      <c r="D282" t="s">
        <v>45</v>
      </c>
      <c r="E282" t="s">
        <v>49</v>
      </c>
      <c r="F282" s="5">
        <v>42370</v>
      </c>
      <c r="G282">
        <v>78</v>
      </c>
    </row>
    <row r="283" spans="1:7" x14ac:dyDescent="0.25">
      <c r="A283" t="s">
        <v>99</v>
      </c>
      <c r="B283" t="s">
        <v>100</v>
      </c>
      <c r="C283">
        <v>7000</v>
      </c>
      <c r="D283" t="s">
        <v>45</v>
      </c>
      <c r="E283" t="s">
        <v>49</v>
      </c>
      <c r="F283" s="5">
        <v>42736</v>
      </c>
      <c r="G283">
        <v>123</v>
      </c>
    </row>
    <row r="284" spans="1:7" x14ac:dyDescent="0.25">
      <c r="A284" t="s">
        <v>99</v>
      </c>
      <c r="B284" t="s">
        <v>100</v>
      </c>
      <c r="C284">
        <v>7000</v>
      </c>
      <c r="D284" t="s">
        <v>45</v>
      </c>
      <c r="E284" t="s">
        <v>50</v>
      </c>
      <c r="F284" s="5">
        <v>42370</v>
      </c>
      <c r="G284">
        <v>0</v>
      </c>
    </row>
    <row r="285" spans="1:7" x14ac:dyDescent="0.25">
      <c r="A285" t="s">
        <v>99</v>
      </c>
      <c r="B285" t="s">
        <v>100</v>
      </c>
      <c r="C285">
        <v>7000</v>
      </c>
      <c r="D285" t="s">
        <v>45</v>
      </c>
      <c r="E285" t="s">
        <v>50</v>
      </c>
      <c r="F285" s="5">
        <v>42736</v>
      </c>
      <c r="G285">
        <v>0</v>
      </c>
    </row>
    <row r="286" spans="1:7" x14ac:dyDescent="0.25">
      <c r="A286" t="s">
        <v>99</v>
      </c>
      <c r="B286" t="s">
        <v>100</v>
      </c>
      <c r="C286">
        <v>7000</v>
      </c>
      <c r="D286" t="s">
        <v>45</v>
      </c>
      <c r="E286" t="s">
        <v>51</v>
      </c>
      <c r="F286" s="5">
        <v>42370</v>
      </c>
      <c r="G286">
        <v>0</v>
      </c>
    </row>
    <row r="287" spans="1:7" x14ac:dyDescent="0.25">
      <c r="A287" t="s">
        <v>99</v>
      </c>
      <c r="B287" t="s">
        <v>100</v>
      </c>
      <c r="C287">
        <v>7000</v>
      </c>
      <c r="D287" t="s">
        <v>45</v>
      </c>
      <c r="E287" t="s">
        <v>51</v>
      </c>
      <c r="F287" s="5">
        <v>42736</v>
      </c>
      <c r="G287">
        <v>0</v>
      </c>
    </row>
    <row r="288" spans="1:7" x14ac:dyDescent="0.25">
      <c r="A288" t="s">
        <v>99</v>
      </c>
      <c r="B288" t="s">
        <v>100</v>
      </c>
      <c r="C288">
        <v>7000</v>
      </c>
      <c r="D288" t="s">
        <v>45</v>
      </c>
      <c r="E288" t="s">
        <v>52</v>
      </c>
      <c r="F288" s="5">
        <v>42370</v>
      </c>
      <c r="G288">
        <v>1</v>
      </c>
    </row>
    <row r="289" spans="1:7" x14ac:dyDescent="0.25">
      <c r="A289" t="s">
        <v>99</v>
      </c>
      <c r="B289" t="s">
        <v>100</v>
      </c>
      <c r="C289">
        <v>7000</v>
      </c>
      <c r="D289" t="s">
        <v>45</v>
      </c>
      <c r="E289" t="s">
        <v>52</v>
      </c>
      <c r="F289" s="5">
        <v>42736</v>
      </c>
      <c r="G289">
        <v>2</v>
      </c>
    </row>
    <row r="290" spans="1:7" x14ac:dyDescent="0.25">
      <c r="A290" t="s">
        <v>99</v>
      </c>
      <c r="B290" t="s">
        <v>100</v>
      </c>
      <c r="C290">
        <v>7000</v>
      </c>
      <c r="D290" t="s">
        <v>45</v>
      </c>
      <c r="E290" t="s">
        <v>53</v>
      </c>
      <c r="F290" s="5">
        <v>42370</v>
      </c>
      <c r="G290">
        <v>35</v>
      </c>
    </row>
    <row r="291" spans="1:7" x14ac:dyDescent="0.25">
      <c r="A291" t="s">
        <v>99</v>
      </c>
      <c r="B291" t="s">
        <v>100</v>
      </c>
      <c r="C291">
        <v>7000</v>
      </c>
      <c r="D291" t="s">
        <v>45</v>
      </c>
      <c r="E291" t="s">
        <v>53</v>
      </c>
      <c r="F291" s="5">
        <v>42736</v>
      </c>
      <c r="G291">
        <v>99</v>
      </c>
    </row>
    <row r="292" spans="1:7" x14ac:dyDescent="0.25">
      <c r="A292" t="s">
        <v>99</v>
      </c>
      <c r="B292" t="s">
        <v>100</v>
      </c>
      <c r="C292">
        <v>7000</v>
      </c>
      <c r="D292" t="s">
        <v>45</v>
      </c>
      <c r="E292" t="s">
        <v>54</v>
      </c>
      <c r="F292" s="5">
        <v>42370</v>
      </c>
      <c r="G292">
        <v>3</v>
      </c>
    </row>
    <row r="293" spans="1:7" x14ac:dyDescent="0.25">
      <c r="A293" t="s">
        <v>99</v>
      </c>
      <c r="B293" t="s">
        <v>100</v>
      </c>
      <c r="C293">
        <v>7000</v>
      </c>
      <c r="D293" t="s">
        <v>45</v>
      </c>
      <c r="E293" t="s">
        <v>54</v>
      </c>
      <c r="F293" s="5">
        <v>42736</v>
      </c>
      <c r="G293">
        <v>2</v>
      </c>
    </row>
    <row r="294" spans="1:7" x14ac:dyDescent="0.25">
      <c r="A294" t="s">
        <v>99</v>
      </c>
      <c r="B294" t="s">
        <v>100</v>
      </c>
      <c r="C294">
        <v>7000</v>
      </c>
      <c r="D294" t="s">
        <v>45</v>
      </c>
      <c r="E294" t="s">
        <v>55</v>
      </c>
      <c r="F294" s="5">
        <v>42370</v>
      </c>
      <c r="G294">
        <v>2</v>
      </c>
    </row>
    <row r="295" spans="1:7" x14ac:dyDescent="0.25">
      <c r="A295" t="s">
        <v>99</v>
      </c>
      <c r="B295" t="s">
        <v>100</v>
      </c>
      <c r="C295">
        <v>7000</v>
      </c>
      <c r="D295" t="s">
        <v>45</v>
      </c>
      <c r="E295" t="s">
        <v>55</v>
      </c>
      <c r="F295" s="5">
        <v>42736</v>
      </c>
      <c r="G295">
        <v>1</v>
      </c>
    </row>
    <row r="296" spans="1:7" x14ac:dyDescent="0.25">
      <c r="A296" t="s">
        <v>99</v>
      </c>
      <c r="B296" t="s">
        <v>100</v>
      </c>
      <c r="C296">
        <v>7000</v>
      </c>
      <c r="D296" t="s">
        <v>45</v>
      </c>
      <c r="E296" t="s">
        <v>56</v>
      </c>
      <c r="F296" s="5">
        <v>42370</v>
      </c>
      <c r="G296">
        <v>1</v>
      </c>
    </row>
    <row r="297" spans="1:7" x14ac:dyDescent="0.25">
      <c r="A297" t="s">
        <v>99</v>
      </c>
      <c r="B297" t="s">
        <v>100</v>
      </c>
      <c r="C297">
        <v>7000</v>
      </c>
      <c r="D297" t="s">
        <v>45</v>
      </c>
      <c r="E297" t="s">
        <v>56</v>
      </c>
      <c r="F297" s="5">
        <v>42736</v>
      </c>
      <c r="G297">
        <v>2</v>
      </c>
    </row>
    <row r="298" spans="1:7" x14ac:dyDescent="0.25">
      <c r="A298" t="s">
        <v>99</v>
      </c>
      <c r="B298" t="s">
        <v>100</v>
      </c>
      <c r="C298">
        <v>7000</v>
      </c>
      <c r="D298" t="s">
        <v>45</v>
      </c>
      <c r="E298" t="s">
        <v>57</v>
      </c>
      <c r="F298" s="5">
        <v>42370</v>
      </c>
      <c r="G298">
        <v>1</v>
      </c>
    </row>
    <row r="299" spans="1:7" x14ac:dyDescent="0.25">
      <c r="A299" t="s">
        <v>99</v>
      </c>
      <c r="B299" t="s">
        <v>100</v>
      </c>
      <c r="C299">
        <v>7000</v>
      </c>
      <c r="D299" t="s">
        <v>45</v>
      </c>
      <c r="E299" t="s">
        <v>57</v>
      </c>
      <c r="F299" s="5">
        <v>42736</v>
      </c>
      <c r="G299">
        <v>2</v>
      </c>
    </row>
    <row r="300" spans="1:7" x14ac:dyDescent="0.25">
      <c r="A300" t="s">
        <v>99</v>
      </c>
      <c r="B300" t="s">
        <v>100</v>
      </c>
      <c r="C300">
        <v>7000</v>
      </c>
      <c r="D300" t="s">
        <v>45</v>
      </c>
      <c r="E300" t="s">
        <v>58</v>
      </c>
      <c r="F300" s="5">
        <v>42370</v>
      </c>
      <c r="G300">
        <v>3</v>
      </c>
    </row>
    <row r="301" spans="1:7" x14ac:dyDescent="0.25">
      <c r="A301" t="s">
        <v>99</v>
      </c>
      <c r="B301" t="s">
        <v>100</v>
      </c>
      <c r="C301">
        <v>7000</v>
      </c>
      <c r="D301" t="s">
        <v>45</v>
      </c>
      <c r="E301" t="s">
        <v>58</v>
      </c>
      <c r="F301" s="5">
        <v>42736</v>
      </c>
      <c r="G301">
        <v>7</v>
      </c>
    </row>
    <row r="302" spans="1:7" x14ac:dyDescent="0.25">
      <c r="A302" t="s">
        <v>99</v>
      </c>
      <c r="B302" t="s">
        <v>100</v>
      </c>
      <c r="C302">
        <v>7000</v>
      </c>
      <c r="D302" t="s">
        <v>45</v>
      </c>
      <c r="E302" t="s">
        <v>59</v>
      </c>
      <c r="F302" s="5">
        <v>42370</v>
      </c>
      <c r="G302">
        <v>25</v>
      </c>
    </row>
    <row r="303" spans="1:7" x14ac:dyDescent="0.25">
      <c r="A303" t="s">
        <v>99</v>
      </c>
      <c r="B303" t="s">
        <v>100</v>
      </c>
      <c r="C303">
        <v>7000</v>
      </c>
      <c r="D303" t="s">
        <v>45</v>
      </c>
      <c r="E303" t="s">
        <v>59</v>
      </c>
      <c r="F303" s="5">
        <v>42736</v>
      </c>
      <c r="G303">
        <v>30</v>
      </c>
    </row>
    <row r="304" spans="1:7" x14ac:dyDescent="0.25">
      <c r="A304" t="s">
        <v>99</v>
      </c>
      <c r="B304" t="s">
        <v>100</v>
      </c>
      <c r="C304">
        <v>7000</v>
      </c>
      <c r="D304" t="s">
        <v>45</v>
      </c>
      <c r="E304" t="s">
        <v>60</v>
      </c>
      <c r="F304" s="5">
        <v>42370</v>
      </c>
      <c r="G304">
        <v>24</v>
      </c>
    </row>
    <row r="305" spans="1:7" x14ac:dyDescent="0.25">
      <c r="A305" t="s">
        <v>99</v>
      </c>
      <c r="B305" t="s">
        <v>100</v>
      </c>
      <c r="C305">
        <v>7000</v>
      </c>
      <c r="D305" t="s">
        <v>45</v>
      </c>
      <c r="E305" t="s">
        <v>60</v>
      </c>
      <c r="F305" s="5">
        <v>42736</v>
      </c>
      <c r="G305">
        <v>12</v>
      </c>
    </row>
    <row r="306" spans="1:7" x14ac:dyDescent="0.25">
      <c r="A306" t="s">
        <v>99</v>
      </c>
      <c r="B306" t="s">
        <v>100</v>
      </c>
      <c r="C306">
        <v>7000</v>
      </c>
      <c r="D306" t="s">
        <v>45</v>
      </c>
      <c r="E306" t="s">
        <v>61</v>
      </c>
      <c r="F306" s="5">
        <v>42370</v>
      </c>
      <c r="G306">
        <v>0</v>
      </c>
    </row>
    <row r="307" spans="1:7" x14ac:dyDescent="0.25">
      <c r="A307" t="s">
        <v>99</v>
      </c>
      <c r="B307" t="s">
        <v>100</v>
      </c>
      <c r="C307">
        <v>7000</v>
      </c>
      <c r="D307" t="s">
        <v>45</v>
      </c>
      <c r="E307" t="s">
        <v>61</v>
      </c>
      <c r="F307" s="5">
        <v>42736</v>
      </c>
      <c r="G307">
        <v>0</v>
      </c>
    </row>
    <row r="308" spans="1:7" x14ac:dyDescent="0.25">
      <c r="A308" t="s">
        <v>99</v>
      </c>
      <c r="B308" t="s">
        <v>100</v>
      </c>
      <c r="C308">
        <v>7000</v>
      </c>
      <c r="D308" t="s">
        <v>62</v>
      </c>
      <c r="E308" t="s">
        <v>63</v>
      </c>
      <c r="F308" s="5">
        <v>42370</v>
      </c>
      <c r="G308">
        <v>1</v>
      </c>
    </row>
    <row r="309" spans="1:7" x14ac:dyDescent="0.25">
      <c r="A309" t="s">
        <v>99</v>
      </c>
      <c r="B309" t="s">
        <v>100</v>
      </c>
      <c r="C309">
        <v>7000</v>
      </c>
      <c r="D309" t="s">
        <v>62</v>
      </c>
      <c r="E309" t="s">
        <v>63</v>
      </c>
      <c r="F309" s="5">
        <v>42736</v>
      </c>
      <c r="G309">
        <v>0</v>
      </c>
    </row>
    <row r="310" spans="1:7" x14ac:dyDescent="0.25">
      <c r="A310" t="s">
        <v>99</v>
      </c>
      <c r="B310" t="s">
        <v>100</v>
      </c>
      <c r="C310">
        <v>7000</v>
      </c>
      <c r="D310" t="s">
        <v>62</v>
      </c>
      <c r="E310" t="s">
        <v>64</v>
      </c>
      <c r="F310" s="5">
        <v>42370</v>
      </c>
      <c r="G310">
        <v>0</v>
      </c>
    </row>
    <row r="311" spans="1:7" x14ac:dyDescent="0.25">
      <c r="A311" t="s">
        <v>99</v>
      </c>
      <c r="B311" t="s">
        <v>100</v>
      </c>
      <c r="C311">
        <v>7000</v>
      </c>
      <c r="D311" t="s">
        <v>62</v>
      </c>
      <c r="E311" t="s">
        <v>64</v>
      </c>
      <c r="F311" s="5">
        <v>42736</v>
      </c>
      <c r="G311">
        <v>0</v>
      </c>
    </row>
    <row r="312" spans="1:7" x14ac:dyDescent="0.25">
      <c r="A312" t="s">
        <v>99</v>
      </c>
      <c r="B312" t="s">
        <v>100</v>
      </c>
      <c r="C312">
        <v>7000</v>
      </c>
      <c r="D312" t="s">
        <v>62</v>
      </c>
      <c r="E312" t="s">
        <v>9</v>
      </c>
      <c r="F312" s="5">
        <v>42370</v>
      </c>
      <c r="G312">
        <v>0</v>
      </c>
    </row>
    <row r="313" spans="1:7" x14ac:dyDescent="0.25">
      <c r="A313" t="s">
        <v>99</v>
      </c>
      <c r="B313" t="s">
        <v>100</v>
      </c>
      <c r="C313">
        <v>7000</v>
      </c>
      <c r="D313" t="s">
        <v>62</v>
      </c>
      <c r="E313" t="s">
        <v>9</v>
      </c>
      <c r="F313" s="5">
        <v>42736</v>
      </c>
      <c r="G313">
        <v>1</v>
      </c>
    </row>
    <row r="314" spans="1:7" x14ac:dyDescent="0.25">
      <c r="A314" t="s">
        <v>99</v>
      </c>
      <c r="B314" t="s">
        <v>100</v>
      </c>
      <c r="C314">
        <v>7000</v>
      </c>
      <c r="D314" t="s">
        <v>62</v>
      </c>
      <c r="E314" t="s">
        <v>65</v>
      </c>
      <c r="F314" s="5">
        <v>42370</v>
      </c>
      <c r="G314">
        <v>0</v>
      </c>
    </row>
    <row r="315" spans="1:7" x14ac:dyDescent="0.25">
      <c r="A315" t="s">
        <v>99</v>
      </c>
      <c r="B315" t="s">
        <v>100</v>
      </c>
      <c r="C315">
        <v>7000</v>
      </c>
      <c r="D315" t="s">
        <v>62</v>
      </c>
      <c r="E315" t="s">
        <v>65</v>
      </c>
      <c r="F315" s="5">
        <v>42736</v>
      </c>
      <c r="G315">
        <v>0</v>
      </c>
    </row>
    <row r="316" spans="1:7" x14ac:dyDescent="0.25">
      <c r="A316" t="s">
        <v>99</v>
      </c>
      <c r="B316" t="s">
        <v>100</v>
      </c>
      <c r="C316">
        <v>7000</v>
      </c>
      <c r="D316" t="s">
        <v>62</v>
      </c>
      <c r="E316" t="s">
        <v>66</v>
      </c>
      <c r="F316" s="5">
        <v>42370</v>
      </c>
      <c r="G316">
        <v>0</v>
      </c>
    </row>
    <row r="317" spans="1:7" x14ac:dyDescent="0.25">
      <c r="A317" t="s">
        <v>99</v>
      </c>
      <c r="B317" t="s">
        <v>100</v>
      </c>
      <c r="C317">
        <v>7000</v>
      </c>
      <c r="D317" t="s">
        <v>62</v>
      </c>
      <c r="E317" t="s">
        <v>66</v>
      </c>
      <c r="F317" s="5">
        <v>42736</v>
      </c>
      <c r="G317">
        <v>0</v>
      </c>
    </row>
    <row r="318" spans="1:7" x14ac:dyDescent="0.25">
      <c r="A318" t="s">
        <v>99</v>
      </c>
      <c r="B318" t="s">
        <v>100</v>
      </c>
      <c r="C318">
        <v>7000</v>
      </c>
      <c r="D318" t="s">
        <v>62</v>
      </c>
      <c r="E318" t="s">
        <v>67</v>
      </c>
      <c r="F318" s="5">
        <v>42370</v>
      </c>
      <c r="G318">
        <v>0</v>
      </c>
    </row>
    <row r="319" spans="1:7" x14ac:dyDescent="0.25">
      <c r="A319" t="s">
        <v>99</v>
      </c>
      <c r="B319" t="s">
        <v>100</v>
      </c>
      <c r="C319">
        <v>7000</v>
      </c>
      <c r="D319" t="s">
        <v>62</v>
      </c>
      <c r="E319" t="s">
        <v>67</v>
      </c>
      <c r="F319" s="5">
        <v>42736</v>
      </c>
      <c r="G319">
        <v>0</v>
      </c>
    </row>
    <row r="320" spans="1:7" x14ac:dyDescent="0.25">
      <c r="A320" t="s">
        <v>99</v>
      </c>
      <c r="B320" t="s">
        <v>100</v>
      </c>
      <c r="C320">
        <v>7000</v>
      </c>
      <c r="D320" t="s">
        <v>62</v>
      </c>
      <c r="E320" t="s">
        <v>68</v>
      </c>
      <c r="F320" s="5">
        <v>42370</v>
      </c>
      <c r="G320">
        <v>0</v>
      </c>
    </row>
    <row r="321" spans="1:7" x14ac:dyDescent="0.25">
      <c r="A321" t="s">
        <v>99</v>
      </c>
      <c r="B321" t="s">
        <v>100</v>
      </c>
      <c r="C321">
        <v>7000</v>
      </c>
      <c r="D321" t="s">
        <v>62</v>
      </c>
      <c r="E321" t="s">
        <v>68</v>
      </c>
      <c r="F321" s="5">
        <v>42736</v>
      </c>
      <c r="G321">
        <v>4</v>
      </c>
    </row>
    <row r="322" spans="1:7" x14ac:dyDescent="0.25">
      <c r="A322" t="s">
        <v>99</v>
      </c>
      <c r="B322" t="s">
        <v>100</v>
      </c>
      <c r="C322">
        <v>7000</v>
      </c>
      <c r="D322" t="s">
        <v>62</v>
      </c>
      <c r="E322" t="s">
        <v>69</v>
      </c>
      <c r="F322" s="5">
        <v>42370</v>
      </c>
      <c r="G322">
        <v>4</v>
      </c>
    </row>
    <row r="323" spans="1:7" x14ac:dyDescent="0.25">
      <c r="A323" t="s">
        <v>99</v>
      </c>
      <c r="B323" t="s">
        <v>100</v>
      </c>
      <c r="C323">
        <v>7000</v>
      </c>
      <c r="D323" t="s">
        <v>62</v>
      </c>
      <c r="E323" t="s">
        <v>69</v>
      </c>
      <c r="F323" s="5">
        <v>42736</v>
      </c>
      <c r="G323">
        <v>7</v>
      </c>
    </row>
    <row r="324" spans="1:7" x14ac:dyDescent="0.25">
      <c r="A324" t="s">
        <v>99</v>
      </c>
      <c r="B324" t="s">
        <v>100</v>
      </c>
      <c r="C324">
        <v>7000</v>
      </c>
      <c r="D324" t="s">
        <v>62</v>
      </c>
      <c r="E324" t="s">
        <v>70</v>
      </c>
      <c r="F324" s="5">
        <v>42370</v>
      </c>
      <c r="G324">
        <v>0</v>
      </c>
    </row>
    <row r="325" spans="1:7" x14ac:dyDescent="0.25">
      <c r="A325" t="s">
        <v>99</v>
      </c>
      <c r="B325" t="s">
        <v>100</v>
      </c>
      <c r="C325">
        <v>7000</v>
      </c>
      <c r="D325" t="s">
        <v>62</v>
      </c>
      <c r="E325" t="s">
        <v>70</v>
      </c>
      <c r="F325" s="5">
        <v>42736</v>
      </c>
      <c r="G325">
        <v>6</v>
      </c>
    </row>
    <row r="326" spans="1:7" x14ac:dyDescent="0.25">
      <c r="A326" t="s">
        <v>99</v>
      </c>
      <c r="B326" t="s">
        <v>100</v>
      </c>
      <c r="C326">
        <v>7000</v>
      </c>
      <c r="D326" t="s">
        <v>62</v>
      </c>
      <c r="E326" t="s">
        <v>71</v>
      </c>
      <c r="F326" s="5">
        <v>42370</v>
      </c>
      <c r="G326">
        <v>0</v>
      </c>
    </row>
    <row r="327" spans="1:7" x14ac:dyDescent="0.25">
      <c r="A327" t="s">
        <v>99</v>
      </c>
      <c r="B327" t="s">
        <v>100</v>
      </c>
      <c r="C327">
        <v>7000</v>
      </c>
      <c r="D327" t="s">
        <v>62</v>
      </c>
      <c r="E327" t="s">
        <v>71</v>
      </c>
      <c r="F327" s="5">
        <v>42736</v>
      </c>
      <c r="G327">
        <v>0</v>
      </c>
    </row>
    <row r="328" spans="1:7" x14ac:dyDescent="0.25">
      <c r="A328" t="s">
        <v>99</v>
      </c>
      <c r="B328" t="s">
        <v>100</v>
      </c>
      <c r="C328">
        <v>7000</v>
      </c>
      <c r="D328" t="s">
        <v>72</v>
      </c>
      <c r="E328" t="s">
        <v>73</v>
      </c>
      <c r="F328" s="5">
        <v>42370</v>
      </c>
      <c r="G328">
        <v>0</v>
      </c>
    </row>
    <row r="329" spans="1:7" x14ac:dyDescent="0.25">
      <c r="A329" t="s">
        <v>99</v>
      </c>
      <c r="B329" t="s">
        <v>100</v>
      </c>
      <c r="C329">
        <v>7000</v>
      </c>
      <c r="D329" t="s">
        <v>72</v>
      </c>
      <c r="E329" t="s">
        <v>73</v>
      </c>
      <c r="F329" s="5">
        <v>42736</v>
      </c>
      <c r="G329">
        <v>0</v>
      </c>
    </row>
    <row r="330" spans="1:7" x14ac:dyDescent="0.25">
      <c r="A330" t="s">
        <v>99</v>
      </c>
      <c r="B330" t="s">
        <v>100</v>
      </c>
      <c r="C330">
        <v>7000</v>
      </c>
      <c r="D330" t="s">
        <v>72</v>
      </c>
      <c r="E330" t="s">
        <v>9</v>
      </c>
      <c r="F330" s="5">
        <v>42370</v>
      </c>
      <c r="G330">
        <v>0</v>
      </c>
    </row>
    <row r="331" spans="1:7" x14ac:dyDescent="0.25">
      <c r="A331" t="s">
        <v>99</v>
      </c>
      <c r="B331" t="s">
        <v>100</v>
      </c>
      <c r="C331">
        <v>7000</v>
      </c>
      <c r="D331" t="s">
        <v>72</v>
      </c>
      <c r="E331" t="s">
        <v>9</v>
      </c>
      <c r="F331" s="5">
        <v>42736</v>
      </c>
      <c r="G331">
        <v>0</v>
      </c>
    </row>
    <row r="332" spans="1:7" x14ac:dyDescent="0.25">
      <c r="A332" t="s">
        <v>99</v>
      </c>
      <c r="B332" t="s">
        <v>100</v>
      </c>
      <c r="C332">
        <v>7000</v>
      </c>
      <c r="D332" t="s">
        <v>72</v>
      </c>
      <c r="E332" t="s">
        <v>34</v>
      </c>
      <c r="F332" s="5">
        <v>42370</v>
      </c>
      <c r="G332">
        <v>0</v>
      </c>
    </row>
    <row r="333" spans="1:7" x14ac:dyDescent="0.25">
      <c r="A333" t="s">
        <v>99</v>
      </c>
      <c r="B333" t="s">
        <v>100</v>
      </c>
      <c r="C333">
        <v>7000</v>
      </c>
      <c r="D333" t="s">
        <v>72</v>
      </c>
      <c r="E333" t="s">
        <v>34</v>
      </c>
      <c r="F333" s="5">
        <v>42736</v>
      </c>
      <c r="G333">
        <v>0</v>
      </c>
    </row>
    <row r="334" spans="1:7" x14ac:dyDescent="0.25">
      <c r="A334" t="s">
        <v>99</v>
      </c>
      <c r="B334" t="s">
        <v>100</v>
      </c>
      <c r="C334">
        <v>7000</v>
      </c>
      <c r="D334" t="s">
        <v>72</v>
      </c>
      <c r="E334" t="s">
        <v>74</v>
      </c>
      <c r="F334" s="5">
        <v>42370</v>
      </c>
      <c r="G334">
        <v>0</v>
      </c>
    </row>
    <row r="335" spans="1:7" x14ac:dyDescent="0.25">
      <c r="A335" t="s">
        <v>99</v>
      </c>
      <c r="B335" t="s">
        <v>100</v>
      </c>
      <c r="C335">
        <v>7000</v>
      </c>
      <c r="D335" t="s">
        <v>72</v>
      </c>
      <c r="E335" t="s">
        <v>74</v>
      </c>
      <c r="F335" s="5">
        <v>42736</v>
      </c>
      <c r="G335">
        <v>0</v>
      </c>
    </row>
    <row r="336" spans="1:7" x14ac:dyDescent="0.25">
      <c r="A336" t="s">
        <v>99</v>
      </c>
      <c r="B336" t="s">
        <v>100</v>
      </c>
      <c r="C336">
        <v>7000</v>
      </c>
      <c r="D336" t="s">
        <v>72</v>
      </c>
      <c r="E336" t="s">
        <v>75</v>
      </c>
      <c r="F336" s="5">
        <v>42370</v>
      </c>
      <c r="G336">
        <v>28</v>
      </c>
    </row>
    <row r="337" spans="1:7" x14ac:dyDescent="0.25">
      <c r="A337" t="s">
        <v>99</v>
      </c>
      <c r="B337" t="s">
        <v>100</v>
      </c>
      <c r="C337">
        <v>7000</v>
      </c>
      <c r="D337" t="s">
        <v>72</v>
      </c>
      <c r="E337" t="s">
        <v>75</v>
      </c>
      <c r="F337" s="5">
        <v>42736</v>
      </c>
      <c r="G337">
        <v>47</v>
      </c>
    </row>
    <row r="338" spans="1:7" x14ac:dyDescent="0.25">
      <c r="A338" t="s">
        <v>99</v>
      </c>
      <c r="B338" t="s">
        <v>100</v>
      </c>
      <c r="C338">
        <v>7000</v>
      </c>
      <c r="D338" t="s">
        <v>76</v>
      </c>
      <c r="E338" t="s">
        <v>9</v>
      </c>
      <c r="F338" s="5">
        <v>42370</v>
      </c>
      <c r="G338">
        <v>0</v>
      </c>
    </row>
    <row r="339" spans="1:7" x14ac:dyDescent="0.25">
      <c r="A339" t="s">
        <v>99</v>
      </c>
      <c r="B339" t="s">
        <v>100</v>
      </c>
      <c r="C339">
        <v>7000</v>
      </c>
      <c r="D339" t="s">
        <v>76</v>
      </c>
      <c r="E339" t="s">
        <v>9</v>
      </c>
      <c r="F339" s="5">
        <v>42736</v>
      </c>
      <c r="G339">
        <v>0</v>
      </c>
    </row>
    <row r="340" spans="1:7" x14ac:dyDescent="0.25">
      <c r="A340" t="s">
        <v>99</v>
      </c>
      <c r="B340" t="s">
        <v>100</v>
      </c>
      <c r="C340">
        <v>7000</v>
      </c>
      <c r="D340" t="s">
        <v>76</v>
      </c>
      <c r="E340" t="s">
        <v>77</v>
      </c>
      <c r="F340" s="5">
        <v>42370</v>
      </c>
      <c r="G340">
        <v>2</v>
      </c>
    </row>
    <row r="341" spans="1:7" x14ac:dyDescent="0.25">
      <c r="A341" t="s">
        <v>99</v>
      </c>
      <c r="B341" t="s">
        <v>100</v>
      </c>
      <c r="C341">
        <v>7000</v>
      </c>
      <c r="D341" t="s">
        <v>76</v>
      </c>
      <c r="E341" t="s">
        <v>77</v>
      </c>
      <c r="F341" s="5">
        <v>42736</v>
      </c>
      <c r="G341">
        <v>21</v>
      </c>
    </row>
    <row r="342" spans="1:7" x14ac:dyDescent="0.25">
      <c r="A342" t="s">
        <v>99</v>
      </c>
      <c r="B342" t="s">
        <v>100</v>
      </c>
      <c r="C342">
        <v>7000</v>
      </c>
      <c r="D342" t="s">
        <v>78</v>
      </c>
      <c r="E342" t="s">
        <v>79</v>
      </c>
      <c r="F342" s="5">
        <v>42370</v>
      </c>
      <c r="G342">
        <v>165</v>
      </c>
    </row>
    <row r="343" spans="1:7" x14ac:dyDescent="0.25">
      <c r="A343" t="s">
        <v>99</v>
      </c>
      <c r="B343" t="s">
        <v>100</v>
      </c>
      <c r="C343">
        <v>7000</v>
      </c>
      <c r="D343" t="s">
        <v>78</v>
      </c>
      <c r="E343" t="s">
        <v>79</v>
      </c>
      <c r="F343" s="5">
        <v>42736</v>
      </c>
      <c r="G343">
        <v>203</v>
      </c>
    </row>
    <row r="344" spans="1:7" x14ac:dyDescent="0.25">
      <c r="A344" t="s">
        <v>99</v>
      </c>
      <c r="B344" t="s">
        <v>100</v>
      </c>
      <c r="C344">
        <v>7000</v>
      </c>
      <c r="D344" t="s">
        <v>78</v>
      </c>
      <c r="E344" t="s">
        <v>80</v>
      </c>
      <c r="F344" s="5">
        <v>42370</v>
      </c>
      <c r="G344">
        <v>9</v>
      </c>
    </row>
    <row r="345" spans="1:7" x14ac:dyDescent="0.25">
      <c r="A345" t="s">
        <v>99</v>
      </c>
      <c r="B345" t="s">
        <v>100</v>
      </c>
      <c r="C345">
        <v>7000</v>
      </c>
      <c r="D345" t="s">
        <v>78</v>
      </c>
      <c r="E345" t="s">
        <v>80</v>
      </c>
      <c r="F345" s="5">
        <v>42736</v>
      </c>
      <c r="G345">
        <v>30</v>
      </c>
    </row>
    <row r="346" spans="1:7" x14ac:dyDescent="0.25">
      <c r="A346" t="s">
        <v>99</v>
      </c>
      <c r="B346" t="s">
        <v>100</v>
      </c>
      <c r="C346">
        <v>7000</v>
      </c>
      <c r="D346" t="s">
        <v>78</v>
      </c>
      <c r="E346" t="s">
        <v>81</v>
      </c>
      <c r="F346" s="5">
        <v>42370</v>
      </c>
      <c r="G346">
        <v>1797</v>
      </c>
    </row>
    <row r="347" spans="1:7" x14ac:dyDescent="0.25">
      <c r="A347" t="s">
        <v>99</v>
      </c>
      <c r="B347" t="s">
        <v>100</v>
      </c>
      <c r="C347">
        <v>7000</v>
      </c>
      <c r="D347" t="s">
        <v>78</v>
      </c>
      <c r="E347" t="s">
        <v>81</v>
      </c>
      <c r="F347" s="5">
        <v>42736</v>
      </c>
      <c r="G347">
        <v>2518</v>
      </c>
    </row>
    <row r="348" spans="1:7" x14ac:dyDescent="0.25">
      <c r="A348" t="s">
        <v>99</v>
      </c>
      <c r="B348" t="s">
        <v>100</v>
      </c>
      <c r="C348">
        <v>7000</v>
      </c>
      <c r="D348" t="s">
        <v>78</v>
      </c>
      <c r="E348" t="s">
        <v>82</v>
      </c>
      <c r="F348" s="5">
        <v>42370</v>
      </c>
      <c r="G348">
        <v>27</v>
      </c>
    </row>
    <row r="349" spans="1:7" x14ac:dyDescent="0.25">
      <c r="A349" t="s">
        <v>99</v>
      </c>
      <c r="B349" t="s">
        <v>100</v>
      </c>
      <c r="C349">
        <v>7000</v>
      </c>
      <c r="D349" t="s">
        <v>78</v>
      </c>
      <c r="E349" t="s">
        <v>82</v>
      </c>
      <c r="F349" s="5">
        <v>42736</v>
      </c>
      <c r="G349">
        <v>52</v>
      </c>
    </row>
    <row r="350" spans="1:7" x14ac:dyDescent="0.25">
      <c r="A350" t="s">
        <v>99</v>
      </c>
      <c r="B350" t="s">
        <v>100</v>
      </c>
      <c r="C350">
        <v>7000</v>
      </c>
      <c r="D350" t="s">
        <v>78</v>
      </c>
      <c r="E350" t="s">
        <v>83</v>
      </c>
      <c r="F350" s="5">
        <v>42370</v>
      </c>
      <c r="G350">
        <v>34</v>
      </c>
    </row>
    <row r="351" spans="1:7" x14ac:dyDescent="0.25">
      <c r="A351" t="s">
        <v>99</v>
      </c>
      <c r="B351" t="s">
        <v>100</v>
      </c>
      <c r="C351">
        <v>7000</v>
      </c>
      <c r="D351" t="s">
        <v>78</v>
      </c>
      <c r="E351" t="s">
        <v>83</v>
      </c>
      <c r="F351" s="5">
        <v>42736</v>
      </c>
      <c r="G351">
        <v>34</v>
      </c>
    </row>
    <row r="352" spans="1:7" x14ac:dyDescent="0.25">
      <c r="A352" t="s">
        <v>99</v>
      </c>
      <c r="B352" t="s">
        <v>100</v>
      </c>
      <c r="C352">
        <v>7000</v>
      </c>
      <c r="D352" t="s">
        <v>78</v>
      </c>
      <c r="E352" t="s">
        <v>84</v>
      </c>
      <c r="F352" s="5">
        <v>42370</v>
      </c>
      <c r="G352">
        <v>14</v>
      </c>
    </row>
    <row r="353" spans="1:7" x14ac:dyDescent="0.25">
      <c r="A353" t="s">
        <v>99</v>
      </c>
      <c r="B353" t="s">
        <v>100</v>
      </c>
      <c r="C353">
        <v>7000</v>
      </c>
      <c r="D353" t="s">
        <v>78</v>
      </c>
      <c r="E353" t="s">
        <v>84</v>
      </c>
      <c r="F353" s="5">
        <v>42736</v>
      </c>
      <c r="G353">
        <v>10</v>
      </c>
    </row>
    <row r="354" spans="1:7" x14ac:dyDescent="0.25">
      <c r="A354" t="s">
        <v>99</v>
      </c>
      <c r="B354" t="s">
        <v>100</v>
      </c>
      <c r="C354">
        <v>7000</v>
      </c>
      <c r="D354" t="s">
        <v>78</v>
      </c>
      <c r="E354" t="s">
        <v>85</v>
      </c>
      <c r="F354" s="5">
        <v>42370</v>
      </c>
      <c r="G354">
        <v>4</v>
      </c>
    </row>
    <row r="355" spans="1:7" x14ac:dyDescent="0.25">
      <c r="A355" t="s">
        <v>99</v>
      </c>
      <c r="B355" t="s">
        <v>100</v>
      </c>
      <c r="C355">
        <v>7000</v>
      </c>
      <c r="D355" t="s">
        <v>78</v>
      </c>
      <c r="E355" t="s">
        <v>85</v>
      </c>
      <c r="F355" s="5">
        <v>42736</v>
      </c>
      <c r="G355">
        <v>3</v>
      </c>
    </row>
    <row r="356" spans="1:7" x14ac:dyDescent="0.25">
      <c r="A356" t="s">
        <v>99</v>
      </c>
      <c r="B356" t="s">
        <v>100</v>
      </c>
      <c r="C356">
        <v>7000</v>
      </c>
      <c r="D356" t="s">
        <v>78</v>
      </c>
      <c r="E356" t="s">
        <v>86</v>
      </c>
      <c r="F356" s="5">
        <v>42370</v>
      </c>
      <c r="G356">
        <v>0</v>
      </c>
    </row>
    <row r="357" spans="1:7" x14ac:dyDescent="0.25">
      <c r="A357" t="s">
        <v>99</v>
      </c>
      <c r="B357" t="s">
        <v>100</v>
      </c>
      <c r="C357">
        <v>7000</v>
      </c>
      <c r="D357" t="s">
        <v>78</v>
      </c>
      <c r="E357" t="s">
        <v>86</v>
      </c>
      <c r="F357" s="5">
        <v>42736</v>
      </c>
      <c r="G357">
        <v>23</v>
      </c>
    </row>
    <row r="358" spans="1:7" x14ac:dyDescent="0.25">
      <c r="A358" t="s">
        <v>99</v>
      </c>
      <c r="B358" t="s">
        <v>100</v>
      </c>
      <c r="C358">
        <v>7000</v>
      </c>
      <c r="D358" t="s">
        <v>78</v>
      </c>
      <c r="E358" t="s">
        <v>87</v>
      </c>
      <c r="F358" s="5">
        <v>42370</v>
      </c>
      <c r="G358">
        <v>153</v>
      </c>
    </row>
    <row r="359" spans="1:7" x14ac:dyDescent="0.25">
      <c r="A359" t="s">
        <v>99</v>
      </c>
      <c r="B359" t="s">
        <v>100</v>
      </c>
      <c r="C359">
        <v>7000</v>
      </c>
      <c r="D359" t="s">
        <v>78</v>
      </c>
      <c r="E359" t="s">
        <v>87</v>
      </c>
      <c r="F359" s="5">
        <v>42736</v>
      </c>
      <c r="G359">
        <v>291</v>
      </c>
    </row>
    <row r="360" spans="1:7" x14ac:dyDescent="0.25">
      <c r="A360" t="s">
        <v>99</v>
      </c>
      <c r="B360" t="s">
        <v>100</v>
      </c>
      <c r="C360">
        <v>7000</v>
      </c>
      <c r="D360" t="s">
        <v>78</v>
      </c>
      <c r="E360" t="s">
        <v>88</v>
      </c>
      <c r="F360" s="5">
        <v>42370</v>
      </c>
      <c r="G360">
        <v>411</v>
      </c>
    </row>
    <row r="361" spans="1:7" x14ac:dyDescent="0.25">
      <c r="A361" t="s">
        <v>99</v>
      </c>
      <c r="B361" t="s">
        <v>100</v>
      </c>
      <c r="C361">
        <v>7000</v>
      </c>
      <c r="D361" t="s">
        <v>78</v>
      </c>
      <c r="E361" t="s">
        <v>88</v>
      </c>
      <c r="F361" s="5">
        <v>42736</v>
      </c>
      <c r="G361">
        <v>600</v>
      </c>
    </row>
    <row r="362" spans="1:7" x14ac:dyDescent="0.25">
      <c r="A362" t="s">
        <v>99</v>
      </c>
      <c r="B362" t="s">
        <v>100</v>
      </c>
      <c r="C362">
        <v>7000</v>
      </c>
      <c r="D362" t="s">
        <v>78</v>
      </c>
      <c r="E362" t="s">
        <v>89</v>
      </c>
      <c r="F362" s="5">
        <v>42370</v>
      </c>
      <c r="G362">
        <v>4913</v>
      </c>
    </row>
    <row r="363" spans="1:7" x14ac:dyDescent="0.25">
      <c r="A363" t="s">
        <v>99</v>
      </c>
      <c r="B363" t="s">
        <v>100</v>
      </c>
      <c r="C363">
        <v>7000</v>
      </c>
      <c r="D363" t="s">
        <v>78</v>
      </c>
      <c r="E363" t="s">
        <v>89</v>
      </c>
      <c r="F363" s="5">
        <v>42736</v>
      </c>
      <c r="G363">
        <v>8773</v>
      </c>
    </row>
    <row r="364" spans="1:7" x14ac:dyDescent="0.25">
      <c r="A364" t="s">
        <v>99</v>
      </c>
      <c r="B364" t="s">
        <v>100</v>
      </c>
      <c r="C364">
        <v>7000</v>
      </c>
      <c r="D364" t="s">
        <v>78</v>
      </c>
      <c r="E364" t="s">
        <v>90</v>
      </c>
      <c r="F364" s="5">
        <v>42370</v>
      </c>
      <c r="G364">
        <v>1</v>
      </c>
    </row>
    <row r="365" spans="1:7" x14ac:dyDescent="0.25">
      <c r="A365" t="s">
        <v>99</v>
      </c>
      <c r="B365" t="s">
        <v>100</v>
      </c>
      <c r="C365">
        <v>7000</v>
      </c>
      <c r="D365" t="s">
        <v>78</v>
      </c>
      <c r="E365" t="s">
        <v>90</v>
      </c>
      <c r="F365" s="5">
        <v>42736</v>
      </c>
      <c r="G365">
        <v>3</v>
      </c>
    </row>
    <row r="366" spans="1:7" x14ac:dyDescent="0.25">
      <c r="A366" t="s">
        <v>99</v>
      </c>
      <c r="B366" t="s">
        <v>100</v>
      </c>
      <c r="C366">
        <v>7000</v>
      </c>
      <c r="D366" t="s">
        <v>78</v>
      </c>
      <c r="E366" t="s">
        <v>91</v>
      </c>
      <c r="F366" s="5">
        <v>42370</v>
      </c>
      <c r="G366">
        <v>172</v>
      </c>
    </row>
    <row r="367" spans="1:7" x14ac:dyDescent="0.25">
      <c r="A367" t="s">
        <v>99</v>
      </c>
      <c r="B367" t="s">
        <v>100</v>
      </c>
      <c r="C367">
        <v>7000</v>
      </c>
      <c r="D367" t="s">
        <v>78</v>
      </c>
      <c r="E367" t="s">
        <v>91</v>
      </c>
      <c r="F367" s="5">
        <v>42736</v>
      </c>
      <c r="G367">
        <v>288</v>
      </c>
    </row>
    <row r="368" spans="1:7" x14ac:dyDescent="0.25">
      <c r="A368" t="s">
        <v>99</v>
      </c>
      <c r="B368" t="s">
        <v>100</v>
      </c>
      <c r="C368">
        <v>7000</v>
      </c>
      <c r="D368" t="s">
        <v>78</v>
      </c>
      <c r="E368" t="s">
        <v>92</v>
      </c>
      <c r="F368" s="5">
        <v>42370</v>
      </c>
      <c r="G368">
        <v>9</v>
      </c>
    </row>
    <row r="369" spans="1:7" x14ac:dyDescent="0.25">
      <c r="A369" t="s">
        <v>99</v>
      </c>
      <c r="B369" t="s">
        <v>100</v>
      </c>
      <c r="C369">
        <v>7000</v>
      </c>
      <c r="D369" t="s">
        <v>78</v>
      </c>
      <c r="E369" t="s">
        <v>92</v>
      </c>
      <c r="F369" s="5">
        <v>42736</v>
      </c>
      <c r="G369">
        <v>16</v>
      </c>
    </row>
    <row r="370" spans="1:7" x14ac:dyDescent="0.25">
      <c r="A370" t="s">
        <v>99</v>
      </c>
      <c r="B370" t="s">
        <v>100</v>
      </c>
      <c r="C370">
        <v>7000</v>
      </c>
      <c r="D370" t="s">
        <v>78</v>
      </c>
      <c r="E370" t="s">
        <v>93</v>
      </c>
      <c r="F370" s="5">
        <v>42370</v>
      </c>
      <c r="G370">
        <v>124</v>
      </c>
    </row>
    <row r="371" spans="1:7" x14ac:dyDescent="0.25">
      <c r="A371" t="s">
        <v>99</v>
      </c>
      <c r="B371" t="s">
        <v>100</v>
      </c>
      <c r="C371">
        <v>7000</v>
      </c>
      <c r="D371" t="s">
        <v>78</v>
      </c>
      <c r="E371" t="s">
        <v>93</v>
      </c>
      <c r="F371" s="5">
        <v>42736</v>
      </c>
      <c r="G371">
        <v>171</v>
      </c>
    </row>
    <row r="372" spans="1:7" x14ac:dyDescent="0.25">
      <c r="A372" t="s">
        <v>99</v>
      </c>
      <c r="B372" t="s">
        <v>100</v>
      </c>
      <c r="C372">
        <v>7000</v>
      </c>
      <c r="D372" t="s">
        <v>78</v>
      </c>
      <c r="E372" t="s">
        <v>94</v>
      </c>
      <c r="F372" s="5">
        <v>42370</v>
      </c>
      <c r="G372">
        <v>131</v>
      </c>
    </row>
    <row r="373" spans="1:7" x14ac:dyDescent="0.25">
      <c r="A373" t="s">
        <v>99</v>
      </c>
      <c r="B373" t="s">
        <v>100</v>
      </c>
      <c r="C373">
        <v>7000</v>
      </c>
      <c r="D373" t="s">
        <v>78</v>
      </c>
      <c r="E373" t="s">
        <v>94</v>
      </c>
      <c r="F373" s="5">
        <v>42736</v>
      </c>
      <c r="G373">
        <v>271</v>
      </c>
    </row>
    <row r="374" spans="1:7" x14ac:dyDescent="0.25">
      <c r="A374" t="s">
        <v>99</v>
      </c>
      <c r="B374" t="s">
        <v>100</v>
      </c>
      <c r="C374">
        <v>7000</v>
      </c>
      <c r="D374" t="s">
        <v>78</v>
      </c>
      <c r="E374" t="s">
        <v>95</v>
      </c>
      <c r="F374" s="5">
        <v>42370</v>
      </c>
      <c r="G374">
        <v>11</v>
      </c>
    </row>
    <row r="375" spans="1:7" x14ac:dyDescent="0.25">
      <c r="A375" t="s">
        <v>99</v>
      </c>
      <c r="B375" t="s">
        <v>100</v>
      </c>
      <c r="C375">
        <v>7000</v>
      </c>
      <c r="D375" t="s">
        <v>78</v>
      </c>
      <c r="E375" t="s">
        <v>95</v>
      </c>
      <c r="F375" s="5">
        <v>42736</v>
      </c>
      <c r="G375">
        <v>43</v>
      </c>
    </row>
    <row r="376" spans="1:7" x14ac:dyDescent="0.25">
      <c r="A376" t="s">
        <v>99</v>
      </c>
      <c r="B376" t="s">
        <v>100</v>
      </c>
      <c r="C376">
        <v>7000</v>
      </c>
      <c r="D376" t="s">
        <v>78</v>
      </c>
      <c r="E376" t="s">
        <v>96</v>
      </c>
      <c r="F376" s="5">
        <v>42370</v>
      </c>
      <c r="G376">
        <v>34</v>
      </c>
    </row>
    <row r="377" spans="1:7" x14ac:dyDescent="0.25">
      <c r="A377" t="s">
        <v>99</v>
      </c>
      <c r="B377" t="s">
        <v>100</v>
      </c>
      <c r="C377">
        <v>7000</v>
      </c>
      <c r="D377" t="s">
        <v>78</v>
      </c>
      <c r="E377" t="s">
        <v>96</v>
      </c>
      <c r="F377" s="5">
        <v>42736</v>
      </c>
      <c r="G377">
        <v>34</v>
      </c>
    </row>
    <row r="378" spans="1:7" x14ac:dyDescent="0.25">
      <c r="A378" t="s">
        <v>99</v>
      </c>
      <c r="B378" t="s">
        <v>100</v>
      </c>
      <c r="C378">
        <v>7000</v>
      </c>
      <c r="D378" t="s">
        <v>78</v>
      </c>
      <c r="E378" t="s">
        <v>97</v>
      </c>
      <c r="F378" s="5">
        <v>42370</v>
      </c>
      <c r="G378">
        <v>249</v>
      </c>
    </row>
    <row r="379" spans="1:7" x14ac:dyDescent="0.25">
      <c r="A379" t="s">
        <v>99</v>
      </c>
      <c r="B379" t="s">
        <v>100</v>
      </c>
      <c r="C379">
        <v>7000</v>
      </c>
      <c r="D379" t="s">
        <v>78</v>
      </c>
      <c r="E379" t="s">
        <v>97</v>
      </c>
      <c r="F379" s="5">
        <v>42736</v>
      </c>
      <c r="G379">
        <v>588</v>
      </c>
    </row>
    <row r="380" spans="1:7" x14ac:dyDescent="0.25">
      <c r="A380" t="s">
        <v>99</v>
      </c>
      <c r="B380" t="s">
        <v>100</v>
      </c>
      <c r="C380">
        <v>7000</v>
      </c>
      <c r="D380" t="s">
        <v>78</v>
      </c>
      <c r="E380" t="s">
        <v>98</v>
      </c>
      <c r="F380" s="5">
        <v>42370</v>
      </c>
      <c r="G380">
        <v>242</v>
      </c>
    </row>
    <row r="381" spans="1:7" x14ac:dyDescent="0.25">
      <c r="A381" t="s">
        <v>99</v>
      </c>
      <c r="B381" t="s">
        <v>100</v>
      </c>
      <c r="C381">
        <v>7000</v>
      </c>
      <c r="D381" t="s">
        <v>78</v>
      </c>
      <c r="E381" t="s">
        <v>98</v>
      </c>
      <c r="F381" s="5">
        <v>42736</v>
      </c>
      <c r="G381">
        <v>244</v>
      </c>
    </row>
    <row r="382" spans="1:7" x14ac:dyDescent="0.25">
      <c r="A382" t="s">
        <v>99</v>
      </c>
      <c r="B382" t="s">
        <v>101</v>
      </c>
      <c r="C382">
        <v>6250</v>
      </c>
      <c r="D382" t="s">
        <v>8</v>
      </c>
      <c r="E382" t="s">
        <v>9</v>
      </c>
      <c r="F382" s="5">
        <v>42370</v>
      </c>
      <c r="G382">
        <v>0</v>
      </c>
    </row>
    <row r="383" spans="1:7" x14ac:dyDescent="0.25">
      <c r="A383" t="s">
        <v>99</v>
      </c>
      <c r="B383" t="s">
        <v>101</v>
      </c>
      <c r="C383">
        <v>6250</v>
      </c>
      <c r="D383" t="s">
        <v>8</v>
      </c>
      <c r="E383" t="s">
        <v>9</v>
      </c>
      <c r="F383" s="5">
        <v>42736</v>
      </c>
      <c r="G383">
        <v>0</v>
      </c>
    </row>
    <row r="384" spans="1:7" x14ac:dyDescent="0.25">
      <c r="A384" t="s">
        <v>99</v>
      </c>
      <c r="B384" t="s">
        <v>101</v>
      </c>
      <c r="C384">
        <v>6250</v>
      </c>
      <c r="D384" t="s">
        <v>8</v>
      </c>
      <c r="E384" t="s">
        <v>10</v>
      </c>
      <c r="F384" s="5">
        <v>42370</v>
      </c>
      <c r="G384">
        <v>0</v>
      </c>
    </row>
    <row r="385" spans="1:7" x14ac:dyDescent="0.25">
      <c r="A385" t="s">
        <v>99</v>
      </c>
      <c r="B385" t="s">
        <v>101</v>
      </c>
      <c r="C385">
        <v>6250</v>
      </c>
      <c r="D385" t="s">
        <v>8</v>
      </c>
      <c r="E385" t="s">
        <v>10</v>
      </c>
      <c r="F385" s="5">
        <v>42736</v>
      </c>
      <c r="G385">
        <v>0</v>
      </c>
    </row>
    <row r="386" spans="1:7" x14ac:dyDescent="0.25">
      <c r="A386" t="s">
        <v>99</v>
      </c>
      <c r="B386" t="s">
        <v>101</v>
      </c>
      <c r="C386">
        <v>6250</v>
      </c>
      <c r="D386" t="s">
        <v>8</v>
      </c>
      <c r="E386" t="s">
        <v>11</v>
      </c>
      <c r="F386" s="5">
        <v>42370</v>
      </c>
      <c r="G386">
        <v>0</v>
      </c>
    </row>
    <row r="387" spans="1:7" x14ac:dyDescent="0.25">
      <c r="A387" t="s">
        <v>99</v>
      </c>
      <c r="B387" t="s">
        <v>101</v>
      </c>
      <c r="C387">
        <v>6250</v>
      </c>
      <c r="D387" t="s">
        <v>8</v>
      </c>
      <c r="E387" t="s">
        <v>11</v>
      </c>
      <c r="F387" s="5">
        <v>42736</v>
      </c>
      <c r="G387">
        <v>0</v>
      </c>
    </row>
    <row r="388" spans="1:7" x14ac:dyDescent="0.25">
      <c r="A388" t="s">
        <v>99</v>
      </c>
      <c r="B388" t="s">
        <v>101</v>
      </c>
      <c r="C388">
        <v>6250</v>
      </c>
      <c r="D388" t="s">
        <v>8</v>
      </c>
      <c r="E388" t="s">
        <v>12</v>
      </c>
      <c r="F388" s="5">
        <v>42370</v>
      </c>
      <c r="G388">
        <v>0</v>
      </c>
    </row>
    <row r="389" spans="1:7" x14ac:dyDescent="0.25">
      <c r="A389" t="s">
        <v>99</v>
      </c>
      <c r="B389" t="s">
        <v>101</v>
      </c>
      <c r="C389">
        <v>6250</v>
      </c>
      <c r="D389" t="s">
        <v>8</v>
      </c>
      <c r="E389" t="s">
        <v>12</v>
      </c>
      <c r="F389" s="5">
        <v>42736</v>
      </c>
      <c r="G389">
        <v>0</v>
      </c>
    </row>
    <row r="390" spans="1:7" x14ac:dyDescent="0.25">
      <c r="A390" t="s">
        <v>99</v>
      </c>
      <c r="B390" t="s">
        <v>101</v>
      </c>
      <c r="C390">
        <v>6250</v>
      </c>
      <c r="D390" t="s">
        <v>8</v>
      </c>
      <c r="E390" t="s">
        <v>13</v>
      </c>
      <c r="F390" s="5">
        <v>42370</v>
      </c>
      <c r="G390">
        <v>0</v>
      </c>
    </row>
    <row r="391" spans="1:7" x14ac:dyDescent="0.25">
      <c r="A391" t="s">
        <v>99</v>
      </c>
      <c r="B391" t="s">
        <v>101</v>
      </c>
      <c r="C391">
        <v>6250</v>
      </c>
      <c r="D391" t="s">
        <v>8</v>
      </c>
      <c r="E391" t="s">
        <v>13</v>
      </c>
      <c r="F391" s="5">
        <v>42736</v>
      </c>
      <c r="G391">
        <v>0</v>
      </c>
    </row>
    <row r="392" spans="1:7" x14ac:dyDescent="0.25">
      <c r="A392" t="s">
        <v>99</v>
      </c>
      <c r="B392" t="s">
        <v>101</v>
      </c>
      <c r="C392">
        <v>6250</v>
      </c>
      <c r="D392" t="s">
        <v>8</v>
      </c>
      <c r="E392" t="s">
        <v>14</v>
      </c>
      <c r="F392" s="5">
        <v>42370</v>
      </c>
      <c r="G392">
        <v>0</v>
      </c>
    </row>
    <row r="393" spans="1:7" x14ac:dyDescent="0.25">
      <c r="A393" t="s">
        <v>99</v>
      </c>
      <c r="B393" t="s">
        <v>101</v>
      </c>
      <c r="C393">
        <v>6250</v>
      </c>
      <c r="D393" t="s">
        <v>8</v>
      </c>
      <c r="E393" t="s">
        <v>14</v>
      </c>
      <c r="F393" s="5">
        <v>42736</v>
      </c>
      <c r="G393">
        <v>0</v>
      </c>
    </row>
    <row r="394" spans="1:7" x14ac:dyDescent="0.25">
      <c r="A394" t="s">
        <v>99</v>
      </c>
      <c r="B394" t="s">
        <v>101</v>
      </c>
      <c r="C394">
        <v>6250</v>
      </c>
      <c r="D394" t="s">
        <v>8</v>
      </c>
      <c r="E394" t="s">
        <v>15</v>
      </c>
      <c r="F394" s="5">
        <v>42370</v>
      </c>
      <c r="G394">
        <v>0</v>
      </c>
    </row>
    <row r="395" spans="1:7" x14ac:dyDescent="0.25">
      <c r="A395" t="s">
        <v>99</v>
      </c>
      <c r="B395" t="s">
        <v>101</v>
      </c>
      <c r="C395">
        <v>6250</v>
      </c>
      <c r="D395" t="s">
        <v>8</v>
      </c>
      <c r="E395" t="s">
        <v>15</v>
      </c>
      <c r="F395" s="5">
        <v>42736</v>
      </c>
      <c r="G395">
        <v>0</v>
      </c>
    </row>
    <row r="396" spans="1:7" x14ac:dyDescent="0.25">
      <c r="A396" t="s">
        <v>99</v>
      </c>
      <c r="B396" t="s">
        <v>101</v>
      </c>
      <c r="C396">
        <v>6250</v>
      </c>
      <c r="D396" t="s">
        <v>8</v>
      </c>
      <c r="E396" t="s">
        <v>16</v>
      </c>
      <c r="F396" s="5">
        <v>42370</v>
      </c>
      <c r="G396">
        <v>0</v>
      </c>
    </row>
    <row r="397" spans="1:7" x14ac:dyDescent="0.25">
      <c r="A397" t="s">
        <v>99</v>
      </c>
      <c r="B397" t="s">
        <v>101</v>
      </c>
      <c r="C397">
        <v>6250</v>
      </c>
      <c r="D397" t="s">
        <v>8</v>
      </c>
      <c r="E397" t="s">
        <v>16</v>
      </c>
      <c r="F397" s="5">
        <v>42736</v>
      </c>
      <c r="G397">
        <v>0</v>
      </c>
    </row>
    <row r="398" spans="1:7" x14ac:dyDescent="0.25">
      <c r="A398" t="s">
        <v>99</v>
      </c>
      <c r="B398" t="s">
        <v>101</v>
      </c>
      <c r="C398">
        <v>6250</v>
      </c>
      <c r="D398" t="s">
        <v>8</v>
      </c>
      <c r="E398" t="s">
        <v>17</v>
      </c>
      <c r="F398" s="5">
        <v>42370</v>
      </c>
      <c r="G398">
        <v>0</v>
      </c>
    </row>
    <row r="399" spans="1:7" x14ac:dyDescent="0.25">
      <c r="A399" t="s">
        <v>99</v>
      </c>
      <c r="B399" t="s">
        <v>101</v>
      </c>
      <c r="C399">
        <v>6250</v>
      </c>
      <c r="D399" t="s">
        <v>8</v>
      </c>
      <c r="E399" t="s">
        <v>17</v>
      </c>
      <c r="F399" s="5">
        <v>42736</v>
      </c>
      <c r="G399">
        <v>0</v>
      </c>
    </row>
    <row r="400" spans="1:7" x14ac:dyDescent="0.25">
      <c r="A400" t="s">
        <v>99</v>
      </c>
      <c r="B400" t="s">
        <v>101</v>
      </c>
      <c r="C400">
        <v>6250</v>
      </c>
      <c r="D400" t="s">
        <v>8</v>
      </c>
      <c r="E400" t="s">
        <v>18</v>
      </c>
      <c r="F400" s="5">
        <v>42370</v>
      </c>
      <c r="G400">
        <v>0</v>
      </c>
    </row>
    <row r="401" spans="1:7" x14ac:dyDescent="0.25">
      <c r="A401" t="s">
        <v>99</v>
      </c>
      <c r="B401" t="s">
        <v>101</v>
      </c>
      <c r="C401">
        <v>6250</v>
      </c>
      <c r="D401" t="s">
        <v>8</v>
      </c>
      <c r="E401" t="s">
        <v>18</v>
      </c>
      <c r="F401" s="5">
        <v>42736</v>
      </c>
      <c r="G401">
        <v>0</v>
      </c>
    </row>
    <row r="402" spans="1:7" x14ac:dyDescent="0.25">
      <c r="A402" t="s">
        <v>99</v>
      </c>
      <c r="B402" t="s">
        <v>101</v>
      </c>
      <c r="C402">
        <v>6250</v>
      </c>
      <c r="D402" t="s">
        <v>8</v>
      </c>
      <c r="E402" t="s">
        <v>19</v>
      </c>
      <c r="F402" s="5">
        <v>42370</v>
      </c>
      <c r="G402">
        <v>0</v>
      </c>
    </row>
    <row r="403" spans="1:7" x14ac:dyDescent="0.25">
      <c r="A403" t="s">
        <v>99</v>
      </c>
      <c r="B403" t="s">
        <v>101</v>
      </c>
      <c r="C403">
        <v>6250</v>
      </c>
      <c r="D403" t="s">
        <v>8</v>
      </c>
      <c r="E403" t="s">
        <v>19</v>
      </c>
      <c r="F403" s="5">
        <v>42736</v>
      </c>
      <c r="G403">
        <v>0</v>
      </c>
    </row>
    <row r="404" spans="1:7" x14ac:dyDescent="0.25">
      <c r="A404" t="s">
        <v>99</v>
      </c>
      <c r="B404" t="s">
        <v>101</v>
      </c>
      <c r="C404">
        <v>6250</v>
      </c>
      <c r="D404" t="s">
        <v>20</v>
      </c>
      <c r="E404" t="s">
        <v>9</v>
      </c>
      <c r="F404" s="5">
        <v>42370</v>
      </c>
      <c r="G404">
        <v>7</v>
      </c>
    </row>
    <row r="405" spans="1:7" x14ac:dyDescent="0.25">
      <c r="A405" t="s">
        <v>99</v>
      </c>
      <c r="B405" t="s">
        <v>101</v>
      </c>
      <c r="C405">
        <v>6250</v>
      </c>
      <c r="D405" t="s">
        <v>20</v>
      </c>
      <c r="E405" t="s">
        <v>9</v>
      </c>
      <c r="F405" s="5">
        <v>42736</v>
      </c>
      <c r="G405">
        <v>8</v>
      </c>
    </row>
    <row r="406" spans="1:7" x14ac:dyDescent="0.25">
      <c r="A406" t="s">
        <v>99</v>
      </c>
      <c r="B406" t="s">
        <v>101</v>
      </c>
      <c r="C406">
        <v>6250</v>
      </c>
      <c r="D406" t="s">
        <v>20</v>
      </c>
      <c r="E406" t="s">
        <v>21</v>
      </c>
      <c r="F406" s="5">
        <v>42370</v>
      </c>
      <c r="G406">
        <v>0</v>
      </c>
    </row>
    <row r="407" spans="1:7" x14ac:dyDescent="0.25">
      <c r="A407" t="s">
        <v>99</v>
      </c>
      <c r="B407" t="s">
        <v>101</v>
      </c>
      <c r="C407">
        <v>6250</v>
      </c>
      <c r="D407" t="s">
        <v>20</v>
      </c>
      <c r="E407" t="s">
        <v>21</v>
      </c>
      <c r="F407" s="5">
        <v>42736</v>
      </c>
      <c r="G407">
        <v>0</v>
      </c>
    </row>
    <row r="408" spans="1:7" x14ac:dyDescent="0.25">
      <c r="A408" t="s">
        <v>99</v>
      </c>
      <c r="B408" t="s">
        <v>101</v>
      </c>
      <c r="C408">
        <v>6250</v>
      </c>
      <c r="D408" t="s">
        <v>20</v>
      </c>
      <c r="E408" t="s">
        <v>22</v>
      </c>
      <c r="F408" s="5">
        <v>42370</v>
      </c>
      <c r="G408">
        <v>0</v>
      </c>
    </row>
    <row r="409" spans="1:7" x14ac:dyDescent="0.25">
      <c r="A409" t="s">
        <v>99</v>
      </c>
      <c r="B409" t="s">
        <v>101</v>
      </c>
      <c r="C409">
        <v>6250</v>
      </c>
      <c r="D409" t="s">
        <v>20</v>
      </c>
      <c r="E409" t="s">
        <v>22</v>
      </c>
      <c r="F409" s="5">
        <v>42736</v>
      </c>
      <c r="G409">
        <v>14</v>
      </c>
    </row>
    <row r="410" spans="1:7" x14ac:dyDescent="0.25">
      <c r="A410" t="s">
        <v>99</v>
      </c>
      <c r="B410" t="s">
        <v>101</v>
      </c>
      <c r="C410">
        <v>6250</v>
      </c>
      <c r="D410" t="s">
        <v>20</v>
      </c>
      <c r="E410" t="s">
        <v>23</v>
      </c>
      <c r="F410" s="5">
        <v>42370</v>
      </c>
      <c r="G410">
        <v>1</v>
      </c>
    </row>
    <row r="411" spans="1:7" x14ac:dyDescent="0.25">
      <c r="A411" t="s">
        <v>99</v>
      </c>
      <c r="B411" t="s">
        <v>101</v>
      </c>
      <c r="C411">
        <v>6250</v>
      </c>
      <c r="D411" t="s">
        <v>20</v>
      </c>
      <c r="E411" t="s">
        <v>23</v>
      </c>
      <c r="F411" s="5">
        <v>42736</v>
      </c>
      <c r="G411">
        <v>13</v>
      </c>
    </row>
    <row r="412" spans="1:7" x14ac:dyDescent="0.25">
      <c r="A412" t="s">
        <v>99</v>
      </c>
      <c r="B412" t="s">
        <v>101</v>
      </c>
      <c r="C412">
        <v>6250</v>
      </c>
      <c r="D412" t="s">
        <v>20</v>
      </c>
      <c r="E412" t="s">
        <v>24</v>
      </c>
      <c r="F412" s="5">
        <v>42370</v>
      </c>
      <c r="G412">
        <v>0</v>
      </c>
    </row>
    <row r="413" spans="1:7" x14ac:dyDescent="0.25">
      <c r="A413" t="s">
        <v>99</v>
      </c>
      <c r="B413" t="s">
        <v>101</v>
      </c>
      <c r="C413">
        <v>6250</v>
      </c>
      <c r="D413" t="s">
        <v>20</v>
      </c>
      <c r="E413" t="s">
        <v>24</v>
      </c>
      <c r="F413" s="5">
        <v>42736</v>
      </c>
      <c r="G413">
        <v>0</v>
      </c>
    </row>
    <row r="414" spans="1:7" x14ac:dyDescent="0.25">
      <c r="A414" t="s">
        <v>99</v>
      </c>
      <c r="B414" t="s">
        <v>101</v>
      </c>
      <c r="C414">
        <v>6250</v>
      </c>
      <c r="D414" t="s">
        <v>20</v>
      </c>
      <c r="E414" t="s">
        <v>25</v>
      </c>
      <c r="F414" s="5">
        <v>42370</v>
      </c>
      <c r="G414">
        <v>0</v>
      </c>
    </row>
    <row r="415" spans="1:7" x14ac:dyDescent="0.25">
      <c r="A415" t="s">
        <v>99</v>
      </c>
      <c r="B415" t="s">
        <v>101</v>
      </c>
      <c r="C415">
        <v>6250</v>
      </c>
      <c r="D415" t="s">
        <v>20</v>
      </c>
      <c r="E415" t="s">
        <v>25</v>
      </c>
      <c r="F415" s="5">
        <v>42736</v>
      </c>
      <c r="G415">
        <v>0</v>
      </c>
    </row>
    <row r="416" spans="1:7" x14ac:dyDescent="0.25">
      <c r="A416" t="s">
        <v>99</v>
      </c>
      <c r="B416" t="s">
        <v>101</v>
      </c>
      <c r="C416">
        <v>6250</v>
      </c>
      <c r="D416" t="s">
        <v>20</v>
      </c>
      <c r="E416" t="s">
        <v>26</v>
      </c>
      <c r="F416" s="5">
        <v>42370</v>
      </c>
      <c r="G416">
        <v>80</v>
      </c>
    </row>
    <row r="417" spans="1:7" x14ac:dyDescent="0.25">
      <c r="A417" t="s">
        <v>99</v>
      </c>
      <c r="B417" t="s">
        <v>101</v>
      </c>
      <c r="C417">
        <v>6250</v>
      </c>
      <c r="D417" t="s">
        <v>20</v>
      </c>
      <c r="E417" t="s">
        <v>26</v>
      </c>
      <c r="F417" s="5">
        <v>42736</v>
      </c>
      <c r="G417">
        <v>110</v>
      </c>
    </row>
    <row r="418" spans="1:7" x14ac:dyDescent="0.25">
      <c r="A418" t="s">
        <v>99</v>
      </c>
      <c r="B418" t="s">
        <v>101</v>
      </c>
      <c r="C418">
        <v>6250</v>
      </c>
      <c r="D418" t="s">
        <v>20</v>
      </c>
      <c r="E418" t="s">
        <v>27</v>
      </c>
      <c r="F418" s="5">
        <v>42370</v>
      </c>
      <c r="G418">
        <v>3</v>
      </c>
    </row>
    <row r="419" spans="1:7" x14ac:dyDescent="0.25">
      <c r="A419" t="s">
        <v>99</v>
      </c>
      <c r="B419" t="s">
        <v>101</v>
      </c>
      <c r="C419">
        <v>6250</v>
      </c>
      <c r="D419" t="s">
        <v>20</v>
      </c>
      <c r="E419" t="s">
        <v>27</v>
      </c>
      <c r="F419" s="5">
        <v>42736</v>
      </c>
      <c r="G419">
        <v>2</v>
      </c>
    </row>
    <row r="420" spans="1:7" x14ac:dyDescent="0.25">
      <c r="A420" t="s">
        <v>99</v>
      </c>
      <c r="B420" t="s">
        <v>101</v>
      </c>
      <c r="C420">
        <v>6250</v>
      </c>
      <c r="D420" t="s">
        <v>20</v>
      </c>
      <c r="E420" t="s">
        <v>28</v>
      </c>
      <c r="F420" s="5">
        <v>42370</v>
      </c>
      <c r="G420">
        <v>0</v>
      </c>
    </row>
    <row r="421" spans="1:7" x14ac:dyDescent="0.25">
      <c r="A421" t="s">
        <v>99</v>
      </c>
      <c r="B421" t="s">
        <v>101</v>
      </c>
      <c r="C421">
        <v>6250</v>
      </c>
      <c r="D421" t="s">
        <v>20</v>
      </c>
      <c r="E421" t="s">
        <v>28</v>
      </c>
      <c r="F421" s="5">
        <v>42736</v>
      </c>
      <c r="G421">
        <v>0</v>
      </c>
    </row>
    <row r="422" spans="1:7" x14ac:dyDescent="0.25">
      <c r="A422" t="s">
        <v>99</v>
      </c>
      <c r="B422" t="s">
        <v>101</v>
      </c>
      <c r="C422">
        <v>6250</v>
      </c>
      <c r="D422" t="s">
        <v>20</v>
      </c>
      <c r="E422" t="s">
        <v>29</v>
      </c>
      <c r="F422" s="5">
        <v>42370</v>
      </c>
      <c r="G422">
        <v>86</v>
      </c>
    </row>
    <row r="423" spans="1:7" x14ac:dyDescent="0.25">
      <c r="A423" t="s">
        <v>99</v>
      </c>
      <c r="B423" t="s">
        <v>101</v>
      </c>
      <c r="C423">
        <v>6250</v>
      </c>
      <c r="D423" t="s">
        <v>20</v>
      </c>
      <c r="E423" t="s">
        <v>29</v>
      </c>
      <c r="F423" s="5">
        <v>42736</v>
      </c>
      <c r="G423">
        <v>112</v>
      </c>
    </row>
    <row r="424" spans="1:7" x14ac:dyDescent="0.25">
      <c r="A424" t="s">
        <v>99</v>
      </c>
      <c r="B424" t="s">
        <v>101</v>
      </c>
      <c r="C424">
        <v>6250</v>
      </c>
      <c r="D424" t="s">
        <v>20</v>
      </c>
      <c r="E424" t="s">
        <v>30</v>
      </c>
      <c r="F424" s="5">
        <v>42370</v>
      </c>
      <c r="G424">
        <v>84</v>
      </c>
    </row>
    <row r="425" spans="1:7" x14ac:dyDescent="0.25">
      <c r="A425" t="s">
        <v>99</v>
      </c>
      <c r="B425" t="s">
        <v>101</v>
      </c>
      <c r="C425">
        <v>6250</v>
      </c>
      <c r="D425" t="s">
        <v>20</v>
      </c>
      <c r="E425" t="s">
        <v>30</v>
      </c>
      <c r="F425" s="5">
        <v>42736</v>
      </c>
      <c r="G425">
        <v>114</v>
      </c>
    </row>
    <row r="426" spans="1:7" x14ac:dyDescent="0.25">
      <c r="A426" t="s">
        <v>99</v>
      </c>
      <c r="B426" t="s">
        <v>101</v>
      </c>
      <c r="C426">
        <v>6250</v>
      </c>
      <c r="D426" t="s">
        <v>20</v>
      </c>
      <c r="E426" t="s">
        <v>31</v>
      </c>
      <c r="F426" s="5">
        <v>42370</v>
      </c>
      <c r="G426">
        <v>191</v>
      </c>
    </row>
    <row r="427" spans="1:7" x14ac:dyDescent="0.25">
      <c r="A427" t="s">
        <v>99</v>
      </c>
      <c r="B427" t="s">
        <v>101</v>
      </c>
      <c r="C427">
        <v>6250</v>
      </c>
      <c r="D427" t="s">
        <v>20</v>
      </c>
      <c r="E427" t="s">
        <v>31</v>
      </c>
      <c r="F427" s="5">
        <v>42736</v>
      </c>
      <c r="G427">
        <v>214</v>
      </c>
    </row>
    <row r="428" spans="1:7" x14ac:dyDescent="0.25">
      <c r="A428" t="s">
        <v>99</v>
      </c>
      <c r="B428" t="s">
        <v>101</v>
      </c>
      <c r="C428">
        <v>6250</v>
      </c>
      <c r="D428" t="s">
        <v>20</v>
      </c>
      <c r="E428" t="s">
        <v>32</v>
      </c>
      <c r="F428" s="5">
        <v>42370</v>
      </c>
      <c r="G428">
        <v>85</v>
      </c>
    </row>
    <row r="429" spans="1:7" x14ac:dyDescent="0.25">
      <c r="A429" t="s">
        <v>99</v>
      </c>
      <c r="B429" t="s">
        <v>101</v>
      </c>
      <c r="C429">
        <v>6250</v>
      </c>
      <c r="D429" t="s">
        <v>20</v>
      </c>
      <c r="E429" t="s">
        <v>32</v>
      </c>
      <c r="F429" s="5">
        <v>42736</v>
      </c>
      <c r="G429">
        <v>112</v>
      </c>
    </row>
    <row r="430" spans="1:7" x14ac:dyDescent="0.25">
      <c r="A430" t="s">
        <v>99</v>
      </c>
      <c r="B430" t="s">
        <v>101</v>
      </c>
      <c r="C430">
        <v>6250</v>
      </c>
      <c r="D430" t="s">
        <v>33</v>
      </c>
      <c r="E430" t="s">
        <v>9</v>
      </c>
      <c r="F430" s="5">
        <v>42370</v>
      </c>
      <c r="G430">
        <v>0</v>
      </c>
    </row>
    <row r="431" spans="1:7" x14ac:dyDescent="0.25">
      <c r="A431" t="s">
        <v>99</v>
      </c>
      <c r="B431" t="s">
        <v>101</v>
      </c>
      <c r="C431">
        <v>6250</v>
      </c>
      <c r="D431" t="s">
        <v>33</v>
      </c>
      <c r="E431" t="s">
        <v>9</v>
      </c>
      <c r="F431" s="5">
        <v>42736</v>
      </c>
      <c r="G431">
        <v>0</v>
      </c>
    </row>
    <row r="432" spans="1:7" x14ac:dyDescent="0.25">
      <c r="A432" t="s">
        <v>99</v>
      </c>
      <c r="B432" t="s">
        <v>101</v>
      </c>
      <c r="C432">
        <v>6250</v>
      </c>
      <c r="D432" t="s">
        <v>33</v>
      </c>
      <c r="E432" t="s">
        <v>34</v>
      </c>
      <c r="F432" s="5">
        <v>42370</v>
      </c>
      <c r="G432">
        <v>0</v>
      </c>
    </row>
    <row r="433" spans="1:7" x14ac:dyDescent="0.25">
      <c r="A433" t="s">
        <v>99</v>
      </c>
      <c r="B433" t="s">
        <v>101</v>
      </c>
      <c r="C433">
        <v>6250</v>
      </c>
      <c r="D433" t="s">
        <v>33</v>
      </c>
      <c r="E433" t="s">
        <v>34</v>
      </c>
      <c r="F433" s="5">
        <v>42736</v>
      </c>
      <c r="G433">
        <v>0</v>
      </c>
    </row>
    <row r="434" spans="1:7" x14ac:dyDescent="0.25">
      <c r="A434" t="s">
        <v>99</v>
      </c>
      <c r="B434" t="s">
        <v>101</v>
      </c>
      <c r="C434">
        <v>6250</v>
      </c>
      <c r="D434" t="s">
        <v>35</v>
      </c>
      <c r="E434" t="s">
        <v>36</v>
      </c>
      <c r="F434" s="5">
        <v>42370</v>
      </c>
      <c r="G434">
        <v>0</v>
      </c>
    </row>
    <row r="435" spans="1:7" x14ac:dyDescent="0.25">
      <c r="A435" t="s">
        <v>99</v>
      </c>
      <c r="B435" t="s">
        <v>101</v>
      </c>
      <c r="C435">
        <v>6250</v>
      </c>
      <c r="D435" t="s">
        <v>35</v>
      </c>
      <c r="E435" t="s">
        <v>36</v>
      </c>
      <c r="F435" s="5">
        <v>42736</v>
      </c>
      <c r="G435">
        <v>0</v>
      </c>
    </row>
    <row r="436" spans="1:7" x14ac:dyDescent="0.25">
      <c r="A436" t="s">
        <v>99</v>
      </c>
      <c r="B436" t="s">
        <v>101</v>
      </c>
      <c r="C436">
        <v>6250</v>
      </c>
      <c r="D436" t="s">
        <v>35</v>
      </c>
      <c r="E436" t="s">
        <v>37</v>
      </c>
      <c r="F436" s="5">
        <v>42370</v>
      </c>
      <c r="G436">
        <v>0</v>
      </c>
    </row>
    <row r="437" spans="1:7" x14ac:dyDescent="0.25">
      <c r="A437" t="s">
        <v>99</v>
      </c>
      <c r="B437" t="s">
        <v>101</v>
      </c>
      <c r="C437">
        <v>6250</v>
      </c>
      <c r="D437" t="s">
        <v>35</v>
      </c>
      <c r="E437" t="s">
        <v>37</v>
      </c>
      <c r="F437" s="5">
        <v>42736</v>
      </c>
      <c r="G437">
        <v>0</v>
      </c>
    </row>
    <row r="438" spans="1:7" x14ac:dyDescent="0.25">
      <c r="A438" t="s">
        <v>99</v>
      </c>
      <c r="B438" t="s">
        <v>101</v>
      </c>
      <c r="C438">
        <v>6250</v>
      </c>
      <c r="D438" t="s">
        <v>35</v>
      </c>
      <c r="E438" t="s">
        <v>38</v>
      </c>
      <c r="F438" s="5">
        <v>42370</v>
      </c>
      <c r="G438">
        <v>0</v>
      </c>
    </row>
    <row r="439" spans="1:7" x14ac:dyDescent="0.25">
      <c r="A439" t="s">
        <v>99</v>
      </c>
      <c r="B439" t="s">
        <v>101</v>
      </c>
      <c r="C439">
        <v>6250</v>
      </c>
      <c r="D439" t="s">
        <v>35</v>
      </c>
      <c r="E439" t="s">
        <v>38</v>
      </c>
      <c r="F439" s="5">
        <v>42736</v>
      </c>
      <c r="G439">
        <v>0</v>
      </c>
    </row>
    <row r="440" spans="1:7" x14ac:dyDescent="0.25">
      <c r="A440" t="s">
        <v>99</v>
      </c>
      <c r="B440" t="s">
        <v>101</v>
      </c>
      <c r="C440">
        <v>6250</v>
      </c>
      <c r="D440" t="s">
        <v>35</v>
      </c>
      <c r="E440" t="s">
        <v>39</v>
      </c>
      <c r="F440" s="5">
        <v>42370</v>
      </c>
      <c r="G440">
        <v>0</v>
      </c>
    </row>
    <row r="441" spans="1:7" x14ac:dyDescent="0.25">
      <c r="A441" t="s">
        <v>99</v>
      </c>
      <c r="B441" t="s">
        <v>101</v>
      </c>
      <c r="C441">
        <v>6250</v>
      </c>
      <c r="D441" t="s">
        <v>35</v>
      </c>
      <c r="E441" t="s">
        <v>39</v>
      </c>
      <c r="F441" s="5">
        <v>42736</v>
      </c>
      <c r="G441">
        <v>0</v>
      </c>
    </row>
    <row r="442" spans="1:7" x14ac:dyDescent="0.25">
      <c r="A442" t="s">
        <v>99</v>
      </c>
      <c r="B442" t="s">
        <v>101</v>
      </c>
      <c r="C442">
        <v>6250</v>
      </c>
      <c r="D442" t="s">
        <v>35</v>
      </c>
      <c r="E442" t="s">
        <v>40</v>
      </c>
      <c r="F442" s="5">
        <v>42370</v>
      </c>
      <c r="G442">
        <v>0</v>
      </c>
    </row>
    <row r="443" spans="1:7" x14ac:dyDescent="0.25">
      <c r="A443" t="s">
        <v>99</v>
      </c>
      <c r="B443" t="s">
        <v>101</v>
      </c>
      <c r="C443">
        <v>6250</v>
      </c>
      <c r="D443" t="s">
        <v>35</v>
      </c>
      <c r="E443" t="s">
        <v>40</v>
      </c>
      <c r="F443" s="5">
        <v>42736</v>
      </c>
      <c r="G443">
        <v>0</v>
      </c>
    </row>
    <row r="444" spans="1:7" x14ac:dyDescent="0.25">
      <c r="A444" t="s">
        <v>99</v>
      </c>
      <c r="B444" t="s">
        <v>101</v>
      </c>
      <c r="C444">
        <v>6250</v>
      </c>
      <c r="D444" t="s">
        <v>35</v>
      </c>
      <c r="E444" t="s">
        <v>41</v>
      </c>
      <c r="F444" s="5">
        <v>42370</v>
      </c>
      <c r="G444">
        <v>0</v>
      </c>
    </row>
    <row r="445" spans="1:7" x14ac:dyDescent="0.25">
      <c r="A445" t="s">
        <v>99</v>
      </c>
      <c r="B445" t="s">
        <v>101</v>
      </c>
      <c r="C445">
        <v>6250</v>
      </c>
      <c r="D445" t="s">
        <v>35</v>
      </c>
      <c r="E445" t="s">
        <v>41</v>
      </c>
      <c r="F445" s="5">
        <v>42736</v>
      </c>
      <c r="G445">
        <v>0</v>
      </c>
    </row>
    <row r="446" spans="1:7" x14ac:dyDescent="0.25">
      <c r="A446" t="s">
        <v>99</v>
      </c>
      <c r="B446" t="s">
        <v>101</v>
      </c>
      <c r="C446">
        <v>6250</v>
      </c>
      <c r="D446" t="s">
        <v>35</v>
      </c>
      <c r="E446" t="s">
        <v>42</v>
      </c>
      <c r="F446" s="5">
        <v>42370</v>
      </c>
      <c r="G446">
        <v>0</v>
      </c>
    </row>
    <row r="447" spans="1:7" x14ac:dyDescent="0.25">
      <c r="A447" t="s">
        <v>99</v>
      </c>
      <c r="B447" t="s">
        <v>101</v>
      </c>
      <c r="C447">
        <v>6250</v>
      </c>
      <c r="D447" t="s">
        <v>35</v>
      </c>
      <c r="E447" t="s">
        <v>42</v>
      </c>
      <c r="F447" s="5">
        <v>42736</v>
      </c>
      <c r="G447">
        <v>0</v>
      </c>
    </row>
    <row r="448" spans="1:7" x14ac:dyDescent="0.25">
      <c r="A448" t="s">
        <v>99</v>
      </c>
      <c r="B448" t="s">
        <v>101</v>
      </c>
      <c r="C448">
        <v>6250</v>
      </c>
      <c r="D448" t="s">
        <v>35</v>
      </c>
      <c r="E448" t="s">
        <v>43</v>
      </c>
      <c r="F448" s="5">
        <v>42370</v>
      </c>
      <c r="G448">
        <v>0</v>
      </c>
    </row>
    <row r="449" spans="1:7" x14ac:dyDescent="0.25">
      <c r="A449" t="s">
        <v>99</v>
      </c>
      <c r="B449" t="s">
        <v>101</v>
      </c>
      <c r="C449">
        <v>6250</v>
      </c>
      <c r="D449" t="s">
        <v>35</v>
      </c>
      <c r="E449" t="s">
        <v>43</v>
      </c>
      <c r="F449" s="5">
        <v>42736</v>
      </c>
      <c r="G449">
        <v>0</v>
      </c>
    </row>
    <row r="450" spans="1:7" x14ac:dyDescent="0.25">
      <c r="A450" t="s">
        <v>99</v>
      </c>
      <c r="B450" t="s">
        <v>101</v>
      </c>
      <c r="C450">
        <v>6250</v>
      </c>
      <c r="D450" t="s">
        <v>44</v>
      </c>
      <c r="E450" t="s">
        <v>36</v>
      </c>
      <c r="F450" s="5">
        <v>42370</v>
      </c>
      <c r="G450">
        <v>0</v>
      </c>
    </row>
    <row r="451" spans="1:7" x14ac:dyDescent="0.25">
      <c r="A451" t="s">
        <v>99</v>
      </c>
      <c r="B451" t="s">
        <v>101</v>
      </c>
      <c r="C451">
        <v>6250</v>
      </c>
      <c r="D451" t="s">
        <v>44</v>
      </c>
      <c r="E451" t="s">
        <v>36</v>
      </c>
      <c r="F451" s="5">
        <v>42736</v>
      </c>
      <c r="G451">
        <v>0</v>
      </c>
    </row>
    <row r="452" spans="1:7" x14ac:dyDescent="0.25">
      <c r="A452" t="s">
        <v>99</v>
      </c>
      <c r="B452" t="s">
        <v>101</v>
      </c>
      <c r="C452">
        <v>6250</v>
      </c>
      <c r="D452" t="s">
        <v>44</v>
      </c>
      <c r="E452" t="s">
        <v>37</v>
      </c>
      <c r="F452" s="5">
        <v>42370</v>
      </c>
      <c r="G452">
        <v>0</v>
      </c>
    </row>
    <row r="453" spans="1:7" x14ac:dyDescent="0.25">
      <c r="A453" t="s">
        <v>99</v>
      </c>
      <c r="B453" t="s">
        <v>101</v>
      </c>
      <c r="C453">
        <v>6250</v>
      </c>
      <c r="D453" t="s">
        <v>44</v>
      </c>
      <c r="E453" t="s">
        <v>37</v>
      </c>
      <c r="F453" s="5">
        <v>42736</v>
      </c>
      <c r="G453">
        <v>0</v>
      </c>
    </row>
    <row r="454" spans="1:7" x14ac:dyDescent="0.25">
      <c r="A454" t="s">
        <v>99</v>
      </c>
      <c r="B454" t="s">
        <v>101</v>
      </c>
      <c r="C454">
        <v>6250</v>
      </c>
      <c r="D454" t="s">
        <v>44</v>
      </c>
      <c r="E454" t="s">
        <v>38</v>
      </c>
      <c r="F454" s="5">
        <v>42370</v>
      </c>
      <c r="G454">
        <v>0</v>
      </c>
    </row>
    <row r="455" spans="1:7" x14ac:dyDescent="0.25">
      <c r="A455" t="s">
        <v>99</v>
      </c>
      <c r="B455" t="s">
        <v>101</v>
      </c>
      <c r="C455">
        <v>6250</v>
      </c>
      <c r="D455" t="s">
        <v>44</v>
      </c>
      <c r="E455" t="s">
        <v>38</v>
      </c>
      <c r="F455" s="5">
        <v>42736</v>
      </c>
      <c r="G455">
        <v>0</v>
      </c>
    </row>
    <row r="456" spans="1:7" x14ac:dyDescent="0.25">
      <c r="A456" t="s">
        <v>99</v>
      </c>
      <c r="B456" t="s">
        <v>101</v>
      </c>
      <c r="C456">
        <v>6250</v>
      </c>
      <c r="D456" t="s">
        <v>44</v>
      </c>
      <c r="E456" t="s">
        <v>39</v>
      </c>
      <c r="F456" s="5">
        <v>42370</v>
      </c>
      <c r="G456">
        <v>0</v>
      </c>
    </row>
    <row r="457" spans="1:7" x14ac:dyDescent="0.25">
      <c r="A457" t="s">
        <v>99</v>
      </c>
      <c r="B457" t="s">
        <v>101</v>
      </c>
      <c r="C457">
        <v>6250</v>
      </c>
      <c r="D457" t="s">
        <v>44</v>
      </c>
      <c r="E457" t="s">
        <v>39</v>
      </c>
      <c r="F457" s="5">
        <v>42736</v>
      </c>
      <c r="G457">
        <v>0</v>
      </c>
    </row>
    <row r="458" spans="1:7" x14ac:dyDescent="0.25">
      <c r="A458" t="s">
        <v>99</v>
      </c>
      <c r="B458" t="s">
        <v>101</v>
      </c>
      <c r="C458">
        <v>6250</v>
      </c>
      <c r="D458" t="s">
        <v>44</v>
      </c>
      <c r="E458" t="s">
        <v>40</v>
      </c>
      <c r="F458" s="5">
        <v>42370</v>
      </c>
      <c r="G458">
        <v>0</v>
      </c>
    </row>
    <row r="459" spans="1:7" x14ac:dyDescent="0.25">
      <c r="A459" t="s">
        <v>99</v>
      </c>
      <c r="B459" t="s">
        <v>101</v>
      </c>
      <c r="C459">
        <v>6250</v>
      </c>
      <c r="D459" t="s">
        <v>44</v>
      </c>
      <c r="E459" t="s">
        <v>40</v>
      </c>
      <c r="F459" s="5">
        <v>42736</v>
      </c>
      <c r="G459">
        <v>0</v>
      </c>
    </row>
    <row r="460" spans="1:7" x14ac:dyDescent="0.25">
      <c r="A460" t="s">
        <v>99</v>
      </c>
      <c r="B460" t="s">
        <v>101</v>
      </c>
      <c r="C460">
        <v>6250</v>
      </c>
      <c r="D460" t="s">
        <v>44</v>
      </c>
      <c r="E460" t="s">
        <v>41</v>
      </c>
      <c r="F460" s="5">
        <v>42370</v>
      </c>
      <c r="G460">
        <v>0</v>
      </c>
    </row>
    <row r="461" spans="1:7" x14ac:dyDescent="0.25">
      <c r="A461" t="s">
        <v>99</v>
      </c>
      <c r="B461" t="s">
        <v>101</v>
      </c>
      <c r="C461">
        <v>6250</v>
      </c>
      <c r="D461" t="s">
        <v>44</v>
      </c>
      <c r="E461" t="s">
        <v>41</v>
      </c>
      <c r="F461" s="5">
        <v>42736</v>
      </c>
      <c r="G461">
        <v>0</v>
      </c>
    </row>
    <row r="462" spans="1:7" x14ac:dyDescent="0.25">
      <c r="A462" t="s">
        <v>99</v>
      </c>
      <c r="B462" t="s">
        <v>101</v>
      </c>
      <c r="C462">
        <v>6250</v>
      </c>
      <c r="D462" t="s">
        <v>44</v>
      </c>
      <c r="E462" t="s">
        <v>42</v>
      </c>
      <c r="F462" s="5">
        <v>42370</v>
      </c>
      <c r="G462">
        <v>0</v>
      </c>
    </row>
    <row r="463" spans="1:7" x14ac:dyDescent="0.25">
      <c r="A463" t="s">
        <v>99</v>
      </c>
      <c r="B463" t="s">
        <v>101</v>
      </c>
      <c r="C463">
        <v>6250</v>
      </c>
      <c r="D463" t="s">
        <v>44</v>
      </c>
      <c r="E463" t="s">
        <v>42</v>
      </c>
      <c r="F463" s="5">
        <v>42736</v>
      </c>
      <c r="G463">
        <v>0</v>
      </c>
    </row>
    <row r="464" spans="1:7" x14ac:dyDescent="0.25">
      <c r="A464" t="s">
        <v>99</v>
      </c>
      <c r="B464" t="s">
        <v>101</v>
      </c>
      <c r="C464">
        <v>6250</v>
      </c>
      <c r="D464" t="s">
        <v>44</v>
      </c>
      <c r="E464" t="s">
        <v>43</v>
      </c>
      <c r="F464" s="5">
        <v>42370</v>
      </c>
      <c r="G464">
        <v>0</v>
      </c>
    </row>
    <row r="465" spans="1:7" x14ac:dyDescent="0.25">
      <c r="A465" t="s">
        <v>99</v>
      </c>
      <c r="B465" t="s">
        <v>101</v>
      </c>
      <c r="C465">
        <v>6250</v>
      </c>
      <c r="D465" t="s">
        <v>44</v>
      </c>
      <c r="E465" t="s">
        <v>43</v>
      </c>
      <c r="F465" s="5">
        <v>42736</v>
      </c>
      <c r="G465">
        <v>0</v>
      </c>
    </row>
    <row r="466" spans="1:7" x14ac:dyDescent="0.25">
      <c r="A466" t="s">
        <v>99</v>
      </c>
      <c r="B466" t="s">
        <v>101</v>
      </c>
      <c r="C466">
        <v>6250</v>
      </c>
      <c r="D466" t="s">
        <v>45</v>
      </c>
      <c r="E466" t="s">
        <v>46</v>
      </c>
      <c r="F466" s="5">
        <v>42370</v>
      </c>
      <c r="G466">
        <v>0</v>
      </c>
    </row>
    <row r="467" spans="1:7" x14ac:dyDescent="0.25">
      <c r="A467" t="s">
        <v>99</v>
      </c>
      <c r="B467" t="s">
        <v>101</v>
      </c>
      <c r="C467">
        <v>6250</v>
      </c>
      <c r="D467" t="s">
        <v>45</v>
      </c>
      <c r="E467" t="s">
        <v>46</v>
      </c>
      <c r="F467" s="5">
        <v>42736</v>
      </c>
      <c r="G467">
        <v>1</v>
      </c>
    </row>
    <row r="468" spans="1:7" x14ac:dyDescent="0.25">
      <c r="A468" t="s">
        <v>99</v>
      </c>
      <c r="B468" t="s">
        <v>101</v>
      </c>
      <c r="C468">
        <v>6250</v>
      </c>
      <c r="D468" t="s">
        <v>45</v>
      </c>
      <c r="E468" t="s">
        <v>47</v>
      </c>
      <c r="F468" s="5">
        <v>42370</v>
      </c>
      <c r="G468">
        <v>1</v>
      </c>
    </row>
    <row r="469" spans="1:7" x14ac:dyDescent="0.25">
      <c r="A469" t="s">
        <v>99</v>
      </c>
      <c r="B469" t="s">
        <v>101</v>
      </c>
      <c r="C469">
        <v>6250</v>
      </c>
      <c r="D469" t="s">
        <v>45</v>
      </c>
      <c r="E469" t="s">
        <v>47</v>
      </c>
      <c r="F469" s="5">
        <v>42736</v>
      </c>
      <c r="G469">
        <v>3</v>
      </c>
    </row>
    <row r="470" spans="1:7" x14ac:dyDescent="0.25">
      <c r="A470" t="s">
        <v>99</v>
      </c>
      <c r="B470" t="s">
        <v>101</v>
      </c>
      <c r="C470">
        <v>6250</v>
      </c>
      <c r="D470" t="s">
        <v>45</v>
      </c>
      <c r="E470" t="s">
        <v>48</v>
      </c>
      <c r="F470" s="5">
        <v>42370</v>
      </c>
      <c r="G470">
        <v>42</v>
      </c>
    </row>
    <row r="471" spans="1:7" x14ac:dyDescent="0.25">
      <c r="A471" t="s">
        <v>99</v>
      </c>
      <c r="B471" t="s">
        <v>101</v>
      </c>
      <c r="C471">
        <v>6250</v>
      </c>
      <c r="D471" t="s">
        <v>45</v>
      </c>
      <c r="E471" t="s">
        <v>48</v>
      </c>
      <c r="F471" s="5">
        <v>42736</v>
      </c>
      <c r="G471">
        <v>50</v>
      </c>
    </row>
    <row r="472" spans="1:7" x14ac:dyDescent="0.25">
      <c r="A472" t="s">
        <v>99</v>
      </c>
      <c r="B472" t="s">
        <v>101</v>
      </c>
      <c r="C472">
        <v>6250</v>
      </c>
      <c r="D472" t="s">
        <v>45</v>
      </c>
      <c r="E472" t="s">
        <v>49</v>
      </c>
      <c r="F472" s="5">
        <v>42370</v>
      </c>
      <c r="G472">
        <v>10</v>
      </c>
    </row>
    <row r="473" spans="1:7" x14ac:dyDescent="0.25">
      <c r="A473" t="s">
        <v>99</v>
      </c>
      <c r="B473" t="s">
        <v>101</v>
      </c>
      <c r="C473">
        <v>6250</v>
      </c>
      <c r="D473" t="s">
        <v>45</v>
      </c>
      <c r="E473" t="s">
        <v>49</v>
      </c>
      <c r="F473" s="5">
        <v>42736</v>
      </c>
      <c r="G473">
        <v>18</v>
      </c>
    </row>
    <row r="474" spans="1:7" x14ac:dyDescent="0.25">
      <c r="A474" t="s">
        <v>99</v>
      </c>
      <c r="B474" t="s">
        <v>101</v>
      </c>
      <c r="C474">
        <v>6250</v>
      </c>
      <c r="D474" t="s">
        <v>45</v>
      </c>
      <c r="E474" t="s">
        <v>50</v>
      </c>
      <c r="F474" s="5">
        <v>42370</v>
      </c>
      <c r="G474">
        <v>0</v>
      </c>
    </row>
    <row r="475" spans="1:7" x14ac:dyDescent="0.25">
      <c r="A475" t="s">
        <v>99</v>
      </c>
      <c r="B475" t="s">
        <v>101</v>
      </c>
      <c r="C475">
        <v>6250</v>
      </c>
      <c r="D475" t="s">
        <v>45</v>
      </c>
      <c r="E475" t="s">
        <v>50</v>
      </c>
      <c r="F475" s="5">
        <v>42736</v>
      </c>
      <c r="G475">
        <v>0</v>
      </c>
    </row>
    <row r="476" spans="1:7" x14ac:dyDescent="0.25">
      <c r="A476" t="s">
        <v>99</v>
      </c>
      <c r="B476" t="s">
        <v>101</v>
      </c>
      <c r="C476">
        <v>6250</v>
      </c>
      <c r="D476" t="s">
        <v>45</v>
      </c>
      <c r="E476" t="s">
        <v>51</v>
      </c>
      <c r="F476" s="5">
        <v>42370</v>
      </c>
      <c r="G476">
        <v>0</v>
      </c>
    </row>
    <row r="477" spans="1:7" x14ac:dyDescent="0.25">
      <c r="A477" t="s">
        <v>99</v>
      </c>
      <c r="B477" t="s">
        <v>101</v>
      </c>
      <c r="C477">
        <v>6250</v>
      </c>
      <c r="D477" t="s">
        <v>45</v>
      </c>
      <c r="E477" t="s">
        <v>51</v>
      </c>
      <c r="F477" s="5">
        <v>42736</v>
      </c>
      <c r="G477">
        <v>0</v>
      </c>
    </row>
    <row r="478" spans="1:7" x14ac:dyDescent="0.25">
      <c r="A478" t="s">
        <v>99</v>
      </c>
      <c r="B478" t="s">
        <v>101</v>
      </c>
      <c r="C478">
        <v>6250</v>
      </c>
      <c r="D478" t="s">
        <v>45</v>
      </c>
      <c r="E478" t="s">
        <v>52</v>
      </c>
      <c r="F478" s="5">
        <v>42370</v>
      </c>
      <c r="G478">
        <v>0</v>
      </c>
    </row>
    <row r="479" spans="1:7" x14ac:dyDescent="0.25">
      <c r="A479" t="s">
        <v>99</v>
      </c>
      <c r="B479" t="s">
        <v>101</v>
      </c>
      <c r="C479">
        <v>6250</v>
      </c>
      <c r="D479" t="s">
        <v>45</v>
      </c>
      <c r="E479" t="s">
        <v>52</v>
      </c>
      <c r="F479" s="5">
        <v>42736</v>
      </c>
      <c r="G479">
        <v>0</v>
      </c>
    </row>
    <row r="480" spans="1:7" x14ac:dyDescent="0.25">
      <c r="A480" t="s">
        <v>99</v>
      </c>
      <c r="B480" t="s">
        <v>101</v>
      </c>
      <c r="C480">
        <v>6250</v>
      </c>
      <c r="D480" t="s">
        <v>45</v>
      </c>
      <c r="E480" t="s">
        <v>53</v>
      </c>
      <c r="F480" s="5">
        <v>42370</v>
      </c>
      <c r="G480">
        <v>3</v>
      </c>
    </row>
    <row r="481" spans="1:7" x14ac:dyDescent="0.25">
      <c r="A481" t="s">
        <v>99</v>
      </c>
      <c r="B481" t="s">
        <v>101</v>
      </c>
      <c r="C481">
        <v>6250</v>
      </c>
      <c r="D481" t="s">
        <v>45</v>
      </c>
      <c r="E481" t="s">
        <v>53</v>
      </c>
      <c r="F481" s="5">
        <v>42736</v>
      </c>
      <c r="G481">
        <v>14</v>
      </c>
    </row>
    <row r="482" spans="1:7" x14ac:dyDescent="0.25">
      <c r="A482" t="s">
        <v>99</v>
      </c>
      <c r="B482" t="s">
        <v>101</v>
      </c>
      <c r="C482">
        <v>6250</v>
      </c>
      <c r="D482" t="s">
        <v>45</v>
      </c>
      <c r="E482" t="s">
        <v>54</v>
      </c>
      <c r="F482" s="5">
        <v>42370</v>
      </c>
      <c r="G482">
        <v>0</v>
      </c>
    </row>
    <row r="483" spans="1:7" x14ac:dyDescent="0.25">
      <c r="A483" t="s">
        <v>99</v>
      </c>
      <c r="B483" t="s">
        <v>101</v>
      </c>
      <c r="C483">
        <v>6250</v>
      </c>
      <c r="D483" t="s">
        <v>45</v>
      </c>
      <c r="E483" t="s">
        <v>54</v>
      </c>
      <c r="F483" s="5">
        <v>42736</v>
      </c>
      <c r="G483">
        <v>0</v>
      </c>
    </row>
    <row r="484" spans="1:7" x14ac:dyDescent="0.25">
      <c r="A484" t="s">
        <v>99</v>
      </c>
      <c r="B484" t="s">
        <v>101</v>
      </c>
      <c r="C484">
        <v>6250</v>
      </c>
      <c r="D484" t="s">
        <v>45</v>
      </c>
      <c r="E484" t="s">
        <v>55</v>
      </c>
      <c r="F484" s="5">
        <v>42370</v>
      </c>
      <c r="G484">
        <v>0</v>
      </c>
    </row>
    <row r="485" spans="1:7" x14ac:dyDescent="0.25">
      <c r="A485" t="s">
        <v>99</v>
      </c>
      <c r="B485" t="s">
        <v>101</v>
      </c>
      <c r="C485">
        <v>6250</v>
      </c>
      <c r="D485" t="s">
        <v>45</v>
      </c>
      <c r="E485" t="s">
        <v>55</v>
      </c>
      <c r="F485" s="5">
        <v>42736</v>
      </c>
      <c r="G485">
        <v>0</v>
      </c>
    </row>
    <row r="486" spans="1:7" x14ac:dyDescent="0.25">
      <c r="A486" t="s">
        <v>99</v>
      </c>
      <c r="B486" t="s">
        <v>101</v>
      </c>
      <c r="C486">
        <v>6250</v>
      </c>
      <c r="D486" t="s">
        <v>45</v>
      </c>
      <c r="E486" t="s">
        <v>56</v>
      </c>
      <c r="F486" s="5">
        <v>42370</v>
      </c>
      <c r="G486">
        <v>1</v>
      </c>
    </row>
    <row r="487" spans="1:7" x14ac:dyDescent="0.25">
      <c r="A487" t="s">
        <v>99</v>
      </c>
      <c r="B487" t="s">
        <v>101</v>
      </c>
      <c r="C487">
        <v>6250</v>
      </c>
      <c r="D487" t="s">
        <v>45</v>
      </c>
      <c r="E487" t="s">
        <v>56</v>
      </c>
      <c r="F487" s="5">
        <v>42736</v>
      </c>
      <c r="G487">
        <v>1</v>
      </c>
    </row>
    <row r="488" spans="1:7" x14ac:dyDescent="0.25">
      <c r="A488" t="s">
        <v>99</v>
      </c>
      <c r="B488" t="s">
        <v>101</v>
      </c>
      <c r="C488">
        <v>6250</v>
      </c>
      <c r="D488" t="s">
        <v>45</v>
      </c>
      <c r="E488" t="s">
        <v>57</v>
      </c>
      <c r="F488" s="5">
        <v>42370</v>
      </c>
      <c r="G488">
        <v>4</v>
      </c>
    </row>
    <row r="489" spans="1:7" x14ac:dyDescent="0.25">
      <c r="A489" t="s">
        <v>99</v>
      </c>
      <c r="B489" t="s">
        <v>101</v>
      </c>
      <c r="C489">
        <v>6250</v>
      </c>
      <c r="D489" t="s">
        <v>45</v>
      </c>
      <c r="E489" t="s">
        <v>57</v>
      </c>
      <c r="F489" s="5">
        <v>42736</v>
      </c>
      <c r="G489">
        <v>2</v>
      </c>
    </row>
    <row r="490" spans="1:7" x14ac:dyDescent="0.25">
      <c r="A490" t="s">
        <v>99</v>
      </c>
      <c r="B490" t="s">
        <v>101</v>
      </c>
      <c r="C490">
        <v>6250</v>
      </c>
      <c r="D490" t="s">
        <v>45</v>
      </c>
      <c r="E490" t="s">
        <v>58</v>
      </c>
      <c r="F490" s="5">
        <v>42370</v>
      </c>
      <c r="G490">
        <v>0</v>
      </c>
    </row>
    <row r="491" spans="1:7" x14ac:dyDescent="0.25">
      <c r="A491" t="s">
        <v>99</v>
      </c>
      <c r="B491" t="s">
        <v>101</v>
      </c>
      <c r="C491">
        <v>6250</v>
      </c>
      <c r="D491" t="s">
        <v>45</v>
      </c>
      <c r="E491" t="s">
        <v>58</v>
      </c>
      <c r="F491" s="5">
        <v>42736</v>
      </c>
      <c r="G491">
        <v>0</v>
      </c>
    </row>
    <row r="492" spans="1:7" x14ac:dyDescent="0.25">
      <c r="A492" t="s">
        <v>99</v>
      </c>
      <c r="B492" t="s">
        <v>101</v>
      </c>
      <c r="C492">
        <v>6250</v>
      </c>
      <c r="D492" t="s">
        <v>45</v>
      </c>
      <c r="E492" t="s">
        <v>59</v>
      </c>
      <c r="F492" s="5">
        <v>42370</v>
      </c>
      <c r="G492">
        <v>0</v>
      </c>
    </row>
    <row r="493" spans="1:7" x14ac:dyDescent="0.25">
      <c r="A493" t="s">
        <v>99</v>
      </c>
      <c r="B493" t="s">
        <v>101</v>
      </c>
      <c r="C493">
        <v>6250</v>
      </c>
      <c r="D493" t="s">
        <v>45</v>
      </c>
      <c r="E493" t="s">
        <v>59</v>
      </c>
      <c r="F493" s="5">
        <v>42736</v>
      </c>
      <c r="G493">
        <v>1</v>
      </c>
    </row>
    <row r="494" spans="1:7" x14ac:dyDescent="0.25">
      <c r="A494" t="s">
        <v>99</v>
      </c>
      <c r="B494" t="s">
        <v>101</v>
      </c>
      <c r="C494">
        <v>6250</v>
      </c>
      <c r="D494" t="s">
        <v>45</v>
      </c>
      <c r="E494" t="s">
        <v>60</v>
      </c>
      <c r="F494" s="5">
        <v>42370</v>
      </c>
      <c r="G494">
        <v>0</v>
      </c>
    </row>
    <row r="495" spans="1:7" x14ac:dyDescent="0.25">
      <c r="A495" t="s">
        <v>99</v>
      </c>
      <c r="B495" t="s">
        <v>101</v>
      </c>
      <c r="C495">
        <v>6250</v>
      </c>
      <c r="D495" t="s">
        <v>45</v>
      </c>
      <c r="E495" t="s">
        <v>60</v>
      </c>
      <c r="F495" s="5">
        <v>42736</v>
      </c>
      <c r="G495">
        <v>1</v>
      </c>
    </row>
    <row r="496" spans="1:7" x14ac:dyDescent="0.25">
      <c r="A496" t="s">
        <v>99</v>
      </c>
      <c r="B496" t="s">
        <v>101</v>
      </c>
      <c r="C496">
        <v>6250</v>
      </c>
      <c r="D496" t="s">
        <v>45</v>
      </c>
      <c r="E496" t="s">
        <v>61</v>
      </c>
      <c r="F496" s="5">
        <v>42370</v>
      </c>
      <c r="G496">
        <v>5</v>
      </c>
    </row>
    <row r="497" spans="1:7" x14ac:dyDescent="0.25">
      <c r="A497" t="s">
        <v>99</v>
      </c>
      <c r="B497" t="s">
        <v>101</v>
      </c>
      <c r="C497">
        <v>6250</v>
      </c>
      <c r="D497" t="s">
        <v>45</v>
      </c>
      <c r="E497" t="s">
        <v>61</v>
      </c>
      <c r="F497" s="5">
        <v>42736</v>
      </c>
      <c r="G497">
        <v>7</v>
      </c>
    </row>
    <row r="498" spans="1:7" x14ac:dyDescent="0.25">
      <c r="A498" t="s">
        <v>99</v>
      </c>
      <c r="B498" t="s">
        <v>101</v>
      </c>
      <c r="C498">
        <v>6250</v>
      </c>
      <c r="D498" t="s">
        <v>62</v>
      </c>
      <c r="E498" t="s">
        <v>63</v>
      </c>
      <c r="F498" s="5">
        <v>42370</v>
      </c>
      <c r="G498">
        <v>0</v>
      </c>
    </row>
    <row r="499" spans="1:7" x14ac:dyDescent="0.25">
      <c r="A499" t="s">
        <v>99</v>
      </c>
      <c r="B499" t="s">
        <v>101</v>
      </c>
      <c r="C499">
        <v>6250</v>
      </c>
      <c r="D499" t="s">
        <v>62</v>
      </c>
      <c r="E499" t="s">
        <v>63</v>
      </c>
      <c r="F499" s="5">
        <v>42736</v>
      </c>
      <c r="G499">
        <v>0</v>
      </c>
    </row>
    <row r="500" spans="1:7" x14ac:dyDescent="0.25">
      <c r="A500" t="s">
        <v>99</v>
      </c>
      <c r="B500" t="s">
        <v>101</v>
      </c>
      <c r="C500">
        <v>6250</v>
      </c>
      <c r="D500" t="s">
        <v>62</v>
      </c>
      <c r="E500" t="s">
        <v>64</v>
      </c>
      <c r="F500" s="5">
        <v>42370</v>
      </c>
      <c r="G500">
        <v>0</v>
      </c>
    </row>
    <row r="501" spans="1:7" x14ac:dyDescent="0.25">
      <c r="A501" t="s">
        <v>99</v>
      </c>
      <c r="B501" t="s">
        <v>101</v>
      </c>
      <c r="C501">
        <v>6250</v>
      </c>
      <c r="D501" t="s">
        <v>62</v>
      </c>
      <c r="E501" t="s">
        <v>64</v>
      </c>
      <c r="F501" s="5">
        <v>42736</v>
      </c>
      <c r="G501">
        <v>0</v>
      </c>
    </row>
    <row r="502" spans="1:7" x14ac:dyDescent="0.25">
      <c r="A502" t="s">
        <v>99</v>
      </c>
      <c r="B502" t="s">
        <v>101</v>
      </c>
      <c r="C502">
        <v>6250</v>
      </c>
      <c r="D502" t="s">
        <v>62</v>
      </c>
      <c r="E502" t="s">
        <v>9</v>
      </c>
      <c r="F502" s="5">
        <v>42370</v>
      </c>
      <c r="G502">
        <v>0</v>
      </c>
    </row>
    <row r="503" spans="1:7" x14ac:dyDescent="0.25">
      <c r="A503" t="s">
        <v>99</v>
      </c>
      <c r="B503" t="s">
        <v>101</v>
      </c>
      <c r="C503">
        <v>6250</v>
      </c>
      <c r="D503" t="s">
        <v>62</v>
      </c>
      <c r="E503" t="s">
        <v>9</v>
      </c>
      <c r="F503" s="5">
        <v>42736</v>
      </c>
      <c r="G503">
        <v>0</v>
      </c>
    </row>
    <row r="504" spans="1:7" x14ac:dyDescent="0.25">
      <c r="A504" t="s">
        <v>99</v>
      </c>
      <c r="B504" t="s">
        <v>101</v>
      </c>
      <c r="C504">
        <v>6250</v>
      </c>
      <c r="D504" t="s">
        <v>62</v>
      </c>
      <c r="E504" t="s">
        <v>65</v>
      </c>
      <c r="F504" s="5">
        <v>42370</v>
      </c>
      <c r="G504">
        <v>0</v>
      </c>
    </row>
    <row r="505" spans="1:7" x14ac:dyDescent="0.25">
      <c r="A505" t="s">
        <v>99</v>
      </c>
      <c r="B505" t="s">
        <v>101</v>
      </c>
      <c r="C505">
        <v>6250</v>
      </c>
      <c r="D505" t="s">
        <v>62</v>
      </c>
      <c r="E505" t="s">
        <v>65</v>
      </c>
      <c r="F505" s="5">
        <v>42736</v>
      </c>
      <c r="G505">
        <v>0</v>
      </c>
    </row>
    <row r="506" spans="1:7" x14ac:dyDescent="0.25">
      <c r="A506" t="s">
        <v>99</v>
      </c>
      <c r="B506" t="s">
        <v>101</v>
      </c>
      <c r="C506">
        <v>6250</v>
      </c>
      <c r="D506" t="s">
        <v>62</v>
      </c>
      <c r="E506" t="s">
        <v>66</v>
      </c>
      <c r="F506" s="5">
        <v>42370</v>
      </c>
      <c r="G506">
        <v>0</v>
      </c>
    </row>
    <row r="507" spans="1:7" x14ac:dyDescent="0.25">
      <c r="A507" t="s">
        <v>99</v>
      </c>
      <c r="B507" t="s">
        <v>101</v>
      </c>
      <c r="C507">
        <v>6250</v>
      </c>
      <c r="D507" t="s">
        <v>62</v>
      </c>
      <c r="E507" t="s">
        <v>66</v>
      </c>
      <c r="F507" s="5">
        <v>42736</v>
      </c>
      <c r="G507">
        <v>0</v>
      </c>
    </row>
    <row r="508" spans="1:7" x14ac:dyDescent="0.25">
      <c r="A508" t="s">
        <v>99</v>
      </c>
      <c r="B508" t="s">
        <v>101</v>
      </c>
      <c r="C508">
        <v>6250</v>
      </c>
      <c r="D508" t="s">
        <v>62</v>
      </c>
      <c r="E508" t="s">
        <v>67</v>
      </c>
      <c r="F508" s="5">
        <v>42370</v>
      </c>
      <c r="G508">
        <v>0</v>
      </c>
    </row>
    <row r="509" spans="1:7" x14ac:dyDescent="0.25">
      <c r="A509" t="s">
        <v>99</v>
      </c>
      <c r="B509" t="s">
        <v>101</v>
      </c>
      <c r="C509">
        <v>6250</v>
      </c>
      <c r="D509" t="s">
        <v>62</v>
      </c>
      <c r="E509" t="s">
        <v>67</v>
      </c>
      <c r="F509" s="5">
        <v>42736</v>
      </c>
      <c r="G509">
        <v>0</v>
      </c>
    </row>
    <row r="510" spans="1:7" x14ac:dyDescent="0.25">
      <c r="A510" t="s">
        <v>99</v>
      </c>
      <c r="B510" t="s">
        <v>101</v>
      </c>
      <c r="C510">
        <v>6250</v>
      </c>
      <c r="D510" t="s">
        <v>62</v>
      </c>
      <c r="E510" t="s">
        <v>68</v>
      </c>
      <c r="F510" s="5">
        <v>42370</v>
      </c>
      <c r="G510">
        <v>0</v>
      </c>
    </row>
    <row r="511" spans="1:7" x14ac:dyDescent="0.25">
      <c r="A511" t="s">
        <v>99</v>
      </c>
      <c r="B511" t="s">
        <v>101</v>
      </c>
      <c r="C511">
        <v>6250</v>
      </c>
      <c r="D511" t="s">
        <v>62</v>
      </c>
      <c r="E511" t="s">
        <v>68</v>
      </c>
      <c r="F511" s="5">
        <v>42736</v>
      </c>
      <c r="G511">
        <v>0</v>
      </c>
    </row>
    <row r="512" spans="1:7" x14ac:dyDescent="0.25">
      <c r="A512" t="s">
        <v>99</v>
      </c>
      <c r="B512" t="s">
        <v>101</v>
      </c>
      <c r="C512">
        <v>6250</v>
      </c>
      <c r="D512" t="s">
        <v>62</v>
      </c>
      <c r="E512" t="s">
        <v>69</v>
      </c>
      <c r="F512" s="5">
        <v>42370</v>
      </c>
      <c r="G512">
        <v>0</v>
      </c>
    </row>
    <row r="513" spans="1:7" x14ac:dyDescent="0.25">
      <c r="A513" t="s">
        <v>99</v>
      </c>
      <c r="B513" t="s">
        <v>101</v>
      </c>
      <c r="C513">
        <v>6250</v>
      </c>
      <c r="D513" t="s">
        <v>62</v>
      </c>
      <c r="E513" t="s">
        <v>69</v>
      </c>
      <c r="F513" s="5">
        <v>42736</v>
      </c>
      <c r="G513">
        <v>0</v>
      </c>
    </row>
    <row r="514" spans="1:7" x14ac:dyDescent="0.25">
      <c r="A514" t="s">
        <v>99</v>
      </c>
      <c r="B514" t="s">
        <v>101</v>
      </c>
      <c r="C514">
        <v>6250</v>
      </c>
      <c r="D514" t="s">
        <v>62</v>
      </c>
      <c r="E514" t="s">
        <v>70</v>
      </c>
      <c r="F514" s="5">
        <v>42370</v>
      </c>
      <c r="G514">
        <v>0</v>
      </c>
    </row>
    <row r="515" spans="1:7" x14ac:dyDescent="0.25">
      <c r="A515" t="s">
        <v>99</v>
      </c>
      <c r="B515" t="s">
        <v>101</v>
      </c>
      <c r="C515">
        <v>6250</v>
      </c>
      <c r="D515" t="s">
        <v>62</v>
      </c>
      <c r="E515" t="s">
        <v>70</v>
      </c>
      <c r="F515" s="5">
        <v>42736</v>
      </c>
      <c r="G515">
        <v>0</v>
      </c>
    </row>
    <row r="516" spans="1:7" x14ac:dyDescent="0.25">
      <c r="A516" t="s">
        <v>99</v>
      </c>
      <c r="B516" t="s">
        <v>101</v>
      </c>
      <c r="C516">
        <v>6250</v>
      </c>
      <c r="D516" t="s">
        <v>62</v>
      </c>
      <c r="E516" t="s">
        <v>71</v>
      </c>
      <c r="F516" s="5">
        <v>42370</v>
      </c>
      <c r="G516">
        <v>0</v>
      </c>
    </row>
    <row r="517" spans="1:7" x14ac:dyDescent="0.25">
      <c r="A517" t="s">
        <v>99</v>
      </c>
      <c r="B517" t="s">
        <v>101</v>
      </c>
      <c r="C517">
        <v>6250</v>
      </c>
      <c r="D517" t="s">
        <v>62</v>
      </c>
      <c r="E517" t="s">
        <v>71</v>
      </c>
      <c r="F517" s="5">
        <v>42736</v>
      </c>
      <c r="G517">
        <v>0</v>
      </c>
    </row>
    <row r="518" spans="1:7" x14ac:dyDescent="0.25">
      <c r="A518" t="s">
        <v>99</v>
      </c>
      <c r="B518" t="s">
        <v>101</v>
      </c>
      <c r="C518">
        <v>6250</v>
      </c>
      <c r="D518" t="s">
        <v>72</v>
      </c>
      <c r="E518" t="s">
        <v>73</v>
      </c>
      <c r="F518" s="5">
        <v>42370</v>
      </c>
      <c r="G518">
        <v>0</v>
      </c>
    </row>
    <row r="519" spans="1:7" x14ac:dyDescent="0.25">
      <c r="A519" t="s">
        <v>99</v>
      </c>
      <c r="B519" t="s">
        <v>101</v>
      </c>
      <c r="C519">
        <v>6250</v>
      </c>
      <c r="D519" t="s">
        <v>72</v>
      </c>
      <c r="E519" t="s">
        <v>73</v>
      </c>
      <c r="F519" s="5">
        <v>42736</v>
      </c>
      <c r="G519">
        <v>0</v>
      </c>
    </row>
    <row r="520" spans="1:7" x14ac:dyDescent="0.25">
      <c r="A520" t="s">
        <v>99</v>
      </c>
      <c r="B520" t="s">
        <v>101</v>
      </c>
      <c r="C520">
        <v>6250</v>
      </c>
      <c r="D520" t="s">
        <v>72</v>
      </c>
      <c r="E520" t="s">
        <v>9</v>
      </c>
      <c r="F520" s="5">
        <v>42370</v>
      </c>
      <c r="G520">
        <v>0</v>
      </c>
    </row>
    <row r="521" spans="1:7" x14ac:dyDescent="0.25">
      <c r="A521" t="s">
        <v>99</v>
      </c>
      <c r="B521" t="s">
        <v>101</v>
      </c>
      <c r="C521">
        <v>6250</v>
      </c>
      <c r="D521" t="s">
        <v>72</v>
      </c>
      <c r="E521" t="s">
        <v>9</v>
      </c>
      <c r="F521" s="5">
        <v>42736</v>
      </c>
      <c r="G521">
        <v>0</v>
      </c>
    </row>
    <row r="522" spans="1:7" x14ac:dyDescent="0.25">
      <c r="A522" t="s">
        <v>99</v>
      </c>
      <c r="B522" t="s">
        <v>101</v>
      </c>
      <c r="C522">
        <v>6250</v>
      </c>
      <c r="D522" t="s">
        <v>72</v>
      </c>
      <c r="E522" t="s">
        <v>34</v>
      </c>
      <c r="F522" s="5">
        <v>42370</v>
      </c>
      <c r="G522">
        <v>0</v>
      </c>
    </row>
    <row r="523" spans="1:7" x14ac:dyDescent="0.25">
      <c r="A523" t="s">
        <v>99</v>
      </c>
      <c r="B523" t="s">
        <v>101</v>
      </c>
      <c r="C523">
        <v>6250</v>
      </c>
      <c r="D523" t="s">
        <v>72</v>
      </c>
      <c r="E523" t="s">
        <v>34</v>
      </c>
      <c r="F523" s="5">
        <v>42736</v>
      </c>
      <c r="G523">
        <v>0</v>
      </c>
    </row>
    <row r="524" spans="1:7" x14ac:dyDescent="0.25">
      <c r="A524" t="s">
        <v>99</v>
      </c>
      <c r="B524" t="s">
        <v>101</v>
      </c>
      <c r="C524">
        <v>6250</v>
      </c>
      <c r="D524" t="s">
        <v>72</v>
      </c>
      <c r="E524" t="s">
        <v>74</v>
      </c>
      <c r="F524" s="5">
        <v>42370</v>
      </c>
      <c r="G524">
        <v>0</v>
      </c>
    </row>
    <row r="525" spans="1:7" x14ac:dyDescent="0.25">
      <c r="A525" t="s">
        <v>99</v>
      </c>
      <c r="B525" t="s">
        <v>101</v>
      </c>
      <c r="C525">
        <v>6250</v>
      </c>
      <c r="D525" t="s">
        <v>72</v>
      </c>
      <c r="E525" t="s">
        <v>74</v>
      </c>
      <c r="F525" s="5">
        <v>42736</v>
      </c>
      <c r="G525">
        <v>0</v>
      </c>
    </row>
    <row r="526" spans="1:7" x14ac:dyDescent="0.25">
      <c r="A526" t="s">
        <v>99</v>
      </c>
      <c r="B526" t="s">
        <v>101</v>
      </c>
      <c r="C526">
        <v>6250</v>
      </c>
      <c r="D526" t="s">
        <v>72</v>
      </c>
      <c r="E526" t="s">
        <v>75</v>
      </c>
      <c r="F526" s="5">
        <v>42370</v>
      </c>
      <c r="G526">
        <v>0</v>
      </c>
    </row>
    <row r="527" spans="1:7" x14ac:dyDescent="0.25">
      <c r="A527" t="s">
        <v>99</v>
      </c>
      <c r="B527" t="s">
        <v>101</v>
      </c>
      <c r="C527">
        <v>6250</v>
      </c>
      <c r="D527" t="s">
        <v>72</v>
      </c>
      <c r="E527" t="s">
        <v>75</v>
      </c>
      <c r="F527" s="5">
        <v>42736</v>
      </c>
      <c r="G527">
        <v>0</v>
      </c>
    </row>
    <row r="528" spans="1:7" x14ac:dyDescent="0.25">
      <c r="A528" t="s">
        <v>99</v>
      </c>
      <c r="B528" t="s">
        <v>101</v>
      </c>
      <c r="C528">
        <v>6250</v>
      </c>
      <c r="D528" t="s">
        <v>76</v>
      </c>
      <c r="E528" t="s">
        <v>9</v>
      </c>
      <c r="F528" s="5">
        <v>42370</v>
      </c>
      <c r="G528">
        <v>0</v>
      </c>
    </row>
    <row r="529" spans="1:7" x14ac:dyDescent="0.25">
      <c r="A529" t="s">
        <v>99</v>
      </c>
      <c r="B529" t="s">
        <v>101</v>
      </c>
      <c r="C529">
        <v>6250</v>
      </c>
      <c r="D529" t="s">
        <v>76</v>
      </c>
      <c r="E529" t="s">
        <v>9</v>
      </c>
      <c r="F529" s="5">
        <v>42736</v>
      </c>
      <c r="G529">
        <v>0</v>
      </c>
    </row>
    <row r="530" spans="1:7" x14ac:dyDescent="0.25">
      <c r="A530" t="s">
        <v>99</v>
      </c>
      <c r="B530" t="s">
        <v>101</v>
      </c>
      <c r="C530">
        <v>6250</v>
      </c>
      <c r="D530" t="s">
        <v>76</v>
      </c>
      <c r="E530" t="s">
        <v>77</v>
      </c>
      <c r="F530" s="5">
        <v>42370</v>
      </c>
      <c r="G530">
        <v>0</v>
      </c>
    </row>
    <row r="531" spans="1:7" x14ac:dyDescent="0.25">
      <c r="A531" t="s">
        <v>99</v>
      </c>
      <c r="B531" t="s">
        <v>101</v>
      </c>
      <c r="C531">
        <v>6250</v>
      </c>
      <c r="D531" t="s">
        <v>76</v>
      </c>
      <c r="E531" t="s">
        <v>77</v>
      </c>
      <c r="F531" s="5">
        <v>42736</v>
      </c>
      <c r="G531">
        <v>0</v>
      </c>
    </row>
    <row r="532" spans="1:7" x14ac:dyDescent="0.25">
      <c r="A532" t="s">
        <v>99</v>
      </c>
      <c r="B532" t="s">
        <v>101</v>
      </c>
      <c r="C532">
        <v>6250</v>
      </c>
      <c r="D532" t="s">
        <v>78</v>
      </c>
      <c r="E532" t="s">
        <v>79</v>
      </c>
      <c r="F532" s="5">
        <v>42370</v>
      </c>
      <c r="G532">
        <v>65</v>
      </c>
    </row>
    <row r="533" spans="1:7" x14ac:dyDescent="0.25">
      <c r="A533" t="s">
        <v>99</v>
      </c>
      <c r="B533" t="s">
        <v>101</v>
      </c>
      <c r="C533">
        <v>6250</v>
      </c>
      <c r="D533" t="s">
        <v>78</v>
      </c>
      <c r="E533" t="s">
        <v>79</v>
      </c>
      <c r="F533" s="5">
        <v>42736</v>
      </c>
      <c r="G533">
        <v>84</v>
      </c>
    </row>
    <row r="534" spans="1:7" x14ac:dyDescent="0.25">
      <c r="A534" t="s">
        <v>99</v>
      </c>
      <c r="B534" t="s">
        <v>101</v>
      </c>
      <c r="C534">
        <v>6250</v>
      </c>
      <c r="D534" t="s">
        <v>78</v>
      </c>
      <c r="E534" t="s">
        <v>80</v>
      </c>
      <c r="F534" s="5">
        <v>42370</v>
      </c>
      <c r="G534">
        <v>0</v>
      </c>
    </row>
    <row r="535" spans="1:7" x14ac:dyDescent="0.25">
      <c r="A535" t="s">
        <v>99</v>
      </c>
      <c r="B535" t="s">
        <v>101</v>
      </c>
      <c r="C535">
        <v>6250</v>
      </c>
      <c r="D535" t="s">
        <v>78</v>
      </c>
      <c r="E535" t="s">
        <v>80</v>
      </c>
      <c r="F535" s="5">
        <v>42736</v>
      </c>
      <c r="G535">
        <v>5</v>
      </c>
    </row>
    <row r="536" spans="1:7" x14ac:dyDescent="0.25">
      <c r="A536" t="s">
        <v>99</v>
      </c>
      <c r="B536" t="s">
        <v>101</v>
      </c>
      <c r="C536">
        <v>6250</v>
      </c>
      <c r="D536" t="s">
        <v>78</v>
      </c>
      <c r="E536" t="s">
        <v>81</v>
      </c>
      <c r="F536" s="5">
        <v>42370</v>
      </c>
      <c r="G536">
        <v>552</v>
      </c>
    </row>
    <row r="537" spans="1:7" x14ac:dyDescent="0.25">
      <c r="A537" t="s">
        <v>99</v>
      </c>
      <c r="B537" t="s">
        <v>101</v>
      </c>
      <c r="C537">
        <v>6250</v>
      </c>
      <c r="D537" t="s">
        <v>78</v>
      </c>
      <c r="E537" t="s">
        <v>81</v>
      </c>
      <c r="F537" s="5">
        <v>42736</v>
      </c>
      <c r="G537">
        <v>689</v>
      </c>
    </row>
    <row r="538" spans="1:7" x14ac:dyDescent="0.25">
      <c r="A538" t="s">
        <v>99</v>
      </c>
      <c r="B538" t="s">
        <v>101</v>
      </c>
      <c r="C538">
        <v>6250</v>
      </c>
      <c r="D538" t="s">
        <v>78</v>
      </c>
      <c r="E538" t="s">
        <v>82</v>
      </c>
      <c r="F538" s="5">
        <v>42370</v>
      </c>
      <c r="G538">
        <v>7</v>
      </c>
    </row>
    <row r="539" spans="1:7" x14ac:dyDescent="0.25">
      <c r="A539" t="s">
        <v>99</v>
      </c>
      <c r="B539" t="s">
        <v>101</v>
      </c>
      <c r="C539">
        <v>6250</v>
      </c>
      <c r="D539" t="s">
        <v>78</v>
      </c>
      <c r="E539" t="s">
        <v>82</v>
      </c>
      <c r="F539" s="5">
        <v>42736</v>
      </c>
      <c r="G539">
        <v>5</v>
      </c>
    </row>
    <row r="540" spans="1:7" x14ac:dyDescent="0.25">
      <c r="A540" t="s">
        <v>99</v>
      </c>
      <c r="B540" t="s">
        <v>101</v>
      </c>
      <c r="C540">
        <v>6250</v>
      </c>
      <c r="D540" t="s">
        <v>78</v>
      </c>
      <c r="E540" t="s">
        <v>83</v>
      </c>
      <c r="F540" s="5">
        <v>42370</v>
      </c>
      <c r="G540">
        <v>0</v>
      </c>
    </row>
    <row r="541" spans="1:7" x14ac:dyDescent="0.25">
      <c r="A541" t="s">
        <v>99</v>
      </c>
      <c r="B541" t="s">
        <v>101</v>
      </c>
      <c r="C541">
        <v>6250</v>
      </c>
      <c r="D541" t="s">
        <v>78</v>
      </c>
      <c r="E541" t="s">
        <v>83</v>
      </c>
      <c r="F541" s="5">
        <v>42736</v>
      </c>
      <c r="G541">
        <v>0</v>
      </c>
    </row>
    <row r="542" spans="1:7" x14ac:dyDescent="0.25">
      <c r="A542" t="s">
        <v>99</v>
      </c>
      <c r="B542" t="s">
        <v>101</v>
      </c>
      <c r="C542">
        <v>6250</v>
      </c>
      <c r="D542" t="s">
        <v>78</v>
      </c>
      <c r="E542" t="s">
        <v>84</v>
      </c>
      <c r="F542" s="5">
        <v>42370</v>
      </c>
      <c r="G542">
        <v>0</v>
      </c>
    </row>
    <row r="543" spans="1:7" x14ac:dyDescent="0.25">
      <c r="A543" t="s">
        <v>99</v>
      </c>
      <c r="B543" t="s">
        <v>101</v>
      </c>
      <c r="C543">
        <v>6250</v>
      </c>
      <c r="D543" t="s">
        <v>78</v>
      </c>
      <c r="E543" t="s">
        <v>84</v>
      </c>
      <c r="F543" s="5">
        <v>42736</v>
      </c>
      <c r="G543">
        <v>0</v>
      </c>
    </row>
    <row r="544" spans="1:7" x14ac:dyDescent="0.25">
      <c r="A544" t="s">
        <v>99</v>
      </c>
      <c r="B544" t="s">
        <v>101</v>
      </c>
      <c r="C544">
        <v>6250</v>
      </c>
      <c r="D544" t="s">
        <v>78</v>
      </c>
      <c r="E544" t="s">
        <v>85</v>
      </c>
      <c r="F544" s="5">
        <v>42370</v>
      </c>
      <c r="G544">
        <v>0</v>
      </c>
    </row>
    <row r="545" spans="1:7" x14ac:dyDescent="0.25">
      <c r="A545" t="s">
        <v>99</v>
      </c>
      <c r="B545" t="s">
        <v>101</v>
      </c>
      <c r="C545">
        <v>6250</v>
      </c>
      <c r="D545" t="s">
        <v>78</v>
      </c>
      <c r="E545" t="s">
        <v>85</v>
      </c>
      <c r="F545" s="5">
        <v>42736</v>
      </c>
      <c r="G545">
        <v>0</v>
      </c>
    </row>
    <row r="546" spans="1:7" x14ac:dyDescent="0.25">
      <c r="A546" t="s">
        <v>99</v>
      </c>
      <c r="B546" t="s">
        <v>101</v>
      </c>
      <c r="C546">
        <v>6250</v>
      </c>
      <c r="D546" t="s">
        <v>78</v>
      </c>
      <c r="E546" t="s">
        <v>86</v>
      </c>
      <c r="F546" s="5">
        <v>42370</v>
      </c>
      <c r="G546">
        <v>0</v>
      </c>
    </row>
    <row r="547" spans="1:7" x14ac:dyDescent="0.25">
      <c r="A547" t="s">
        <v>99</v>
      </c>
      <c r="B547" t="s">
        <v>101</v>
      </c>
      <c r="C547">
        <v>6250</v>
      </c>
      <c r="D547" t="s">
        <v>78</v>
      </c>
      <c r="E547" t="s">
        <v>86</v>
      </c>
      <c r="F547" s="5">
        <v>42736</v>
      </c>
      <c r="G547">
        <v>0</v>
      </c>
    </row>
    <row r="548" spans="1:7" x14ac:dyDescent="0.25">
      <c r="A548" t="s">
        <v>99</v>
      </c>
      <c r="B548" t="s">
        <v>101</v>
      </c>
      <c r="C548">
        <v>6250</v>
      </c>
      <c r="D548" t="s">
        <v>78</v>
      </c>
      <c r="E548" t="s">
        <v>87</v>
      </c>
      <c r="F548" s="5">
        <v>42370</v>
      </c>
      <c r="G548">
        <v>2</v>
      </c>
    </row>
    <row r="549" spans="1:7" x14ac:dyDescent="0.25">
      <c r="A549" t="s">
        <v>99</v>
      </c>
      <c r="B549" t="s">
        <v>101</v>
      </c>
      <c r="C549">
        <v>6250</v>
      </c>
      <c r="D549" t="s">
        <v>78</v>
      </c>
      <c r="E549" t="s">
        <v>87</v>
      </c>
      <c r="F549" s="5">
        <v>42736</v>
      </c>
      <c r="G549">
        <v>5</v>
      </c>
    </row>
    <row r="550" spans="1:7" x14ac:dyDescent="0.25">
      <c r="A550" t="s">
        <v>99</v>
      </c>
      <c r="B550" t="s">
        <v>101</v>
      </c>
      <c r="C550">
        <v>6250</v>
      </c>
      <c r="D550" t="s">
        <v>78</v>
      </c>
      <c r="E550" t="s">
        <v>88</v>
      </c>
      <c r="F550" s="5">
        <v>42370</v>
      </c>
      <c r="G550">
        <v>92</v>
      </c>
    </row>
    <row r="551" spans="1:7" x14ac:dyDescent="0.25">
      <c r="A551" t="s">
        <v>99</v>
      </c>
      <c r="B551" t="s">
        <v>101</v>
      </c>
      <c r="C551">
        <v>6250</v>
      </c>
      <c r="D551" t="s">
        <v>78</v>
      </c>
      <c r="E551" t="s">
        <v>88</v>
      </c>
      <c r="F551" s="5">
        <v>42736</v>
      </c>
      <c r="G551">
        <v>141</v>
      </c>
    </row>
    <row r="552" spans="1:7" x14ac:dyDescent="0.25">
      <c r="A552" t="s">
        <v>99</v>
      </c>
      <c r="B552" t="s">
        <v>101</v>
      </c>
      <c r="C552">
        <v>6250</v>
      </c>
      <c r="D552" t="s">
        <v>78</v>
      </c>
      <c r="E552" t="s">
        <v>89</v>
      </c>
      <c r="F552" s="5">
        <v>42370</v>
      </c>
      <c r="G552">
        <v>1291</v>
      </c>
    </row>
    <row r="553" spans="1:7" x14ac:dyDescent="0.25">
      <c r="A553" t="s">
        <v>99</v>
      </c>
      <c r="B553" t="s">
        <v>101</v>
      </c>
      <c r="C553">
        <v>6250</v>
      </c>
      <c r="D553" t="s">
        <v>78</v>
      </c>
      <c r="E553" t="s">
        <v>89</v>
      </c>
      <c r="F553" s="5">
        <v>42736</v>
      </c>
      <c r="G553">
        <v>1564</v>
      </c>
    </row>
    <row r="554" spans="1:7" x14ac:dyDescent="0.25">
      <c r="A554" t="s">
        <v>99</v>
      </c>
      <c r="B554" t="s">
        <v>101</v>
      </c>
      <c r="C554">
        <v>6250</v>
      </c>
      <c r="D554" t="s">
        <v>78</v>
      </c>
      <c r="E554" t="s">
        <v>90</v>
      </c>
      <c r="F554" s="5">
        <v>42370</v>
      </c>
      <c r="G554">
        <v>0</v>
      </c>
    </row>
    <row r="555" spans="1:7" x14ac:dyDescent="0.25">
      <c r="A555" t="s">
        <v>99</v>
      </c>
      <c r="B555" t="s">
        <v>101</v>
      </c>
      <c r="C555">
        <v>6250</v>
      </c>
      <c r="D555" t="s">
        <v>78</v>
      </c>
      <c r="E555" t="s">
        <v>90</v>
      </c>
      <c r="F555" s="5">
        <v>42736</v>
      </c>
      <c r="G555">
        <v>0</v>
      </c>
    </row>
    <row r="556" spans="1:7" x14ac:dyDescent="0.25">
      <c r="A556" t="s">
        <v>99</v>
      </c>
      <c r="B556" t="s">
        <v>101</v>
      </c>
      <c r="C556">
        <v>6250</v>
      </c>
      <c r="D556" t="s">
        <v>78</v>
      </c>
      <c r="E556" t="s">
        <v>91</v>
      </c>
      <c r="F556" s="5">
        <v>42370</v>
      </c>
      <c r="G556">
        <v>0</v>
      </c>
    </row>
    <row r="557" spans="1:7" x14ac:dyDescent="0.25">
      <c r="A557" t="s">
        <v>99</v>
      </c>
      <c r="B557" t="s">
        <v>101</v>
      </c>
      <c r="C557">
        <v>6250</v>
      </c>
      <c r="D557" t="s">
        <v>78</v>
      </c>
      <c r="E557" t="s">
        <v>91</v>
      </c>
      <c r="F557" s="5">
        <v>42736</v>
      </c>
      <c r="G557">
        <v>0</v>
      </c>
    </row>
    <row r="558" spans="1:7" x14ac:dyDescent="0.25">
      <c r="A558" t="s">
        <v>99</v>
      </c>
      <c r="B558" t="s">
        <v>101</v>
      </c>
      <c r="C558">
        <v>6250</v>
      </c>
      <c r="D558" t="s">
        <v>78</v>
      </c>
      <c r="E558" t="s">
        <v>92</v>
      </c>
      <c r="F558" s="5">
        <v>42370</v>
      </c>
      <c r="G558">
        <v>0</v>
      </c>
    </row>
    <row r="559" spans="1:7" x14ac:dyDescent="0.25">
      <c r="A559" t="s">
        <v>99</v>
      </c>
      <c r="B559" t="s">
        <v>101</v>
      </c>
      <c r="C559">
        <v>6250</v>
      </c>
      <c r="D559" t="s">
        <v>78</v>
      </c>
      <c r="E559" t="s">
        <v>92</v>
      </c>
      <c r="F559" s="5">
        <v>42736</v>
      </c>
      <c r="G559">
        <v>0</v>
      </c>
    </row>
    <row r="560" spans="1:7" x14ac:dyDescent="0.25">
      <c r="A560" t="s">
        <v>99</v>
      </c>
      <c r="B560" t="s">
        <v>101</v>
      </c>
      <c r="C560">
        <v>6250</v>
      </c>
      <c r="D560" t="s">
        <v>78</v>
      </c>
      <c r="E560" t="s">
        <v>93</v>
      </c>
      <c r="F560" s="5">
        <v>42370</v>
      </c>
      <c r="G560">
        <v>0</v>
      </c>
    </row>
    <row r="561" spans="1:7" x14ac:dyDescent="0.25">
      <c r="A561" t="s">
        <v>99</v>
      </c>
      <c r="B561" t="s">
        <v>101</v>
      </c>
      <c r="C561">
        <v>6250</v>
      </c>
      <c r="D561" t="s">
        <v>78</v>
      </c>
      <c r="E561" t="s">
        <v>93</v>
      </c>
      <c r="F561" s="5">
        <v>42736</v>
      </c>
      <c r="G561">
        <v>0</v>
      </c>
    </row>
    <row r="562" spans="1:7" x14ac:dyDescent="0.25">
      <c r="A562" t="s">
        <v>99</v>
      </c>
      <c r="B562" t="s">
        <v>101</v>
      </c>
      <c r="C562">
        <v>6250</v>
      </c>
      <c r="D562" t="s">
        <v>78</v>
      </c>
      <c r="E562" t="s">
        <v>94</v>
      </c>
      <c r="F562" s="5">
        <v>42370</v>
      </c>
      <c r="G562">
        <v>0</v>
      </c>
    </row>
    <row r="563" spans="1:7" x14ac:dyDescent="0.25">
      <c r="A563" t="s">
        <v>99</v>
      </c>
      <c r="B563" t="s">
        <v>101</v>
      </c>
      <c r="C563">
        <v>6250</v>
      </c>
      <c r="D563" t="s">
        <v>78</v>
      </c>
      <c r="E563" t="s">
        <v>94</v>
      </c>
      <c r="F563" s="5">
        <v>42736</v>
      </c>
      <c r="G563">
        <v>0</v>
      </c>
    </row>
    <row r="564" spans="1:7" x14ac:dyDescent="0.25">
      <c r="A564" t="s">
        <v>99</v>
      </c>
      <c r="B564" t="s">
        <v>101</v>
      </c>
      <c r="C564">
        <v>6250</v>
      </c>
      <c r="D564" t="s">
        <v>78</v>
      </c>
      <c r="E564" t="s">
        <v>95</v>
      </c>
      <c r="F564" s="5">
        <v>42370</v>
      </c>
      <c r="G564">
        <v>0</v>
      </c>
    </row>
    <row r="565" spans="1:7" x14ac:dyDescent="0.25">
      <c r="A565" t="s">
        <v>99</v>
      </c>
      <c r="B565" t="s">
        <v>101</v>
      </c>
      <c r="C565">
        <v>6250</v>
      </c>
      <c r="D565" t="s">
        <v>78</v>
      </c>
      <c r="E565" t="s">
        <v>95</v>
      </c>
      <c r="F565" s="5">
        <v>42736</v>
      </c>
      <c r="G565">
        <v>0</v>
      </c>
    </row>
    <row r="566" spans="1:7" x14ac:dyDescent="0.25">
      <c r="A566" t="s">
        <v>99</v>
      </c>
      <c r="B566" t="s">
        <v>101</v>
      </c>
      <c r="C566">
        <v>6250</v>
      </c>
      <c r="D566" t="s">
        <v>78</v>
      </c>
      <c r="E566" t="s">
        <v>96</v>
      </c>
      <c r="F566" s="5">
        <v>42370</v>
      </c>
      <c r="G566">
        <v>0</v>
      </c>
    </row>
    <row r="567" spans="1:7" x14ac:dyDescent="0.25">
      <c r="A567" t="s">
        <v>99</v>
      </c>
      <c r="B567" t="s">
        <v>101</v>
      </c>
      <c r="C567">
        <v>6250</v>
      </c>
      <c r="D567" t="s">
        <v>78</v>
      </c>
      <c r="E567" t="s">
        <v>96</v>
      </c>
      <c r="F567" s="5">
        <v>42736</v>
      </c>
      <c r="G567">
        <v>0</v>
      </c>
    </row>
    <row r="568" spans="1:7" x14ac:dyDescent="0.25">
      <c r="A568" t="s">
        <v>99</v>
      </c>
      <c r="B568" t="s">
        <v>101</v>
      </c>
      <c r="C568">
        <v>6250</v>
      </c>
      <c r="D568" t="s">
        <v>78</v>
      </c>
      <c r="E568" t="s">
        <v>97</v>
      </c>
      <c r="F568" s="5">
        <v>42370</v>
      </c>
      <c r="G568">
        <v>0</v>
      </c>
    </row>
    <row r="569" spans="1:7" x14ac:dyDescent="0.25">
      <c r="A569" t="s">
        <v>99</v>
      </c>
      <c r="B569" t="s">
        <v>101</v>
      </c>
      <c r="C569">
        <v>6250</v>
      </c>
      <c r="D569" t="s">
        <v>78</v>
      </c>
      <c r="E569" t="s">
        <v>97</v>
      </c>
      <c r="F569" s="5">
        <v>42736</v>
      </c>
      <c r="G569">
        <v>0</v>
      </c>
    </row>
    <row r="570" spans="1:7" x14ac:dyDescent="0.25">
      <c r="A570" t="s">
        <v>99</v>
      </c>
      <c r="B570" t="s">
        <v>101</v>
      </c>
      <c r="C570">
        <v>6250</v>
      </c>
      <c r="D570" t="s">
        <v>78</v>
      </c>
      <c r="E570" t="s">
        <v>98</v>
      </c>
      <c r="F570" s="5">
        <v>42370</v>
      </c>
      <c r="G570">
        <v>108</v>
      </c>
    </row>
    <row r="571" spans="1:7" x14ac:dyDescent="0.25">
      <c r="A571" t="s">
        <v>99</v>
      </c>
      <c r="B571" t="s">
        <v>101</v>
      </c>
      <c r="C571">
        <v>6250</v>
      </c>
      <c r="D571" t="s">
        <v>78</v>
      </c>
      <c r="E571" t="s">
        <v>98</v>
      </c>
      <c r="F571" s="5">
        <v>42736</v>
      </c>
      <c r="G571">
        <v>48</v>
      </c>
    </row>
    <row r="572" spans="1:7" x14ac:dyDescent="0.25">
      <c r="A572" t="s">
        <v>99</v>
      </c>
      <c r="B572" t="s">
        <v>102</v>
      </c>
      <c r="C572">
        <v>7310</v>
      </c>
      <c r="D572" t="s">
        <v>8</v>
      </c>
      <c r="E572" t="s">
        <v>9</v>
      </c>
      <c r="F572" s="5">
        <v>42370</v>
      </c>
      <c r="G572">
        <v>0</v>
      </c>
    </row>
    <row r="573" spans="1:7" x14ac:dyDescent="0.25">
      <c r="A573" t="s">
        <v>99</v>
      </c>
      <c r="B573" t="s">
        <v>102</v>
      </c>
      <c r="C573">
        <v>7310</v>
      </c>
      <c r="D573" t="s">
        <v>8</v>
      </c>
      <c r="E573" t="s">
        <v>9</v>
      </c>
      <c r="F573" s="5">
        <v>42736</v>
      </c>
      <c r="G573">
        <v>0</v>
      </c>
    </row>
    <row r="574" spans="1:7" x14ac:dyDescent="0.25">
      <c r="A574" t="s">
        <v>99</v>
      </c>
      <c r="B574" t="s">
        <v>102</v>
      </c>
      <c r="C574">
        <v>7310</v>
      </c>
      <c r="D574" t="s">
        <v>8</v>
      </c>
      <c r="E574" t="s">
        <v>10</v>
      </c>
      <c r="F574" s="5">
        <v>42370</v>
      </c>
      <c r="G574">
        <v>0</v>
      </c>
    </row>
    <row r="575" spans="1:7" x14ac:dyDescent="0.25">
      <c r="A575" t="s">
        <v>99</v>
      </c>
      <c r="B575" t="s">
        <v>102</v>
      </c>
      <c r="C575">
        <v>7310</v>
      </c>
      <c r="D575" t="s">
        <v>8</v>
      </c>
      <c r="E575" t="s">
        <v>10</v>
      </c>
      <c r="F575" s="5">
        <v>42736</v>
      </c>
      <c r="G575">
        <v>0</v>
      </c>
    </row>
    <row r="576" spans="1:7" x14ac:dyDescent="0.25">
      <c r="A576" t="s">
        <v>99</v>
      </c>
      <c r="B576" t="s">
        <v>102</v>
      </c>
      <c r="C576">
        <v>7310</v>
      </c>
      <c r="D576" t="s">
        <v>8</v>
      </c>
      <c r="E576" t="s">
        <v>11</v>
      </c>
      <c r="F576" s="5">
        <v>42370</v>
      </c>
      <c r="G576">
        <v>0</v>
      </c>
    </row>
    <row r="577" spans="1:7" x14ac:dyDescent="0.25">
      <c r="A577" t="s">
        <v>99</v>
      </c>
      <c r="B577" t="s">
        <v>102</v>
      </c>
      <c r="C577">
        <v>7310</v>
      </c>
      <c r="D577" t="s">
        <v>8</v>
      </c>
      <c r="E577" t="s">
        <v>11</v>
      </c>
      <c r="F577" s="5">
        <v>42736</v>
      </c>
      <c r="G577">
        <v>0</v>
      </c>
    </row>
    <row r="578" spans="1:7" x14ac:dyDescent="0.25">
      <c r="A578" t="s">
        <v>99</v>
      </c>
      <c r="B578" t="s">
        <v>102</v>
      </c>
      <c r="C578">
        <v>7310</v>
      </c>
      <c r="D578" t="s">
        <v>8</v>
      </c>
      <c r="E578" t="s">
        <v>12</v>
      </c>
      <c r="F578" s="5">
        <v>42370</v>
      </c>
      <c r="G578">
        <v>0</v>
      </c>
    </row>
    <row r="579" spans="1:7" x14ac:dyDescent="0.25">
      <c r="A579" t="s">
        <v>99</v>
      </c>
      <c r="B579" t="s">
        <v>102</v>
      </c>
      <c r="C579">
        <v>7310</v>
      </c>
      <c r="D579" t="s">
        <v>8</v>
      </c>
      <c r="E579" t="s">
        <v>12</v>
      </c>
      <c r="F579" s="5">
        <v>42736</v>
      </c>
      <c r="G579">
        <v>0</v>
      </c>
    </row>
    <row r="580" spans="1:7" x14ac:dyDescent="0.25">
      <c r="A580" t="s">
        <v>99</v>
      </c>
      <c r="B580" t="s">
        <v>102</v>
      </c>
      <c r="C580">
        <v>7310</v>
      </c>
      <c r="D580" t="s">
        <v>8</v>
      </c>
      <c r="E580" t="s">
        <v>13</v>
      </c>
      <c r="F580" s="5">
        <v>42370</v>
      </c>
      <c r="G580">
        <v>0</v>
      </c>
    </row>
    <row r="581" spans="1:7" x14ac:dyDescent="0.25">
      <c r="A581" t="s">
        <v>99</v>
      </c>
      <c r="B581" t="s">
        <v>102</v>
      </c>
      <c r="C581">
        <v>7310</v>
      </c>
      <c r="D581" t="s">
        <v>8</v>
      </c>
      <c r="E581" t="s">
        <v>13</v>
      </c>
      <c r="F581" s="5">
        <v>42736</v>
      </c>
      <c r="G581">
        <v>0</v>
      </c>
    </row>
    <row r="582" spans="1:7" x14ac:dyDescent="0.25">
      <c r="A582" t="s">
        <v>99</v>
      </c>
      <c r="B582" t="s">
        <v>102</v>
      </c>
      <c r="C582">
        <v>7310</v>
      </c>
      <c r="D582" t="s">
        <v>8</v>
      </c>
      <c r="E582" t="s">
        <v>14</v>
      </c>
      <c r="F582" s="5">
        <v>42370</v>
      </c>
      <c r="G582">
        <v>0</v>
      </c>
    </row>
    <row r="583" spans="1:7" x14ac:dyDescent="0.25">
      <c r="A583" t="s">
        <v>99</v>
      </c>
      <c r="B583" t="s">
        <v>102</v>
      </c>
      <c r="C583">
        <v>7310</v>
      </c>
      <c r="D583" t="s">
        <v>8</v>
      </c>
      <c r="E583" t="s">
        <v>14</v>
      </c>
      <c r="F583" s="5">
        <v>42736</v>
      </c>
      <c r="G583">
        <v>0</v>
      </c>
    </row>
    <row r="584" spans="1:7" x14ac:dyDescent="0.25">
      <c r="A584" t="s">
        <v>99</v>
      </c>
      <c r="B584" t="s">
        <v>102</v>
      </c>
      <c r="C584">
        <v>7310</v>
      </c>
      <c r="D584" t="s">
        <v>8</v>
      </c>
      <c r="E584" t="s">
        <v>15</v>
      </c>
      <c r="F584" s="5">
        <v>42370</v>
      </c>
      <c r="G584">
        <v>0</v>
      </c>
    </row>
    <row r="585" spans="1:7" x14ac:dyDescent="0.25">
      <c r="A585" t="s">
        <v>99</v>
      </c>
      <c r="B585" t="s">
        <v>102</v>
      </c>
      <c r="C585">
        <v>7310</v>
      </c>
      <c r="D585" t="s">
        <v>8</v>
      </c>
      <c r="E585" t="s">
        <v>15</v>
      </c>
      <c r="F585" s="5">
        <v>42736</v>
      </c>
      <c r="G585">
        <v>0</v>
      </c>
    </row>
    <row r="586" spans="1:7" x14ac:dyDescent="0.25">
      <c r="A586" t="s">
        <v>99</v>
      </c>
      <c r="B586" t="s">
        <v>102</v>
      </c>
      <c r="C586">
        <v>7310</v>
      </c>
      <c r="D586" t="s">
        <v>8</v>
      </c>
      <c r="E586" t="s">
        <v>16</v>
      </c>
      <c r="F586" s="5">
        <v>42370</v>
      </c>
      <c r="G586">
        <v>0</v>
      </c>
    </row>
    <row r="587" spans="1:7" x14ac:dyDescent="0.25">
      <c r="A587" t="s">
        <v>99</v>
      </c>
      <c r="B587" t="s">
        <v>102</v>
      </c>
      <c r="C587">
        <v>7310</v>
      </c>
      <c r="D587" t="s">
        <v>8</v>
      </c>
      <c r="E587" t="s">
        <v>16</v>
      </c>
      <c r="F587" s="5">
        <v>42736</v>
      </c>
      <c r="G587">
        <v>0</v>
      </c>
    </row>
    <row r="588" spans="1:7" x14ac:dyDescent="0.25">
      <c r="A588" t="s">
        <v>99</v>
      </c>
      <c r="B588" t="s">
        <v>102</v>
      </c>
      <c r="C588">
        <v>7310</v>
      </c>
      <c r="D588" t="s">
        <v>8</v>
      </c>
      <c r="E588" t="s">
        <v>17</v>
      </c>
      <c r="F588" s="5">
        <v>42370</v>
      </c>
      <c r="G588">
        <v>0</v>
      </c>
    </row>
    <row r="589" spans="1:7" x14ac:dyDescent="0.25">
      <c r="A589" t="s">
        <v>99</v>
      </c>
      <c r="B589" t="s">
        <v>102</v>
      </c>
      <c r="C589">
        <v>7310</v>
      </c>
      <c r="D589" t="s">
        <v>8</v>
      </c>
      <c r="E589" t="s">
        <v>17</v>
      </c>
      <c r="F589" s="5">
        <v>42736</v>
      </c>
      <c r="G589">
        <v>0</v>
      </c>
    </row>
    <row r="590" spans="1:7" x14ac:dyDescent="0.25">
      <c r="A590" t="s">
        <v>99</v>
      </c>
      <c r="B590" t="s">
        <v>102</v>
      </c>
      <c r="C590">
        <v>7310</v>
      </c>
      <c r="D590" t="s">
        <v>8</v>
      </c>
      <c r="E590" t="s">
        <v>18</v>
      </c>
      <c r="F590" s="5">
        <v>42370</v>
      </c>
      <c r="G590">
        <v>0</v>
      </c>
    </row>
    <row r="591" spans="1:7" x14ac:dyDescent="0.25">
      <c r="A591" t="s">
        <v>99</v>
      </c>
      <c r="B591" t="s">
        <v>102</v>
      </c>
      <c r="C591">
        <v>7310</v>
      </c>
      <c r="D591" t="s">
        <v>8</v>
      </c>
      <c r="E591" t="s">
        <v>18</v>
      </c>
      <c r="F591" s="5">
        <v>42736</v>
      </c>
      <c r="G591">
        <v>0</v>
      </c>
    </row>
    <row r="592" spans="1:7" x14ac:dyDescent="0.25">
      <c r="A592" t="s">
        <v>99</v>
      </c>
      <c r="B592" t="s">
        <v>102</v>
      </c>
      <c r="C592">
        <v>7310</v>
      </c>
      <c r="D592" t="s">
        <v>8</v>
      </c>
      <c r="E592" t="s">
        <v>19</v>
      </c>
      <c r="F592" s="5">
        <v>42370</v>
      </c>
      <c r="G592">
        <v>0</v>
      </c>
    </row>
    <row r="593" spans="1:7" x14ac:dyDescent="0.25">
      <c r="A593" t="s">
        <v>99</v>
      </c>
      <c r="B593" t="s">
        <v>102</v>
      </c>
      <c r="C593">
        <v>7310</v>
      </c>
      <c r="D593" t="s">
        <v>8</v>
      </c>
      <c r="E593" t="s">
        <v>19</v>
      </c>
      <c r="F593" s="5">
        <v>42736</v>
      </c>
      <c r="G593">
        <v>0</v>
      </c>
    </row>
    <row r="594" spans="1:7" x14ac:dyDescent="0.25">
      <c r="A594" t="s">
        <v>99</v>
      </c>
      <c r="B594" t="s">
        <v>102</v>
      </c>
      <c r="C594">
        <v>7310</v>
      </c>
      <c r="D594" t="s">
        <v>20</v>
      </c>
      <c r="E594" t="s">
        <v>9</v>
      </c>
      <c r="F594" s="5">
        <v>42370</v>
      </c>
      <c r="G594">
        <v>1</v>
      </c>
    </row>
    <row r="595" spans="1:7" x14ac:dyDescent="0.25">
      <c r="A595" t="s">
        <v>99</v>
      </c>
      <c r="B595" t="s">
        <v>102</v>
      </c>
      <c r="C595">
        <v>7310</v>
      </c>
      <c r="D595" t="s">
        <v>20</v>
      </c>
      <c r="E595" t="s">
        <v>9</v>
      </c>
      <c r="F595" s="5">
        <v>42736</v>
      </c>
      <c r="G595">
        <v>7</v>
      </c>
    </row>
    <row r="596" spans="1:7" x14ac:dyDescent="0.25">
      <c r="A596" t="s">
        <v>99</v>
      </c>
      <c r="B596" t="s">
        <v>102</v>
      </c>
      <c r="C596">
        <v>7310</v>
      </c>
      <c r="D596" t="s">
        <v>20</v>
      </c>
      <c r="E596" t="s">
        <v>21</v>
      </c>
      <c r="F596" s="5">
        <v>42370</v>
      </c>
      <c r="G596">
        <v>0</v>
      </c>
    </row>
    <row r="597" spans="1:7" x14ac:dyDescent="0.25">
      <c r="A597" t="s">
        <v>99</v>
      </c>
      <c r="B597" t="s">
        <v>102</v>
      </c>
      <c r="C597">
        <v>7310</v>
      </c>
      <c r="D597" t="s">
        <v>20</v>
      </c>
      <c r="E597" t="s">
        <v>21</v>
      </c>
      <c r="F597" s="5">
        <v>42736</v>
      </c>
      <c r="G597">
        <v>0</v>
      </c>
    </row>
    <row r="598" spans="1:7" x14ac:dyDescent="0.25">
      <c r="A598" t="s">
        <v>99</v>
      </c>
      <c r="B598" t="s">
        <v>102</v>
      </c>
      <c r="C598">
        <v>7310</v>
      </c>
      <c r="D598" t="s">
        <v>20</v>
      </c>
      <c r="E598" t="s">
        <v>22</v>
      </c>
      <c r="F598" s="5">
        <v>42370</v>
      </c>
      <c r="G598">
        <v>0</v>
      </c>
    </row>
    <row r="599" spans="1:7" x14ac:dyDescent="0.25">
      <c r="A599" t="s">
        <v>99</v>
      </c>
      <c r="B599" t="s">
        <v>102</v>
      </c>
      <c r="C599">
        <v>7310</v>
      </c>
      <c r="D599" t="s">
        <v>20</v>
      </c>
      <c r="E599" t="s">
        <v>22</v>
      </c>
      <c r="F599" s="5">
        <v>42736</v>
      </c>
      <c r="G599">
        <v>0</v>
      </c>
    </row>
    <row r="600" spans="1:7" x14ac:dyDescent="0.25">
      <c r="A600" t="s">
        <v>99</v>
      </c>
      <c r="B600" t="s">
        <v>102</v>
      </c>
      <c r="C600">
        <v>7310</v>
      </c>
      <c r="D600" t="s">
        <v>20</v>
      </c>
      <c r="E600" t="s">
        <v>23</v>
      </c>
      <c r="F600" s="5">
        <v>42370</v>
      </c>
      <c r="G600">
        <v>1</v>
      </c>
    </row>
    <row r="601" spans="1:7" x14ac:dyDescent="0.25">
      <c r="A601" t="s">
        <v>99</v>
      </c>
      <c r="B601" t="s">
        <v>102</v>
      </c>
      <c r="C601">
        <v>7310</v>
      </c>
      <c r="D601" t="s">
        <v>20</v>
      </c>
      <c r="E601" t="s">
        <v>23</v>
      </c>
      <c r="F601" s="5">
        <v>42736</v>
      </c>
      <c r="G601">
        <v>3</v>
      </c>
    </row>
    <row r="602" spans="1:7" x14ac:dyDescent="0.25">
      <c r="A602" t="s">
        <v>99</v>
      </c>
      <c r="B602" t="s">
        <v>102</v>
      </c>
      <c r="C602">
        <v>7310</v>
      </c>
      <c r="D602" t="s">
        <v>20</v>
      </c>
      <c r="E602" t="s">
        <v>24</v>
      </c>
      <c r="F602" s="5">
        <v>42370</v>
      </c>
      <c r="G602">
        <v>0</v>
      </c>
    </row>
    <row r="603" spans="1:7" x14ac:dyDescent="0.25">
      <c r="A603" t="s">
        <v>99</v>
      </c>
      <c r="B603" t="s">
        <v>102</v>
      </c>
      <c r="C603">
        <v>7310</v>
      </c>
      <c r="D603" t="s">
        <v>20</v>
      </c>
      <c r="E603" t="s">
        <v>24</v>
      </c>
      <c r="F603" s="5">
        <v>42736</v>
      </c>
      <c r="G603">
        <v>0</v>
      </c>
    </row>
    <row r="604" spans="1:7" x14ac:dyDescent="0.25">
      <c r="A604" t="s">
        <v>99</v>
      </c>
      <c r="B604" t="s">
        <v>102</v>
      </c>
      <c r="C604">
        <v>7310</v>
      </c>
      <c r="D604" t="s">
        <v>20</v>
      </c>
      <c r="E604" t="s">
        <v>25</v>
      </c>
      <c r="F604" s="5">
        <v>42370</v>
      </c>
      <c r="G604">
        <v>0</v>
      </c>
    </row>
    <row r="605" spans="1:7" x14ac:dyDescent="0.25">
      <c r="A605" t="s">
        <v>99</v>
      </c>
      <c r="B605" t="s">
        <v>102</v>
      </c>
      <c r="C605">
        <v>7310</v>
      </c>
      <c r="D605" t="s">
        <v>20</v>
      </c>
      <c r="E605" t="s">
        <v>25</v>
      </c>
      <c r="F605" s="5">
        <v>42736</v>
      </c>
      <c r="G605">
        <v>0</v>
      </c>
    </row>
    <row r="606" spans="1:7" x14ac:dyDescent="0.25">
      <c r="A606" t="s">
        <v>99</v>
      </c>
      <c r="B606" t="s">
        <v>102</v>
      </c>
      <c r="C606">
        <v>7310</v>
      </c>
      <c r="D606" t="s">
        <v>20</v>
      </c>
      <c r="E606" t="s">
        <v>26</v>
      </c>
      <c r="F606" s="5">
        <v>42370</v>
      </c>
      <c r="G606">
        <v>7</v>
      </c>
    </row>
    <row r="607" spans="1:7" x14ac:dyDescent="0.25">
      <c r="A607" t="s">
        <v>99</v>
      </c>
      <c r="B607" t="s">
        <v>102</v>
      </c>
      <c r="C607">
        <v>7310</v>
      </c>
      <c r="D607" t="s">
        <v>20</v>
      </c>
      <c r="E607" t="s">
        <v>26</v>
      </c>
      <c r="F607" s="5">
        <v>42736</v>
      </c>
      <c r="G607">
        <v>12</v>
      </c>
    </row>
    <row r="608" spans="1:7" x14ac:dyDescent="0.25">
      <c r="A608" t="s">
        <v>99</v>
      </c>
      <c r="B608" t="s">
        <v>102</v>
      </c>
      <c r="C608">
        <v>7310</v>
      </c>
      <c r="D608" t="s">
        <v>20</v>
      </c>
      <c r="E608" t="s">
        <v>27</v>
      </c>
      <c r="F608" s="5">
        <v>42370</v>
      </c>
      <c r="G608">
        <v>0</v>
      </c>
    </row>
    <row r="609" spans="1:7" x14ac:dyDescent="0.25">
      <c r="A609" t="s">
        <v>99</v>
      </c>
      <c r="B609" t="s">
        <v>102</v>
      </c>
      <c r="C609">
        <v>7310</v>
      </c>
      <c r="D609" t="s">
        <v>20</v>
      </c>
      <c r="E609" t="s">
        <v>27</v>
      </c>
      <c r="F609" s="5">
        <v>42736</v>
      </c>
      <c r="G609">
        <v>0</v>
      </c>
    </row>
    <row r="610" spans="1:7" x14ac:dyDescent="0.25">
      <c r="A610" t="s">
        <v>99</v>
      </c>
      <c r="B610" t="s">
        <v>102</v>
      </c>
      <c r="C610">
        <v>7310</v>
      </c>
      <c r="D610" t="s">
        <v>20</v>
      </c>
      <c r="E610" t="s">
        <v>28</v>
      </c>
      <c r="F610" s="5">
        <v>42370</v>
      </c>
      <c r="G610">
        <v>0</v>
      </c>
    </row>
    <row r="611" spans="1:7" x14ac:dyDescent="0.25">
      <c r="A611" t="s">
        <v>99</v>
      </c>
      <c r="B611" t="s">
        <v>102</v>
      </c>
      <c r="C611">
        <v>7310</v>
      </c>
      <c r="D611" t="s">
        <v>20</v>
      </c>
      <c r="E611" t="s">
        <v>28</v>
      </c>
      <c r="F611" s="5">
        <v>42736</v>
      </c>
      <c r="G611">
        <v>0</v>
      </c>
    </row>
    <row r="612" spans="1:7" x14ac:dyDescent="0.25">
      <c r="A612" t="s">
        <v>99</v>
      </c>
      <c r="B612" t="s">
        <v>102</v>
      </c>
      <c r="C612">
        <v>7310</v>
      </c>
      <c r="D612" t="s">
        <v>20</v>
      </c>
      <c r="E612" t="s">
        <v>29</v>
      </c>
      <c r="F612" s="5">
        <v>42370</v>
      </c>
      <c r="G612">
        <v>7</v>
      </c>
    </row>
    <row r="613" spans="1:7" x14ac:dyDescent="0.25">
      <c r="A613" t="s">
        <v>99</v>
      </c>
      <c r="B613" t="s">
        <v>102</v>
      </c>
      <c r="C613">
        <v>7310</v>
      </c>
      <c r="D613" t="s">
        <v>20</v>
      </c>
      <c r="E613" t="s">
        <v>29</v>
      </c>
      <c r="F613" s="5">
        <v>42736</v>
      </c>
      <c r="G613">
        <v>14</v>
      </c>
    </row>
    <row r="614" spans="1:7" x14ac:dyDescent="0.25">
      <c r="A614" t="s">
        <v>99</v>
      </c>
      <c r="B614" t="s">
        <v>102</v>
      </c>
      <c r="C614">
        <v>7310</v>
      </c>
      <c r="D614" t="s">
        <v>20</v>
      </c>
      <c r="E614" t="s">
        <v>30</v>
      </c>
      <c r="F614" s="5">
        <v>42370</v>
      </c>
      <c r="G614">
        <v>8</v>
      </c>
    </row>
    <row r="615" spans="1:7" x14ac:dyDescent="0.25">
      <c r="A615" t="s">
        <v>99</v>
      </c>
      <c r="B615" t="s">
        <v>102</v>
      </c>
      <c r="C615">
        <v>7310</v>
      </c>
      <c r="D615" t="s">
        <v>20</v>
      </c>
      <c r="E615" t="s">
        <v>30</v>
      </c>
      <c r="F615" s="5">
        <v>42736</v>
      </c>
      <c r="G615">
        <v>13</v>
      </c>
    </row>
    <row r="616" spans="1:7" x14ac:dyDescent="0.25">
      <c r="A616" t="s">
        <v>99</v>
      </c>
      <c r="B616" t="s">
        <v>102</v>
      </c>
      <c r="C616">
        <v>7310</v>
      </c>
      <c r="D616" t="s">
        <v>20</v>
      </c>
      <c r="E616" t="s">
        <v>31</v>
      </c>
      <c r="F616" s="5">
        <v>42370</v>
      </c>
      <c r="G616">
        <v>29</v>
      </c>
    </row>
    <row r="617" spans="1:7" x14ac:dyDescent="0.25">
      <c r="A617" t="s">
        <v>99</v>
      </c>
      <c r="B617" t="s">
        <v>102</v>
      </c>
      <c r="C617">
        <v>7310</v>
      </c>
      <c r="D617" t="s">
        <v>20</v>
      </c>
      <c r="E617" t="s">
        <v>31</v>
      </c>
      <c r="F617" s="5">
        <v>42736</v>
      </c>
      <c r="G617">
        <v>56</v>
      </c>
    </row>
    <row r="618" spans="1:7" x14ac:dyDescent="0.25">
      <c r="A618" t="s">
        <v>99</v>
      </c>
      <c r="B618" t="s">
        <v>102</v>
      </c>
      <c r="C618">
        <v>7310</v>
      </c>
      <c r="D618" t="s">
        <v>20</v>
      </c>
      <c r="E618" t="s">
        <v>32</v>
      </c>
      <c r="F618" s="5">
        <v>42370</v>
      </c>
      <c r="G618">
        <v>7</v>
      </c>
    </row>
    <row r="619" spans="1:7" x14ac:dyDescent="0.25">
      <c r="A619" t="s">
        <v>99</v>
      </c>
      <c r="B619" t="s">
        <v>102</v>
      </c>
      <c r="C619">
        <v>7310</v>
      </c>
      <c r="D619" t="s">
        <v>20</v>
      </c>
      <c r="E619" t="s">
        <v>32</v>
      </c>
      <c r="F619" s="5">
        <v>42736</v>
      </c>
      <c r="G619">
        <v>17</v>
      </c>
    </row>
    <row r="620" spans="1:7" x14ac:dyDescent="0.25">
      <c r="A620" t="s">
        <v>99</v>
      </c>
      <c r="B620" t="s">
        <v>102</v>
      </c>
      <c r="C620">
        <v>7310</v>
      </c>
      <c r="D620" t="s">
        <v>33</v>
      </c>
      <c r="E620" t="s">
        <v>9</v>
      </c>
      <c r="F620" s="5">
        <v>42370</v>
      </c>
      <c r="G620">
        <v>0</v>
      </c>
    </row>
    <row r="621" spans="1:7" x14ac:dyDescent="0.25">
      <c r="A621" t="s">
        <v>99</v>
      </c>
      <c r="B621" t="s">
        <v>102</v>
      </c>
      <c r="C621">
        <v>7310</v>
      </c>
      <c r="D621" t="s">
        <v>33</v>
      </c>
      <c r="E621" t="s">
        <v>9</v>
      </c>
      <c r="F621" s="5">
        <v>42736</v>
      </c>
      <c r="G621">
        <v>0</v>
      </c>
    </row>
    <row r="622" spans="1:7" x14ac:dyDescent="0.25">
      <c r="A622" t="s">
        <v>99</v>
      </c>
      <c r="B622" t="s">
        <v>102</v>
      </c>
      <c r="C622">
        <v>7310</v>
      </c>
      <c r="D622" t="s">
        <v>33</v>
      </c>
      <c r="E622" t="s">
        <v>34</v>
      </c>
      <c r="F622" s="5">
        <v>42370</v>
      </c>
      <c r="G622">
        <v>0</v>
      </c>
    </row>
    <row r="623" spans="1:7" x14ac:dyDescent="0.25">
      <c r="A623" t="s">
        <v>99</v>
      </c>
      <c r="B623" t="s">
        <v>102</v>
      </c>
      <c r="C623">
        <v>7310</v>
      </c>
      <c r="D623" t="s">
        <v>33</v>
      </c>
      <c r="E623" t="s">
        <v>34</v>
      </c>
      <c r="F623" s="5">
        <v>42736</v>
      </c>
      <c r="G623">
        <v>0</v>
      </c>
    </row>
    <row r="624" spans="1:7" x14ac:dyDescent="0.25">
      <c r="A624" t="s">
        <v>99</v>
      </c>
      <c r="B624" t="s">
        <v>102</v>
      </c>
      <c r="C624">
        <v>7310</v>
      </c>
      <c r="D624" t="s">
        <v>35</v>
      </c>
      <c r="E624" t="s">
        <v>36</v>
      </c>
      <c r="F624" s="5">
        <v>42370</v>
      </c>
      <c r="G624">
        <v>0</v>
      </c>
    </row>
    <row r="625" spans="1:7" x14ac:dyDescent="0.25">
      <c r="A625" t="s">
        <v>99</v>
      </c>
      <c r="B625" t="s">
        <v>102</v>
      </c>
      <c r="C625">
        <v>7310</v>
      </c>
      <c r="D625" t="s">
        <v>35</v>
      </c>
      <c r="E625" t="s">
        <v>36</v>
      </c>
      <c r="F625" s="5">
        <v>42736</v>
      </c>
      <c r="G625">
        <v>0</v>
      </c>
    </row>
    <row r="626" spans="1:7" x14ac:dyDescent="0.25">
      <c r="A626" t="s">
        <v>99</v>
      </c>
      <c r="B626" t="s">
        <v>102</v>
      </c>
      <c r="C626">
        <v>7310</v>
      </c>
      <c r="D626" t="s">
        <v>35</v>
      </c>
      <c r="E626" t="s">
        <v>37</v>
      </c>
      <c r="F626" s="5">
        <v>42370</v>
      </c>
      <c r="G626">
        <v>0</v>
      </c>
    </row>
    <row r="627" spans="1:7" x14ac:dyDescent="0.25">
      <c r="A627" t="s">
        <v>99</v>
      </c>
      <c r="B627" t="s">
        <v>102</v>
      </c>
      <c r="C627">
        <v>7310</v>
      </c>
      <c r="D627" t="s">
        <v>35</v>
      </c>
      <c r="E627" t="s">
        <v>37</v>
      </c>
      <c r="F627" s="5">
        <v>42736</v>
      </c>
      <c r="G627">
        <v>0</v>
      </c>
    </row>
    <row r="628" spans="1:7" x14ac:dyDescent="0.25">
      <c r="A628" t="s">
        <v>99</v>
      </c>
      <c r="B628" t="s">
        <v>102</v>
      </c>
      <c r="C628">
        <v>7310</v>
      </c>
      <c r="D628" t="s">
        <v>35</v>
      </c>
      <c r="E628" t="s">
        <v>38</v>
      </c>
      <c r="F628" s="5">
        <v>42370</v>
      </c>
      <c r="G628">
        <v>0</v>
      </c>
    </row>
    <row r="629" spans="1:7" x14ac:dyDescent="0.25">
      <c r="A629" t="s">
        <v>99</v>
      </c>
      <c r="B629" t="s">
        <v>102</v>
      </c>
      <c r="C629">
        <v>7310</v>
      </c>
      <c r="D629" t="s">
        <v>35</v>
      </c>
      <c r="E629" t="s">
        <v>38</v>
      </c>
      <c r="F629" s="5">
        <v>42736</v>
      </c>
      <c r="G629">
        <v>0</v>
      </c>
    </row>
    <row r="630" spans="1:7" x14ac:dyDescent="0.25">
      <c r="A630" t="s">
        <v>99</v>
      </c>
      <c r="B630" t="s">
        <v>102</v>
      </c>
      <c r="C630">
        <v>7310</v>
      </c>
      <c r="D630" t="s">
        <v>35</v>
      </c>
      <c r="E630" t="s">
        <v>39</v>
      </c>
      <c r="F630" s="5">
        <v>42370</v>
      </c>
      <c r="G630">
        <v>0</v>
      </c>
    </row>
    <row r="631" spans="1:7" x14ac:dyDescent="0.25">
      <c r="A631" t="s">
        <v>99</v>
      </c>
      <c r="B631" t="s">
        <v>102</v>
      </c>
      <c r="C631">
        <v>7310</v>
      </c>
      <c r="D631" t="s">
        <v>35</v>
      </c>
      <c r="E631" t="s">
        <v>39</v>
      </c>
      <c r="F631" s="5">
        <v>42736</v>
      </c>
      <c r="G631">
        <v>0</v>
      </c>
    </row>
    <row r="632" spans="1:7" x14ac:dyDescent="0.25">
      <c r="A632" t="s">
        <v>99</v>
      </c>
      <c r="B632" t="s">
        <v>102</v>
      </c>
      <c r="C632">
        <v>7310</v>
      </c>
      <c r="D632" t="s">
        <v>35</v>
      </c>
      <c r="E632" t="s">
        <v>40</v>
      </c>
      <c r="F632" s="5">
        <v>42370</v>
      </c>
      <c r="G632">
        <v>0</v>
      </c>
    </row>
    <row r="633" spans="1:7" x14ac:dyDescent="0.25">
      <c r="A633" t="s">
        <v>99</v>
      </c>
      <c r="B633" t="s">
        <v>102</v>
      </c>
      <c r="C633">
        <v>7310</v>
      </c>
      <c r="D633" t="s">
        <v>35</v>
      </c>
      <c r="E633" t="s">
        <v>40</v>
      </c>
      <c r="F633" s="5">
        <v>42736</v>
      </c>
      <c r="G633">
        <v>0</v>
      </c>
    </row>
    <row r="634" spans="1:7" x14ac:dyDescent="0.25">
      <c r="A634" t="s">
        <v>99</v>
      </c>
      <c r="B634" t="s">
        <v>102</v>
      </c>
      <c r="C634">
        <v>7310</v>
      </c>
      <c r="D634" t="s">
        <v>35</v>
      </c>
      <c r="E634" t="s">
        <v>41</v>
      </c>
      <c r="F634" s="5">
        <v>42370</v>
      </c>
      <c r="G634">
        <v>0</v>
      </c>
    </row>
    <row r="635" spans="1:7" x14ac:dyDescent="0.25">
      <c r="A635" t="s">
        <v>99</v>
      </c>
      <c r="B635" t="s">
        <v>102</v>
      </c>
      <c r="C635">
        <v>7310</v>
      </c>
      <c r="D635" t="s">
        <v>35</v>
      </c>
      <c r="E635" t="s">
        <v>41</v>
      </c>
      <c r="F635" s="5">
        <v>42736</v>
      </c>
      <c r="G635">
        <v>0</v>
      </c>
    </row>
    <row r="636" spans="1:7" x14ac:dyDescent="0.25">
      <c r="A636" t="s">
        <v>99</v>
      </c>
      <c r="B636" t="s">
        <v>102</v>
      </c>
      <c r="C636">
        <v>7310</v>
      </c>
      <c r="D636" t="s">
        <v>35</v>
      </c>
      <c r="E636" t="s">
        <v>42</v>
      </c>
      <c r="F636" s="5">
        <v>42370</v>
      </c>
      <c r="G636">
        <v>0</v>
      </c>
    </row>
    <row r="637" spans="1:7" x14ac:dyDescent="0.25">
      <c r="A637" t="s">
        <v>99</v>
      </c>
      <c r="B637" t="s">
        <v>102</v>
      </c>
      <c r="C637">
        <v>7310</v>
      </c>
      <c r="D637" t="s">
        <v>35</v>
      </c>
      <c r="E637" t="s">
        <v>42</v>
      </c>
      <c r="F637" s="5">
        <v>42736</v>
      </c>
      <c r="G637">
        <v>0</v>
      </c>
    </row>
    <row r="638" spans="1:7" x14ac:dyDescent="0.25">
      <c r="A638" t="s">
        <v>99</v>
      </c>
      <c r="B638" t="s">
        <v>102</v>
      </c>
      <c r="C638">
        <v>7310</v>
      </c>
      <c r="D638" t="s">
        <v>35</v>
      </c>
      <c r="E638" t="s">
        <v>43</v>
      </c>
      <c r="F638" s="5">
        <v>42370</v>
      </c>
      <c r="G638">
        <v>0</v>
      </c>
    </row>
    <row r="639" spans="1:7" x14ac:dyDescent="0.25">
      <c r="A639" t="s">
        <v>99</v>
      </c>
      <c r="B639" t="s">
        <v>102</v>
      </c>
      <c r="C639">
        <v>7310</v>
      </c>
      <c r="D639" t="s">
        <v>35</v>
      </c>
      <c r="E639" t="s">
        <v>43</v>
      </c>
      <c r="F639" s="5">
        <v>42736</v>
      </c>
      <c r="G639">
        <v>0</v>
      </c>
    </row>
    <row r="640" spans="1:7" x14ac:dyDescent="0.25">
      <c r="A640" t="s">
        <v>99</v>
      </c>
      <c r="B640" t="s">
        <v>102</v>
      </c>
      <c r="C640">
        <v>7310</v>
      </c>
      <c r="D640" t="s">
        <v>44</v>
      </c>
      <c r="E640" t="s">
        <v>36</v>
      </c>
      <c r="F640" s="5">
        <v>42370</v>
      </c>
      <c r="G640">
        <v>0</v>
      </c>
    </row>
    <row r="641" spans="1:7" x14ac:dyDescent="0.25">
      <c r="A641" t="s">
        <v>99</v>
      </c>
      <c r="B641" t="s">
        <v>102</v>
      </c>
      <c r="C641">
        <v>7310</v>
      </c>
      <c r="D641" t="s">
        <v>44</v>
      </c>
      <c r="E641" t="s">
        <v>36</v>
      </c>
      <c r="F641" s="5">
        <v>42736</v>
      </c>
      <c r="G641">
        <v>0</v>
      </c>
    </row>
    <row r="642" spans="1:7" x14ac:dyDescent="0.25">
      <c r="A642" t="s">
        <v>99</v>
      </c>
      <c r="B642" t="s">
        <v>102</v>
      </c>
      <c r="C642">
        <v>7310</v>
      </c>
      <c r="D642" t="s">
        <v>44</v>
      </c>
      <c r="E642" t="s">
        <v>37</v>
      </c>
      <c r="F642" s="5">
        <v>42370</v>
      </c>
      <c r="G642">
        <v>0</v>
      </c>
    </row>
    <row r="643" spans="1:7" x14ac:dyDescent="0.25">
      <c r="A643" t="s">
        <v>99</v>
      </c>
      <c r="B643" t="s">
        <v>102</v>
      </c>
      <c r="C643">
        <v>7310</v>
      </c>
      <c r="D643" t="s">
        <v>44</v>
      </c>
      <c r="E643" t="s">
        <v>37</v>
      </c>
      <c r="F643" s="5">
        <v>42736</v>
      </c>
      <c r="G643">
        <v>0</v>
      </c>
    </row>
    <row r="644" spans="1:7" x14ac:dyDescent="0.25">
      <c r="A644" t="s">
        <v>99</v>
      </c>
      <c r="B644" t="s">
        <v>102</v>
      </c>
      <c r="C644">
        <v>7310</v>
      </c>
      <c r="D644" t="s">
        <v>44</v>
      </c>
      <c r="E644" t="s">
        <v>38</v>
      </c>
      <c r="F644" s="5">
        <v>42370</v>
      </c>
      <c r="G644">
        <v>0</v>
      </c>
    </row>
    <row r="645" spans="1:7" x14ac:dyDescent="0.25">
      <c r="A645" t="s">
        <v>99</v>
      </c>
      <c r="B645" t="s">
        <v>102</v>
      </c>
      <c r="C645">
        <v>7310</v>
      </c>
      <c r="D645" t="s">
        <v>44</v>
      </c>
      <c r="E645" t="s">
        <v>38</v>
      </c>
      <c r="F645" s="5">
        <v>42736</v>
      </c>
      <c r="G645">
        <v>0</v>
      </c>
    </row>
    <row r="646" spans="1:7" x14ac:dyDescent="0.25">
      <c r="A646" t="s">
        <v>99</v>
      </c>
      <c r="B646" t="s">
        <v>102</v>
      </c>
      <c r="C646">
        <v>7310</v>
      </c>
      <c r="D646" t="s">
        <v>44</v>
      </c>
      <c r="E646" t="s">
        <v>39</v>
      </c>
      <c r="F646" s="5">
        <v>42370</v>
      </c>
      <c r="G646">
        <v>0</v>
      </c>
    </row>
    <row r="647" spans="1:7" x14ac:dyDescent="0.25">
      <c r="A647" t="s">
        <v>99</v>
      </c>
      <c r="B647" t="s">
        <v>102</v>
      </c>
      <c r="C647">
        <v>7310</v>
      </c>
      <c r="D647" t="s">
        <v>44</v>
      </c>
      <c r="E647" t="s">
        <v>39</v>
      </c>
      <c r="F647" s="5">
        <v>42736</v>
      </c>
      <c r="G647">
        <v>0</v>
      </c>
    </row>
    <row r="648" spans="1:7" x14ac:dyDescent="0.25">
      <c r="A648" t="s">
        <v>99</v>
      </c>
      <c r="B648" t="s">
        <v>102</v>
      </c>
      <c r="C648">
        <v>7310</v>
      </c>
      <c r="D648" t="s">
        <v>44</v>
      </c>
      <c r="E648" t="s">
        <v>40</v>
      </c>
      <c r="F648" s="5">
        <v>42370</v>
      </c>
      <c r="G648">
        <v>0</v>
      </c>
    </row>
    <row r="649" spans="1:7" x14ac:dyDescent="0.25">
      <c r="A649" t="s">
        <v>99</v>
      </c>
      <c r="B649" t="s">
        <v>102</v>
      </c>
      <c r="C649">
        <v>7310</v>
      </c>
      <c r="D649" t="s">
        <v>44</v>
      </c>
      <c r="E649" t="s">
        <v>40</v>
      </c>
      <c r="F649" s="5">
        <v>42736</v>
      </c>
      <c r="G649">
        <v>0</v>
      </c>
    </row>
    <row r="650" spans="1:7" x14ac:dyDescent="0.25">
      <c r="A650" t="s">
        <v>99</v>
      </c>
      <c r="B650" t="s">
        <v>102</v>
      </c>
      <c r="C650">
        <v>7310</v>
      </c>
      <c r="D650" t="s">
        <v>44</v>
      </c>
      <c r="E650" t="s">
        <v>41</v>
      </c>
      <c r="F650" s="5">
        <v>42370</v>
      </c>
      <c r="G650">
        <v>0</v>
      </c>
    </row>
    <row r="651" spans="1:7" x14ac:dyDescent="0.25">
      <c r="A651" t="s">
        <v>99</v>
      </c>
      <c r="B651" t="s">
        <v>102</v>
      </c>
      <c r="C651">
        <v>7310</v>
      </c>
      <c r="D651" t="s">
        <v>44</v>
      </c>
      <c r="E651" t="s">
        <v>41</v>
      </c>
      <c r="F651" s="5">
        <v>42736</v>
      </c>
      <c r="G651">
        <v>0</v>
      </c>
    </row>
    <row r="652" spans="1:7" x14ac:dyDescent="0.25">
      <c r="A652" t="s">
        <v>99</v>
      </c>
      <c r="B652" t="s">
        <v>102</v>
      </c>
      <c r="C652">
        <v>7310</v>
      </c>
      <c r="D652" t="s">
        <v>44</v>
      </c>
      <c r="E652" t="s">
        <v>42</v>
      </c>
      <c r="F652" s="5">
        <v>42370</v>
      </c>
      <c r="G652">
        <v>0</v>
      </c>
    </row>
    <row r="653" spans="1:7" x14ac:dyDescent="0.25">
      <c r="A653" t="s">
        <v>99</v>
      </c>
      <c r="B653" t="s">
        <v>102</v>
      </c>
      <c r="C653">
        <v>7310</v>
      </c>
      <c r="D653" t="s">
        <v>44</v>
      </c>
      <c r="E653" t="s">
        <v>42</v>
      </c>
      <c r="F653" s="5">
        <v>42736</v>
      </c>
      <c r="G653">
        <v>0</v>
      </c>
    </row>
    <row r="654" spans="1:7" x14ac:dyDescent="0.25">
      <c r="A654" t="s">
        <v>99</v>
      </c>
      <c r="B654" t="s">
        <v>102</v>
      </c>
      <c r="C654">
        <v>7310</v>
      </c>
      <c r="D654" t="s">
        <v>44</v>
      </c>
      <c r="E654" t="s">
        <v>43</v>
      </c>
      <c r="F654" s="5">
        <v>42370</v>
      </c>
      <c r="G654">
        <v>0</v>
      </c>
    </row>
    <row r="655" spans="1:7" x14ac:dyDescent="0.25">
      <c r="A655" t="s">
        <v>99</v>
      </c>
      <c r="B655" t="s">
        <v>102</v>
      </c>
      <c r="C655">
        <v>7310</v>
      </c>
      <c r="D655" t="s">
        <v>44</v>
      </c>
      <c r="E655" t="s">
        <v>43</v>
      </c>
      <c r="F655" s="5">
        <v>42736</v>
      </c>
      <c r="G655">
        <v>0</v>
      </c>
    </row>
    <row r="656" spans="1:7" x14ac:dyDescent="0.25">
      <c r="A656" t="s">
        <v>99</v>
      </c>
      <c r="B656" t="s">
        <v>102</v>
      </c>
      <c r="C656">
        <v>7310</v>
      </c>
      <c r="D656" t="s">
        <v>45</v>
      </c>
      <c r="E656" t="s">
        <v>46</v>
      </c>
      <c r="F656" s="5">
        <v>42370</v>
      </c>
      <c r="G656">
        <v>0</v>
      </c>
    </row>
    <row r="657" spans="1:7" x14ac:dyDescent="0.25">
      <c r="A657" t="s">
        <v>99</v>
      </c>
      <c r="B657" t="s">
        <v>102</v>
      </c>
      <c r="C657">
        <v>7310</v>
      </c>
      <c r="D657" t="s">
        <v>45</v>
      </c>
      <c r="E657" t="s">
        <v>46</v>
      </c>
      <c r="F657" s="5">
        <v>42736</v>
      </c>
      <c r="G657">
        <v>0</v>
      </c>
    </row>
    <row r="658" spans="1:7" x14ac:dyDescent="0.25">
      <c r="A658" t="s">
        <v>99</v>
      </c>
      <c r="B658" t="s">
        <v>102</v>
      </c>
      <c r="C658">
        <v>7310</v>
      </c>
      <c r="D658" t="s">
        <v>45</v>
      </c>
      <c r="E658" t="s">
        <v>47</v>
      </c>
      <c r="F658" s="5">
        <v>42370</v>
      </c>
      <c r="G658">
        <v>0</v>
      </c>
    </row>
    <row r="659" spans="1:7" x14ac:dyDescent="0.25">
      <c r="A659" t="s">
        <v>99</v>
      </c>
      <c r="B659" t="s">
        <v>102</v>
      </c>
      <c r="C659">
        <v>7310</v>
      </c>
      <c r="D659" t="s">
        <v>45</v>
      </c>
      <c r="E659" t="s">
        <v>47</v>
      </c>
      <c r="F659" s="5">
        <v>42736</v>
      </c>
      <c r="G659">
        <v>0</v>
      </c>
    </row>
    <row r="660" spans="1:7" x14ac:dyDescent="0.25">
      <c r="A660" t="s">
        <v>99</v>
      </c>
      <c r="B660" t="s">
        <v>102</v>
      </c>
      <c r="C660">
        <v>7310</v>
      </c>
      <c r="D660" t="s">
        <v>45</v>
      </c>
      <c r="E660" t="s">
        <v>48</v>
      </c>
      <c r="F660" s="5">
        <v>42370</v>
      </c>
      <c r="G660">
        <v>2</v>
      </c>
    </row>
    <row r="661" spans="1:7" x14ac:dyDescent="0.25">
      <c r="A661" t="s">
        <v>99</v>
      </c>
      <c r="B661" t="s">
        <v>102</v>
      </c>
      <c r="C661">
        <v>7310</v>
      </c>
      <c r="D661" t="s">
        <v>45</v>
      </c>
      <c r="E661" t="s">
        <v>48</v>
      </c>
      <c r="F661" s="5">
        <v>42736</v>
      </c>
      <c r="G661">
        <v>5</v>
      </c>
    </row>
    <row r="662" spans="1:7" x14ac:dyDescent="0.25">
      <c r="A662" t="s">
        <v>99</v>
      </c>
      <c r="B662" t="s">
        <v>102</v>
      </c>
      <c r="C662">
        <v>7310</v>
      </c>
      <c r="D662" t="s">
        <v>45</v>
      </c>
      <c r="E662" t="s">
        <v>49</v>
      </c>
      <c r="F662" s="5">
        <v>42370</v>
      </c>
      <c r="G662">
        <v>0</v>
      </c>
    </row>
    <row r="663" spans="1:7" x14ac:dyDescent="0.25">
      <c r="A663" t="s">
        <v>99</v>
      </c>
      <c r="B663" t="s">
        <v>102</v>
      </c>
      <c r="C663">
        <v>7310</v>
      </c>
      <c r="D663" t="s">
        <v>45</v>
      </c>
      <c r="E663" t="s">
        <v>49</v>
      </c>
      <c r="F663" s="5">
        <v>42736</v>
      </c>
      <c r="G663">
        <v>0</v>
      </c>
    </row>
    <row r="664" spans="1:7" x14ac:dyDescent="0.25">
      <c r="A664" t="s">
        <v>99</v>
      </c>
      <c r="B664" t="s">
        <v>102</v>
      </c>
      <c r="C664">
        <v>7310</v>
      </c>
      <c r="D664" t="s">
        <v>45</v>
      </c>
      <c r="E664" t="s">
        <v>50</v>
      </c>
      <c r="F664" s="5">
        <v>42370</v>
      </c>
      <c r="G664">
        <v>0</v>
      </c>
    </row>
    <row r="665" spans="1:7" x14ac:dyDescent="0.25">
      <c r="A665" t="s">
        <v>99</v>
      </c>
      <c r="B665" t="s">
        <v>102</v>
      </c>
      <c r="C665">
        <v>7310</v>
      </c>
      <c r="D665" t="s">
        <v>45</v>
      </c>
      <c r="E665" t="s">
        <v>50</v>
      </c>
      <c r="F665" s="5">
        <v>42736</v>
      </c>
      <c r="G665">
        <v>0</v>
      </c>
    </row>
    <row r="666" spans="1:7" x14ac:dyDescent="0.25">
      <c r="A666" t="s">
        <v>99</v>
      </c>
      <c r="B666" t="s">
        <v>102</v>
      </c>
      <c r="C666">
        <v>7310</v>
      </c>
      <c r="D666" t="s">
        <v>45</v>
      </c>
      <c r="E666" t="s">
        <v>51</v>
      </c>
      <c r="F666" s="5">
        <v>42370</v>
      </c>
      <c r="G666">
        <v>0</v>
      </c>
    </row>
    <row r="667" spans="1:7" x14ac:dyDescent="0.25">
      <c r="A667" t="s">
        <v>99</v>
      </c>
      <c r="B667" t="s">
        <v>102</v>
      </c>
      <c r="C667">
        <v>7310</v>
      </c>
      <c r="D667" t="s">
        <v>45</v>
      </c>
      <c r="E667" t="s">
        <v>51</v>
      </c>
      <c r="F667" s="5">
        <v>42736</v>
      </c>
      <c r="G667">
        <v>0</v>
      </c>
    </row>
    <row r="668" spans="1:7" x14ac:dyDescent="0.25">
      <c r="A668" t="s">
        <v>99</v>
      </c>
      <c r="B668" t="s">
        <v>102</v>
      </c>
      <c r="C668">
        <v>7310</v>
      </c>
      <c r="D668" t="s">
        <v>45</v>
      </c>
      <c r="E668" t="s">
        <v>52</v>
      </c>
      <c r="F668" s="5">
        <v>42370</v>
      </c>
      <c r="G668">
        <v>0</v>
      </c>
    </row>
    <row r="669" spans="1:7" x14ac:dyDescent="0.25">
      <c r="A669" t="s">
        <v>99</v>
      </c>
      <c r="B669" t="s">
        <v>102</v>
      </c>
      <c r="C669">
        <v>7310</v>
      </c>
      <c r="D669" t="s">
        <v>45</v>
      </c>
      <c r="E669" t="s">
        <v>52</v>
      </c>
      <c r="F669" s="5">
        <v>42736</v>
      </c>
      <c r="G669">
        <v>0</v>
      </c>
    </row>
    <row r="670" spans="1:7" x14ac:dyDescent="0.25">
      <c r="A670" t="s">
        <v>99</v>
      </c>
      <c r="B670" t="s">
        <v>102</v>
      </c>
      <c r="C670">
        <v>7310</v>
      </c>
      <c r="D670" t="s">
        <v>45</v>
      </c>
      <c r="E670" t="s">
        <v>53</v>
      </c>
      <c r="F670" s="5">
        <v>42370</v>
      </c>
      <c r="G670">
        <v>12</v>
      </c>
    </row>
    <row r="671" spans="1:7" x14ac:dyDescent="0.25">
      <c r="A671" t="s">
        <v>99</v>
      </c>
      <c r="B671" t="s">
        <v>102</v>
      </c>
      <c r="C671">
        <v>7310</v>
      </c>
      <c r="D671" t="s">
        <v>45</v>
      </c>
      <c r="E671" t="s">
        <v>53</v>
      </c>
      <c r="F671" s="5">
        <v>42736</v>
      </c>
      <c r="G671">
        <v>8</v>
      </c>
    </row>
    <row r="672" spans="1:7" x14ac:dyDescent="0.25">
      <c r="A672" t="s">
        <v>99</v>
      </c>
      <c r="B672" t="s">
        <v>102</v>
      </c>
      <c r="C672">
        <v>7310</v>
      </c>
      <c r="D672" t="s">
        <v>45</v>
      </c>
      <c r="E672" t="s">
        <v>54</v>
      </c>
      <c r="F672" s="5">
        <v>42370</v>
      </c>
      <c r="G672">
        <v>10</v>
      </c>
    </row>
    <row r="673" spans="1:7" x14ac:dyDescent="0.25">
      <c r="A673" t="s">
        <v>99</v>
      </c>
      <c r="B673" t="s">
        <v>102</v>
      </c>
      <c r="C673">
        <v>7310</v>
      </c>
      <c r="D673" t="s">
        <v>45</v>
      </c>
      <c r="E673" t="s">
        <v>54</v>
      </c>
      <c r="F673" s="5">
        <v>42736</v>
      </c>
      <c r="G673">
        <v>0</v>
      </c>
    </row>
    <row r="674" spans="1:7" x14ac:dyDescent="0.25">
      <c r="A674" t="s">
        <v>99</v>
      </c>
      <c r="B674" t="s">
        <v>102</v>
      </c>
      <c r="C674">
        <v>7310</v>
      </c>
      <c r="D674" t="s">
        <v>45</v>
      </c>
      <c r="E674" t="s">
        <v>55</v>
      </c>
      <c r="F674" s="5">
        <v>42370</v>
      </c>
      <c r="G674">
        <v>0</v>
      </c>
    </row>
    <row r="675" spans="1:7" x14ac:dyDescent="0.25">
      <c r="A675" t="s">
        <v>99</v>
      </c>
      <c r="B675" t="s">
        <v>102</v>
      </c>
      <c r="C675">
        <v>7310</v>
      </c>
      <c r="D675" t="s">
        <v>45</v>
      </c>
      <c r="E675" t="s">
        <v>55</v>
      </c>
      <c r="F675" s="5">
        <v>42736</v>
      </c>
      <c r="G675">
        <v>0</v>
      </c>
    </row>
    <row r="676" spans="1:7" x14ac:dyDescent="0.25">
      <c r="A676" t="s">
        <v>99</v>
      </c>
      <c r="B676" t="s">
        <v>102</v>
      </c>
      <c r="C676">
        <v>7310</v>
      </c>
      <c r="D676" t="s">
        <v>45</v>
      </c>
      <c r="E676" t="s">
        <v>56</v>
      </c>
      <c r="F676" s="5">
        <v>42370</v>
      </c>
      <c r="G676">
        <v>0</v>
      </c>
    </row>
    <row r="677" spans="1:7" x14ac:dyDescent="0.25">
      <c r="A677" t="s">
        <v>99</v>
      </c>
      <c r="B677" t="s">
        <v>102</v>
      </c>
      <c r="C677">
        <v>7310</v>
      </c>
      <c r="D677" t="s">
        <v>45</v>
      </c>
      <c r="E677" t="s">
        <v>56</v>
      </c>
      <c r="F677" s="5">
        <v>42736</v>
      </c>
      <c r="G677">
        <v>0</v>
      </c>
    </row>
    <row r="678" spans="1:7" x14ac:dyDescent="0.25">
      <c r="A678" t="s">
        <v>99</v>
      </c>
      <c r="B678" t="s">
        <v>102</v>
      </c>
      <c r="C678">
        <v>7310</v>
      </c>
      <c r="D678" t="s">
        <v>45</v>
      </c>
      <c r="E678" t="s">
        <v>57</v>
      </c>
      <c r="F678" s="5">
        <v>42370</v>
      </c>
      <c r="G678">
        <v>0</v>
      </c>
    </row>
    <row r="679" spans="1:7" x14ac:dyDescent="0.25">
      <c r="A679" t="s">
        <v>99</v>
      </c>
      <c r="B679" t="s">
        <v>102</v>
      </c>
      <c r="C679">
        <v>7310</v>
      </c>
      <c r="D679" t="s">
        <v>45</v>
      </c>
      <c r="E679" t="s">
        <v>57</v>
      </c>
      <c r="F679" s="5">
        <v>42736</v>
      </c>
      <c r="G679">
        <v>0</v>
      </c>
    </row>
    <row r="680" spans="1:7" x14ac:dyDescent="0.25">
      <c r="A680" t="s">
        <v>99</v>
      </c>
      <c r="B680" t="s">
        <v>102</v>
      </c>
      <c r="C680">
        <v>7310</v>
      </c>
      <c r="D680" t="s">
        <v>45</v>
      </c>
      <c r="E680" t="s">
        <v>58</v>
      </c>
      <c r="F680" s="5">
        <v>42370</v>
      </c>
      <c r="G680">
        <v>0</v>
      </c>
    </row>
    <row r="681" spans="1:7" x14ac:dyDescent="0.25">
      <c r="A681" t="s">
        <v>99</v>
      </c>
      <c r="B681" t="s">
        <v>102</v>
      </c>
      <c r="C681">
        <v>7310</v>
      </c>
      <c r="D681" t="s">
        <v>45</v>
      </c>
      <c r="E681" t="s">
        <v>58</v>
      </c>
      <c r="F681" s="5">
        <v>42736</v>
      </c>
      <c r="G681">
        <v>0</v>
      </c>
    </row>
    <row r="682" spans="1:7" x14ac:dyDescent="0.25">
      <c r="A682" t="s">
        <v>99</v>
      </c>
      <c r="B682" t="s">
        <v>102</v>
      </c>
      <c r="C682">
        <v>7310</v>
      </c>
      <c r="D682" t="s">
        <v>45</v>
      </c>
      <c r="E682" t="s">
        <v>59</v>
      </c>
      <c r="F682" s="5">
        <v>42370</v>
      </c>
      <c r="G682">
        <v>0</v>
      </c>
    </row>
    <row r="683" spans="1:7" x14ac:dyDescent="0.25">
      <c r="A683" t="s">
        <v>99</v>
      </c>
      <c r="B683" t="s">
        <v>102</v>
      </c>
      <c r="C683">
        <v>7310</v>
      </c>
      <c r="D683" t="s">
        <v>45</v>
      </c>
      <c r="E683" t="s">
        <v>59</v>
      </c>
      <c r="F683" s="5">
        <v>42736</v>
      </c>
      <c r="G683">
        <v>0</v>
      </c>
    </row>
    <row r="684" spans="1:7" x14ac:dyDescent="0.25">
      <c r="A684" t="s">
        <v>99</v>
      </c>
      <c r="B684" t="s">
        <v>102</v>
      </c>
      <c r="C684">
        <v>7310</v>
      </c>
      <c r="D684" t="s">
        <v>45</v>
      </c>
      <c r="E684" t="s">
        <v>60</v>
      </c>
      <c r="F684" s="5">
        <v>42370</v>
      </c>
      <c r="G684">
        <v>0</v>
      </c>
    </row>
    <row r="685" spans="1:7" x14ac:dyDescent="0.25">
      <c r="A685" t="s">
        <v>99</v>
      </c>
      <c r="B685" t="s">
        <v>102</v>
      </c>
      <c r="C685">
        <v>7310</v>
      </c>
      <c r="D685" t="s">
        <v>45</v>
      </c>
      <c r="E685" t="s">
        <v>60</v>
      </c>
      <c r="F685" s="5">
        <v>42736</v>
      </c>
      <c r="G685">
        <v>0</v>
      </c>
    </row>
    <row r="686" spans="1:7" x14ac:dyDescent="0.25">
      <c r="A686" t="s">
        <v>99</v>
      </c>
      <c r="B686" t="s">
        <v>102</v>
      </c>
      <c r="C686">
        <v>7310</v>
      </c>
      <c r="D686" t="s">
        <v>45</v>
      </c>
      <c r="E686" t="s">
        <v>61</v>
      </c>
      <c r="F686" s="5">
        <v>42370</v>
      </c>
      <c r="G686">
        <v>0</v>
      </c>
    </row>
    <row r="687" spans="1:7" x14ac:dyDescent="0.25">
      <c r="A687" t="s">
        <v>99</v>
      </c>
      <c r="B687" t="s">
        <v>102</v>
      </c>
      <c r="C687">
        <v>7310</v>
      </c>
      <c r="D687" t="s">
        <v>45</v>
      </c>
      <c r="E687" t="s">
        <v>61</v>
      </c>
      <c r="F687" s="5">
        <v>42736</v>
      </c>
      <c r="G687">
        <v>0</v>
      </c>
    </row>
    <row r="688" spans="1:7" x14ac:dyDescent="0.25">
      <c r="A688" t="s">
        <v>99</v>
      </c>
      <c r="B688" t="s">
        <v>102</v>
      </c>
      <c r="C688">
        <v>7310</v>
      </c>
      <c r="D688" t="s">
        <v>62</v>
      </c>
      <c r="E688" t="s">
        <v>63</v>
      </c>
      <c r="F688" s="5">
        <v>42370</v>
      </c>
      <c r="G688">
        <v>0</v>
      </c>
    </row>
    <row r="689" spans="1:7" x14ac:dyDescent="0.25">
      <c r="A689" t="s">
        <v>99</v>
      </c>
      <c r="B689" t="s">
        <v>102</v>
      </c>
      <c r="C689">
        <v>7310</v>
      </c>
      <c r="D689" t="s">
        <v>62</v>
      </c>
      <c r="E689" t="s">
        <v>63</v>
      </c>
      <c r="F689" s="5">
        <v>42736</v>
      </c>
      <c r="G689">
        <v>0</v>
      </c>
    </row>
    <row r="690" spans="1:7" x14ac:dyDescent="0.25">
      <c r="A690" t="s">
        <v>99</v>
      </c>
      <c r="B690" t="s">
        <v>102</v>
      </c>
      <c r="C690">
        <v>7310</v>
      </c>
      <c r="D690" t="s">
        <v>62</v>
      </c>
      <c r="E690" t="s">
        <v>64</v>
      </c>
      <c r="F690" s="5">
        <v>42370</v>
      </c>
      <c r="G690">
        <v>0</v>
      </c>
    </row>
    <row r="691" spans="1:7" x14ac:dyDescent="0.25">
      <c r="A691" t="s">
        <v>99</v>
      </c>
      <c r="B691" t="s">
        <v>102</v>
      </c>
      <c r="C691">
        <v>7310</v>
      </c>
      <c r="D691" t="s">
        <v>62</v>
      </c>
      <c r="E691" t="s">
        <v>64</v>
      </c>
      <c r="F691" s="5">
        <v>42736</v>
      </c>
      <c r="G691">
        <v>0</v>
      </c>
    </row>
    <row r="692" spans="1:7" x14ac:dyDescent="0.25">
      <c r="A692" t="s">
        <v>99</v>
      </c>
      <c r="B692" t="s">
        <v>102</v>
      </c>
      <c r="C692">
        <v>7310</v>
      </c>
      <c r="D692" t="s">
        <v>62</v>
      </c>
      <c r="E692" t="s">
        <v>9</v>
      </c>
      <c r="F692" s="5">
        <v>42370</v>
      </c>
      <c r="G692">
        <v>0</v>
      </c>
    </row>
    <row r="693" spans="1:7" x14ac:dyDescent="0.25">
      <c r="A693" t="s">
        <v>99</v>
      </c>
      <c r="B693" t="s">
        <v>102</v>
      </c>
      <c r="C693">
        <v>7310</v>
      </c>
      <c r="D693" t="s">
        <v>62</v>
      </c>
      <c r="E693" t="s">
        <v>9</v>
      </c>
      <c r="F693" s="5">
        <v>42736</v>
      </c>
      <c r="G693">
        <v>0</v>
      </c>
    </row>
    <row r="694" spans="1:7" x14ac:dyDescent="0.25">
      <c r="A694" t="s">
        <v>99</v>
      </c>
      <c r="B694" t="s">
        <v>102</v>
      </c>
      <c r="C694">
        <v>7310</v>
      </c>
      <c r="D694" t="s">
        <v>62</v>
      </c>
      <c r="E694" t="s">
        <v>65</v>
      </c>
      <c r="F694" s="5">
        <v>42370</v>
      </c>
      <c r="G694">
        <v>0</v>
      </c>
    </row>
    <row r="695" spans="1:7" x14ac:dyDescent="0.25">
      <c r="A695" t="s">
        <v>99</v>
      </c>
      <c r="B695" t="s">
        <v>102</v>
      </c>
      <c r="C695">
        <v>7310</v>
      </c>
      <c r="D695" t="s">
        <v>62</v>
      </c>
      <c r="E695" t="s">
        <v>65</v>
      </c>
      <c r="F695" s="5">
        <v>42736</v>
      </c>
      <c r="G695">
        <v>0</v>
      </c>
    </row>
    <row r="696" spans="1:7" x14ac:dyDescent="0.25">
      <c r="A696" t="s">
        <v>99</v>
      </c>
      <c r="B696" t="s">
        <v>102</v>
      </c>
      <c r="C696">
        <v>7310</v>
      </c>
      <c r="D696" t="s">
        <v>62</v>
      </c>
      <c r="E696" t="s">
        <v>66</v>
      </c>
      <c r="F696" s="5">
        <v>42370</v>
      </c>
      <c r="G696">
        <v>0</v>
      </c>
    </row>
    <row r="697" spans="1:7" x14ac:dyDescent="0.25">
      <c r="A697" t="s">
        <v>99</v>
      </c>
      <c r="B697" t="s">
        <v>102</v>
      </c>
      <c r="C697">
        <v>7310</v>
      </c>
      <c r="D697" t="s">
        <v>62</v>
      </c>
      <c r="E697" t="s">
        <v>66</v>
      </c>
      <c r="F697" s="5">
        <v>42736</v>
      </c>
      <c r="G697">
        <v>0</v>
      </c>
    </row>
    <row r="698" spans="1:7" x14ac:dyDescent="0.25">
      <c r="A698" t="s">
        <v>99</v>
      </c>
      <c r="B698" t="s">
        <v>102</v>
      </c>
      <c r="C698">
        <v>7310</v>
      </c>
      <c r="D698" t="s">
        <v>62</v>
      </c>
      <c r="E698" t="s">
        <v>67</v>
      </c>
      <c r="F698" s="5">
        <v>42370</v>
      </c>
      <c r="G698">
        <v>0</v>
      </c>
    </row>
    <row r="699" spans="1:7" x14ac:dyDescent="0.25">
      <c r="A699" t="s">
        <v>99</v>
      </c>
      <c r="B699" t="s">
        <v>102</v>
      </c>
      <c r="C699">
        <v>7310</v>
      </c>
      <c r="D699" t="s">
        <v>62</v>
      </c>
      <c r="E699" t="s">
        <v>67</v>
      </c>
      <c r="F699" s="5">
        <v>42736</v>
      </c>
      <c r="G699">
        <v>0</v>
      </c>
    </row>
    <row r="700" spans="1:7" x14ac:dyDescent="0.25">
      <c r="A700" t="s">
        <v>99</v>
      </c>
      <c r="B700" t="s">
        <v>102</v>
      </c>
      <c r="C700">
        <v>7310</v>
      </c>
      <c r="D700" t="s">
        <v>62</v>
      </c>
      <c r="E700" t="s">
        <v>68</v>
      </c>
      <c r="F700" s="5">
        <v>42370</v>
      </c>
      <c r="G700">
        <v>0</v>
      </c>
    </row>
    <row r="701" spans="1:7" x14ac:dyDescent="0.25">
      <c r="A701" t="s">
        <v>99</v>
      </c>
      <c r="B701" t="s">
        <v>102</v>
      </c>
      <c r="C701">
        <v>7310</v>
      </c>
      <c r="D701" t="s">
        <v>62</v>
      </c>
      <c r="E701" t="s">
        <v>68</v>
      </c>
      <c r="F701" s="5">
        <v>42736</v>
      </c>
      <c r="G701">
        <v>0</v>
      </c>
    </row>
    <row r="702" spans="1:7" x14ac:dyDescent="0.25">
      <c r="A702" t="s">
        <v>99</v>
      </c>
      <c r="B702" t="s">
        <v>102</v>
      </c>
      <c r="C702">
        <v>7310</v>
      </c>
      <c r="D702" t="s">
        <v>62</v>
      </c>
      <c r="E702" t="s">
        <v>69</v>
      </c>
      <c r="F702" s="5">
        <v>42370</v>
      </c>
      <c r="G702">
        <v>0</v>
      </c>
    </row>
    <row r="703" spans="1:7" x14ac:dyDescent="0.25">
      <c r="A703" t="s">
        <v>99</v>
      </c>
      <c r="B703" t="s">
        <v>102</v>
      </c>
      <c r="C703">
        <v>7310</v>
      </c>
      <c r="D703" t="s">
        <v>62</v>
      </c>
      <c r="E703" t="s">
        <v>69</v>
      </c>
      <c r="F703" s="5">
        <v>42736</v>
      </c>
      <c r="G703">
        <v>0</v>
      </c>
    </row>
    <row r="704" spans="1:7" x14ac:dyDescent="0.25">
      <c r="A704" t="s">
        <v>99</v>
      </c>
      <c r="B704" t="s">
        <v>102</v>
      </c>
      <c r="C704">
        <v>7310</v>
      </c>
      <c r="D704" t="s">
        <v>62</v>
      </c>
      <c r="E704" t="s">
        <v>70</v>
      </c>
      <c r="F704" s="5">
        <v>42370</v>
      </c>
      <c r="G704">
        <v>0</v>
      </c>
    </row>
    <row r="705" spans="1:7" x14ac:dyDescent="0.25">
      <c r="A705" t="s">
        <v>99</v>
      </c>
      <c r="B705" t="s">
        <v>102</v>
      </c>
      <c r="C705">
        <v>7310</v>
      </c>
      <c r="D705" t="s">
        <v>62</v>
      </c>
      <c r="E705" t="s">
        <v>70</v>
      </c>
      <c r="F705" s="5">
        <v>42736</v>
      </c>
      <c r="G705">
        <v>0</v>
      </c>
    </row>
    <row r="706" spans="1:7" x14ac:dyDescent="0.25">
      <c r="A706" t="s">
        <v>99</v>
      </c>
      <c r="B706" t="s">
        <v>102</v>
      </c>
      <c r="C706">
        <v>7310</v>
      </c>
      <c r="D706" t="s">
        <v>62</v>
      </c>
      <c r="E706" t="s">
        <v>71</v>
      </c>
      <c r="F706" s="5">
        <v>42370</v>
      </c>
      <c r="G706">
        <v>0</v>
      </c>
    </row>
    <row r="707" spans="1:7" x14ac:dyDescent="0.25">
      <c r="A707" t="s">
        <v>99</v>
      </c>
      <c r="B707" t="s">
        <v>102</v>
      </c>
      <c r="C707">
        <v>7310</v>
      </c>
      <c r="D707" t="s">
        <v>62</v>
      </c>
      <c r="E707" t="s">
        <v>71</v>
      </c>
      <c r="F707" s="5">
        <v>42736</v>
      </c>
      <c r="G707">
        <v>0</v>
      </c>
    </row>
    <row r="708" spans="1:7" x14ac:dyDescent="0.25">
      <c r="A708" t="s">
        <v>99</v>
      </c>
      <c r="B708" t="s">
        <v>102</v>
      </c>
      <c r="C708">
        <v>7310</v>
      </c>
      <c r="D708" t="s">
        <v>72</v>
      </c>
      <c r="E708" t="s">
        <v>73</v>
      </c>
      <c r="F708" s="5">
        <v>42370</v>
      </c>
      <c r="G708">
        <v>0</v>
      </c>
    </row>
    <row r="709" spans="1:7" x14ac:dyDescent="0.25">
      <c r="A709" t="s">
        <v>99</v>
      </c>
      <c r="B709" t="s">
        <v>102</v>
      </c>
      <c r="C709">
        <v>7310</v>
      </c>
      <c r="D709" t="s">
        <v>72</v>
      </c>
      <c r="E709" t="s">
        <v>73</v>
      </c>
      <c r="F709" s="5">
        <v>42736</v>
      </c>
      <c r="G709">
        <v>0</v>
      </c>
    </row>
    <row r="710" spans="1:7" x14ac:dyDescent="0.25">
      <c r="A710" t="s">
        <v>99</v>
      </c>
      <c r="B710" t="s">
        <v>102</v>
      </c>
      <c r="C710">
        <v>7310</v>
      </c>
      <c r="D710" t="s">
        <v>72</v>
      </c>
      <c r="E710" t="s">
        <v>9</v>
      </c>
      <c r="F710" s="5">
        <v>42370</v>
      </c>
      <c r="G710">
        <v>0</v>
      </c>
    </row>
    <row r="711" spans="1:7" x14ac:dyDescent="0.25">
      <c r="A711" t="s">
        <v>99</v>
      </c>
      <c r="B711" t="s">
        <v>102</v>
      </c>
      <c r="C711">
        <v>7310</v>
      </c>
      <c r="D711" t="s">
        <v>72</v>
      </c>
      <c r="E711" t="s">
        <v>9</v>
      </c>
      <c r="F711" s="5">
        <v>42736</v>
      </c>
      <c r="G711">
        <v>0</v>
      </c>
    </row>
    <row r="712" spans="1:7" x14ac:dyDescent="0.25">
      <c r="A712" t="s">
        <v>99</v>
      </c>
      <c r="B712" t="s">
        <v>102</v>
      </c>
      <c r="C712">
        <v>7310</v>
      </c>
      <c r="D712" t="s">
        <v>72</v>
      </c>
      <c r="E712" t="s">
        <v>34</v>
      </c>
      <c r="F712" s="5">
        <v>42370</v>
      </c>
      <c r="G712">
        <v>0</v>
      </c>
    </row>
    <row r="713" spans="1:7" x14ac:dyDescent="0.25">
      <c r="A713" t="s">
        <v>99</v>
      </c>
      <c r="B713" t="s">
        <v>102</v>
      </c>
      <c r="C713">
        <v>7310</v>
      </c>
      <c r="D713" t="s">
        <v>72</v>
      </c>
      <c r="E713" t="s">
        <v>34</v>
      </c>
      <c r="F713" s="5">
        <v>42736</v>
      </c>
      <c r="G713">
        <v>0</v>
      </c>
    </row>
    <row r="714" spans="1:7" x14ac:dyDescent="0.25">
      <c r="A714" t="s">
        <v>99</v>
      </c>
      <c r="B714" t="s">
        <v>102</v>
      </c>
      <c r="C714">
        <v>7310</v>
      </c>
      <c r="D714" t="s">
        <v>72</v>
      </c>
      <c r="E714" t="s">
        <v>74</v>
      </c>
      <c r="F714" s="5">
        <v>42370</v>
      </c>
      <c r="G714">
        <v>0</v>
      </c>
    </row>
    <row r="715" spans="1:7" x14ac:dyDescent="0.25">
      <c r="A715" t="s">
        <v>99</v>
      </c>
      <c r="B715" t="s">
        <v>102</v>
      </c>
      <c r="C715">
        <v>7310</v>
      </c>
      <c r="D715" t="s">
        <v>72</v>
      </c>
      <c r="E715" t="s">
        <v>74</v>
      </c>
      <c r="F715" s="5">
        <v>42736</v>
      </c>
      <c r="G715">
        <v>0</v>
      </c>
    </row>
    <row r="716" spans="1:7" x14ac:dyDescent="0.25">
      <c r="A716" t="s">
        <v>99</v>
      </c>
      <c r="B716" t="s">
        <v>102</v>
      </c>
      <c r="C716">
        <v>7310</v>
      </c>
      <c r="D716" t="s">
        <v>72</v>
      </c>
      <c r="E716" t="s">
        <v>75</v>
      </c>
      <c r="F716" s="5">
        <v>42370</v>
      </c>
      <c r="G716">
        <v>0</v>
      </c>
    </row>
    <row r="717" spans="1:7" x14ac:dyDescent="0.25">
      <c r="A717" t="s">
        <v>99</v>
      </c>
      <c r="B717" t="s">
        <v>102</v>
      </c>
      <c r="C717">
        <v>7310</v>
      </c>
      <c r="D717" t="s">
        <v>72</v>
      </c>
      <c r="E717" t="s">
        <v>75</v>
      </c>
      <c r="F717" s="5">
        <v>42736</v>
      </c>
      <c r="G717">
        <v>0</v>
      </c>
    </row>
    <row r="718" spans="1:7" x14ac:dyDescent="0.25">
      <c r="A718" t="s">
        <v>99</v>
      </c>
      <c r="B718" t="s">
        <v>102</v>
      </c>
      <c r="C718">
        <v>7310</v>
      </c>
      <c r="D718" t="s">
        <v>76</v>
      </c>
      <c r="E718" t="s">
        <v>9</v>
      </c>
      <c r="F718" s="5">
        <v>42370</v>
      </c>
      <c r="G718">
        <v>0</v>
      </c>
    </row>
    <row r="719" spans="1:7" x14ac:dyDescent="0.25">
      <c r="A719" t="s">
        <v>99</v>
      </c>
      <c r="B719" t="s">
        <v>102</v>
      </c>
      <c r="C719">
        <v>7310</v>
      </c>
      <c r="D719" t="s">
        <v>76</v>
      </c>
      <c r="E719" t="s">
        <v>9</v>
      </c>
      <c r="F719" s="5">
        <v>42736</v>
      </c>
      <c r="G719">
        <v>0</v>
      </c>
    </row>
    <row r="720" spans="1:7" x14ac:dyDescent="0.25">
      <c r="A720" t="s">
        <v>99</v>
      </c>
      <c r="B720" t="s">
        <v>102</v>
      </c>
      <c r="C720">
        <v>7310</v>
      </c>
      <c r="D720" t="s">
        <v>76</v>
      </c>
      <c r="E720" t="s">
        <v>77</v>
      </c>
      <c r="F720" s="5">
        <v>42370</v>
      </c>
      <c r="G720">
        <v>0</v>
      </c>
    </row>
    <row r="721" spans="1:7" x14ac:dyDescent="0.25">
      <c r="A721" t="s">
        <v>99</v>
      </c>
      <c r="B721" t="s">
        <v>102</v>
      </c>
      <c r="C721">
        <v>7310</v>
      </c>
      <c r="D721" t="s">
        <v>76</v>
      </c>
      <c r="E721" t="s">
        <v>77</v>
      </c>
      <c r="F721" s="5">
        <v>42736</v>
      </c>
      <c r="G721">
        <v>0</v>
      </c>
    </row>
    <row r="722" spans="1:7" x14ac:dyDescent="0.25">
      <c r="A722" t="s">
        <v>99</v>
      </c>
      <c r="B722" t="s">
        <v>102</v>
      </c>
      <c r="C722">
        <v>7310</v>
      </c>
      <c r="D722" t="s">
        <v>78</v>
      </c>
      <c r="E722" t="s">
        <v>79</v>
      </c>
      <c r="F722" s="5">
        <v>42370</v>
      </c>
      <c r="G722">
        <v>11</v>
      </c>
    </row>
    <row r="723" spans="1:7" x14ac:dyDescent="0.25">
      <c r="A723" t="s">
        <v>99</v>
      </c>
      <c r="B723" t="s">
        <v>102</v>
      </c>
      <c r="C723">
        <v>7310</v>
      </c>
      <c r="D723" t="s">
        <v>78</v>
      </c>
      <c r="E723" t="s">
        <v>79</v>
      </c>
      <c r="F723" s="5">
        <v>42736</v>
      </c>
      <c r="G723">
        <v>21</v>
      </c>
    </row>
    <row r="724" spans="1:7" x14ac:dyDescent="0.25">
      <c r="A724" t="s">
        <v>99</v>
      </c>
      <c r="B724" t="s">
        <v>102</v>
      </c>
      <c r="C724">
        <v>7310</v>
      </c>
      <c r="D724" t="s">
        <v>78</v>
      </c>
      <c r="E724" t="s">
        <v>80</v>
      </c>
      <c r="F724" s="5">
        <v>42370</v>
      </c>
      <c r="G724">
        <v>0</v>
      </c>
    </row>
    <row r="725" spans="1:7" x14ac:dyDescent="0.25">
      <c r="A725" t="s">
        <v>99</v>
      </c>
      <c r="B725" t="s">
        <v>102</v>
      </c>
      <c r="C725">
        <v>7310</v>
      </c>
      <c r="D725" t="s">
        <v>78</v>
      </c>
      <c r="E725" t="s">
        <v>80</v>
      </c>
      <c r="F725" s="5">
        <v>42736</v>
      </c>
      <c r="G725">
        <v>3</v>
      </c>
    </row>
    <row r="726" spans="1:7" x14ac:dyDescent="0.25">
      <c r="A726" t="s">
        <v>99</v>
      </c>
      <c r="B726" t="s">
        <v>102</v>
      </c>
      <c r="C726">
        <v>7310</v>
      </c>
      <c r="D726" t="s">
        <v>78</v>
      </c>
      <c r="E726" t="s">
        <v>81</v>
      </c>
      <c r="F726" s="5">
        <v>42370</v>
      </c>
      <c r="G726">
        <v>212</v>
      </c>
    </row>
    <row r="727" spans="1:7" x14ac:dyDescent="0.25">
      <c r="A727" t="s">
        <v>99</v>
      </c>
      <c r="B727" t="s">
        <v>102</v>
      </c>
      <c r="C727">
        <v>7310</v>
      </c>
      <c r="D727" t="s">
        <v>78</v>
      </c>
      <c r="E727" t="s">
        <v>81</v>
      </c>
      <c r="F727" s="5">
        <v>42736</v>
      </c>
      <c r="G727">
        <v>266</v>
      </c>
    </row>
    <row r="728" spans="1:7" x14ac:dyDescent="0.25">
      <c r="A728" t="s">
        <v>99</v>
      </c>
      <c r="B728" t="s">
        <v>102</v>
      </c>
      <c r="C728">
        <v>7310</v>
      </c>
      <c r="D728" t="s">
        <v>78</v>
      </c>
      <c r="E728" t="s">
        <v>82</v>
      </c>
      <c r="F728" s="5">
        <v>42370</v>
      </c>
      <c r="G728">
        <v>0</v>
      </c>
    </row>
    <row r="729" spans="1:7" x14ac:dyDescent="0.25">
      <c r="A729" t="s">
        <v>99</v>
      </c>
      <c r="B729" t="s">
        <v>102</v>
      </c>
      <c r="C729">
        <v>7310</v>
      </c>
      <c r="D729" t="s">
        <v>78</v>
      </c>
      <c r="E729" t="s">
        <v>82</v>
      </c>
      <c r="F729" s="5">
        <v>42736</v>
      </c>
      <c r="G729">
        <v>0</v>
      </c>
    </row>
    <row r="730" spans="1:7" x14ac:dyDescent="0.25">
      <c r="A730" t="s">
        <v>99</v>
      </c>
      <c r="B730" t="s">
        <v>102</v>
      </c>
      <c r="C730">
        <v>7310</v>
      </c>
      <c r="D730" t="s">
        <v>78</v>
      </c>
      <c r="E730" t="s">
        <v>83</v>
      </c>
      <c r="F730" s="5">
        <v>42370</v>
      </c>
      <c r="G730">
        <v>0</v>
      </c>
    </row>
    <row r="731" spans="1:7" x14ac:dyDescent="0.25">
      <c r="A731" t="s">
        <v>99</v>
      </c>
      <c r="B731" t="s">
        <v>102</v>
      </c>
      <c r="C731">
        <v>7310</v>
      </c>
      <c r="D731" t="s">
        <v>78</v>
      </c>
      <c r="E731" t="s">
        <v>83</v>
      </c>
      <c r="F731" s="5">
        <v>42736</v>
      </c>
      <c r="G731">
        <v>0</v>
      </c>
    </row>
    <row r="732" spans="1:7" x14ac:dyDescent="0.25">
      <c r="A732" t="s">
        <v>99</v>
      </c>
      <c r="B732" t="s">
        <v>102</v>
      </c>
      <c r="C732">
        <v>7310</v>
      </c>
      <c r="D732" t="s">
        <v>78</v>
      </c>
      <c r="E732" t="s">
        <v>84</v>
      </c>
      <c r="F732" s="5">
        <v>42370</v>
      </c>
      <c r="G732">
        <v>0</v>
      </c>
    </row>
    <row r="733" spans="1:7" x14ac:dyDescent="0.25">
      <c r="A733" t="s">
        <v>99</v>
      </c>
      <c r="B733" t="s">
        <v>102</v>
      </c>
      <c r="C733">
        <v>7310</v>
      </c>
      <c r="D733" t="s">
        <v>78</v>
      </c>
      <c r="E733" t="s">
        <v>84</v>
      </c>
      <c r="F733" s="5">
        <v>42736</v>
      </c>
      <c r="G733">
        <v>0</v>
      </c>
    </row>
    <row r="734" spans="1:7" x14ac:dyDescent="0.25">
      <c r="A734" t="s">
        <v>99</v>
      </c>
      <c r="B734" t="s">
        <v>102</v>
      </c>
      <c r="C734">
        <v>7310</v>
      </c>
      <c r="D734" t="s">
        <v>78</v>
      </c>
      <c r="E734" t="s">
        <v>85</v>
      </c>
      <c r="F734" s="5">
        <v>42370</v>
      </c>
      <c r="G734">
        <v>0</v>
      </c>
    </row>
    <row r="735" spans="1:7" x14ac:dyDescent="0.25">
      <c r="A735" t="s">
        <v>99</v>
      </c>
      <c r="B735" t="s">
        <v>102</v>
      </c>
      <c r="C735">
        <v>7310</v>
      </c>
      <c r="D735" t="s">
        <v>78</v>
      </c>
      <c r="E735" t="s">
        <v>85</v>
      </c>
      <c r="F735" s="5">
        <v>42736</v>
      </c>
      <c r="G735">
        <v>0</v>
      </c>
    </row>
    <row r="736" spans="1:7" x14ac:dyDescent="0.25">
      <c r="A736" t="s">
        <v>99</v>
      </c>
      <c r="B736" t="s">
        <v>102</v>
      </c>
      <c r="C736">
        <v>7310</v>
      </c>
      <c r="D736" t="s">
        <v>78</v>
      </c>
      <c r="E736" t="s">
        <v>86</v>
      </c>
      <c r="F736" s="5">
        <v>42370</v>
      </c>
      <c r="G736">
        <v>0</v>
      </c>
    </row>
    <row r="737" spans="1:7" x14ac:dyDescent="0.25">
      <c r="A737" t="s">
        <v>99</v>
      </c>
      <c r="B737" t="s">
        <v>102</v>
      </c>
      <c r="C737">
        <v>7310</v>
      </c>
      <c r="D737" t="s">
        <v>78</v>
      </c>
      <c r="E737" t="s">
        <v>86</v>
      </c>
      <c r="F737" s="5">
        <v>42736</v>
      </c>
      <c r="G737">
        <v>0</v>
      </c>
    </row>
    <row r="738" spans="1:7" x14ac:dyDescent="0.25">
      <c r="A738" t="s">
        <v>99</v>
      </c>
      <c r="B738" t="s">
        <v>102</v>
      </c>
      <c r="C738">
        <v>7310</v>
      </c>
      <c r="D738" t="s">
        <v>78</v>
      </c>
      <c r="E738" t="s">
        <v>87</v>
      </c>
      <c r="F738" s="5">
        <v>42370</v>
      </c>
      <c r="G738">
        <v>0</v>
      </c>
    </row>
    <row r="739" spans="1:7" x14ac:dyDescent="0.25">
      <c r="A739" t="s">
        <v>99</v>
      </c>
      <c r="B739" t="s">
        <v>102</v>
      </c>
      <c r="C739">
        <v>7310</v>
      </c>
      <c r="D739" t="s">
        <v>78</v>
      </c>
      <c r="E739" t="s">
        <v>87</v>
      </c>
      <c r="F739" s="5">
        <v>42736</v>
      </c>
      <c r="G739">
        <v>0</v>
      </c>
    </row>
    <row r="740" spans="1:7" x14ac:dyDescent="0.25">
      <c r="A740" t="s">
        <v>99</v>
      </c>
      <c r="B740" t="s">
        <v>102</v>
      </c>
      <c r="C740">
        <v>7310</v>
      </c>
      <c r="D740" t="s">
        <v>78</v>
      </c>
      <c r="E740" t="s">
        <v>88</v>
      </c>
      <c r="F740" s="5">
        <v>42370</v>
      </c>
      <c r="G740">
        <v>30</v>
      </c>
    </row>
    <row r="741" spans="1:7" x14ac:dyDescent="0.25">
      <c r="A741" t="s">
        <v>99</v>
      </c>
      <c r="B741" t="s">
        <v>102</v>
      </c>
      <c r="C741">
        <v>7310</v>
      </c>
      <c r="D741" t="s">
        <v>78</v>
      </c>
      <c r="E741" t="s">
        <v>88</v>
      </c>
      <c r="F741" s="5">
        <v>42736</v>
      </c>
      <c r="G741">
        <v>38</v>
      </c>
    </row>
    <row r="742" spans="1:7" x14ac:dyDescent="0.25">
      <c r="A742" t="s">
        <v>99</v>
      </c>
      <c r="B742" t="s">
        <v>102</v>
      </c>
      <c r="C742">
        <v>7310</v>
      </c>
      <c r="D742" t="s">
        <v>78</v>
      </c>
      <c r="E742" t="s">
        <v>89</v>
      </c>
      <c r="F742" s="5">
        <v>42370</v>
      </c>
      <c r="G742">
        <v>513</v>
      </c>
    </row>
    <row r="743" spans="1:7" x14ac:dyDescent="0.25">
      <c r="A743" t="s">
        <v>99</v>
      </c>
      <c r="B743" t="s">
        <v>102</v>
      </c>
      <c r="C743">
        <v>7310</v>
      </c>
      <c r="D743" t="s">
        <v>78</v>
      </c>
      <c r="E743" t="s">
        <v>89</v>
      </c>
      <c r="F743" s="5">
        <v>42736</v>
      </c>
      <c r="G743">
        <v>924</v>
      </c>
    </row>
    <row r="744" spans="1:7" x14ac:dyDescent="0.25">
      <c r="A744" t="s">
        <v>99</v>
      </c>
      <c r="B744" t="s">
        <v>102</v>
      </c>
      <c r="C744">
        <v>7310</v>
      </c>
      <c r="D744" t="s">
        <v>78</v>
      </c>
      <c r="E744" t="s">
        <v>90</v>
      </c>
      <c r="F744" s="5">
        <v>42370</v>
      </c>
      <c r="G744">
        <v>0</v>
      </c>
    </row>
    <row r="745" spans="1:7" x14ac:dyDescent="0.25">
      <c r="A745" t="s">
        <v>99</v>
      </c>
      <c r="B745" t="s">
        <v>102</v>
      </c>
      <c r="C745">
        <v>7310</v>
      </c>
      <c r="D745" t="s">
        <v>78</v>
      </c>
      <c r="E745" t="s">
        <v>90</v>
      </c>
      <c r="F745" s="5">
        <v>42736</v>
      </c>
      <c r="G745">
        <v>0</v>
      </c>
    </row>
    <row r="746" spans="1:7" x14ac:dyDescent="0.25">
      <c r="A746" t="s">
        <v>99</v>
      </c>
      <c r="B746" t="s">
        <v>102</v>
      </c>
      <c r="C746">
        <v>7310</v>
      </c>
      <c r="D746" t="s">
        <v>78</v>
      </c>
      <c r="E746" t="s">
        <v>91</v>
      </c>
      <c r="F746" s="5">
        <v>42370</v>
      </c>
      <c r="G746">
        <v>0</v>
      </c>
    </row>
    <row r="747" spans="1:7" x14ac:dyDescent="0.25">
      <c r="A747" t="s">
        <v>99</v>
      </c>
      <c r="B747" t="s">
        <v>102</v>
      </c>
      <c r="C747">
        <v>7310</v>
      </c>
      <c r="D747" t="s">
        <v>78</v>
      </c>
      <c r="E747" t="s">
        <v>91</v>
      </c>
      <c r="F747" s="5">
        <v>42736</v>
      </c>
      <c r="G747">
        <v>0</v>
      </c>
    </row>
    <row r="748" spans="1:7" x14ac:dyDescent="0.25">
      <c r="A748" t="s">
        <v>99</v>
      </c>
      <c r="B748" t="s">
        <v>102</v>
      </c>
      <c r="C748">
        <v>7310</v>
      </c>
      <c r="D748" t="s">
        <v>78</v>
      </c>
      <c r="E748" t="s">
        <v>92</v>
      </c>
      <c r="F748" s="5">
        <v>42370</v>
      </c>
      <c r="G748">
        <v>0</v>
      </c>
    </row>
    <row r="749" spans="1:7" x14ac:dyDescent="0.25">
      <c r="A749" t="s">
        <v>99</v>
      </c>
      <c r="B749" t="s">
        <v>102</v>
      </c>
      <c r="C749">
        <v>7310</v>
      </c>
      <c r="D749" t="s">
        <v>78</v>
      </c>
      <c r="E749" t="s">
        <v>92</v>
      </c>
      <c r="F749" s="5">
        <v>42736</v>
      </c>
      <c r="G749">
        <v>0</v>
      </c>
    </row>
    <row r="750" spans="1:7" x14ac:dyDescent="0.25">
      <c r="A750" t="s">
        <v>99</v>
      </c>
      <c r="B750" t="s">
        <v>102</v>
      </c>
      <c r="C750">
        <v>7310</v>
      </c>
      <c r="D750" t="s">
        <v>78</v>
      </c>
      <c r="E750" t="s">
        <v>93</v>
      </c>
      <c r="F750" s="5">
        <v>42370</v>
      </c>
      <c r="G750">
        <v>0</v>
      </c>
    </row>
    <row r="751" spans="1:7" x14ac:dyDescent="0.25">
      <c r="A751" t="s">
        <v>99</v>
      </c>
      <c r="B751" t="s">
        <v>102</v>
      </c>
      <c r="C751">
        <v>7310</v>
      </c>
      <c r="D751" t="s">
        <v>78</v>
      </c>
      <c r="E751" t="s">
        <v>93</v>
      </c>
      <c r="F751" s="5">
        <v>42736</v>
      </c>
      <c r="G751">
        <v>0</v>
      </c>
    </row>
    <row r="752" spans="1:7" x14ac:dyDescent="0.25">
      <c r="A752" t="s">
        <v>99</v>
      </c>
      <c r="B752" t="s">
        <v>102</v>
      </c>
      <c r="C752">
        <v>7310</v>
      </c>
      <c r="D752" t="s">
        <v>78</v>
      </c>
      <c r="E752" t="s">
        <v>94</v>
      </c>
      <c r="F752" s="5">
        <v>42370</v>
      </c>
      <c r="G752">
        <v>0</v>
      </c>
    </row>
    <row r="753" spans="1:7" x14ac:dyDescent="0.25">
      <c r="A753" t="s">
        <v>99</v>
      </c>
      <c r="B753" t="s">
        <v>102</v>
      </c>
      <c r="C753">
        <v>7310</v>
      </c>
      <c r="D753" t="s">
        <v>78</v>
      </c>
      <c r="E753" t="s">
        <v>94</v>
      </c>
      <c r="F753" s="5">
        <v>42736</v>
      </c>
      <c r="G753">
        <v>0</v>
      </c>
    </row>
    <row r="754" spans="1:7" x14ac:dyDescent="0.25">
      <c r="A754" t="s">
        <v>99</v>
      </c>
      <c r="B754" t="s">
        <v>102</v>
      </c>
      <c r="C754">
        <v>7310</v>
      </c>
      <c r="D754" t="s">
        <v>78</v>
      </c>
      <c r="E754" t="s">
        <v>95</v>
      </c>
      <c r="F754" s="5">
        <v>42370</v>
      </c>
      <c r="G754">
        <v>0</v>
      </c>
    </row>
    <row r="755" spans="1:7" x14ac:dyDescent="0.25">
      <c r="A755" t="s">
        <v>99</v>
      </c>
      <c r="B755" t="s">
        <v>102</v>
      </c>
      <c r="C755">
        <v>7310</v>
      </c>
      <c r="D755" t="s">
        <v>78</v>
      </c>
      <c r="E755" t="s">
        <v>95</v>
      </c>
      <c r="F755" s="5">
        <v>42736</v>
      </c>
      <c r="G755">
        <v>0</v>
      </c>
    </row>
    <row r="756" spans="1:7" x14ac:dyDescent="0.25">
      <c r="A756" t="s">
        <v>99</v>
      </c>
      <c r="B756" t="s">
        <v>102</v>
      </c>
      <c r="C756">
        <v>7310</v>
      </c>
      <c r="D756" t="s">
        <v>78</v>
      </c>
      <c r="E756" t="s">
        <v>96</v>
      </c>
      <c r="F756" s="5">
        <v>42370</v>
      </c>
      <c r="G756">
        <v>0</v>
      </c>
    </row>
    <row r="757" spans="1:7" x14ac:dyDescent="0.25">
      <c r="A757" t="s">
        <v>99</v>
      </c>
      <c r="B757" t="s">
        <v>102</v>
      </c>
      <c r="C757">
        <v>7310</v>
      </c>
      <c r="D757" t="s">
        <v>78</v>
      </c>
      <c r="E757" t="s">
        <v>96</v>
      </c>
      <c r="F757" s="5">
        <v>42736</v>
      </c>
      <c r="G757">
        <v>0</v>
      </c>
    </row>
    <row r="758" spans="1:7" x14ac:dyDescent="0.25">
      <c r="A758" t="s">
        <v>99</v>
      </c>
      <c r="B758" t="s">
        <v>102</v>
      </c>
      <c r="C758">
        <v>7310</v>
      </c>
      <c r="D758" t="s">
        <v>78</v>
      </c>
      <c r="E758" t="s">
        <v>97</v>
      </c>
      <c r="F758" s="5">
        <v>42370</v>
      </c>
      <c r="G758">
        <v>0</v>
      </c>
    </row>
    <row r="759" spans="1:7" x14ac:dyDescent="0.25">
      <c r="A759" t="s">
        <v>99</v>
      </c>
      <c r="B759" t="s">
        <v>102</v>
      </c>
      <c r="C759">
        <v>7310</v>
      </c>
      <c r="D759" t="s">
        <v>78</v>
      </c>
      <c r="E759" t="s">
        <v>97</v>
      </c>
      <c r="F759" s="5">
        <v>42736</v>
      </c>
      <c r="G759">
        <v>0</v>
      </c>
    </row>
    <row r="760" spans="1:7" x14ac:dyDescent="0.25">
      <c r="A760" t="s">
        <v>99</v>
      </c>
      <c r="B760" t="s">
        <v>102</v>
      </c>
      <c r="C760">
        <v>7310</v>
      </c>
      <c r="D760" t="s">
        <v>78</v>
      </c>
      <c r="E760" t="s">
        <v>98</v>
      </c>
      <c r="F760" s="5">
        <v>42370</v>
      </c>
      <c r="G760">
        <v>6</v>
      </c>
    </row>
    <row r="761" spans="1:7" x14ac:dyDescent="0.25">
      <c r="A761" t="s">
        <v>99</v>
      </c>
      <c r="B761" t="s">
        <v>102</v>
      </c>
      <c r="C761">
        <v>7310</v>
      </c>
      <c r="D761" t="s">
        <v>78</v>
      </c>
      <c r="E761" t="s">
        <v>98</v>
      </c>
      <c r="F761" s="5">
        <v>42736</v>
      </c>
      <c r="G761">
        <v>7</v>
      </c>
    </row>
    <row r="762" spans="1:7" x14ac:dyDescent="0.25">
      <c r="A762" t="s">
        <v>103</v>
      </c>
      <c r="B762" t="s">
        <v>104</v>
      </c>
      <c r="C762">
        <v>1400</v>
      </c>
      <c r="D762" t="s">
        <v>8</v>
      </c>
      <c r="E762" t="s">
        <v>9</v>
      </c>
      <c r="F762" s="5">
        <v>42370</v>
      </c>
      <c r="G762">
        <v>0</v>
      </c>
    </row>
    <row r="763" spans="1:7" x14ac:dyDescent="0.25">
      <c r="A763" t="s">
        <v>103</v>
      </c>
      <c r="B763" t="s">
        <v>104</v>
      </c>
      <c r="C763">
        <v>1400</v>
      </c>
      <c r="D763" t="s">
        <v>8</v>
      </c>
      <c r="E763" t="s">
        <v>9</v>
      </c>
      <c r="F763" s="5">
        <v>42736</v>
      </c>
      <c r="G763">
        <v>0</v>
      </c>
    </row>
    <row r="764" spans="1:7" x14ac:dyDescent="0.25">
      <c r="A764" t="s">
        <v>103</v>
      </c>
      <c r="B764" t="s">
        <v>104</v>
      </c>
      <c r="C764">
        <v>1400</v>
      </c>
      <c r="D764" t="s">
        <v>8</v>
      </c>
      <c r="E764" t="s">
        <v>10</v>
      </c>
      <c r="F764" s="5">
        <v>42370</v>
      </c>
      <c r="G764">
        <v>108</v>
      </c>
    </row>
    <row r="765" spans="1:7" x14ac:dyDescent="0.25">
      <c r="A765" t="s">
        <v>103</v>
      </c>
      <c r="B765" t="s">
        <v>104</v>
      </c>
      <c r="C765">
        <v>1400</v>
      </c>
      <c r="D765" t="s">
        <v>8</v>
      </c>
      <c r="E765" t="s">
        <v>10</v>
      </c>
      <c r="F765" s="5">
        <v>42736</v>
      </c>
      <c r="G765">
        <v>153</v>
      </c>
    </row>
    <row r="766" spans="1:7" x14ac:dyDescent="0.25">
      <c r="A766" t="s">
        <v>103</v>
      </c>
      <c r="B766" t="s">
        <v>104</v>
      </c>
      <c r="C766">
        <v>1400</v>
      </c>
      <c r="D766" t="s">
        <v>8</v>
      </c>
      <c r="E766" t="s">
        <v>11</v>
      </c>
      <c r="F766" s="5">
        <v>42370</v>
      </c>
      <c r="G766">
        <v>29</v>
      </c>
    </row>
    <row r="767" spans="1:7" x14ac:dyDescent="0.25">
      <c r="A767" t="s">
        <v>103</v>
      </c>
      <c r="B767" t="s">
        <v>104</v>
      </c>
      <c r="C767">
        <v>1400</v>
      </c>
      <c r="D767" t="s">
        <v>8</v>
      </c>
      <c r="E767" t="s">
        <v>11</v>
      </c>
      <c r="F767" s="5">
        <v>42736</v>
      </c>
      <c r="G767">
        <v>30</v>
      </c>
    </row>
    <row r="768" spans="1:7" x14ac:dyDescent="0.25">
      <c r="A768" t="s">
        <v>103</v>
      </c>
      <c r="B768" t="s">
        <v>104</v>
      </c>
      <c r="C768">
        <v>1400</v>
      </c>
      <c r="D768" t="s">
        <v>8</v>
      </c>
      <c r="E768" t="s">
        <v>12</v>
      </c>
      <c r="F768" s="5">
        <v>42370</v>
      </c>
      <c r="G768">
        <v>0</v>
      </c>
    </row>
    <row r="769" spans="1:7" x14ac:dyDescent="0.25">
      <c r="A769" t="s">
        <v>103</v>
      </c>
      <c r="B769" t="s">
        <v>104</v>
      </c>
      <c r="C769">
        <v>1400</v>
      </c>
      <c r="D769" t="s">
        <v>8</v>
      </c>
      <c r="E769" t="s">
        <v>12</v>
      </c>
      <c r="F769" s="5">
        <v>42736</v>
      </c>
      <c r="G769">
        <v>0</v>
      </c>
    </row>
    <row r="770" spans="1:7" x14ac:dyDescent="0.25">
      <c r="A770" t="s">
        <v>103</v>
      </c>
      <c r="B770" t="s">
        <v>104</v>
      </c>
      <c r="C770">
        <v>1400</v>
      </c>
      <c r="D770" t="s">
        <v>8</v>
      </c>
      <c r="E770" t="s">
        <v>13</v>
      </c>
      <c r="F770" s="5">
        <v>42370</v>
      </c>
      <c r="G770">
        <v>0</v>
      </c>
    </row>
    <row r="771" spans="1:7" x14ac:dyDescent="0.25">
      <c r="A771" t="s">
        <v>103</v>
      </c>
      <c r="B771" t="s">
        <v>104</v>
      </c>
      <c r="C771">
        <v>1400</v>
      </c>
      <c r="D771" t="s">
        <v>8</v>
      </c>
      <c r="E771" t="s">
        <v>13</v>
      </c>
      <c r="F771" s="5">
        <v>42736</v>
      </c>
      <c r="G771">
        <v>0</v>
      </c>
    </row>
    <row r="772" spans="1:7" x14ac:dyDescent="0.25">
      <c r="A772" t="s">
        <v>103</v>
      </c>
      <c r="B772" t="s">
        <v>104</v>
      </c>
      <c r="C772">
        <v>1400</v>
      </c>
      <c r="D772" t="s">
        <v>8</v>
      </c>
      <c r="E772" t="s">
        <v>14</v>
      </c>
      <c r="F772" s="5">
        <v>42370</v>
      </c>
      <c r="G772">
        <v>0</v>
      </c>
    </row>
    <row r="773" spans="1:7" x14ac:dyDescent="0.25">
      <c r="A773" t="s">
        <v>103</v>
      </c>
      <c r="B773" t="s">
        <v>104</v>
      </c>
      <c r="C773">
        <v>1400</v>
      </c>
      <c r="D773" t="s">
        <v>8</v>
      </c>
      <c r="E773" t="s">
        <v>14</v>
      </c>
      <c r="F773" s="5">
        <v>42736</v>
      </c>
      <c r="G773">
        <v>0</v>
      </c>
    </row>
    <row r="774" spans="1:7" x14ac:dyDescent="0.25">
      <c r="A774" t="s">
        <v>103</v>
      </c>
      <c r="B774" t="s">
        <v>104</v>
      </c>
      <c r="C774">
        <v>1400</v>
      </c>
      <c r="D774" t="s">
        <v>8</v>
      </c>
      <c r="E774" t="s">
        <v>15</v>
      </c>
      <c r="F774" s="5">
        <v>42370</v>
      </c>
      <c r="G774">
        <v>0</v>
      </c>
    </row>
    <row r="775" spans="1:7" x14ac:dyDescent="0.25">
      <c r="A775" t="s">
        <v>103</v>
      </c>
      <c r="B775" t="s">
        <v>104</v>
      </c>
      <c r="C775">
        <v>1400</v>
      </c>
      <c r="D775" t="s">
        <v>8</v>
      </c>
      <c r="E775" t="s">
        <v>15</v>
      </c>
      <c r="F775" s="5">
        <v>42736</v>
      </c>
      <c r="G775">
        <v>0</v>
      </c>
    </row>
    <row r="776" spans="1:7" x14ac:dyDescent="0.25">
      <c r="A776" t="s">
        <v>103</v>
      </c>
      <c r="B776" t="s">
        <v>104</v>
      </c>
      <c r="C776">
        <v>1400</v>
      </c>
      <c r="D776" t="s">
        <v>8</v>
      </c>
      <c r="E776" t="s">
        <v>16</v>
      </c>
      <c r="F776" s="5">
        <v>42370</v>
      </c>
      <c r="G776">
        <v>34</v>
      </c>
    </row>
    <row r="777" spans="1:7" x14ac:dyDescent="0.25">
      <c r="A777" t="s">
        <v>103</v>
      </c>
      <c r="B777" t="s">
        <v>104</v>
      </c>
      <c r="C777">
        <v>1400</v>
      </c>
      <c r="D777" t="s">
        <v>8</v>
      </c>
      <c r="E777" t="s">
        <v>16</v>
      </c>
      <c r="F777" s="5">
        <v>42736</v>
      </c>
      <c r="G777">
        <v>29</v>
      </c>
    </row>
    <row r="778" spans="1:7" x14ac:dyDescent="0.25">
      <c r="A778" t="s">
        <v>103</v>
      </c>
      <c r="B778" t="s">
        <v>104</v>
      </c>
      <c r="C778">
        <v>1400</v>
      </c>
      <c r="D778" t="s">
        <v>8</v>
      </c>
      <c r="E778" t="s">
        <v>17</v>
      </c>
      <c r="F778" s="5">
        <v>42370</v>
      </c>
      <c r="G778">
        <v>0</v>
      </c>
    </row>
    <row r="779" spans="1:7" x14ac:dyDescent="0.25">
      <c r="A779" t="s">
        <v>103</v>
      </c>
      <c r="B779" t="s">
        <v>104</v>
      </c>
      <c r="C779">
        <v>1400</v>
      </c>
      <c r="D779" t="s">
        <v>8</v>
      </c>
      <c r="E779" t="s">
        <v>17</v>
      </c>
      <c r="F779" s="5">
        <v>42736</v>
      </c>
      <c r="G779">
        <v>0</v>
      </c>
    </row>
    <row r="780" spans="1:7" x14ac:dyDescent="0.25">
      <c r="A780" t="s">
        <v>103</v>
      </c>
      <c r="B780" t="s">
        <v>104</v>
      </c>
      <c r="C780">
        <v>1400</v>
      </c>
      <c r="D780" t="s">
        <v>8</v>
      </c>
      <c r="E780" t="s">
        <v>18</v>
      </c>
      <c r="F780" s="5">
        <v>42370</v>
      </c>
      <c r="G780">
        <v>7</v>
      </c>
    </row>
    <row r="781" spans="1:7" x14ac:dyDescent="0.25">
      <c r="A781" t="s">
        <v>103</v>
      </c>
      <c r="B781" t="s">
        <v>104</v>
      </c>
      <c r="C781">
        <v>1400</v>
      </c>
      <c r="D781" t="s">
        <v>8</v>
      </c>
      <c r="E781" t="s">
        <v>18</v>
      </c>
      <c r="F781" s="5">
        <v>42736</v>
      </c>
      <c r="G781">
        <v>10</v>
      </c>
    </row>
    <row r="782" spans="1:7" x14ac:dyDescent="0.25">
      <c r="A782" t="s">
        <v>103</v>
      </c>
      <c r="B782" t="s">
        <v>104</v>
      </c>
      <c r="C782">
        <v>1400</v>
      </c>
      <c r="D782" t="s">
        <v>8</v>
      </c>
      <c r="E782" t="s">
        <v>19</v>
      </c>
      <c r="F782" s="5">
        <v>42370</v>
      </c>
      <c r="G782">
        <v>0</v>
      </c>
    </row>
    <row r="783" spans="1:7" x14ac:dyDescent="0.25">
      <c r="A783" t="s">
        <v>103</v>
      </c>
      <c r="B783" t="s">
        <v>104</v>
      </c>
      <c r="C783">
        <v>1400</v>
      </c>
      <c r="D783" t="s">
        <v>8</v>
      </c>
      <c r="E783" t="s">
        <v>19</v>
      </c>
      <c r="F783" s="5">
        <v>42736</v>
      </c>
      <c r="G783">
        <v>0</v>
      </c>
    </row>
    <row r="784" spans="1:7" x14ac:dyDescent="0.25">
      <c r="A784" t="s">
        <v>103</v>
      </c>
      <c r="B784" t="s">
        <v>104</v>
      </c>
      <c r="C784">
        <v>1400</v>
      </c>
      <c r="D784" t="s">
        <v>20</v>
      </c>
      <c r="E784" t="s">
        <v>9</v>
      </c>
      <c r="F784" s="5">
        <v>42370</v>
      </c>
      <c r="G784">
        <v>0</v>
      </c>
    </row>
    <row r="785" spans="1:7" x14ac:dyDescent="0.25">
      <c r="A785" t="s">
        <v>103</v>
      </c>
      <c r="B785" t="s">
        <v>104</v>
      </c>
      <c r="C785">
        <v>1400</v>
      </c>
      <c r="D785" t="s">
        <v>20</v>
      </c>
      <c r="E785" t="s">
        <v>9</v>
      </c>
      <c r="F785" s="5">
        <v>42736</v>
      </c>
      <c r="G785">
        <v>13</v>
      </c>
    </row>
    <row r="786" spans="1:7" x14ac:dyDescent="0.25">
      <c r="A786" t="s">
        <v>103</v>
      </c>
      <c r="B786" t="s">
        <v>104</v>
      </c>
      <c r="C786">
        <v>1400</v>
      </c>
      <c r="D786" t="s">
        <v>20</v>
      </c>
      <c r="E786" t="s">
        <v>21</v>
      </c>
      <c r="F786" s="5">
        <v>42370</v>
      </c>
      <c r="G786">
        <v>0</v>
      </c>
    </row>
    <row r="787" spans="1:7" x14ac:dyDescent="0.25">
      <c r="A787" t="s">
        <v>103</v>
      </c>
      <c r="B787" t="s">
        <v>104</v>
      </c>
      <c r="C787">
        <v>1400</v>
      </c>
      <c r="D787" t="s">
        <v>20</v>
      </c>
      <c r="E787" t="s">
        <v>21</v>
      </c>
      <c r="F787" s="5">
        <v>42736</v>
      </c>
      <c r="G787">
        <v>0</v>
      </c>
    </row>
    <row r="788" spans="1:7" x14ac:dyDescent="0.25">
      <c r="A788" t="s">
        <v>103</v>
      </c>
      <c r="B788" t="s">
        <v>104</v>
      </c>
      <c r="C788">
        <v>1400</v>
      </c>
      <c r="D788" t="s">
        <v>20</v>
      </c>
      <c r="E788" t="s">
        <v>22</v>
      </c>
      <c r="F788" s="5">
        <v>42370</v>
      </c>
      <c r="G788">
        <v>0</v>
      </c>
    </row>
    <row r="789" spans="1:7" x14ac:dyDescent="0.25">
      <c r="A789" t="s">
        <v>103</v>
      </c>
      <c r="B789" t="s">
        <v>104</v>
      </c>
      <c r="C789">
        <v>1400</v>
      </c>
      <c r="D789" t="s">
        <v>20</v>
      </c>
      <c r="E789" t="s">
        <v>22</v>
      </c>
      <c r="F789" s="5">
        <v>42736</v>
      </c>
      <c r="G789">
        <v>6</v>
      </c>
    </row>
    <row r="790" spans="1:7" x14ac:dyDescent="0.25">
      <c r="A790" t="s">
        <v>103</v>
      </c>
      <c r="B790" t="s">
        <v>104</v>
      </c>
      <c r="C790">
        <v>1400</v>
      </c>
      <c r="D790" t="s">
        <v>20</v>
      </c>
      <c r="E790" t="s">
        <v>23</v>
      </c>
      <c r="F790" s="5">
        <v>42370</v>
      </c>
      <c r="G790">
        <v>7</v>
      </c>
    </row>
    <row r="791" spans="1:7" x14ac:dyDescent="0.25">
      <c r="A791" t="s">
        <v>103</v>
      </c>
      <c r="B791" t="s">
        <v>104</v>
      </c>
      <c r="C791">
        <v>1400</v>
      </c>
      <c r="D791" t="s">
        <v>20</v>
      </c>
      <c r="E791" t="s">
        <v>23</v>
      </c>
      <c r="F791" s="5">
        <v>42736</v>
      </c>
      <c r="G791">
        <v>5</v>
      </c>
    </row>
    <row r="792" spans="1:7" x14ac:dyDescent="0.25">
      <c r="A792" t="s">
        <v>103</v>
      </c>
      <c r="B792" t="s">
        <v>104</v>
      </c>
      <c r="C792">
        <v>1400</v>
      </c>
      <c r="D792" t="s">
        <v>20</v>
      </c>
      <c r="E792" t="s">
        <v>24</v>
      </c>
      <c r="F792" s="5">
        <v>42370</v>
      </c>
      <c r="G792">
        <v>0</v>
      </c>
    </row>
    <row r="793" spans="1:7" x14ac:dyDescent="0.25">
      <c r="A793" t="s">
        <v>103</v>
      </c>
      <c r="B793" t="s">
        <v>104</v>
      </c>
      <c r="C793">
        <v>1400</v>
      </c>
      <c r="D793" t="s">
        <v>20</v>
      </c>
      <c r="E793" t="s">
        <v>24</v>
      </c>
      <c r="F793" s="5">
        <v>42736</v>
      </c>
      <c r="G793">
        <v>0</v>
      </c>
    </row>
    <row r="794" spans="1:7" x14ac:dyDescent="0.25">
      <c r="A794" t="s">
        <v>103</v>
      </c>
      <c r="B794" t="s">
        <v>104</v>
      </c>
      <c r="C794">
        <v>1400</v>
      </c>
      <c r="D794" t="s">
        <v>20</v>
      </c>
      <c r="E794" t="s">
        <v>25</v>
      </c>
      <c r="F794" s="5">
        <v>42370</v>
      </c>
      <c r="G794">
        <v>0</v>
      </c>
    </row>
    <row r="795" spans="1:7" x14ac:dyDescent="0.25">
      <c r="A795" t="s">
        <v>103</v>
      </c>
      <c r="B795" t="s">
        <v>104</v>
      </c>
      <c r="C795">
        <v>1400</v>
      </c>
      <c r="D795" t="s">
        <v>20</v>
      </c>
      <c r="E795" t="s">
        <v>25</v>
      </c>
      <c r="F795" s="5">
        <v>42736</v>
      </c>
      <c r="G795">
        <v>0</v>
      </c>
    </row>
    <row r="796" spans="1:7" x14ac:dyDescent="0.25">
      <c r="A796" t="s">
        <v>103</v>
      </c>
      <c r="B796" t="s">
        <v>104</v>
      </c>
      <c r="C796">
        <v>1400</v>
      </c>
      <c r="D796" t="s">
        <v>20</v>
      </c>
      <c r="E796" t="s">
        <v>26</v>
      </c>
      <c r="F796" s="5">
        <v>42370</v>
      </c>
      <c r="G796">
        <v>109</v>
      </c>
    </row>
    <row r="797" spans="1:7" x14ac:dyDescent="0.25">
      <c r="A797" t="s">
        <v>103</v>
      </c>
      <c r="B797" t="s">
        <v>104</v>
      </c>
      <c r="C797">
        <v>1400</v>
      </c>
      <c r="D797" t="s">
        <v>20</v>
      </c>
      <c r="E797" t="s">
        <v>26</v>
      </c>
      <c r="F797" s="5">
        <v>42736</v>
      </c>
      <c r="G797">
        <v>133</v>
      </c>
    </row>
    <row r="798" spans="1:7" x14ac:dyDescent="0.25">
      <c r="A798" t="s">
        <v>103</v>
      </c>
      <c r="B798" t="s">
        <v>104</v>
      </c>
      <c r="C798">
        <v>1400</v>
      </c>
      <c r="D798" t="s">
        <v>20</v>
      </c>
      <c r="E798" t="s">
        <v>27</v>
      </c>
      <c r="F798" s="5">
        <v>42370</v>
      </c>
      <c r="G798">
        <v>5</v>
      </c>
    </row>
    <row r="799" spans="1:7" x14ac:dyDescent="0.25">
      <c r="A799" t="s">
        <v>103</v>
      </c>
      <c r="B799" t="s">
        <v>104</v>
      </c>
      <c r="C799">
        <v>1400</v>
      </c>
      <c r="D799" t="s">
        <v>20</v>
      </c>
      <c r="E799" t="s">
        <v>27</v>
      </c>
      <c r="F799" s="5">
        <v>42736</v>
      </c>
      <c r="G799">
        <v>3</v>
      </c>
    </row>
    <row r="800" spans="1:7" x14ac:dyDescent="0.25">
      <c r="A800" t="s">
        <v>103</v>
      </c>
      <c r="B800" t="s">
        <v>104</v>
      </c>
      <c r="C800">
        <v>1400</v>
      </c>
      <c r="D800" t="s">
        <v>20</v>
      </c>
      <c r="E800" t="s">
        <v>28</v>
      </c>
      <c r="F800" s="5">
        <v>42370</v>
      </c>
      <c r="G800">
        <v>0</v>
      </c>
    </row>
    <row r="801" spans="1:7" x14ac:dyDescent="0.25">
      <c r="A801" t="s">
        <v>103</v>
      </c>
      <c r="B801" t="s">
        <v>104</v>
      </c>
      <c r="C801">
        <v>1400</v>
      </c>
      <c r="D801" t="s">
        <v>20</v>
      </c>
      <c r="E801" t="s">
        <v>28</v>
      </c>
      <c r="F801" s="5">
        <v>42736</v>
      </c>
      <c r="G801">
        <v>0</v>
      </c>
    </row>
    <row r="802" spans="1:7" x14ac:dyDescent="0.25">
      <c r="A802" t="s">
        <v>103</v>
      </c>
      <c r="B802" t="s">
        <v>104</v>
      </c>
      <c r="C802">
        <v>1400</v>
      </c>
      <c r="D802" t="s">
        <v>20</v>
      </c>
      <c r="E802" t="s">
        <v>29</v>
      </c>
      <c r="F802" s="5">
        <v>42370</v>
      </c>
      <c r="G802">
        <v>108</v>
      </c>
    </row>
    <row r="803" spans="1:7" x14ac:dyDescent="0.25">
      <c r="A803" t="s">
        <v>103</v>
      </c>
      <c r="B803" t="s">
        <v>104</v>
      </c>
      <c r="C803">
        <v>1400</v>
      </c>
      <c r="D803" t="s">
        <v>20</v>
      </c>
      <c r="E803" t="s">
        <v>29</v>
      </c>
      <c r="F803" s="5">
        <v>42736</v>
      </c>
      <c r="G803">
        <v>134</v>
      </c>
    </row>
    <row r="804" spans="1:7" x14ac:dyDescent="0.25">
      <c r="A804" t="s">
        <v>103</v>
      </c>
      <c r="B804" t="s">
        <v>104</v>
      </c>
      <c r="C804">
        <v>1400</v>
      </c>
      <c r="D804" t="s">
        <v>20</v>
      </c>
      <c r="E804" t="s">
        <v>30</v>
      </c>
      <c r="F804" s="5">
        <v>42370</v>
      </c>
      <c r="G804">
        <v>111</v>
      </c>
    </row>
    <row r="805" spans="1:7" x14ac:dyDescent="0.25">
      <c r="A805" t="s">
        <v>103</v>
      </c>
      <c r="B805" t="s">
        <v>104</v>
      </c>
      <c r="C805">
        <v>1400</v>
      </c>
      <c r="D805" t="s">
        <v>20</v>
      </c>
      <c r="E805" t="s">
        <v>30</v>
      </c>
      <c r="F805" s="5">
        <v>42736</v>
      </c>
      <c r="G805">
        <v>132</v>
      </c>
    </row>
    <row r="806" spans="1:7" x14ac:dyDescent="0.25">
      <c r="A806" t="s">
        <v>103</v>
      </c>
      <c r="B806" t="s">
        <v>104</v>
      </c>
      <c r="C806">
        <v>1400</v>
      </c>
      <c r="D806" t="s">
        <v>20</v>
      </c>
      <c r="E806" t="s">
        <v>31</v>
      </c>
      <c r="F806" s="5">
        <v>42370</v>
      </c>
      <c r="G806">
        <v>228</v>
      </c>
    </row>
    <row r="807" spans="1:7" x14ac:dyDescent="0.25">
      <c r="A807" t="s">
        <v>103</v>
      </c>
      <c r="B807" t="s">
        <v>104</v>
      </c>
      <c r="C807">
        <v>1400</v>
      </c>
      <c r="D807" t="s">
        <v>20</v>
      </c>
      <c r="E807" t="s">
        <v>31</v>
      </c>
      <c r="F807" s="5">
        <v>42736</v>
      </c>
      <c r="G807">
        <v>283</v>
      </c>
    </row>
    <row r="808" spans="1:7" x14ac:dyDescent="0.25">
      <c r="A808" t="s">
        <v>103</v>
      </c>
      <c r="B808" t="s">
        <v>104</v>
      </c>
      <c r="C808">
        <v>1400</v>
      </c>
      <c r="D808" t="s">
        <v>20</v>
      </c>
      <c r="E808" t="s">
        <v>32</v>
      </c>
      <c r="F808" s="5">
        <v>42370</v>
      </c>
      <c r="G808">
        <v>106</v>
      </c>
    </row>
    <row r="809" spans="1:7" x14ac:dyDescent="0.25">
      <c r="A809" t="s">
        <v>103</v>
      </c>
      <c r="B809" t="s">
        <v>104</v>
      </c>
      <c r="C809">
        <v>1400</v>
      </c>
      <c r="D809" t="s">
        <v>20</v>
      </c>
      <c r="E809" t="s">
        <v>32</v>
      </c>
      <c r="F809" s="5">
        <v>42736</v>
      </c>
      <c r="G809">
        <v>139</v>
      </c>
    </row>
    <row r="810" spans="1:7" x14ac:dyDescent="0.25">
      <c r="A810" t="s">
        <v>103</v>
      </c>
      <c r="B810" t="s">
        <v>104</v>
      </c>
      <c r="C810">
        <v>1400</v>
      </c>
      <c r="D810" t="s">
        <v>33</v>
      </c>
      <c r="E810" t="s">
        <v>9</v>
      </c>
      <c r="F810" s="5">
        <v>42370</v>
      </c>
      <c r="G810">
        <v>0</v>
      </c>
    </row>
    <row r="811" spans="1:7" x14ac:dyDescent="0.25">
      <c r="A811" t="s">
        <v>103</v>
      </c>
      <c r="B811" t="s">
        <v>104</v>
      </c>
      <c r="C811">
        <v>1400</v>
      </c>
      <c r="D811" t="s">
        <v>33</v>
      </c>
      <c r="E811" t="s">
        <v>9</v>
      </c>
      <c r="F811" s="5">
        <v>42736</v>
      </c>
      <c r="G811">
        <v>0</v>
      </c>
    </row>
    <row r="812" spans="1:7" x14ac:dyDescent="0.25">
      <c r="A812" t="s">
        <v>103</v>
      </c>
      <c r="B812" t="s">
        <v>104</v>
      </c>
      <c r="C812">
        <v>1400</v>
      </c>
      <c r="D812" t="s">
        <v>33</v>
      </c>
      <c r="E812" t="s">
        <v>34</v>
      </c>
      <c r="F812" s="5">
        <v>42370</v>
      </c>
      <c r="G812">
        <v>0</v>
      </c>
    </row>
    <row r="813" spans="1:7" x14ac:dyDescent="0.25">
      <c r="A813" t="s">
        <v>103</v>
      </c>
      <c r="B813" t="s">
        <v>104</v>
      </c>
      <c r="C813">
        <v>1400</v>
      </c>
      <c r="D813" t="s">
        <v>33</v>
      </c>
      <c r="E813" t="s">
        <v>34</v>
      </c>
      <c r="F813" s="5">
        <v>42736</v>
      </c>
      <c r="G813">
        <v>0</v>
      </c>
    </row>
    <row r="814" spans="1:7" x14ac:dyDescent="0.25">
      <c r="A814" t="s">
        <v>103</v>
      </c>
      <c r="B814" t="s">
        <v>104</v>
      </c>
      <c r="C814">
        <v>1400</v>
      </c>
      <c r="D814" t="s">
        <v>35</v>
      </c>
      <c r="E814" t="s">
        <v>36</v>
      </c>
      <c r="F814" s="5">
        <v>42370</v>
      </c>
      <c r="G814">
        <v>0</v>
      </c>
    </row>
    <row r="815" spans="1:7" x14ac:dyDescent="0.25">
      <c r="A815" t="s">
        <v>103</v>
      </c>
      <c r="B815" t="s">
        <v>104</v>
      </c>
      <c r="C815">
        <v>1400</v>
      </c>
      <c r="D815" t="s">
        <v>35</v>
      </c>
      <c r="E815" t="s">
        <v>36</v>
      </c>
      <c r="F815" s="5">
        <v>42736</v>
      </c>
      <c r="G815">
        <v>0</v>
      </c>
    </row>
    <row r="816" spans="1:7" x14ac:dyDescent="0.25">
      <c r="A816" t="s">
        <v>103</v>
      </c>
      <c r="B816" t="s">
        <v>104</v>
      </c>
      <c r="C816">
        <v>1400</v>
      </c>
      <c r="D816" t="s">
        <v>35</v>
      </c>
      <c r="E816" t="s">
        <v>37</v>
      </c>
      <c r="F816" s="5">
        <v>42370</v>
      </c>
      <c r="G816">
        <v>0</v>
      </c>
    </row>
    <row r="817" spans="1:7" x14ac:dyDescent="0.25">
      <c r="A817" t="s">
        <v>103</v>
      </c>
      <c r="B817" t="s">
        <v>104</v>
      </c>
      <c r="C817">
        <v>1400</v>
      </c>
      <c r="D817" t="s">
        <v>35</v>
      </c>
      <c r="E817" t="s">
        <v>37</v>
      </c>
      <c r="F817" s="5">
        <v>42736</v>
      </c>
      <c r="G817">
        <v>0</v>
      </c>
    </row>
    <row r="818" spans="1:7" x14ac:dyDescent="0.25">
      <c r="A818" t="s">
        <v>103</v>
      </c>
      <c r="B818" t="s">
        <v>104</v>
      </c>
      <c r="C818">
        <v>1400</v>
      </c>
      <c r="D818" t="s">
        <v>35</v>
      </c>
      <c r="E818" t="s">
        <v>38</v>
      </c>
      <c r="F818" s="5">
        <v>42370</v>
      </c>
      <c r="G818">
        <v>0</v>
      </c>
    </row>
    <row r="819" spans="1:7" x14ac:dyDescent="0.25">
      <c r="A819" t="s">
        <v>103</v>
      </c>
      <c r="B819" t="s">
        <v>104</v>
      </c>
      <c r="C819">
        <v>1400</v>
      </c>
      <c r="D819" t="s">
        <v>35</v>
      </c>
      <c r="E819" t="s">
        <v>38</v>
      </c>
      <c r="F819" s="5">
        <v>42736</v>
      </c>
      <c r="G819">
        <v>0</v>
      </c>
    </row>
    <row r="820" spans="1:7" x14ac:dyDescent="0.25">
      <c r="A820" t="s">
        <v>103</v>
      </c>
      <c r="B820" t="s">
        <v>104</v>
      </c>
      <c r="C820">
        <v>1400</v>
      </c>
      <c r="D820" t="s">
        <v>35</v>
      </c>
      <c r="E820" t="s">
        <v>39</v>
      </c>
      <c r="F820" s="5">
        <v>42370</v>
      </c>
      <c r="G820">
        <v>0</v>
      </c>
    </row>
    <row r="821" spans="1:7" x14ac:dyDescent="0.25">
      <c r="A821" t="s">
        <v>103</v>
      </c>
      <c r="B821" t="s">
        <v>104</v>
      </c>
      <c r="C821">
        <v>1400</v>
      </c>
      <c r="D821" t="s">
        <v>35</v>
      </c>
      <c r="E821" t="s">
        <v>39</v>
      </c>
      <c r="F821" s="5">
        <v>42736</v>
      </c>
      <c r="G821">
        <v>0</v>
      </c>
    </row>
    <row r="822" spans="1:7" x14ac:dyDescent="0.25">
      <c r="A822" t="s">
        <v>103</v>
      </c>
      <c r="B822" t="s">
        <v>104</v>
      </c>
      <c r="C822">
        <v>1400</v>
      </c>
      <c r="D822" t="s">
        <v>35</v>
      </c>
      <c r="E822" t="s">
        <v>40</v>
      </c>
      <c r="F822" s="5">
        <v>42370</v>
      </c>
      <c r="G822">
        <v>0</v>
      </c>
    </row>
    <row r="823" spans="1:7" x14ac:dyDescent="0.25">
      <c r="A823" t="s">
        <v>103</v>
      </c>
      <c r="B823" t="s">
        <v>104</v>
      </c>
      <c r="C823">
        <v>1400</v>
      </c>
      <c r="D823" t="s">
        <v>35</v>
      </c>
      <c r="E823" t="s">
        <v>40</v>
      </c>
      <c r="F823" s="5">
        <v>42736</v>
      </c>
      <c r="G823">
        <v>0</v>
      </c>
    </row>
    <row r="824" spans="1:7" x14ac:dyDescent="0.25">
      <c r="A824" t="s">
        <v>103</v>
      </c>
      <c r="B824" t="s">
        <v>104</v>
      </c>
      <c r="C824">
        <v>1400</v>
      </c>
      <c r="D824" t="s">
        <v>35</v>
      </c>
      <c r="E824" t="s">
        <v>41</v>
      </c>
      <c r="F824" s="5">
        <v>42370</v>
      </c>
      <c r="G824">
        <v>0</v>
      </c>
    </row>
    <row r="825" spans="1:7" x14ac:dyDescent="0.25">
      <c r="A825" t="s">
        <v>103</v>
      </c>
      <c r="B825" t="s">
        <v>104</v>
      </c>
      <c r="C825">
        <v>1400</v>
      </c>
      <c r="D825" t="s">
        <v>35</v>
      </c>
      <c r="E825" t="s">
        <v>41</v>
      </c>
      <c r="F825" s="5">
        <v>42736</v>
      </c>
      <c r="G825">
        <v>0</v>
      </c>
    </row>
    <row r="826" spans="1:7" x14ac:dyDescent="0.25">
      <c r="A826" t="s">
        <v>103</v>
      </c>
      <c r="B826" t="s">
        <v>104</v>
      </c>
      <c r="C826">
        <v>1400</v>
      </c>
      <c r="D826" t="s">
        <v>35</v>
      </c>
      <c r="E826" t="s">
        <v>42</v>
      </c>
      <c r="F826" s="5">
        <v>42370</v>
      </c>
      <c r="G826">
        <v>0</v>
      </c>
    </row>
    <row r="827" spans="1:7" x14ac:dyDescent="0.25">
      <c r="A827" t="s">
        <v>103</v>
      </c>
      <c r="B827" t="s">
        <v>104</v>
      </c>
      <c r="C827">
        <v>1400</v>
      </c>
      <c r="D827" t="s">
        <v>35</v>
      </c>
      <c r="E827" t="s">
        <v>42</v>
      </c>
      <c r="F827" s="5">
        <v>42736</v>
      </c>
      <c r="G827">
        <v>0</v>
      </c>
    </row>
    <row r="828" spans="1:7" x14ac:dyDescent="0.25">
      <c r="A828" t="s">
        <v>103</v>
      </c>
      <c r="B828" t="s">
        <v>104</v>
      </c>
      <c r="C828">
        <v>1400</v>
      </c>
      <c r="D828" t="s">
        <v>35</v>
      </c>
      <c r="E828" t="s">
        <v>43</v>
      </c>
      <c r="F828" s="5">
        <v>42370</v>
      </c>
      <c r="G828">
        <v>0</v>
      </c>
    </row>
    <row r="829" spans="1:7" x14ac:dyDescent="0.25">
      <c r="A829" t="s">
        <v>103</v>
      </c>
      <c r="B829" t="s">
        <v>104</v>
      </c>
      <c r="C829">
        <v>1400</v>
      </c>
      <c r="D829" t="s">
        <v>35</v>
      </c>
      <c r="E829" t="s">
        <v>43</v>
      </c>
      <c r="F829" s="5">
        <v>42736</v>
      </c>
      <c r="G829">
        <v>0</v>
      </c>
    </row>
    <row r="830" spans="1:7" x14ac:dyDescent="0.25">
      <c r="A830" t="s">
        <v>103</v>
      </c>
      <c r="B830" t="s">
        <v>104</v>
      </c>
      <c r="C830">
        <v>1400</v>
      </c>
      <c r="D830" t="s">
        <v>44</v>
      </c>
      <c r="E830" t="s">
        <v>36</v>
      </c>
      <c r="F830" s="5">
        <v>42370</v>
      </c>
      <c r="G830">
        <v>0</v>
      </c>
    </row>
    <row r="831" spans="1:7" x14ac:dyDescent="0.25">
      <c r="A831" t="s">
        <v>103</v>
      </c>
      <c r="B831" t="s">
        <v>104</v>
      </c>
      <c r="C831">
        <v>1400</v>
      </c>
      <c r="D831" t="s">
        <v>44</v>
      </c>
      <c r="E831" t="s">
        <v>36</v>
      </c>
      <c r="F831" s="5">
        <v>42736</v>
      </c>
      <c r="G831">
        <v>0</v>
      </c>
    </row>
    <row r="832" spans="1:7" x14ac:dyDescent="0.25">
      <c r="A832" t="s">
        <v>103</v>
      </c>
      <c r="B832" t="s">
        <v>104</v>
      </c>
      <c r="C832">
        <v>1400</v>
      </c>
      <c r="D832" t="s">
        <v>44</v>
      </c>
      <c r="E832" t="s">
        <v>37</v>
      </c>
      <c r="F832" s="5">
        <v>42370</v>
      </c>
      <c r="G832">
        <v>0</v>
      </c>
    </row>
    <row r="833" spans="1:7" x14ac:dyDescent="0.25">
      <c r="A833" t="s">
        <v>103</v>
      </c>
      <c r="B833" t="s">
        <v>104</v>
      </c>
      <c r="C833">
        <v>1400</v>
      </c>
      <c r="D833" t="s">
        <v>44</v>
      </c>
      <c r="E833" t="s">
        <v>37</v>
      </c>
      <c r="F833" s="5">
        <v>42736</v>
      </c>
      <c r="G833">
        <v>0</v>
      </c>
    </row>
    <row r="834" spans="1:7" x14ac:dyDescent="0.25">
      <c r="A834" t="s">
        <v>103</v>
      </c>
      <c r="B834" t="s">
        <v>104</v>
      </c>
      <c r="C834">
        <v>1400</v>
      </c>
      <c r="D834" t="s">
        <v>44</v>
      </c>
      <c r="E834" t="s">
        <v>38</v>
      </c>
      <c r="F834" s="5">
        <v>42370</v>
      </c>
      <c r="G834">
        <v>0</v>
      </c>
    </row>
    <row r="835" spans="1:7" x14ac:dyDescent="0.25">
      <c r="A835" t="s">
        <v>103</v>
      </c>
      <c r="B835" t="s">
        <v>104</v>
      </c>
      <c r="C835">
        <v>1400</v>
      </c>
      <c r="D835" t="s">
        <v>44</v>
      </c>
      <c r="E835" t="s">
        <v>38</v>
      </c>
      <c r="F835" s="5">
        <v>42736</v>
      </c>
      <c r="G835">
        <v>0</v>
      </c>
    </row>
    <row r="836" spans="1:7" x14ac:dyDescent="0.25">
      <c r="A836" t="s">
        <v>103</v>
      </c>
      <c r="B836" t="s">
        <v>104</v>
      </c>
      <c r="C836">
        <v>1400</v>
      </c>
      <c r="D836" t="s">
        <v>44</v>
      </c>
      <c r="E836" t="s">
        <v>39</v>
      </c>
      <c r="F836" s="5">
        <v>42370</v>
      </c>
      <c r="G836">
        <v>0</v>
      </c>
    </row>
    <row r="837" spans="1:7" x14ac:dyDescent="0.25">
      <c r="A837" t="s">
        <v>103</v>
      </c>
      <c r="B837" t="s">
        <v>104</v>
      </c>
      <c r="C837">
        <v>1400</v>
      </c>
      <c r="D837" t="s">
        <v>44</v>
      </c>
      <c r="E837" t="s">
        <v>39</v>
      </c>
      <c r="F837" s="5">
        <v>42736</v>
      </c>
      <c r="G837">
        <v>0</v>
      </c>
    </row>
    <row r="838" spans="1:7" x14ac:dyDescent="0.25">
      <c r="A838" t="s">
        <v>103</v>
      </c>
      <c r="B838" t="s">
        <v>104</v>
      </c>
      <c r="C838">
        <v>1400</v>
      </c>
      <c r="D838" t="s">
        <v>44</v>
      </c>
      <c r="E838" t="s">
        <v>40</v>
      </c>
      <c r="F838" s="5">
        <v>42370</v>
      </c>
      <c r="G838">
        <v>0</v>
      </c>
    </row>
    <row r="839" spans="1:7" x14ac:dyDescent="0.25">
      <c r="A839" t="s">
        <v>103</v>
      </c>
      <c r="B839" t="s">
        <v>104</v>
      </c>
      <c r="C839">
        <v>1400</v>
      </c>
      <c r="D839" t="s">
        <v>44</v>
      </c>
      <c r="E839" t="s">
        <v>40</v>
      </c>
      <c r="F839" s="5">
        <v>42736</v>
      </c>
      <c r="G839">
        <v>0</v>
      </c>
    </row>
    <row r="840" spans="1:7" x14ac:dyDescent="0.25">
      <c r="A840" t="s">
        <v>103</v>
      </c>
      <c r="B840" t="s">
        <v>104</v>
      </c>
      <c r="C840">
        <v>1400</v>
      </c>
      <c r="D840" t="s">
        <v>44</v>
      </c>
      <c r="E840" t="s">
        <v>41</v>
      </c>
      <c r="F840" s="5">
        <v>42370</v>
      </c>
      <c r="G840">
        <v>0</v>
      </c>
    </row>
    <row r="841" spans="1:7" x14ac:dyDescent="0.25">
      <c r="A841" t="s">
        <v>103</v>
      </c>
      <c r="B841" t="s">
        <v>104</v>
      </c>
      <c r="C841">
        <v>1400</v>
      </c>
      <c r="D841" t="s">
        <v>44</v>
      </c>
      <c r="E841" t="s">
        <v>41</v>
      </c>
      <c r="F841" s="5">
        <v>42736</v>
      </c>
      <c r="G841">
        <v>0</v>
      </c>
    </row>
    <row r="842" spans="1:7" x14ac:dyDescent="0.25">
      <c r="A842" t="s">
        <v>103</v>
      </c>
      <c r="B842" t="s">
        <v>104</v>
      </c>
      <c r="C842">
        <v>1400</v>
      </c>
      <c r="D842" t="s">
        <v>44</v>
      </c>
      <c r="E842" t="s">
        <v>42</v>
      </c>
      <c r="F842" s="5">
        <v>42370</v>
      </c>
      <c r="G842">
        <v>0</v>
      </c>
    </row>
    <row r="843" spans="1:7" x14ac:dyDescent="0.25">
      <c r="A843" t="s">
        <v>103</v>
      </c>
      <c r="B843" t="s">
        <v>104</v>
      </c>
      <c r="C843">
        <v>1400</v>
      </c>
      <c r="D843" t="s">
        <v>44</v>
      </c>
      <c r="E843" t="s">
        <v>42</v>
      </c>
      <c r="F843" s="5">
        <v>42736</v>
      </c>
      <c r="G843">
        <v>0</v>
      </c>
    </row>
    <row r="844" spans="1:7" x14ac:dyDescent="0.25">
      <c r="A844" t="s">
        <v>103</v>
      </c>
      <c r="B844" t="s">
        <v>104</v>
      </c>
      <c r="C844">
        <v>1400</v>
      </c>
      <c r="D844" t="s">
        <v>44</v>
      </c>
      <c r="E844" t="s">
        <v>43</v>
      </c>
      <c r="F844" s="5">
        <v>42370</v>
      </c>
      <c r="G844">
        <v>0</v>
      </c>
    </row>
    <row r="845" spans="1:7" x14ac:dyDescent="0.25">
      <c r="A845" t="s">
        <v>103</v>
      </c>
      <c r="B845" t="s">
        <v>104</v>
      </c>
      <c r="C845">
        <v>1400</v>
      </c>
      <c r="D845" t="s">
        <v>44</v>
      </c>
      <c r="E845" t="s">
        <v>43</v>
      </c>
      <c r="F845" s="5">
        <v>42736</v>
      </c>
      <c r="G845">
        <v>0</v>
      </c>
    </row>
    <row r="846" spans="1:7" x14ac:dyDescent="0.25">
      <c r="A846" t="s">
        <v>103</v>
      </c>
      <c r="B846" t="s">
        <v>104</v>
      </c>
      <c r="C846">
        <v>1400</v>
      </c>
      <c r="D846" t="s">
        <v>45</v>
      </c>
      <c r="E846" t="s">
        <v>46</v>
      </c>
      <c r="F846" s="5">
        <v>42370</v>
      </c>
      <c r="G846">
        <v>0</v>
      </c>
    </row>
    <row r="847" spans="1:7" x14ac:dyDescent="0.25">
      <c r="A847" t="s">
        <v>103</v>
      </c>
      <c r="B847" t="s">
        <v>104</v>
      </c>
      <c r="C847">
        <v>1400</v>
      </c>
      <c r="D847" t="s">
        <v>45</v>
      </c>
      <c r="E847" t="s">
        <v>46</v>
      </c>
      <c r="F847" s="5">
        <v>42736</v>
      </c>
      <c r="G847">
        <v>0</v>
      </c>
    </row>
    <row r="848" spans="1:7" x14ac:dyDescent="0.25">
      <c r="A848" t="s">
        <v>103</v>
      </c>
      <c r="B848" t="s">
        <v>104</v>
      </c>
      <c r="C848">
        <v>1400</v>
      </c>
      <c r="D848" t="s">
        <v>45</v>
      </c>
      <c r="E848" t="s">
        <v>47</v>
      </c>
      <c r="F848" s="5">
        <v>42370</v>
      </c>
      <c r="G848">
        <v>3</v>
      </c>
    </row>
    <row r="849" spans="1:7" x14ac:dyDescent="0.25">
      <c r="A849" t="s">
        <v>103</v>
      </c>
      <c r="B849" t="s">
        <v>104</v>
      </c>
      <c r="C849">
        <v>1400</v>
      </c>
      <c r="D849" t="s">
        <v>45</v>
      </c>
      <c r="E849" t="s">
        <v>47</v>
      </c>
      <c r="F849" s="5">
        <v>42736</v>
      </c>
      <c r="G849">
        <v>10</v>
      </c>
    </row>
    <row r="850" spans="1:7" x14ac:dyDescent="0.25">
      <c r="A850" t="s">
        <v>103</v>
      </c>
      <c r="B850" t="s">
        <v>104</v>
      </c>
      <c r="C850">
        <v>1400</v>
      </c>
      <c r="D850" t="s">
        <v>45</v>
      </c>
      <c r="E850" t="s">
        <v>48</v>
      </c>
      <c r="F850" s="5">
        <v>42370</v>
      </c>
      <c r="G850">
        <v>36</v>
      </c>
    </row>
    <row r="851" spans="1:7" x14ac:dyDescent="0.25">
      <c r="A851" t="s">
        <v>103</v>
      </c>
      <c r="B851" t="s">
        <v>104</v>
      </c>
      <c r="C851">
        <v>1400</v>
      </c>
      <c r="D851" t="s">
        <v>45</v>
      </c>
      <c r="E851" t="s">
        <v>48</v>
      </c>
      <c r="F851" s="5">
        <v>42736</v>
      </c>
      <c r="G851">
        <v>36</v>
      </c>
    </row>
    <row r="852" spans="1:7" x14ac:dyDescent="0.25">
      <c r="A852" t="s">
        <v>103</v>
      </c>
      <c r="B852" t="s">
        <v>104</v>
      </c>
      <c r="C852">
        <v>1400</v>
      </c>
      <c r="D852" t="s">
        <v>45</v>
      </c>
      <c r="E852" t="s">
        <v>49</v>
      </c>
      <c r="F852" s="5">
        <v>42370</v>
      </c>
      <c r="G852">
        <v>49</v>
      </c>
    </row>
    <row r="853" spans="1:7" x14ac:dyDescent="0.25">
      <c r="A853" t="s">
        <v>103</v>
      </c>
      <c r="B853" t="s">
        <v>104</v>
      </c>
      <c r="C853">
        <v>1400</v>
      </c>
      <c r="D853" t="s">
        <v>45</v>
      </c>
      <c r="E853" t="s">
        <v>49</v>
      </c>
      <c r="F853" s="5">
        <v>42736</v>
      </c>
      <c r="G853">
        <v>55</v>
      </c>
    </row>
    <row r="854" spans="1:7" x14ac:dyDescent="0.25">
      <c r="A854" t="s">
        <v>103</v>
      </c>
      <c r="B854" t="s">
        <v>104</v>
      </c>
      <c r="C854">
        <v>1400</v>
      </c>
      <c r="D854" t="s">
        <v>45</v>
      </c>
      <c r="E854" t="s">
        <v>50</v>
      </c>
      <c r="F854" s="5">
        <v>42370</v>
      </c>
      <c r="G854">
        <v>0</v>
      </c>
    </row>
    <row r="855" spans="1:7" x14ac:dyDescent="0.25">
      <c r="A855" t="s">
        <v>103</v>
      </c>
      <c r="B855" t="s">
        <v>104</v>
      </c>
      <c r="C855">
        <v>1400</v>
      </c>
      <c r="D855" t="s">
        <v>45</v>
      </c>
      <c r="E855" t="s">
        <v>50</v>
      </c>
      <c r="F855" s="5">
        <v>42736</v>
      </c>
      <c r="G855">
        <v>0</v>
      </c>
    </row>
    <row r="856" spans="1:7" x14ac:dyDescent="0.25">
      <c r="A856" t="s">
        <v>103</v>
      </c>
      <c r="B856" t="s">
        <v>104</v>
      </c>
      <c r="C856">
        <v>1400</v>
      </c>
      <c r="D856" t="s">
        <v>45</v>
      </c>
      <c r="E856" t="s">
        <v>51</v>
      </c>
      <c r="F856" s="5">
        <v>42370</v>
      </c>
      <c r="G856">
        <v>0</v>
      </c>
    </row>
    <row r="857" spans="1:7" x14ac:dyDescent="0.25">
      <c r="A857" t="s">
        <v>103</v>
      </c>
      <c r="B857" t="s">
        <v>104</v>
      </c>
      <c r="C857">
        <v>1400</v>
      </c>
      <c r="D857" t="s">
        <v>45</v>
      </c>
      <c r="E857" t="s">
        <v>51</v>
      </c>
      <c r="F857" s="5">
        <v>42736</v>
      </c>
      <c r="G857">
        <v>0</v>
      </c>
    </row>
    <row r="858" spans="1:7" x14ac:dyDescent="0.25">
      <c r="A858" t="s">
        <v>103</v>
      </c>
      <c r="B858" t="s">
        <v>104</v>
      </c>
      <c r="C858">
        <v>1400</v>
      </c>
      <c r="D858" t="s">
        <v>45</v>
      </c>
      <c r="E858" t="s">
        <v>52</v>
      </c>
      <c r="F858" s="5">
        <v>42370</v>
      </c>
      <c r="G858">
        <v>0</v>
      </c>
    </row>
    <row r="859" spans="1:7" x14ac:dyDescent="0.25">
      <c r="A859" t="s">
        <v>103</v>
      </c>
      <c r="B859" t="s">
        <v>104</v>
      </c>
      <c r="C859">
        <v>1400</v>
      </c>
      <c r="D859" t="s">
        <v>45</v>
      </c>
      <c r="E859" t="s">
        <v>52</v>
      </c>
      <c r="F859" s="5">
        <v>42736</v>
      </c>
      <c r="G859">
        <v>0</v>
      </c>
    </row>
    <row r="860" spans="1:7" x14ac:dyDescent="0.25">
      <c r="A860" t="s">
        <v>103</v>
      </c>
      <c r="B860" t="s">
        <v>104</v>
      </c>
      <c r="C860">
        <v>1400</v>
      </c>
      <c r="D860" t="s">
        <v>45</v>
      </c>
      <c r="E860" t="s">
        <v>53</v>
      </c>
      <c r="F860" s="5">
        <v>42370</v>
      </c>
      <c r="G860">
        <v>9</v>
      </c>
    </row>
    <row r="861" spans="1:7" x14ac:dyDescent="0.25">
      <c r="A861" t="s">
        <v>103</v>
      </c>
      <c r="B861" t="s">
        <v>104</v>
      </c>
      <c r="C861">
        <v>1400</v>
      </c>
      <c r="D861" t="s">
        <v>45</v>
      </c>
      <c r="E861" t="s">
        <v>53</v>
      </c>
      <c r="F861" s="5">
        <v>42736</v>
      </c>
      <c r="G861">
        <v>10</v>
      </c>
    </row>
    <row r="862" spans="1:7" x14ac:dyDescent="0.25">
      <c r="A862" t="s">
        <v>103</v>
      </c>
      <c r="B862" t="s">
        <v>104</v>
      </c>
      <c r="C862">
        <v>1400</v>
      </c>
      <c r="D862" t="s">
        <v>45</v>
      </c>
      <c r="E862" t="s">
        <v>54</v>
      </c>
      <c r="F862" s="5">
        <v>42370</v>
      </c>
      <c r="G862">
        <v>1</v>
      </c>
    </row>
    <row r="863" spans="1:7" x14ac:dyDescent="0.25">
      <c r="A863" t="s">
        <v>103</v>
      </c>
      <c r="B863" t="s">
        <v>104</v>
      </c>
      <c r="C863">
        <v>1400</v>
      </c>
      <c r="D863" t="s">
        <v>45</v>
      </c>
      <c r="E863" t="s">
        <v>54</v>
      </c>
      <c r="F863" s="5">
        <v>42736</v>
      </c>
      <c r="G863">
        <v>3</v>
      </c>
    </row>
    <row r="864" spans="1:7" x14ac:dyDescent="0.25">
      <c r="A864" t="s">
        <v>103</v>
      </c>
      <c r="B864" t="s">
        <v>104</v>
      </c>
      <c r="C864">
        <v>1400</v>
      </c>
      <c r="D864" t="s">
        <v>45</v>
      </c>
      <c r="E864" t="s">
        <v>55</v>
      </c>
      <c r="F864" s="5">
        <v>42370</v>
      </c>
      <c r="G864">
        <v>0</v>
      </c>
    </row>
    <row r="865" spans="1:7" x14ac:dyDescent="0.25">
      <c r="A865" t="s">
        <v>103</v>
      </c>
      <c r="B865" t="s">
        <v>104</v>
      </c>
      <c r="C865">
        <v>1400</v>
      </c>
      <c r="D865" t="s">
        <v>45</v>
      </c>
      <c r="E865" t="s">
        <v>55</v>
      </c>
      <c r="F865" s="5">
        <v>42736</v>
      </c>
      <c r="G865">
        <v>4</v>
      </c>
    </row>
    <row r="866" spans="1:7" x14ac:dyDescent="0.25">
      <c r="A866" t="s">
        <v>103</v>
      </c>
      <c r="B866" t="s">
        <v>104</v>
      </c>
      <c r="C866">
        <v>1400</v>
      </c>
      <c r="D866" t="s">
        <v>45</v>
      </c>
      <c r="E866" t="s">
        <v>56</v>
      </c>
      <c r="F866" s="5">
        <v>42370</v>
      </c>
      <c r="G866">
        <v>0</v>
      </c>
    </row>
    <row r="867" spans="1:7" x14ac:dyDescent="0.25">
      <c r="A867" t="s">
        <v>103</v>
      </c>
      <c r="B867" t="s">
        <v>104</v>
      </c>
      <c r="C867">
        <v>1400</v>
      </c>
      <c r="D867" t="s">
        <v>45</v>
      </c>
      <c r="E867" t="s">
        <v>56</v>
      </c>
      <c r="F867" s="5">
        <v>42736</v>
      </c>
      <c r="G867">
        <v>0</v>
      </c>
    </row>
    <row r="868" spans="1:7" x14ac:dyDescent="0.25">
      <c r="A868" t="s">
        <v>103</v>
      </c>
      <c r="B868" t="s">
        <v>104</v>
      </c>
      <c r="C868">
        <v>1400</v>
      </c>
      <c r="D868" t="s">
        <v>45</v>
      </c>
      <c r="E868" t="s">
        <v>57</v>
      </c>
      <c r="F868" s="5">
        <v>42370</v>
      </c>
      <c r="G868">
        <v>0</v>
      </c>
    </row>
    <row r="869" spans="1:7" x14ac:dyDescent="0.25">
      <c r="A869" t="s">
        <v>103</v>
      </c>
      <c r="B869" t="s">
        <v>104</v>
      </c>
      <c r="C869">
        <v>1400</v>
      </c>
      <c r="D869" t="s">
        <v>45</v>
      </c>
      <c r="E869" t="s">
        <v>57</v>
      </c>
      <c r="F869" s="5">
        <v>42736</v>
      </c>
      <c r="G869">
        <v>5</v>
      </c>
    </row>
    <row r="870" spans="1:7" x14ac:dyDescent="0.25">
      <c r="A870" t="s">
        <v>103</v>
      </c>
      <c r="B870" t="s">
        <v>104</v>
      </c>
      <c r="C870">
        <v>1400</v>
      </c>
      <c r="D870" t="s">
        <v>45</v>
      </c>
      <c r="E870" t="s">
        <v>58</v>
      </c>
      <c r="F870" s="5">
        <v>42370</v>
      </c>
      <c r="G870">
        <v>3</v>
      </c>
    </row>
    <row r="871" spans="1:7" x14ac:dyDescent="0.25">
      <c r="A871" t="s">
        <v>103</v>
      </c>
      <c r="B871" t="s">
        <v>104</v>
      </c>
      <c r="C871">
        <v>1400</v>
      </c>
      <c r="D871" t="s">
        <v>45</v>
      </c>
      <c r="E871" t="s">
        <v>58</v>
      </c>
      <c r="F871" s="5">
        <v>42736</v>
      </c>
      <c r="G871">
        <v>0</v>
      </c>
    </row>
    <row r="872" spans="1:7" x14ac:dyDescent="0.25">
      <c r="A872" t="s">
        <v>103</v>
      </c>
      <c r="B872" t="s">
        <v>104</v>
      </c>
      <c r="C872">
        <v>1400</v>
      </c>
      <c r="D872" t="s">
        <v>45</v>
      </c>
      <c r="E872" t="s">
        <v>59</v>
      </c>
      <c r="F872" s="5">
        <v>42370</v>
      </c>
      <c r="G872">
        <v>0</v>
      </c>
    </row>
    <row r="873" spans="1:7" x14ac:dyDescent="0.25">
      <c r="A873" t="s">
        <v>103</v>
      </c>
      <c r="B873" t="s">
        <v>104</v>
      </c>
      <c r="C873">
        <v>1400</v>
      </c>
      <c r="D873" t="s">
        <v>45</v>
      </c>
      <c r="E873" t="s">
        <v>59</v>
      </c>
      <c r="F873" s="5">
        <v>42736</v>
      </c>
      <c r="G873">
        <v>0</v>
      </c>
    </row>
    <row r="874" spans="1:7" x14ac:dyDescent="0.25">
      <c r="A874" t="s">
        <v>103</v>
      </c>
      <c r="B874" t="s">
        <v>104</v>
      </c>
      <c r="C874">
        <v>1400</v>
      </c>
      <c r="D874" t="s">
        <v>45</v>
      </c>
      <c r="E874" t="s">
        <v>60</v>
      </c>
      <c r="F874" s="5">
        <v>42370</v>
      </c>
      <c r="G874">
        <v>4</v>
      </c>
    </row>
    <row r="875" spans="1:7" x14ac:dyDescent="0.25">
      <c r="A875" t="s">
        <v>103</v>
      </c>
      <c r="B875" t="s">
        <v>104</v>
      </c>
      <c r="C875">
        <v>1400</v>
      </c>
      <c r="D875" t="s">
        <v>45</v>
      </c>
      <c r="E875" t="s">
        <v>60</v>
      </c>
      <c r="F875" s="5">
        <v>42736</v>
      </c>
      <c r="G875">
        <v>0</v>
      </c>
    </row>
    <row r="876" spans="1:7" x14ac:dyDescent="0.25">
      <c r="A876" t="s">
        <v>103</v>
      </c>
      <c r="B876" t="s">
        <v>104</v>
      </c>
      <c r="C876">
        <v>1400</v>
      </c>
      <c r="D876" t="s">
        <v>45</v>
      </c>
      <c r="E876" t="s">
        <v>61</v>
      </c>
      <c r="F876" s="5">
        <v>42370</v>
      </c>
      <c r="G876">
        <v>10</v>
      </c>
    </row>
    <row r="877" spans="1:7" x14ac:dyDescent="0.25">
      <c r="A877" t="s">
        <v>103</v>
      </c>
      <c r="B877" t="s">
        <v>104</v>
      </c>
      <c r="C877">
        <v>1400</v>
      </c>
      <c r="D877" t="s">
        <v>45</v>
      </c>
      <c r="E877" t="s">
        <v>61</v>
      </c>
      <c r="F877" s="5">
        <v>42736</v>
      </c>
      <c r="G877">
        <v>2</v>
      </c>
    </row>
    <row r="878" spans="1:7" x14ac:dyDescent="0.25">
      <c r="A878" t="s">
        <v>103</v>
      </c>
      <c r="B878" t="s">
        <v>104</v>
      </c>
      <c r="C878">
        <v>1400</v>
      </c>
      <c r="D878" t="s">
        <v>62</v>
      </c>
      <c r="E878" t="s">
        <v>63</v>
      </c>
      <c r="F878" s="5">
        <v>42370</v>
      </c>
      <c r="G878">
        <v>0</v>
      </c>
    </row>
    <row r="879" spans="1:7" x14ac:dyDescent="0.25">
      <c r="A879" t="s">
        <v>103</v>
      </c>
      <c r="B879" t="s">
        <v>104</v>
      </c>
      <c r="C879">
        <v>1400</v>
      </c>
      <c r="D879" t="s">
        <v>62</v>
      </c>
      <c r="E879" t="s">
        <v>63</v>
      </c>
      <c r="F879" s="5">
        <v>42736</v>
      </c>
      <c r="G879">
        <v>0</v>
      </c>
    </row>
    <row r="880" spans="1:7" x14ac:dyDescent="0.25">
      <c r="A880" t="s">
        <v>103</v>
      </c>
      <c r="B880" t="s">
        <v>104</v>
      </c>
      <c r="C880">
        <v>1400</v>
      </c>
      <c r="D880" t="s">
        <v>62</v>
      </c>
      <c r="E880" t="s">
        <v>64</v>
      </c>
      <c r="F880" s="5">
        <v>42370</v>
      </c>
      <c r="G880">
        <v>0</v>
      </c>
    </row>
    <row r="881" spans="1:7" x14ac:dyDescent="0.25">
      <c r="A881" t="s">
        <v>103</v>
      </c>
      <c r="B881" t="s">
        <v>104</v>
      </c>
      <c r="C881">
        <v>1400</v>
      </c>
      <c r="D881" t="s">
        <v>62</v>
      </c>
      <c r="E881" t="s">
        <v>64</v>
      </c>
      <c r="F881" s="5">
        <v>42736</v>
      </c>
      <c r="G881">
        <v>0</v>
      </c>
    </row>
    <row r="882" spans="1:7" x14ac:dyDescent="0.25">
      <c r="A882" t="s">
        <v>103</v>
      </c>
      <c r="B882" t="s">
        <v>104</v>
      </c>
      <c r="C882">
        <v>1400</v>
      </c>
      <c r="D882" t="s">
        <v>62</v>
      </c>
      <c r="E882" t="s">
        <v>9</v>
      </c>
      <c r="F882" s="5">
        <v>42370</v>
      </c>
      <c r="G882">
        <v>0</v>
      </c>
    </row>
    <row r="883" spans="1:7" x14ac:dyDescent="0.25">
      <c r="A883" t="s">
        <v>103</v>
      </c>
      <c r="B883" t="s">
        <v>104</v>
      </c>
      <c r="C883">
        <v>1400</v>
      </c>
      <c r="D883" t="s">
        <v>62</v>
      </c>
      <c r="E883" t="s">
        <v>9</v>
      </c>
      <c r="F883" s="5">
        <v>42736</v>
      </c>
      <c r="G883">
        <v>0</v>
      </c>
    </row>
    <row r="884" spans="1:7" x14ac:dyDescent="0.25">
      <c r="A884" t="s">
        <v>103</v>
      </c>
      <c r="B884" t="s">
        <v>104</v>
      </c>
      <c r="C884">
        <v>1400</v>
      </c>
      <c r="D884" t="s">
        <v>62</v>
      </c>
      <c r="E884" t="s">
        <v>65</v>
      </c>
      <c r="F884" s="5">
        <v>42370</v>
      </c>
      <c r="G884">
        <v>0</v>
      </c>
    </row>
    <row r="885" spans="1:7" x14ac:dyDescent="0.25">
      <c r="A885" t="s">
        <v>103</v>
      </c>
      <c r="B885" t="s">
        <v>104</v>
      </c>
      <c r="C885">
        <v>1400</v>
      </c>
      <c r="D885" t="s">
        <v>62</v>
      </c>
      <c r="E885" t="s">
        <v>65</v>
      </c>
      <c r="F885" s="5">
        <v>42736</v>
      </c>
      <c r="G885">
        <v>0</v>
      </c>
    </row>
    <row r="886" spans="1:7" x14ac:dyDescent="0.25">
      <c r="A886" t="s">
        <v>103</v>
      </c>
      <c r="B886" t="s">
        <v>104</v>
      </c>
      <c r="C886">
        <v>1400</v>
      </c>
      <c r="D886" t="s">
        <v>62</v>
      </c>
      <c r="E886" t="s">
        <v>66</v>
      </c>
      <c r="F886" s="5">
        <v>42370</v>
      </c>
      <c r="G886">
        <v>0</v>
      </c>
    </row>
    <row r="887" spans="1:7" x14ac:dyDescent="0.25">
      <c r="A887" t="s">
        <v>103</v>
      </c>
      <c r="B887" t="s">
        <v>104</v>
      </c>
      <c r="C887">
        <v>1400</v>
      </c>
      <c r="D887" t="s">
        <v>62</v>
      </c>
      <c r="E887" t="s">
        <v>66</v>
      </c>
      <c r="F887" s="5">
        <v>42736</v>
      </c>
      <c r="G887">
        <v>0</v>
      </c>
    </row>
    <row r="888" spans="1:7" x14ac:dyDescent="0.25">
      <c r="A888" t="s">
        <v>103</v>
      </c>
      <c r="B888" t="s">
        <v>104</v>
      </c>
      <c r="C888">
        <v>1400</v>
      </c>
      <c r="D888" t="s">
        <v>62</v>
      </c>
      <c r="E888" t="s">
        <v>67</v>
      </c>
      <c r="F888" s="5">
        <v>42370</v>
      </c>
      <c r="G888">
        <v>0</v>
      </c>
    </row>
    <row r="889" spans="1:7" x14ac:dyDescent="0.25">
      <c r="A889" t="s">
        <v>103</v>
      </c>
      <c r="B889" t="s">
        <v>104</v>
      </c>
      <c r="C889">
        <v>1400</v>
      </c>
      <c r="D889" t="s">
        <v>62</v>
      </c>
      <c r="E889" t="s">
        <v>67</v>
      </c>
      <c r="F889" s="5">
        <v>42736</v>
      </c>
      <c r="G889">
        <v>0</v>
      </c>
    </row>
    <row r="890" spans="1:7" x14ac:dyDescent="0.25">
      <c r="A890" t="s">
        <v>103</v>
      </c>
      <c r="B890" t="s">
        <v>104</v>
      </c>
      <c r="C890">
        <v>1400</v>
      </c>
      <c r="D890" t="s">
        <v>62</v>
      </c>
      <c r="E890" t="s">
        <v>68</v>
      </c>
      <c r="F890" s="5">
        <v>42370</v>
      </c>
      <c r="G890">
        <v>0</v>
      </c>
    </row>
    <row r="891" spans="1:7" x14ac:dyDescent="0.25">
      <c r="A891" t="s">
        <v>103</v>
      </c>
      <c r="B891" t="s">
        <v>104</v>
      </c>
      <c r="C891">
        <v>1400</v>
      </c>
      <c r="D891" t="s">
        <v>62</v>
      </c>
      <c r="E891" t="s">
        <v>68</v>
      </c>
      <c r="F891" s="5">
        <v>42736</v>
      </c>
      <c r="G891">
        <v>0</v>
      </c>
    </row>
    <row r="892" spans="1:7" x14ac:dyDescent="0.25">
      <c r="A892" t="s">
        <v>103</v>
      </c>
      <c r="B892" t="s">
        <v>104</v>
      </c>
      <c r="C892">
        <v>1400</v>
      </c>
      <c r="D892" t="s">
        <v>62</v>
      </c>
      <c r="E892" t="s">
        <v>69</v>
      </c>
      <c r="F892" s="5">
        <v>42370</v>
      </c>
      <c r="G892">
        <v>0</v>
      </c>
    </row>
    <row r="893" spans="1:7" x14ac:dyDescent="0.25">
      <c r="A893" t="s">
        <v>103</v>
      </c>
      <c r="B893" t="s">
        <v>104</v>
      </c>
      <c r="C893">
        <v>1400</v>
      </c>
      <c r="D893" t="s">
        <v>62</v>
      </c>
      <c r="E893" t="s">
        <v>69</v>
      </c>
      <c r="F893" s="5">
        <v>42736</v>
      </c>
      <c r="G893">
        <v>0</v>
      </c>
    </row>
    <row r="894" spans="1:7" x14ac:dyDescent="0.25">
      <c r="A894" t="s">
        <v>103</v>
      </c>
      <c r="B894" t="s">
        <v>104</v>
      </c>
      <c r="C894">
        <v>1400</v>
      </c>
      <c r="D894" t="s">
        <v>62</v>
      </c>
      <c r="E894" t="s">
        <v>70</v>
      </c>
      <c r="F894" s="5">
        <v>42370</v>
      </c>
      <c r="G894">
        <v>0</v>
      </c>
    </row>
    <row r="895" spans="1:7" x14ac:dyDescent="0.25">
      <c r="A895" t="s">
        <v>103</v>
      </c>
      <c r="B895" t="s">
        <v>104</v>
      </c>
      <c r="C895">
        <v>1400</v>
      </c>
      <c r="D895" t="s">
        <v>62</v>
      </c>
      <c r="E895" t="s">
        <v>70</v>
      </c>
      <c r="F895" s="5">
        <v>42736</v>
      </c>
      <c r="G895">
        <v>0</v>
      </c>
    </row>
    <row r="896" spans="1:7" x14ac:dyDescent="0.25">
      <c r="A896" t="s">
        <v>103</v>
      </c>
      <c r="B896" t="s">
        <v>104</v>
      </c>
      <c r="C896">
        <v>1400</v>
      </c>
      <c r="D896" t="s">
        <v>62</v>
      </c>
      <c r="E896" t="s">
        <v>71</v>
      </c>
      <c r="F896" s="5">
        <v>42370</v>
      </c>
      <c r="G896">
        <v>0</v>
      </c>
    </row>
    <row r="897" spans="1:7" x14ac:dyDescent="0.25">
      <c r="A897" t="s">
        <v>103</v>
      </c>
      <c r="B897" t="s">
        <v>104</v>
      </c>
      <c r="C897">
        <v>1400</v>
      </c>
      <c r="D897" t="s">
        <v>62</v>
      </c>
      <c r="E897" t="s">
        <v>71</v>
      </c>
      <c r="F897" s="5">
        <v>42736</v>
      </c>
      <c r="G897">
        <v>0</v>
      </c>
    </row>
    <row r="898" spans="1:7" x14ac:dyDescent="0.25">
      <c r="A898" t="s">
        <v>103</v>
      </c>
      <c r="B898" t="s">
        <v>104</v>
      </c>
      <c r="C898">
        <v>1400</v>
      </c>
      <c r="D898" t="s">
        <v>72</v>
      </c>
      <c r="E898" t="s">
        <v>73</v>
      </c>
      <c r="F898" s="5">
        <v>42370</v>
      </c>
      <c r="G898">
        <v>0</v>
      </c>
    </row>
    <row r="899" spans="1:7" x14ac:dyDescent="0.25">
      <c r="A899" t="s">
        <v>103</v>
      </c>
      <c r="B899" t="s">
        <v>104</v>
      </c>
      <c r="C899">
        <v>1400</v>
      </c>
      <c r="D899" t="s">
        <v>72</v>
      </c>
      <c r="E899" t="s">
        <v>73</v>
      </c>
      <c r="F899" s="5">
        <v>42736</v>
      </c>
      <c r="G899">
        <v>0</v>
      </c>
    </row>
    <row r="900" spans="1:7" x14ac:dyDescent="0.25">
      <c r="A900" t="s">
        <v>103</v>
      </c>
      <c r="B900" t="s">
        <v>104</v>
      </c>
      <c r="C900">
        <v>1400</v>
      </c>
      <c r="D900" t="s">
        <v>72</v>
      </c>
      <c r="E900" t="s">
        <v>9</v>
      </c>
      <c r="F900" s="5">
        <v>42370</v>
      </c>
      <c r="G900">
        <v>0</v>
      </c>
    </row>
    <row r="901" spans="1:7" x14ac:dyDescent="0.25">
      <c r="A901" t="s">
        <v>103</v>
      </c>
      <c r="B901" t="s">
        <v>104</v>
      </c>
      <c r="C901">
        <v>1400</v>
      </c>
      <c r="D901" t="s">
        <v>72</v>
      </c>
      <c r="E901" t="s">
        <v>9</v>
      </c>
      <c r="F901" s="5">
        <v>42736</v>
      </c>
      <c r="G901">
        <v>0</v>
      </c>
    </row>
    <row r="902" spans="1:7" x14ac:dyDescent="0.25">
      <c r="A902" t="s">
        <v>103</v>
      </c>
      <c r="B902" t="s">
        <v>104</v>
      </c>
      <c r="C902">
        <v>1400</v>
      </c>
      <c r="D902" t="s">
        <v>72</v>
      </c>
      <c r="E902" t="s">
        <v>34</v>
      </c>
      <c r="F902" s="5">
        <v>42370</v>
      </c>
      <c r="G902">
        <v>0</v>
      </c>
    </row>
    <row r="903" spans="1:7" x14ac:dyDescent="0.25">
      <c r="A903" t="s">
        <v>103</v>
      </c>
      <c r="B903" t="s">
        <v>104</v>
      </c>
      <c r="C903">
        <v>1400</v>
      </c>
      <c r="D903" t="s">
        <v>72</v>
      </c>
      <c r="E903" t="s">
        <v>34</v>
      </c>
      <c r="F903" s="5">
        <v>42736</v>
      </c>
      <c r="G903">
        <v>0</v>
      </c>
    </row>
    <row r="904" spans="1:7" x14ac:dyDescent="0.25">
      <c r="A904" t="s">
        <v>103</v>
      </c>
      <c r="B904" t="s">
        <v>104</v>
      </c>
      <c r="C904">
        <v>1400</v>
      </c>
      <c r="D904" t="s">
        <v>72</v>
      </c>
      <c r="E904" t="s">
        <v>74</v>
      </c>
      <c r="F904" s="5">
        <v>42370</v>
      </c>
      <c r="G904">
        <v>0</v>
      </c>
    </row>
    <row r="905" spans="1:7" x14ac:dyDescent="0.25">
      <c r="A905" t="s">
        <v>103</v>
      </c>
      <c r="B905" t="s">
        <v>104</v>
      </c>
      <c r="C905">
        <v>1400</v>
      </c>
      <c r="D905" t="s">
        <v>72</v>
      </c>
      <c r="E905" t="s">
        <v>74</v>
      </c>
      <c r="F905" s="5">
        <v>42736</v>
      </c>
      <c r="G905">
        <v>0</v>
      </c>
    </row>
    <row r="906" spans="1:7" x14ac:dyDescent="0.25">
      <c r="A906" t="s">
        <v>103</v>
      </c>
      <c r="B906" t="s">
        <v>104</v>
      </c>
      <c r="C906">
        <v>1400</v>
      </c>
      <c r="D906" t="s">
        <v>72</v>
      </c>
      <c r="E906" t="s">
        <v>75</v>
      </c>
      <c r="F906" s="5">
        <v>42370</v>
      </c>
      <c r="G906">
        <v>0</v>
      </c>
    </row>
    <row r="907" spans="1:7" x14ac:dyDescent="0.25">
      <c r="A907" t="s">
        <v>103</v>
      </c>
      <c r="B907" t="s">
        <v>104</v>
      </c>
      <c r="C907">
        <v>1400</v>
      </c>
      <c r="D907" t="s">
        <v>72</v>
      </c>
      <c r="E907" t="s">
        <v>75</v>
      </c>
      <c r="F907" s="5">
        <v>42736</v>
      </c>
      <c r="G907">
        <v>0</v>
      </c>
    </row>
    <row r="908" spans="1:7" x14ac:dyDescent="0.25">
      <c r="A908" t="s">
        <v>103</v>
      </c>
      <c r="B908" t="s">
        <v>104</v>
      </c>
      <c r="C908">
        <v>1400</v>
      </c>
      <c r="D908" t="s">
        <v>76</v>
      </c>
      <c r="E908" t="s">
        <v>9</v>
      </c>
      <c r="F908" s="5">
        <v>42370</v>
      </c>
      <c r="G908">
        <v>0</v>
      </c>
    </row>
    <row r="909" spans="1:7" x14ac:dyDescent="0.25">
      <c r="A909" t="s">
        <v>103</v>
      </c>
      <c r="B909" t="s">
        <v>104</v>
      </c>
      <c r="C909">
        <v>1400</v>
      </c>
      <c r="D909" t="s">
        <v>76</v>
      </c>
      <c r="E909" t="s">
        <v>9</v>
      </c>
      <c r="F909" s="5">
        <v>42736</v>
      </c>
      <c r="G909">
        <v>0</v>
      </c>
    </row>
    <row r="910" spans="1:7" x14ac:dyDescent="0.25">
      <c r="A910" t="s">
        <v>103</v>
      </c>
      <c r="B910" t="s">
        <v>104</v>
      </c>
      <c r="C910">
        <v>1400</v>
      </c>
      <c r="D910" t="s">
        <v>76</v>
      </c>
      <c r="E910" t="s">
        <v>77</v>
      </c>
      <c r="F910" s="5">
        <v>42370</v>
      </c>
      <c r="G910">
        <v>13</v>
      </c>
    </row>
    <row r="911" spans="1:7" x14ac:dyDescent="0.25">
      <c r="A911" t="s">
        <v>103</v>
      </c>
      <c r="B911" t="s">
        <v>104</v>
      </c>
      <c r="C911">
        <v>1400</v>
      </c>
      <c r="D911" t="s">
        <v>76</v>
      </c>
      <c r="E911" t="s">
        <v>77</v>
      </c>
      <c r="F911" s="5">
        <v>42736</v>
      </c>
      <c r="G911">
        <v>0</v>
      </c>
    </row>
    <row r="912" spans="1:7" x14ac:dyDescent="0.25">
      <c r="A912" t="s">
        <v>103</v>
      </c>
      <c r="B912" t="s">
        <v>104</v>
      </c>
      <c r="C912">
        <v>1400</v>
      </c>
      <c r="D912" t="s">
        <v>78</v>
      </c>
      <c r="E912" t="s">
        <v>79</v>
      </c>
      <c r="F912" s="5">
        <v>42370</v>
      </c>
      <c r="G912">
        <v>91</v>
      </c>
    </row>
    <row r="913" spans="1:7" x14ac:dyDescent="0.25">
      <c r="A913" t="s">
        <v>103</v>
      </c>
      <c r="B913" t="s">
        <v>104</v>
      </c>
      <c r="C913">
        <v>1400</v>
      </c>
      <c r="D913" t="s">
        <v>78</v>
      </c>
      <c r="E913" t="s">
        <v>79</v>
      </c>
      <c r="F913" s="5">
        <v>42736</v>
      </c>
      <c r="G913">
        <v>116</v>
      </c>
    </row>
    <row r="914" spans="1:7" x14ac:dyDescent="0.25">
      <c r="A914" t="s">
        <v>103</v>
      </c>
      <c r="B914" t="s">
        <v>104</v>
      </c>
      <c r="C914">
        <v>1400</v>
      </c>
      <c r="D914" t="s">
        <v>78</v>
      </c>
      <c r="E914" t="s">
        <v>80</v>
      </c>
      <c r="F914" s="5">
        <v>42370</v>
      </c>
      <c r="G914">
        <v>118</v>
      </c>
    </row>
    <row r="915" spans="1:7" x14ac:dyDescent="0.25">
      <c r="A915" t="s">
        <v>103</v>
      </c>
      <c r="B915" t="s">
        <v>104</v>
      </c>
      <c r="C915">
        <v>1400</v>
      </c>
      <c r="D915" t="s">
        <v>78</v>
      </c>
      <c r="E915" t="s">
        <v>80</v>
      </c>
      <c r="F915" s="5">
        <v>42736</v>
      </c>
      <c r="G915">
        <v>217</v>
      </c>
    </row>
    <row r="916" spans="1:7" x14ac:dyDescent="0.25">
      <c r="A916" t="s">
        <v>103</v>
      </c>
      <c r="B916" t="s">
        <v>104</v>
      </c>
      <c r="C916">
        <v>1400</v>
      </c>
      <c r="D916" t="s">
        <v>78</v>
      </c>
      <c r="E916" t="s">
        <v>81</v>
      </c>
      <c r="F916" s="5">
        <v>42370</v>
      </c>
      <c r="G916">
        <v>865</v>
      </c>
    </row>
    <row r="917" spans="1:7" x14ac:dyDescent="0.25">
      <c r="A917" t="s">
        <v>103</v>
      </c>
      <c r="B917" t="s">
        <v>104</v>
      </c>
      <c r="C917">
        <v>1400</v>
      </c>
      <c r="D917" t="s">
        <v>78</v>
      </c>
      <c r="E917" t="s">
        <v>81</v>
      </c>
      <c r="F917" s="5">
        <v>42736</v>
      </c>
      <c r="G917">
        <v>1226</v>
      </c>
    </row>
    <row r="918" spans="1:7" x14ac:dyDescent="0.25">
      <c r="A918" t="s">
        <v>103</v>
      </c>
      <c r="B918" t="s">
        <v>104</v>
      </c>
      <c r="C918">
        <v>1400</v>
      </c>
      <c r="D918" t="s">
        <v>78</v>
      </c>
      <c r="E918" t="s">
        <v>82</v>
      </c>
      <c r="F918" s="5">
        <v>42370</v>
      </c>
      <c r="G918">
        <v>59</v>
      </c>
    </row>
    <row r="919" spans="1:7" x14ac:dyDescent="0.25">
      <c r="A919" t="s">
        <v>103</v>
      </c>
      <c r="B919" t="s">
        <v>104</v>
      </c>
      <c r="C919">
        <v>1400</v>
      </c>
      <c r="D919" t="s">
        <v>78</v>
      </c>
      <c r="E919" t="s">
        <v>82</v>
      </c>
      <c r="F919" s="5">
        <v>42736</v>
      </c>
      <c r="G919">
        <v>83</v>
      </c>
    </row>
    <row r="920" spans="1:7" x14ac:dyDescent="0.25">
      <c r="A920" t="s">
        <v>103</v>
      </c>
      <c r="B920" t="s">
        <v>104</v>
      </c>
      <c r="C920">
        <v>1400</v>
      </c>
      <c r="D920" t="s">
        <v>78</v>
      </c>
      <c r="E920" t="s">
        <v>83</v>
      </c>
      <c r="F920" s="5">
        <v>42370</v>
      </c>
      <c r="G920">
        <v>19</v>
      </c>
    </row>
    <row r="921" spans="1:7" x14ac:dyDescent="0.25">
      <c r="A921" t="s">
        <v>103</v>
      </c>
      <c r="B921" t="s">
        <v>104</v>
      </c>
      <c r="C921">
        <v>1400</v>
      </c>
      <c r="D921" t="s">
        <v>78</v>
      </c>
      <c r="E921" t="s">
        <v>83</v>
      </c>
      <c r="F921" s="5">
        <v>42736</v>
      </c>
      <c r="G921">
        <v>22</v>
      </c>
    </row>
    <row r="922" spans="1:7" x14ac:dyDescent="0.25">
      <c r="A922" t="s">
        <v>103</v>
      </c>
      <c r="B922" t="s">
        <v>104</v>
      </c>
      <c r="C922">
        <v>1400</v>
      </c>
      <c r="D922" t="s">
        <v>78</v>
      </c>
      <c r="E922" t="s">
        <v>84</v>
      </c>
      <c r="F922" s="5">
        <v>42370</v>
      </c>
      <c r="G922">
        <v>11</v>
      </c>
    </row>
    <row r="923" spans="1:7" x14ac:dyDescent="0.25">
      <c r="A923" t="s">
        <v>103</v>
      </c>
      <c r="B923" t="s">
        <v>104</v>
      </c>
      <c r="C923">
        <v>1400</v>
      </c>
      <c r="D923" t="s">
        <v>78</v>
      </c>
      <c r="E923" t="s">
        <v>84</v>
      </c>
      <c r="F923" s="5">
        <v>42736</v>
      </c>
      <c r="G923">
        <v>26</v>
      </c>
    </row>
    <row r="924" spans="1:7" x14ac:dyDescent="0.25">
      <c r="A924" t="s">
        <v>103</v>
      </c>
      <c r="B924" t="s">
        <v>104</v>
      </c>
      <c r="C924">
        <v>1400</v>
      </c>
      <c r="D924" t="s">
        <v>78</v>
      </c>
      <c r="E924" t="s">
        <v>85</v>
      </c>
      <c r="F924" s="5">
        <v>42370</v>
      </c>
      <c r="G924">
        <v>4</v>
      </c>
    </row>
    <row r="925" spans="1:7" x14ac:dyDescent="0.25">
      <c r="A925" t="s">
        <v>103</v>
      </c>
      <c r="B925" t="s">
        <v>104</v>
      </c>
      <c r="C925">
        <v>1400</v>
      </c>
      <c r="D925" t="s">
        <v>78</v>
      </c>
      <c r="E925" t="s">
        <v>85</v>
      </c>
      <c r="F925" s="5">
        <v>42736</v>
      </c>
      <c r="G925">
        <v>1</v>
      </c>
    </row>
    <row r="926" spans="1:7" x14ac:dyDescent="0.25">
      <c r="A926" t="s">
        <v>103</v>
      </c>
      <c r="B926" t="s">
        <v>104</v>
      </c>
      <c r="C926">
        <v>1400</v>
      </c>
      <c r="D926" t="s">
        <v>78</v>
      </c>
      <c r="E926" t="s">
        <v>86</v>
      </c>
      <c r="F926" s="5">
        <v>42370</v>
      </c>
      <c r="G926">
        <v>0</v>
      </c>
    </row>
    <row r="927" spans="1:7" x14ac:dyDescent="0.25">
      <c r="A927" t="s">
        <v>103</v>
      </c>
      <c r="B927" t="s">
        <v>104</v>
      </c>
      <c r="C927">
        <v>1400</v>
      </c>
      <c r="D927" t="s">
        <v>78</v>
      </c>
      <c r="E927" t="s">
        <v>86</v>
      </c>
      <c r="F927" s="5">
        <v>42736</v>
      </c>
      <c r="G927">
        <v>0</v>
      </c>
    </row>
    <row r="928" spans="1:7" x14ac:dyDescent="0.25">
      <c r="A928" t="s">
        <v>103</v>
      </c>
      <c r="B928" t="s">
        <v>104</v>
      </c>
      <c r="C928">
        <v>1400</v>
      </c>
      <c r="D928" t="s">
        <v>78</v>
      </c>
      <c r="E928" t="s">
        <v>87</v>
      </c>
      <c r="F928" s="5">
        <v>42370</v>
      </c>
      <c r="G928">
        <v>231</v>
      </c>
    </row>
    <row r="929" spans="1:7" x14ac:dyDescent="0.25">
      <c r="A929" t="s">
        <v>103</v>
      </c>
      <c r="B929" t="s">
        <v>104</v>
      </c>
      <c r="C929">
        <v>1400</v>
      </c>
      <c r="D929" t="s">
        <v>78</v>
      </c>
      <c r="E929" t="s">
        <v>87</v>
      </c>
      <c r="F929" s="5">
        <v>42736</v>
      </c>
      <c r="G929">
        <v>247</v>
      </c>
    </row>
    <row r="930" spans="1:7" x14ac:dyDescent="0.25">
      <c r="A930" t="s">
        <v>103</v>
      </c>
      <c r="B930" t="s">
        <v>104</v>
      </c>
      <c r="C930">
        <v>1400</v>
      </c>
      <c r="D930" t="s">
        <v>78</v>
      </c>
      <c r="E930" t="s">
        <v>88</v>
      </c>
      <c r="F930" s="5">
        <v>42370</v>
      </c>
      <c r="G930">
        <v>137</v>
      </c>
    </row>
    <row r="931" spans="1:7" x14ac:dyDescent="0.25">
      <c r="A931" t="s">
        <v>103</v>
      </c>
      <c r="B931" t="s">
        <v>104</v>
      </c>
      <c r="C931">
        <v>1400</v>
      </c>
      <c r="D931" t="s">
        <v>78</v>
      </c>
      <c r="E931" t="s">
        <v>88</v>
      </c>
      <c r="F931" s="5">
        <v>42736</v>
      </c>
      <c r="G931">
        <v>203</v>
      </c>
    </row>
    <row r="932" spans="1:7" x14ac:dyDescent="0.25">
      <c r="A932" t="s">
        <v>103</v>
      </c>
      <c r="B932" t="s">
        <v>104</v>
      </c>
      <c r="C932">
        <v>1400</v>
      </c>
      <c r="D932" t="s">
        <v>78</v>
      </c>
      <c r="E932" t="s">
        <v>89</v>
      </c>
      <c r="F932" s="5">
        <v>42370</v>
      </c>
      <c r="G932">
        <v>2682</v>
      </c>
    </row>
    <row r="933" spans="1:7" x14ac:dyDescent="0.25">
      <c r="A933" t="s">
        <v>103</v>
      </c>
      <c r="B933" t="s">
        <v>104</v>
      </c>
      <c r="C933">
        <v>1400</v>
      </c>
      <c r="D933" t="s">
        <v>78</v>
      </c>
      <c r="E933" t="s">
        <v>89</v>
      </c>
      <c r="F933" s="5">
        <v>42736</v>
      </c>
      <c r="G933">
        <v>3322</v>
      </c>
    </row>
    <row r="934" spans="1:7" x14ac:dyDescent="0.25">
      <c r="A934" t="s">
        <v>103</v>
      </c>
      <c r="B934" t="s">
        <v>104</v>
      </c>
      <c r="C934">
        <v>1400</v>
      </c>
      <c r="D934" t="s">
        <v>78</v>
      </c>
      <c r="E934" t="s">
        <v>90</v>
      </c>
      <c r="F934" s="5">
        <v>42370</v>
      </c>
      <c r="G934">
        <v>2</v>
      </c>
    </row>
    <row r="935" spans="1:7" x14ac:dyDescent="0.25">
      <c r="A935" t="s">
        <v>103</v>
      </c>
      <c r="B935" t="s">
        <v>104</v>
      </c>
      <c r="C935">
        <v>1400</v>
      </c>
      <c r="D935" t="s">
        <v>78</v>
      </c>
      <c r="E935" t="s">
        <v>90</v>
      </c>
      <c r="F935" s="5">
        <v>42736</v>
      </c>
      <c r="G935">
        <v>0</v>
      </c>
    </row>
    <row r="936" spans="1:7" x14ac:dyDescent="0.25">
      <c r="A936" t="s">
        <v>103</v>
      </c>
      <c r="B936" t="s">
        <v>104</v>
      </c>
      <c r="C936">
        <v>1400</v>
      </c>
      <c r="D936" t="s">
        <v>78</v>
      </c>
      <c r="E936" t="s">
        <v>91</v>
      </c>
      <c r="F936" s="5">
        <v>42370</v>
      </c>
      <c r="G936">
        <v>80</v>
      </c>
    </row>
    <row r="937" spans="1:7" x14ac:dyDescent="0.25">
      <c r="A937" t="s">
        <v>103</v>
      </c>
      <c r="B937" t="s">
        <v>104</v>
      </c>
      <c r="C937">
        <v>1400</v>
      </c>
      <c r="D937" t="s">
        <v>78</v>
      </c>
      <c r="E937" t="s">
        <v>91</v>
      </c>
      <c r="F937" s="5">
        <v>42736</v>
      </c>
      <c r="G937">
        <v>132</v>
      </c>
    </row>
    <row r="938" spans="1:7" x14ac:dyDescent="0.25">
      <c r="A938" t="s">
        <v>103</v>
      </c>
      <c r="B938" t="s">
        <v>104</v>
      </c>
      <c r="C938">
        <v>1400</v>
      </c>
      <c r="D938" t="s">
        <v>78</v>
      </c>
      <c r="E938" t="s">
        <v>92</v>
      </c>
      <c r="F938" s="5">
        <v>42370</v>
      </c>
      <c r="G938">
        <v>38</v>
      </c>
    </row>
    <row r="939" spans="1:7" x14ac:dyDescent="0.25">
      <c r="A939" t="s">
        <v>103</v>
      </c>
      <c r="B939" t="s">
        <v>104</v>
      </c>
      <c r="C939">
        <v>1400</v>
      </c>
      <c r="D939" t="s">
        <v>78</v>
      </c>
      <c r="E939" t="s">
        <v>92</v>
      </c>
      <c r="F939" s="5">
        <v>42736</v>
      </c>
      <c r="G939">
        <v>36</v>
      </c>
    </row>
    <row r="940" spans="1:7" x14ac:dyDescent="0.25">
      <c r="A940" t="s">
        <v>103</v>
      </c>
      <c r="B940" t="s">
        <v>104</v>
      </c>
      <c r="C940">
        <v>1400</v>
      </c>
      <c r="D940" t="s">
        <v>78</v>
      </c>
      <c r="E940" t="s">
        <v>93</v>
      </c>
      <c r="F940" s="5">
        <v>42370</v>
      </c>
      <c r="G940">
        <v>108</v>
      </c>
    </row>
    <row r="941" spans="1:7" x14ac:dyDescent="0.25">
      <c r="A941" t="s">
        <v>103</v>
      </c>
      <c r="B941" t="s">
        <v>104</v>
      </c>
      <c r="C941">
        <v>1400</v>
      </c>
      <c r="D941" t="s">
        <v>78</v>
      </c>
      <c r="E941" t="s">
        <v>93</v>
      </c>
      <c r="F941" s="5">
        <v>42736</v>
      </c>
      <c r="G941">
        <v>159</v>
      </c>
    </row>
    <row r="942" spans="1:7" x14ac:dyDescent="0.25">
      <c r="A942" t="s">
        <v>103</v>
      </c>
      <c r="B942" t="s">
        <v>104</v>
      </c>
      <c r="C942">
        <v>1400</v>
      </c>
      <c r="D942" t="s">
        <v>78</v>
      </c>
      <c r="E942" t="s">
        <v>94</v>
      </c>
      <c r="F942" s="5">
        <v>42370</v>
      </c>
      <c r="G942">
        <v>111</v>
      </c>
    </row>
    <row r="943" spans="1:7" x14ac:dyDescent="0.25">
      <c r="A943" t="s">
        <v>103</v>
      </c>
      <c r="B943" t="s">
        <v>104</v>
      </c>
      <c r="C943">
        <v>1400</v>
      </c>
      <c r="D943" t="s">
        <v>78</v>
      </c>
      <c r="E943" t="s">
        <v>94</v>
      </c>
      <c r="F943" s="5">
        <v>42736</v>
      </c>
      <c r="G943">
        <v>147</v>
      </c>
    </row>
    <row r="944" spans="1:7" x14ac:dyDescent="0.25">
      <c r="A944" t="s">
        <v>103</v>
      </c>
      <c r="B944" t="s">
        <v>104</v>
      </c>
      <c r="C944">
        <v>1400</v>
      </c>
      <c r="D944" t="s">
        <v>78</v>
      </c>
      <c r="E944" t="s">
        <v>95</v>
      </c>
      <c r="F944" s="5">
        <v>42370</v>
      </c>
      <c r="G944">
        <v>17</v>
      </c>
    </row>
    <row r="945" spans="1:7" x14ac:dyDescent="0.25">
      <c r="A945" t="s">
        <v>103</v>
      </c>
      <c r="B945" t="s">
        <v>104</v>
      </c>
      <c r="C945">
        <v>1400</v>
      </c>
      <c r="D945" t="s">
        <v>78</v>
      </c>
      <c r="E945" t="s">
        <v>95</v>
      </c>
      <c r="F945" s="5">
        <v>42736</v>
      </c>
      <c r="G945">
        <v>22</v>
      </c>
    </row>
    <row r="946" spans="1:7" x14ac:dyDescent="0.25">
      <c r="A946" t="s">
        <v>103</v>
      </c>
      <c r="B946" t="s">
        <v>104</v>
      </c>
      <c r="C946">
        <v>1400</v>
      </c>
      <c r="D946" t="s">
        <v>78</v>
      </c>
      <c r="E946" t="s">
        <v>96</v>
      </c>
      <c r="F946" s="5">
        <v>42370</v>
      </c>
      <c r="G946">
        <v>21</v>
      </c>
    </row>
    <row r="947" spans="1:7" x14ac:dyDescent="0.25">
      <c r="A947" t="s">
        <v>103</v>
      </c>
      <c r="B947" t="s">
        <v>104</v>
      </c>
      <c r="C947">
        <v>1400</v>
      </c>
      <c r="D947" t="s">
        <v>78</v>
      </c>
      <c r="E947" t="s">
        <v>96</v>
      </c>
      <c r="F947" s="5">
        <v>42736</v>
      </c>
      <c r="G947">
        <v>22</v>
      </c>
    </row>
    <row r="948" spans="1:7" x14ac:dyDescent="0.25">
      <c r="A948" t="s">
        <v>103</v>
      </c>
      <c r="B948" t="s">
        <v>104</v>
      </c>
      <c r="C948">
        <v>1400</v>
      </c>
      <c r="D948" t="s">
        <v>78</v>
      </c>
      <c r="E948" t="s">
        <v>97</v>
      </c>
      <c r="F948" s="5">
        <v>42370</v>
      </c>
      <c r="G948">
        <v>151</v>
      </c>
    </row>
    <row r="949" spans="1:7" x14ac:dyDescent="0.25">
      <c r="A949" t="s">
        <v>103</v>
      </c>
      <c r="B949" t="s">
        <v>104</v>
      </c>
      <c r="C949">
        <v>1400</v>
      </c>
      <c r="D949" t="s">
        <v>78</v>
      </c>
      <c r="E949" t="s">
        <v>97</v>
      </c>
      <c r="F949" s="5">
        <v>42736</v>
      </c>
      <c r="G949">
        <v>307</v>
      </c>
    </row>
    <row r="950" spans="1:7" x14ac:dyDescent="0.25">
      <c r="A950" t="s">
        <v>103</v>
      </c>
      <c r="B950" t="s">
        <v>104</v>
      </c>
      <c r="C950">
        <v>1400</v>
      </c>
      <c r="D950" t="s">
        <v>78</v>
      </c>
      <c r="E950" t="s">
        <v>98</v>
      </c>
      <c r="F950" s="5">
        <v>42370</v>
      </c>
      <c r="G950">
        <v>162</v>
      </c>
    </row>
    <row r="951" spans="1:7" x14ac:dyDescent="0.25">
      <c r="A951" t="s">
        <v>103</v>
      </c>
      <c r="B951" t="s">
        <v>104</v>
      </c>
      <c r="C951">
        <v>1400</v>
      </c>
      <c r="D951" t="s">
        <v>78</v>
      </c>
      <c r="E951" t="s">
        <v>98</v>
      </c>
      <c r="F951" s="5">
        <v>42736</v>
      </c>
      <c r="G951">
        <v>216</v>
      </c>
    </row>
    <row r="952" spans="1:7" x14ac:dyDescent="0.25">
      <c r="A952" t="s">
        <v>103</v>
      </c>
      <c r="B952" t="s">
        <v>105</v>
      </c>
      <c r="C952">
        <v>1480</v>
      </c>
      <c r="D952" t="s">
        <v>8</v>
      </c>
      <c r="E952" t="s">
        <v>9</v>
      </c>
      <c r="F952" s="5">
        <v>42370</v>
      </c>
      <c r="G952">
        <v>0</v>
      </c>
    </row>
    <row r="953" spans="1:7" x14ac:dyDescent="0.25">
      <c r="A953" t="s">
        <v>103</v>
      </c>
      <c r="B953" t="s">
        <v>105</v>
      </c>
      <c r="C953">
        <v>1480</v>
      </c>
      <c r="D953" t="s">
        <v>8</v>
      </c>
      <c r="E953" t="s">
        <v>9</v>
      </c>
      <c r="F953" s="5">
        <v>42736</v>
      </c>
      <c r="G953">
        <v>0</v>
      </c>
    </row>
    <row r="954" spans="1:7" x14ac:dyDescent="0.25">
      <c r="A954" t="s">
        <v>103</v>
      </c>
      <c r="B954" t="s">
        <v>105</v>
      </c>
      <c r="C954">
        <v>1480</v>
      </c>
      <c r="D954" t="s">
        <v>8</v>
      </c>
      <c r="E954" t="s">
        <v>10</v>
      </c>
      <c r="F954" s="5">
        <v>42370</v>
      </c>
      <c r="G954">
        <v>147</v>
      </c>
    </row>
    <row r="955" spans="1:7" x14ac:dyDescent="0.25">
      <c r="A955" t="s">
        <v>103</v>
      </c>
      <c r="B955" t="s">
        <v>105</v>
      </c>
      <c r="C955">
        <v>1480</v>
      </c>
      <c r="D955" t="s">
        <v>8</v>
      </c>
      <c r="E955" t="s">
        <v>10</v>
      </c>
      <c r="F955" s="5">
        <v>42736</v>
      </c>
      <c r="G955">
        <v>230</v>
      </c>
    </row>
    <row r="956" spans="1:7" x14ac:dyDescent="0.25">
      <c r="A956" t="s">
        <v>103</v>
      </c>
      <c r="B956" t="s">
        <v>105</v>
      </c>
      <c r="C956">
        <v>1480</v>
      </c>
      <c r="D956" t="s">
        <v>8</v>
      </c>
      <c r="E956" t="s">
        <v>11</v>
      </c>
      <c r="F956" s="5">
        <v>42370</v>
      </c>
      <c r="G956">
        <v>61</v>
      </c>
    </row>
    <row r="957" spans="1:7" x14ac:dyDescent="0.25">
      <c r="A957" t="s">
        <v>103</v>
      </c>
      <c r="B957" t="s">
        <v>105</v>
      </c>
      <c r="C957">
        <v>1480</v>
      </c>
      <c r="D957" t="s">
        <v>8</v>
      </c>
      <c r="E957" t="s">
        <v>11</v>
      </c>
      <c r="F957" s="5">
        <v>42736</v>
      </c>
      <c r="G957">
        <v>67</v>
      </c>
    </row>
    <row r="958" spans="1:7" x14ac:dyDescent="0.25">
      <c r="A958" t="s">
        <v>103</v>
      </c>
      <c r="B958" t="s">
        <v>105</v>
      </c>
      <c r="C958">
        <v>1480</v>
      </c>
      <c r="D958" t="s">
        <v>8</v>
      </c>
      <c r="E958" t="s">
        <v>12</v>
      </c>
      <c r="F958" s="5">
        <v>42370</v>
      </c>
      <c r="G958">
        <v>0</v>
      </c>
    </row>
    <row r="959" spans="1:7" x14ac:dyDescent="0.25">
      <c r="A959" t="s">
        <v>103</v>
      </c>
      <c r="B959" t="s">
        <v>105</v>
      </c>
      <c r="C959">
        <v>1480</v>
      </c>
      <c r="D959" t="s">
        <v>8</v>
      </c>
      <c r="E959" t="s">
        <v>12</v>
      </c>
      <c r="F959" s="5">
        <v>42736</v>
      </c>
      <c r="G959">
        <v>0</v>
      </c>
    </row>
    <row r="960" spans="1:7" x14ac:dyDescent="0.25">
      <c r="A960" t="s">
        <v>103</v>
      </c>
      <c r="B960" t="s">
        <v>105</v>
      </c>
      <c r="C960">
        <v>1480</v>
      </c>
      <c r="D960" t="s">
        <v>8</v>
      </c>
      <c r="E960" t="s">
        <v>13</v>
      </c>
      <c r="F960" s="5">
        <v>42370</v>
      </c>
      <c r="G960">
        <v>0</v>
      </c>
    </row>
    <row r="961" spans="1:7" x14ac:dyDescent="0.25">
      <c r="A961" t="s">
        <v>103</v>
      </c>
      <c r="B961" t="s">
        <v>105</v>
      </c>
      <c r="C961">
        <v>1480</v>
      </c>
      <c r="D961" t="s">
        <v>8</v>
      </c>
      <c r="E961" t="s">
        <v>13</v>
      </c>
      <c r="F961" s="5">
        <v>42736</v>
      </c>
      <c r="G961">
        <v>0</v>
      </c>
    </row>
    <row r="962" spans="1:7" x14ac:dyDescent="0.25">
      <c r="A962" t="s">
        <v>103</v>
      </c>
      <c r="B962" t="s">
        <v>105</v>
      </c>
      <c r="C962">
        <v>1480</v>
      </c>
      <c r="D962" t="s">
        <v>8</v>
      </c>
      <c r="E962" t="s">
        <v>14</v>
      </c>
      <c r="F962" s="5">
        <v>42370</v>
      </c>
      <c r="G962">
        <v>0</v>
      </c>
    </row>
    <row r="963" spans="1:7" x14ac:dyDescent="0.25">
      <c r="A963" t="s">
        <v>103</v>
      </c>
      <c r="B963" t="s">
        <v>105</v>
      </c>
      <c r="C963">
        <v>1480</v>
      </c>
      <c r="D963" t="s">
        <v>8</v>
      </c>
      <c r="E963" t="s">
        <v>14</v>
      </c>
      <c r="F963" s="5">
        <v>42736</v>
      </c>
      <c r="G963">
        <v>0</v>
      </c>
    </row>
    <row r="964" spans="1:7" x14ac:dyDescent="0.25">
      <c r="A964" t="s">
        <v>103</v>
      </c>
      <c r="B964" t="s">
        <v>105</v>
      </c>
      <c r="C964">
        <v>1480</v>
      </c>
      <c r="D964" t="s">
        <v>8</v>
      </c>
      <c r="E964" t="s">
        <v>15</v>
      </c>
      <c r="F964" s="5">
        <v>42370</v>
      </c>
      <c r="G964">
        <v>0</v>
      </c>
    </row>
    <row r="965" spans="1:7" x14ac:dyDescent="0.25">
      <c r="A965" t="s">
        <v>103</v>
      </c>
      <c r="B965" t="s">
        <v>105</v>
      </c>
      <c r="C965">
        <v>1480</v>
      </c>
      <c r="D965" t="s">
        <v>8</v>
      </c>
      <c r="E965" t="s">
        <v>15</v>
      </c>
      <c r="F965" s="5">
        <v>42736</v>
      </c>
      <c r="G965">
        <v>0</v>
      </c>
    </row>
    <row r="966" spans="1:7" x14ac:dyDescent="0.25">
      <c r="A966" t="s">
        <v>103</v>
      </c>
      <c r="B966" t="s">
        <v>105</v>
      </c>
      <c r="C966">
        <v>1480</v>
      </c>
      <c r="D966" t="s">
        <v>8</v>
      </c>
      <c r="E966" t="s">
        <v>16</v>
      </c>
      <c r="F966" s="5">
        <v>42370</v>
      </c>
      <c r="G966">
        <v>34</v>
      </c>
    </row>
    <row r="967" spans="1:7" x14ac:dyDescent="0.25">
      <c r="A967" t="s">
        <v>103</v>
      </c>
      <c r="B967" t="s">
        <v>105</v>
      </c>
      <c r="C967">
        <v>1480</v>
      </c>
      <c r="D967" t="s">
        <v>8</v>
      </c>
      <c r="E967" t="s">
        <v>16</v>
      </c>
      <c r="F967" s="5">
        <v>42736</v>
      </c>
      <c r="G967">
        <v>43</v>
      </c>
    </row>
    <row r="968" spans="1:7" x14ac:dyDescent="0.25">
      <c r="A968" t="s">
        <v>103</v>
      </c>
      <c r="B968" t="s">
        <v>105</v>
      </c>
      <c r="C968">
        <v>1480</v>
      </c>
      <c r="D968" t="s">
        <v>8</v>
      </c>
      <c r="E968" t="s">
        <v>17</v>
      </c>
      <c r="F968" s="5">
        <v>42370</v>
      </c>
      <c r="G968">
        <v>0</v>
      </c>
    </row>
    <row r="969" spans="1:7" x14ac:dyDescent="0.25">
      <c r="A969" t="s">
        <v>103</v>
      </c>
      <c r="B969" t="s">
        <v>105</v>
      </c>
      <c r="C969">
        <v>1480</v>
      </c>
      <c r="D969" t="s">
        <v>8</v>
      </c>
      <c r="E969" t="s">
        <v>17</v>
      </c>
      <c r="F969" s="5">
        <v>42736</v>
      </c>
      <c r="G969">
        <v>0</v>
      </c>
    </row>
    <row r="970" spans="1:7" x14ac:dyDescent="0.25">
      <c r="A970" t="s">
        <v>103</v>
      </c>
      <c r="B970" t="s">
        <v>105</v>
      </c>
      <c r="C970">
        <v>1480</v>
      </c>
      <c r="D970" t="s">
        <v>8</v>
      </c>
      <c r="E970" t="s">
        <v>18</v>
      </c>
      <c r="F970" s="5">
        <v>42370</v>
      </c>
      <c r="G970">
        <v>14</v>
      </c>
    </row>
    <row r="971" spans="1:7" x14ac:dyDescent="0.25">
      <c r="A971" t="s">
        <v>103</v>
      </c>
      <c r="B971" t="s">
        <v>105</v>
      </c>
      <c r="C971">
        <v>1480</v>
      </c>
      <c r="D971" t="s">
        <v>8</v>
      </c>
      <c r="E971" t="s">
        <v>18</v>
      </c>
      <c r="F971" s="5">
        <v>42736</v>
      </c>
      <c r="G971">
        <v>27</v>
      </c>
    </row>
    <row r="972" spans="1:7" x14ac:dyDescent="0.25">
      <c r="A972" t="s">
        <v>103</v>
      </c>
      <c r="B972" t="s">
        <v>105</v>
      </c>
      <c r="C972">
        <v>1480</v>
      </c>
      <c r="D972" t="s">
        <v>8</v>
      </c>
      <c r="E972" t="s">
        <v>19</v>
      </c>
      <c r="F972" s="5">
        <v>42370</v>
      </c>
      <c r="G972">
        <v>0</v>
      </c>
    </row>
    <row r="973" spans="1:7" x14ac:dyDescent="0.25">
      <c r="A973" t="s">
        <v>103</v>
      </c>
      <c r="B973" t="s">
        <v>105</v>
      </c>
      <c r="C973">
        <v>1480</v>
      </c>
      <c r="D973" t="s">
        <v>8</v>
      </c>
      <c r="E973" t="s">
        <v>19</v>
      </c>
      <c r="F973" s="5">
        <v>42736</v>
      </c>
      <c r="G973">
        <v>0</v>
      </c>
    </row>
    <row r="974" spans="1:7" x14ac:dyDescent="0.25">
      <c r="A974" t="s">
        <v>103</v>
      </c>
      <c r="B974" t="s">
        <v>105</v>
      </c>
      <c r="C974">
        <v>1480</v>
      </c>
      <c r="D974" t="s">
        <v>20</v>
      </c>
      <c r="E974" t="s">
        <v>9</v>
      </c>
      <c r="F974" s="5">
        <v>42370</v>
      </c>
      <c r="G974">
        <v>2</v>
      </c>
    </row>
    <row r="975" spans="1:7" x14ac:dyDescent="0.25">
      <c r="A975" t="s">
        <v>103</v>
      </c>
      <c r="B975" t="s">
        <v>105</v>
      </c>
      <c r="C975">
        <v>1480</v>
      </c>
      <c r="D975" t="s">
        <v>20</v>
      </c>
      <c r="E975" t="s">
        <v>9</v>
      </c>
      <c r="F975" s="5">
        <v>42736</v>
      </c>
      <c r="G975">
        <v>19</v>
      </c>
    </row>
    <row r="976" spans="1:7" x14ac:dyDescent="0.25">
      <c r="A976" t="s">
        <v>103</v>
      </c>
      <c r="B976" t="s">
        <v>105</v>
      </c>
      <c r="C976">
        <v>1480</v>
      </c>
      <c r="D976" t="s">
        <v>20</v>
      </c>
      <c r="E976" t="s">
        <v>21</v>
      </c>
      <c r="F976" s="5">
        <v>42370</v>
      </c>
      <c r="G976">
        <v>0</v>
      </c>
    </row>
    <row r="977" spans="1:7" x14ac:dyDescent="0.25">
      <c r="A977" t="s">
        <v>103</v>
      </c>
      <c r="B977" t="s">
        <v>105</v>
      </c>
      <c r="C977">
        <v>1480</v>
      </c>
      <c r="D977" t="s">
        <v>20</v>
      </c>
      <c r="E977" t="s">
        <v>21</v>
      </c>
      <c r="F977" s="5">
        <v>42736</v>
      </c>
      <c r="G977">
        <v>0</v>
      </c>
    </row>
    <row r="978" spans="1:7" x14ac:dyDescent="0.25">
      <c r="A978" t="s">
        <v>103</v>
      </c>
      <c r="B978" t="s">
        <v>105</v>
      </c>
      <c r="C978">
        <v>1480</v>
      </c>
      <c r="D978" t="s">
        <v>20</v>
      </c>
      <c r="E978" t="s">
        <v>22</v>
      </c>
      <c r="F978" s="5">
        <v>42370</v>
      </c>
      <c r="G978">
        <v>0</v>
      </c>
    </row>
    <row r="979" spans="1:7" x14ac:dyDescent="0.25">
      <c r="A979" t="s">
        <v>103</v>
      </c>
      <c r="B979" t="s">
        <v>105</v>
      </c>
      <c r="C979">
        <v>1480</v>
      </c>
      <c r="D979" t="s">
        <v>20</v>
      </c>
      <c r="E979" t="s">
        <v>22</v>
      </c>
      <c r="F979" s="5">
        <v>42736</v>
      </c>
      <c r="G979">
        <v>10</v>
      </c>
    </row>
    <row r="980" spans="1:7" x14ac:dyDescent="0.25">
      <c r="A980" t="s">
        <v>103</v>
      </c>
      <c r="B980" t="s">
        <v>105</v>
      </c>
      <c r="C980">
        <v>1480</v>
      </c>
      <c r="D980" t="s">
        <v>20</v>
      </c>
      <c r="E980" t="s">
        <v>23</v>
      </c>
      <c r="F980" s="5">
        <v>42370</v>
      </c>
      <c r="G980">
        <v>6</v>
      </c>
    </row>
    <row r="981" spans="1:7" x14ac:dyDescent="0.25">
      <c r="A981" t="s">
        <v>103</v>
      </c>
      <c r="B981" t="s">
        <v>105</v>
      </c>
      <c r="C981">
        <v>1480</v>
      </c>
      <c r="D981" t="s">
        <v>20</v>
      </c>
      <c r="E981" t="s">
        <v>23</v>
      </c>
      <c r="F981" s="5">
        <v>42736</v>
      </c>
      <c r="G981">
        <v>5</v>
      </c>
    </row>
    <row r="982" spans="1:7" x14ac:dyDescent="0.25">
      <c r="A982" t="s">
        <v>103</v>
      </c>
      <c r="B982" t="s">
        <v>105</v>
      </c>
      <c r="C982">
        <v>1480</v>
      </c>
      <c r="D982" t="s">
        <v>20</v>
      </c>
      <c r="E982" t="s">
        <v>24</v>
      </c>
      <c r="F982" s="5">
        <v>42370</v>
      </c>
      <c r="G982">
        <v>0</v>
      </c>
    </row>
    <row r="983" spans="1:7" x14ac:dyDescent="0.25">
      <c r="A983" t="s">
        <v>103</v>
      </c>
      <c r="B983" t="s">
        <v>105</v>
      </c>
      <c r="C983">
        <v>1480</v>
      </c>
      <c r="D983" t="s">
        <v>20</v>
      </c>
      <c r="E983" t="s">
        <v>24</v>
      </c>
      <c r="F983" s="5">
        <v>42736</v>
      </c>
      <c r="G983">
        <v>0</v>
      </c>
    </row>
    <row r="984" spans="1:7" x14ac:dyDescent="0.25">
      <c r="A984" t="s">
        <v>103</v>
      </c>
      <c r="B984" t="s">
        <v>105</v>
      </c>
      <c r="C984">
        <v>1480</v>
      </c>
      <c r="D984" t="s">
        <v>20</v>
      </c>
      <c r="E984" t="s">
        <v>25</v>
      </c>
      <c r="F984" s="5">
        <v>42370</v>
      </c>
      <c r="G984">
        <v>0</v>
      </c>
    </row>
    <row r="985" spans="1:7" x14ac:dyDescent="0.25">
      <c r="A985" t="s">
        <v>103</v>
      </c>
      <c r="B985" t="s">
        <v>105</v>
      </c>
      <c r="C985">
        <v>1480</v>
      </c>
      <c r="D985" t="s">
        <v>20</v>
      </c>
      <c r="E985" t="s">
        <v>25</v>
      </c>
      <c r="F985" s="5">
        <v>42736</v>
      </c>
      <c r="G985">
        <v>0</v>
      </c>
    </row>
    <row r="986" spans="1:7" x14ac:dyDescent="0.25">
      <c r="A986" t="s">
        <v>103</v>
      </c>
      <c r="B986" t="s">
        <v>105</v>
      </c>
      <c r="C986">
        <v>1480</v>
      </c>
      <c r="D986" t="s">
        <v>20</v>
      </c>
      <c r="E986" t="s">
        <v>26</v>
      </c>
      <c r="F986" s="5">
        <v>42370</v>
      </c>
      <c r="G986">
        <v>59</v>
      </c>
    </row>
    <row r="987" spans="1:7" x14ac:dyDescent="0.25">
      <c r="A987" t="s">
        <v>103</v>
      </c>
      <c r="B987" t="s">
        <v>105</v>
      </c>
      <c r="C987">
        <v>1480</v>
      </c>
      <c r="D987" t="s">
        <v>20</v>
      </c>
      <c r="E987" t="s">
        <v>26</v>
      </c>
      <c r="F987" s="5">
        <v>42736</v>
      </c>
      <c r="G987">
        <v>116</v>
      </c>
    </row>
    <row r="988" spans="1:7" x14ac:dyDescent="0.25">
      <c r="A988" t="s">
        <v>103</v>
      </c>
      <c r="B988" t="s">
        <v>105</v>
      </c>
      <c r="C988">
        <v>1480</v>
      </c>
      <c r="D988" t="s">
        <v>20</v>
      </c>
      <c r="E988" t="s">
        <v>27</v>
      </c>
      <c r="F988" s="5">
        <v>42370</v>
      </c>
      <c r="G988">
        <v>3</v>
      </c>
    </row>
    <row r="989" spans="1:7" x14ac:dyDescent="0.25">
      <c r="A989" t="s">
        <v>103</v>
      </c>
      <c r="B989" t="s">
        <v>105</v>
      </c>
      <c r="C989">
        <v>1480</v>
      </c>
      <c r="D989" t="s">
        <v>20</v>
      </c>
      <c r="E989" t="s">
        <v>27</v>
      </c>
      <c r="F989" s="5">
        <v>42736</v>
      </c>
      <c r="G989">
        <v>5</v>
      </c>
    </row>
    <row r="990" spans="1:7" x14ac:dyDescent="0.25">
      <c r="A990" t="s">
        <v>103</v>
      </c>
      <c r="B990" t="s">
        <v>105</v>
      </c>
      <c r="C990">
        <v>1480</v>
      </c>
      <c r="D990" t="s">
        <v>20</v>
      </c>
      <c r="E990" t="s">
        <v>28</v>
      </c>
      <c r="F990" s="5">
        <v>42370</v>
      </c>
      <c r="G990">
        <v>0</v>
      </c>
    </row>
    <row r="991" spans="1:7" x14ac:dyDescent="0.25">
      <c r="A991" t="s">
        <v>103</v>
      </c>
      <c r="B991" t="s">
        <v>105</v>
      </c>
      <c r="C991">
        <v>1480</v>
      </c>
      <c r="D991" t="s">
        <v>20</v>
      </c>
      <c r="E991" t="s">
        <v>28</v>
      </c>
      <c r="F991" s="5">
        <v>42736</v>
      </c>
      <c r="G991">
        <v>0</v>
      </c>
    </row>
    <row r="992" spans="1:7" x14ac:dyDescent="0.25">
      <c r="A992" t="s">
        <v>103</v>
      </c>
      <c r="B992" t="s">
        <v>105</v>
      </c>
      <c r="C992">
        <v>1480</v>
      </c>
      <c r="D992" t="s">
        <v>20</v>
      </c>
      <c r="E992" t="s">
        <v>29</v>
      </c>
      <c r="F992" s="5">
        <v>42370</v>
      </c>
      <c r="G992">
        <v>71</v>
      </c>
    </row>
    <row r="993" spans="1:7" x14ac:dyDescent="0.25">
      <c r="A993" t="s">
        <v>103</v>
      </c>
      <c r="B993" t="s">
        <v>105</v>
      </c>
      <c r="C993">
        <v>1480</v>
      </c>
      <c r="D993" t="s">
        <v>20</v>
      </c>
      <c r="E993" t="s">
        <v>29</v>
      </c>
      <c r="F993" s="5">
        <v>42736</v>
      </c>
      <c r="G993">
        <v>122</v>
      </c>
    </row>
    <row r="994" spans="1:7" x14ac:dyDescent="0.25">
      <c r="A994" t="s">
        <v>103</v>
      </c>
      <c r="B994" t="s">
        <v>105</v>
      </c>
      <c r="C994">
        <v>1480</v>
      </c>
      <c r="D994" t="s">
        <v>20</v>
      </c>
      <c r="E994" t="s">
        <v>30</v>
      </c>
      <c r="F994" s="5">
        <v>42370</v>
      </c>
      <c r="G994">
        <v>71</v>
      </c>
    </row>
    <row r="995" spans="1:7" x14ac:dyDescent="0.25">
      <c r="A995" t="s">
        <v>103</v>
      </c>
      <c r="B995" t="s">
        <v>105</v>
      </c>
      <c r="C995">
        <v>1480</v>
      </c>
      <c r="D995" t="s">
        <v>20</v>
      </c>
      <c r="E995" t="s">
        <v>30</v>
      </c>
      <c r="F995" s="5">
        <v>42736</v>
      </c>
      <c r="G995">
        <v>122</v>
      </c>
    </row>
    <row r="996" spans="1:7" x14ac:dyDescent="0.25">
      <c r="A996" t="s">
        <v>103</v>
      </c>
      <c r="B996" t="s">
        <v>105</v>
      </c>
      <c r="C996">
        <v>1480</v>
      </c>
      <c r="D996" t="s">
        <v>20</v>
      </c>
      <c r="E996" t="s">
        <v>31</v>
      </c>
      <c r="F996" s="5">
        <v>42370</v>
      </c>
      <c r="G996">
        <v>169</v>
      </c>
    </row>
    <row r="997" spans="1:7" x14ac:dyDescent="0.25">
      <c r="A997" t="s">
        <v>103</v>
      </c>
      <c r="B997" t="s">
        <v>105</v>
      </c>
      <c r="C997">
        <v>1480</v>
      </c>
      <c r="D997" t="s">
        <v>20</v>
      </c>
      <c r="E997" t="s">
        <v>31</v>
      </c>
      <c r="F997" s="5">
        <v>42736</v>
      </c>
      <c r="G997">
        <v>355</v>
      </c>
    </row>
    <row r="998" spans="1:7" x14ac:dyDescent="0.25">
      <c r="A998" t="s">
        <v>103</v>
      </c>
      <c r="B998" t="s">
        <v>105</v>
      </c>
      <c r="C998">
        <v>1480</v>
      </c>
      <c r="D998" t="s">
        <v>20</v>
      </c>
      <c r="E998" t="s">
        <v>32</v>
      </c>
      <c r="F998" s="5">
        <v>42370</v>
      </c>
      <c r="G998">
        <v>80</v>
      </c>
    </row>
    <row r="999" spans="1:7" x14ac:dyDescent="0.25">
      <c r="A999" t="s">
        <v>103</v>
      </c>
      <c r="B999" t="s">
        <v>105</v>
      </c>
      <c r="C999">
        <v>1480</v>
      </c>
      <c r="D999" t="s">
        <v>20</v>
      </c>
      <c r="E999" t="s">
        <v>32</v>
      </c>
      <c r="F999" s="5">
        <v>42736</v>
      </c>
      <c r="G999">
        <v>120</v>
      </c>
    </row>
    <row r="1000" spans="1:7" x14ac:dyDescent="0.25">
      <c r="A1000" t="s">
        <v>103</v>
      </c>
      <c r="B1000" t="s">
        <v>105</v>
      </c>
      <c r="C1000">
        <v>1480</v>
      </c>
      <c r="D1000" t="s">
        <v>33</v>
      </c>
      <c r="E1000" t="s">
        <v>9</v>
      </c>
      <c r="F1000" s="5">
        <v>42370</v>
      </c>
      <c r="G1000">
        <v>0</v>
      </c>
    </row>
    <row r="1001" spans="1:7" x14ac:dyDescent="0.25">
      <c r="A1001" t="s">
        <v>103</v>
      </c>
      <c r="B1001" t="s">
        <v>105</v>
      </c>
      <c r="C1001">
        <v>1480</v>
      </c>
      <c r="D1001" t="s">
        <v>33</v>
      </c>
      <c r="E1001" t="s">
        <v>9</v>
      </c>
      <c r="F1001" s="5">
        <v>42736</v>
      </c>
      <c r="G1001">
        <v>0</v>
      </c>
    </row>
    <row r="1002" spans="1:7" x14ac:dyDescent="0.25">
      <c r="A1002" t="s">
        <v>103</v>
      </c>
      <c r="B1002" t="s">
        <v>105</v>
      </c>
      <c r="C1002">
        <v>1480</v>
      </c>
      <c r="D1002" t="s">
        <v>33</v>
      </c>
      <c r="E1002" t="s">
        <v>34</v>
      </c>
      <c r="F1002" s="5">
        <v>42370</v>
      </c>
      <c r="G1002">
        <v>0</v>
      </c>
    </row>
    <row r="1003" spans="1:7" x14ac:dyDescent="0.25">
      <c r="A1003" t="s">
        <v>103</v>
      </c>
      <c r="B1003" t="s">
        <v>105</v>
      </c>
      <c r="C1003">
        <v>1480</v>
      </c>
      <c r="D1003" t="s">
        <v>33</v>
      </c>
      <c r="E1003" t="s">
        <v>34</v>
      </c>
      <c r="F1003" s="5">
        <v>42736</v>
      </c>
      <c r="G1003">
        <v>0</v>
      </c>
    </row>
    <row r="1004" spans="1:7" x14ac:dyDescent="0.25">
      <c r="A1004" t="s">
        <v>103</v>
      </c>
      <c r="B1004" t="s">
        <v>105</v>
      </c>
      <c r="C1004">
        <v>1480</v>
      </c>
      <c r="D1004" t="s">
        <v>35</v>
      </c>
      <c r="E1004" t="s">
        <v>36</v>
      </c>
      <c r="F1004" s="5">
        <v>42370</v>
      </c>
      <c r="G1004">
        <v>0</v>
      </c>
    </row>
    <row r="1005" spans="1:7" x14ac:dyDescent="0.25">
      <c r="A1005" t="s">
        <v>103</v>
      </c>
      <c r="B1005" t="s">
        <v>105</v>
      </c>
      <c r="C1005">
        <v>1480</v>
      </c>
      <c r="D1005" t="s">
        <v>35</v>
      </c>
      <c r="E1005" t="s">
        <v>36</v>
      </c>
      <c r="F1005" s="5">
        <v>42736</v>
      </c>
      <c r="G1005">
        <v>0</v>
      </c>
    </row>
    <row r="1006" spans="1:7" x14ac:dyDescent="0.25">
      <c r="A1006" t="s">
        <v>103</v>
      </c>
      <c r="B1006" t="s">
        <v>105</v>
      </c>
      <c r="C1006">
        <v>1480</v>
      </c>
      <c r="D1006" t="s">
        <v>35</v>
      </c>
      <c r="E1006" t="s">
        <v>37</v>
      </c>
      <c r="F1006" s="5">
        <v>42370</v>
      </c>
      <c r="G1006">
        <v>0</v>
      </c>
    </row>
    <row r="1007" spans="1:7" x14ac:dyDescent="0.25">
      <c r="A1007" t="s">
        <v>103</v>
      </c>
      <c r="B1007" t="s">
        <v>105</v>
      </c>
      <c r="C1007">
        <v>1480</v>
      </c>
      <c r="D1007" t="s">
        <v>35</v>
      </c>
      <c r="E1007" t="s">
        <v>37</v>
      </c>
      <c r="F1007" s="5">
        <v>42736</v>
      </c>
      <c r="G1007">
        <v>0</v>
      </c>
    </row>
    <row r="1008" spans="1:7" x14ac:dyDescent="0.25">
      <c r="A1008" t="s">
        <v>103</v>
      </c>
      <c r="B1008" t="s">
        <v>105</v>
      </c>
      <c r="C1008">
        <v>1480</v>
      </c>
      <c r="D1008" t="s">
        <v>35</v>
      </c>
      <c r="E1008" t="s">
        <v>38</v>
      </c>
      <c r="F1008" s="5">
        <v>42370</v>
      </c>
      <c r="G1008">
        <v>0</v>
      </c>
    </row>
    <row r="1009" spans="1:7" x14ac:dyDescent="0.25">
      <c r="A1009" t="s">
        <v>103</v>
      </c>
      <c r="B1009" t="s">
        <v>105</v>
      </c>
      <c r="C1009">
        <v>1480</v>
      </c>
      <c r="D1009" t="s">
        <v>35</v>
      </c>
      <c r="E1009" t="s">
        <v>38</v>
      </c>
      <c r="F1009" s="5">
        <v>42736</v>
      </c>
      <c r="G1009">
        <v>0</v>
      </c>
    </row>
    <row r="1010" spans="1:7" x14ac:dyDescent="0.25">
      <c r="A1010" t="s">
        <v>103</v>
      </c>
      <c r="B1010" t="s">
        <v>105</v>
      </c>
      <c r="C1010">
        <v>1480</v>
      </c>
      <c r="D1010" t="s">
        <v>35</v>
      </c>
      <c r="E1010" t="s">
        <v>39</v>
      </c>
      <c r="F1010" s="5">
        <v>42370</v>
      </c>
      <c r="G1010">
        <v>0</v>
      </c>
    </row>
    <row r="1011" spans="1:7" x14ac:dyDescent="0.25">
      <c r="A1011" t="s">
        <v>103</v>
      </c>
      <c r="B1011" t="s">
        <v>105</v>
      </c>
      <c r="C1011">
        <v>1480</v>
      </c>
      <c r="D1011" t="s">
        <v>35</v>
      </c>
      <c r="E1011" t="s">
        <v>39</v>
      </c>
      <c r="F1011" s="5">
        <v>42736</v>
      </c>
      <c r="G1011">
        <v>0</v>
      </c>
    </row>
    <row r="1012" spans="1:7" x14ac:dyDescent="0.25">
      <c r="A1012" t="s">
        <v>103</v>
      </c>
      <c r="B1012" t="s">
        <v>105</v>
      </c>
      <c r="C1012">
        <v>1480</v>
      </c>
      <c r="D1012" t="s">
        <v>35</v>
      </c>
      <c r="E1012" t="s">
        <v>40</v>
      </c>
      <c r="F1012" s="5">
        <v>42370</v>
      </c>
      <c r="G1012">
        <v>0</v>
      </c>
    </row>
    <row r="1013" spans="1:7" x14ac:dyDescent="0.25">
      <c r="A1013" t="s">
        <v>103</v>
      </c>
      <c r="B1013" t="s">
        <v>105</v>
      </c>
      <c r="C1013">
        <v>1480</v>
      </c>
      <c r="D1013" t="s">
        <v>35</v>
      </c>
      <c r="E1013" t="s">
        <v>40</v>
      </c>
      <c r="F1013" s="5">
        <v>42736</v>
      </c>
      <c r="G1013">
        <v>0</v>
      </c>
    </row>
    <row r="1014" spans="1:7" x14ac:dyDescent="0.25">
      <c r="A1014" t="s">
        <v>103</v>
      </c>
      <c r="B1014" t="s">
        <v>105</v>
      </c>
      <c r="C1014">
        <v>1480</v>
      </c>
      <c r="D1014" t="s">
        <v>35</v>
      </c>
      <c r="E1014" t="s">
        <v>41</v>
      </c>
      <c r="F1014" s="5">
        <v>42370</v>
      </c>
      <c r="G1014">
        <v>0</v>
      </c>
    </row>
    <row r="1015" spans="1:7" x14ac:dyDescent="0.25">
      <c r="A1015" t="s">
        <v>103</v>
      </c>
      <c r="B1015" t="s">
        <v>105</v>
      </c>
      <c r="C1015">
        <v>1480</v>
      </c>
      <c r="D1015" t="s">
        <v>35</v>
      </c>
      <c r="E1015" t="s">
        <v>41</v>
      </c>
      <c r="F1015" s="5">
        <v>42736</v>
      </c>
      <c r="G1015">
        <v>0</v>
      </c>
    </row>
    <row r="1016" spans="1:7" x14ac:dyDescent="0.25">
      <c r="A1016" t="s">
        <v>103</v>
      </c>
      <c r="B1016" t="s">
        <v>105</v>
      </c>
      <c r="C1016">
        <v>1480</v>
      </c>
      <c r="D1016" t="s">
        <v>35</v>
      </c>
      <c r="E1016" t="s">
        <v>42</v>
      </c>
      <c r="F1016" s="5">
        <v>42370</v>
      </c>
      <c r="G1016">
        <v>0</v>
      </c>
    </row>
    <row r="1017" spans="1:7" x14ac:dyDescent="0.25">
      <c r="A1017" t="s">
        <v>103</v>
      </c>
      <c r="B1017" t="s">
        <v>105</v>
      </c>
      <c r="C1017">
        <v>1480</v>
      </c>
      <c r="D1017" t="s">
        <v>35</v>
      </c>
      <c r="E1017" t="s">
        <v>42</v>
      </c>
      <c r="F1017" s="5">
        <v>42736</v>
      </c>
      <c r="G1017">
        <v>0</v>
      </c>
    </row>
    <row r="1018" spans="1:7" x14ac:dyDescent="0.25">
      <c r="A1018" t="s">
        <v>103</v>
      </c>
      <c r="B1018" t="s">
        <v>105</v>
      </c>
      <c r="C1018">
        <v>1480</v>
      </c>
      <c r="D1018" t="s">
        <v>35</v>
      </c>
      <c r="E1018" t="s">
        <v>43</v>
      </c>
      <c r="F1018" s="5">
        <v>42370</v>
      </c>
      <c r="G1018">
        <v>0</v>
      </c>
    </row>
    <row r="1019" spans="1:7" x14ac:dyDescent="0.25">
      <c r="A1019" t="s">
        <v>103</v>
      </c>
      <c r="B1019" t="s">
        <v>105</v>
      </c>
      <c r="C1019">
        <v>1480</v>
      </c>
      <c r="D1019" t="s">
        <v>35</v>
      </c>
      <c r="E1019" t="s">
        <v>43</v>
      </c>
      <c r="F1019" s="5">
        <v>42736</v>
      </c>
      <c r="G1019">
        <v>0</v>
      </c>
    </row>
    <row r="1020" spans="1:7" x14ac:dyDescent="0.25">
      <c r="A1020" t="s">
        <v>103</v>
      </c>
      <c r="B1020" t="s">
        <v>105</v>
      </c>
      <c r="C1020">
        <v>1480</v>
      </c>
      <c r="D1020" t="s">
        <v>44</v>
      </c>
      <c r="E1020" t="s">
        <v>36</v>
      </c>
      <c r="F1020" s="5">
        <v>42370</v>
      </c>
      <c r="G1020">
        <v>0</v>
      </c>
    </row>
    <row r="1021" spans="1:7" x14ac:dyDescent="0.25">
      <c r="A1021" t="s">
        <v>103</v>
      </c>
      <c r="B1021" t="s">
        <v>105</v>
      </c>
      <c r="C1021">
        <v>1480</v>
      </c>
      <c r="D1021" t="s">
        <v>44</v>
      </c>
      <c r="E1021" t="s">
        <v>36</v>
      </c>
      <c r="F1021" s="5">
        <v>42736</v>
      </c>
      <c r="G1021">
        <v>0</v>
      </c>
    </row>
    <row r="1022" spans="1:7" x14ac:dyDescent="0.25">
      <c r="A1022" t="s">
        <v>103</v>
      </c>
      <c r="B1022" t="s">
        <v>105</v>
      </c>
      <c r="C1022">
        <v>1480</v>
      </c>
      <c r="D1022" t="s">
        <v>44</v>
      </c>
      <c r="E1022" t="s">
        <v>37</v>
      </c>
      <c r="F1022" s="5">
        <v>42370</v>
      </c>
      <c r="G1022">
        <v>0</v>
      </c>
    </row>
    <row r="1023" spans="1:7" x14ac:dyDescent="0.25">
      <c r="A1023" t="s">
        <v>103</v>
      </c>
      <c r="B1023" t="s">
        <v>105</v>
      </c>
      <c r="C1023">
        <v>1480</v>
      </c>
      <c r="D1023" t="s">
        <v>44</v>
      </c>
      <c r="E1023" t="s">
        <v>37</v>
      </c>
      <c r="F1023" s="5">
        <v>42736</v>
      </c>
      <c r="G1023">
        <v>0</v>
      </c>
    </row>
    <row r="1024" spans="1:7" x14ac:dyDescent="0.25">
      <c r="A1024" t="s">
        <v>103</v>
      </c>
      <c r="B1024" t="s">
        <v>105</v>
      </c>
      <c r="C1024">
        <v>1480</v>
      </c>
      <c r="D1024" t="s">
        <v>44</v>
      </c>
      <c r="E1024" t="s">
        <v>38</v>
      </c>
      <c r="F1024" s="5">
        <v>42370</v>
      </c>
      <c r="G1024">
        <v>0</v>
      </c>
    </row>
    <row r="1025" spans="1:7" x14ac:dyDescent="0.25">
      <c r="A1025" t="s">
        <v>103</v>
      </c>
      <c r="B1025" t="s">
        <v>105</v>
      </c>
      <c r="C1025">
        <v>1480</v>
      </c>
      <c r="D1025" t="s">
        <v>44</v>
      </c>
      <c r="E1025" t="s">
        <v>38</v>
      </c>
      <c r="F1025" s="5">
        <v>42736</v>
      </c>
      <c r="G1025">
        <v>0</v>
      </c>
    </row>
    <row r="1026" spans="1:7" x14ac:dyDescent="0.25">
      <c r="A1026" t="s">
        <v>103</v>
      </c>
      <c r="B1026" t="s">
        <v>105</v>
      </c>
      <c r="C1026">
        <v>1480</v>
      </c>
      <c r="D1026" t="s">
        <v>44</v>
      </c>
      <c r="E1026" t="s">
        <v>39</v>
      </c>
      <c r="F1026" s="5">
        <v>42370</v>
      </c>
      <c r="G1026">
        <v>0</v>
      </c>
    </row>
    <row r="1027" spans="1:7" x14ac:dyDescent="0.25">
      <c r="A1027" t="s">
        <v>103</v>
      </c>
      <c r="B1027" t="s">
        <v>105</v>
      </c>
      <c r="C1027">
        <v>1480</v>
      </c>
      <c r="D1027" t="s">
        <v>44</v>
      </c>
      <c r="E1027" t="s">
        <v>39</v>
      </c>
      <c r="F1027" s="5">
        <v>42736</v>
      </c>
      <c r="G1027">
        <v>0</v>
      </c>
    </row>
    <row r="1028" spans="1:7" x14ac:dyDescent="0.25">
      <c r="A1028" t="s">
        <v>103</v>
      </c>
      <c r="B1028" t="s">
        <v>105</v>
      </c>
      <c r="C1028">
        <v>1480</v>
      </c>
      <c r="D1028" t="s">
        <v>44</v>
      </c>
      <c r="E1028" t="s">
        <v>40</v>
      </c>
      <c r="F1028" s="5">
        <v>42370</v>
      </c>
      <c r="G1028">
        <v>0</v>
      </c>
    </row>
    <row r="1029" spans="1:7" x14ac:dyDescent="0.25">
      <c r="A1029" t="s">
        <v>103</v>
      </c>
      <c r="B1029" t="s">
        <v>105</v>
      </c>
      <c r="C1029">
        <v>1480</v>
      </c>
      <c r="D1029" t="s">
        <v>44</v>
      </c>
      <c r="E1029" t="s">
        <v>40</v>
      </c>
      <c r="F1029" s="5">
        <v>42736</v>
      </c>
      <c r="G1029">
        <v>0</v>
      </c>
    </row>
    <row r="1030" spans="1:7" x14ac:dyDescent="0.25">
      <c r="A1030" t="s">
        <v>103</v>
      </c>
      <c r="B1030" t="s">
        <v>105</v>
      </c>
      <c r="C1030">
        <v>1480</v>
      </c>
      <c r="D1030" t="s">
        <v>44</v>
      </c>
      <c r="E1030" t="s">
        <v>41</v>
      </c>
      <c r="F1030" s="5">
        <v>42370</v>
      </c>
      <c r="G1030">
        <v>0</v>
      </c>
    </row>
    <row r="1031" spans="1:7" x14ac:dyDescent="0.25">
      <c r="A1031" t="s">
        <v>103</v>
      </c>
      <c r="B1031" t="s">
        <v>105</v>
      </c>
      <c r="C1031">
        <v>1480</v>
      </c>
      <c r="D1031" t="s">
        <v>44</v>
      </c>
      <c r="E1031" t="s">
        <v>41</v>
      </c>
      <c r="F1031" s="5">
        <v>42736</v>
      </c>
      <c r="G1031">
        <v>0</v>
      </c>
    </row>
    <row r="1032" spans="1:7" x14ac:dyDescent="0.25">
      <c r="A1032" t="s">
        <v>103</v>
      </c>
      <c r="B1032" t="s">
        <v>105</v>
      </c>
      <c r="C1032">
        <v>1480</v>
      </c>
      <c r="D1032" t="s">
        <v>44</v>
      </c>
      <c r="E1032" t="s">
        <v>42</v>
      </c>
      <c r="F1032" s="5">
        <v>42370</v>
      </c>
      <c r="G1032">
        <v>0</v>
      </c>
    </row>
    <row r="1033" spans="1:7" x14ac:dyDescent="0.25">
      <c r="A1033" t="s">
        <v>103</v>
      </c>
      <c r="B1033" t="s">
        <v>105</v>
      </c>
      <c r="C1033">
        <v>1480</v>
      </c>
      <c r="D1033" t="s">
        <v>44</v>
      </c>
      <c r="E1033" t="s">
        <v>42</v>
      </c>
      <c r="F1033" s="5">
        <v>42736</v>
      </c>
      <c r="G1033">
        <v>0</v>
      </c>
    </row>
    <row r="1034" spans="1:7" x14ac:dyDescent="0.25">
      <c r="A1034" t="s">
        <v>103</v>
      </c>
      <c r="B1034" t="s">
        <v>105</v>
      </c>
      <c r="C1034">
        <v>1480</v>
      </c>
      <c r="D1034" t="s">
        <v>44</v>
      </c>
      <c r="E1034" t="s">
        <v>43</v>
      </c>
      <c r="F1034" s="5">
        <v>42370</v>
      </c>
      <c r="G1034">
        <v>0</v>
      </c>
    </row>
    <row r="1035" spans="1:7" x14ac:dyDescent="0.25">
      <c r="A1035" t="s">
        <v>103</v>
      </c>
      <c r="B1035" t="s">
        <v>105</v>
      </c>
      <c r="C1035">
        <v>1480</v>
      </c>
      <c r="D1035" t="s">
        <v>44</v>
      </c>
      <c r="E1035" t="s">
        <v>43</v>
      </c>
      <c r="F1035" s="5">
        <v>42736</v>
      </c>
      <c r="G1035">
        <v>0</v>
      </c>
    </row>
    <row r="1036" spans="1:7" x14ac:dyDescent="0.25">
      <c r="A1036" t="s">
        <v>103</v>
      </c>
      <c r="B1036" t="s">
        <v>105</v>
      </c>
      <c r="C1036">
        <v>1480</v>
      </c>
      <c r="D1036" t="s">
        <v>45</v>
      </c>
      <c r="E1036" t="s">
        <v>46</v>
      </c>
      <c r="F1036" s="5">
        <v>42370</v>
      </c>
      <c r="G1036">
        <v>0</v>
      </c>
    </row>
    <row r="1037" spans="1:7" x14ac:dyDescent="0.25">
      <c r="A1037" t="s">
        <v>103</v>
      </c>
      <c r="B1037" t="s">
        <v>105</v>
      </c>
      <c r="C1037">
        <v>1480</v>
      </c>
      <c r="D1037" t="s">
        <v>45</v>
      </c>
      <c r="E1037" t="s">
        <v>46</v>
      </c>
      <c r="F1037" s="5">
        <v>42736</v>
      </c>
      <c r="G1037">
        <v>0</v>
      </c>
    </row>
    <row r="1038" spans="1:7" x14ac:dyDescent="0.25">
      <c r="A1038" t="s">
        <v>103</v>
      </c>
      <c r="B1038" t="s">
        <v>105</v>
      </c>
      <c r="C1038">
        <v>1480</v>
      </c>
      <c r="D1038" t="s">
        <v>45</v>
      </c>
      <c r="E1038" t="s">
        <v>47</v>
      </c>
      <c r="F1038" s="5">
        <v>42370</v>
      </c>
      <c r="G1038">
        <v>3</v>
      </c>
    </row>
    <row r="1039" spans="1:7" x14ac:dyDescent="0.25">
      <c r="A1039" t="s">
        <v>103</v>
      </c>
      <c r="B1039" t="s">
        <v>105</v>
      </c>
      <c r="C1039">
        <v>1480</v>
      </c>
      <c r="D1039" t="s">
        <v>45</v>
      </c>
      <c r="E1039" t="s">
        <v>47</v>
      </c>
      <c r="F1039" s="5">
        <v>42736</v>
      </c>
      <c r="G1039">
        <v>6</v>
      </c>
    </row>
    <row r="1040" spans="1:7" x14ac:dyDescent="0.25">
      <c r="A1040" t="s">
        <v>103</v>
      </c>
      <c r="B1040" t="s">
        <v>105</v>
      </c>
      <c r="C1040">
        <v>1480</v>
      </c>
      <c r="D1040" t="s">
        <v>45</v>
      </c>
      <c r="E1040" t="s">
        <v>48</v>
      </c>
      <c r="F1040" s="5">
        <v>42370</v>
      </c>
      <c r="G1040">
        <v>20</v>
      </c>
    </row>
    <row r="1041" spans="1:7" x14ac:dyDescent="0.25">
      <c r="A1041" t="s">
        <v>103</v>
      </c>
      <c r="B1041" t="s">
        <v>105</v>
      </c>
      <c r="C1041">
        <v>1480</v>
      </c>
      <c r="D1041" t="s">
        <v>45</v>
      </c>
      <c r="E1041" t="s">
        <v>48</v>
      </c>
      <c r="F1041" s="5">
        <v>42736</v>
      </c>
      <c r="G1041">
        <v>20</v>
      </c>
    </row>
    <row r="1042" spans="1:7" x14ac:dyDescent="0.25">
      <c r="A1042" t="s">
        <v>103</v>
      </c>
      <c r="B1042" t="s">
        <v>105</v>
      </c>
      <c r="C1042">
        <v>1480</v>
      </c>
      <c r="D1042" t="s">
        <v>45</v>
      </c>
      <c r="E1042" t="s">
        <v>49</v>
      </c>
      <c r="F1042" s="5">
        <v>42370</v>
      </c>
      <c r="G1042">
        <v>58</v>
      </c>
    </row>
    <row r="1043" spans="1:7" x14ac:dyDescent="0.25">
      <c r="A1043" t="s">
        <v>103</v>
      </c>
      <c r="B1043" t="s">
        <v>105</v>
      </c>
      <c r="C1043">
        <v>1480</v>
      </c>
      <c r="D1043" t="s">
        <v>45</v>
      </c>
      <c r="E1043" t="s">
        <v>49</v>
      </c>
      <c r="F1043" s="5">
        <v>42736</v>
      </c>
      <c r="G1043">
        <v>37</v>
      </c>
    </row>
    <row r="1044" spans="1:7" x14ac:dyDescent="0.25">
      <c r="A1044" t="s">
        <v>103</v>
      </c>
      <c r="B1044" t="s">
        <v>105</v>
      </c>
      <c r="C1044">
        <v>1480</v>
      </c>
      <c r="D1044" t="s">
        <v>45</v>
      </c>
      <c r="E1044" t="s">
        <v>50</v>
      </c>
      <c r="F1044" s="5">
        <v>42370</v>
      </c>
      <c r="G1044">
        <v>1</v>
      </c>
    </row>
    <row r="1045" spans="1:7" x14ac:dyDescent="0.25">
      <c r="A1045" t="s">
        <v>103</v>
      </c>
      <c r="B1045" t="s">
        <v>105</v>
      </c>
      <c r="C1045">
        <v>1480</v>
      </c>
      <c r="D1045" t="s">
        <v>45</v>
      </c>
      <c r="E1045" t="s">
        <v>50</v>
      </c>
      <c r="F1045" s="5">
        <v>42736</v>
      </c>
      <c r="G1045">
        <v>3</v>
      </c>
    </row>
    <row r="1046" spans="1:7" x14ac:dyDescent="0.25">
      <c r="A1046" t="s">
        <v>103</v>
      </c>
      <c r="B1046" t="s">
        <v>105</v>
      </c>
      <c r="C1046">
        <v>1480</v>
      </c>
      <c r="D1046" t="s">
        <v>45</v>
      </c>
      <c r="E1046" t="s">
        <v>51</v>
      </c>
      <c r="F1046" s="5">
        <v>42370</v>
      </c>
      <c r="G1046">
        <v>0</v>
      </c>
    </row>
    <row r="1047" spans="1:7" x14ac:dyDescent="0.25">
      <c r="A1047" t="s">
        <v>103</v>
      </c>
      <c r="B1047" t="s">
        <v>105</v>
      </c>
      <c r="C1047">
        <v>1480</v>
      </c>
      <c r="D1047" t="s">
        <v>45</v>
      </c>
      <c r="E1047" t="s">
        <v>51</v>
      </c>
      <c r="F1047" s="5">
        <v>42736</v>
      </c>
      <c r="G1047">
        <v>0</v>
      </c>
    </row>
    <row r="1048" spans="1:7" x14ac:dyDescent="0.25">
      <c r="A1048" t="s">
        <v>103</v>
      </c>
      <c r="B1048" t="s">
        <v>105</v>
      </c>
      <c r="C1048">
        <v>1480</v>
      </c>
      <c r="D1048" t="s">
        <v>45</v>
      </c>
      <c r="E1048" t="s">
        <v>52</v>
      </c>
      <c r="F1048" s="5">
        <v>42370</v>
      </c>
      <c r="G1048">
        <v>0</v>
      </c>
    </row>
    <row r="1049" spans="1:7" x14ac:dyDescent="0.25">
      <c r="A1049" t="s">
        <v>103</v>
      </c>
      <c r="B1049" t="s">
        <v>105</v>
      </c>
      <c r="C1049">
        <v>1480</v>
      </c>
      <c r="D1049" t="s">
        <v>45</v>
      </c>
      <c r="E1049" t="s">
        <v>52</v>
      </c>
      <c r="F1049" s="5">
        <v>42736</v>
      </c>
      <c r="G1049">
        <v>0</v>
      </c>
    </row>
    <row r="1050" spans="1:7" x14ac:dyDescent="0.25">
      <c r="A1050" t="s">
        <v>103</v>
      </c>
      <c r="B1050" t="s">
        <v>105</v>
      </c>
      <c r="C1050">
        <v>1480</v>
      </c>
      <c r="D1050" t="s">
        <v>45</v>
      </c>
      <c r="E1050" t="s">
        <v>53</v>
      </c>
      <c r="F1050" s="5">
        <v>42370</v>
      </c>
      <c r="G1050">
        <v>34</v>
      </c>
    </row>
    <row r="1051" spans="1:7" x14ac:dyDescent="0.25">
      <c r="A1051" t="s">
        <v>103</v>
      </c>
      <c r="B1051" t="s">
        <v>105</v>
      </c>
      <c r="C1051">
        <v>1480</v>
      </c>
      <c r="D1051" t="s">
        <v>45</v>
      </c>
      <c r="E1051" t="s">
        <v>53</v>
      </c>
      <c r="F1051" s="5">
        <v>42736</v>
      </c>
      <c r="G1051">
        <v>19</v>
      </c>
    </row>
    <row r="1052" spans="1:7" x14ac:dyDescent="0.25">
      <c r="A1052" t="s">
        <v>103</v>
      </c>
      <c r="B1052" t="s">
        <v>105</v>
      </c>
      <c r="C1052">
        <v>1480</v>
      </c>
      <c r="D1052" t="s">
        <v>45</v>
      </c>
      <c r="E1052" t="s">
        <v>54</v>
      </c>
      <c r="F1052" s="5">
        <v>42370</v>
      </c>
      <c r="G1052">
        <v>0</v>
      </c>
    </row>
    <row r="1053" spans="1:7" x14ac:dyDescent="0.25">
      <c r="A1053" t="s">
        <v>103</v>
      </c>
      <c r="B1053" t="s">
        <v>105</v>
      </c>
      <c r="C1053">
        <v>1480</v>
      </c>
      <c r="D1053" t="s">
        <v>45</v>
      </c>
      <c r="E1053" t="s">
        <v>54</v>
      </c>
      <c r="F1053" s="5">
        <v>42736</v>
      </c>
      <c r="G1053">
        <v>5</v>
      </c>
    </row>
    <row r="1054" spans="1:7" x14ac:dyDescent="0.25">
      <c r="A1054" t="s">
        <v>103</v>
      </c>
      <c r="B1054" t="s">
        <v>105</v>
      </c>
      <c r="C1054">
        <v>1480</v>
      </c>
      <c r="D1054" t="s">
        <v>45</v>
      </c>
      <c r="E1054" t="s">
        <v>55</v>
      </c>
      <c r="F1054" s="5">
        <v>42370</v>
      </c>
      <c r="G1054">
        <v>0</v>
      </c>
    </row>
    <row r="1055" spans="1:7" x14ac:dyDescent="0.25">
      <c r="A1055" t="s">
        <v>103</v>
      </c>
      <c r="B1055" t="s">
        <v>105</v>
      </c>
      <c r="C1055">
        <v>1480</v>
      </c>
      <c r="D1055" t="s">
        <v>45</v>
      </c>
      <c r="E1055" t="s">
        <v>55</v>
      </c>
      <c r="F1055" s="5">
        <v>42736</v>
      </c>
      <c r="G1055">
        <v>0</v>
      </c>
    </row>
    <row r="1056" spans="1:7" x14ac:dyDescent="0.25">
      <c r="A1056" t="s">
        <v>103</v>
      </c>
      <c r="B1056" t="s">
        <v>105</v>
      </c>
      <c r="C1056">
        <v>1480</v>
      </c>
      <c r="D1056" t="s">
        <v>45</v>
      </c>
      <c r="E1056" t="s">
        <v>56</v>
      </c>
      <c r="F1056" s="5">
        <v>42370</v>
      </c>
      <c r="G1056">
        <v>4</v>
      </c>
    </row>
    <row r="1057" spans="1:7" x14ac:dyDescent="0.25">
      <c r="A1057" t="s">
        <v>103</v>
      </c>
      <c r="B1057" t="s">
        <v>105</v>
      </c>
      <c r="C1057">
        <v>1480</v>
      </c>
      <c r="D1057" t="s">
        <v>45</v>
      </c>
      <c r="E1057" t="s">
        <v>56</v>
      </c>
      <c r="F1057" s="5">
        <v>42736</v>
      </c>
      <c r="G1057">
        <v>2</v>
      </c>
    </row>
    <row r="1058" spans="1:7" x14ac:dyDescent="0.25">
      <c r="A1058" t="s">
        <v>103</v>
      </c>
      <c r="B1058" t="s">
        <v>105</v>
      </c>
      <c r="C1058">
        <v>1480</v>
      </c>
      <c r="D1058" t="s">
        <v>45</v>
      </c>
      <c r="E1058" t="s">
        <v>57</v>
      </c>
      <c r="F1058" s="5">
        <v>42370</v>
      </c>
      <c r="G1058">
        <v>0</v>
      </c>
    </row>
    <row r="1059" spans="1:7" x14ac:dyDescent="0.25">
      <c r="A1059" t="s">
        <v>103</v>
      </c>
      <c r="B1059" t="s">
        <v>105</v>
      </c>
      <c r="C1059">
        <v>1480</v>
      </c>
      <c r="D1059" t="s">
        <v>45</v>
      </c>
      <c r="E1059" t="s">
        <v>57</v>
      </c>
      <c r="F1059" s="5">
        <v>42736</v>
      </c>
      <c r="G1059">
        <v>1</v>
      </c>
    </row>
    <row r="1060" spans="1:7" x14ac:dyDescent="0.25">
      <c r="A1060" t="s">
        <v>103</v>
      </c>
      <c r="B1060" t="s">
        <v>105</v>
      </c>
      <c r="C1060">
        <v>1480</v>
      </c>
      <c r="D1060" t="s">
        <v>45</v>
      </c>
      <c r="E1060" t="s">
        <v>58</v>
      </c>
      <c r="F1060" s="5">
        <v>42370</v>
      </c>
      <c r="G1060">
        <v>4</v>
      </c>
    </row>
    <row r="1061" spans="1:7" x14ac:dyDescent="0.25">
      <c r="A1061" t="s">
        <v>103</v>
      </c>
      <c r="B1061" t="s">
        <v>105</v>
      </c>
      <c r="C1061">
        <v>1480</v>
      </c>
      <c r="D1061" t="s">
        <v>45</v>
      </c>
      <c r="E1061" t="s">
        <v>58</v>
      </c>
      <c r="F1061" s="5">
        <v>42736</v>
      </c>
      <c r="G1061">
        <v>1</v>
      </c>
    </row>
    <row r="1062" spans="1:7" x14ac:dyDescent="0.25">
      <c r="A1062" t="s">
        <v>103</v>
      </c>
      <c r="B1062" t="s">
        <v>105</v>
      </c>
      <c r="C1062">
        <v>1480</v>
      </c>
      <c r="D1062" t="s">
        <v>45</v>
      </c>
      <c r="E1062" t="s">
        <v>59</v>
      </c>
      <c r="F1062" s="5">
        <v>42370</v>
      </c>
      <c r="G1062">
        <v>3</v>
      </c>
    </row>
    <row r="1063" spans="1:7" x14ac:dyDescent="0.25">
      <c r="A1063" t="s">
        <v>103</v>
      </c>
      <c r="B1063" t="s">
        <v>105</v>
      </c>
      <c r="C1063">
        <v>1480</v>
      </c>
      <c r="D1063" t="s">
        <v>45</v>
      </c>
      <c r="E1063" t="s">
        <v>59</v>
      </c>
      <c r="F1063" s="5">
        <v>42736</v>
      </c>
      <c r="G1063">
        <v>1</v>
      </c>
    </row>
    <row r="1064" spans="1:7" x14ac:dyDescent="0.25">
      <c r="A1064" t="s">
        <v>103</v>
      </c>
      <c r="B1064" t="s">
        <v>105</v>
      </c>
      <c r="C1064">
        <v>1480</v>
      </c>
      <c r="D1064" t="s">
        <v>45</v>
      </c>
      <c r="E1064" t="s">
        <v>60</v>
      </c>
      <c r="F1064" s="5">
        <v>42370</v>
      </c>
      <c r="G1064">
        <v>17</v>
      </c>
    </row>
    <row r="1065" spans="1:7" x14ac:dyDescent="0.25">
      <c r="A1065" t="s">
        <v>103</v>
      </c>
      <c r="B1065" t="s">
        <v>105</v>
      </c>
      <c r="C1065">
        <v>1480</v>
      </c>
      <c r="D1065" t="s">
        <v>45</v>
      </c>
      <c r="E1065" t="s">
        <v>60</v>
      </c>
      <c r="F1065" s="5">
        <v>42736</v>
      </c>
      <c r="G1065">
        <v>10</v>
      </c>
    </row>
    <row r="1066" spans="1:7" x14ac:dyDescent="0.25">
      <c r="A1066" t="s">
        <v>103</v>
      </c>
      <c r="B1066" t="s">
        <v>105</v>
      </c>
      <c r="C1066">
        <v>1480</v>
      </c>
      <c r="D1066" t="s">
        <v>45</v>
      </c>
      <c r="E1066" t="s">
        <v>61</v>
      </c>
      <c r="F1066" s="5">
        <v>42370</v>
      </c>
      <c r="G1066">
        <v>0</v>
      </c>
    </row>
    <row r="1067" spans="1:7" x14ac:dyDescent="0.25">
      <c r="A1067" t="s">
        <v>103</v>
      </c>
      <c r="B1067" t="s">
        <v>105</v>
      </c>
      <c r="C1067">
        <v>1480</v>
      </c>
      <c r="D1067" t="s">
        <v>45</v>
      </c>
      <c r="E1067" t="s">
        <v>61</v>
      </c>
      <c r="F1067" s="5">
        <v>42736</v>
      </c>
      <c r="G1067">
        <v>0</v>
      </c>
    </row>
    <row r="1068" spans="1:7" x14ac:dyDescent="0.25">
      <c r="A1068" t="s">
        <v>103</v>
      </c>
      <c r="B1068" t="s">
        <v>105</v>
      </c>
      <c r="C1068">
        <v>1480</v>
      </c>
      <c r="D1068" t="s">
        <v>62</v>
      </c>
      <c r="E1068" t="s">
        <v>63</v>
      </c>
      <c r="F1068" s="5">
        <v>42370</v>
      </c>
      <c r="G1068">
        <v>0</v>
      </c>
    </row>
    <row r="1069" spans="1:7" x14ac:dyDescent="0.25">
      <c r="A1069" t="s">
        <v>103</v>
      </c>
      <c r="B1069" t="s">
        <v>105</v>
      </c>
      <c r="C1069">
        <v>1480</v>
      </c>
      <c r="D1069" t="s">
        <v>62</v>
      </c>
      <c r="E1069" t="s">
        <v>63</v>
      </c>
      <c r="F1069" s="5">
        <v>42736</v>
      </c>
      <c r="G1069">
        <v>0</v>
      </c>
    </row>
    <row r="1070" spans="1:7" x14ac:dyDescent="0.25">
      <c r="A1070" t="s">
        <v>103</v>
      </c>
      <c r="B1070" t="s">
        <v>105</v>
      </c>
      <c r="C1070">
        <v>1480</v>
      </c>
      <c r="D1070" t="s">
        <v>62</v>
      </c>
      <c r="E1070" t="s">
        <v>64</v>
      </c>
      <c r="F1070" s="5">
        <v>42370</v>
      </c>
      <c r="G1070">
        <v>0</v>
      </c>
    </row>
    <row r="1071" spans="1:7" x14ac:dyDescent="0.25">
      <c r="A1071" t="s">
        <v>103</v>
      </c>
      <c r="B1071" t="s">
        <v>105</v>
      </c>
      <c r="C1071">
        <v>1480</v>
      </c>
      <c r="D1071" t="s">
        <v>62</v>
      </c>
      <c r="E1071" t="s">
        <v>64</v>
      </c>
      <c r="F1071" s="5">
        <v>42736</v>
      </c>
      <c r="G1071">
        <v>0</v>
      </c>
    </row>
    <row r="1072" spans="1:7" x14ac:dyDescent="0.25">
      <c r="A1072" t="s">
        <v>103</v>
      </c>
      <c r="B1072" t="s">
        <v>105</v>
      </c>
      <c r="C1072">
        <v>1480</v>
      </c>
      <c r="D1072" t="s">
        <v>62</v>
      </c>
      <c r="E1072" t="s">
        <v>9</v>
      </c>
      <c r="F1072" s="5">
        <v>42370</v>
      </c>
      <c r="G1072">
        <v>0</v>
      </c>
    </row>
    <row r="1073" spans="1:7" x14ac:dyDescent="0.25">
      <c r="A1073" t="s">
        <v>103</v>
      </c>
      <c r="B1073" t="s">
        <v>105</v>
      </c>
      <c r="C1073">
        <v>1480</v>
      </c>
      <c r="D1073" t="s">
        <v>62</v>
      </c>
      <c r="E1073" t="s">
        <v>9</v>
      </c>
      <c r="F1073" s="5">
        <v>42736</v>
      </c>
      <c r="G1073">
        <v>0</v>
      </c>
    </row>
    <row r="1074" spans="1:7" x14ac:dyDescent="0.25">
      <c r="A1074" t="s">
        <v>103</v>
      </c>
      <c r="B1074" t="s">
        <v>105</v>
      </c>
      <c r="C1074">
        <v>1480</v>
      </c>
      <c r="D1074" t="s">
        <v>62</v>
      </c>
      <c r="E1074" t="s">
        <v>65</v>
      </c>
      <c r="F1074" s="5">
        <v>42370</v>
      </c>
      <c r="G1074">
        <v>0</v>
      </c>
    </row>
    <row r="1075" spans="1:7" x14ac:dyDescent="0.25">
      <c r="A1075" t="s">
        <v>103</v>
      </c>
      <c r="B1075" t="s">
        <v>105</v>
      </c>
      <c r="C1075">
        <v>1480</v>
      </c>
      <c r="D1075" t="s">
        <v>62</v>
      </c>
      <c r="E1075" t="s">
        <v>65</v>
      </c>
      <c r="F1075" s="5">
        <v>42736</v>
      </c>
      <c r="G1075">
        <v>0</v>
      </c>
    </row>
    <row r="1076" spans="1:7" x14ac:dyDescent="0.25">
      <c r="A1076" t="s">
        <v>103</v>
      </c>
      <c r="B1076" t="s">
        <v>105</v>
      </c>
      <c r="C1076">
        <v>1480</v>
      </c>
      <c r="D1076" t="s">
        <v>62</v>
      </c>
      <c r="E1076" t="s">
        <v>66</v>
      </c>
      <c r="F1076" s="5">
        <v>42370</v>
      </c>
      <c r="G1076">
        <v>0</v>
      </c>
    </row>
    <row r="1077" spans="1:7" x14ac:dyDescent="0.25">
      <c r="A1077" t="s">
        <v>103</v>
      </c>
      <c r="B1077" t="s">
        <v>105</v>
      </c>
      <c r="C1077">
        <v>1480</v>
      </c>
      <c r="D1077" t="s">
        <v>62</v>
      </c>
      <c r="E1077" t="s">
        <v>66</v>
      </c>
      <c r="F1077" s="5">
        <v>42736</v>
      </c>
      <c r="G1077">
        <v>0</v>
      </c>
    </row>
    <row r="1078" spans="1:7" x14ac:dyDescent="0.25">
      <c r="A1078" t="s">
        <v>103</v>
      </c>
      <c r="B1078" t="s">
        <v>105</v>
      </c>
      <c r="C1078">
        <v>1480</v>
      </c>
      <c r="D1078" t="s">
        <v>62</v>
      </c>
      <c r="E1078" t="s">
        <v>67</v>
      </c>
      <c r="F1078" s="5">
        <v>42370</v>
      </c>
      <c r="G1078">
        <v>0</v>
      </c>
    </row>
    <row r="1079" spans="1:7" x14ac:dyDescent="0.25">
      <c r="A1079" t="s">
        <v>103</v>
      </c>
      <c r="B1079" t="s">
        <v>105</v>
      </c>
      <c r="C1079">
        <v>1480</v>
      </c>
      <c r="D1079" t="s">
        <v>62</v>
      </c>
      <c r="E1079" t="s">
        <v>67</v>
      </c>
      <c r="F1079" s="5">
        <v>42736</v>
      </c>
      <c r="G1079">
        <v>0</v>
      </c>
    </row>
    <row r="1080" spans="1:7" x14ac:dyDescent="0.25">
      <c r="A1080" t="s">
        <v>103</v>
      </c>
      <c r="B1080" t="s">
        <v>105</v>
      </c>
      <c r="C1080">
        <v>1480</v>
      </c>
      <c r="D1080" t="s">
        <v>62</v>
      </c>
      <c r="E1080" t="s">
        <v>68</v>
      </c>
      <c r="F1080" s="5">
        <v>42370</v>
      </c>
      <c r="G1080">
        <v>0</v>
      </c>
    </row>
    <row r="1081" spans="1:7" x14ac:dyDescent="0.25">
      <c r="A1081" t="s">
        <v>103</v>
      </c>
      <c r="B1081" t="s">
        <v>105</v>
      </c>
      <c r="C1081">
        <v>1480</v>
      </c>
      <c r="D1081" t="s">
        <v>62</v>
      </c>
      <c r="E1081" t="s">
        <v>68</v>
      </c>
      <c r="F1081" s="5">
        <v>42736</v>
      </c>
      <c r="G1081">
        <v>0</v>
      </c>
    </row>
    <row r="1082" spans="1:7" x14ac:dyDescent="0.25">
      <c r="A1082" t="s">
        <v>103</v>
      </c>
      <c r="B1082" t="s">
        <v>105</v>
      </c>
      <c r="C1082">
        <v>1480</v>
      </c>
      <c r="D1082" t="s">
        <v>62</v>
      </c>
      <c r="E1082" t="s">
        <v>69</v>
      </c>
      <c r="F1082" s="5">
        <v>42370</v>
      </c>
      <c r="G1082">
        <v>0</v>
      </c>
    </row>
    <row r="1083" spans="1:7" x14ac:dyDescent="0.25">
      <c r="A1083" t="s">
        <v>103</v>
      </c>
      <c r="B1083" t="s">
        <v>105</v>
      </c>
      <c r="C1083">
        <v>1480</v>
      </c>
      <c r="D1083" t="s">
        <v>62</v>
      </c>
      <c r="E1083" t="s">
        <v>69</v>
      </c>
      <c r="F1083" s="5">
        <v>42736</v>
      </c>
      <c r="G1083">
        <v>0</v>
      </c>
    </row>
    <row r="1084" spans="1:7" x14ac:dyDescent="0.25">
      <c r="A1084" t="s">
        <v>103</v>
      </c>
      <c r="B1084" t="s">
        <v>105</v>
      </c>
      <c r="C1084">
        <v>1480</v>
      </c>
      <c r="D1084" t="s">
        <v>62</v>
      </c>
      <c r="E1084" t="s">
        <v>70</v>
      </c>
      <c r="F1084" s="5">
        <v>42370</v>
      </c>
      <c r="G1084">
        <v>0</v>
      </c>
    </row>
    <row r="1085" spans="1:7" x14ac:dyDescent="0.25">
      <c r="A1085" t="s">
        <v>103</v>
      </c>
      <c r="B1085" t="s">
        <v>105</v>
      </c>
      <c r="C1085">
        <v>1480</v>
      </c>
      <c r="D1085" t="s">
        <v>62</v>
      </c>
      <c r="E1085" t="s">
        <v>70</v>
      </c>
      <c r="F1085" s="5">
        <v>42736</v>
      </c>
      <c r="G1085">
        <v>0</v>
      </c>
    </row>
    <row r="1086" spans="1:7" x14ac:dyDescent="0.25">
      <c r="A1086" t="s">
        <v>103</v>
      </c>
      <c r="B1086" t="s">
        <v>105</v>
      </c>
      <c r="C1086">
        <v>1480</v>
      </c>
      <c r="D1086" t="s">
        <v>62</v>
      </c>
      <c r="E1086" t="s">
        <v>71</v>
      </c>
      <c r="F1086" s="5">
        <v>42370</v>
      </c>
      <c r="G1086">
        <v>0</v>
      </c>
    </row>
    <row r="1087" spans="1:7" x14ac:dyDescent="0.25">
      <c r="A1087" t="s">
        <v>103</v>
      </c>
      <c r="B1087" t="s">
        <v>105</v>
      </c>
      <c r="C1087">
        <v>1480</v>
      </c>
      <c r="D1087" t="s">
        <v>62</v>
      </c>
      <c r="E1087" t="s">
        <v>71</v>
      </c>
      <c r="F1087" s="5">
        <v>42736</v>
      </c>
      <c r="G1087">
        <v>0</v>
      </c>
    </row>
    <row r="1088" spans="1:7" x14ac:dyDescent="0.25">
      <c r="A1088" t="s">
        <v>103</v>
      </c>
      <c r="B1088" t="s">
        <v>105</v>
      </c>
      <c r="C1088">
        <v>1480</v>
      </c>
      <c r="D1088" t="s">
        <v>72</v>
      </c>
      <c r="E1088" t="s">
        <v>73</v>
      </c>
      <c r="F1088" s="5">
        <v>42370</v>
      </c>
      <c r="G1088">
        <v>0</v>
      </c>
    </row>
    <row r="1089" spans="1:7" x14ac:dyDescent="0.25">
      <c r="A1089" t="s">
        <v>103</v>
      </c>
      <c r="B1089" t="s">
        <v>105</v>
      </c>
      <c r="C1089">
        <v>1480</v>
      </c>
      <c r="D1089" t="s">
        <v>72</v>
      </c>
      <c r="E1089" t="s">
        <v>73</v>
      </c>
      <c r="F1089" s="5">
        <v>42736</v>
      </c>
      <c r="G1089">
        <v>0</v>
      </c>
    </row>
    <row r="1090" spans="1:7" x14ac:dyDescent="0.25">
      <c r="A1090" t="s">
        <v>103</v>
      </c>
      <c r="B1090" t="s">
        <v>105</v>
      </c>
      <c r="C1090">
        <v>1480</v>
      </c>
      <c r="D1090" t="s">
        <v>72</v>
      </c>
      <c r="E1090" t="s">
        <v>9</v>
      </c>
      <c r="F1090" s="5">
        <v>42370</v>
      </c>
      <c r="G1090">
        <v>0</v>
      </c>
    </row>
    <row r="1091" spans="1:7" x14ac:dyDescent="0.25">
      <c r="A1091" t="s">
        <v>103</v>
      </c>
      <c r="B1091" t="s">
        <v>105</v>
      </c>
      <c r="C1091">
        <v>1480</v>
      </c>
      <c r="D1091" t="s">
        <v>72</v>
      </c>
      <c r="E1091" t="s">
        <v>9</v>
      </c>
      <c r="F1091" s="5">
        <v>42736</v>
      </c>
      <c r="G1091">
        <v>0</v>
      </c>
    </row>
    <row r="1092" spans="1:7" x14ac:dyDescent="0.25">
      <c r="A1092" t="s">
        <v>103</v>
      </c>
      <c r="B1092" t="s">
        <v>105</v>
      </c>
      <c r="C1092">
        <v>1480</v>
      </c>
      <c r="D1092" t="s">
        <v>72</v>
      </c>
      <c r="E1092" t="s">
        <v>34</v>
      </c>
      <c r="F1092" s="5">
        <v>42370</v>
      </c>
      <c r="G1092">
        <v>0</v>
      </c>
    </row>
    <row r="1093" spans="1:7" x14ac:dyDescent="0.25">
      <c r="A1093" t="s">
        <v>103</v>
      </c>
      <c r="B1093" t="s">
        <v>105</v>
      </c>
      <c r="C1093">
        <v>1480</v>
      </c>
      <c r="D1093" t="s">
        <v>72</v>
      </c>
      <c r="E1093" t="s">
        <v>34</v>
      </c>
      <c r="F1093" s="5">
        <v>42736</v>
      </c>
      <c r="G1093">
        <v>0</v>
      </c>
    </row>
    <row r="1094" spans="1:7" x14ac:dyDescent="0.25">
      <c r="A1094" t="s">
        <v>103</v>
      </c>
      <c r="B1094" t="s">
        <v>105</v>
      </c>
      <c r="C1094">
        <v>1480</v>
      </c>
      <c r="D1094" t="s">
        <v>72</v>
      </c>
      <c r="E1094" t="s">
        <v>74</v>
      </c>
      <c r="F1094" s="5">
        <v>42370</v>
      </c>
      <c r="G1094">
        <v>0</v>
      </c>
    </row>
    <row r="1095" spans="1:7" x14ac:dyDescent="0.25">
      <c r="A1095" t="s">
        <v>103</v>
      </c>
      <c r="B1095" t="s">
        <v>105</v>
      </c>
      <c r="C1095">
        <v>1480</v>
      </c>
      <c r="D1095" t="s">
        <v>72</v>
      </c>
      <c r="E1095" t="s">
        <v>74</v>
      </c>
      <c r="F1095" s="5">
        <v>42736</v>
      </c>
      <c r="G1095">
        <v>0</v>
      </c>
    </row>
    <row r="1096" spans="1:7" x14ac:dyDescent="0.25">
      <c r="A1096" t="s">
        <v>103</v>
      </c>
      <c r="B1096" t="s">
        <v>105</v>
      </c>
      <c r="C1096">
        <v>1480</v>
      </c>
      <c r="D1096" t="s">
        <v>72</v>
      </c>
      <c r="E1096" t="s">
        <v>75</v>
      </c>
      <c r="F1096" s="5">
        <v>42370</v>
      </c>
      <c r="G1096">
        <v>0</v>
      </c>
    </row>
    <row r="1097" spans="1:7" x14ac:dyDescent="0.25">
      <c r="A1097" t="s">
        <v>103</v>
      </c>
      <c r="B1097" t="s">
        <v>105</v>
      </c>
      <c r="C1097">
        <v>1480</v>
      </c>
      <c r="D1097" t="s">
        <v>72</v>
      </c>
      <c r="E1097" t="s">
        <v>75</v>
      </c>
      <c r="F1097" s="5">
        <v>42736</v>
      </c>
      <c r="G1097">
        <v>0</v>
      </c>
    </row>
    <row r="1098" spans="1:7" x14ac:dyDescent="0.25">
      <c r="A1098" t="s">
        <v>103</v>
      </c>
      <c r="B1098" t="s">
        <v>105</v>
      </c>
      <c r="C1098">
        <v>1480</v>
      </c>
      <c r="D1098" t="s">
        <v>76</v>
      </c>
      <c r="E1098" t="s">
        <v>9</v>
      </c>
      <c r="F1098" s="5">
        <v>42370</v>
      </c>
      <c r="G1098">
        <v>0</v>
      </c>
    </row>
    <row r="1099" spans="1:7" x14ac:dyDescent="0.25">
      <c r="A1099" t="s">
        <v>103</v>
      </c>
      <c r="B1099" t="s">
        <v>105</v>
      </c>
      <c r="C1099">
        <v>1480</v>
      </c>
      <c r="D1099" t="s">
        <v>76</v>
      </c>
      <c r="E1099" t="s">
        <v>9</v>
      </c>
      <c r="F1099" s="5">
        <v>42736</v>
      </c>
      <c r="G1099">
        <v>0</v>
      </c>
    </row>
    <row r="1100" spans="1:7" x14ac:dyDescent="0.25">
      <c r="A1100" t="s">
        <v>103</v>
      </c>
      <c r="B1100" t="s">
        <v>105</v>
      </c>
      <c r="C1100">
        <v>1480</v>
      </c>
      <c r="D1100" t="s">
        <v>76</v>
      </c>
      <c r="E1100" t="s">
        <v>77</v>
      </c>
      <c r="F1100" s="5">
        <v>42370</v>
      </c>
      <c r="G1100">
        <v>0</v>
      </c>
    </row>
    <row r="1101" spans="1:7" x14ac:dyDescent="0.25">
      <c r="A1101" t="s">
        <v>103</v>
      </c>
      <c r="B1101" t="s">
        <v>105</v>
      </c>
      <c r="C1101">
        <v>1480</v>
      </c>
      <c r="D1101" t="s">
        <v>76</v>
      </c>
      <c r="E1101" t="s">
        <v>77</v>
      </c>
      <c r="F1101" s="5">
        <v>42736</v>
      </c>
      <c r="G1101">
        <v>0</v>
      </c>
    </row>
    <row r="1102" spans="1:7" x14ac:dyDescent="0.25">
      <c r="A1102" t="s">
        <v>103</v>
      </c>
      <c r="B1102" t="s">
        <v>105</v>
      </c>
      <c r="C1102">
        <v>1480</v>
      </c>
      <c r="D1102" t="s">
        <v>78</v>
      </c>
      <c r="E1102" t="s">
        <v>79</v>
      </c>
      <c r="F1102" s="5">
        <v>42370</v>
      </c>
      <c r="G1102">
        <v>21</v>
      </c>
    </row>
    <row r="1103" spans="1:7" x14ac:dyDescent="0.25">
      <c r="A1103" t="s">
        <v>103</v>
      </c>
      <c r="B1103" t="s">
        <v>105</v>
      </c>
      <c r="C1103">
        <v>1480</v>
      </c>
      <c r="D1103" t="s">
        <v>78</v>
      </c>
      <c r="E1103" t="s">
        <v>79</v>
      </c>
      <c r="F1103" s="5">
        <v>42736</v>
      </c>
      <c r="G1103">
        <v>24</v>
      </c>
    </row>
    <row r="1104" spans="1:7" x14ac:dyDescent="0.25">
      <c r="A1104" t="s">
        <v>103</v>
      </c>
      <c r="B1104" t="s">
        <v>105</v>
      </c>
      <c r="C1104">
        <v>1480</v>
      </c>
      <c r="D1104" t="s">
        <v>78</v>
      </c>
      <c r="E1104" t="s">
        <v>80</v>
      </c>
      <c r="F1104" s="5">
        <v>42370</v>
      </c>
      <c r="G1104">
        <v>0</v>
      </c>
    </row>
    <row r="1105" spans="1:7" x14ac:dyDescent="0.25">
      <c r="A1105" t="s">
        <v>103</v>
      </c>
      <c r="B1105" t="s">
        <v>105</v>
      </c>
      <c r="C1105">
        <v>1480</v>
      </c>
      <c r="D1105" t="s">
        <v>78</v>
      </c>
      <c r="E1105" t="s">
        <v>80</v>
      </c>
      <c r="F1105" s="5">
        <v>42736</v>
      </c>
      <c r="G1105">
        <v>0</v>
      </c>
    </row>
    <row r="1106" spans="1:7" x14ac:dyDescent="0.25">
      <c r="A1106" t="s">
        <v>103</v>
      </c>
      <c r="B1106" t="s">
        <v>105</v>
      </c>
      <c r="C1106">
        <v>1480</v>
      </c>
      <c r="D1106" t="s">
        <v>78</v>
      </c>
      <c r="E1106" t="s">
        <v>81</v>
      </c>
      <c r="F1106" s="5">
        <v>42370</v>
      </c>
      <c r="G1106">
        <v>861</v>
      </c>
    </row>
    <row r="1107" spans="1:7" x14ac:dyDescent="0.25">
      <c r="A1107" t="s">
        <v>103</v>
      </c>
      <c r="B1107" t="s">
        <v>105</v>
      </c>
      <c r="C1107">
        <v>1480</v>
      </c>
      <c r="D1107" t="s">
        <v>78</v>
      </c>
      <c r="E1107" t="s">
        <v>81</v>
      </c>
      <c r="F1107" s="5">
        <v>42736</v>
      </c>
      <c r="G1107">
        <v>1286</v>
      </c>
    </row>
    <row r="1108" spans="1:7" x14ac:dyDescent="0.25">
      <c r="A1108" t="s">
        <v>103</v>
      </c>
      <c r="B1108" t="s">
        <v>105</v>
      </c>
      <c r="C1108">
        <v>1480</v>
      </c>
      <c r="D1108" t="s">
        <v>78</v>
      </c>
      <c r="E1108" t="s">
        <v>82</v>
      </c>
      <c r="F1108" s="5">
        <v>42370</v>
      </c>
      <c r="G1108">
        <v>30</v>
      </c>
    </row>
    <row r="1109" spans="1:7" x14ac:dyDescent="0.25">
      <c r="A1109" t="s">
        <v>103</v>
      </c>
      <c r="B1109" t="s">
        <v>105</v>
      </c>
      <c r="C1109">
        <v>1480</v>
      </c>
      <c r="D1109" t="s">
        <v>78</v>
      </c>
      <c r="E1109" t="s">
        <v>82</v>
      </c>
      <c r="F1109" s="5">
        <v>42736</v>
      </c>
      <c r="G1109">
        <v>21</v>
      </c>
    </row>
    <row r="1110" spans="1:7" x14ac:dyDescent="0.25">
      <c r="A1110" t="s">
        <v>103</v>
      </c>
      <c r="B1110" t="s">
        <v>105</v>
      </c>
      <c r="C1110">
        <v>1480</v>
      </c>
      <c r="D1110" t="s">
        <v>78</v>
      </c>
      <c r="E1110" t="s">
        <v>83</v>
      </c>
      <c r="F1110" s="5">
        <v>42370</v>
      </c>
      <c r="G1110">
        <v>0</v>
      </c>
    </row>
    <row r="1111" spans="1:7" x14ac:dyDescent="0.25">
      <c r="A1111" t="s">
        <v>103</v>
      </c>
      <c r="B1111" t="s">
        <v>105</v>
      </c>
      <c r="C1111">
        <v>1480</v>
      </c>
      <c r="D1111" t="s">
        <v>78</v>
      </c>
      <c r="E1111" t="s">
        <v>83</v>
      </c>
      <c r="F1111" s="5">
        <v>42736</v>
      </c>
      <c r="G1111">
        <v>25</v>
      </c>
    </row>
    <row r="1112" spans="1:7" x14ac:dyDescent="0.25">
      <c r="A1112" t="s">
        <v>103</v>
      </c>
      <c r="B1112" t="s">
        <v>105</v>
      </c>
      <c r="C1112">
        <v>1480</v>
      </c>
      <c r="D1112" t="s">
        <v>78</v>
      </c>
      <c r="E1112" t="s">
        <v>84</v>
      </c>
      <c r="F1112" s="5">
        <v>42370</v>
      </c>
      <c r="G1112">
        <v>0</v>
      </c>
    </row>
    <row r="1113" spans="1:7" x14ac:dyDescent="0.25">
      <c r="A1113" t="s">
        <v>103</v>
      </c>
      <c r="B1113" t="s">
        <v>105</v>
      </c>
      <c r="C1113">
        <v>1480</v>
      </c>
      <c r="D1113" t="s">
        <v>78</v>
      </c>
      <c r="E1113" t="s">
        <v>84</v>
      </c>
      <c r="F1113" s="5">
        <v>42736</v>
      </c>
      <c r="G1113">
        <v>2</v>
      </c>
    </row>
    <row r="1114" spans="1:7" x14ac:dyDescent="0.25">
      <c r="A1114" t="s">
        <v>103</v>
      </c>
      <c r="B1114" t="s">
        <v>105</v>
      </c>
      <c r="C1114">
        <v>1480</v>
      </c>
      <c r="D1114" t="s">
        <v>78</v>
      </c>
      <c r="E1114" t="s">
        <v>85</v>
      </c>
      <c r="F1114" s="5">
        <v>42370</v>
      </c>
      <c r="G1114">
        <v>0</v>
      </c>
    </row>
    <row r="1115" spans="1:7" x14ac:dyDescent="0.25">
      <c r="A1115" t="s">
        <v>103</v>
      </c>
      <c r="B1115" t="s">
        <v>105</v>
      </c>
      <c r="C1115">
        <v>1480</v>
      </c>
      <c r="D1115" t="s">
        <v>78</v>
      </c>
      <c r="E1115" t="s">
        <v>85</v>
      </c>
      <c r="F1115" s="5">
        <v>42736</v>
      </c>
      <c r="G1115">
        <v>1</v>
      </c>
    </row>
    <row r="1116" spans="1:7" x14ac:dyDescent="0.25">
      <c r="A1116" t="s">
        <v>103</v>
      </c>
      <c r="B1116" t="s">
        <v>105</v>
      </c>
      <c r="C1116">
        <v>1480</v>
      </c>
      <c r="D1116" t="s">
        <v>78</v>
      </c>
      <c r="E1116" t="s">
        <v>86</v>
      </c>
      <c r="F1116" s="5">
        <v>42370</v>
      </c>
      <c r="G1116">
        <v>34</v>
      </c>
    </row>
    <row r="1117" spans="1:7" x14ac:dyDescent="0.25">
      <c r="A1117" t="s">
        <v>103</v>
      </c>
      <c r="B1117" t="s">
        <v>105</v>
      </c>
      <c r="C1117">
        <v>1480</v>
      </c>
      <c r="D1117" t="s">
        <v>78</v>
      </c>
      <c r="E1117" t="s">
        <v>86</v>
      </c>
      <c r="F1117" s="5">
        <v>42736</v>
      </c>
      <c r="G1117">
        <v>33</v>
      </c>
    </row>
    <row r="1118" spans="1:7" x14ac:dyDescent="0.25">
      <c r="A1118" t="s">
        <v>103</v>
      </c>
      <c r="B1118" t="s">
        <v>105</v>
      </c>
      <c r="C1118">
        <v>1480</v>
      </c>
      <c r="D1118" t="s">
        <v>78</v>
      </c>
      <c r="E1118" t="s">
        <v>87</v>
      </c>
      <c r="F1118" s="5">
        <v>42370</v>
      </c>
      <c r="G1118">
        <v>30</v>
      </c>
    </row>
    <row r="1119" spans="1:7" x14ac:dyDescent="0.25">
      <c r="A1119" t="s">
        <v>103</v>
      </c>
      <c r="B1119" t="s">
        <v>105</v>
      </c>
      <c r="C1119">
        <v>1480</v>
      </c>
      <c r="D1119" t="s">
        <v>78</v>
      </c>
      <c r="E1119" t="s">
        <v>87</v>
      </c>
      <c r="F1119" s="5">
        <v>42736</v>
      </c>
      <c r="G1119">
        <v>15</v>
      </c>
    </row>
    <row r="1120" spans="1:7" x14ac:dyDescent="0.25">
      <c r="A1120" t="s">
        <v>103</v>
      </c>
      <c r="B1120" t="s">
        <v>105</v>
      </c>
      <c r="C1120">
        <v>1480</v>
      </c>
      <c r="D1120" t="s">
        <v>78</v>
      </c>
      <c r="E1120" t="s">
        <v>88</v>
      </c>
      <c r="F1120" s="5">
        <v>42370</v>
      </c>
      <c r="G1120">
        <v>129</v>
      </c>
    </row>
    <row r="1121" spans="1:7" x14ac:dyDescent="0.25">
      <c r="A1121" t="s">
        <v>103</v>
      </c>
      <c r="B1121" t="s">
        <v>105</v>
      </c>
      <c r="C1121">
        <v>1480</v>
      </c>
      <c r="D1121" t="s">
        <v>78</v>
      </c>
      <c r="E1121" t="s">
        <v>88</v>
      </c>
      <c r="F1121" s="5">
        <v>42736</v>
      </c>
      <c r="G1121">
        <v>169</v>
      </c>
    </row>
    <row r="1122" spans="1:7" x14ac:dyDescent="0.25">
      <c r="A1122" t="s">
        <v>103</v>
      </c>
      <c r="B1122" t="s">
        <v>105</v>
      </c>
      <c r="C1122">
        <v>1480</v>
      </c>
      <c r="D1122" t="s">
        <v>78</v>
      </c>
      <c r="E1122" t="s">
        <v>89</v>
      </c>
      <c r="F1122" s="5">
        <v>42370</v>
      </c>
      <c r="G1122">
        <v>2377</v>
      </c>
    </row>
    <row r="1123" spans="1:7" x14ac:dyDescent="0.25">
      <c r="A1123" t="s">
        <v>103</v>
      </c>
      <c r="B1123" t="s">
        <v>105</v>
      </c>
      <c r="C1123">
        <v>1480</v>
      </c>
      <c r="D1123" t="s">
        <v>78</v>
      </c>
      <c r="E1123" t="s">
        <v>89</v>
      </c>
      <c r="F1123" s="5">
        <v>42736</v>
      </c>
      <c r="G1123">
        <v>3221</v>
      </c>
    </row>
    <row r="1124" spans="1:7" x14ac:dyDescent="0.25">
      <c r="A1124" t="s">
        <v>103</v>
      </c>
      <c r="B1124" t="s">
        <v>105</v>
      </c>
      <c r="C1124">
        <v>1480</v>
      </c>
      <c r="D1124" t="s">
        <v>78</v>
      </c>
      <c r="E1124" t="s">
        <v>90</v>
      </c>
      <c r="F1124" s="5">
        <v>42370</v>
      </c>
      <c r="G1124">
        <v>0</v>
      </c>
    </row>
    <row r="1125" spans="1:7" x14ac:dyDescent="0.25">
      <c r="A1125" t="s">
        <v>103</v>
      </c>
      <c r="B1125" t="s">
        <v>105</v>
      </c>
      <c r="C1125">
        <v>1480</v>
      </c>
      <c r="D1125" t="s">
        <v>78</v>
      </c>
      <c r="E1125" t="s">
        <v>90</v>
      </c>
      <c r="F1125" s="5">
        <v>42736</v>
      </c>
      <c r="G1125">
        <v>0</v>
      </c>
    </row>
    <row r="1126" spans="1:7" x14ac:dyDescent="0.25">
      <c r="A1126" t="s">
        <v>103</v>
      </c>
      <c r="B1126" t="s">
        <v>105</v>
      </c>
      <c r="C1126">
        <v>1480</v>
      </c>
      <c r="D1126" t="s">
        <v>78</v>
      </c>
      <c r="E1126" t="s">
        <v>91</v>
      </c>
      <c r="F1126" s="5">
        <v>42370</v>
      </c>
      <c r="G1126">
        <v>0</v>
      </c>
    </row>
    <row r="1127" spans="1:7" x14ac:dyDescent="0.25">
      <c r="A1127" t="s">
        <v>103</v>
      </c>
      <c r="B1127" t="s">
        <v>105</v>
      </c>
      <c r="C1127">
        <v>1480</v>
      </c>
      <c r="D1127" t="s">
        <v>78</v>
      </c>
      <c r="E1127" t="s">
        <v>91</v>
      </c>
      <c r="F1127" s="5">
        <v>42736</v>
      </c>
      <c r="G1127">
        <v>22</v>
      </c>
    </row>
    <row r="1128" spans="1:7" x14ac:dyDescent="0.25">
      <c r="A1128" t="s">
        <v>103</v>
      </c>
      <c r="B1128" t="s">
        <v>105</v>
      </c>
      <c r="C1128">
        <v>1480</v>
      </c>
      <c r="D1128" t="s">
        <v>78</v>
      </c>
      <c r="E1128" t="s">
        <v>92</v>
      </c>
      <c r="F1128" s="5">
        <v>42370</v>
      </c>
      <c r="G1128">
        <v>0</v>
      </c>
    </row>
    <row r="1129" spans="1:7" x14ac:dyDescent="0.25">
      <c r="A1129" t="s">
        <v>103</v>
      </c>
      <c r="B1129" t="s">
        <v>105</v>
      </c>
      <c r="C1129">
        <v>1480</v>
      </c>
      <c r="D1129" t="s">
        <v>78</v>
      </c>
      <c r="E1129" t="s">
        <v>92</v>
      </c>
      <c r="F1129" s="5">
        <v>42736</v>
      </c>
      <c r="G1129">
        <v>2</v>
      </c>
    </row>
    <row r="1130" spans="1:7" x14ac:dyDescent="0.25">
      <c r="A1130" t="s">
        <v>103</v>
      </c>
      <c r="B1130" t="s">
        <v>105</v>
      </c>
      <c r="C1130">
        <v>1480</v>
      </c>
      <c r="D1130" t="s">
        <v>78</v>
      </c>
      <c r="E1130" t="s">
        <v>93</v>
      </c>
      <c r="F1130" s="5">
        <v>42370</v>
      </c>
      <c r="G1130">
        <v>0</v>
      </c>
    </row>
    <row r="1131" spans="1:7" x14ac:dyDescent="0.25">
      <c r="A1131" t="s">
        <v>103</v>
      </c>
      <c r="B1131" t="s">
        <v>105</v>
      </c>
      <c r="C1131">
        <v>1480</v>
      </c>
      <c r="D1131" t="s">
        <v>78</v>
      </c>
      <c r="E1131" t="s">
        <v>93</v>
      </c>
      <c r="F1131" s="5">
        <v>42736</v>
      </c>
      <c r="G1131">
        <v>71</v>
      </c>
    </row>
    <row r="1132" spans="1:7" x14ac:dyDescent="0.25">
      <c r="A1132" t="s">
        <v>103</v>
      </c>
      <c r="B1132" t="s">
        <v>105</v>
      </c>
      <c r="C1132">
        <v>1480</v>
      </c>
      <c r="D1132" t="s">
        <v>78</v>
      </c>
      <c r="E1132" t="s">
        <v>94</v>
      </c>
      <c r="F1132" s="5">
        <v>42370</v>
      </c>
      <c r="G1132">
        <v>0</v>
      </c>
    </row>
    <row r="1133" spans="1:7" x14ac:dyDescent="0.25">
      <c r="A1133" t="s">
        <v>103</v>
      </c>
      <c r="B1133" t="s">
        <v>105</v>
      </c>
      <c r="C1133">
        <v>1480</v>
      </c>
      <c r="D1133" t="s">
        <v>78</v>
      </c>
      <c r="E1133" t="s">
        <v>94</v>
      </c>
      <c r="F1133" s="5">
        <v>42736</v>
      </c>
      <c r="G1133">
        <v>94</v>
      </c>
    </row>
    <row r="1134" spans="1:7" x14ac:dyDescent="0.25">
      <c r="A1134" t="s">
        <v>103</v>
      </c>
      <c r="B1134" t="s">
        <v>105</v>
      </c>
      <c r="C1134">
        <v>1480</v>
      </c>
      <c r="D1134" t="s">
        <v>78</v>
      </c>
      <c r="E1134" t="s">
        <v>95</v>
      </c>
      <c r="F1134" s="5">
        <v>42370</v>
      </c>
      <c r="G1134">
        <v>0</v>
      </c>
    </row>
    <row r="1135" spans="1:7" x14ac:dyDescent="0.25">
      <c r="A1135" t="s">
        <v>103</v>
      </c>
      <c r="B1135" t="s">
        <v>105</v>
      </c>
      <c r="C1135">
        <v>1480</v>
      </c>
      <c r="D1135" t="s">
        <v>78</v>
      </c>
      <c r="E1135" t="s">
        <v>95</v>
      </c>
      <c r="F1135" s="5">
        <v>42736</v>
      </c>
      <c r="G1135">
        <v>13</v>
      </c>
    </row>
    <row r="1136" spans="1:7" x14ac:dyDescent="0.25">
      <c r="A1136" t="s">
        <v>103</v>
      </c>
      <c r="B1136" t="s">
        <v>105</v>
      </c>
      <c r="C1136">
        <v>1480</v>
      </c>
      <c r="D1136" t="s">
        <v>78</v>
      </c>
      <c r="E1136" t="s">
        <v>96</v>
      </c>
      <c r="F1136" s="5">
        <v>42370</v>
      </c>
      <c r="G1136">
        <v>0</v>
      </c>
    </row>
    <row r="1137" spans="1:7" x14ac:dyDescent="0.25">
      <c r="A1137" t="s">
        <v>103</v>
      </c>
      <c r="B1137" t="s">
        <v>105</v>
      </c>
      <c r="C1137">
        <v>1480</v>
      </c>
      <c r="D1137" t="s">
        <v>78</v>
      </c>
      <c r="E1137" t="s">
        <v>96</v>
      </c>
      <c r="F1137" s="5">
        <v>42736</v>
      </c>
      <c r="G1137">
        <v>25</v>
      </c>
    </row>
    <row r="1138" spans="1:7" x14ac:dyDescent="0.25">
      <c r="A1138" t="s">
        <v>103</v>
      </c>
      <c r="B1138" t="s">
        <v>105</v>
      </c>
      <c r="C1138">
        <v>1480</v>
      </c>
      <c r="D1138" t="s">
        <v>78</v>
      </c>
      <c r="E1138" t="s">
        <v>97</v>
      </c>
      <c r="F1138" s="5">
        <v>42370</v>
      </c>
      <c r="G1138">
        <v>0</v>
      </c>
    </row>
    <row r="1139" spans="1:7" x14ac:dyDescent="0.25">
      <c r="A1139" t="s">
        <v>103</v>
      </c>
      <c r="B1139" t="s">
        <v>105</v>
      </c>
      <c r="C1139">
        <v>1480</v>
      </c>
      <c r="D1139" t="s">
        <v>78</v>
      </c>
      <c r="E1139" t="s">
        <v>97</v>
      </c>
      <c r="F1139" s="5">
        <v>42736</v>
      </c>
      <c r="G1139">
        <v>0</v>
      </c>
    </row>
    <row r="1140" spans="1:7" x14ac:dyDescent="0.25">
      <c r="A1140" t="s">
        <v>103</v>
      </c>
      <c r="B1140" t="s">
        <v>105</v>
      </c>
      <c r="C1140">
        <v>1480</v>
      </c>
      <c r="D1140" t="s">
        <v>78</v>
      </c>
      <c r="E1140" t="s">
        <v>98</v>
      </c>
      <c r="F1140" s="5">
        <v>42370</v>
      </c>
      <c r="G1140">
        <v>10</v>
      </c>
    </row>
    <row r="1141" spans="1:7" x14ac:dyDescent="0.25">
      <c r="A1141" t="s">
        <v>103</v>
      </c>
      <c r="B1141" t="s">
        <v>105</v>
      </c>
      <c r="C1141">
        <v>1480</v>
      </c>
      <c r="D1141" t="s">
        <v>78</v>
      </c>
      <c r="E1141" t="s">
        <v>98</v>
      </c>
      <c r="F1141" s="5">
        <v>42736</v>
      </c>
      <c r="G1141">
        <v>21</v>
      </c>
    </row>
    <row r="1142" spans="1:7" x14ac:dyDescent="0.25">
      <c r="A1142" t="s">
        <v>103</v>
      </c>
      <c r="B1142" t="s">
        <v>106</v>
      </c>
      <c r="C1142">
        <v>1421</v>
      </c>
      <c r="D1142" t="s">
        <v>8</v>
      </c>
      <c r="E1142" t="s">
        <v>9</v>
      </c>
      <c r="F1142" s="5">
        <v>42370</v>
      </c>
      <c r="G1142">
        <v>0</v>
      </c>
    </row>
    <row r="1143" spans="1:7" x14ac:dyDescent="0.25">
      <c r="A1143" t="s">
        <v>103</v>
      </c>
      <c r="B1143" t="s">
        <v>106</v>
      </c>
      <c r="C1143">
        <v>1421</v>
      </c>
      <c r="D1143" t="s">
        <v>8</v>
      </c>
      <c r="E1143" t="s">
        <v>9</v>
      </c>
      <c r="F1143" s="5">
        <v>42736</v>
      </c>
      <c r="G1143">
        <v>0</v>
      </c>
    </row>
    <row r="1144" spans="1:7" x14ac:dyDescent="0.25">
      <c r="A1144" t="s">
        <v>103</v>
      </c>
      <c r="B1144" t="s">
        <v>106</v>
      </c>
      <c r="C1144">
        <v>1421</v>
      </c>
      <c r="D1144" t="s">
        <v>8</v>
      </c>
      <c r="E1144" t="s">
        <v>10</v>
      </c>
      <c r="F1144" s="5">
        <v>42370</v>
      </c>
      <c r="G1144">
        <v>146</v>
      </c>
    </row>
    <row r="1145" spans="1:7" x14ac:dyDescent="0.25">
      <c r="A1145" t="s">
        <v>103</v>
      </c>
      <c r="B1145" t="s">
        <v>106</v>
      </c>
      <c r="C1145">
        <v>1421</v>
      </c>
      <c r="D1145" t="s">
        <v>8</v>
      </c>
      <c r="E1145" t="s">
        <v>10</v>
      </c>
      <c r="F1145" s="5">
        <v>42736</v>
      </c>
      <c r="G1145">
        <v>239</v>
      </c>
    </row>
    <row r="1146" spans="1:7" x14ac:dyDescent="0.25">
      <c r="A1146" t="s">
        <v>103</v>
      </c>
      <c r="B1146" t="s">
        <v>106</v>
      </c>
      <c r="C1146">
        <v>1421</v>
      </c>
      <c r="D1146" t="s">
        <v>8</v>
      </c>
      <c r="E1146" t="s">
        <v>11</v>
      </c>
      <c r="F1146" s="5">
        <v>42370</v>
      </c>
      <c r="G1146">
        <v>69</v>
      </c>
    </row>
    <row r="1147" spans="1:7" x14ac:dyDescent="0.25">
      <c r="A1147" t="s">
        <v>103</v>
      </c>
      <c r="B1147" t="s">
        <v>106</v>
      </c>
      <c r="C1147">
        <v>1421</v>
      </c>
      <c r="D1147" t="s">
        <v>8</v>
      </c>
      <c r="E1147" t="s">
        <v>11</v>
      </c>
      <c r="F1147" s="5">
        <v>42736</v>
      </c>
      <c r="G1147">
        <v>156</v>
      </c>
    </row>
    <row r="1148" spans="1:7" x14ac:dyDescent="0.25">
      <c r="A1148" t="s">
        <v>103</v>
      </c>
      <c r="B1148" t="s">
        <v>106</v>
      </c>
      <c r="C1148">
        <v>1421</v>
      </c>
      <c r="D1148" t="s">
        <v>8</v>
      </c>
      <c r="E1148" t="s">
        <v>12</v>
      </c>
      <c r="F1148" s="5">
        <v>42370</v>
      </c>
      <c r="G1148">
        <v>0</v>
      </c>
    </row>
    <row r="1149" spans="1:7" x14ac:dyDescent="0.25">
      <c r="A1149" t="s">
        <v>103</v>
      </c>
      <c r="B1149" t="s">
        <v>106</v>
      </c>
      <c r="C1149">
        <v>1421</v>
      </c>
      <c r="D1149" t="s">
        <v>8</v>
      </c>
      <c r="E1149" t="s">
        <v>12</v>
      </c>
      <c r="F1149" s="5">
        <v>42736</v>
      </c>
      <c r="G1149">
        <v>0</v>
      </c>
    </row>
    <row r="1150" spans="1:7" x14ac:dyDescent="0.25">
      <c r="A1150" t="s">
        <v>103</v>
      </c>
      <c r="B1150" t="s">
        <v>106</v>
      </c>
      <c r="C1150">
        <v>1421</v>
      </c>
      <c r="D1150" t="s">
        <v>8</v>
      </c>
      <c r="E1150" t="s">
        <v>13</v>
      </c>
      <c r="F1150" s="5">
        <v>42370</v>
      </c>
      <c r="G1150">
        <v>0</v>
      </c>
    </row>
    <row r="1151" spans="1:7" x14ac:dyDescent="0.25">
      <c r="A1151" t="s">
        <v>103</v>
      </c>
      <c r="B1151" t="s">
        <v>106</v>
      </c>
      <c r="C1151">
        <v>1421</v>
      </c>
      <c r="D1151" t="s">
        <v>8</v>
      </c>
      <c r="E1151" t="s">
        <v>13</v>
      </c>
      <c r="F1151" s="5">
        <v>42736</v>
      </c>
      <c r="G1151">
        <v>0</v>
      </c>
    </row>
    <row r="1152" spans="1:7" x14ac:dyDescent="0.25">
      <c r="A1152" t="s">
        <v>103</v>
      </c>
      <c r="B1152" t="s">
        <v>106</v>
      </c>
      <c r="C1152">
        <v>1421</v>
      </c>
      <c r="D1152" t="s">
        <v>8</v>
      </c>
      <c r="E1152" t="s">
        <v>14</v>
      </c>
      <c r="F1152" s="5">
        <v>42370</v>
      </c>
      <c r="G1152">
        <v>0</v>
      </c>
    </row>
    <row r="1153" spans="1:7" x14ac:dyDescent="0.25">
      <c r="A1153" t="s">
        <v>103</v>
      </c>
      <c r="B1153" t="s">
        <v>106</v>
      </c>
      <c r="C1153">
        <v>1421</v>
      </c>
      <c r="D1153" t="s">
        <v>8</v>
      </c>
      <c r="E1153" t="s">
        <v>14</v>
      </c>
      <c r="F1153" s="5">
        <v>42736</v>
      </c>
      <c r="G1153">
        <v>0</v>
      </c>
    </row>
    <row r="1154" spans="1:7" x14ac:dyDescent="0.25">
      <c r="A1154" t="s">
        <v>103</v>
      </c>
      <c r="B1154" t="s">
        <v>106</v>
      </c>
      <c r="C1154">
        <v>1421</v>
      </c>
      <c r="D1154" t="s">
        <v>8</v>
      </c>
      <c r="E1154" t="s">
        <v>15</v>
      </c>
      <c r="F1154" s="5">
        <v>42370</v>
      </c>
      <c r="G1154">
        <v>0</v>
      </c>
    </row>
    <row r="1155" spans="1:7" x14ac:dyDescent="0.25">
      <c r="A1155" t="s">
        <v>103</v>
      </c>
      <c r="B1155" t="s">
        <v>106</v>
      </c>
      <c r="C1155">
        <v>1421</v>
      </c>
      <c r="D1155" t="s">
        <v>8</v>
      </c>
      <c r="E1155" t="s">
        <v>15</v>
      </c>
      <c r="F1155" s="5">
        <v>42736</v>
      </c>
      <c r="G1155">
        <v>0</v>
      </c>
    </row>
    <row r="1156" spans="1:7" x14ac:dyDescent="0.25">
      <c r="A1156" t="s">
        <v>103</v>
      </c>
      <c r="B1156" t="s">
        <v>106</v>
      </c>
      <c r="C1156">
        <v>1421</v>
      </c>
      <c r="D1156" t="s">
        <v>8</v>
      </c>
      <c r="E1156" t="s">
        <v>16</v>
      </c>
      <c r="F1156" s="5">
        <v>42370</v>
      </c>
      <c r="G1156">
        <v>62</v>
      </c>
    </row>
    <row r="1157" spans="1:7" x14ac:dyDescent="0.25">
      <c r="A1157" t="s">
        <v>103</v>
      </c>
      <c r="B1157" t="s">
        <v>106</v>
      </c>
      <c r="C1157">
        <v>1421</v>
      </c>
      <c r="D1157" t="s">
        <v>8</v>
      </c>
      <c r="E1157" t="s">
        <v>16</v>
      </c>
      <c r="F1157" s="5">
        <v>42736</v>
      </c>
      <c r="G1157">
        <v>82</v>
      </c>
    </row>
    <row r="1158" spans="1:7" x14ac:dyDescent="0.25">
      <c r="A1158" t="s">
        <v>103</v>
      </c>
      <c r="B1158" t="s">
        <v>106</v>
      </c>
      <c r="C1158">
        <v>1421</v>
      </c>
      <c r="D1158" t="s">
        <v>8</v>
      </c>
      <c r="E1158" t="s">
        <v>17</v>
      </c>
      <c r="F1158" s="5">
        <v>42370</v>
      </c>
      <c r="G1158">
        <v>0</v>
      </c>
    </row>
    <row r="1159" spans="1:7" x14ac:dyDescent="0.25">
      <c r="A1159" t="s">
        <v>103</v>
      </c>
      <c r="B1159" t="s">
        <v>106</v>
      </c>
      <c r="C1159">
        <v>1421</v>
      </c>
      <c r="D1159" t="s">
        <v>8</v>
      </c>
      <c r="E1159" t="s">
        <v>17</v>
      </c>
      <c r="F1159" s="5">
        <v>42736</v>
      </c>
      <c r="G1159">
        <v>0</v>
      </c>
    </row>
    <row r="1160" spans="1:7" x14ac:dyDescent="0.25">
      <c r="A1160" t="s">
        <v>103</v>
      </c>
      <c r="B1160" t="s">
        <v>106</v>
      </c>
      <c r="C1160">
        <v>1421</v>
      </c>
      <c r="D1160" t="s">
        <v>8</v>
      </c>
      <c r="E1160" t="s">
        <v>18</v>
      </c>
      <c r="F1160" s="5">
        <v>42370</v>
      </c>
      <c r="G1160">
        <v>30</v>
      </c>
    </row>
    <row r="1161" spans="1:7" x14ac:dyDescent="0.25">
      <c r="A1161" t="s">
        <v>103</v>
      </c>
      <c r="B1161" t="s">
        <v>106</v>
      </c>
      <c r="C1161">
        <v>1421</v>
      </c>
      <c r="D1161" t="s">
        <v>8</v>
      </c>
      <c r="E1161" t="s">
        <v>18</v>
      </c>
      <c r="F1161" s="5">
        <v>42736</v>
      </c>
      <c r="G1161">
        <v>22</v>
      </c>
    </row>
    <row r="1162" spans="1:7" x14ac:dyDescent="0.25">
      <c r="A1162" t="s">
        <v>103</v>
      </c>
      <c r="B1162" t="s">
        <v>106</v>
      </c>
      <c r="C1162">
        <v>1421</v>
      </c>
      <c r="D1162" t="s">
        <v>8</v>
      </c>
      <c r="E1162" t="s">
        <v>19</v>
      </c>
      <c r="F1162" s="5">
        <v>42370</v>
      </c>
      <c r="G1162">
        <v>0</v>
      </c>
    </row>
    <row r="1163" spans="1:7" x14ac:dyDescent="0.25">
      <c r="A1163" t="s">
        <v>103</v>
      </c>
      <c r="B1163" t="s">
        <v>106</v>
      </c>
      <c r="C1163">
        <v>1421</v>
      </c>
      <c r="D1163" t="s">
        <v>8</v>
      </c>
      <c r="E1163" t="s">
        <v>19</v>
      </c>
      <c r="F1163" s="5">
        <v>42736</v>
      </c>
      <c r="G1163">
        <v>0</v>
      </c>
    </row>
    <row r="1164" spans="1:7" x14ac:dyDescent="0.25">
      <c r="A1164" t="s">
        <v>103</v>
      </c>
      <c r="B1164" t="s">
        <v>106</v>
      </c>
      <c r="C1164">
        <v>1421</v>
      </c>
      <c r="D1164" t="s">
        <v>20</v>
      </c>
      <c r="E1164" t="s">
        <v>9</v>
      </c>
      <c r="F1164" s="5">
        <v>42370</v>
      </c>
      <c r="G1164">
        <v>1</v>
      </c>
    </row>
    <row r="1165" spans="1:7" x14ac:dyDescent="0.25">
      <c r="A1165" t="s">
        <v>103</v>
      </c>
      <c r="B1165" t="s">
        <v>106</v>
      </c>
      <c r="C1165">
        <v>1421</v>
      </c>
      <c r="D1165" t="s">
        <v>20</v>
      </c>
      <c r="E1165" t="s">
        <v>9</v>
      </c>
      <c r="F1165" s="5">
        <v>42736</v>
      </c>
      <c r="G1165">
        <v>36</v>
      </c>
    </row>
    <row r="1166" spans="1:7" x14ac:dyDescent="0.25">
      <c r="A1166" t="s">
        <v>103</v>
      </c>
      <c r="B1166" t="s">
        <v>106</v>
      </c>
      <c r="C1166">
        <v>1421</v>
      </c>
      <c r="D1166" t="s">
        <v>20</v>
      </c>
      <c r="E1166" t="s">
        <v>21</v>
      </c>
      <c r="F1166" s="5">
        <v>42370</v>
      </c>
      <c r="G1166">
        <v>0</v>
      </c>
    </row>
    <row r="1167" spans="1:7" x14ac:dyDescent="0.25">
      <c r="A1167" t="s">
        <v>103</v>
      </c>
      <c r="B1167" t="s">
        <v>106</v>
      </c>
      <c r="C1167">
        <v>1421</v>
      </c>
      <c r="D1167" t="s">
        <v>20</v>
      </c>
      <c r="E1167" t="s">
        <v>21</v>
      </c>
      <c r="F1167" s="5">
        <v>42736</v>
      </c>
      <c r="G1167">
        <v>0</v>
      </c>
    </row>
    <row r="1168" spans="1:7" x14ac:dyDescent="0.25">
      <c r="A1168" t="s">
        <v>103</v>
      </c>
      <c r="B1168" t="s">
        <v>106</v>
      </c>
      <c r="C1168">
        <v>1421</v>
      </c>
      <c r="D1168" t="s">
        <v>20</v>
      </c>
      <c r="E1168" t="s">
        <v>22</v>
      </c>
      <c r="F1168" s="5">
        <v>42370</v>
      </c>
      <c r="G1168">
        <v>0</v>
      </c>
    </row>
    <row r="1169" spans="1:7" x14ac:dyDescent="0.25">
      <c r="A1169" t="s">
        <v>103</v>
      </c>
      <c r="B1169" t="s">
        <v>106</v>
      </c>
      <c r="C1169">
        <v>1421</v>
      </c>
      <c r="D1169" t="s">
        <v>20</v>
      </c>
      <c r="E1169" t="s">
        <v>22</v>
      </c>
      <c r="F1169" s="5">
        <v>42736</v>
      </c>
      <c r="G1169">
        <v>0</v>
      </c>
    </row>
    <row r="1170" spans="1:7" x14ac:dyDescent="0.25">
      <c r="A1170" t="s">
        <v>103</v>
      </c>
      <c r="B1170" t="s">
        <v>106</v>
      </c>
      <c r="C1170">
        <v>1421</v>
      </c>
      <c r="D1170" t="s">
        <v>20</v>
      </c>
      <c r="E1170" t="s">
        <v>23</v>
      </c>
      <c r="F1170" s="5">
        <v>42370</v>
      </c>
      <c r="G1170">
        <v>0</v>
      </c>
    </row>
    <row r="1171" spans="1:7" x14ac:dyDescent="0.25">
      <c r="A1171" t="s">
        <v>103</v>
      </c>
      <c r="B1171" t="s">
        <v>106</v>
      </c>
      <c r="C1171">
        <v>1421</v>
      </c>
      <c r="D1171" t="s">
        <v>20</v>
      </c>
      <c r="E1171" t="s">
        <v>23</v>
      </c>
      <c r="F1171" s="5">
        <v>42736</v>
      </c>
      <c r="G1171">
        <v>0</v>
      </c>
    </row>
    <row r="1172" spans="1:7" x14ac:dyDescent="0.25">
      <c r="A1172" t="s">
        <v>103</v>
      </c>
      <c r="B1172" t="s">
        <v>106</v>
      </c>
      <c r="C1172">
        <v>1421</v>
      </c>
      <c r="D1172" t="s">
        <v>20</v>
      </c>
      <c r="E1172" t="s">
        <v>24</v>
      </c>
      <c r="F1172" s="5">
        <v>42370</v>
      </c>
      <c r="G1172">
        <v>0</v>
      </c>
    </row>
    <row r="1173" spans="1:7" x14ac:dyDescent="0.25">
      <c r="A1173" t="s">
        <v>103</v>
      </c>
      <c r="B1173" t="s">
        <v>106</v>
      </c>
      <c r="C1173">
        <v>1421</v>
      </c>
      <c r="D1173" t="s">
        <v>20</v>
      </c>
      <c r="E1173" t="s">
        <v>24</v>
      </c>
      <c r="F1173" s="5">
        <v>42736</v>
      </c>
      <c r="G1173">
        <v>0</v>
      </c>
    </row>
    <row r="1174" spans="1:7" x14ac:dyDescent="0.25">
      <c r="A1174" t="s">
        <v>103</v>
      </c>
      <c r="B1174" t="s">
        <v>106</v>
      </c>
      <c r="C1174">
        <v>1421</v>
      </c>
      <c r="D1174" t="s">
        <v>20</v>
      </c>
      <c r="E1174" t="s">
        <v>25</v>
      </c>
      <c r="F1174" s="5">
        <v>42370</v>
      </c>
      <c r="G1174">
        <v>0</v>
      </c>
    </row>
    <row r="1175" spans="1:7" x14ac:dyDescent="0.25">
      <c r="A1175" t="s">
        <v>103</v>
      </c>
      <c r="B1175" t="s">
        <v>106</v>
      </c>
      <c r="C1175">
        <v>1421</v>
      </c>
      <c r="D1175" t="s">
        <v>20</v>
      </c>
      <c r="E1175" t="s">
        <v>25</v>
      </c>
      <c r="F1175" s="5">
        <v>42736</v>
      </c>
      <c r="G1175">
        <v>0</v>
      </c>
    </row>
    <row r="1176" spans="1:7" x14ac:dyDescent="0.25">
      <c r="A1176" t="s">
        <v>103</v>
      </c>
      <c r="B1176" t="s">
        <v>106</v>
      </c>
      <c r="C1176">
        <v>1421</v>
      </c>
      <c r="D1176" t="s">
        <v>20</v>
      </c>
      <c r="E1176" t="s">
        <v>26</v>
      </c>
      <c r="F1176" s="5">
        <v>42370</v>
      </c>
      <c r="G1176">
        <v>103</v>
      </c>
    </row>
    <row r="1177" spans="1:7" x14ac:dyDescent="0.25">
      <c r="A1177" t="s">
        <v>103</v>
      </c>
      <c r="B1177" t="s">
        <v>106</v>
      </c>
      <c r="C1177">
        <v>1421</v>
      </c>
      <c r="D1177" t="s">
        <v>20</v>
      </c>
      <c r="E1177" t="s">
        <v>26</v>
      </c>
      <c r="F1177" s="5">
        <v>42736</v>
      </c>
      <c r="G1177">
        <v>153</v>
      </c>
    </row>
    <row r="1178" spans="1:7" x14ac:dyDescent="0.25">
      <c r="A1178" t="s">
        <v>103</v>
      </c>
      <c r="B1178" t="s">
        <v>106</v>
      </c>
      <c r="C1178">
        <v>1421</v>
      </c>
      <c r="D1178" t="s">
        <v>20</v>
      </c>
      <c r="E1178" t="s">
        <v>27</v>
      </c>
      <c r="F1178" s="5">
        <v>42370</v>
      </c>
      <c r="G1178">
        <v>0</v>
      </c>
    </row>
    <row r="1179" spans="1:7" x14ac:dyDescent="0.25">
      <c r="A1179" t="s">
        <v>103</v>
      </c>
      <c r="B1179" t="s">
        <v>106</v>
      </c>
      <c r="C1179">
        <v>1421</v>
      </c>
      <c r="D1179" t="s">
        <v>20</v>
      </c>
      <c r="E1179" t="s">
        <v>27</v>
      </c>
      <c r="F1179" s="5">
        <v>42736</v>
      </c>
      <c r="G1179">
        <v>0</v>
      </c>
    </row>
    <row r="1180" spans="1:7" x14ac:dyDescent="0.25">
      <c r="A1180" t="s">
        <v>103</v>
      </c>
      <c r="B1180" t="s">
        <v>106</v>
      </c>
      <c r="C1180">
        <v>1421</v>
      </c>
      <c r="D1180" t="s">
        <v>20</v>
      </c>
      <c r="E1180" t="s">
        <v>28</v>
      </c>
      <c r="F1180" s="5">
        <v>42370</v>
      </c>
      <c r="G1180">
        <v>0</v>
      </c>
    </row>
    <row r="1181" spans="1:7" x14ac:dyDescent="0.25">
      <c r="A1181" t="s">
        <v>103</v>
      </c>
      <c r="B1181" t="s">
        <v>106</v>
      </c>
      <c r="C1181">
        <v>1421</v>
      </c>
      <c r="D1181" t="s">
        <v>20</v>
      </c>
      <c r="E1181" t="s">
        <v>28</v>
      </c>
      <c r="F1181" s="5">
        <v>42736</v>
      </c>
      <c r="G1181">
        <v>0</v>
      </c>
    </row>
    <row r="1182" spans="1:7" x14ac:dyDescent="0.25">
      <c r="A1182" t="s">
        <v>103</v>
      </c>
      <c r="B1182" t="s">
        <v>106</v>
      </c>
      <c r="C1182">
        <v>1421</v>
      </c>
      <c r="D1182" t="s">
        <v>20</v>
      </c>
      <c r="E1182" t="s">
        <v>29</v>
      </c>
      <c r="F1182" s="5">
        <v>42370</v>
      </c>
      <c r="G1182">
        <v>103</v>
      </c>
    </row>
    <row r="1183" spans="1:7" x14ac:dyDescent="0.25">
      <c r="A1183" t="s">
        <v>103</v>
      </c>
      <c r="B1183" t="s">
        <v>106</v>
      </c>
      <c r="C1183">
        <v>1421</v>
      </c>
      <c r="D1183" t="s">
        <v>20</v>
      </c>
      <c r="E1183" t="s">
        <v>29</v>
      </c>
      <c r="F1183" s="5">
        <v>42736</v>
      </c>
      <c r="G1183">
        <v>158</v>
      </c>
    </row>
    <row r="1184" spans="1:7" x14ac:dyDescent="0.25">
      <c r="A1184" t="s">
        <v>103</v>
      </c>
      <c r="B1184" t="s">
        <v>106</v>
      </c>
      <c r="C1184">
        <v>1421</v>
      </c>
      <c r="D1184" t="s">
        <v>20</v>
      </c>
      <c r="E1184" t="s">
        <v>30</v>
      </c>
      <c r="F1184" s="5">
        <v>42370</v>
      </c>
      <c r="G1184">
        <v>104</v>
      </c>
    </row>
    <row r="1185" spans="1:7" x14ac:dyDescent="0.25">
      <c r="A1185" t="s">
        <v>103</v>
      </c>
      <c r="B1185" t="s">
        <v>106</v>
      </c>
      <c r="C1185">
        <v>1421</v>
      </c>
      <c r="D1185" t="s">
        <v>20</v>
      </c>
      <c r="E1185" t="s">
        <v>30</v>
      </c>
      <c r="F1185" s="5">
        <v>42736</v>
      </c>
      <c r="G1185">
        <v>157</v>
      </c>
    </row>
    <row r="1186" spans="1:7" x14ac:dyDescent="0.25">
      <c r="A1186" t="s">
        <v>103</v>
      </c>
      <c r="B1186" t="s">
        <v>106</v>
      </c>
      <c r="C1186">
        <v>1421</v>
      </c>
      <c r="D1186" t="s">
        <v>20</v>
      </c>
      <c r="E1186" t="s">
        <v>31</v>
      </c>
      <c r="F1186" s="5">
        <v>42370</v>
      </c>
      <c r="G1186">
        <v>172</v>
      </c>
    </row>
    <row r="1187" spans="1:7" x14ac:dyDescent="0.25">
      <c r="A1187" t="s">
        <v>103</v>
      </c>
      <c r="B1187" t="s">
        <v>106</v>
      </c>
      <c r="C1187">
        <v>1421</v>
      </c>
      <c r="D1187" t="s">
        <v>20</v>
      </c>
      <c r="E1187" t="s">
        <v>31</v>
      </c>
      <c r="F1187" s="5">
        <v>42736</v>
      </c>
      <c r="G1187">
        <v>364</v>
      </c>
    </row>
    <row r="1188" spans="1:7" x14ac:dyDescent="0.25">
      <c r="A1188" t="s">
        <v>103</v>
      </c>
      <c r="B1188" t="s">
        <v>106</v>
      </c>
      <c r="C1188">
        <v>1421</v>
      </c>
      <c r="D1188" t="s">
        <v>20</v>
      </c>
      <c r="E1188" t="s">
        <v>32</v>
      </c>
      <c r="F1188" s="5">
        <v>42370</v>
      </c>
      <c r="G1188">
        <v>102</v>
      </c>
    </row>
    <row r="1189" spans="1:7" x14ac:dyDescent="0.25">
      <c r="A1189" t="s">
        <v>103</v>
      </c>
      <c r="B1189" t="s">
        <v>106</v>
      </c>
      <c r="C1189">
        <v>1421</v>
      </c>
      <c r="D1189" t="s">
        <v>20</v>
      </c>
      <c r="E1189" t="s">
        <v>32</v>
      </c>
      <c r="F1189" s="5">
        <v>42736</v>
      </c>
      <c r="G1189">
        <v>158</v>
      </c>
    </row>
    <row r="1190" spans="1:7" x14ac:dyDescent="0.25">
      <c r="A1190" t="s">
        <v>103</v>
      </c>
      <c r="B1190" t="s">
        <v>106</v>
      </c>
      <c r="C1190">
        <v>1421</v>
      </c>
      <c r="D1190" t="s">
        <v>33</v>
      </c>
      <c r="E1190" t="s">
        <v>9</v>
      </c>
      <c r="F1190" s="5">
        <v>42370</v>
      </c>
      <c r="G1190">
        <v>0</v>
      </c>
    </row>
    <row r="1191" spans="1:7" x14ac:dyDescent="0.25">
      <c r="A1191" t="s">
        <v>103</v>
      </c>
      <c r="B1191" t="s">
        <v>106</v>
      </c>
      <c r="C1191">
        <v>1421</v>
      </c>
      <c r="D1191" t="s">
        <v>33</v>
      </c>
      <c r="E1191" t="s">
        <v>9</v>
      </c>
      <c r="F1191" s="5">
        <v>42736</v>
      </c>
      <c r="G1191">
        <v>0</v>
      </c>
    </row>
    <row r="1192" spans="1:7" x14ac:dyDescent="0.25">
      <c r="A1192" t="s">
        <v>103</v>
      </c>
      <c r="B1192" t="s">
        <v>106</v>
      </c>
      <c r="C1192">
        <v>1421</v>
      </c>
      <c r="D1192" t="s">
        <v>33</v>
      </c>
      <c r="E1192" t="s">
        <v>34</v>
      </c>
      <c r="F1192" s="5">
        <v>42370</v>
      </c>
      <c r="G1192">
        <v>0</v>
      </c>
    </row>
    <row r="1193" spans="1:7" x14ac:dyDescent="0.25">
      <c r="A1193" t="s">
        <v>103</v>
      </c>
      <c r="B1193" t="s">
        <v>106</v>
      </c>
      <c r="C1193">
        <v>1421</v>
      </c>
      <c r="D1193" t="s">
        <v>33</v>
      </c>
      <c r="E1193" t="s">
        <v>34</v>
      </c>
      <c r="F1193" s="5">
        <v>42736</v>
      </c>
      <c r="G1193">
        <v>0</v>
      </c>
    </row>
    <row r="1194" spans="1:7" x14ac:dyDescent="0.25">
      <c r="A1194" t="s">
        <v>103</v>
      </c>
      <c r="B1194" t="s">
        <v>106</v>
      </c>
      <c r="C1194">
        <v>1421</v>
      </c>
      <c r="D1194" t="s">
        <v>35</v>
      </c>
      <c r="E1194" t="s">
        <v>36</v>
      </c>
      <c r="F1194" s="5">
        <v>42370</v>
      </c>
      <c r="G1194">
        <v>0</v>
      </c>
    </row>
    <row r="1195" spans="1:7" x14ac:dyDescent="0.25">
      <c r="A1195" t="s">
        <v>103</v>
      </c>
      <c r="B1195" t="s">
        <v>106</v>
      </c>
      <c r="C1195">
        <v>1421</v>
      </c>
      <c r="D1195" t="s">
        <v>35</v>
      </c>
      <c r="E1195" t="s">
        <v>36</v>
      </c>
      <c r="F1195" s="5">
        <v>42736</v>
      </c>
      <c r="G1195">
        <v>0</v>
      </c>
    </row>
    <row r="1196" spans="1:7" x14ac:dyDescent="0.25">
      <c r="A1196" t="s">
        <v>103</v>
      </c>
      <c r="B1196" t="s">
        <v>106</v>
      </c>
      <c r="C1196">
        <v>1421</v>
      </c>
      <c r="D1196" t="s">
        <v>35</v>
      </c>
      <c r="E1196" t="s">
        <v>37</v>
      </c>
      <c r="F1196" s="5">
        <v>42370</v>
      </c>
      <c r="G1196">
        <v>0</v>
      </c>
    </row>
    <row r="1197" spans="1:7" x14ac:dyDescent="0.25">
      <c r="A1197" t="s">
        <v>103</v>
      </c>
      <c r="B1197" t="s">
        <v>106</v>
      </c>
      <c r="C1197">
        <v>1421</v>
      </c>
      <c r="D1197" t="s">
        <v>35</v>
      </c>
      <c r="E1197" t="s">
        <v>37</v>
      </c>
      <c r="F1197" s="5">
        <v>42736</v>
      </c>
      <c r="G1197">
        <v>0</v>
      </c>
    </row>
    <row r="1198" spans="1:7" x14ac:dyDescent="0.25">
      <c r="A1198" t="s">
        <v>103</v>
      </c>
      <c r="B1198" t="s">
        <v>106</v>
      </c>
      <c r="C1198">
        <v>1421</v>
      </c>
      <c r="D1198" t="s">
        <v>35</v>
      </c>
      <c r="E1198" t="s">
        <v>38</v>
      </c>
      <c r="F1198" s="5">
        <v>42370</v>
      </c>
      <c r="G1198">
        <v>0</v>
      </c>
    </row>
    <row r="1199" spans="1:7" x14ac:dyDescent="0.25">
      <c r="A1199" t="s">
        <v>103</v>
      </c>
      <c r="B1199" t="s">
        <v>106</v>
      </c>
      <c r="C1199">
        <v>1421</v>
      </c>
      <c r="D1199" t="s">
        <v>35</v>
      </c>
      <c r="E1199" t="s">
        <v>38</v>
      </c>
      <c r="F1199" s="5">
        <v>42736</v>
      </c>
      <c r="G1199">
        <v>0</v>
      </c>
    </row>
    <row r="1200" spans="1:7" x14ac:dyDescent="0.25">
      <c r="A1200" t="s">
        <v>103</v>
      </c>
      <c r="B1200" t="s">
        <v>106</v>
      </c>
      <c r="C1200">
        <v>1421</v>
      </c>
      <c r="D1200" t="s">
        <v>35</v>
      </c>
      <c r="E1200" t="s">
        <v>39</v>
      </c>
      <c r="F1200" s="5">
        <v>42370</v>
      </c>
      <c r="G1200">
        <v>0</v>
      </c>
    </row>
    <row r="1201" spans="1:7" x14ac:dyDescent="0.25">
      <c r="A1201" t="s">
        <v>103</v>
      </c>
      <c r="B1201" t="s">
        <v>106</v>
      </c>
      <c r="C1201">
        <v>1421</v>
      </c>
      <c r="D1201" t="s">
        <v>35</v>
      </c>
      <c r="E1201" t="s">
        <v>39</v>
      </c>
      <c r="F1201" s="5">
        <v>42736</v>
      </c>
      <c r="G1201">
        <v>0</v>
      </c>
    </row>
    <row r="1202" spans="1:7" x14ac:dyDescent="0.25">
      <c r="A1202" t="s">
        <v>103</v>
      </c>
      <c r="B1202" t="s">
        <v>106</v>
      </c>
      <c r="C1202">
        <v>1421</v>
      </c>
      <c r="D1202" t="s">
        <v>35</v>
      </c>
      <c r="E1202" t="s">
        <v>40</v>
      </c>
      <c r="F1202" s="5">
        <v>42370</v>
      </c>
      <c r="G1202">
        <v>0</v>
      </c>
    </row>
    <row r="1203" spans="1:7" x14ac:dyDescent="0.25">
      <c r="A1203" t="s">
        <v>103</v>
      </c>
      <c r="B1203" t="s">
        <v>106</v>
      </c>
      <c r="C1203">
        <v>1421</v>
      </c>
      <c r="D1203" t="s">
        <v>35</v>
      </c>
      <c r="E1203" t="s">
        <v>40</v>
      </c>
      <c r="F1203" s="5">
        <v>42736</v>
      </c>
      <c r="G1203">
        <v>0</v>
      </c>
    </row>
    <row r="1204" spans="1:7" x14ac:dyDescent="0.25">
      <c r="A1204" t="s">
        <v>103</v>
      </c>
      <c r="B1204" t="s">
        <v>106</v>
      </c>
      <c r="C1204">
        <v>1421</v>
      </c>
      <c r="D1204" t="s">
        <v>35</v>
      </c>
      <c r="E1204" t="s">
        <v>41</v>
      </c>
      <c r="F1204" s="5">
        <v>42370</v>
      </c>
      <c r="G1204">
        <v>0</v>
      </c>
    </row>
    <row r="1205" spans="1:7" x14ac:dyDescent="0.25">
      <c r="A1205" t="s">
        <v>103</v>
      </c>
      <c r="B1205" t="s">
        <v>106</v>
      </c>
      <c r="C1205">
        <v>1421</v>
      </c>
      <c r="D1205" t="s">
        <v>35</v>
      </c>
      <c r="E1205" t="s">
        <v>41</v>
      </c>
      <c r="F1205" s="5">
        <v>42736</v>
      </c>
      <c r="G1205">
        <v>0</v>
      </c>
    </row>
    <row r="1206" spans="1:7" x14ac:dyDescent="0.25">
      <c r="A1206" t="s">
        <v>103</v>
      </c>
      <c r="B1206" t="s">
        <v>106</v>
      </c>
      <c r="C1206">
        <v>1421</v>
      </c>
      <c r="D1206" t="s">
        <v>35</v>
      </c>
      <c r="E1206" t="s">
        <v>42</v>
      </c>
      <c r="F1206" s="5">
        <v>42370</v>
      </c>
      <c r="G1206">
        <v>0</v>
      </c>
    </row>
    <row r="1207" spans="1:7" x14ac:dyDescent="0.25">
      <c r="A1207" t="s">
        <v>103</v>
      </c>
      <c r="B1207" t="s">
        <v>106</v>
      </c>
      <c r="C1207">
        <v>1421</v>
      </c>
      <c r="D1207" t="s">
        <v>35</v>
      </c>
      <c r="E1207" t="s">
        <v>42</v>
      </c>
      <c r="F1207" s="5">
        <v>42736</v>
      </c>
      <c r="G1207">
        <v>0</v>
      </c>
    </row>
    <row r="1208" spans="1:7" x14ac:dyDescent="0.25">
      <c r="A1208" t="s">
        <v>103</v>
      </c>
      <c r="B1208" t="s">
        <v>106</v>
      </c>
      <c r="C1208">
        <v>1421</v>
      </c>
      <c r="D1208" t="s">
        <v>35</v>
      </c>
      <c r="E1208" t="s">
        <v>43</v>
      </c>
      <c r="F1208" s="5">
        <v>42370</v>
      </c>
      <c r="G1208">
        <v>0</v>
      </c>
    </row>
    <row r="1209" spans="1:7" x14ac:dyDescent="0.25">
      <c r="A1209" t="s">
        <v>103</v>
      </c>
      <c r="B1209" t="s">
        <v>106</v>
      </c>
      <c r="C1209">
        <v>1421</v>
      </c>
      <c r="D1209" t="s">
        <v>35</v>
      </c>
      <c r="E1209" t="s">
        <v>43</v>
      </c>
      <c r="F1209" s="5">
        <v>42736</v>
      </c>
      <c r="G1209">
        <v>0</v>
      </c>
    </row>
    <row r="1210" spans="1:7" x14ac:dyDescent="0.25">
      <c r="A1210" t="s">
        <v>103</v>
      </c>
      <c r="B1210" t="s">
        <v>106</v>
      </c>
      <c r="C1210">
        <v>1421</v>
      </c>
      <c r="D1210" t="s">
        <v>44</v>
      </c>
      <c r="E1210" t="s">
        <v>36</v>
      </c>
      <c r="F1210" s="5">
        <v>42370</v>
      </c>
      <c r="G1210">
        <v>0</v>
      </c>
    </row>
    <row r="1211" spans="1:7" x14ac:dyDescent="0.25">
      <c r="A1211" t="s">
        <v>103</v>
      </c>
      <c r="B1211" t="s">
        <v>106</v>
      </c>
      <c r="C1211">
        <v>1421</v>
      </c>
      <c r="D1211" t="s">
        <v>44</v>
      </c>
      <c r="E1211" t="s">
        <v>36</v>
      </c>
      <c r="F1211" s="5">
        <v>42736</v>
      </c>
      <c r="G1211">
        <v>0</v>
      </c>
    </row>
    <row r="1212" spans="1:7" x14ac:dyDescent="0.25">
      <c r="A1212" t="s">
        <v>103</v>
      </c>
      <c r="B1212" t="s">
        <v>106</v>
      </c>
      <c r="C1212">
        <v>1421</v>
      </c>
      <c r="D1212" t="s">
        <v>44</v>
      </c>
      <c r="E1212" t="s">
        <v>37</v>
      </c>
      <c r="F1212" s="5">
        <v>42370</v>
      </c>
      <c r="G1212">
        <v>0</v>
      </c>
    </row>
    <row r="1213" spans="1:7" x14ac:dyDescent="0.25">
      <c r="A1213" t="s">
        <v>103</v>
      </c>
      <c r="B1213" t="s">
        <v>106</v>
      </c>
      <c r="C1213">
        <v>1421</v>
      </c>
      <c r="D1213" t="s">
        <v>44</v>
      </c>
      <c r="E1213" t="s">
        <v>37</v>
      </c>
      <c r="F1213" s="5">
        <v>42736</v>
      </c>
      <c r="G1213">
        <v>0</v>
      </c>
    </row>
    <row r="1214" spans="1:7" x14ac:dyDescent="0.25">
      <c r="A1214" t="s">
        <v>103</v>
      </c>
      <c r="B1214" t="s">
        <v>106</v>
      </c>
      <c r="C1214">
        <v>1421</v>
      </c>
      <c r="D1214" t="s">
        <v>44</v>
      </c>
      <c r="E1214" t="s">
        <v>38</v>
      </c>
      <c r="F1214" s="5">
        <v>42370</v>
      </c>
      <c r="G1214">
        <v>0</v>
      </c>
    </row>
    <row r="1215" spans="1:7" x14ac:dyDescent="0.25">
      <c r="A1215" t="s">
        <v>103</v>
      </c>
      <c r="B1215" t="s">
        <v>106</v>
      </c>
      <c r="C1215">
        <v>1421</v>
      </c>
      <c r="D1215" t="s">
        <v>44</v>
      </c>
      <c r="E1215" t="s">
        <v>38</v>
      </c>
      <c r="F1215" s="5">
        <v>42736</v>
      </c>
      <c r="G1215">
        <v>0</v>
      </c>
    </row>
    <row r="1216" spans="1:7" x14ac:dyDescent="0.25">
      <c r="A1216" t="s">
        <v>103</v>
      </c>
      <c r="B1216" t="s">
        <v>106</v>
      </c>
      <c r="C1216">
        <v>1421</v>
      </c>
      <c r="D1216" t="s">
        <v>44</v>
      </c>
      <c r="E1216" t="s">
        <v>39</v>
      </c>
      <c r="F1216" s="5">
        <v>42370</v>
      </c>
      <c r="G1216">
        <v>0</v>
      </c>
    </row>
    <row r="1217" spans="1:7" x14ac:dyDescent="0.25">
      <c r="A1217" t="s">
        <v>103</v>
      </c>
      <c r="B1217" t="s">
        <v>106</v>
      </c>
      <c r="C1217">
        <v>1421</v>
      </c>
      <c r="D1217" t="s">
        <v>44</v>
      </c>
      <c r="E1217" t="s">
        <v>39</v>
      </c>
      <c r="F1217" s="5">
        <v>42736</v>
      </c>
      <c r="G1217">
        <v>5</v>
      </c>
    </row>
    <row r="1218" spans="1:7" x14ac:dyDescent="0.25">
      <c r="A1218" t="s">
        <v>103</v>
      </c>
      <c r="B1218" t="s">
        <v>106</v>
      </c>
      <c r="C1218">
        <v>1421</v>
      </c>
      <c r="D1218" t="s">
        <v>44</v>
      </c>
      <c r="E1218" t="s">
        <v>40</v>
      </c>
      <c r="F1218" s="5">
        <v>42370</v>
      </c>
      <c r="G1218">
        <v>0</v>
      </c>
    </row>
    <row r="1219" spans="1:7" x14ac:dyDescent="0.25">
      <c r="A1219" t="s">
        <v>103</v>
      </c>
      <c r="B1219" t="s">
        <v>106</v>
      </c>
      <c r="C1219">
        <v>1421</v>
      </c>
      <c r="D1219" t="s">
        <v>44</v>
      </c>
      <c r="E1219" t="s">
        <v>40</v>
      </c>
      <c r="F1219" s="5">
        <v>42736</v>
      </c>
      <c r="G1219">
        <v>0</v>
      </c>
    </row>
    <row r="1220" spans="1:7" x14ac:dyDescent="0.25">
      <c r="A1220" t="s">
        <v>103</v>
      </c>
      <c r="B1220" t="s">
        <v>106</v>
      </c>
      <c r="C1220">
        <v>1421</v>
      </c>
      <c r="D1220" t="s">
        <v>44</v>
      </c>
      <c r="E1220" t="s">
        <v>41</v>
      </c>
      <c r="F1220" s="5">
        <v>42370</v>
      </c>
      <c r="G1220">
        <v>0</v>
      </c>
    </row>
    <row r="1221" spans="1:7" x14ac:dyDescent="0.25">
      <c r="A1221" t="s">
        <v>103</v>
      </c>
      <c r="B1221" t="s">
        <v>106</v>
      </c>
      <c r="C1221">
        <v>1421</v>
      </c>
      <c r="D1221" t="s">
        <v>44</v>
      </c>
      <c r="E1221" t="s">
        <v>41</v>
      </c>
      <c r="F1221" s="5">
        <v>42736</v>
      </c>
      <c r="G1221">
        <v>0</v>
      </c>
    </row>
    <row r="1222" spans="1:7" x14ac:dyDescent="0.25">
      <c r="A1222" t="s">
        <v>103</v>
      </c>
      <c r="B1222" t="s">
        <v>106</v>
      </c>
      <c r="C1222">
        <v>1421</v>
      </c>
      <c r="D1222" t="s">
        <v>44</v>
      </c>
      <c r="E1222" t="s">
        <v>42</v>
      </c>
      <c r="F1222" s="5">
        <v>42370</v>
      </c>
      <c r="G1222">
        <v>0</v>
      </c>
    </row>
    <row r="1223" spans="1:7" x14ac:dyDescent="0.25">
      <c r="A1223" t="s">
        <v>103</v>
      </c>
      <c r="B1223" t="s">
        <v>106</v>
      </c>
      <c r="C1223">
        <v>1421</v>
      </c>
      <c r="D1223" t="s">
        <v>44</v>
      </c>
      <c r="E1223" t="s">
        <v>42</v>
      </c>
      <c r="F1223" s="5">
        <v>42736</v>
      </c>
      <c r="G1223">
        <v>0</v>
      </c>
    </row>
    <row r="1224" spans="1:7" x14ac:dyDescent="0.25">
      <c r="A1224" t="s">
        <v>103</v>
      </c>
      <c r="B1224" t="s">
        <v>106</v>
      </c>
      <c r="C1224">
        <v>1421</v>
      </c>
      <c r="D1224" t="s">
        <v>44</v>
      </c>
      <c r="E1224" t="s">
        <v>43</v>
      </c>
      <c r="F1224" s="5">
        <v>42370</v>
      </c>
      <c r="G1224">
        <v>0</v>
      </c>
    </row>
    <row r="1225" spans="1:7" x14ac:dyDescent="0.25">
      <c r="A1225" t="s">
        <v>103</v>
      </c>
      <c r="B1225" t="s">
        <v>106</v>
      </c>
      <c r="C1225">
        <v>1421</v>
      </c>
      <c r="D1225" t="s">
        <v>44</v>
      </c>
      <c r="E1225" t="s">
        <v>43</v>
      </c>
      <c r="F1225" s="5">
        <v>42736</v>
      </c>
      <c r="G1225">
        <v>0</v>
      </c>
    </row>
    <row r="1226" spans="1:7" x14ac:dyDescent="0.25">
      <c r="A1226" t="s">
        <v>103</v>
      </c>
      <c r="B1226" t="s">
        <v>106</v>
      </c>
      <c r="C1226">
        <v>1421</v>
      </c>
      <c r="D1226" t="s">
        <v>45</v>
      </c>
      <c r="E1226" t="s">
        <v>46</v>
      </c>
      <c r="F1226" s="5">
        <v>42370</v>
      </c>
      <c r="G1226">
        <v>1</v>
      </c>
    </row>
    <row r="1227" spans="1:7" x14ac:dyDescent="0.25">
      <c r="A1227" t="s">
        <v>103</v>
      </c>
      <c r="B1227" t="s">
        <v>106</v>
      </c>
      <c r="C1227">
        <v>1421</v>
      </c>
      <c r="D1227" t="s">
        <v>45</v>
      </c>
      <c r="E1227" t="s">
        <v>46</v>
      </c>
      <c r="F1227" s="5">
        <v>42736</v>
      </c>
      <c r="G1227">
        <v>0</v>
      </c>
    </row>
    <row r="1228" spans="1:7" x14ac:dyDescent="0.25">
      <c r="A1228" t="s">
        <v>103</v>
      </c>
      <c r="B1228" t="s">
        <v>106</v>
      </c>
      <c r="C1228">
        <v>1421</v>
      </c>
      <c r="D1228" t="s">
        <v>45</v>
      </c>
      <c r="E1228" t="s">
        <v>47</v>
      </c>
      <c r="F1228" s="5">
        <v>42370</v>
      </c>
      <c r="G1228">
        <v>0</v>
      </c>
    </row>
    <row r="1229" spans="1:7" x14ac:dyDescent="0.25">
      <c r="A1229" t="s">
        <v>103</v>
      </c>
      <c r="B1229" t="s">
        <v>106</v>
      </c>
      <c r="C1229">
        <v>1421</v>
      </c>
      <c r="D1229" t="s">
        <v>45</v>
      </c>
      <c r="E1229" t="s">
        <v>47</v>
      </c>
      <c r="F1229" s="5">
        <v>42736</v>
      </c>
      <c r="G1229">
        <v>14</v>
      </c>
    </row>
    <row r="1230" spans="1:7" x14ac:dyDescent="0.25">
      <c r="A1230" t="s">
        <v>103</v>
      </c>
      <c r="B1230" t="s">
        <v>106</v>
      </c>
      <c r="C1230">
        <v>1421</v>
      </c>
      <c r="D1230" t="s">
        <v>45</v>
      </c>
      <c r="E1230" t="s">
        <v>48</v>
      </c>
      <c r="F1230" s="5">
        <v>42370</v>
      </c>
      <c r="G1230">
        <v>41</v>
      </c>
    </row>
    <row r="1231" spans="1:7" x14ac:dyDescent="0.25">
      <c r="A1231" t="s">
        <v>103</v>
      </c>
      <c r="B1231" t="s">
        <v>106</v>
      </c>
      <c r="C1231">
        <v>1421</v>
      </c>
      <c r="D1231" t="s">
        <v>45</v>
      </c>
      <c r="E1231" t="s">
        <v>48</v>
      </c>
      <c r="F1231" s="5">
        <v>42736</v>
      </c>
      <c r="G1231">
        <v>45</v>
      </c>
    </row>
    <row r="1232" spans="1:7" x14ac:dyDescent="0.25">
      <c r="A1232" t="s">
        <v>103</v>
      </c>
      <c r="B1232" t="s">
        <v>106</v>
      </c>
      <c r="C1232">
        <v>1421</v>
      </c>
      <c r="D1232" t="s">
        <v>45</v>
      </c>
      <c r="E1232" t="s">
        <v>49</v>
      </c>
      <c r="F1232" s="5">
        <v>42370</v>
      </c>
      <c r="G1232">
        <v>81</v>
      </c>
    </row>
    <row r="1233" spans="1:7" x14ac:dyDescent="0.25">
      <c r="A1233" t="s">
        <v>103</v>
      </c>
      <c r="B1233" t="s">
        <v>106</v>
      </c>
      <c r="C1233">
        <v>1421</v>
      </c>
      <c r="D1233" t="s">
        <v>45</v>
      </c>
      <c r="E1233" t="s">
        <v>49</v>
      </c>
      <c r="F1233" s="5">
        <v>42736</v>
      </c>
      <c r="G1233">
        <v>62</v>
      </c>
    </row>
    <row r="1234" spans="1:7" x14ac:dyDescent="0.25">
      <c r="A1234" t="s">
        <v>103</v>
      </c>
      <c r="B1234" t="s">
        <v>106</v>
      </c>
      <c r="C1234">
        <v>1421</v>
      </c>
      <c r="D1234" t="s">
        <v>45</v>
      </c>
      <c r="E1234" t="s">
        <v>50</v>
      </c>
      <c r="F1234" s="5">
        <v>42370</v>
      </c>
      <c r="G1234">
        <v>1</v>
      </c>
    </row>
    <row r="1235" spans="1:7" x14ac:dyDescent="0.25">
      <c r="A1235" t="s">
        <v>103</v>
      </c>
      <c r="B1235" t="s">
        <v>106</v>
      </c>
      <c r="C1235">
        <v>1421</v>
      </c>
      <c r="D1235" t="s">
        <v>45</v>
      </c>
      <c r="E1235" t="s">
        <v>50</v>
      </c>
      <c r="F1235" s="5">
        <v>42736</v>
      </c>
      <c r="G1235">
        <v>4</v>
      </c>
    </row>
    <row r="1236" spans="1:7" x14ac:dyDescent="0.25">
      <c r="A1236" t="s">
        <v>103</v>
      </c>
      <c r="B1236" t="s">
        <v>106</v>
      </c>
      <c r="C1236">
        <v>1421</v>
      </c>
      <c r="D1236" t="s">
        <v>45</v>
      </c>
      <c r="E1236" t="s">
        <v>51</v>
      </c>
      <c r="F1236" s="5">
        <v>42370</v>
      </c>
      <c r="G1236">
        <v>0</v>
      </c>
    </row>
    <row r="1237" spans="1:7" x14ac:dyDescent="0.25">
      <c r="A1237" t="s">
        <v>103</v>
      </c>
      <c r="B1237" t="s">
        <v>106</v>
      </c>
      <c r="C1237">
        <v>1421</v>
      </c>
      <c r="D1237" t="s">
        <v>45</v>
      </c>
      <c r="E1237" t="s">
        <v>51</v>
      </c>
      <c r="F1237" s="5">
        <v>42736</v>
      </c>
      <c r="G1237">
        <v>0</v>
      </c>
    </row>
    <row r="1238" spans="1:7" x14ac:dyDescent="0.25">
      <c r="A1238" t="s">
        <v>103</v>
      </c>
      <c r="B1238" t="s">
        <v>106</v>
      </c>
      <c r="C1238">
        <v>1421</v>
      </c>
      <c r="D1238" t="s">
        <v>45</v>
      </c>
      <c r="E1238" t="s">
        <v>52</v>
      </c>
      <c r="F1238" s="5">
        <v>42370</v>
      </c>
      <c r="G1238">
        <v>0</v>
      </c>
    </row>
    <row r="1239" spans="1:7" x14ac:dyDescent="0.25">
      <c r="A1239" t="s">
        <v>103</v>
      </c>
      <c r="B1239" t="s">
        <v>106</v>
      </c>
      <c r="C1239">
        <v>1421</v>
      </c>
      <c r="D1239" t="s">
        <v>45</v>
      </c>
      <c r="E1239" t="s">
        <v>52</v>
      </c>
      <c r="F1239" s="5">
        <v>42736</v>
      </c>
      <c r="G1239">
        <v>0</v>
      </c>
    </row>
    <row r="1240" spans="1:7" x14ac:dyDescent="0.25">
      <c r="A1240" t="s">
        <v>103</v>
      </c>
      <c r="B1240" t="s">
        <v>106</v>
      </c>
      <c r="C1240">
        <v>1421</v>
      </c>
      <c r="D1240" t="s">
        <v>45</v>
      </c>
      <c r="E1240" t="s">
        <v>53</v>
      </c>
      <c r="F1240" s="5">
        <v>42370</v>
      </c>
      <c r="G1240">
        <v>27</v>
      </c>
    </row>
    <row r="1241" spans="1:7" x14ac:dyDescent="0.25">
      <c r="A1241" t="s">
        <v>103</v>
      </c>
      <c r="B1241" t="s">
        <v>106</v>
      </c>
      <c r="C1241">
        <v>1421</v>
      </c>
      <c r="D1241" t="s">
        <v>45</v>
      </c>
      <c r="E1241" t="s">
        <v>53</v>
      </c>
      <c r="F1241" s="5">
        <v>42736</v>
      </c>
      <c r="G1241">
        <v>101</v>
      </c>
    </row>
    <row r="1242" spans="1:7" x14ac:dyDescent="0.25">
      <c r="A1242" t="s">
        <v>103</v>
      </c>
      <c r="B1242" t="s">
        <v>106</v>
      </c>
      <c r="C1242">
        <v>1421</v>
      </c>
      <c r="D1242" t="s">
        <v>45</v>
      </c>
      <c r="E1242" t="s">
        <v>54</v>
      </c>
      <c r="F1242" s="5">
        <v>42370</v>
      </c>
      <c r="G1242">
        <v>0</v>
      </c>
    </row>
    <row r="1243" spans="1:7" x14ac:dyDescent="0.25">
      <c r="A1243" t="s">
        <v>103</v>
      </c>
      <c r="B1243" t="s">
        <v>106</v>
      </c>
      <c r="C1243">
        <v>1421</v>
      </c>
      <c r="D1243" t="s">
        <v>45</v>
      </c>
      <c r="E1243" t="s">
        <v>54</v>
      </c>
      <c r="F1243" s="5">
        <v>42736</v>
      </c>
      <c r="G1243">
        <v>0</v>
      </c>
    </row>
    <row r="1244" spans="1:7" x14ac:dyDescent="0.25">
      <c r="A1244" t="s">
        <v>103</v>
      </c>
      <c r="B1244" t="s">
        <v>106</v>
      </c>
      <c r="C1244">
        <v>1421</v>
      </c>
      <c r="D1244" t="s">
        <v>45</v>
      </c>
      <c r="E1244" t="s">
        <v>55</v>
      </c>
      <c r="F1244" s="5">
        <v>42370</v>
      </c>
      <c r="G1244">
        <v>0</v>
      </c>
    </row>
    <row r="1245" spans="1:7" x14ac:dyDescent="0.25">
      <c r="A1245" t="s">
        <v>103</v>
      </c>
      <c r="B1245" t="s">
        <v>106</v>
      </c>
      <c r="C1245">
        <v>1421</v>
      </c>
      <c r="D1245" t="s">
        <v>45</v>
      </c>
      <c r="E1245" t="s">
        <v>55</v>
      </c>
      <c r="F1245" s="5">
        <v>42736</v>
      </c>
      <c r="G1245">
        <v>0</v>
      </c>
    </row>
    <row r="1246" spans="1:7" x14ac:dyDescent="0.25">
      <c r="A1246" t="s">
        <v>103</v>
      </c>
      <c r="B1246" t="s">
        <v>106</v>
      </c>
      <c r="C1246">
        <v>1421</v>
      </c>
      <c r="D1246" t="s">
        <v>45</v>
      </c>
      <c r="E1246" t="s">
        <v>56</v>
      </c>
      <c r="F1246" s="5">
        <v>42370</v>
      </c>
      <c r="G1246">
        <v>1</v>
      </c>
    </row>
    <row r="1247" spans="1:7" x14ac:dyDescent="0.25">
      <c r="A1247" t="s">
        <v>103</v>
      </c>
      <c r="B1247" t="s">
        <v>106</v>
      </c>
      <c r="C1247">
        <v>1421</v>
      </c>
      <c r="D1247" t="s">
        <v>45</v>
      </c>
      <c r="E1247" t="s">
        <v>56</v>
      </c>
      <c r="F1247" s="5">
        <v>42736</v>
      </c>
      <c r="G1247">
        <v>2</v>
      </c>
    </row>
    <row r="1248" spans="1:7" x14ac:dyDescent="0.25">
      <c r="A1248" t="s">
        <v>103</v>
      </c>
      <c r="B1248" t="s">
        <v>106</v>
      </c>
      <c r="C1248">
        <v>1421</v>
      </c>
      <c r="D1248" t="s">
        <v>45</v>
      </c>
      <c r="E1248" t="s">
        <v>57</v>
      </c>
      <c r="F1248" s="5">
        <v>42370</v>
      </c>
      <c r="G1248">
        <v>0</v>
      </c>
    </row>
    <row r="1249" spans="1:7" x14ac:dyDescent="0.25">
      <c r="A1249" t="s">
        <v>103</v>
      </c>
      <c r="B1249" t="s">
        <v>106</v>
      </c>
      <c r="C1249">
        <v>1421</v>
      </c>
      <c r="D1249" t="s">
        <v>45</v>
      </c>
      <c r="E1249" t="s">
        <v>57</v>
      </c>
      <c r="F1249" s="5">
        <v>42736</v>
      </c>
      <c r="G1249">
        <v>0</v>
      </c>
    </row>
    <row r="1250" spans="1:7" x14ac:dyDescent="0.25">
      <c r="A1250" t="s">
        <v>103</v>
      </c>
      <c r="B1250" t="s">
        <v>106</v>
      </c>
      <c r="C1250">
        <v>1421</v>
      </c>
      <c r="D1250" t="s">
        <v>45</v>
      </c>
      <c r="E1250" t="s">
        <v>58</v>
      </c>
      <c r="F1250" s="5">
        <v>42370</v>
      </c>
      <c r="G1250">
        <v>2</v>
      </c>
    </row>
    <row r="1251" spans="1:7" x14ac:dyDescent="0.25">
      <c r="A1251" t="s">
        <v>103</v>
      </c>
      <c r="B1251" t="s">
        <v>106</v>
      </c>
      <c r="C1251">
        <v>1421</v>
      </c>
      <c r="D1251" t="s">
        <v>45</v>
      </c>
      <c r="E1251" t="s">
        <v>58</v>
      </c>
      <c r="F1251" s="5">
        <v>42736</v>
      </c>
      <c r="G1251">
        <v>11</v>
      </c>
    </row>
    <row r="1252" spans="1:7" x14ac:dyDescent="0.25">
      <c r="A1252" t="s">
        <v>103</v>
      </c>
      <c r="B1252" t="s">
        <v>106</v>
      </c>
      <c r="C1252">
        <v>1421</v>
      </c>
      <c r="D1252" t="s">
        <v>45</v>
      </c>
      <c r="E1252" t="s">
        <v>59</v>
      </c>
      <c r="F1252" s="5">
        <v>42370</v>
      </c>
      <c r="G1252">
        <v>0</v>
      </c>
    </row>
    <row r="1253" spans="1:7" x14ac:dyDescent="0.25">
      <c r="A1253" t="s">
        <v>103</v>
      </c>
      <c r="B1253" t="s">
        <v>106</v>
      </c>
      <c r="C1253">
        <v>1421</v>
      </c>
      <c r="D1253" t="s">
        <v>45</v>
      </c>
      <c r="E1253" t="s">
        <v>59</v>
      </c>
      <c r="F1253" s="5">
        <v>42736</v>
      </c>
      <c r="G1253">
        <v>0</v>
      </c>
    </row>
    <row r="1254" spans="1:7" x14ac:dyDescent="0.25">
      <c r="A1254" t="s">
        <v>103</v>
      </c>
      <c r="B1254" t="s">
        <v>106</v>
      </c>
      <c r="C1254">
        <v>1421</v>
      </c>
      <c r="D1254" t="s">
        <v>45</v>
      </c>
      <c r="E1254" t="s">
        <v>60</v>
      </c>
      <c r="F1254" s="5">
        <v>42370</v>
      </c>
      <c r="G1254">
        <v>6</v>
      </c>
    </row>
    <row r="1255" spans="1:7" x14ac:dyDescent="0.25">
      <c r="A1255" t="s">
        <v>103</v>
      </c>
      <c r="B1255" t="s">
        <v>106</v>
      </c>
      <c r="C1255">
        <v>1421</v>
      </c>
      <c r="D1255" t="s">
        <v>45</v>
      </c>
      <c r="E1255" t="s">
        <v>60</v>
      </c>
      <c r="F1255" s="5">
        <v>42736</v>
      </c>
      <c r="G1255">
        <v>2</v>
      </c>
    </row>
    <row r="1256" spans="1:7" x14ac:dyDescent="0.25">
      <c r="A1256" t="s">
        <v>103</v>
      </c>
      <c r="B1256" t="s">
        <v>106</v>
      </c>
      <c r="C1256">
        <v>1421</v>
      </c>
      <c r="D1256" t="s">
        <v>45</v>
      </c>
      <c r="E1256" t="s">
        <v>61</v>
      </c>
      <c r="F1256" s="5">
        <v>42370</v>
      </c>
      <c r="G1256">
        <v>2</v>
      </c>
    </row>
    <row r="1257" spans="1:7" x14ac:dyDescent="0.25">
      <c r="A1257" t="s">
        <v>103</v>
      </c>
      <c r="B1257" t="s">
        <v>106</v>
      </c>
      <c r="C1257">
        <v>1421</v>
      </c>
      <c r="D1257" t="s">
        <v>45</v>
      </c>
      <c r="E1257" t="s">
        <v>61</v>
      </c>
      <c r="F1257" s="5">
        <v>42736</v>
      </c>
      <c r="G1257">
        <v>3</v>
      </c>
    </row>
    <row r="1258" spans="1:7" x14ac:dyDescent="0.25">
      <c r="A1258" t="s">
        <v>103</v>
      </c>
      <c r="B1258" t="s">
        <v>106</v>
      </c>
      <c r="C1258">
        <v>1421</v>
      </c>
      <c r="D1258" t="s">
        <v>62</v>
      </c>
      <c r="E1258" t="s">
        <v>63</v>
      </c>
      <c r="F1258" s="5">
        <v>42370</v>
      </c>
      <c r="G1258">
        <v>0</v>
      </c>
    </row>
    <row r="1259" spans="1:7" x14ac:dyDescent="0.25">
      <c r="A1259" t="s">
        <v>103</v>
      </c>
      <c r="B1259" t="s">
        <v>106</v>
      </c>
      <c r="C1259">
        <v>1421</v>
      </c>
      <c r="D1259" t="s">
        <v>62</v>
      </c>
      <c r="E1259" t="s">
        <v>63</v>
      </c>
      <c r="F1259" s="5">
        <v>42736</v>
      </c>
      <c r="G1259">
        <v>0</v>
      </c>
    </row>
    <row r="1260" spans="1:7" x14ac:dyDescent="0.25">
      <c r="A1260" t="s">
        <v>103</v>
      </c>
      <c r="B1260" t="s">
        <v>106</v>
      </c>
      <c r="C1260">
        <v>1421</v>
      </c>
      <c r="D1260" t="s">
        <v>62</v>
      </c>
      <c r="E1260" t="s">
        <v>64</v>
      </c>
      <c r="F1260" s="5">
        <v>42370</v>
      </c>
      <c r="G1260">
        <v>0</v>
      </c>
    </row>
    <row r="1261" spans="1:7" x14ac:dyDescent="0.25">
      <c r="A1261" t="s">
        <v>103</v>
      </c>
      <c r="B1261" t="s">
        <v>106</v>
      </c>
      <c r="C1261">
        <v>1421</v>
      </c>
      <c r="D1261" t="s">
        <v>62</v>
      </c>
      <c r="E1261" t="s">
        <v>64</v>
      </c>
      <c r="F1261" s="5">
        <v>42736</v>
      </c>
      <c r="G1261">
        <v>0</v>
      </c>
    </row>
    <row r="1262" spans="1:7" x14ac:dyDescent="0.25">
      <c r="A1262" t="s">
        <v>103</v>
      </c>
      <c r="B1262" t="s">
        <v>106</v>
      </c>
      <c r="C1262">
        <v>1421</v>
      </c>
      <c r="D1262" t="s">
        <v>62</v>
      </c>
      <c r="E1262" t="s">
        <v>9</v>
      </c>
      <c r="F1262" s="5">
        <v>42370</v>
      </c>
      <c r="G1262">
        <v>0</v>
      </c>
    </row>
    <row r="1263" spans="1:7" x14ac:dyDescent="0.25">
      <c r="A1263" t="s">
        <v>103</v>
      </c>
      <c r="B1263" t="s">
        <v>106</v>
      </c>
      <c r="C1263">
        <v>1421</v>
      </c>
      <c r="D1263" t="s">
        <v>62</v>
      </c>
      <c r="E1263" t="s">
        <v>9</v>
      </c>
      <c r="F1263" s="5">
        <v>42736</v>
      </c>
      <c r="G1263">
        <v>0</v>
      </c>
    </row>
    <row r="1264" spans="1:7" x14ac:dyDescent="0.25">
      <c r="A1264" t="s">
        <v>103</v>
      </c>
      <c r="B1264" t="s">
        <v>106</v>
      </c>
      <c r="C1264">
        <v>1421</v>
      </c>
      <c r="D1264" t="s">
        <v>62</v>
      </c>
      <c r="E1264" t="s">
        <v>65</v>
      </c>
      <c r="F1264" s="5">
        <v>42370</v>
      </c>
      <c r="G1264">
        <v>0</v>
      </c>
    </row>
    <row r="1265" spans="1:7" x14ac:dyDescent="0.25">
      <c r="A1265" t="s">
        <v>103</v>
      </c>
      <c r="B1265" t="s">
        <v>106</v>
      </c>
      <c r="C1265">
        <v>1421</v>
      </c>
      <c r="D1265" t="s">
        <v>62</v>
      </c>
      <c r="E1265" t="s">
        <v>65</v>
      </c>
      <c r="F1265" s="5">
        <v>42736</v>
      </c>
      <c r="G1265">
        <v>0</v>
      </c>
    </row>
    <row r="1266" spans="1:7" x14ac:dyDescent="0.25">
      <c r="A1266" t="s">
        <v>103</v>
      </c>
      <c r="B1266" t="s">
        <v>106</v>
      </c>
      <c r="C1266">
        <v>1421</v>
      </c>
      <c r="D1266" t="s">
        <v>62</v>
      </c>
      <c r="E1266" t="s">
        <v>66</v>
      </c>
      <c r="F1266" s="5">
        <v>42370</v>
      </c>
      <c r="G1266">
        <v>0</v>
      </c>
    </row>
    <row r="1267" spans="1:7" x14ac:dyDescent="0.25">
      <c r="A1267" t="s">
        <v>103</v>
      </c>
      <c r="B1267" t="s">
        <v>106</v>
      </c>
      <c r="C1267">
        <v>1421</v>
      </c>
      <c r="D1267" t="s">
        <v>62</v>
      </c>
      <c r="E1267" t="s">
        <v>66</v>
      </c>
      <c r="F1267" s="5">
        <v>42736</v>
      </c>
      <c r="G1267">
        <v>0</v>
      </c>
    </row>
    <row r="1268" spans="1:7" x14ac:dyDescent="0.25">
      <c r="A1268" t="s">
        <v>103</v>
      </c>
      <c r="B1268" t="s">
        <v>106</v>
      </c>
      <c r="C1268">
        <v>1421</v>
      </c>
      <c r="D1268" t="s">
        <v>62</v>
      </c>
      <c r="E1268" t="s">
        <v>67</v>
      </c>
      <c r="F1268" s="5">
        <v>42370</v>
      </c>
      <c r="G1268">
        <v>0</v>
      </c>
    </row>
    <row r="1269" spans="1:7" x14ac:dyDescent="0.25">
      <c r="A1269" t="s">
        <v>103</v>
      </c>
      <c r="B1269" t="s">
        <v>106</v>
      </c>
      <c r="C1269">
        <v>1421</v>
      </c>
      <c r="D1269" t="s">
        <v>62</v>
      </c>
      <c r="E1269" t="s">
        <v>67</v>
      </c>
      <c r="F1269" s="5">
        <v>42736</v>
      </c>
      <c r="G1269">
        <v>0</v>
      </c>
    </row>
    <row r="1270" spans="1:7" x14ac:dyDescent="0.25">
      <c r="A1270" t="s">
        <v>103</v>
      </c>
      <c r="B1270" t="s">
        <v>106</v>
      </c>
      <c r="C1270">
        <v>1421</v>
      </c>
      <c r="D1270" t="s">
        <v>62</v>
      </c>
      <c r="E1270" t="s">
        <v>68</v>
      </c>
      <c r="F1270" s="5">
        <v>42370</v>
      </c>
      <c r="G1270">
        <v>0</v>
      </c>
    </row>
    <row r="1271" spans="1:7" x14ac:dyDescent="0.25">
      <c r="A1271" t="s">
        <v>103</v>
      </c>
      <c r="B1271" t="s">
        <v>106</v>
      </c>
      <c r="C1271">
        <v>1421</v>
      </c>
      <c r="D1271" t="s">
        <v>62</v>
      </c>
      <c r="E1271" t="s">
        <v>68</v>
      </c>
      <c r="F1271" s="5">
        <v>42736</v>
      </c>
      <c r="G1271">
        <v>0</v>
      </c>
    </row>
    <row r="1272" spans="1:7" x14ac:dyDescent="0.25">
      <c r="A1272" t="s">
        <v>103</v>
      </c>
      <c r="B1272" t="s">
        <v>106</v>
      </c>
      <c r="C1272">
        <v>1421</v>
      </c>
      <c r="D1272" t="s">
        <v>62</v>
      </c>
      <c r="E1272" t="s">
        <v>69</v>
      </c>
      <c r="F1272" s="5">
        <v>42370</v>
      </c>
      <c r="G1272">
        <v>0</v>
      </c>
    </row>
    <row r="1273" spans="1:7" x14ac:dyDescent="0.25">
      <c r="A1273" t="s">
        <v>103</v>
      </c>
      <c r="B1273" t="s">
        <v>106</v>
      </c>
      <c r="C1273">
        <v>1421</v>
      </c>
      <c r="D1273" t="s">
        <v>62</v>
      </c>
      <c r="E1273" t="s">
        <v>69</v>
      </c>
      <c r="F1273" s="5">
        <v>42736</v>
      </c>
      <c r="G1273">
        <v>0</v>
      </c>
    </row>
    <row r="1274" spans="1:7" x14ac:dyDescent="0.25">
      <c r="A1274" t="s">
        <v>103</v>
      </c>
      <c r="B1274" t="s">
        <v>106</v>
      </c>
      <c r="C1274">
        <v>1421</v>
      </c>
      <c r="D1274" t="s">
        <v>62</v>
      </c>
      <c r="E1274" t="s">
        <v>70</v>
      </c>
      <c r="F1274" s="5">
        <v>42370</v>
      </c>
      <c r="G1274">
        <v>0</v>
      </c>
    </row>
    <row r="1275" spans="1:7" x14ac:dyDescent="0.25">
      <c r="A1275" t="s">
        <v>103</v>
      </c>
      <c r="B1275" t="s">
        <v>106</v>
      </c>
      <c r="C1275">
        <v>1421</v>
      </c>
      <c r="D1275" t="s">
        <v>62</v>
      </c>
      <c r="E1275" t="s">
        <v>70</v>
      </c>
      <c r="F1275" s="5">
        <v>42736</v>
      </c>
      <c r="G1275">
        <v>0</v>
      </c>
    </row>
    <row r="1276" spans="1:7" x14ac:dyDescent="0.25">
      <c r="A1276" t="s">
        <v>103</v>
      </c>
      <c r="B1276" t="s">
        <v>106</v>
      </c>
      <c r="C1276">
        <v>1421</v>
      </c>
      <c r="D1276" t="s">
        <v>62</v>
      </c>
      <c r="E1276" t="s">
        <v>71</v>
      </c>
      <c r="F1276" s="5">
        <v>42370</v>
      </c>
      <c r="G1276">
        <v>0</v>
      </c>
    </row>
    <row r="1277" spans="1:7" x14ac:dyDescent="0.25">
      <c r="A1277" t="s">
        <v>103</v>
      </c>
      <c r="B1277" t="s">
        <v>106</v>
      </c>
      <c r="C1277">
        <v>1421</v>
      </c>
      <c r="D1277" t="s">
        <v>62</v>
      </c>
      <c r="E1277" t="s">
        <v>71</v>
      </c>
      <c r="F1277" s="5">
        <v>42736</v>
      </c>
      <c r="G1277">
        <v>0</v>
      </c>
    </row>
    <row r="1278" spans="1:7" x14ac:dyDescent="0.25">
      <c r="A1278" t="s">
        <v>103</v>
      </c>
      <c r="B1278" t="s">
        <v>106</v>
      </c>
      <c r="C1278">
        <v>1421</v>
      </c>
      <c r="D1278" t="s">
        <v>72</v>
      </c>
      <c r="E1278" t="s">
        <v>73</v>
      </c>
      <c r="F1278" s="5">
        <v>42370</v>
      </c>
      <c r="G1278">
        <v>0</v>
      </c>
    </row>
    <row r="1279" spans="1:7" x14ac:dyDescent="0.25">
      <c r="A1279" t="s">
        <v>103</v>
      </c>
      <c r="B1279" t="s">
        <v>106</v>
      </c>
      <c r="C1279">
        <v>1421</v>
      </c>
      <c r="D1279" t="s">
        <v>72</v>
      </c>
      <c r="E1279" t="s">
        <v>73</v>
      </c>
      <c r="F1279" s="5">
        <v>42736</v>
      </c>
      <c r="G1279">
        <v>0</v>
      </c>
    </row>
    <row r="1280" spans="1:7" x14ac:dyDescent="0.25">
      <c r="A1280" t="s">
        <v>103</v>
      </c>
      <c r="B1280" t="s">
        <v>106</v>
      </c>
      <c r="C1280">
        <v>1421</v>
      </c>
      <c r="D1280" t="s">
        <v>72</v>
      </c>
      <c r="E1280" t="s">
        <v>9</v>
      </c>
      <c r="F1280" s="5">
        <v>42370</v>
      </c>
      <c r="G1280">
        <v>0</v>
      </c>
    </row>
    <row r="1281" spans="1:7" x14ac:dyDescent="0.25">
      <c r="A1281" t="s">
        <v>103</v>
      </c>
      <c r="B1281" t="s">
        <v>106</v>
      </c>
      <c r="C1281">
        <v>1421</v>
      </c>
      <c r="D1281" t="s">
        <v>72</v>
      </c>
      <c r="E1281" t="s">
        <v>9</v>
      </c>
      <c r="F1281" s="5">
        <v>42736</v>
      </c>
      <c r="G1281">
        <v>0</v>
      </c>
    </row>
    <row r="1282" spans="1:7" x14ac:dyDescent="0.25">
      <c r="A1282" t="s">
        <v>103</v>
      </c>
      <c r="B1282" t="s">
        <v>106</v>
      </c>
      <c r="C1282">
        <v>1421</v>
      </c>
      <c r="D1282" t="s">
        <v>72</v>
      </c>
      <c r="E1282" t="s">
        <v>34</v>
      </c>
      <c r="F1282" s="5">
        <v>42370</v>
      </c>
      <c r="G1282">
        <v>0</v>
      </c>
    </row>
    <row r="1283" spans="1:7" x14ac:dyDescent="0.25">
      <c r="A1283" t="s">
        <v>103</v>
      </c>
      <c r="B1283" t="s">
        <v>106</v>
      </c>
      <c r="C1283">
        <v>1421</v>
      </c>
      <c r="D1283" t="s">
        <v>72</v>
      </c>
      <c r="E1283" t="s">
        <v>34</v>
      </c>
      <c r="F1283" s="5">
        <v>42736</v>
      </c>
      <c r="G1283">
        <v>0</v>
      </c>
    </row>
    <row r="1284" spans="1:7" x14ac:dyDescent="0.25">
      <c r="A1284" t="s">
        <v>103</v>
      </c>
      <c r="B1284" t="s">
        <v>106</v>
      </c>
      <c r="C1284">
        <v>1421</v>
      </c>
      <c r="D1284" t="s">
        <v>72</v>
      </c>
      <c r="E1284" t="s">
        <v>74</v>
      </c>
      <c r="F1284" s="5">
        <v>42370</v>
      </c>
      <c r="G1284">
        <v>0</v>
      </c>
    </row>
    <row r="1285" spans="1:7" x14ac:dyDescent="0.25">
      <c r="A1285" t="s">
        <v>103</v>
      </c>
      <c r="B1285" t="s">
        <v>106</v>
      </c>
      <c r="C1285">
        <v>1421</v>
      </c>
      <c r="D1285" t="s">
        <v>72</v>
      </c>
      <c r="E1285" t="s">
        <v>74</v>
      </c>
      <c r="F1285" s="5">
        <v>42736</v>
      </c>
      <c r="G1285">
        <v>0</v>
      </c>
    </row>
    <row r="1286" spans="1:7" x14ac:dyDescent="0.25">
      <c r="A1286" t="s">
        <v>103</v>
      </c>
      <c r="B1286" t="s">
        <v>106</v>
      </c>
      <c r="C1286">
        <v>1421</v>
      </c>
      <c r="D1286" t="s">
        <v>72</v>
      </c>
      <c r="E1286" t="s">
        <v>75</v>
      </c>
      <c r="F1286" s="5">
        <v>42370</v>
      </c>
      <c r="G1286">
        <v>0</v>
      </c>
    </row>
    <row r="1287" spans="1:7" x14ac:dyDescent="0.25">
      <c r="A1287" t="s">
        <v>103</v>
      </c>
      <c r="B1287" t="s">
        <v>106</v>
      </c>
      <c r="C1287">
        <v>1421</v>
      </c>
      <c r="D1287" t="s">
        <v>72</v>
      </c>
      <c r="E1287" t="s">
        <v>75</v>
      </c>
      <c r="F1287" s="5">
        <v>42736</v>
      </c>
      <c r="G1287">
        <v>0</v>
      </c>
    </row>
    <row r="1288" spans="1:7" x14ac:dyDescent="0.25">
      <c r="A1288" t="s">
        <v>103</v>
      </c>
      <c r="B1288" t="s">
        <v>106</v>
      </c>
      <c r="C1288">
        <v>1421</v>
      </c>
      <c r="D1288" t="s">
        <v>76</v>
      </c>
      <c r="E1288" t="s">
        <v>9</v>
      </c>
      <c r="F1288" s="5">
        <v>42370</v>
      </c>
      <c r="G1288">
        <v>0</v>
      </c>
    </row>
    <row r="1289" spans="1:7" x14ac:dyDescent="0.25">
      <c r="A1289" t="s">
        <v>103</v>
      </c>
      <c r="B1289" t="s">
        <v>106</v>
      </c>
      <c r="C1289">
        <v>1421</v>
      </c>
      <c r="D1289" t="s">
        <v>76</v>
      </c>
      <c r="E1289" t="s">
        <v>9</v>
      </c>
      <c r="F1289" s="5">
        <v>42736</v>
      </c>
      <c r="G1289">
        <v>0</v>
      </c>
    </row>
    <row r="1290" spans="1:7" x14ac:dyDescent="0.25">
      <c r="A1290" t="s">
        <v>103</v>
      </c>
      <c r="B1290" t="s">
        <v>106</v>
      </c>
      <c r="C1290">
        <v>1421</v>
      </c>
      <c r="D1290" t="s">
        <v>76</v>
      </c>
      <c r="E1290" t="s">
        <v>77</v>
      </c>
      <c r="F1290" s="5">
        <v>42370</v>
      </c>
      <c r="G1290">
        <v>0</v>
      </c>
    </row>
    <row r="1291" spans="1:7" x14ac:dyDescent="0.25">
      <c r="A1291" t="s">
        <v>103</v>
      </c>
      <c r="B1291" t="s">
        <v>106</v>
      </c>
      <c r="C1291">
        <v>1421</v>
      </c>
      <c r="D1291" t="s">
        <v>76</v>
      </c>
      <c r="E1291" t="s">
        <v>77</v>
      </c>
      <c r="F1291" s="5">
        <v>42736</v>
      </c>
      <c r="G1291">
        <v>1</v>
      </c>
    </row>
    <row r="1292" spans="1:7" x14ac:dyDescent="0.25">
      <c r="A1292" t="s">
        <v>103</v>
      </c>
      <c r="B1292" t="s">
        <v>106</v>
      </c>
      <c r="C1292">
        <v>1421</v>
      </c>
      <c r="D1292" t="s">
        <v>78</v>
      </c>
      <c r="E1292" t="s">
        <v>79</v>
      </c>
      <c r="F1292" s="5">
        <v>42370</v>
      </c>
      <c r="G1292">
        <v>0</v>
      </c>
    </row>
    <row r="1293" spans="1:7" x14ac:dyDescent="0.25">
      <c r="A1293" t="s">
        <v>103</v>
      </c>
      <c r="B1293" t="s">
        <v>106</v>
      </c>
      <c r="C1293">
        <v>1421</v>
      </c>
      <c r="D1293" t="s">
        <v>78</v>
      </c>
      <c r="E1293" t="s">
        <v>79</v>
      </c>
      <c r="F1293" s="5">
        <v>42736</v>
      </c>
      <c r="G1293">
        <v>0</v>
      </c>
    </row>
    <row r="1294" spans="1:7" x14ac:dyDescent="0.25">
      <c r="A1294" t="s">
        <v>103</v>
      </c>
      <c r="B1294" t="s">
        <v>106</v>
      </c>
      <c r="C1294">
        <v>1421</v>
      </c>
      <c r="D1294" t="s">
        <v>78</v>
      </c>
      <c r="E1294" t="s">
        <v>80</v>
      </c>
      <c r="F1294" s="5">
        <v>42370</v>
      </c>
      <c r="G1294">
        <v>0</v>
      </c>
    </row>
    <row r="1295" spans="1:7" x14ac:dyDescent="0.25">
      <c r="A1295" t="s">
        <v>103</v>
      </c>
      <c r="B1295" t="s">
        <v>106</v>
      </c>
      <c r="C1295">
        <v>1421</v>
      </c>
      <c r="D1295" t="s">
        <v>78</v>
      </c>
      <c r="E1295" t="s">
        <v>80</v>
      </c>
      <c r="F1295" s="5">
        <v>42736</v>
      </c>
      <c r="G1295">
        <v>0</v>
      </c>
    </row>
    <row r="1296" spans="1:7" x14ac:dyDescent="0.25">
      <c r="A1296" t="s">
        <v>103</v>
      </c>
      <c r="B1296" t="s">
        <v>106</v>
      </c>
      <c r="C1296">
        <v>1421</v>
      </c>
      <c r="D1296" t="s">
        <v>78</v>
      </c>
      <c r="E1296" t="s">
        <v>81</v>
      </c>
      <c r="F1296" s="5">
        <v>42370</v>
      </c>
      <c r="G1296">
        <v>962</v>
      </c>
    </row>
    <row r="1297" spans="1:7" x14ac:dyDescent="0.25">
      <c r="A1297" t="s">
        <v>103</v>
      </c>
      <c r="B1297" t="s">
        <v>106</v>
      </c>
      <c r="C1297">
        <v>1421</v>
      </c>
      <c r="D1297" t="s">
        <v>78</v>
      </c>
      <c r="E1297" t="s">
        <v>81</v>
      </c>
      <c r="F1297" s="5">
        <v>42736</v>
      </c>
      <c r="G1297">
        <v>1309</v>
      </c>
    </row>
    <row r="1298" spans="1:7" x14ac:dyDescent="0.25">
      <c r="A1298" t="s">
        <v>103</v>
      </c>
      <c r="B1298" t="s">
        <v>106</v>
      </c>
      <c r="C1298">
        <v>1421</v>
      </c>
      <c r="D1298" t="s">
        <v>78</v>
      </c>
      <c r="E1298" t="s">
        <v>82</v>
      </c>
      <c r="F1298" s="5">
        <v>42370</v>
      </c>
      <c r="G1298">
        <v>0</v>
      </c>
    </row>
    <row r="1299" spans="1:7" x14ac:dyDescent="0.25">
      <c r="A1299" t="s">
        <v>103</v>
      </c>
      <c r="B1299" t="s">
        <v>106</v>
      </c>
      <c r="C1299">
        <v>1421</v>
      </c>
      <c r="D1299" t="s">
        <v>78</v>
      </c>
      <c r="E1299" t="s">
        <v>82</v>
      </c>
      <c r="F1299" s="5">
        <v>42736</v>
      </c>
      <c r="G1299">
        <v>0</v>
      </c>
    </row>
    <row r="1300" spans="1:7" x14ac:dyDescent="0.25">
      <c r="A1300" t="s">
        <v>103</v>
      </c>
      <c r="B1300" t="s">
        <v>106</v>
      </c>
      <c r="C1300">
        <v>1421</v>
      </c>
      <c r="D1300" t="s">
        <v>78</v>
      </c>
      <c r="E1300" t="s">
        <v>83</v>
      </c>
      <c r="F1300" s="5">
        <v>42370</v>
      </c>
      <c r="G1300">
        <v>0</v>
      </c>
    </row>
    <row r="1301" spans="1:7" x14ac:dyDescent="0.25">
      <c r="A1301" t="s">
        <v>103</v>
      </c>
      <c r="B1301" t="s">
        <v>106</v>
      </c>
      <c r="C1301">
        <v>1421</v>
      </c>
      <c r="D1301" t="s">
        <v>78</v>
      </c>
      <c r="E1301" t="s">
        <v>83</v>
      </c>
      <c r="F1301" s="5">
        <v>42736</v>
      </c>
      <c r="G1301">
        <v>0</v>
      </c>
    </row>
    <row r="1302" spans="1:7" x14ac:dyDescent="0.25">
      <c r="A1302" t="s">
        <v>103</v>
      </c>
      <c r="B1302" t="s">
        <v>106</v>
      </c>
      <c r="C1302">
        <v>1421</v>
      </c>
      <c r="D1302" t="s">
        <v>78</v>
      </c>
      <c r="E1302" t="s">
        <v>84</v>
      </c>
      <c r="F1302" s="5">
        <v>42370</v>
      </c>
      <c r="G1302">
        <v>0</v>
      </c>
    </row>
    <row r="1303" spans="1:7" x14ac:dyDescent="0.25">
      <c r="A1303" t="s">
        <v>103</v>
      </c>
      <c r="B1303" t="s">
        <v>106</v>
      </c>
      <c r="C1303">
        <v>1421</v>
      </c>
      <c r="D1303" t="s">
        <v>78</v>
      </c>
      <c r="E1303" t="s">
        <v>84</v>
      </c>
      <c r="F1303" s="5">
        <v>42736</v>
      </c>
      <c r="G1303">
        <v>0</v>
      </c>
    </row>
    <row r="1304" spans="1:7" x14ac:dyDescent="0.25">
      <c r="A1304" t="s">
        <v>103</v>
      </c>
      <c r="B1304" t="s">
        <v>106</v>
      </c>
      <c r="C1304">
        <v>1421</v>
      </c>
      <c r="D1304" t="s">
        <v>78</v>
      </c>
      <c r="E1304" t="s">
        <v>85</v>
      </c>
      <c r="F1304" s="5">
        <v>42370</v>
      </c>
      <c r="G1304">
        <v>0</v>
      </c>
    </row>
    <row r="1305" spans="1:7" x14ac:dyDescent="0.25">
      <c r="A1305" t="s">
        <v>103</v>
      </c>
      <c r="B1305" t="s">
        <v>106</v>
      </c>
      <c r="C1305">
        <v>1421</v>
      </c>
      <c r="D1305" t="s">
        <v>78</v>
      </c>
      <c r="E1305" t="s">
        <v>85</v>
      </c>
      <c r="F1305" s="5">
        <v>42736</v>
      </c>
      <c r="G1305">
        <v>0</v>
      </c>
    </row>
    <row r="1306" spans="1:7" x14ac:dyDescent="0.25">
      <c r="A1306" t="s">
        <v>103</v>
      </c>
      <c r="B1306" t="s">
        <v>106</v>
      </c>
      <c r="C1306">
        <v>1421</v>
      </c>
      <c r="D1306" t="s">
        <v>78</v>
      </c>
      <c r="E1306" t="s">
        <v>86</v>
      </c>
      <c r="F1306" s="5">
        <v>42370</v>
      </c>
      <c r="G1306">
        <v>0</v>
      </c>
    </row>
    <row r="1307" spans="1:7" x14ac:dyDescent="0.25">
      <c r="A1307" t="s">
        <v>103</v>
      </c>
      <c r="B1307" t="s">
        <v>106</v>
      </c>
      <c r="C1307">
        <v>1421</v>
      </c>
      <c r="D1307" t="s">
        <v>78</v>
      </c>
      <c r="E1307" t="s">
        <v>86</v>
      </c>
      <c r="F1307" s="5">
        <v>42736</v>
      </c>
      <c r="G1307">
        <v>0</v>
      </c>
    </row>
    <row r="1308" spans="1:7" x14ac:dyDescent="0.25">
      <c r="A1308" t="s">
        <v>103</v>
      </c>
      <c r="B1308" t="s">
        <v>106</v>
      </c>
      <c r="C1308">
        <v>1421</v>
      </c>
      <c r="D1308" t="s">
        <v>78</v>
      </c>
      <c r="E1308" t="s">
        <v>87</v>
      </c>
      <c r="F1308" s="5">
        <v>42370</v>
      </c>
      <c r="G1308">
        <v>0</v>
      </c>
    </row>
    <row r="1309" spans="1:7" x14ac:dyDescent="0.25">
      <c r="A1309" t="s">
        <v>103</v>
      </c>
      <c r="B1309" t="s">
        <v>106</v>
      </c>
      <c r="C1309">
        <v>1421</v>
      </c>
      <c r="D1309" t="s">
        <v>78</v>
      </c>
      <c r="E1309" t="s">
        <v>87</v>
      </c>
      <c r="F1309" s="5">
        <v>42736</v>
      </c>
      <c r="G1309">
        <v>0</v>
      </c>
    </row>
    <row r="1310" spans="1:7" x14ac:dyDescent="0.25">
      <c r="A1310" t="s">
        <v>103</v>
      </c>
      <c r="B1310" t="s">
        <v>106</v>
      </c>
      <c r="C1310">
        <v>1421</v>
      </c>
      <c r="D1310" t="s">
        <v>78</v>
      </c>
      <c r="E1310" t="s">
        <v>88</v>
      </c>
      <c r="F1310" s="5">
        <v>42370</v>
      </c>
      <c r="G1310">
        <v>127</v>
      </c>
    </row>
    <row r="1311" spans="1:7" x14ac:dyDescent="0.25">
      <c r="A1311" t="s">
        <v>103</v>
      </c>
      <c r="B1311" t="s">
        <v>106</v>
      </c>
      <c r="C1311">
        <v>1421</v>
      </c>
      <c r="D1311" t="s">
        <v>78</v>
      </c>
      <c r="E1311" t="s">
        <v>88</v>
      </c>
      <c r="F1311" s="5">
        <v>42736</v>
      </c>
      <c r="G1311">
        <v>199</v>
      </c>
    </row>
    <row r="1312" spans="1:7" x14ac:dyDescent="0.25">
      <c r="A1312" t="s">
        <v>103</v>
      </c>
      <c r="B1312" t="s">
        <v>106</v>
      </c>
      <c r="C1312">
        <v>1421</v>
      </c>
      <c r="D1312" t="s">
        <v>78</v>
      </c>
      <c r="E1312" t="s">
        <v>89</v>
      </c>
      <c r="F1312" s="5">
        <v>42370</v>
      </c>
      <c r="G1312">
        <v>2266</v>
      </c>
    </row>
    <row r="1313" spans="1:7" x14ac:dyDescent="0.25">
      <c r="A1313" t="s">
        <v>103</v>
      </c>
      <c r="B1313" t="s">
        <v>106</v>
      </c>
      <c r="C1313">
        <v>1421</v>
      </c>
      <c r="D1313" t="s">
        <v>78</v>
      </c>
      <c r="E1313" t="s">
        <v>89</v>
      </c>
      <c r="F1313" s="5">
        <v>42736</v>
      </c>
      <c r="G1313">
        <v>3300</v>
      </c>
    </row>
    <row r="1314" spans="1:7" x14ac:dyDescent="0.25">
      <c r="A1314" t="s">
        <v>103</v>
      </c>
      <c r="B1314" t="s">
        <v>106</v>
      </c>
      <c r="C1314">
        <v>1421</v>
      </c>
      <c r="D1314" t="s">
        <v>78</v>
      </c>
      <c r="E1314" t="s">
        <v>90</v>
      </c>
      <c r="F1314" s="5">
        <v>42370</v>
      </c>
      <c r="G1314">
        <v>0</v>
      </c>
    </row>
    <row r="1315" spans="1:7" x14ac:dyDescent="0.25">
      <c r="A1315" t="s">
        <v>103</v>
      </c>
      <c r="B1315" t="s">
        <v>106</v>
      </c>
      <c r="C1315">
        <v>1421</v>
      </c>
      <c r="D1315" t="s">
        <v>78</v>
      </c>
      <c r="E1315" t="s">
        <v>90</v>
      </c>
      <c r="F1315" s="5">
        <v>42736</v>
      </c>
      <c r="G1315">
        <v>0</v>
      </c>
    </row>
    <row r="1316" spans="1:7" x14ac:dyDescent="0.25">
      <c r="A1316" t="s">
        <v>103</v>
      </c>
      <c r="B1316" t="s">
        <v>106</v>
      </c>
      <c r="C1316">
        <v>1421</v>
      </c>
      <c r="D1316" t="s">
        <v>78</v>
      </c>
      <c r="E1316" t="s">
        <v>91</v>
      </c>
      <c r="F1316" s="5">
        <v>42370</v>
      </c>
      <c r="G1316">
        <v>0</v>
      </c>
    </row>
    <row r="1317" spans="1:7" x14ac:dyDescent="0.25">
      <c r="A1317" t="s">
        <v>103</v>
      </c>
      <c r="B1317" t="s">
        <v>106</v>
      </c>
      <c r="C1317">
        <v>1421</v>
      </c>
      <c r="D1317" t="s">
        <v>78</v>
      </c>
      <c r="E1317" t="s">
        <v>91</v>
      </c>
      <c r="F1317" s="5">
        <v>42736</v>
      </c>
      <c r="G1317">
        <v>0</v>
      </c>
    </row>
    <row r="1318" spans="1:7" x14ac:dyDescent="0.25">
      <c r="A1318" t="s">
        <v>103</v>
      </c>
      <c r="B1318" t="s">
        <v>106</v>
      </c>
      <c r="C1318">
        <v>1421</v>
      </c>
      <c r="D1318" t="s">
        <v>78</v>
      </c>
      <c r="E1318" t="s">
        <v>92</v>
      </c>
      <c r="F1318" s="5">
        <v>42370</v>
      </c>
      <c r="G1318">
        <v>0</v>
      </c>
    </row>
    <row r="1319" spans="1:7" x14ac:dyDescent="0.25">
      <c r="A1319" t="s">
        <v>103</v>
      </c>
      <c r="B1319" t="s">
        <v>106</v>
      </c>
      <c r="C1319">
        <v>1421</v>
      </c>
      <c r="D1319" t="s">
        <v>78</v>
      </c>
      <c r="E1319" t="s">
        <v>92</v>
      </c>
      <c r="F1319" s="5">
        <v>42736</v>
      </c>
      <c r="G1319">
        <v>0</v>
      </c>
    </row>
    <row r="1320" spans="1:7" x14ac:dyDescent="0.25">
      <c r="A1320" t="s">
        <v>103</v>
      </c>
      <c r="B1320" t="s">
        <v>106</v>
      </c>
      <c r="C1320">
        <v>1421</v>
      </c>
      <c r="D1320" t="s">
        <v>78</v>
      </c>
      <c r="E1320" t="s">
        <v>93</v>
      </c>
      <c r="F1320" s="5">
        <v>42370</v>
      </c>
      <c r="G1320">
        <v>0</v>
      </c>
    </row>
    <row r="1321" spans="1:7" x14ac:dyDescent="0.25">
      <c r="A1321" t="s">
        <v>103</v>
      </c>
      <c r="B1321" t="s">
        <v>106</v>
      </c>
      <c r="C1321">
        <v>1421</v>
      </c>
      <c r="D1321" t="s">
        <v>78</v>
      </c>
      <c r="E1321" t="s">
        <v>93</v>
      </c>
      <c r="F1321" s="5">
        <v>42736</v>
      </c>
      <c r="G1321">
        <v>0</v>
      </c>
    </row>
    <row r="1322" spans="1:7" x14ac:dyDescent="0.25">
      <c r="A1322" t="s">
        <v>103</v>
      </c>
      <c r="B1322" t="s">
        <v>106</v>
      </c>
      <c r="C1322">
        <v>1421</v>
      </c>
      <c r="D1322" t="s">
        <v>78</v>
      </c>
      <c r="E1322" t="s">
        <v>94</v>
      </c>
      <c r="F1322" s="5">
        <v>42370</v>
      </c>
      <c r="G1322">
        <v>0</v>
      </c>
    </row>
    <row r="1323" spans="1:7" x14ac:dyDescent="0.25">
      <c r="A1323" t="s">
        <v>103</v>
      </c>
      <c r="B1323" t="s">
        <v>106</v>
      </c>
      <c r="C1323">
        <v>1421</v>
      </c>
      <c r="D1323" t="s">
        <v>78</v>
      </c>
      <c r="E1323" t="s">
        <v>94</v>
      </c>
      <c r="F1323" s="5">
        <v>42736</v>
      </c>
      <c r="G1323">
        <v>0</v>
      </c>
    </row>
    <row r="1324" spans="1:7" x14ac:dyDescent="0.25">
      <c r="A1324" t="s">
        <v>103</v>
      </c>
      <c r="B1324" t="s">
        <v>106</v>
      </c>
      <c r="C1324">
        <v>1421</v>
      </c>
      <c r="D1324" t="s">
        <v>78</v>
      </c>
      <c r="E1324" t="s">
        <v>95</v>
      </c>
      <c r="F1324" s="5">
        <v>42370</v>
      </c>
      <c r="G1324">
        <v>0</v>
      </c>
    </row>
    <row r="1325" spans="1:7" x14ac:dyDescent="0.25">
      <c r="A1325" t="s">
        <v>103</v>
      </c>
      <c r="B1325" t="s">
        <v>106</v>
      </c>
      <c r="C1325">
        <v>1421</v>
      </c>
      <c r="D1325" t="s">
        <v>78</v>
      </c>
      <c r="E1325" t="s">
        <v>95</v>
      </c>
      <c r="F1325" s="5">
        <v>42736</v>
      </c>
      <c r="G1325">
        <v>0</v>
      </c>
    </row>
    <row r="1326" spans="1:7" x14ac:dyDescent="0.25">
      <c r="A1326" t="s">
        <v>103</v>
      </c>
      <c r="B1326" t="s">
        <v>106</v>
      </c>
      <c r="C1326">
        <v>1421</v>
      </c>
      <c r="D1326" t="s">
        <v>78</v>
      </c>
      <c r="E1326" t="s">
        <v>96</v>
      </c>
      <c r="F1326" s="5">
        <v>42370</v>
      </c>
      <c r="G1326">
        <v>0</v>
      </c>
    </row>
    <row r="1327" spans="1:7" x14ac:dyDescent="0.25">
      <c r="A1327" t="s">
        <v>103</v>
      </c>
      <c r="B1327" t="s">
        <v>106</v>
      </c>
      <c r="C1327">
        <v>1421</v>
      </c>
      <c r="D1327" t="s">
        <v>78</v>
      </c>
      <c r="E1327" t="s">
        <v>96</v>
      </c>
      <c r="F1327" s="5">
        <v>42736</v>
      </c>
      <c r="G1327">
        <v>0</v>
      </c>
    </row>
    <row r="1328" spans="1:7" x14ac:dyDescent="0.25">
      <c r="A1328" t="s">
        <v>103</v>
      </c>
      <c r="B1328" t="s">
        <v>106</v>
      </c>
      <c r="C1328">
        <v>1421</v>
      </c>
      <c r="D1328" t="s">
        <v>78</v>
      </c>
      <c r="E1328" t="s">
        <v>97</v>
      </c>
      <c r="F1328" s="5">
        <v>42370</v>
      </c>
      <c r="G1328">
        <v>0</v>
      </c>
    </row>
    <row r="1329" spans="1:7" x14ac:dyDescent="0.25">
      <c r="A1329" t="s">
        <v>103</v>
      </c>
      <c r="B1329" t="s">
        <v>106</v>
      </c>
      <c r="C1329">
        <v>1421</v>
      </c>
      <c r="D1329" t="s">
        <v>78</v>
      </c>
      <c r="E1329" t="s">
        <v>97</v>
      </c>
      <c r="F1329" s="5">
        <v>42736</v>
      </c>
      <c r="G1329">
        <v>0</v>
      </c>
    </row>
    <row r="1330" spans="1:7" x14ac:dyDescent="0.25">
      <c r="A1330" t="s">
        <v>103</v>
      </c>
      <c r="B1330" t="s">
        <v>106</v>
      </c>
      <c r="C1330">
        <v>1421</v>
      </c>
      <c r="D1330" t="s">
        <v>78</v>
      </c>
      <c r="E1330" t="s">
        <v>98</v>
      </c>
      <c r="F1330" s="5">
        <v>42370</v>
      </c>
      <c r="G1330">
        <v>0</v>
      </c>
    </row>
    <row r="1331" spans="1:7" x14ac:dyDescent="0.25">
      <c r="A1331" t="s">
        <v>103</v>
      </c>
      <c r="B1331" t="s">
        <v>106</v>
      </c>
      <c r="C1331">
        <v>1421</v>
      </c>
      <c r="D1331" t="s">
        <v>78</v>
      </c>
      <c r="E1331" t="s">
        <v>98</v>
      </c>
      <c r="F1331" s="5">
        <v>42736</v>
      </c>
      <c r="G1331">
        <v>0</v>
      </c>
    </row>
    <row r="1332" spans="1:7" x14ac:dyDescent="0.25">
      <c r="A1332" t="s">
        <v>103</v>
      </c>
      <c r="B1332" t="s">
        <v>107</v>
      </c>
      <c r="C1332">
        <v>1440</v>
      </c>
      <c r="D1332" t="s">
        <v>8</v>
      </c>
      <c r="E1332" t="s">
        <v>9</v>
      </c>
      <c r="F1332" s="5">
        <v>42370</v>
      </c>
      <c r="G1332">
        <v>0</v>
      </c>
    </row>
    <row r="1333" spans="1:7" x14ac:dyDescent="0.25">
      <c r="A1333" t="s">
        <v>103</v>
      </c>
      <c r="B1333" t="s">
        <v>107</v>
      </c>
      <c r="C1333">
        <v>1440</v>
      </c>
      <c r="D1333" t="s">
        <v>8</v>
      </c>
      <c r="E1333" t="s">
        <v>9</v>
      </c>
      <c r="F1333" s="5">
        <v>42736</v>
      </c>
      <c r="G1333">
        <v>0</v>
      </c>
    </row>
    <row r="1334" spans="1:7" x14ac:dyDescent="0.25">
      <c r="A1334" t="s">
        <v>103</v>
      </c>
      <c r="B1334" t="s">
        <v>107</v>
      </c>
      <c r="C1334">
        <v>1440</v>
      </c>
      <c r="D1334" t="s">
        <v>8</v>
      </c>
      <c r="E1334" t="s">
        <v>10</v>
      </c>
      <c r="F1334" s="5">
        <v>42370</v>
      </c>
      <c r="G1334">
        <v>0</v>
      </c>
    </row>
    <row r="1335" spans="1:7" x14ac:dyDescent="0.25">
      <c r="A1335" t="s">
        <v>103</v>
      </c>
      <c r="B1335" t="s">
        <v>107</v>
      </c>
      <c r="C1335">
        <v>1440</v>
      </c>
      <c r="D1335" t="s">
        <v>8</v>
      </c>
      <c r="E1335" t="s">
        <v>10</v>
      </c>
      <c r="F1335" s="5">
        <v>42736</v>
      </c>
      <c r="G1335">
        <v>0</v>
      </c>
    </row>
    <row r="1336" spans="1:7" x14ac:dyDescent="0.25">
      <c r="A1336" t="s">
        <v>103</v>
      </c>
      <c r="B1336" t="s">
        <v>107</v>
      </c>
      <c r="C1336">
        <v>1440</v>
      </c>
      <c r="D1336" t="s">
        <v>8</v>
      </c>
      <c r="E1336" t="s">
        <v>11</v>
      </c>
      <c r="F1336" s="5">
        <v>42370</v>
      </c>
      <c r="G1336">
        <v>0</v>
      </c>
    </row>
    <row r="1337" spans="1:7" x14ac:dyDescent="0.25">
      <c r="A1337" t="s">
        <v>103</v>
      </c>
      <c r="B1337" t="s">
        <v>107</v>
      </c>
      <c r="C1337">
        <v>1440</v>
      </c>
      <c r="D1337" t="s">
        <v>8</v>
      </c>
      <c r="E1337" t="s">
        <v>11</v>
      </c>
      <c r="F1337" s="5">
        <v>42736</v>
      </c>
      <c r="G1337">
        <v>0</v>
      </c>
    </row>
    <row r="1338" spans="1:7" x14ac:dyDescent="0.25">
      <c r="A1338" t="s">
        <v>103</v>
      </c>
      <c r="B1338" t="s">
        <v>107</v>
      </c>
      <c r="C1338">
        <v>1440</v>
      </c>
      <c r="D1338" t="s">
        <v>8</v>
      </c>
      <c r="E1338" t="s">
        <v>12</v>
      </c>
      <c r="F1338" s="5">
        <v>42370</v>
      </c>
      <c r="G1338">
        <v>0</v>
      </c>
    </row>
    <row r="1339" spans="1:7" x14ac:dyDescent="0.25">
      <c r="A1339" t="s">
        <v>103</v>
      </c>
      <c r="B1339" t="s">
        <v>107</v>
      </c>
      <c r="C1339">
        <v>1440</v>
      </c>
      <c r="D1339" t="s">
        <v>8</v>
      </c>
      <c r="E1339" t="s">
        <v>12</v>
      </c>
      <c r="F1339" s="5">
        <v>42736</v>
      </c>
      <c r="G1339">
        <v>0</v>
      </c>
    </row>
    <row r="1340" spans="1:7" x14ac:dyDescent="0.25">
      <c r="A1340" t="s">
        <v>103</v>
      </c>
      <c r="B1340" t="s">
        <v>107</v>
      </c>
      <c r="C1340">
        <v>1440</v>
      </c>
      <c r="D1340" t="s">
        <v>8</v>
      </c>
      <c r="E1340" t="s">
        <v>13</v>
      </c>
      <c r="F1340" s="5">
        <v>42370</v>
      </c>
      <c r="G1340">
        <v>0</v>
      </c>
    </row>
    <row r="1341" spans="1:7" x14ac:dyDescent="0.25">
      <c r="A1341" t="s">
        <v>103</v>
      </c>
      <c r="B1341" t="s">
        <v>107</v>
      </c>
      <c r="C1341">
        <v>1440</v>
      </c>
      <c r="D1341" t="s">
        <v>8</v>
      </c>
      <c r="E1341" t="s">
        <v>13</v>
      </c>
      <c r="F1341" s="5">
        <v>42736</v>
      </c>
      <c r="G1341">
        <v>0</v>
      </c>
    </row>
    <row r="1342" spans="1:7" x14ac:dyDescent="0.25">
      <c r="A1342" t="s">
        <v>103</v>
      </c>
      <c r="B1342" t="s">
        <v>107</v>
      </c>
      <c r="C1342">
        <v>1440</v>
      </c>
      <c r="D1342" t="s">
        <v>8</v>
      </c>
      <c r="E1342" t="s">
        <v>14</v>
      </c>
      <c r="F1342" s="5">
        <v>42370</v>
      </c>
      <c r="G1342">
        <v>0</v>
      </c>
    </row>
    <row r="1343" spans="1:7" x14ac:dyDescent="0.25">
      <c r="A1343" t="s">
        <v>103</v>
      </c>
      <c r="B1343" t="s">
        <v>107</v>
      </c>
      <c r="C1343">
        <v>1440</v>
      </c>
      <c r="D1343" t="s">
        <v>8</v>
      </c>
      <c r="E1343" t="s">
        <v>14</v>
      </c>
      <c r="F1343" s="5">
        <v>42736</v>
      </c>
      <c r="G1343">
        <v>0</v>
      </c>
    </row>
    <row r="1344" spans="1:7" x14ac:dyDescent="0.25">
      <c r="A1344" t="s">
        <v>103</v>
      </c>
      <c r="B1344" t="s">
        <v>107</v>
      </c>
      <c r="C1344">
        <v>1440</v>
      </c>
      <c r="D1344" t="s">
        <v>8</v>
      </c>
      <c r="E1344" t="s">
        <v>15</v>
      </c>
      <c r="F1344" s="5">
        <v>42370</v>
      </c>
      <c r="G1344">
        <v>0</v>
      </c>
    </row>
    <row r="1345" spans="1:7" x14ac:dyDescent="0.25">
      <c r="A1345" t="s">
        <v>103</v>
      </c>
      <c r="B1345" t="s">
        <v>107</v>
      </c>
      <c r="C1345">
        <v>1440</v>
      </c>
      <c r="D1345" t="s">
        <v>8</v>
      </c>
      <c r="E1345" t="s">
        <v>15</v>
      </c>
      <c r="F1345" s="5">
        <v>42736</v>
      </c>
      <c r="G1345">
        <v>0</v>
      </c>
    </row>
    <row r="1346" spans="1:7" x14ac:dyDescent="0.25">
      <c r="A1346" t="s">
        <v>103</v>
      </c>
      <c r="B1346" t="s">
        <v>107</v>
      </c>
      <c r="C1346">
        <v>1440</v>
      </c>
      <c r="D1346" t="s">
        <v>8</v>
      </c>
      <c r="E1346" t="s">
        <v>16</v>
      </c>
      <c r="F1346" s="5">
        <v>42370</v>
      </c>
      <c r="G1346">
        <v>0</v>
      </c>
    </row>
    <row r="1347" spans="1:7" x14ac:dyDescent="0.25">
      <c r="A1347" t="s">
        <v>103</v>
      </c>
      <c r="B1347" t="s">
        <v>107</v>
      </c>
      <c r="C1347">
        <v>1440</v>
      </c>
      <c r="D1347" t="s">
        <v>8</v>
      </c>
      <c r="E1347" t="s">
        <v>16</v>
      </c>
      <c r="F1347" s="5">
        <v>42736</v>
      </c>
      <c r="G1347">
        <v>0</v>
      </c>
    </row>
    <row r="1348" spans="1:7" x14ac:dyDescent="0.25">
      <c r="A1348" t="s">
        <v>103</v>
      </c>
      <c r="B1348" t="s">
        <v>107</v>
      </c>
      <c r="C1348">
        <v>1440</v>
      </c>
      <c r="D1348" t="s">
        <v>8</v>
      </c>
      <c r="E1348" t="s">
        <v>17</v>
      </c>
      <c r="F1348" s="5">
        <v>42370</v>
      </c>
      <c r="G1348">
        <v>0</v>
      </c>
    </row>
    <row r="1349" spans="1:7" x14ac:dyDescent="0.25">
      <c r="A1349" t="s">
        <v>103</v>
      </c>
      <c r="B1349" t="s">
        <v>107</v>
      </c>
      <c r="C1349">
        <v>1440</v>
      </c>
      <c r="D1349" t="s">
        <v>8</v>
      </c>
      <c r="E1349" t="s">
        <v>17</v>
      </c>
      <c r="F1349" s="5">
        <v>42736</v>
      </c>
      <c r="G1349">
        <v>0</v>
      </c>
    </row>
    <row r="1350" spans="1:7" x14ac:dyDescent="0.25">
      <c r="A1350" t="s">
        <v>103</v>
      </c>
      <c r="B1350" t="s">
        <v>107</v>
      </c>
      <c r="C1350">
        <v>1440</v>
      </c>
      <c r="D1350" t="s">
        <v>8</v>
      </c>
      <c r="E1350" t="s">
        <v>18</v>
      </c>
      <c r="F1350" s="5">
        <v>42370</v>
      </c>
      <c r="G1350">
        <v>0</v>
      </c>
    </row>
    <row r="1351" spans="1:7" x14ac:dyDescent="0.25">
      <c r="A1351" t="s">
        <v>103</v>
      </c>
      <c r="B1351" t="s">
        <v>107</v>
      </c>
      <c r="C1351">
        <v>1440</v>
      </c>
      <c r="D1351" t="s">
        <v>8</v>
      </c>
      <c r="E1351" t="s">
        <v>18</v>
      </c>
      <c r="F1351" s="5">
        <v>42736</v>
      </c>
      <c r="G1351">
        <v>0</v>
      </c>
    </row>
    <row r="1352" spans="1:7" x14ac:dyDescent="0.25">
      <c r="A1352" t="s">
        <v>103</v>
      </c>
      <c r="B1352" t="s">
        <v>107</v>
      </c>
      <c r="C1352">
        <v>1440</v>
      </c>
      <c r="D1352" t="s">
        <v>8</v>
      </c>
      <c r="E1352" t="s">
        <v>19</v>
      </c>
      <c r="F1352" s="5">
        <v>42370</v>
      </c>
      <c r="G1352">
        <v>0</v>
      </c>
    </row>
    <row r="1353" spans="1:7" x14ac:dyDescent="0.25">
      <c r="A1353" t="s">
        <v>103</v>
      </c>
      <c r="B1353" t="s">
        <v>107</v>
      </c>
      <c r="C1353">
        <v>1440</v>
      </c>
      <c r="D1353" t="s">
        <v>8</v>
      </c>
      <c r="E1353" t="s">
        <v>19</v>
      </c>
      <c r="F1353" s="5">
        <v>42736</v>
      </c>
      <c r="G1353">
        <v>0</v>
      </c>
    </row>
    <row r="1354" spans="1:7" x14ac:dyDescent="0.25">
      <c r="A1354" t="s">
        <v>103</v>
      </c>
      <c r="B1354" t="s">
        <v>107</v>
      </c>
      <c r="C1354">
        <v>1440</v>
      </c>
      <c r="D1354" t="s">
        <v>20</v>
      </c>
      <c r="E1354" t="s">
        <v>9</v>
      </c>
      <c r="F1354" s="5">
        <v>42370</v>
      </c>
      <c r="G1354">
        <v>0</v>
      </c>
    </row>
    <row r="1355" spans="1:7" x14ac:dyDescent="0.25">
      <c r="A1355" t="s">
        <v>103</v>
      </c>
      <c r="B1355" t="s">
        <v>107</v>
      </c>
      <c r="C1355">
        <v>1440</v>
      </c>
      <c r="D1355" t="s">
        <v>20</v>
      </c>
      <c r="E1355" t="s">
        <v>9</v>
      </c>
      <c r="F1355" s="5">
        <v>42736</v>
      </c>
      <c r="G1355">
        <v>2</v>
      </c>
    </row>
    <row r="1356" spans="1:7" x14ac:dyDescent="0.25">
      <c r="A1356" t="s">
        <v>103</v>
      </c>
      <c r="B1356" t="s">
        <v>107</v>
      </c>
      <c r="C1356">
        <v>1440</v>
      </c>
      <c r="D1356" t="s">
        <v>20</v>
      </c>
      <c r="E1356" t="s">
        <v>21</v>
      </c>
      <c r="F1356" s="5">
        <v>42370</v>
      </c>
      <c r="G1356">
        <v>0</v>
      </c>
    </row>
    <row r="1357" spans="1:7" x14ac:dyDescent="0.25">
      <c r="A1357" t="s">
        <v>103</v>
      </c>
      <c r="B1357" t="s">
        <v>107</v>
      </c>
      <c r="C1357">
        <v>1440</v>
      </c>
      <c r="D1357" t="s">
        <v>20</v>
      </c>
      <c r="E1357" t="s">
        <v>21</v>
      </c>
      <c r="F1357" s="5">
        <v>42736</v>
      </c>
      <c r="G1357">
        <v>0</v>
      </c>
    </row>
    <row r="1358" spans="1:7" x14ac:dyDescent="0.25">
      <c r="A1358" t="s">
        <v>103</v>
      </c>
      <c r="B1358" t="s">
        <v>107</v>
      </c>
      <c r="C1358">
        <v>1440</v>
      </c>
      <c r="D1358" t="s">
        <v>20</v>
      </c>
      <c r="E1358" t="s">
        <v>22</v>
      </c>
      <c r="F1358" s="5">
        <v>42370</v>
      </c>
      <c r="G1358">
        <v>0</v>
      </c>
    </row>
    <row r="1359" spans="1:7" x14ac:dyDescent="0.25">
      <c r="A1359" t="s">
        <v>103</v>
      </c>
      <c r="B1359" t="s">
        <v>107</v>
      </c>
      <c r="C1359">
        <v>1440</v>
      </c>
      <c r="D1359" t="s">
        <v>20</v>
      </c>
      <c r="E1359" t="s">
        <v>22</v>
      </c>
      <c r="F1359" s="5">
        <v>42736</v>
      </c>
      <c r="G1359">
        <v>0</v>
      </c>
    </row>
    <row r="1360" spans="1:7" x14ac:dyDescent="0.25">
      <c r="A1360" t="s">
        <v>103</v>
      </c>
      <c r="B1360" t="s">
        <v>107</v>
      </c>
      <c r="C1360">
        <v>1440</v>
      </c>
      <c r="D1360" t="s">
        <v>20</v>
      </c>
      <c r="E1360" t="s">
        <v>23</v>
      </c>
      <c r="F1360" s="5">
        <v>42370</v>
      </c>
      <c r="G1360">
        <v>0</v>
      </c>
    </row>
    <row r="1361" spans="1:7" x14ac:dyDescent="0.25">
      <c r="A1361" t="s">
        <v>103</v>
      </c>
      <c r="B1361" t="s">
        <v>107</v>
      </c>
      <c r="C1361">
        <v>1440</v>
      </c>
      <c r="D1361" t="s">
        <v>20</v>
      </c>
      <c r="E1361" t="s">
        <v>23</v>
      </c>
      <c r="F1361" s="5">
        <v>42736</v>
      </c>
      <c r="G1361">
        <v>0</v>
      </c>
    </row>
    <row r="1362" spans="1:7" x14ac:dyDescent="0.25">
      <c r="A1362" t="s">
        <v>103</v>
      </c>
      <c r="B1362" t="s">
        <v>107</v>
      </c>
      <c r="C1362">
        <v>1440</v>
      </c>
      <c r="D1362" t="s">
        <v>20</v>
      </c>
      <c r="E1362" t="s">
        <v>24</v>
      </c>
      <c r="F1362" s="5">
        <v>42370</v>
      </c>
      <c r="G1362">
        <v>0</v>
      </c>
    </row>
    <row r="1363" spans="1:7" x14ac:dyDescent="0.25">
      <c r="A1363" t="s">
        <v>103</v>
      </c>
      <c r="B1363" t="s">
        <v>107</v>
      </c>
      <c r="C1363">
        <v>1440</v>
      </c>
      <c r="D1363" t="s">
        <v>20</v>
      </c>
      <c r="E1363" t="s">
        <v>24</v>
      </c>
      <c r="F1363" s="5">
        <v>42736</v>
      </c>
      <c r="G1363">
        <v>0</v>
      </c>
    </row>
    <row r="1364" spans="1:7" x14ac:dyDescent="0.25">
      <c r="A1364" t="s">
        <v>103</v>
      </c>
      <c r="B1364" t="s">
        <v>107</v>
      </c>
      <c r="C1364">
        <v>1440</v>
      </c>
      <c r="D1364" t="s">
        <v>20</v>
      </c>
      <c r="E1364" t="s">
        <v>25</v>
      </c>
      <c r="F1364" s="5">
        <v>42370</v>
      </c>
      <c r="G1364">
        <v>0</v>
      </c>
    </row>
    <row r="1365" spans="1:7" x14ac:dyDescent="0.25">
      <c r="A1365" t="s">
        <v>103</v>
      </c>
      <c r="B1365" t="s">
        <v>107</v>
      </c>
      <c r="C1365">
        <v>1440</v>
      </c>
      <c r="D1365" t="s">
        <v>20</v>
      </c>
      <c r="E1365" t="s">
        <v>25</v>
      </c>
      <c r="F1365" s="5">
        <v>42736</v>
      </c>
      <c r="G1365">
        <v>0</v>
      </c>
    </row>
    <row r="1366" spans="1:7" x14ac:dyDescent="0.25">
      <c r="A1366" t="s">
        <v>103</v>
      </c>
      <c r="B1366" t="s">
        <v>107</v>
      </c>
      <c r="C1366">
        <v>1440</v>
      </c>
      <c r="D1366" t="s">
        <v>20</v>
      </c>
      <c r="E1366" t="s">
        <v>26</v>
      </c>
      <c r="F1366" s="5">
        <v>42370</v>
      </c>
      <c r="G1366">
        <v>43</v>
      </c>
    </row>
    <row r="1367" spans="1:7" x14ac:dyDescent="0.25">
      <c r="A1367" t="s">
        <v>103</v>
      </c>
      <c r="B1367" t="s">
        <v>107</v>
      </c>
      <c r="C1367">
        <v>1440</v>
      </c>
      <c r="D1367" t="s">
        <v>20</v>
      </c>
      <c r="E1367" t="s">
        <v>26</v>
      </c>
      <c r="F1367" s="5">
        <v>42736</v>
      </c>
      <c r="G1367">
        <v>73</v>
      </c>
    </row>
    <row r="1368" spans="1:7" x14ac:dyDescent="0.25">
      <c r="A1368" t="s">
        <v>103</v>
      </c>
      <c r="B1368" t="s">
        <v>107</v>
      </c>
      <c r="C1368">
        <v>1440</v>
      </c>
      <c r="D1368" t="s">
        <v>20</v>
      </c>
      <c r="E1368" t="s">
        <v>27</v>
      </c>
      <c r="F1368" s="5">
        <v>42370</v>
      </c>
      <c r="G1368">
        <v>0</v>
      </c>
    </row>
    <row r="1369" spans="1:7" x14ac:dyDescent="0.25">
      <c r="A1369" t="s">
        <v>103</v>
      </c>
      <c r="B1369" t="s">
        <v>107</v>
      </c>
      <c r="C1369">
        <v>1440</v>
      </c>
      <c r="D1369" t="s">
        <v>20</v>
      </c>
      <c r="E1369" t="s">
        <v>27</v>
      </c>
      <c r="F1369" s="5">
        <v>42736</v>
      </c>
      <c r="G1369">
        <v>0</v>
      </c>
    </row>
    <row r="1370" spans="1:7" x14ac:dyDescent="0.25">
      <c r="A1370" t="s">
        <v>103</v>
      </c>
      <c r="B1370" t="s">
        <v>107</v>
      </c>
      <c r="C1370">
        <v>1440</v>
      </c>
      <c r="D1370" t="s">
        <v>20</v>
      </c>
      <c r="E1370" t="s">
        <v>28</v>
      </c>
      <c r="F1370" s="5">
        <v>42370</v>
      </c>
      <c r="G1370">
        <v>0</v>
      </c>
    </row>
    <row r="1371" spans="1:7" x14ac:dyDescent="0.25">
      <c r="A1371" t="s">
        <v>103</v>
      </c>
      <c r="B1371" t="s">
        <v>107</v>
      </c>
      <c r="C1371">
        <v>1440</v>
      </c>
      <c r="D1371" t="s">
        <v>20</v>
      </c>
      <c r="E1371" t="s">
        <v>28</v>
      </c>
      <c r="F1371" s="5">
        <v>42736</v>
      </c>
      <c r="G1371">
        <v>0</v>
      </c>
    </row>
    <row r="1372" spans="1:7" x14ac:dyDescent="0.25">
      <c r="A1372" t="s">
        <v>103</v>
      </c>
      <c r="B1372" t="s">
        <v>107</v>
      </c>
      <c r="C1372">
        <v>1440</v>
      </c>
      <c r="D1372" t="s">
        <v>20</v>
      </c>
      <c r="E1372" t="s">
        <v>29</v>
      </c>
      <c r="F1372" s="5">
        <v>42370</v>
      </c>
      <c r="G1372">
        <v>43</v>
      </c>
    </row>
    <row r="1373" spans="1:7" x14ac:dyDescent="0.25">
      <c r="A1373" t="s">
        <v>103</v>
      </c>
      <c r="B1373" t="s">
        <v>107</v>
      </c>
      <c r="C1373">
        <v>1440</v>
      </c>
      <c r="D1373" t="s">
        <v>20</v>
      </c>
      <c r="E1373" t="s">
        <v>29</v>
      </c>
      <c r="F1373" s="5">
        <v>42736</v>
      </c>
      <c r="G1373">
        <v>73</v>
      </c>
    </row>
    <row r="1374" spans="1:7" x14ac:dyDescent="0.25">
      <c r="A1374" t="s">
        <v>103</v>
      </c>
      <c r="B1374" t="s">
        <v>107</v>
      </c>
      <c r="C1374">
        <v>1440</v>
      </c>
      <c r="D1374" t="s">
        <v>20</v>
      </c>
      <c r="E1374" t="s">
        <v>30</v>
      </c>
      <c r="F1374" s="5">
        <v>42370</v>
      </c>
      <c r="G1374">
        <v>43</v>
      </c>
    </row>
    <row r="1375" spans="1:7" x14ac:dyDescent="0.25">
      <c r="A1375" t="s">
        <v>103</v>
      </c>
      <c r="B1375" t="s">
        <v>107</v>
      </c>
      <c r="C1375">
        <v>1440</v>
      </c>
      <c r="D1375" t="s">
        <v>20</v>
      </c>
      <c r="E1375" t="s">
        <v>30</v>
      </c>
      <c r="F1375" s="5">
        <v>42736</v>
      </c>
      <c r="G1375">
        <v>73</v>
      </c>
    </row>
    <row r="1376" spans="1:7" x14ac:dyDescent="0.25">
      <c r="A1376" t="s">
        <v>103</v>
      </c>
      <c r="B1376" t="s">
        <v>107</v>
      </c>
      <c r="C1376">
        <v>1440</v>
      </c>
      <c r="D1376" t="s">
        <v>20</v>
      </c>
      <c r="E1376" t="s">
        <v>31</v>
      </c>
      <c r="F1376" s="5">
        <v>42370</v>
      </c>
      <c r="G1376">
        <v>73</v>
      </c>
    </row>
    <row r="1377" spans="1:7" x14ac:dyDescent="0.25">
      <c r="A1377" t="s">
        <v>103</v>
      </c>
      <c r="B1377" t="s">
        <v>107</v>
      </c>
      <c r="C1377">
        <v>1440</v>
      </c>
      <c r="D1377" t="s">
        <v>20</v>
      </c>
      <c r="E1377" t="s">
        <v>31</v>
      </c>
      <c r="F1377" s="5">
        <v>42736</v>
      </c>
      <c r="G1377">
        <v>126</v>
      </c>
    </row>
    <row r="1378" spans="1:7" x14ac:dyDescent="0.25">
      <c r="A1378" t="s">
        <v>103</v>
      </c>
      <c r="B1378" t="s">
        <v>107</v>
      </c>
      <c r="C1378">
        <v>1440</v>
      </c>
      <c r="D1378" t="s">
        <v>20</v>
      </c>
      <c r="E1378" t="s">
        <v>32</v>
      </c>
      <c r="F1378" s="5">
        <v>42370</v>
      </c>
      <c r="G1378">
        <v>43</v>
      </c>
    </row>
    <row r="1379" spans="1:7" x14ac:dyDescent="0.25">
      <c r="A1379" t="s">
        <v>103</v>
      </c>
      <c r="B1379" t="s">
        <v>107</v>
      </c>
      <c r="C1379">
        <v>1440</v>
      </c>
      <c r="D1379" t="s">
        <v>20</v>
      </c>
      <c r="E1379" t="s">
        <v>32</v>
      </c>
      <c r="F1379" s="5">
        <v>42736</v>
      </c>
      <c r="G1379">
        <v>78</v>
      </c>
    </row>
    <row r="1380" spans="1:7" x14ac:dyDescent="0.25">
      <c r="A1380" t="s">
        <v>103</v>
      </c>
      <c r="B1380" t="s">
        <v>107</v>
      </c>
      <c r="C1380">
        <v>1440</v>
      </c>
      <c r="D1380" t="s">
        <v>33</v>
      </c>
      <c r="E1380" t="s">
        <v>9</v>
      </c>
      <c r="F1380" s="5">
        <v>42370</v>
      </c>
      <c r="G1380">
        <v>0</v>
      </c>
    </row>
    <row r="1381" spans="1:7" x14ac:dyDescent="0.25">
      <c r="A1381" t="s">
        <v>103</v>
      </c>
      <c r="B1381" t="s">
        <v>107</v>
      </c>
      <c r="C1381">
        <v>1440</v>
      </c>
      <c r="D1381" t="s">
        <v>33</v>
      </c>
      <c r="E1381" t="s">
        <v>9</v>
      </c>
      <c r="F1381" s="5">
        <v>42736</v>
      </c>
      <c r="G1381">
        <v>0</v>
      </c>
    </row>
    <row r="1382" spans="1:7" x14ac:dyDescent="0.25">
      <c r="A1382" t="s">
        <v>103</v>
      </c>
      <c r="B1382" t="s">
        <v>107</v>
      </c>
      <c r="C1382">
        <v>1440</v>
      </c>
      <c r="D1382" t="s">
        <v>33</v>
      </c>
      <c r="E1382" t="s">
        <v>34</v>
      </c>
      <c r="F1382" s="5">
        <v>42370</v>
      </c>
      <c r="G1382">
        <v>0</v>
      </c>
    </row>
    <row r="1383" spans="1:7" x14ac:dyDescent="0.25">
      <c r="A1383" t="s">
        <v>103</v>
      </c>
      <c r="B1383" t="s">
        <v>107</v>
      </c>
      <c r="C1383">
        <v>1440</v>
      </c>
      <c r="D1383" t="s">
        <v>33</v>
      </c>
      <c r="E1383" t="s">
        <v>34</v>
      </c>
      <c r="F1383" s="5">
        <v>42736</v>
      </c>
      <c r="G1383">
        <v>0</v>
      </c>
    </row>
    <row r="1384" spans="1:7" x14ac:dyDescent="0.25">
      <c r="A1384" t="s">
        <v>103</v>
      </c>
      <c r="B1384" t="s">
        <v>107</v>
      </c>
      <c r="C1384">
        <v>1440</v>
      </c>
      <c r="D1384" t="s">
        <v>35</v>
      </c>
      <c r="E1384" t="s">
        <v>36</v>
      </c>
      <c r="F1384" s="5">
        <v>42370</v>
      </c>
      <c r="G1384">
        <v>0</v>
      </c>
    </row>
    <row r="1385" spans="1:7" x14ac:dyDescent="0.25">
      <c r="A1385" t="s">
        <v>103</v>
      </c>
      <c r="B1385" t="s">
        <v>107</v>
      </c>
      <c r="C1385">
        <v>1440</v>
      </c>
      <c r="D1385" t="s">
        <v>35</v>
      </c>
      <c r="E1385" t="s">
        <v>36</v>
      </c>
      <c r="F1385" s="5">
        <v>42736</v>
      </c>
      <c r="G1385">
        <v>0</v>
      </c>
    </row>
    <row r="1386" spans="1:7" x14ac:dyDescent="0.25">
      <c r="A1386" t="s">
        <v>103</v>
      </c>
      <c r="B1386" t="s">
        <v>107</v>
      </c>
      <c r="C1386">
        <v>1440</v>
      </c>
      <c r="D1386" t="s">
        <v>35</v>
      </c>
      <c r="E1386" t="s">
        <v>37</v>
      </c>
      <c r="F1386" s="5">
        <v>42370</v>
      </c>
      <c r="G1386">
        <v>0</v>
      </c>
    </row>
    <row r="1387" spans="1:7" x14ac:dyDescent="0.25">
      <c r="A1387" t="s">
        <v>103</v>
      </c>
      <c r="B1387" t="s">
        <v>107</v>
      </c>
      <c r="C1387">
        <v>1440</v>
      </c>
      <c r="D1387" t="s">
        <v>35</v>
      </c>
      <c r="E1387" t="s">
        <v>37</v>
      </c>
      <c r="F1387" s="5">
        <v>42736</v>
      </c>
      <c r="G1387">
        <v>0</v>
      </c>
    </row>
    <row r="1388" spans="1:7" x14ac:dyDescent="0.25">
      <c r="A1388" t="s">
        <v>103</v>
      </c>
      <c r="B1388" t="s">
        <v>107</v>
      </c>
      <c r="C1388">
        <v>1440</v>
      </c>
      <c r="D1388" t="s">
        <v>35</v>
      </c>
      <c r="E1388" t="s">
        <v>38</v>
      </c>
      <c r="F1388" s="5">
        <v>42370</v>
      </c>
      <c r="G1388">
        <v>0</v>
      </c>
    </row>
    <row r="1389" spans="1:7" x14ac:dyDescent="0.25">
      <c r="A1389" t="s">
        <v>103</v>
      </c>
      <c r="B1389" t="s">
        <v>107</v>
      </c>
      <c r="C1389">
        <v>1440</v>
      </c>
      <c r="D1389" t="s">
        <v>35</v>
      </c>
      <c r="E1389" t="s">
        <v>38</v>
      </c>
      <c r="F1389" s="5">
        <v>42736</v>
      </c>
      <c r="G1389">
        <v>0</v>
      </c>
    </row>
    <row r="1390" spans="1:7" x14ac:dyDescent="0.25">
      <c r="A1390" t="s">
        <v>103</v>
      </c>
      <c r="B1390" t="s">
        <v>107</v>
      </c>
      <c r="C1390">
        <v>1440</v>
      </c>
      <c r="D1390" t="s">
        <v>35</v>
      </c>
      <c r="E1390" t="s">
        <v>39</v>
      </c>
      <c r="F1390" s="5">
        <v>42370</v>
      </c>
      <c r="G1390">
        <v>0</v>
      </c>
    </row>
    <row r="1391" spans="1:7" x14ac:dyDescent="0.25">
      <c r="A1391" t="s">
        <v>103</v>
      </c>
      <c r="B1391" t="s">
        <v>107</v>
      </c>
      <c r="C1391">
        <v>1440</v>
      </c>
      <c r="D1391" t="s">
        <v>35</v>
      </c>
      <c r="E1391" t="s">
        <v>39</v>
      </c>
      <c r="F1391" s="5">
        <v>42736</v>
      </c>
      <c r="G1391">
        <v>0</v>
      </c>
    </row>
    <row r="1392" spans="1:7" x14ac:dyDescent="0.25">
      <c r="A1392" t="s">
        <v>103</v>
      </c>
      <c r="B1392" t="s">
        <v>107</v>
      </c>
      <c r="C1392">
        <v>1440</v>
      </c>
      <c r="D1392" t="s">
        <v>35</v>
      </c>
      <c r="E1392" t="s">
        <v>40</v>
      </c>
      <c r="F1392" s="5">
        <v>42370</v>
      </c>
      <c r="G1392">
        <v>0</v>
      </c>
    </row>
    <row r="1393" spans="1:7" x14ac:dyDescent="0.25">
      <c r="A1393" t="s">
        <v>103</v>
      </c>
      <c r="B1393" t="s">
        <v>107</v>
      </c>
      <c r="C1393">
        <v>1440</v>
      </c>
      <c r="D1393" t="s">
        <v>35</v>
      </c>
      <c r="E1393" t="s">
        <v>40</v>
      </c>
      <c r="F1393" s="5">
        <v>42736</v>
      </c>
      <c r="G1393">
        <v>0</v>
      </c>
    </row>
    <row r="1394" spans="1:7" x14ac:dyDescent="0.25">
      <c r="A1394" t="s">
        <v>103</v>
      </c>
      <c r="B1394" t="s">
        <v>107</v>
      </c>
      <c r="C1394">
        <v>1440</v>
      </c>
      <c r="D1394" t="s">
        <v>35</v>
      </c>
      <c r="E1394" t="s">
        <v>41</v>
      </c>
      <c r="F1394" s="5">
        <v>42370</v>
      </c>
      <c r="G1394">
        <v>0</v>
      </c>
    </row>
    <row r="1395" spans="1:7" x14ac:dyDescent="0.25">
      <c r="A1395" t="s">
        <v>103</v>
      </c>
      <c r="B1395" t="s">
        <v>107</v>
      </c>
      <c r="C1395">
        <v>1440</v>
      </c>
      <c r="D1395" t="s">
        <v>35</v>
      </c>
      <c r="E1395" t="s">
        <v>41</v>
      </c>
      <c r="F1395" s="5">
        <v>42736</v>
      </c>
      <c r="G1395">
        <v>0</v>
      </c>
    </row>
    <row r="1396" spans="1:7" x14ac:dyDescent="0.25">
      <c r="A1396" t="s">
        <v>103</v>
      </c>
      <c r="B1396" t="s">
        <v>107</v>
      </c>
      <c r="C1396">
        <v>1440</v>
      </c>
      <c r="D1396" t="s">
        <v>35</v>
      </c>
      <c r="E1396" t="s">
        <v>42</v>
      </c>
      <c r="F1396" s="5">
        <v>42370</v>
      </c>
      <c r="G1396">
        <v>0</v>
      </c>
    </row>
    <row r="1397" spans="1:7" x14ac:dyDescent="0.25">
      <c r="A1397" t="s">
        <v>103</v>
      </c>
      <c r="B1397" t="s">
        <v>107</v>
      </c>
      <c r="C1397">
        <v>1440</v>
      </c>
      <c r="D1397" t="s">
        <v>35</v>
      </c>
      <c r="E1397" t="s">
        <v>42</v>
      </c>
      <c r="F1397" s="5">
        <v>42736</v>
      </c>
      <c r="G1397">
        <v>0</v>
      </c>
    </row>
    <row r="1398" spans="1:7" x14ac:dyDescent="0.25">
      <c r="A1398" t="s">
        <v>103</v>
      </c>
      <c r="B1398" t="s">
        <v>107</v>
      </c>
      <c r="C1398">
        <v>1440</v>
      </c>
      <c r="D1398" t="s">
        <v>35</v>
      </c>
      <c r="E1398" t="s">
        <v>43</v>
      </c>
      <c r="F1398" s="5">
        <v>42370</v>
      </c>
      <c r="G1398">
        <v>0</v>
      </c>
    </row>
    <row r="1399" spans="1:7" x14ac:dyDescent="0.25">
      <c r="A1399" t="s">
        <v>103</v>
      </c>
      <c r="B1399" t="s">
        <v>107</v>
      </c>
      <c r="C1399">
        <v>1440</v>
      </c>
      <c r="D1399" t="s">
        <v>35</v>
      </c>
      <c r="E1399" t="s">
        <v>43</v>
      </c>
      <c r="F1399" s="5">
        <v>42736</v>
      </c>
      <c r="G1399">
        <v>0</v>
      </c>
    </row>
    <row r="1400" spans="1:7" x14ac:dyDescent="0.25">
      <c r="A1400" t="s">
        <v>103</v>
      </c>
      <c r="B1400" t="s">
        <v>107</v>
      </c>
      <c r="C1400">
        <v>1440</v>
      </c>
      <c r="D1400" t="s">
        <v>44</v>
      </c>
      <c r="E1400" t="s">
        <v>36</v>
      </c>
      <c r="F1400" s="5">
        <v>42370</v>
      </c>
      <c r="G1400">
        <v>0</v>
      </c>
    </row>
    <row r="1401" spans="1:7" x14ac:dyDescent="0.25">
      <c r="A1401" t="s">
        <v>103</v>
      </c>
      <c r="B1401" t="s">
        <v>107</v>
      </c>
      <c r="C1401">
        <v>1440</v>
      </c>
      <c r="D1401" t="s">
        <v>44</v>
      </c>
      <c r="E1401" t="s">
        <v>36</v>
      </c>
      <c r="F1401" s="5">
        <v>42736</v>
      </c>
      <c r="G1401">
        <v>0</v>
      </c>
    </row>
    <row r="1402" spans="1:7" x14ac:dyDescent="0.25">
      <c r="A1402" t="s">
        <v>103</v>
      </c>
      <c r="B1402" t="s">
        <v>107</v>
      </c>
      <c r="C1402">
        <v>1440</v>
      </c>
      <c r="D1402" t="s">
        <v>44</v>
      </c>
      <c r="E1402" t="s">
        <v>37</v>
      </c>
      <c r="F1402" s="5">
        <v>42370</v>
      </c>
      <c r="G1402">
        <v>0</v>
      </c>
    </row>
    <row r="1403" spans="1:7" x14ac:dyDescent="0.25">
      <c r="A1403" t="s">
        <v>103</v>
      </c>
      <c r="B1403" t="s">
        <v>107</v>
      </c>
      <c r="C1403">
        <v>1440</v>
      </c>
      <c r="D1403" t="s">
        <v>44</v>
      </c>
      <c r="E1403" t="s">
        <v>37</v>
      </c>
      <c r="F1403" s="5">
        <v>42736</v>
      </c>
      <c r="G1403">
        <v>0</v>
      </c>
    </row>
    <row r="1404" spans="1:7" x14ac:dyDescent="0.25">
      <c r="A1404" t="s">
        <v>103</v>
      </c>
      <c r="B1404" t="s">
        <v>107</v>
      </c>
      <c r="C1404">
        <v>1440</v>
      </c>
      <c r="D1404" t="s">
        <v>44</v>
      </c>
      <c r="E1404" t="s">
        <v>38</v>
      </c>
      <c r="F1404" s="5">
        <v>42370</v>
      </c>
      <c r="G1404">
        <v>0</v>
      </c>
    </row>
    <row r="1405" spans="1:7" x14ac:dyDescent="0.25">
      <c r="A1405" t="s">
        <v>103</v>
      </c>
      <c r="B1405" t="s">
        <v>107</v>
      </c>
      <c r="C1405">
        <v>1440</v>
      </c>
      <c r="D1405" t="s">
        <v>44</v>
      </c>
      <c r="E1405" t="s">
        <v>38</v>
      </c>
      <c r="F1405" s="5">
        <v>42736</v>
      </c>
      <c r="G1405">
        <v>0</v>
      </c>
    </row>
    <row r="1406" spans="1:7" x14ac:dyDescent="0.25">
      <c r="A1406" t="s">
        <v>103</v>
      </c>
      <c r="B1406" t="s">
        <v>107</v>
      </c>
      <c r="C1406">
        <v>1440</v>
      </c>
      <c r="D1406" t="s">
        <v>44</v>
      </c>
      <c r="E1406" t="s">
        <v>39</v>
      </c>
      <c r="F1406" s="5">
        <v>42370</v>
      </c>
      <c r="G1406">
        <v>0</v>
      </c>
    </row>
    <row r="1407" spans="1:7" x14ac:dyDescent="0.25">
      <c r="A1407" t="s">
        <v>103</v>
      </c>
      <c r="B1407" t="s">
        <v>107</v>
      </c>
      <c r="C1407">
        <v>1440</v>
      </c>
      <c r="D1407" t="s">
        <v>44</v>
      </c>
      <c r="E1407" t="s">
        <v>39</v>
      </c>
      <c r="F1407" s="5">
        <v>42736</v>
      </c>
      <c r="G1407">
        <v>0</v>
      </c>
    </row>
    <row r="1408" spans="1:7" x14ac:dyDescent="0.25">
      <c r="A1408" t="s">
        <v>103</v>
      </c>
      <c r="B1408" t="s">
        <v>107</v>
      </c>
      <c r="C1408">
        <v>1440</v>
      </c>
      <c r="D1408" t="s">
        <v>44</v>
      </c>
      <c r="E1408" t="s">
        <v>40</v>
      </c>
      <c r="F1408" s="5">
        <v>42370</v>
      </c>
      <c r="G1408">
        <v>0</v>
      </c>
    </row>
    <row r="1409" spans="1:7" x14ac:dyDescent="0.25">
      <c r="A1409" t="s">
        <v>103</v>
      </c>
      <c r="B1409" t="s">
        <v>107</v>
      </c>
      <c r="C1409">
        <v>1440</v>
      </c>
      <c r="D1409" t="s">
        <v>44</v>
      </c>
      <c r="E1409" t="s">
        <v>40</v>
      </c>
      <c r="F1409" s="5">
        <v>42736</v>
      </c>
      <c r="G1409">
        <v>0</v>
      </c>
    </row>
    <row r="1410" spans="1:7" x14ac:dyDescent="0.25">
      <c r="A1410" t="s">
        <v>103</v>
      </c>
      <c r="B1410" t="s">
        <v>107</v>
      </c>
      <c r="C1410">
        <v>1440</v>
      </c>
      <c r="D1410" t="s">
        <v>44</v>
      </c>
      <c r="E1410" t="s">
        <v>41</v>
      </c>
      <c r="F1410" s="5">
        <v>42370</v>
      </c>
      <c r="G1410">
        <v>0</v>
      </c>
    </row>
    <row r="1411" spans="1:7" x14ac:dyDescent="0.25">
      <c r="A1411" t="s">
        <v>103</v>
      </c>
      <c r="B1411" t="s">
        <v>107</v>
      </c>
      <c r="C1411">
        <v>1440</v>
      </c>
      <c r="D1411" t="s">
        <v>44</v>
      </c>
      <c r="E1411" t="s">
        <v>41</v>
      </c>
      <c r="F1411" s="5">
        <v>42736</v>
      </c>
      <c r="G1411">
        <v>0</v>
      </c>
    </row>
    <row r="1412" spans="1:7" x14ac:dyDescent="0.25">
      <c r="A1412" t="s">
        <v>103</v>
      </c>
      <c r="B1412" t="s">
        <v>107</v>
      </c>
      <c r="C1412">
        <v>1440</v>
      </c>
      <c r="D1412" t="s">
        <v>44</v>
      </c>
      <c r="E1412" t="s">
        <v>42</v>
      </c>
      <c r="F1412" s="5">
        <v>42370</v>
      </c>
      <c r="G1412">
        <v>0</v>
      </c>
    </row>
    <row r="1413" spans="1:7" x14ac:dyDescent="0.25">
      <c r="A1413" t="s">
        <v>103</v>
      </c>
      <c r="B1413" t="s">
        <v>107</v>
      </c>
      <c r="C1413">
        <v>1440</v>
      </c>
      <c r="D1413" t="s">
        <v>44</v>
      </c>
      <c r="E1413" t="s">
        <v>42</v>
      </c>
      <c r="F1413" s="5">
        <v>42736</v>
      </c>
      <c r="G1413">
        <v>0</v>
      </c>
    </row>
    <row r="1414" spans="1:7" x14ac:dyDescent="0.25">
      <c r="A1414" t="s">
        <v>103</v>
      </c>
      <c r="B1414" t="s">
        <v>107</v>
      </c>
      <c r="C1414">
        <v>1440</v>
      </c>
      <c r="D1414" t="s">
        <v>44</v>
      </c>
      <c r="E1414" t="s">
        <v>43</v>
      </c>
      <c r="F1414" s="5">
        <v>42370</v>
      </c>
      <c r="G1414">
        <v>0</v>
      </c>
    </row>
    <row r="1415" spans="1:7" x14ac:dyDescent="0.25">
      <c r="A1415" t="s">
        <v>103</v>
      </c>
      <c r="B1415" t="s">
        <v>107</v>
      </c>
      <c r="C1415">
        <v>1440</v>
      </c>
      <c r="D1415" t="s">
        <v>44</v>
      </c>
      <c r="E1415" t="s">
        <v>43</v>
      </c>
      <c r="F1415" s="5">
        <v>42736</v>
      </c>
      <c r="G1415">
        <v>0</v>
      </c>
    </row>
    <row r="1416" spans="1:7" x14ac:dyDescent="0.25">
      <c r="A1416" t="s">
        <v>103</v>
      </c>
      <c r="B1416" t="s">
        <v>107</v>
      </c>
      <c r="C1416">
        <v>1440</v>
      </c>
      <c r="D1416" t="s">
        <v>45</v>
      </c>
      <c r="E1416" t="s">
        <v>46</v>
      </c>
      <c r="F1416" s="5">
        <v>42370</v>
      </c>
      <c r="G1416">
        <v>0</v>
      </c>
    </row>
    <row r="1417" spans="1:7" x14ac:dyDescent="0.25">
      <c r="A1417" t="s">
        <v>103</v>
      </c>
      <c r="B1417" t="s">
        <v>107</v>
      </c>
      <c r="C1417">
        <v>1440</v>
      </c>
      <c r="D1417" t="s">
        <v>45</v>
      </c>
      <c r="E1417" t="s">
        <v>46</v>
      </c>
      <c r="F1417" s="5">
        <v>42736</v>
      </c>
      <c r="G1417">
        <v>0</v>
      </c>
    </row>
    <row r="1418" spans="1:7" x14ac:dyDescent="0.25">
      <c r="A1418" t="s">
        <v>103</v>
      </c>
      <c r="B1418" t="s">
        <v>107</v>
      </c>
      <c r="C1418">
        <v>1440</v>
      </c>
      <c r="D1418" t="s">
        <v>45</v>
      </c>
      <c r="E1418" t="s">
        <v>47</v>
      </c>
      <c r="F1418" s="5">
        <v>42370</v>
      </c>
      <c r="G1418">
        <v>0</v>
      </c>
    </row>
    <row r="1419" spans="1:7" x14ac:dyDescent="0.25">
      <c r="A1419" t="s">
        <v>103</v>
      </c>
      <c r="B1419" t="s">
        <v>107</v>
      </c>
      <c r="C1419">
        <v>1440</v>
      </c>
      <c r="D1419" t="s">
        <v>45</v>
      </c>
      <c r="E1419" t="s">
        <v>47</v>
      </c>
      <c r="F1419" s="5">
        <v>42736</v>
      </c>
      <c r="G1419">
        <v>0</v>
      </c>
    </row>
    <row r="1420" spans="1:7" x14ac:dyDescent="0.25">
      <c r="A1420" t="s">
        <v>103</v>
      </c>
      <c r="B1420" t="s">
        <v>107</v>
      </c>
      <c r="C1420">
        <v>1440</v>
      </c>
      <c r="D1420" t="s">
        <v>45</v>
      </c>
      <c r="E1420" t="s">
        <v>48</v>
      </c>
      <c r="F1420" s="5">
        <v>42370</v>
      </c>
      <c r="G1420">
        <v>17</v>
      </c>
    </row>
    <row r="1421" spans="1:7" x14ac:dyDescent="0.25">
      <c r="A1421" t="s">
        <v>103</v>
      </c>
      <c r="B1421" t="s">
        <v>107</v>
      </c>
      <c r="C1421">
        <v>1440</v>
      </c>
      <c r="D1421" t="s">
        <v>45</v>
      </c>
      <c r="E1421" t="s">
        <v>48</v>
      </c>
      <c r="F1421" s="5">
        <v>42736</v>
      </c>
      <c r="G1421">
        <v>16</v>
      </c>
    </row>
    <row r="1422" spans="1:7" x14ac:dyDescent="0.25">
      <c r="A1422" t="s">
        <v>103</v>
      </c>
      <c r="B1422" t="s">
        <v>107</v>
      </c>
      <c r="C1422">
        <v>1440</v>
      </c>
      <c r="D1422" t="s">
        <v>45</v>
      </c>
      <c r="E1422" t="s">
        <v>49</v>
      </c>
      <c r="F1422" s="5">
        <v>42370</v>
      </c>
      <c r="G1422">
        <v>0</v>
      </c>
    </row>
    <row r="1423" spans="1:7" x14ac:dyDescent="0.25">
      <c r="A1423" t="s">
        <v>103</v>
      </c>
      <c r="B1423" t="s">
        <v>107</v>
      </c>
      <c r="C1423">
        <v>1440</v>
      </c>
      <c r="D1423" t="s">
        <v>45</v>
      </c>
      <c r="E1423" t="s">
        <v>49</v>
      </c>
      <c r="F1423" s="5">
        <v>42736</v>
      </c>
      <c r="G1423">
        <v>0</v>
      </c>
    </row>
    <row r="1424" spans="1:7" x14ac:dyDescent="0.25">
      <c r="A1424" t="s">
        <v>103</v>
      </c>
      <c r="B1424" t="s">
        <v>107</v>
      </c>
      <c r="C1424">
        <v>1440</v>
      </c>
      <c r="D1424" t="s">
        <v>45</v>
      </c>
      <c r="E1424" t="s">
        <v>50</v>
      </c>
      <c r="F1424" s="5">
        <v>42370</v>
      </c>
      <c r="G1424">
        <v>0</v>
      </c>
    </row>
    <row r="1425" spans="1:7" x14ac:dyDescent="0.25">
      <c r="A1425" t="s">
        <v>103</v>
      </c>
      <c r="B1425" t="s">
        <v>107</v>
      </c>
      <c r="C1425">
        <v>1440</v>
      </c>
      <c r="D1425" t="s">
        <v>45</v>
      </c>
      <c r="E1425" t="s">
        <v>50</v>
      </c>
      <c r="F1425" s="5">
        <v>42736</v>
      </c>
      <c r="G1425">
        <v>0</v>
      </c>
    </row>
    <row r="1426" spans="1:7" x14ac:dyDescent="0.25">
      <c r="A1426" t="s">
        <v>103</v>
      </c>
      <c r="B1426" t="s">
        <v>107</v>
      </c>
      <c r="C1426">
        <v>1440</v>
      </c>
      <c r="D1426" t="s">
        <v>45</v>
      </c>
      <c r="E1426" t="s">
        <v>51</v>
      </c>
      <c r="F1426" s="5">
        <v>42370</v>
      </c>
      <c r="G1426">
        <v>0</v>
      </c>
    </row>
    <row r="1427" spans="1:7" x14ac:dyDescent="0.25">
      <c r="A1427" t="s">
        <v>103</v>
      </c>
      <c r="B1427" t="s">
        <v>107</v>
      </c>
      <c r="C1427">
        <v>1440</v>
      </c>
      <c r="D1427" t="s">
        <v>45</v>
      </c>
      <c r="E1427" t="s">
        <v>51</v>
      </c>
      <c r="F1427" s="5">
        <v>42736</v>
      </c>
      <c r="G1427">
        <v>0</v>
      </c>
    </row>
    <row r="1428" spans="1:7" x14ac:dyDescent="0.25">
      <c r="A1428" t="s">
        <v>103</v>
      </c>
      <c r="B1428" t="s">
        <v>107</v>
      </c>
      <c r="C1428">
        <v>1440</v>
      </c>
      <c r="D1428" t="s">
        <v>45</v>
      </c>
      <c r="E1428" t="s">
        <v>52</v>
      </c>
      <c r="F1428" s="5">
        <v>42370</v>
      </c>
      <c r="G1428">
        <v>0</v>
      </c>
    </row>
    <row r="1429" spans="1:7" x14ac:dyDescent="0.25">
      <c r="A1429" t="s">
        <v>103</v>
      </c>
      <c r="B1429" t="s">
        <v>107</v>
      </c>
      <c r="C1429">
        <v>1440</v>
      </c>
      <c r="D1429" t="s">
        <v>45</v>
      </c>
      <c r="E1429" t="s">
        <v>52</v>
      </c>
      <c r="F1429" s="5">
        <v>42736</v>
      </c>
      <c r="G1429">
        <v>0</v>
      </c>
    </row>
    <row r="1430" spans="1:7" x14ac:dyDescent="0.25">
      <c r="A1430" t="s">
        <v>103</v>
      </c>
      <c r="B1430" t="s">
        <v>107</v>
      </c>
      <c r="C1430">
        <v>1440</v>
      </c>
      <c r="D1430" t="s">
        <v>45</v>
      </c>
      <c r="E1430" t="s">
        <v>53</v>
      </c>
      <c r="F1430" s="5">
        <v>42370</v>
      </c>
      <c r="G1430">
        <v>6</v>
      </c>
    </row>
    <row r="1431" spans="1:7" x14ac:dyDescent="0.25">
      <c r="A1431" t="s">
        <v>103</v>
      </c>
      <c r="B1431" t="s">
        <v>107</v>
      </c>
      <c r="C1431">
        <v>1440</v>
      </c>
      <c r="D1431" t="s">
        <v>45</v>
      </c>
      <c r="E1431" t="s">
        <v>53</v>
      </c>
      <c r="F1431" s="5">
        <v>42736</v>
      </c>
      <c r="G1431">
        <v>16</v>
      </c>
    </row>
    <row r="1432" spans="1:7" x14ac:dyDescent="0.25">
      <c r="A1432" t="s">
        <v>103</v>
      </c>
      <c r="B1432" t="s">
        <v>107</v>
      </c>
      <c r="C1432">
        <v>1440</v>
      </c>
      <c r="D1432" t="s">
        <v>45</v>
      </c>
      <c r="E1432" t="s">
        <v>54</v>
      </c>
      <c r="F1432" s="5">
        <v>42370</v>
      </c>
      <c r="G1432">
        <v>0</v>
      </c>
    </row>
    <row r="1433" spans="1:7" x14ac:dyDescent="0.25">
      <c r="A1433" t="s">
        <v>103</v>
      </c>
      <c r="B1433" t="s">
        <v>107</v>
      </c>
      <c r="C1433">
        <v>1440</v>
      </c>
      <c r="D1433" t="s">
        <v>45</v>
      </c>
      <c r="E1433" t="s">
        <v>54</v>
      </c>
      <c r="F1433" s="5">
        <v>42736</v>
      </c>
      <c r="G1433">
        <v>0</v>
      </c>
    </row>
    <row r="1434" spans="1:7" x14ac:dyDescent="0.25">
      <c r="A1434" t="s">
        <v>103</v>
      </c>
      <c r="B1434" t="s">
        <v>107</v>
      </c>
      <c r="C1434">
        <v>1440</v>
      </c>
      <c r="D1434" t="s">
        <v>45</v>
      </c>
      <c r="E1434" t="s">
        <v>55</v>
      </c>
      <c r="F1434" s="5">
        <v>42370</v>
      </c>
      <c r="G1434">
        <v>0</v>
      </c>
    </row>
    <row r="1435" spans="1:7" x14ac:dyDescent="0.25">
      <c r="A1435" t="s">
        <v>103</v>
      </c>
      <c r="B1435" t="s">
        <v>107</v>
      </c>
      <c r="C1435">
        <v>1440</v>
      </c>
      <c r="D1435" t="s">
        <v>45</v>
      </c>
      <c r="E1435" t="s">
        <v>55</v>
      </c>
      <c r="F1435" s="5">
        <v>42736</v>
      </c>
      <c r="G1435">
        <v>0</v>
      </c>
    </row>
    <row r="1436" spans="1:7" x14ac:dyDescent="0.25">
      <c r="A1436" t="s">
        <v>103</v>
      </c>
      <c r="B1436" t="s">
        <v>107</v>
      </c>
      <c r="C1436">
        <v>1440</v>
      </c>
      <c r="D1436" t="s">
        <v>45</v>
      </c>
      <c r="E1436" t="s">
        <v>56</v>
      </c>
      <c r="F1436" s="5">
        <v>42370</v>
      </c>
      <c r="G1436">
        <v>0</v>
      </c>
    </row>
    <row r="1437" spans="1:7" x14ac:dyDescent="0.25">
      <c r="A1437" t="s">
        <v>103</v>
      </c>
      <c r="B1437" t="s">
        <v>107</v>
      </c>
      <c r="C1437">
        <v>1440</v>
      </c>
      <c r="D1437" t="s">
        <v>45</v>
      </c>
      <c r="E1437" t="s">
        <v>56</v>
      </c>
      <c r="F1437" s="5">
        <v>42736</v>
      </c>
      <c r="G1437">
        <v>0</v>
      </c>
    </row>
    <row r="1438" spans="1:7" x14ac:dyDescent="0.25">
      <c r="A1438" t="s">
        <v>103</v>
      </c>
      <c r="B1438" t="s">
        <v>107</v>
      </c>
      <c r="C1438">
        <v>1440</v>
      </c>
      <c r="D1438" t="s">
        <v>45</v>
      </c>
      <c r="E1438" t="s">
        <v>57</v>
      </c>
      <c r="F1438" s="5">
        <v>42370</v>
      </c>
      <c r="G1438">
        <v>0</v>
      </c>
    </row>
    <row r="1439" spans="1:7" x14ac:dyDescent="0.25">
      <c r="A1439" t="s">
        <v>103</v>
      </c>
      <c r="B1439" t="s">
        <v>107</v>
      </c>
      <c r="C1439">
        <v>1440</v>
      </c>
      <c r="D1439" t="s">
        <v>45</v>
      </c>
      <c r="E1439" t="s">
        <v>57</v>
      </c>
      <c r="F1439" s="5">
        <v>42736</v>
      </c>
      <c r="G1439">
        <v>0</v>
      </c>
    </row>
    <row r="1440" spans="1:7" x14ac:dyDescent="0.25">
      <c r="A1440" t="s">
        <v>103</v>
      </c>
      <c r="B1440" t="s">
        <v>107</v>
      </c>
      <c r="C1440">
        <v>1440</v>
      </c>
      <c r="D1440" t="s">
        <v>45</v>
      </c>
      <c r="E1440" t="s">
        <v>58</v>
      </c>
      <c r="F1440" s="5">
        <v>42370</v>
      </c>
      <c r="G1440">
        <v>0</v>
      </c>
    </row>
    <row r="1441" spans="1:7" x14ac:dyDescent="0.25">
      <c r="A1441" t="s">
        <v>103</v>
      </c>
      <c r="B1441" t="s">
        <v>107</v>
      </c>
      <c r="C1441">
        <v>1440</v>
      </c>
      <c r="D1441" t="s">
        <v>45</v>
      </c>
      <c r="E1441" t="s">
        <v>58</v>
      </c>
      <c r="F1441" s="5">
        <v>42736</v>
      </c>
      <c r="G1441">
        <v>0</v>
      </c>
    </row>
    <row r="1442" spans="1:7" x14ac:dyDescent="0.25">
      <c r="A1442" t="s">
        <v>103</v>
      </c>
      <c r="B1442" t="s">
        <v>107</v>
      </c>
      <c r="C1442">
        <v>1440</v>
      </c>
      <c r="D1442" t="s">
        <v>45</v>
      </c>
      <c r="E1442" t="s">
        <v>59</v>
      </c>
      <c r="F1442" s="5">
        <v>42370</v>
      </c>
      <c r="G1442">
        <v>0</v>
      </c>
    </row>
    <row r="1443" spans="1:7" x14ac:dyDescent="0.25">
      <c r="A1443" t="s">
        <v>103</v>
      </c>
      <c r="B1443" t="s">
        <v>107</v>
      </c>
      <c r="C1443">
        <v>1440</v>
      </c>
      <c r="D1443" t="s">
        <v>45</v>
      </c>
      <c r="E1443" t="s">
        <v>59</v>
      </c>
      <c r="F1443" s="5">
        <v>42736</v>
      </c>
      <c r="G1443">
        <v>0</v>
      </c>
    </row>
    <row r="1444" spans="1:7" x14ac:dyDescent="0.25">
      <c r="A1444" t="s">
        <v>103</v>
      </c>
      <c r="B1444" t="s">
        <v>107</v>
      </c>
      <c r="C1444">
        <v>1440</v>
      </c>
      <c r="D1444" t="s">
        <v>45</v>
      </c>
      <c r="E1444" t="s">
        <v>60</v>
      </c>
      <c r="F1444" s="5">
        <v>42370</v>
      </c>
      <c r="G1444">
        <v>0</v>
      </c>
    </row>
    <row r="1445" spans="1:7" x14ac:dyDescent="0.25">
      <c r="A1445" t="s">
        <v>103</v>
      </c>
      <c r="B1445" t="s">
        <v>107</v>
      </c>
      <c r="C1445">
        <v>1440</v>
      </c>
      <c r="D1445" t="s">
        <v>45</v>
      </c>
      <c r="E1445" t="s">
        <v>60</v>
      </c>
      <c r="F1445" s="5">
        <v>42736</v>
      </c>
      <c r="G1445">
        <v>0</v>
      </c>
    </row>
    <row r="1446" spans="1:7" x14ac:dyDescent="0.25">
      <c r="A1446" t="s">
        <v>103</v>
      </c>
      <c r="B1446" t="s">
        <v>107</v>
      </c>
      <c r="C1446">
        <v>1440</v>
      </c>
      <c r="D1446" t="s">
        <v>45</v>
      </c>
      <c r="E1446" t="s">
        <v>61</v>
      </c>
      <c r="F1446" s="5">
        <v>42370</v>
      </c>
      <c r="G1446">
        <v>0</v>
      </c>
    </row>
    <row r="1447" spans="1:7" x14ac:dyDescent="0.25">
      <c r="A1447" t="s">
        <v>103</v>
      </c>
      <c r="B1447" t="s">
        <v>107</v>
      </c>
      <c r="C1447">
        <v>1440</v>
      </c>
      <c r="D1447" t="s">
        <v>45</v>
      </c>
      <c r="E1447" t="s">
        <v>61</v>
      </c>
      <c r="F1447" s="5">
        <v>42736</v>
      </c>
      <c r="G1447">
        <v>1</v>
      </c>
    </row>
    <row r="1448" spans="1:7" x14ac:dyDescent="0.25">
      <c r="A1448" t="s">
        <v>103</v>
      </c>
      <c r="B1448" t="s">
        <v>107</v>
      </c>
      <c r="C1448">
        <v>1440</v>
      </c>
      <c r="D1448" t="s">
        <v>62</v>
      </c>
      <c r="E1448" t="s">
        <v>63</v>
      </c>
      <c r="F1448" s="5">
        <v>42370</v>
      </c>
      <c r="G1448">
        <v>0</v>
      </c>
    </row>
    <row r="1449" spans="1:7" x14ac:dyDescent="0.25">
      <c r="A1449" t="s">
        <v>103</v>
      </c>
      <c r="B1449" t="s">
        <v>107</v>
      </c>
      <c r="C1449">
        <v>1440</v>
      </c>
      <c r="D1449" t="s">
        <v>62</v>
      </c>
      <c r="E1449" t="s">
        <v>63</v>
      </c>
      <c r="F1449" s="5">
        <v>42736</v>
      </c>
      <c r="G1449">
        <v>0</v>
      </c>
    </row>
    <row r="1450" spans="1:7" x14ac:dyDescent="0.25">
      <c r="A1450" t="s">
        <v>103</v>
      </c>
      <c r="B1450" t="s">
        <v>107</v>
      </c>
      <c r="C1450">
        <v>1440</v>
      </c>
      <c r="D1450" t="s">
        <v>62</v>
      </c>
      <c r="E1450" t="s">
        <v>64</v>
      </c>
      <c r="F1450" s="5">
        <v>42370</v>
      </c>
      <c r="G1450">
        <v>0</v>
      </c>
    </row>
    <row r="1451" spans="1:7" x14ac:dyDescent="0.25">
      <c r="A1451" t="s">
        <v>103</v>
      </c>
      <c r="B1451" t="s">
        <v>107</v>
      </c>
      <c r="C1451">
        <v>1440</v>
      </c>
      <c r="D1451" t="s">
        <v>62</v>
      </c>
      <c r="E1451" t="s">
        <v>64</v>
      </c>
      <c r="F1451" s="5">
        <v>42736</v>
      </c>
      <c r="G1451">
        <v>0</v>
      </c>
    </row>
    <row r="1452" spans="1:7" x14ac:dyDescent="0.25">
      <c r="A1452" t="s">
        <v>103</v>
      </c>
      <c r="B1452" t="s">
        <v>107</v>
      </c>
      <c r="C1452">
        <v>1440</v>
      </c>
      <c r="D1452" t="s">
        <v>62</v>
      </c>
      <c r="E1452" t="s">
        <v>9</v>
      </c>
      <c r="F1452" s="5">
        <v>42370</v>
      </c>
      <c r="G1452">
        <v>0</v>
      </c>
    </row>
    <row r="1453" spans="1:7" x14ac:dyDescent="0.25">
      <c r="A1453" t="s">
        <v>103</v>
      </c>
      <c r="B1453" t="s">
        <v>107</v>
      </c>
      <c r="C1453">
        <v>1440</v>
      </c>
      <c r="D1453" t="s">
        <v>62</v>
      </c>
      <c r="E1453" t="s">
        <v>9</v>
      </c>
      <c r="F1453" s="5">
        <v>42736</v>
      </c>
      <c r="G1453">
        <v>0</v>
      </c>
    </row>
    <row r="1454" spans="1:7" x14ac:dyDescent="0.25">
      <c r="A1454" t="s">
        <v>103</v>
      </c>
      <c r="B1454" t="s">
        <v>107</v>
      </c>
      <c r="C1454">
        <v>1440</v>
      </c>
      <c r="D1454" t="s">
        <v>62</v>
      </c>
      <c r="E1454" t="s">
        <v>65</v>
      </c>
      <c r="F1454" s="5">
        <v>42370</v>
      </c>
      <c r="G1454">
        <v>0</v>
      </c>
    </row>
    <row r="1455" spans="1:7" x14ac:dyDescent="0.25">
      <c r="A1455" t="s">
        <v>103</v>
      </c>
      <c r="B1455" t="s">
        <v>107</v>
      </c>
      <c r="C1455">
        <v>1440</v>
      </c>
      <c r="D1455" t="s">
        <v>62</v>
      </c>
      <c r="E1455" t="s">
        <v>65</v>
      </c>
      <c r="F1455" s="5">
        <v>42736</v>
      </c>
      <c r="G1455">
        <v>0</v>
      </c>
    </row>
    <row r="1456" spans="1:7" x14ac:dyDescent="0.25">
      <c r="A1456" t="s">
        <v>103</v>
      </c>
      <c r="B1456" t="s">
        <v>107</v>
      </c>
      <c r="C1456">
        <v>1440</v>
      </c>
      <c r="D1456" t="s">
        <v>62</v>
      </c>
      <c r="E1456" t="s">
        <v>66</v>
      </c>
      <c r="F1456" s="5">
        <v>42370</v>
      </c>
      <c r="G1456">
        <v>0</v>
      </c>
    </row>
    <row r="1457" spans="1:7" x14ac:dyDescent="0.25">
      <c r="A1457" t="s">
        <v>103</v>
      </c>
      <c r="B1457" t="s">
        <v>107</v>
      </c>
      <c r="C1457">
        <v>1440</v>
      </c>
      <c r="D1457" t="s">
        <v>62</v>
      </c>
      <c r="E1457" t="s">
        <v>66</v>
      </c>
      <c r="F1457" s="5">
        <v>42736</v>
      </c>
      <c r="G1457">
        <v>0</v>
      </c>
    </row>
    <row r="1458" spans="1:7" x14ac:dyDescent="0.25">
      <c r="A1458" t="s">
        <v>103</v>
      </c>
      <c r="B1458" t="s">
        <v>107</v>
      </c>
      <c r="C1458">
        <v>1440</v>
      </c>
      <c r="D1458" t="s">
        <v>62</v>
      </c>
      <c r="E1458" t="s">
        <v>67</v>
      </c>
      <c r="F1458" s="5">
        <v>42370</v>
      </c>
      <c r="G1458">
        <v>0</v>
      </c>
    </row>
    <row r="1459" spans="1:7" x14ac:dyDescent="0.25">
      <c r="A1459" t="s">
        <v>103</v>
      </c>
      <c r="B1459" t="s">
        <v>107</v>
      </c>
      <c r="C1459">
        <v>1440</v>
      </c>
      <c r="D1459" t="s">
        <v>62</v>
      </c>
      <c r="E1459" t="s">
        <v>67</v>
      </c>
      <c r="F1459" s="5">
        <v>42736</v>
      </c>
      <c r="G1459">
        <v>0</v>
      </c>
    </row>
    <row r="1460" spans="1:7" x14ac:dyDescent="0.25">
      <c r="A1460" t="s">
        <v>103</v>
      </c>
      <c r="B1460" t="s">
        <v>107</v>
      </c>
      <c r="C1460">
        <v>1440</v>
      </c>
      <c r="D1460" t="s">
        <v>62</v>
      </c>
      <c r="E1460" t="s">
        <v>68</v>
      </c>
      <c r="F1460" s="5">
        <v>42370</v>
      </c>
      <c r="G1460">
        <v>0</v>
      </c>
    </row>
    <row r="1461" spans="1:7" x14ac:dyDescent="0.25">
      <c r="A1461" t="s">
        <v>103</v>
      </c>
      <c r="B1461" t="s">
        <v>107</v>
      </c>
      <c r="C1461">
        <v>1440</v>
      </c>
      <c r="D1461" t="s">
        <v>62</v>
      </c>
      <c r="E1461" t="s">
        <v>68</v>
      </c>
      <c r="F1461" s="5">
        <v>42736</v>
      </c>
      <c r="G1461">
        <v>0</v>
      </c>
    </row>
    <row r="1462" spans="1:7" x14ac:dyDescent="0.25">
      <c r="A1462" t="s">
        <v>103</v>
      </c>
      <c r="B1462" t="s">
        <v>107</v>
      </c>
      <c r="C1462">
        <v>1440</v>
      </c>
      <c r="D1462" t="s">
        <v>62</v>
      </c>
      <c r="E1462" t="s">
        <v>69</v>
      </c>
      <c r="F1462" s="5">
        <v>42370</v>
      </c>
      <c r="G1462">
        <v>0</v>
      </c>
    </row>
    <row r="1463" spans="1:7" x14ac:dyDescent="0.25">
      <c r="A1463" t="s">
        <v>103</v>
      </c>
      <c r="B1463" t="s">
        <v>107</v>
      </c>
      <c r="C1463">
        <v>1440</v>
      </c>
      <c r="D1463" t="s">
        <v>62</v>
      </c>
      <c r="E1463" t="s">
        <v>69</v>
      </c>
      <c r="F1463" s="5">
        <v>42736</v>
      </c>
      <c r="G1463">
        <v>0</v>
      </c>
    </row>
    <row r="1464" spans="1:7" x14ac:dyDescent="0.25">
      <c r="A1464" t="s">
        <v>103</v>
      </c>
      <c r="B1464" t="s">
        <v>107</v>
      </c>
      <c r="C1464">
        <v>1440</v>
      </c>
      <c r="D1464" t="s">
        <v>62</v>
      </c>
      <c r="E1464" t="s">
        <v>70</v>
      </c>
      <c r="F1464" s="5">
        <v>42370</v>
      </c>
      <c r="G1464">
        <v>0</v>
      </c>
    </row>
    <row r="1465" spans="1:7" x14ac:dyDescent="0.25">
      <c r="A1465" t="s">
        <v>103</v>
      </c>
      <c r="B1465" t="s">
        <v>107</v>
      </c>
      <c r="C1465">
        <v>1440</v>
      </c>
      <c r="D1465" t="s">
        <v>62</v>
      </c>
      <c r="E1465" t="s">
        <v>70</v>
      </c>
      <c r="F1465" s="5">
        <v>42736</v>
      </c>
      <c r="G1465">
        <v>0</v>
      </c>
    </row>
    <row r="1466" spans="1:7" x14ac:dyDescent="0.25">
      <c r="A1466" t="s">
        <v>103</v>
      </c>
      <c r="B1466" t="s">
        <v>107</v>
      </c>
      <c r="C1466">
        <v>1440</v>
      </c>
      <c r="D1466" t="s">
        <v>62</v>
      </c>
      <c r="E1466" t="s">
        <v>71</v>
      </c>
      <c r="F1466" s="5">
        <v>42370</v>
      </c>
      <c r="G1466">
        <v>0</v>
      </c>
    </row>
    <row r="1467" spans="1:7" x14ac:dyDescent="0.25">
      <c r="A1467" t="s">
        <v>103</v>
      </c>
      <c r="B1467" t="s">
        <v>107</v>
      </c>
      <c r="C1467">
        <v>1440</v>
      </c>
      <c r="D1467" t="s">
        <v>62</v>
      </c>
      <c r="E1467" t="s">
        <v>71</v>
      </c>
      <c r="F1467" s="5">
        <v>42736</v>
      </c>
      <c r="G1467">
        <v>0</v>
      </c>
    </row>
    <row r="1468" spans="1:7" x14ac:dyDescent="0.25">
      <c r="A1468" t="s">
        <v>103</v>
      </c>
      <c r="B1468" t="s">
        <v>107</v>
      </c>
      <c r="C1468">
        <v>1440</v>
      </c>
      <c r="D1468" t="s">
        <v>72</v>
      </c>
      <c r="E1468" t="s">
        <v>73</v>
      </c>
      <c r="F1468" s="5">
        <v>42370</v>
      </c>
      <c r="G1468">
        <v>0</v>
      </c>
    </row>
    <row r="1469" spans="1:7" x14ac:dyDescent="0.25">
      <c r="A1469" t="s">
        <v>103</v>
      </c>
      <c r="B1469" t="s">
        <v>107</v>
      </c>
      <c r="C1469">
        <v>1440</v>
      </c>
      <c r="D1469" t="s">
        <v>72</v>
      </c>
      <c r="E1469" t="s">
        <v>73</v>
      </c>
      <c r="F1469" s="5">
        <v>42736</v>
      </c>
      <c r="G1469">
        <v>0</v>
      </c>
    </row>
    <row r="1470" spans="1:7" x14ac:dyDescent="0.25">
      <c r="A1470" t="s">
        <v>103</v>
      </c>
      <c r="B1470" t="s">
        <v>107</v>
      </c>
      <c r="C1470">
        <v>1440</v>
      </c>
      <c r="D1470" t="s">
        <v>72</v>
      </c>
      <c r="E1470" t="s">
        <v>9</v>
      </c>
      <c r="F1470" s="5">
        <v>42370</v>
      </c>
      <c r="G1470">
        <v>0</v>
      </c>
    </row>
    <row r="1471" spans="1:7" x14ac:dyDescent="0.25">
      <c r="A1471" t="s">
        <v>103</v>
      </c>
      <c r="B1471" t="s">
        <v>107</v>
      </c>
      <c r="C1471">
        <v>1440</v>
      </c>
      <c r="D1471" t="s">
        <v>72</v>
      </c>
      <c r="E1471" t="s">
        <v>9</v>
      </c>
      <c r="F1471" s="5">
        <v>42736</v>
      </c>
      <c r="G1471">
        <v>0</v>
      </c>
    </row>
    <row r="1472" spans="1:7" x14ac:dyDescent="0.25">
      <c r="A1472" t="s">
        <v>103</v>
      </c>
      <c r="B1472" t="s">
        <v>107</v>
      </c>
      <c r="C1472">
        <v>1440</v>
      </c>
      <c r="D1472" t="s">
        <v>72</v>
      </c>
      <c r="E1472" t="s">
        <v>34</v>
      </c>
      <c r="F1472" s="5">
        <v>42370</v>
      </c>
      <c r="G1472">
        <v>0</v>
      </c>
    </row>
    <row r="1473" spans="1:7" x14ac:dyDescent="0.25">
      <c r="A1473" t="s">
        <v>103</v>
      </c>
      <c r="B1473" t="s">
        <v>107</v>
      </c>
      <c r="C1473">
        <v>1440</v>
      </c>
      <c r="D1473" t="s">
        <v>72</v>
      </c>
      <c r="E1473" t="s">
        <v>34</v>
      </c>
      <c r="F1473" s="5">
        <v>42736</v>
      </c>
      <c r="G1473">
        <v>0</v>
      </c>
    </row>
    <row r="1474" spans="1:7" x14ac:dyDescent="0.25">
      <c r="A1474" t="s">
        <v>103</v>
      </c>
      <c r="B1474" t="s">
        <v>107</v>
      </c>
      <c r="C1474">
        <v>1440</v>
      </c>
      <c r="D1474" t="s">
        <v>72</v>
      </c>
      <c r="E1474" t="s">
        <v>74</v>
      </c>
      <c r="F1474" s="5">
        <v>42370</v>
      </c>
      <c r="G1474">
        <v>0</v>
      </c>
    </row>
    <row r="1475" spans="1:7" x14ac:dyDescent="0.25">
      <c r="A1475" t="s">
        <v>103</v>
      </c>
      <c r="B1475" t="s">
        <v>107</v>
      </c>
      <c r="C1475">
        <v>1440</v>
      </c>
      <c r="D1475" t="s">
        <v>72</v>
      </c>
      <c r="E1475" t="s">
        <v>74</v>
      </c>
      <c r="F1475" s="5">
        <v>42736</v>
      </c>
      <c r="G1475">
        <v>0</v>
      </c>
    </row>
    <row r="1476" spans="1:7" x14ac:dyDescent="0.25">
      <c r="A1476" t="s">
        <v>103</v>
      </c>
      <c r="B1476" t="s">
        <v>107</v>
      </c>
      <c r="C1476">
        <v>1440</v>
      </c>
      <c r="D1476" t="s">
        <v>72</v>
      </c>
      <c r="E1476" t="s">
        <v>75</v>
      </c>
      <c r="F1476" s="5">
        <v>42370</v>
      </c>
      <c r="G1476">
        <v>0</v>
      </c>
    </row>
    <row r="1477" spans="1:7" x14ac:dyDescent="0.25">
      <c r="A1477" t="s">
        <v>103</v>
      </c>
      <c r="B1477" t="s">
        <v>107</v>
      </c>
      <c r="C1477">
        <v>1440</v>
      </c>
      <c r="D1477" t="s">
        <v>72</v>
      </c>
      <c r="E1477" t="s">
        <v>75</v>
      </c>
      <c r="F1477" s="5">
        <v>42736</v>
      </c>
      <c r="G1477">
        <v>0</v>
      </c>
    </row>
    <row r="1478" spans="1:7" x14ac:dyDescent="0.25">
      <c r="A1478" t="s">
        <v>103</v>
      </c>
      <c r="B1478" t="s">
        <v>107</v>
      </c>
      <c r="C1478">
        <v>1440</v>
      </c>
      <c r="D1478" t="s">
        <v>76</v>
      </c>
      <c r="E1478" t="s">
        <v>9</v>
      </c>
      <c r="F1478" s="5">
        <v>42370</v>
      </c>
      <c r="G1478">
        <v>0</v>
      </c>
    </row>
    <row r="1479" spans="1:7" x14ac:dyDescent="0.25">
      <c r="A1479" t="s">
        <v>103</v>
      </c>
      <c r="B1479" t="s">
        <v>107</v>
      </c>
      <c r="C1479">
        <v>1440</v>
      </c>
      <c r="D1479" t="s">
        <v>76</v>
      </c>
      <c r="E1479" t="s">
        <v>9</v>
      </c>
      <c r="F1479" s="5">
        <v>42736</v>
      </c>
      <c r="G1479">
        <v>0</v>
      </c>
    </row>
    <row r="1480" spans="1:7" x14ac:dyDescent="0.25">
      <c r="A1480" t="s">
        <v>103</v>
      </c>
      <c r="B1480" t="s">
        <v>107</v>
      </c>
      <c r="C1480">
        <v>1440</v>
      </c>
      <c r="D1480" t="s">
        <v>76</v>
      </c>
      <c r="E1480" t="s">
        <v>77</v>
      </c>
      <c r="F1480" s="5">
        <v>42370</v>
      </c>
      <c r="G1480">
        <v>0</v>
      </c>
    </row>
    <row r="1481" spans="1:7" x14ac:dyDescent="0.25">
      <c r="A1481" t="s">
        <v>103</v>
      </c>
      <c r="B1481" t="s">
        <v>107</v>
      </c>
      <c r="C1481">
        <v>1440</v>
      </c>
      <c r="D1481" t="s">
        <v>76</v>
      </c>
      <c r="E1481" t="s">
        <v>77</v>
      </c>
      <c r="F1481" s="5">
        <v>42736</v>
      </c>
      <c r="G1481">
        <v>0</v>
      </c>
    </row>
    <row r="1482" spans="1:7" x14ac:dyDescent="0.25">
      <c r="A1482" t="s">
        <v>103</v>
      </c>
      <c r="B1482" t="s">
        <v>107</v>
      </c>
      <c r="C1482">
        <v>1440</v>
      </c>
      <c r="D1482" t="s">
        <v>78</v>
      </c>
      <c r="E1482" t="s">
        <v>79</v>
      </c>
      <c r="F1482" s="5">
        <v>42370</v>
      </c>
      <c r="G1482">
        <v>0</v>
      </c>
    </row>
    <row r="1483" spans="1:7" x14ac:dyDescent="0.25">
      <c r="A1483" t="s">
        <v>103</v>
      </c>
      <c r="B1483" t="s">
        <v>107</v>
      </c>
      <c r="C1483">
        <v>1440</v>
      </c>
      <c r="D1483" t="s">
        <v>78</v>
      </c>
      <c r="E1483" t="s">
        <v>79</v>
      </c>
      <c r="F1483" s="5">
        <v>42736</v>
      </c>
      <c r="G1483">
        <v>0</v>
      </c>
    </row>
    <row r="1484" spans="1:7" x14ac:dyDescent="0.25">
      <c r="A1484" t="s">
        <v>103</v>
      </c>
      <c r="B1484" t="s">
        <v>107</v>
      </c>
      <c r="C1484">
        <v>1440</v>
      </c>
      <c r="D1484" t="s">
        <v>78</v>
      </c>
      <c r="E1484" t="s">
        <v>80</v>
      </c>
      <c r="F1484" s="5">
        <v>42370</v>
      </c>
      <c r="G1484">
        <v>0</v>
      </c>
    </row>
    <row r="1485" spans="1:7" x14ac:dyDescent="0.25">
      <c r="A1485" t="s">
        <v>103</v>
      </c>
      <c r="B1485" t="s">
        <v>107</v>
      </c>
      <c r="C1485">
        <v>1440</v>
      </c>
      <c r="D1485" t="s">
        <v>78</v>
      </c>
      <c r="E1485" t="s">
        <v>80</v>
      </c>
      <c r="F1485" s="5">
        <v>42736</v>
      </c>
      <c r="G1485">
        <v>0</v>
      </c>
    </row>
    <row r="1486" spans="1:7" x14ac:dyDescent="0.25">
      <c r="A1486" t="s">
        <v>103</v>
      </c>
      <c r="B1486" t="s">
        <v>107</v>
      </c>
      <c r="C1486">
        <v>1440</v>
      </c>
      <c r="D1486" t="s">
        <v>78</v>
      </c>
      <c r="E1486" t="s">
        <v>81</v>
      </c>
      <c r="F1486" s="5">
        <v>42370</v>
      </c>
      <c r="G1486">
        <v>368</v>
      </c>
    </row>
    <row r="1487" spans="1:7" x14ac:dyDescent="0.25">
      <c r="A1487" t="s">
        <v>103</v>
      </c>
      <c r="B1487" t="s">
        <v>107</v>
      </c>
      <c r="C1487">
        <v>1440</v>
      </c>
      <c r="D1487" t="s">
        <v>78</v>
      </c>
      <c r="E1487" t="s">
        <v>81</v>
      </c>
      <c r="F1487" s="5">
        <v>42736</v>
      </c>
      <c r="G1487">
        <v>540</v>
      </c>
    </row>
    <row r="1488" spans="1:7" x14ac:dyDescent="0.25">
      <c r="A1488" t="s">
        <v>103</v>
      </c>
      <c r="B1488" t="s">
        <v>107</v>
      </c>
      <c r="C1488">
        <v>1440</v>
      </c>
      <c r="D1488" t="s">
        <v>78</v>
      </c>
      <c r="E1488" t="s">
        <v>82</v>
      </c>
      <c r="F1488" s="5">
        <v>42370</v>
      </c>
      <c r="G1488">
        <v>0</v>
      </c>
    </row>
    <row r="1489" spans="1:7" x14ac:dyDescent="0.25">
      <c r="A1489" t="s">
        <v>103</v>
      </c>
      <c r="B1489" t="s">
        <v>107</v>
      </c>
      <c r="C1489">
        <v>1440</v>
      </c>
      <c r="D1489" t="s">
        <v>78</v>
      </c>
      <c r="E1489" t="s">
        <v>82</v>
      </c>
      <c r="F1489" s="5">
        <v>42736</v>
      </c>
      <c r="G1489">
        <v>0</v>
      </c>
    </row>
    <row r="1490" spans="1:7" x14ac:dyDescent="0.25">
      <c r="A1490" t="s">
        <v>103</v>
      </c>
      <c r="B1490" t="s">
        <v>107</v>
      </c>
      <c r="C1490">
        <v>1440</v>
      </c>
      <c r="D1490" t="s">
        <v>78</v>
      </c>
      <c r="E1490" t="s">
        <v>83</v>
      </c>
      <c r="F1490" s="5">
        <v>42370</v>
      </c>
      <c r="G1490">
        <v>0</v>
      </c>
    </row>
    <row r="1491" spans="1:7" x14ac:dyDescent="0.25">
      <c r="A1491" t="s">
        <v>103</v>
      </c>
      <c r="B1491" t="s">
        <v>107</v>
      </c>
      <c r="C1491">
        <v>1440</v>
      </c>
      <c r="D1491" t="s">
        <v>78</v>
      </c>
      <c r="E1491" t="s">
        <v>83</v>
      </c>
      <c r="F1491" s="5">
        <v>42736</v>
      </c>
      <c r="G1491">
        <v>0</v>
      </c>
    </row>
    <row r="1492" spans="1:7" x14ac:dyDescent="0.25">
      <c r="A1492" t="s">
        <v>103</v>
      </c>
      <c r="B1492" t="s">
        <v>107</v>
      </c>
      <c r="C1492">
        <v>1440</v>
      </c>
      <c r="D1492" t="s">
        <v>78</v>
      </c>
      <c r="E1492" t="s">
        <v>84</v>
      </c>
      <c r="F1492" s="5">
        <v>42370</v>
      </c>
      <c r="G1492">
        <v>0</v>
      </c>
    </row>
    <row r="1493" spans="1:7" x14ac:dyDescent="0.25">
      <c r="A1493" t="s">
        <v>103</v>
      </c>
      <c r="B1493" t="s">
        <v>107</v>
      </c>
      <c r="C1493">
        <v>1440</v>
      </c>
      <c r="D1493" t="s">
        <v>78</v>
      </c>
      <c r="E1493" t="s">
        <v>84</v>
      </c>
      <c r="F1493" s="5">
        <v>42736</v>
      </c>
      <c r="G1493">
        <v>0</v>
      </c>
    </row>
    <row r="1494" spans="1:7" x14ac:dyDescent="0.25">
      <c r="A1494" t="s">
        <v>103</v>
      </c>
      <c r="B1494" t="s">
        <v>107</v>
      </c>
      <c r="C1494">
        <v>1440</v>
      </c>
      <c r="D1494" t="s">
        <v>78</v>
      </c>
      <c r="E1494" t="s">
        <v>85</v>
      </c>
      <c r="F1494" s="5">
        <v>42370</v>
      </c>
      <c r="G1494">
        <v>0</v>
      </c>
    </row>
    <row r="1495" spans="1:7" x14ac:dyDescent="0.25">
      <c r="A1495" t="s">
        <v>103</v>
      </c>
      <c r="B1495" t="s">
        <v>107</v>
      </c>
      <c r="C1495">
        <v>1440</v>
      </c>
      <c r="D1495" t="s">
        <v>78</v>
      </c>
      <c r="E1495" t="s">
        <v>85</v>
      </c>
      <c r="F1495" s="5">
        <v>42736</v>
      </c>
      <c r="G1495">
        <v>0</v>
      </c>
    </row>
    <row r="1496" spans="1:7" x14ac:dyDescent="0.25">
      <c r="A1496" t="s">
        <v>103</v>
      </c>
      <c r="B1496" t="s">
        <v>107</v>
      </c>
      <c r="C1496">
        <v>1440</v>
      </c>
      <c r="D1496" t="s">
        <v>78</v>
      </c>
      <c r="E1496" t="s">
        <v>86</v>
      </c>
      <c r="F1496" s="5">
        <v>42370</v>
      </c>
      <c r="G1496">
        <v>0</v>
      </c>
    </row>
    <row r="1497" spans="1:7" x14ac:dyDescent="0.25">
      <c r="A1497" t="s">
        <v>103</v>
      </c>
      <c r="B1497" t="s">
        <v>107</v>
      </c>
      <c r="C1497">
        <v>1440</v>
      </c>
      <c r="D1497" t="s">
        <v>78</v>
      </c>
      <c r="E1497" t="s">
        <v>86</v>
      </c>
      <c r="F1497" s="5">
        <v>42736</v>
      </c>
      <c r="G1497">
        <v>0</v>
      </c>
    </row>
    <row r="1498" spans="1:7" x14ac:dyDescent="0.25">
      <c r="A1498" t="s">
        <v>103</v>
      </c>
      <c r="B1498" t="s">
        <v>107</v>
      </c>
      <c r="C1498">
        <v>1440</v>
      </c>
      <c r="D1498" t="s">
        <v>78</v>
      </c>
      <c r="E1498" t="s">
        <v>87</v>
      </c>
      <c r="F1498" s="5">
        <v>42370</v>
      </c>
      <c r="G1498">
        <v>0</v>
      </c>
    </row>
    <row r="1499" spans="1:7" x14ac:dyDescent="0.25">
      <c r="A1499" t="s">
        <v>103</v>
      </c>
      <c r="B1499" t="s">
        <v>107</v>
      </c>
      <c r="C1499">
        <v>1440</v>
      </c>
      <c r="D1499" t="s">
        <v>78</v>
      </c>
      <c r="E1499" t="s">
        <v>87</v>
      </c>
      <c r="F1499" s="5">
        <v>42736</v>
      </c>
      <c r="G1499">
        <v>0</v>
      </c>
    </row>
    <row r="1500" spans="1:7" x14ac:dyDescent="0.25">
      <c r="A1500" t="s">
        <v>103</v>
      </c>
      <c r="B1500" t="s">
        <v>107</v>
      </c>
      <c r="C1500">
        <v>1440</v>
      </c>
      <c r="D1500" t="s">
        <v>78</v>
      </c>
      <c r="E1500" t="s">
        <v>88</v>
      </c>
      <c r="F1500" s="5">
        <v>42370</v>
      </c>
      <c r="G1500">
        <v>60</v>
      </c>
    </row>
    <row r="1501" spans="1:7" x14ac:dyDescent="0.25">
      <c r="A1501" t="s">
        <v>103</v>
      </c>
      <c r="B1501" t="s">
        <v>107</v>
      </c>
      <c r="C1501">
        <v>1440</v>
      </c>
      <c r="D1501" t="s">
        <v>78</v>
      </c>
      <c r="E1501" t="s">
        <v>88</v>
      </c>
      <c r="F1501" s="5">
        <v>42736</v>
      </c>
      <c r="G1501">
        <v>97</v>
      </c>
    </row>
    <row r="1502" spans="1:7" x14ac:dyDescent="0.25">
      <c r="A1502" t="s">
        <v>103</v>
      </c>
      <c r="B1502" t="s">
        <v>107</v>
      </c>
      <c r="C1502">
        <v>1440</v>
      </c>
      <c r="D1502" t="s">
        <v>78</v>
      </c>
      <c r="E1502" t="s">
        <v>89</v>
      </c>
      <c r="F1502" s="5">
        <v>42370</v>
      </c>
      <c r="G1502">
        <v>835</v>
      </c>
    </row>
    <row r="1503" spans="1:7" x14ac:dyDescent="0.25">
      <c r="A1503" t="s">
        <v>103</v>
      </c>
      <c r="B1503" t="s">
        <v>107</v>
      </c>
      <c r="C1503">
        <v>1440</v>
      </c>
      <c r="D1503" t="s">
        <v>78</v>
      </c>
      <c r="E1503" t="s">
        <v>89</v>
      </c>
      <c r="F1503" s="5">
        <v>42736</v>
      </c>
      <c r="G1503">
        <v>1417</v>
      </c>
    </row>
    <row r="1504" spans="1:7" x14ac:dyDescent="0.25">
      <c r="A1504" t="s">
        <v>103</v>
      </c>
      <c r="B1504" t="s">
        <v>107</v>
      </c>
      <c r="C1504">
        <v>1440</v>
      </c>
      <c r="D1504" t="s">
        <v>78</v>
      </c>
      <c r="E1504" t="s">
        <v>90</v>
      </c>
      <c r="F1504" s="5">
        <v>42370</v>
      </c>
      <c r="G1504">
        <v>0</v>
      </c>
    </row>
    <row r="1505" spans="1:7" x14ac:dyDescent="0.25">
      <c r="A1505" t="s">
        <v>103</v>
      </c>
      <c r="B1505" t="s">
        <v>107</v>
      </c>
      <c r="C1505">
        <v>1440</v>
      </c>
      <c r="D1505" t="s">
        <v>78</v>
      </c>
      <c r="E1505" t="s">
        <v>90</v>
      </c>
      <c r="F1505" s="5">
        <v>42736</v>
      </c>
      <c r="G1505">
        <v>0</v>
      </c>
    </row>
    <row r="1506" spans="1:7" x14ac:dyDescent="0.25">
      <c r="A1506" t="s">
        <v>103</v>
      </c>
      <c r="B1506" t="s">
        <v>107</v>
      </c>
      <c r="C1506">
        <v>1440</v>
      </c>
      <c r="D1506" t="s">
        <v>78</v>
      </c>
      <c r="E1506" t="s">
        <v>91</v>
      </c>
      <c r="F1506" s="5">
        <v>42370</v>
      </c>
      <c r="G1506">
        <v>0</v>
      </c>
    </row>
    <row r="1507" spans="1:7" x14ac:dyDescent="0.25">
      <c r="A1507" t="s">
        <v>103</v>
      </c>
      <c r="B1507" t="s">
        <v>107</v>
      </c>
      <c r="C1507">
        <v>1440</v>
      </c>
      <c r="D1507" t="s">
        <v>78</v>
      </c>
      <c r="E1507" t="s">
        <v>91</v>
      </c>
      <c r="F1507" s="5">
        <v>42736</v>
      </c>
      <c r="G1507">
        <v>0</v>
      </c>
    </row>
    <row r="1508" spans="1:7" x14ac:dyDescent="0.25">
      <c r="A1508" t="s">
        <v>103</v>
      </c>
      <c r="B1508" t="s">
        <v>107</v>
      </c>
      <c r="C1508">
        <v>1440</v>
      </c>
      <c r="D1508" t="s">
        <v>78</v>
      </c>
      <c r="E1508" t="s">
        <v>92</v>
      </c>
      <c r="F1508" s="5">
        <v>42370</v>
      </c>
      <c r="G1508">
        <v>0</v>
      </c>
    </row>
    <row r="1509" spans="1:7" x14ac:dyDescent="0.25">
      <c r="A1509" t="s">
        <v>103</v>
      </c>
      <c r="B1509" t="s">
        <v>107</v>
      </c>
      <c r="C1509">
        <v>1440</v>
      </c>
      <c r="D1509" t="s">
        <v>78</v>
      </c>
      <c r="E1509" t="s">
        <v>92</v>
      </c>
      <c r="F1509" s="5">
        <v>42736</v>
      </c>
      <c r="G1509">
        <v>0</v>
      </c>
    </row>
    <row r="1510" spans="1:7" x14ac:dyDescent="0.25">
      <c r="A1510" t="s">
        <v>103</v>
      </c>
      <c r="B1510" t="s">
        <v>107</v>
      </c>
      <c r="C1510">
        <v>1440</v>
      </c>
      <c r="D1510" t="s">
        <v>78</v>
      </c>
      <c r="E1510" t="s">
        <v>93</v>
      </c>
      <c r="F1510" s="5">
        <v>42370</v>
      </c>
      <c r="G1510">
        <v>0</v>
      </c>
    </row>
    <row r="1511" spans="1:7" x14ac:dyDescent="0.25">
      <c r="A1511" t="s">
        <v>103</v>
      </c>
      <c r="B1511" t="s">
        <v>107</v>
      </c>
      <c r="C1511">
        <v>1440</v>
      </c>
      <c r="D1511" t="s">
        <v>78</v>
      </c>
      <c r="E1511" t="s">
        <v>93</v>
      </c>
      <c r="F1511" s="5">
        <v>42736</v>
      </c>
      <c r="G1511">
        <v>0</v>
      </c>
    </row>
    <row r="1512" spans="1:7" x14ac:dyDescent="0.25">
      <c r="A1512" t="s">
        <v>103</v>
      </c>
      <c r="B1512" t="s">
        <v>107</v>
      </c>
      <c r="C1512">
        <v>1440</v>
      </c>
      <c r="D1512" t="s">
        <v>78</v>
      </c>
      <c r="E1512" t="s">
        <v>94</v>
      </c>
      <c r="F1512" s="5">
        <v>42370</v>
      </c>
      <c r="G1512">
        <v>0</v>
      </c>
    </row>
    <row r="1513" spans="1:7" x14ac:dyDescent="0.25">
      <c r="A1513" t="s">
        <v>103</v>
      </c>
      <c r="B1513" t="s">
        <v>107</v>
      </c>
      <c r="C1513">
        <v>1440</v>
      </c>
      <c r="D1513" t="s">
        <v>78</v>
      </c>
      <c r="E1513" t="s">
        <v>94</v>
      </c>
      <c r="F1513" s="5">
        <v>42736</v>
      </c>
      <c r="G1513">
        <v>0</v>
      </c>
    </row>
    <row r="1514" spans="1:7" x14ac:dyDescent="0.25">
      <c r="A1514" t="s">
        <v>103</v>
      </c>
      <c r="B1514" t="s">
        <v>107</v>
      </c>
      <c r="C1514">
        <v>1440</v>
      </c>
      <c r="D1514" t="s">
        <v>78</v>
      </c>
      <c r="E1514" t="s">
        <v>95</v>
      </c>
      <c r="F1514" s="5">
        <v>42370</v>
      </c>
      <c r="G1514">
        <v>0</v>
      </c>
    </row>
    <row r="1515" spans="1:7" x14ac:dyDescent="0.25">
      <c r="A1515" t="s">
        <v>103</v>
      </c>
      <c r="B1515" t="s">
        <v>107</v>
      </c>
      <c r="C1515">
        <v>1440</v>
      </c>
      <c r="D1515" t="s">
        <v>78</v>
      </c>
      <c r="E1515" t="s">
        <v>95</v>
      </c>
      <c r="F1515" s="5">
        <v>42736</v>
      </c>
      <c r="G1515">
        <v>0</v>
      </c>
    </row>
    <row r="1516" spans="1:7" x14ac:dyDescent="0.25">
      <c r="A1516" t="s">
        <v>103</v>
      </c>
      <c r="B1516" t="s">
        <v>107</v>
      </c>
      <c r="C1516">
        <v>1440</v>
      </c>
      <c r="D1516" t="s">
        <v>78</v>
      </c>
      <c r="E1516" t="s">
        <v>96</v>
      </c>
      <c r="F1516" s="5">
        <v>42370</v>
      </c>
      <c r="G1516">
        <v>0</v>
      </c>
    </row>
    <row r="1517" spans="1:7" x14ac:dyDescent="0.25">
      <c r="A1517" t="s">
        <v>103</v>
      </c>
      <c r="B1517" t="s">
        <v>107</v>
      </c>
      <c r="C1517">
        <v>1440</v>
      </c>
      <c r="D1517" t="s">
        <v>78</v>
      </c>
      <c r="E1517" t="s">
        <v>96</v>
      </c>
      <c r="F1517" s="5">
        <v>42736</v>
      </c>
      <c r="G1517">
        <v>0</v>
      </c>
    </row>
    <row r="1518" spans="1:7" x14ac:dyDescent="0.25">
      <c r="A1518" t="s">
        <v>103</v>
      </c>
      <c r="B1518" t="s">
        <v>107</v>
      </c>
      <c r="C1518">
        <v>1440</v>
      </c>
      <c r="D1518" t="s">
        <v>78</v>
      </c>
      <c r="E1518" t="s">
        <v>97</v>
      </c>
      <c r="F1518" s="5">
        <v>42370</v>
      </c>
      <c r="G1518">
        <v>0</v>
      </c>
    </row>
    <row r="1519" spans="1:7" x14ac:dyDescent="0.25">
      <c r="A1519" t="s">
        <v>103</v>
      </c>
      <c r="B1519" t="s">
        <v>107</v>
      </c>
      <c r="C1519">
        <v>1440</v>
      </c>
      <c r="D1519" t="s">
        <v>78</v>
      </c>
      <c r="E1519" t="s">
        <v>97</v>
      </c>
      <c r="F1519" s="5">
        <v>42736</v>
      </c>
      <c r="G1519">
        <v>0</v>
      </c>
    </row>
    <row r="1520" spans="1:7" x14ac:dyDescent="0.25">
      <c r="A1520" t="s">
        <v>103</v>
      </c>
      <c r="B1520" t="s">
        <v>107</v>
      </c>
      <c r="C1520">
        <v>1440</v>
      </c>
      <c r="D1520" t="s">
        <v>78</v>
      </c>
      <c r="E1520" t="s">
        <v>98</v>
      </c>
      <c r="F1520" s="5">
        <v>42370</v>
      </c>
      <c r="G1520">
        <v>0</v>
      </c>
    </row>
    <row r="1521" spans="1:7" x14ac:dyDescent="0.25">
      <c r="A1521" t="s">
        <v>103</v>
      </c>
      <c r="B1521" t="s">
        <v>107</v>
      </c>
      <c r="C1521">
        <v>1440</v>
      </c>
      <c r="D1521" t="s">
        <v>78</v>
      </c>
      <c r="E1521" t="s">
        <v>98</v>
      </c>
      <c r="F1521" s="5">
        <v>42736</v>
      </c>
      <c r="G1521">
        <v>0</v>
      </c>
    </row>
    <row r="1522" spans="1:7" x14ac:dyDescent="0.25">
      <c r="A1522" t="s">
        <v>108</v>
      </c>
      <c r="B1522" t="s">
        <v>109</v>
      </c>
      <c r="C1522">
        <v>2330</v>
      </c>
      <c r="D1522" t="s">
        <v>8</v>
      </c>
      <c r="E1522" t="s">
        <v>9</v>
      </c>
      <c r="F1522" s="5">
        <v>42370</v>
      </c>
      <c r="G1522">
        <v>0</v>
      </c>
    </row>
    <row r="1523" spans="1:7" x14ac:dyDescent="0.25">
      <c r="A1523" t="s">
        <v>108</v>
      </c>
      <c r="B1523" t="s">
        <v>109</v>
      </c>
      <c r="C1523">
        <v>2330</v>
      </c>
      <c r="D1523" t="s">
        <v>8</v>
      </c>
      <c r="E1523" t="s">
        <v>9</v>
      </c>
      <c r="F1523" s="5">
        <v>42736</v>
      </c>
      <c r="G1523">
        <v>0</v>
      </c>
    </row>
    <row r="1524" spans="1:7" x14ac:dyDescent="0.25">
      <c r="A1524" t="s">
        <v>108</v>
      </c>
      <c r="B1524" t="s">
        <v>109</v>
      </c>
      <c r="C1524">
        <v>2330</v>
      </c>
      <c r="D1524" t="s">
        <v>8</v>
      </c>
      <c r="E1524" t="s">
        <v>10</v>
      </c>
      <c r="F1524" s="5">
        <v>42370</v>
      </c>
      <c r="G1524">
        <v>0</v>
      </c>
    </row>
    <row r="1525" spans="1:7" x14ac:dyDescent="0.25">
      <c r="A1525" t="s">
        <v>108</v>
      </c>
      <c r="B1525" t="s">
        <v>109</v>
      </c>
      <c r="C1525">
        <v>2330</v>
      </c>
      <c r="D1525" t="s">
        <v>8</v>
      </c>
      <c r="E1525" t="s">
        <v>10</v>
      </c>
      <c r="F1525" s="5">
        <v>42736</v>
      </c>
      <c r="G1525">
        <v>0</v>
      </c>
    </row>
    <row r="1526" spans="1:7" x14ac:dyDescent="0.25">
      <c r="A1526" t="s">
        <v>108</v>
      </c>
      <c r="B1526" t="s">
        <v>109</v>
      </c>
      <c r="C1526">
        <v>2330</v>
      </c>
      <c r="D1526" t="s">
        <v>8</v>
      </c>
      <c r="E1526" t="s">
        <v>11</v>
      </c>
      <c r="F1526" s="5">
        <v>42370</v>
      </c>
      <c r="G1526">
        <v>0</v>
      </c>
    </row>
    <row r="1527" spans="1:7" x14ac:dyDescent="0.25">
      <c r="A1527" t="s">
        <v>108</v>
      </c>
      <c r="B1527" t="s">
        <v>109</v>
      </c>
      <c r="C1527">
        <v>2330</v>
      </c>
      <c r="D1527" t="s">
        <v>8</v>
      </c>
      <c r="E1527" t="s">
        <v>11</v>
      </c>
      <c r="F1527" s="5">
        <v>42736</v>
      </c>
      <c r="G1527">
        <v>0</v>
      </c>
    </row>
    <row r="1528" spans="1:7" x14ac:dyDescent="0.25">
      <c r="A1528" t="s">
        <v>108</v>
      </c>
      <c r="B1528" t="s">
        <v>109</v>
      </c>
      <c r="C1528">
        <v>2330</v>
      </c>
      <c r="D1528" t="s">
        <v>8</v>
      </c>
      <c r="E1528" t="s">
        <v>12</v>
      </c>
      <c r="F1528" s="5">
        <v>42370</v>
      </c>
      <c r="G1528">
        <v>0</v>
      </c>
    </row>
    <row r="1529" spans="1:7" x14ac:dyDescent="0.25">
      <c r="A1529" t="s">
        <v>108</v>
      </c>
      <c r="B1529" t="s">
        <v>109</v>
      </c>
      <c r="C1529">
        <v>2330</v>
      </c>
      <c r="D1529" t="s">
        <v>8</v>
      </c>
      <c r="E1529" t="s">
        <v>12</v>
      </c>
      <c r="F1529" s="5">
        <v>42736</v>
      </c>
      <c r="G1529">
        <v>0</v>
      </c>
    </row>
    <row r="1530" spans="1:7" x14ac:dyDescent="0.25">
      <c r="A1530" t="s">
        <v>108</v>
      </c>
      <c r="B1530" t="s">
        <v>109</v>
      </c>
      <c r="C1530">
        <v>2330</v>
      </c>
      <c r="D1530" t="s">
        <v>8</v>
      </c>
      <c r="E1530" t="s">
        <v>13</v>
      </c>
      <c r="F1530" s="5">
        <v>42370</v>
      </c>
      <c r="G1530">
        <v>0</v>
      </c>
    </row>
    <row r="1531" spans="1:7" x14ac:dyDescent="0.25">
      <c r="A1531" t="s">
        <v>108</v>
      </c>
      <c r="B1531" t="s">
        <v>109</v>
      </c>
      <c r="C1531">
        <v>2330</v>
      </c>
      <c r="D1531" t="s">
        <v>8</v>
      </c>
      <c r="E1531" t="s">
        <v>13</v>
      </c>
      <c r="F1531" s="5">
        <v>42736</v>
      </c>
      <c r="G1531">
        <v>0</v>
      </c>
    </row>
    <row r="1532" spans="1:7" x14ac:dyDescent="0.25">
      <c r="A1532" t="s">
        <v>108</v>
      </c>
      <c r="B1532" t="s">
        <v>109</v>
      </c>
      <c r="C1532">
        <v>2330</v>
      </c>
      <c r="D1532" t="s">
        <v>8</v>
      </c>
      <c r="E1532" t="s">
        <v>14</v>
      </c>
      <c r="F1532" s="5">
        <v>42370</v>
      </c>
      <c r="G1532">
        <v>0</v>
      </c>
    </row>
    <row r="1533" spans="1:7" x14ac:dyDescent="0.25">
      <c r="A1533" t="s">
        <v>108</v>
      </c>
      <c r="B1533" t="s">
        <v>109</v>
      </c>
      <c r="C1533">
        <v>2330</v>
      </c>
      <c r="D1533" t="s">
        <v>8</v>
      </c>
      <c r="E1533" t="s">
        <v>14</v>
      </c>
      <c r="F1533" s="5">
        <v>42736</v>
      </c>
      <c r="G1533">
        <v>0</v>
      </c>
    </row>
    <row r="1534" spans="1:7" x14ac:dyDescent="0.25">
      <c r="A1534" t="s">
        <v>108</v>
      </c>
      <c r="B1534" t="s">
        <v>109</v>
      </c>
      <c r="C1534">
        <v>2330</v>
      </c>
      <c r="D1534" t="s">
        <v>8</v>
      </c>
      <c r="E1534" t="s">
        <v>15</v>
      </c>
      <c r="F1534" s="5">
        <v>42370</v>
      </c>
      <c r="G1534">
        <v>0</v>
      </c>
    </row>
    <row r="1535" spans="1:7" x14ac:dyDescent="0.25">
      <c r="A1535" t="s">
        <v>108</v>
      </c>
      <c r="B1535" t="s">
        <v>109</v>
      </c>
      <c r="C1535">
        <v>2330</v>
      </c>
      <c r="D1535" t="s">
        <v>8</v>
      </c>
      <c r="E1535" t="s">
        <v>15</v>
      </c>
      <c r="F1535" s="5">
        <v>42736</v>
      </c>
      <c r="G1535">
        <v>0</v>
      </c>
    </row>
    <row r="1536" spans="1:7" x14ac:dyDescent="0.25">
      <c r="A1536" t="s">
        <v>108</v>
      </c>
      <c r="B1536" t="s">
        <v>109</v>
      </c>
      <c r="C1536">
        <v>2330</v>
      </c>
      <c r="D1536" t="s">
        <v>8</v>
      </c>
      <c r="E1536" t="s">
        <v>16</v>
      </c>
      <c r="F1536" s="5">
        <v>42370</v>
      </c>
      <c r="G1536">
        <v>0</v>
      </c>
    </row>
    <row r="1537" spans="1:7" x14ac:dyDescent="0.25">
      <c r="A1537" t="s">
        <v>108</v>
      </c>
      <c r="B1537" t="s">
        <v>109</v>
      </c>
      <c r="C1537">
        <v>2330</v>
      </c>
      <c r="D1537" t="s">
        <v>8</v>
      </c>
      <c r="E1537" t="s">
        <v>16</v>
      </c>
      <c r="F1537" s="5">
        <v>42736</v>
      </c>
      <c r="G1537">
        <v>0</v>
      </c>
    </row>
    <row r="1538" spans="1:7" x14ac:dyDescent="0.25">
      <c r="A1538" t="s">
        <v>108</v>
      </c>
      <c r="B1538" t="s">
        <v>109</v>
      </c>
      <c r="C1538">
        <v>2330</v>
      </c>
      <c r="D1538" t="s">
        <v>8</v>
      </c>
      <c r="E1538" t="s">
        <v>17</v>
      </c>
      <c r="F1538" s="5">
        <v>42370</v>
      </c>
      <c r="G1538">
        <v>0</v>
      </c>
    </row>
    <row r="1539" spans="1:7" x14ac:dyDescent="0.25">
      <c r="A1539" t="s">
        <v>108</v>
      </c>
      <c r="B1539" t="s">
        <v>109</v>
      </c>
      <c r="C1539">
        <v>2330</v>
      </c>
      <c r="D1539" t="s">
        <v>8</v>
      </c>
      <c r="E1539" t="s">
        <v>17</v>
      </c>
      <c r="F1539" s="5">
        <v>42736</v>
      </c>
      <c r="G1539">
        <v>0</v>
      </c>
    </row>
    <row r="1540" spans="1:7" x14ac:dyDescent="0.25">
      <c r="A1540" t="s">
        <v>108</v>
      </c>
      <c r="B1540" t="s">
        <v>109</v>
      </c>
      <c r="C1540">
        <v>2330</v>
      </c>
      <c r="D1540" t="s">
        <v>8</v>
      </c>
      <c r="E1540" t="s">
        <v>18</v>
      </c>
      <c r="F1540" s="5">
        <v>42370</v>
      </c>
      <c r="G1540">
        <v>0</v>
      </c>
    </row>
    <row r="1541" spans="1:7" x14ac:dyDescent="0.25">
      <c r="A1541" t="s">
        <v>108</v>
      </c>
      <c r="B1541" t="s">
        <v>109</v>
      </c>
      <c r="C1541">
        <v>2330</v>
      </c>
      <c r="D1541" t="s">
        <v>8</v>
      </c>
      <c r="E1541" t="s">
        <v>18</v>
      </c>
      <c r="F1541" s="5">
        <v>42736</v>
      </c>
      <c r="G1541">
        <v>0</v>
      </c>
    </row>
    <row r="1542" spans="1:7" x14ac:dyDescent="0.25">
      <c r="A1542" t="s">
        <v>108</v>
      </c>
      <c r="B1542" t="s">
        <v>109</v>
      </c>
      <c r="C1542">
        <v>2330</v>
      </c>
      <c r="D1542" t="s">
        <v>8</v>
      </c>
      <c r="E1542" t="s">
        <v>19</v>
      </c>
      <c r="F1542" s="5">
        <v>42370</v>
      </c>
      <c r="G1542">
        <v>0</v>
      </c>
    </row>
    <row r="1543" spans="1:7" x14ac:dyDescent="0.25">
      <c r="A1543" t="s">
        <v>108</v>
      </c>
      <c r="B1543" t="s">
        <v>109</v>
      </c>
      <c r="C1543">
        <v>2330</v>
      </c>
      <c r="D1543" t="s">
        <v>8</v>
      </c>
      <c r="E1543" t="s">
        <v>19</v>
      </c>
      <c r="F1543" s="5">
        <v>42736</v>
      </c>
      <c r="G1543">
        <v>0</v>
      </c>
    </row>
    <row r="1544" spans="1:7" x14ac:dyDescent="0.25">
      <c r="A1544" t="s">
        <v>108</v>
      </c>
      <c r="B1544" t="s">
        <v>109</v>
      </c>
      <c r="C1544">
        <v>2330</v>
      </c>
      <c r="D1544" t="s">
        <v>20</v>
      </c>
      <c r="E1544" t="s">
        <v>9</v>
      </c>
      <c r="F1544" s="5">
        <v>42370</v>
      </c>
      <c r="G1544">
        <v>1</v>
      </c>
    </row>
    <row r="1545" spans="1:7" x14ac:dyDescent="0.25">
      <c r="A1545" t="s">
        <v>108</v>
      </c>
      <c r="B1545" t="s">
        <v>109</v>
      </c>
      <c r="C1545">
        <v>2330</v>
      </c>
      <c r="D1545" t="s">
        <v>20</v>
      </c>
      <c r="E1545" t="s">
        <v>9</v>
      </c>
      <c r="F1545" s="5">
        <v>42736</v>
      </c>
      <c r="G1545">
        <v>7</v>
      </c>
    </row>
    <row r="1546" spans="1:7" x14ac:dyDescent="0.25">
      <c r="A1546" t="s">
        <v>108</v>
      </c>
      <c r="B1546" t="s">
        <v>109</v>
      </c>
      <c r="C1546">
        <v>2330</v>
      </c>
      <c r="D1546" t="s">
        <v>20</v>
      </c>
      <c r="E1546" t="s">
        <v>21</v>
      </c>
      <c r="F1546" s="5">
        <v>42370</v>
      </c>
      <c r="G1546">
        <v>0</v>
      </c>
    </row>
    <row r="1547" spans="1:7" x14ac:dyDescent="0.25">
      <c r="A1547" t="s">
        <v>108</v>
      </c>
      <c r="B1547" t="s">
        <v>109</v>
      </c>
      <c r="C1547">
        <v>2330</v>
      </c>
      <c r="D1547" t="s">
        <v>20</v>
      </c>
      <c r="E1547" t="s">
        <v>21</v>
      </c>
      <c r="F1547" s="5">
        <v>42736</v>
      </c>
      <c r="G1547">
        <v>0</v>
      </c>
    </row>
    <row r="1548" spans="1:7" x14ac:dyDescent="0.25">
      <c r="A1548" t="s">
        <v>108</v>
      </c>
      <c r="B1548" t="s">
        <v>109</v>
      </c>
      <c r="C1548">
        <v>2330</v>
      </c>
      <c r="D1548" t="s">
        <v>20</v>
      </c>
      <c r="E1548" t="s">
        <v>22</v>
      </c>
      <c r="F1548" s="5">
        <v>42370</v>
      </c>
      <c r="G1548">
        <v>0</v>
      </c>
    </row>
    <row r="1549" spans="1:7" x14ac:dyDescent="0.25">
      <c r="A1549" t="s">
        <v>108</v>
      </c>
      <c r="B1549" t="s">
        <v>109</v>
      </c>
      <c r="C1549">
        <v>2330</v>
      </c>
      <c r="D1549" t="s">
        <v>20</v>
      </c>
      <c r="E1549" t="s">
        <v>22</v>
      </c>
      <c r="F1549" s="5">
        <v>42736</v>
      </c>
      <c r="G1549">
        <v>0</v>
      </c>
    </row>
    <row r="1550" spans="1:7" x14ac:dyDescent="0.25">
      <c r="A1550" t="s">
        <v>108</v>
      </c>
      <c r="B1550" t="s">
        <v>109</v>
      </c>
      <c r="C1550">
        <v>2330</v>
      </c>
      <c r="D1550" t="s">
        <v>20</v>
      </c>
      <c r="E1550" t="s">
        <v>23</v>
      </c>
      <c r="F1550" s="5">
        <v>42370</v>
      </c>
      <c r="G1550">
        <v>2</v>
      </c>
    </row>
    <row r="1551" spans="1:7" x14ac:dyDescent="0.25">
      <c r="A1551" t="s">
        <v>108</v>
      </c>
      <c r="B1551" t="s">
        <v>109</v>
      </c>
      <c r="C1551">
        <v>2330</v>
      </c>
      <c r="D1551" t="s">
        <v>20</v>
      </c>
      <c r="E1551" t="s">
        <v>23</v>
      </c>
      <c r="F1551" s="5">
        <v>42736</v>
      </c>
      <c r="G1551">
        <v>0</v>
      </c>
    </row>
    <row r="1552" spans="1:7" x14ac:dyDescent="0.25">
      <c r="A1552" t="s">
        <v>108</v>
      </c>
      <c r="B1552" t="s">
        <v>109</v>
      </c>
      <c r="C1552">
        <v>2330</v>
      </c>
      <c r="D1552" t="s">
        <v>20</v>
      </c>
      <c r="E1552" t="s">
        <v>24</v>
      </c>
      <c r="F1552" s="5">
        <v>42370</v>
      </c>
      <c r="G1552">
        <v>0</v>
      </c>
    </row>
    <row r="1553" spans="1:7" x14ac:dyDescent="0.25">
      <c r="A1553" t="s">
        <v>108</v>
      </c>
      <c r="B1553" t="s">
        <v>109</v>
      </c>
      <c r="C1553">
        <v>2330</v>
      </c>
      <c r="D1553" t="s">
        <v>20</v>
      </c>
      <c r="E1553" t="s">
        <v>24</v>
      </c>
      <c r="F1553" s="5">
        <v>42736</v>
      </c>
      <c r="G1553">
        <v>0</v>
      </c>
    </row>
    <row r="1554" spans="1:7" x14ac:dyDescent="0.25">
      <c r="A1554" t="s">
        <v>108</v>
      </c>
      <c r="B1554" t="s">
        <v>109</v>
      </c>
      <c r="C1554">
        <v>2330</v>
      </c>
      <c r="D1554" t="s">
        <v>20</v>
      </c>
      <c r="E1554" t="s">
        <v>25</v>
      </c>
      <c r="F1554" s="5">
        <v>42370</v>
      </c>
      <c r="G1554">
        <v>0</v>
      </c>
    </row>
    <row r="1555" spans="1:7" x14ac:dyDescent="0.25">
      <c r="A1555" t="s">
        <v>108</v>
      </c>
      <c r="B1555" t="s">
        <v>109</v>
      </c>
      <c r="C1555">
        <v>2330</v>
      </c>
      <c r="D1555" t="s">
        <v>20</v>
      </c>
      <c r="E1555" t="s">
        <v>25</v>
      </c>
      <c r="F1555" s="5">
        <v>42736</v>
      </c>
      <c r="G1555">
        <v>0</v>
      </c>
    </row>
    <row r="1556" spans="1:7" x14ac:dyDescent="0.25">
      <c r="A1556" t="s">
        <v>108</v>
      </c>
      <c r="B1556" t="s">
        <v>109</v>
      </c>
      <c r="C1556">
        <v>2330</v>
      </c>
      <c r="D1556" t="s">
        <v>20</v>
      </c>
      <c r="E1556" t="s">
        <v>26</v>
      </c>
      <c r="F1556" s="5">
        <v>42370</v>
      </c>
      <c r="G1556">
        <v>32</v>
      </c>
    </row>
    <row r="1557" spans="1:7" x14ac:dyDescent="0.25">
      <c r="A1557" t="s">
        <v>108</v>
      </c>
      <c r="B1557" t="s">
        <v>109</v>
      </c>
      <c r="C1557">
        <v>2330</v>
      </c>
      <c r="D1557" t="s">
        <v>20</v>
      </c>
      <c r="E1557" t="s">
        <v>26</v>
      </c>
      <c r="F1557" s="5">
        <v>42736</v>
      </c>
      <c r="G1557">
        <v>45</v>
      </c>
    </row>
    <row r="1558" spans="1:7" x14ac:dyDescent="0.25">
      <c r="A1558" t="s">
        <v>108</v>
      </c>
      <c r="B1558" t="s">
        <v>109</v>
      </c>
      <c r="C1558">
        <v>2330</v>
      </c>
      <c r="D1558" t="s">
        <v>20</v>
      </c>
      <c r="E1558" t="s">
        <v>27</v>
      </c>
      <c r="F1558" s="5">
        <v>42370</v>
      </c>
      <c r="G1558">
        <v>0</v>
      </c>
    </row>
    <row r="1559" spans="1:7" x14ac:dyDescent="0.25">
      <c r="A1559" t="s">
        <v>108</v>
      </c>
      <c r="B1559" t="s">
        <v>109</v>
      </c>
      <c r="C1559">
        <v>2330</v>
      </c>
      <c r="D1559" t="s">
        <v>20</v>
      </c>
      <c r="E1559" t="s">
        <v>27</v>
      </c>
      <c r="F1559" s="5">
        <v>42736</v>
      </c>
      <c r="G1559">
        <v>2</v>
      </c>
    </row>
    <row r="1560" spans="1:7" x14ac:dyDescent="0.25">
      <c r="A1560" t="s">
        <v>108</v>
      </c>
      <c r="B1560" t="s">
        <v>109</v>
      </c>
      <c r="C1560">
        <v>2330</v>
      </c>
      <c r="D1560" t="s">
        <v>20</v>
      </c>
      <c r="E1560" t="s">
        <v>28</v>
      </c>
      <c r="F1560" s="5">
        <v>42370</v>
      </c>
      <c r="G1560">
        <v>0</v>
      </c>
    </row>
    <row r="1561" spans="1:7" x14ac:dyDescent="0.25">
      <c r="A1561" t="s">
        <v>108</v>
      </c>
      <c r="B1561" t="s">
        <v>109</v>
      </c>
      <c r="C1561">
        <v>2330</v>
      </c>
      <c r="D1561" t="s">
        <v>20</v>
      </c>
      <c r="E1561" t="s">
        <v>28</v>
      </c>
      <c r="F1561" s="5">
        <v>42736</v>
      </c>
      <c r="G1561">
        <v>0</v>
      </c>
    </row>
    <row r="1562" spans="1:7" x14ac:dyDescent="0.25">
      <c r="A1562" t="s">
        <v>108</v>
      </c>
      <c r="B1562" t="s">
        <v>109</v>
      </c>
      <c r="C1562">
        <v>2330</v>
      </c>
      <c r="D1562" t="s">
        <v>20</v>
      </c>
      <c r="E1562" t="s">
        <v>29</v>
      </c>
      <c r="F1562" s="5">
        <v>42370</v>
      </c>
      <c r="G1562">
        <v>27</v>
      </c>
    </row>
    <row r="1563" spans="1:7" x14ac:dyDescent="0.25">
      <c r="A1563" t="s">
        <v>108</v>
      </c>
      <c r="B1563" t="s">
        <v>109</v>
      </c>
      <c r="C1563">
        <v>2330</v>
      </c>
      <c r="D1563" t="s">
        <v>20</v>
      </c>
      <c r="E1563" t="s">
        <v>29</v>
      </c>
      <c r="F1563" s="5">
        <v>42736</v>
      </c>
      <c r="G1563">
        <v>46</v>
      </c>
    </row>
    <row r="1564" spans="1:7" x14ac:dyDescent="0.25">
      <c r="A1564" t="s">
        <v>108</v>
      </c>
      <c r="B1564" t="s">
        <v>109</v>
      </c>
      <c r="C1564">
        <v>2330</v>
      </c>
      <c r="D1564" t="s">
        <v>20</v>
      </c>
      <c r="E1564" t="s">
        <v>30</v>
      </c>
      <c r="F1564" s="5">
        <v>42370</v>
      </c>
      <c r="G1564">
        <v>34</v>
      </c>
    </row>
    <row r="1565" spans="1:7" x14ac:dyDescent="0.25">
      <c r="A1565" t="s">
        <v>108</v>
      </c>
      <c r="B1565" t="s">
        <v>109</v>
      </c>
      <c r="C1565">
        <v>2330</v>
      </c>
      <c r="D1565" t="s">
        <v>20</v>
      </c>
      <c r="E1565" t="s">
        <v>30</v>
      </c>
      <c r="F1565" s="5">
        <v>42736</v>
      </c>
      <c r="G1565">
        <v>45</v>
      </c>
    </row>
    <row r="1566" spans="1:7" x14ac:dyDescent="0.25">
      <c r="A1566" t="s">
        <v>108</v>
      </c>
      <c r="B1566" t="s">
        <v>109</v>
      </c>
      <c r="C1566">
        <v>2330</v>
      </c>
      <c r="D1566" t="s">
        <v>20</v>
      </c>
      <c r="E1566" t="s">
        <v>31</v>
      </c>
      <c r="F1566" s="5">
        <v>42370</v>
      </c>
      <c r="G1566">
        <v>100</v>
      </c>
    </row>
    <row r="1567" spans="1:7" x14ac:dyDescent="0.25">
      <c r="A1567" t="s">
        <v>108</v>
      </c>
      <c r="B1567" t="s">
        <v>109</v>
      </c>
      <c r="C1567">
        <v>2330</v>
      </c>
      <c r="D1567" t="s">
        <v>20</v>
      </c>
      <c r="E1567" t="s">
        <v>31</v>
      </c>
      <c r="F1567" s="5">
        <v>42736</v>
      </c>
      <c r="G1567">
        <v>126</v>
      </c>
    </row>
    <row r="1568" spans="1:7" x14ac:dyDescent="0.25">
      <c r="A1568" t="s">
        <v>108</v>
      </c>
      <c r="B1568" t="s">
        <v>109</v>
      </c>
      <c r="C1568">
        <v>2330</v>
      </c>
      <c r="D1568" t="s">
        <v>20</v>
      </c>
      <c r="E1568" t="s">
        <v>32</v>
      </c>
      <c r="F1568" s="5">
        <v>42370</v>
      </c>
      <c r="G1568">
        <v>34</v>
      </c>
    </row>
    <row r="1569" spans="1:7" x14ac:dyDescent="0.25">
      <c r="A1569" t="s">
        <v>108</v>
      </c>
      <c r="B1569" t="s">
        <v>109</v>
      </c>
      <c r="C1569">
        <v>2330</v>
      </c>
      <c r="D1569" t="s">
        <v>20</v>
      </c>
      <c r="E1569" t="s">
        <v>32</v>
      </c>
      <c r="F1569" s="5">
        <v>42736</v>
      </c>
      <c r="G1569">
        <v>43</v>
      </c>
    </row>
    <row r="1570" spans="1:7" x14ac:dyDescent="0.25">
      <c r="A1570" t="s">
        <v>108</v>
      </c>
      <c r="B1570" t="s">
        <v>109</v>
      </c>
      <c r="C1570">
        <v>2330</v>
      </c>
      <c r="D1570" t="s">
        <v>33</v>
      </c>
      <c r="E1570" t="s">
        <v>9</v>
      </c>
      <c r="F1570" s="5">
        <v>42370</v>
      </c>
      <c r="G1570">
        <v>0</v>
      </c>
    </row>
    <row r="1571" spans="1:7" x14ac:dyDescent="0.25">
      <c r="A1571" t="s">
        <v>108</v>
      </c>
      <c r="B1571" t="s">
        <v>109</v>
      </c>
      <c r="C1571">
        <v>2330</v>
      </c>
      <c r="D1571" t="s">
        <v>33</v>
      </c>
      <c r="E1571" t="s">
        <v>9</v>
      </c>
      <c r="F1571" s="5">
        <v>42736</v>
      </c>
      <c r="G1571">
        <v>0</v>
      </c>
    </row>
    <row r="1572" spans="1:7" x14ac:dyDescent="0.25">
      <c r="A1572" t="s">
        <v>108</v>
      </c>
      <c r="B1572" t="s">
        <v>109</v>
      </c>
      <c r="C1572">
        <v>2330</v>
      </c>
      <c r="D1572" t="s">
        <v>33</v>
      </c>
      <c r="E1572" t="s">
        <v>34</v>
      </c>
      <c r="F1572" s="5">
        <v>42370</v>
      </c>
      <c r="G1572">
        <v>0</v>
      </c>
    </row>
    <row r="1573" spans="1:7" x14ac:dyDescent="0.25">
      <c r="A1573" t="s">
        <v>108</v>
      </c>
      <c r="B1573" t="s">
        <v>109</v>
      </c>
      <c r="C1573">
        <v>2330</v>
      </c>
      <c r="D1573" t="s">
        <v>33</v>
      </c>
      <c r="E1573" t="s">
        <v>34</v>
      </c>
      <c r="F1573" s="5">
        <v>42736</v>
      </c>
      <c r="G1573">
        <v>0</v>
      </c>
    </row>
    <row r="1574" spans="1:7" x14ac:dyDescent="0.25">
      <c r="A1574" t="s">
        <v>108</v>
      </c>
      <c r="B1574" t="s">
        <v>109</v>
      </c>
      <c r="C1574">
        <v>2330</v>
      </c>
      <c r="D1574" t="s">
        <v>35</v>
      </c>
      <c r="E1574" t="s">
        <v>36</v>
      </c>
      <c r="F1574" s="5">
        <v>42370</v>
      </c>
      <c r="G1574">
        <v>0</v>
      </c>
    </row>
    <row r="1575" spans="1:7" x14ac:dyDescent="0.25">
      <c r="A1575" t="s">
        <v>108</v>
      </c>
      <c r="B1575" t="s">
        <v>109</v>
      </c>
      <c r="C1575">
        <v>2330</v>
      </c>
      <c r="D1575" t="s">
        <v>35</v>
      </c>
      <c r="E1575" t="s">
        <v>36</v>
      </c>
      <c r="F1575" s="5">
        <v>42736</v>
      </c>
      <c r="G1575">
        <v>0</v>
      </c>
    </row>
    <row r="1576" spans="1:7" x14ac:dyDescent="0.25">
      <c r="A1576" t="s">
        <v>108</v>
      </c>
      <c r="B1576" t="s">
        <v>109</v>
      </c>
      <c r="C1576">
        <v>2330</v>
      </c>
      <c r="D1576" t="s">
        <v>35</v>
      </c>
      <c r="E1576" t="s">
        <v>37</v>
      </c>
      <c r="F1576" s="5">
        <v>42370</v>
      </c>
      <c r="G1576">
        <v>0</v>
      </c>
    </row>
    <row r="1577" spans="1:7" x14ac:dyDescent="0.25">
      <c r="A1577" t="s">
        <v>108</v>
      </c>
      <c r="B1577" t="s">
        <v>109</v>
      </c>
      <c r="C1577">
        <v>2330</v>
      </c>
      <c r="D1577" t="s">
        <v>35</v>
      </c>
      <c r="E1577" t="s">
        <v>37</v>
      </c>
      <c r="F1577" s="5">
        <v>42736</v>
      </c>
      <c r="G1577">
        <v>0</v>
      </c>
    </row>
    <row r="1578" spans="1:7" x14ac:dyDescent="0.25">
      <c r="A1578" t="s">
        <v>108</v>
      </c>
      <c r="B1578" t="s">
        <v>109</v>
      </c>
      <c r="C1578">
        <v>2330</v>
      </c>
      <c r="D1578" t="s">
        <v>35</v>
      </c>
      <c r="E1578" t="s">
        <v>38</v>
      </c>
      <c r="F1578" s="5">
        <v>42370</v>
      </c>
      <c r="G1578">
        <v>0</v>
      </c>
    </row>
    <row r="1579" spans="1:7" x14ac:dyDescent="0.25">
      <c r="A1579" t="s">
        <v>108</v>
      </c>
      <c r="B1579" t="s">
        <v>109</v>
      </c>
      <c r="C1579">
        <v>2330</v>
      </c>
      <c r="D1579" t="s">
        <v>35</v>
      </c>
      <c r="E1579" t="s">
        <v>38</v>
      </c>
      <c r="F1579" s="5">
        <v>42736</v>
      </c>
      <c r="G1579">
        <v>0</v>
      </c>
    </row>
    <row r="1580" spans="1:7" x14ac:dyDescent="0.25">
      <c r="A1580" t="s">
        <v>108</v>
      </c>
      <c r="B1580" t="s">
        <v>109</v>
      </c>
      <c r="C1580">
        <v>2330</v>
      </c>
      <c r="D1580" t="s">
        <v>35</v>
      </c>
      <c r="E1580" t="s">
        <v>39</v>
      </c>
      <c r="F1580" s="5">
        <v>42370</v>
      </c>
      <c r="G1580">
        <v>0</v>
      </c>
    </row>
    <row r="1581" spans="1:7" x14ac:dyDescent="0.25">
      <c r="A1581" t="s">
        <v>108</v>
      </c>
      <c r="B1581" t="s">
        <v>109</v>
      </c>
      <c r="C1581">
        <v>2330</v>
      </c>
      <c r="D1581" t="s">
        <v>35</v>
      </c>
      <c r="E1581" t="s">
        <v>39</v>
      </c>
      <c r="F1581" s="5">
        <v>42736</v>
      </c>
      <c r="G1581">
        <v>0</v>
      </c>
    </row>
    <row r="1582" spans="1:7" x14ac:dyDescent="0.25">
      <c r="A1582" t="s">
        <v>108</v>
      </c>
      <c r="B1582" t="s">
        <v>109</v>
      </c>
      <c r="C1582">
        <v>2330</v>
      </c>
      <c r="D1582" t="s">
        <v>35</v>
      </c>
      <c r="E1582" t="s">
        <v>40</v>
      </c>
      <c r="F1582" s="5">
        <v>42370</v>
      </c>
      <c r="G1582">
        <v>0</v>
      </c>
    </row>
    <row r="1583" spans="1:7" x14ac:dyDescent="0.25">
      <c r="A1583" t="s">
        <v>108</v>
      </c>
      <c r="B1583" t="s">
        <v>109</v>
      </c>
      <c r="C1583">
        <v>2330</v>
      </c>
      <c r="D1583" t="s">
        <v>35</v>
      </c>
      <c r="E1583" t="s">
        <v>40</v>
      </c>
      <c r="F1583" s="5">
        <v>42736</v>
      </c>
      <c r="G1583">
        <v>0</v>
      </c>
    </row>
    <row r="1584" spans="1:7" x14ac:dyDescent="0.25">
      <c r="A1584" t="s">
        <v>108</v>
      </c>
      <c r="B1584" t="s">
        <v>109</v>
      </c>
      <c r="C1584">
        <v>2330</v>
      </c>
      <c r="D1584" t="s">
        <v>35</v>
      </c>
      <c r="E1584" t="s">
        <v>41</v>
      </c>
      <c r="F1584" s="5">
        <v>42370</v>
      </c>
      <c r="G1584">
        <v>0</v>
      </c>
    </row>
    <row r="1585" spans="1:7" x14ac:dyDescent="0.25">
      <c r="A1585" t="s">
        <v>108</v>
      </c>
      <c r="B1585" t="s">
        <v>109</v>
      </c>
      <c r="C1585">
        <v>2330</v>
      </c>
      <c r="D1585" t="s">
        <v>35</v>
      </c>
      <c r="E1585" t="s">
        <v>41</v>
      </c>
      <c r="F1585" s="5">
        <v>42736</v>
      </c>
      <c r="G1585">
        <v>0</v>
      </c>
    </row>
    <row r="1586" spans="1:7" x14ac:dyDescent="0.25">
      <c r="A1586" t="s">
        <v>108</v>
      </c>
      <c r="B1586" t="s">
        <v>109</v>
      </c>
      <c r="C1586">
        <v>2330</v>
      </c>
      <c r="D1586" t="s">
        <v>35</v>
      </c>
      <c r="E1586" t="s">
        <v>42</v>
      </c>
      <c r="F1586" s="5">
        <v>42370</v>
      </c>
      <c r="G1586">
        <v>0</v>
      </c>
    </row>
    <row r="1587" spans="1:7" x14ac:dyDescent="0.25">
      <c r="A1587" t="s">
        <v>108</v>
      </c>
      <c r="B1587" t="s">
        <v>109</v>
      </c>
      <c r="C1587">
        <v>2330</v>
      </c>
      <c r="D1587" t="s">
        <v>35</v>
      </c>
      <c r="E1587" t="s">
        <v>42</v>
      </c>
      <c r="F1587" s="5">
        <v>42736</v>
      </c>
      <c r="G1587">
        <v>0</v>
      </c>
    </row>
    <row r="1588" spans="1:7" x14ac:dyDescent="0.25">
      <c r="A1588" t="s">
        <v>108</v>
      </c>
      <c r="B1588" t="s">
        <v>109</v>
      </c>
      <c r="C1588">
        <v>2330</v>
      </c>
      <c r="D1588" t="s">
        <v>35</v>
      </c>
      <c r="E1588" t="s">
        <v>43</v>
      </c>
      <c r="F1588" s="5">
        <v>42370</v>
      </c>
      <c r="G1588">
        <v>0</v>
      </c>
    </row>
    <row r="1589" spans="1:7" x14ac:dyDescent="0.25">
      <c r="A1589" t="s">
        <v>108</v>
      </c>
      <c r="B1589" t="s">
        <v>109</v>
      </c>
      <c r="C1589">
        <v>2330</v>
      </c>
      <c r="D1589" t="s">
        <v>35</v>
      </c>
      <c r="E1589" t="s">
        <v>43</v>
      </c>
      <c r="F1589" s="5">
        <v>42736</v>
      </c>
      <c r="G1589">
        <v>0</v>
      </c>
    </row>
    <row r="1590" spans="1:7" x14ac:dyDescent="0.25">
      <c r="A1590" t="s">
        <v>108</v>
      </c>
      <c r="B1590" t="s">
        <v>109</v>
      </c>
      <c r="C1590">
        <v>2330</v>
      </c>
      <c r="D1590" t="s">
        <v>44</v>
      </c>
      <c r="E1590" t="s">
        <v>36</v>
      </c>
      <c r="F1590" s="5">
        <v>42370</v>
      </c>
      <c r="G1590">
        <v>0</v>
      </c>
    </row>
    <row r="1591" spans="1:7" x14ac:dyDescent="0.25">
      <c r="A1591" t="s">
        <v>108</v>
      </c>
      <c r="B1591" t="s">
        <v>109</v>
      </c>
      <c r="C1591">
        <v>2330</v>
      </c>
      <c r="D1591" t="s">
        <v>44</v>
      </c>
      <c r="E1591" t="s">
        <v>36</v>
      </c>
      <c r="F1591" s="5">
        <v>42736</v>
      </c>
      <c r="G1591">
        <v>0</v>
      </c>
    </row>
    <row r="1592" spans="1:7" x14ac:dyDescent="0.25">
      <c r="A1592" t="s">
        <v>108</v>
      </c>
      <c r="B1592" t="s">
        <v>109</v>
      </c>
      <c r="C1592">
        <v>2330</v>
      </c>
      <c r="D1592" t="s">
        <v>44</v>
      </c>
      <c r="E1592" t="s">
        <v>37</v>
      </c>
      <c r="F1592" s="5">
        <v>42370</v>
      </c>
      <c r="G1592">
        <v>0</v>
      </c>
    </row>
    <row r="1593" spans="1:7" x14ac:dyDescent="0.25">
      <c r="A1593" t="s">
        <v>108</v>
      </c>
      <c r="B1593" t="s">
        <v>109</v>
      </c>
      <c r="C1593">
        <v>2330</v>
      </c>
      <c r="D1593" t="s">
        <v>44</v>
      </c>
      <c r="E1593" t="s">
        <v>37</v>
      </c>
      <c r="F1593" s="5">
        <v>42736</v>
      </c>
      <c r="G1593">
        <v>0</v>
      </c>
    </row>
    <row r="1594" spans="1:7" x14ac:dyDescent="0.25">
      <c r="A1594" t="s">
        <v>108</v>
      </c>
      <c r="B1594" t="s">
        <v>109</v>
      </c>
      <c r="C1594">
        <v>2330</v>
      </c>
      <c r="D1594" t="s">
        <v>44</v>
      </c>
      <c r="E1594" t="s">
        <v>38</v>
      </c>
      <c r="F1594" s="5">
        <v>42370</v>
      </c>
      <c r="G1594">
        <v>0</v>
      </c>
    </row>
    <row r="1595" spans="1:7" x14ac:dyDescent="0.25">
      <c r="A1595" t="s">
        <v>108</v>
      </c>
      <c r="B1595" t="s">
        <v>109</v>
      </c>
      <c r="C1595">
        <v>2330</v>
      </c>
      <c r="D1595" t="s">
        <v>44</v>
      </c>
      <c r="E1595" t="s">
        <v>38</v>
      </c>
      <c r="F1595" s="5">
        <v>42736</v>
      </c>
      <c r="G1595">
        <v>0</v>
      </c>
    </row>
    <row r="1596" spans="1:7" x14ac:dyDescent="0.25">
      <c r="A1596" t="s">
        <v>108</v>
      </c>
      <c r="B1596" t="s">
        <v>109</v>
      </c>
      <c r="C1596">
        <v>2330</v>
      </c>
      <c r="D1596" t="s">
        <v>44</v>
      </c>
      <c r="E1596" t="s">
        <v>39</v>
      </c>
      <c r="F1596" s="5">
        <v>42370</v>
      </c>
      <c r="G1596">
        <v>0</v>
      </c>
    </row>
    <row r="1597" spans="1:7" x14ac:dyDescent="0.25">
      <c r="A1597" t="s">
        <v>108</v>
      </c>
      <c r="B1597" t="s">
        <v>109</v>
      </c>
      <c r="C1597">
        <v>2330</v>
      </c>
      <c r="D1597" t="s">
        <v>44</v>
      </c>
      <c r="E1597" t="s">
        <v>39</v>
      </c>
      <c r="F1597" s="5">
        <v>42736</v>
      </c>
      <c r="G1597">
        <v>0</v>
      </c>
    </row>
    <row r="1598" spans="1:7" x14ac:dyDescent="0.25">
      <c r="A1598" t="s">
        <v>108</v>
      </c>
      <c r="B1598" t="s">
        <v>109</v>
      </c>
      <c r="C1598">
        <v>2330</v>
      </c>
      <c r="D1598" t="s">
        <v>44</v>
      </c>
      <c r="E1598" t="s">
        <v>40</v>
      </c>
      <c r="F1598" s="5">
        <v>42370</v>
      </c>
      <c r="G1598">
        <v>0</v>
      </c>
    </row>
    <row r="1599" spans="1:7" x14ac:dyDescent="0.25">
      <c r="A1599" t="s">
        <v>108</v>
      </c>
      <c r="B1599" t="s">
        <v>109</v>
      </c>
      <c r="C1599">
        <v>2330</v>
      </c>
      <c r="D1599" t="s">
        <v>44</v>
      </c>
      <c r="E1599" t="s">
        <v>40</v>
      </c>
      <c r="F1599" s="5">
        <v>42736</v>
      </c>
      <c r="G1599">
        <v>0</v>
      </c>
    </row>
    <row r="1600" spans="1:7" x14ac:dyDescent="0.25">
      <c r="A1600" t="s">
        <v>108</v>
      </c>
      <c r="B1600" t="s">
        <v>109</v>
      </c>
      <c r="C1600">
        <v>2330</v>
      </c>
      <c r="D1600" t="s">
        <v>44</v>
      </c>
      <c r="E1600" t="s">
        <v>41</v>
      </c>
      <c r="F1600" s="5">
        <v>42370</v>
      </c>
      <c r="G1600">
        <v>0</v>
      </c>
    </row>
    <row r="1601" spans="1:7" x14ac:dyDescent="0.25">
      <c r="A1601" t="s">
        <v>108</v>
      </c>
      <c r="B1601" t="s">
        <v>109</v>
      </c>
      <c r="C1601">
        <v>2330</v>
      </c>
      <c r="D1601" t="s">
        <v>44</v>
      </c>
      <c r="E1601" t="s">
        <v>41</v>
      </c>
      <c r="F1601" s="5">
        <v>42736</v>
      </c>
      <c r="G1601">
        <v>0</v>
      </c>
    </row>
    <row r="1602" spans="1:7" x14ac:dyDescent="0.25">
      <c r="A1602" t="s">
        <v>108</v>
      </c>
      <c r="B1602" t="s">
        <v>109</v>
      </c>
      <c r="C1602">
        <v>2330</v>
      </c>
      <c r="D1602" t="s">
        <v>44</v>
      </c>
      <c r="E1602" t="s">
        <v>42</v>
      </c>
      <c r="F1602" s="5">
        <v>42370</v>
      </c>
      <c r="G1602">
        <v>0</v>
      </c>
    </row>
    <row r="1603" spans="1:7" x14ac:dyDescent="0.25">
      <c r="A1603" t="s">
        <v>108</v>
      </c>
      <c r="B1603" t="s">
        <v>109</v>
      </c>
      <c r="C1603">
        <v>2330</v>
      </c>
      <c r="D1603" t="s">
        <v>44</v>
      </c>
      <c r="E1603" t="s">
        <v>42</v>
      </c>
      <c r="F1603" s="5">
        <v>42736</v>
      </c>
      <c r="G1603">
        <v>0</v>
      </c>
    </row>
    <row r="1604" spans="1:7" x14ac:dyDescent="0.25">
      <c r="A1604" t="s">
        <v>108</v>
      </c>
      <c r="B1604" t="s">
        <v>109</v>
      </c>
      <c r="C1604">
        <v>2330</v>
      </c>
      <c r="D1604" t="s">
        <v>44</v>
      </c>
      <c r="E1604" t="s">
        <v>43</v>
      </c>
      <c r="F1604" s="5">
        <v>42370</v>
      </c>
      <c r="G1604">
        <v>0</v>
      </c>
    </row>
    <row r="1605" spans="1:7" x14ac:dyDescent="0.25">
      <c r="A1605" t="s">
        <v>108</v>
      </c>
      <c r="B1605" t="s">
        <v>109</v>
      </c>
      <c r="C1605">
        <v>2330</v>
      </c>
      <c r="D1605" t="s">
        <v>44</v>
      </c>
      <c r="E1605" t="s">
        <v>43</v>
      </c>
      <c r="F1605" s="5">
        <v>42736</v>
      </c>
      <c r="G1605">
        <v>0</v>
      </c>
    </row>
    <row r="1606" spans="1:7" x14ac:dyDescent="0.25">
      <c r="A1606" t="s">
        <v>108</v>
      </c>
      <c r="B1606" t="s">
        <v>109</v>
      </c>
      <c r="C1606">
        <v>2330</v>
      </c>
      <c r="D1606" t="s">
        <v>45</v>
      </c>
      <c r="E1606" t="s">
        <v>46</v>
      </c>
      <c r="F1606" s="5">
        <v>42370</v>
      </c>
      <c r="G1606">
        <v>0</v>
      </c>
    </row>
    <row r="1607" spans="1:7" x14ac:dyDescent="0.25">
      <c r="A1607" t="s">
        <v>108</v>
      </c>
      <c r="B1607" t="s">
        <v>109</v>
      </c>
      <c r="C1607">
        <v>2330</v>
      </c>
      <c r="D1607" t="s">
        <v>45</v>
      </c>
      <c r="E1607" t="s">
        <v>46</v>
      </c>
      <c r="F1607" s="5">
        <v>42736</v>
      </c>
      <c r="G1607">
        <v>0</v>
      </c>
    </row>
    <row r="1608" spans="1:7" x14ac:dyDescent="0.25">
      <c r="A1608" t="s">
        <v>108</v>
      </c>
      <c r="B1608" t="s">
        <v>109</v>
      </c>
      <c r="C1608">
        <v>2330</v>
      </c>
      <c r="D1608" t="s">
        <v>45</v>
      </c>
      <c r="E1608" t="s">
        <v>47</v>
      </c>
      <c r="F1608" s="5">
        <v>42370</v>
      </c>
      <c r="G1608">
        <v>0</v>
      </c>
    </row>
    <row r="1609" spans="1:7" x14ac:dyDescent="0.25">
      <c r="A1609" t="s">
        <v>108</v>
      </c>
      <c r="B1609" t="s">
        <v>109</v>
      </c>
      <c r="C1609">
        <v>2330</v>
      </c>
      <c r="D1609" t="s">
        <v>45</v>
      </c>
      <c r="E1609" t="s">
        <v>47</v>
      </c>
      <c r="F1609" s="5">
        <v>42736</v>
      </c>
      <c r="G1609">
        <v>0</v>
      </c>
    </row>
    <row r="1610" spans="1:7" x14ac:dyDescent="0.25">
      <c r="A1610" t="s">
        <v>108</v>
      </c>
      <c r="B1610" t="s">
        <v>109</v>
      </c>
      <c r="C1610">
        <v>2330</v>
      </c>
      <c r="D1610" t="s">
        <v>45</v>
      </c>
      <c r="E1610" t="s">
        <v>48</v>
      </c>
      <c r="F1610" s="5">
        <v>42370</v>
      </c>
      <c r="G1610">
        <v>10</v>
      </c>
    </row>
    <row r="1611" spans="1:7" x14ac:dyDescent="0.25">
      <c r="A1611" t="s">
        <v>108</v>
      </c>
      <c r="B1611" t="s">
        <v>109</v>
      </c>
      <c r="C1611">
        <v>2330</v>
      </c>
      <c r="D1611" t="s">
        <v>45</v>
      </c>
      <c r="E1611" t="s">
        <v>48</v>
      </c>
      <c r="F1611" s="5">
        <v>42736</v>
      </c>
      <c r="G1611">
        <v>7</v>
      </c>
    </row>
    <row r="1612" spans="1:7" x14ac:dyDescent="0.25">
      <c r="A1612" t="s">
        <v>108</v>
      </c>
      <c r="B1612" t="s">
        <v>109</v>
      </c>
      <c r="C1612">
        <v>2330</v>
      </c>
      <c r="D1612" t="s">
        <v>45</v>
      </c>
      <c r="E1612" t="s">
        <v>49</v>
      </c>
      <c r="F1612" s="5">
        <v>42370</v>
      </c>
      <c r="G1612">
        <v>0</v>
      </c>
    </row>
    <row r="1613" spans="1:7" x14ac:dyDescent="0.25">
      <c r="A1613" t="s">
        <v>108</v>
      </c>
      <c r="B1613" t="s">
        <v>109</v>
      </c>
      <c r="C1613">
        <v>2330</v>
      </c>
      <c r="D1613" t="s">
        <v>45</v>
      </c>
      <c r="E1613" t="s">
        <v>49</v>
      </c>
      <c r="F1613" s="5">
        <v>42736</v>
      </c>
      <c r="G1613">
        <v>0</v>
      </c>
    </row>
    <row r="1614" spans="1:7" x14ac:dyDescent="0.25">
      <c r="A1614" t="s">
        <v>108</v>
      </c>
      <c r="B1614" t="s">
        <v>109</v>
      </c>
      <c r="C1614">
        <v>2330</v>
      </c>
      <c r="D1614" t="s">
        <v>45</v>
      </c>
      <c r="E1614" t="s">
        <v>50</v>
      </c>
      <c r="F1614" s="5">
        <v>42370</v>
      </c>
      <c r="G1614">
        <v>0</v>
      </c>
    </row>
    <row r="1615" spans="1:7" x14ac:dyDescent="0.25">
      <c r="A1615" t="s">
        <v>108</v>
      </c>
      <c r="B1615" t="s">
        <v>109</v>
      </c>
      <c r="C1615">
        <v>2330</v>
      </c>
      <c r="D1615" t="s">
        <v>45</v>
      </c>
      <c r="E1615" t="s">
        <v>50</v>
      </c>
      <c r="F1615" s="5">
        <v>42736</v>
      </c>
      <c r="G1615">
        <v>0</v>
      </c>
    </row>
    <row r="1616" spans="1:7" x14ac:dyDescent="0.25">
      <c r="A1616" t="s">
        <v>108</v>
      </c>
      <c r="B1616" t="s">
        <v>109</v>
      </c>
      <c r="C1616">
        <v>2330</v>
      </c>
      <c r="D1616" t="s">
        <v>45</v>
      </c>
      <c r="E1616" t="s">
        <v>51</v>
      </c>
      <c r="F1616" s="5">
        <v>42370</v>
      </c>
      <c r="G1616">
        <v>0</v>
      </c>
    </row>
    <row r="1617" spans="1:7" x14ac:dyDescent="0.25">
      <c r="A1617" t="s">
        <v>108</v>
      </c>
      <c r="B1617" t="s">
        <v>109</v>
      </c>
      <c r="C1617">
        <v>2330</v>
      </c>
      <c r="D1617" t="s">
        <v>45</v>
      </c>
      <c r="E1617" t="s">
        <v>51</v>
      </c>
      <c r="F1617" s="5">
        <v>42736</v>
      </c>
      <c r="G1617">
        <v>0</v>
      </c>
    </row>
    <row r="1618" spans="1:7" x14ac:dyDescent="0.25">
      <c r="A1618" t="s">
        <v>108</v>
      </c>
      <c r="B1618" t="s">
        <v>109</v>
      </c>
      <c r="C1618">
        <v>2330</v>
      </c>
      <c r="D1618" t="s">
        <v>45</v>
      </c>
      <c r="E1618" t="s">
        <v>52</v>
      </c>
      <c r="F1618" s="5">
        <v>42370</v>
      </c>
      <c r="G1618">
        <v>0</v>
      </c>
    </row>
    <row r="1619" spans="1:7" x14ac:dyDescent="0.25">
      <c r="A1619" t="s">
        <v>108</v>
      </c>
      <c r="B1619" t="s">
        <v>109</v>
      </c>
      <c r="C1619">
        <v>2330</v>
      </c>
      <c r="D1619" t="s">
        <v>45</v>
      </c>
      <c r="E1619" t="s">
        <v>52</v>
      </c>
      <c r="F1619" s="5">
        <v>42736</v>
      </c>
      <c r="G1619">
        <v>0</v>
      </c>
    </row>
    <row r="1620" spans="1:7" x14ac:dyDescent="0.25">
      <c r="A1620" t="s">
        <v>108</v>
      </c>
      <c r="B1620" t="s">
        <v>109</v>
      </c>
      <c r="C1620">
        <v>2330</v>
      </c>
      <c r="D1620" t="s">
        <v>45</v>
      </c>
      <c r="E1620" t="s">
        <v>53</v>
      </c>
      <c r="F1620" s="5">
        <v>42370</v>
      </c>
      <c r="G1620">
        <v>1</v>
      </c>
    </row>
    <row r="1621" spans="1:7" x14ac:dyDescent="0.25">
      <c r="A1621" t="s">
        <v>108</v>
      </c>
      <c r="B1621" t="s">
        <v>109</v>
      </c>
      <c r="C1621">
        <v>2330</v>
      </c>
      <c r="D1621" t="s">
        <v>45</v>
      </c>
      <c r="E1621" t="s">
        <v>53</v>
      </c>
      <c r="F1621" s="5">
        <v>42736</v>
      </c>
      <c r="G1621">
        <v>4</v>
      </c>
    </row>
    <row r="1622" spans="1:7" x14ac:dyDescent="0.25">
      <c r="A1622" t="s">
        <v>108</v>
      </c>
      <c r="B1622" t="s">
        <v>109</v>
      </c>
      <c r="C1622">
        <v>2330</v>
      </c>
      <c r="D1622" t="s">
        <v>45</v>
      </c>
      <c r="E1622" t="s">
        <v>54</v>
      </c>
      <c r="F1622" s="5">
        <v>42370</v>
      </c>
      <c r="G1622">
        <v>0</v>
      </c>
    </row>
    <row r="1623" spans="1:7" x14ac:dyDescent="0.25">
      <c r="A1623" t="s">
        <v>108</v>
      </c>
      <c r="B1623" t="s">
        <v>109</v>
      </c>
      <c r="C1623">
        <v>2330</v>
      </c>
      <c r="D1623" t="s">
        <v>45</v>
      </c>
      <c r="E1623" t="s">
        <v>54</v>
      </c>
      <c r="F1623" s="5">
        <v>42736</v>
      </c>
      <c r="G1623">
        <v>0</v>
      </c>
    </row>
    <row r="1624" spans="1:7" x14ac:dyDescent="0.25">
      <c r="A1624" t="s">
        <v>108</v>
      </c>
      <c r="B1624" t="s">
        <v>109</v>
      </c>
      <c r="C1624">
        <v>2330</v>
      </c>
      <c r="D1624" t="s">
        <v>45</v>
      </c>
      <c r="E1624" t="s">
        <v>55</v>
      </c>
      <c r="F1624" s="5">
        <v>42370</v>
      </c>
      <c r="G1624">
        <v>0</v>
      </c>
    </row>
    <row r="1625" spans="1:7" x14ac:dyDescent="0.25">
      <c r="A1625" t="s">
        <v>108</v>
      </c>
      <c r="B1625" t="s">
        <v>109</v>
      </c>
      <c r="C1625">
        <v>2330</v>
      </c>
      <c r="D1625" t="s">
        <v>45</v>
      </c>
      <c r="E1625" t="s">
        <v>55</v>
      </c>
      <c r="F1625" s="5">
        <v>42736</v>
      </c>
      <c r="G1625">
        <v>0</v>
      </c>
    </row>
    <row r="1626" spans="1:7" x14ac:dyDescent="0.25">
      <c r="A1626" t="s">
        <v>108</v>
      </c>
      <c r="B1626" t="s">
        <v>109</v>
      </c>
      <c r="C1626">
        <v>2330</v>
      </c>
      <c r="D1626" t="s">
        <v>45</v>
      </c>
      <c r="E1626" t="s">
        <v>56</v>
      </c>
      <c r="F1626" s="5">
        <v>42370</v>
      </c>
      <c r="G1626">
        <v>0</v>
      </c>
    </row>
    <row r="1627" spans="1:7" x14ac:dyDescent="0.25">
      <c r="A1627" t="s">
        <v>108</v>
      </c>
      <c r="B1627" t="s">
        <v>109</v>
      </c>
      <c r="C1627">
        <v>2330</v>
      </c>
      <c r="D1627" t="s">
        <v>45</v>
      </c>
      <c r="E1627" t="s">
        <v>56</v>
      </c>
      <c r="F1627" s="5">
        <v>42736</v>
      </c>
      <c r="G1627">
        <v>0</v>
      </c>
    </row>
    <row r="1628" spans="1:7" x14ac:dyDescent="0.25">
      <c r="A1628" t="s">
        <v>108</v>
      </c>
      <c r="B1628" t="s">
        <v>109</v>
      </c>
      <c r="C1628">
        <v>2330</v>
      </c>
      <c r="D1628" t="s">
        <v>45</v>
      </c>
      <c r="E1628" t="s">
        <v>57</v>
      </c>
      <c r="F1628" s="5">
        <v>42370</v>
      </c>
      <c r="G1628">
        <v>0</v>
      </c>
    </row>
    <row r="1629" spans="1:7" x14ac:dyDescent="0.25">
      <c r="A1629" t="s">
        <v>108</v>
      </c>
      <c r="B1629" t="s">
        <v>109</v>
      </c>
      <c r="C1629">
        <v>2330</v>
      </c>
      <c r="D1629" t="s">
        <v>45</v>
      </c>
      <c r="E1629" t="s">
        <v>57</v>
      </c>
      <c r="F1629" s="5">
        <v>42736</v>
      </c>
      <c r="G1629">
        <v>0</v>
      </c>
    </row>
    <row r="1630" spans="1:7" x14ac:dyDescent="0.25">
      <c r="A1630" t="s">
        <v>108</v>
      </c>
      <c r="B1630" t="s">
        <v>109</v>
      </c>
      <c r="C1630">
        <v>2330</v>
      </c>
      <c r="D1630" t="s">
        <v>45</v>
      </c>
      <c r="E1630" t="s">
        <v>58</v>
      </c>
      <c r="F1630" s="5">
        <v>42370</v>
      </c>
      <c r="G1630">
        <v>0</v>
      </c>
    </row>
    <row r="1631" spans="1:7" x14ac:dyDescent="0.25">
      <c r="A1631" t="s">
        <v>108</v>
      </c>
      <c r="B1631" t="s">
        <v>109</v>
      </c>
      <c r="C1631">
        <v>2330</v>
      </c>
      <c r="D1631" t="s">
        <v>45</v>
      </c>
      <c r="E1631" t="s">
        <v>58</v>
      </c>
      <c r="F1631" s="5">
        <v>42736</v>
      </c>
      <c r="G1631">
        <v>0</v>
      </c>
    </row>
    <row r="1632" spans="1:7" x14ac:dyDescent="0.25">
      <c r="A1632" t="s">
        <v>108</v>
      </c>
      <c r="B1632" t="s">
        <v>109</v>
      </c>
      <c r="C1632">
        <v>2330</v>
      </c>
      <c r="D1632" t="s">
        <v>45</v>
      </c>
      <c r="E1632" t="s">
        <v>59</v>
      </c>
      <c r="F1632" s="5">
        <v>42370</v>
      </c>
      <c r="G1632">
        <v>0</v>
      </c>
    </row>
    <row r="1633" spans="1:7" x14ac:dyDescent="0.25">
      <c r="A1633" t="s">
        <v>108</v>
      </c>
      <c r="B1633" t="s">
        <v>109</v>
      </c>
      <c r="C1633">
        <v>2330</v>
      </c>
      <c r="D1633" t="s">
        <v>45</v>
      </c>
      <c r="E1633" t="s">
        <v>59</v>
      </c>
      <c r="F1633" s="5">
        <v>42736</v>
      </c>
      <c r="G1633">
        <v>0</v>
      </c>
    </row>
    <row r="1634" spans="1:7" x14ac:dyDescent="0.25">
      <c r="A1634" t="s">
        <v>108</v>
      </c>
      <c r="B1634" t="s">
        <v>109</v>
      </c>
      <c r="C1634">
        <v>2330</v>
      </c>
      <c r="D1634" t="s">
        <v>45</v>
      </c>
      <c r="E1634" t="s">
        <v>60</v>
      </c>
      <c r="F1634" s="5">
        <v>42370</v>
      </c>
      <c r="G1634">
        <v>0</v>
      </c>
    </row>
    <row r="1635" spans="1:7" x14ac:dyDescent="0.25">
      <c r="A1635" t="s">
        <v>108</v>
      </c>
      <c r="B1635" t="s">
        <v>109</v>
      </c>
      <c r="C1635">
        <v>2330</v>
      </c>
      <c r="D1635" t="s">
        <v>45</v>
      </c>
      <c r="E1635" t="s">
        <v>60</v>
      </c>
      <c r="F1635" s="5">
        <v>42736</v>
      </c>
      <c r="G1635">
        <v>0</v>
      </c>
    </row>
    <row r="1636" spans="1:7" x14ac:dyDescent="0.25">
      <c r="A1636" t="s">
        <v>108</v>
      </c>
      <c r="B1636" t="s">
        <v>109</v>
      </c>
      <c r="C1636">
        <v>2330</v>
      </c>
      <c r="D1636" t="s">
        <v>45</v>
      </c>
      <c r="E1636" t="s">
        <v>61</v>
      </c>
      <c r="F1636" s="5">
        <v>42370</v>
      </c>
      <c r="G1636">
        <v>3</v>
      </c>
    </row>
    <row r="1637" spans="1:7" x14ac:dyDescent="0.25">
      <c r="A1637" t="s">
        <v>108</v>
      </c>
      <c r="B1637" t="s">
        <v>109</v>
      </c>
      <c r="C1637">
        <v>2330</v>
      </c>
      <c r="D1637" t="s">
        <v>45</v>
      </c>
      <c r="E1637" t="s">
        <v>61</v>
      </c>
      <c r="F1637" s="5">
        <v>42736</v>
      </c>
      <c r="G1637">
        <v>6</v>
      </c>
    </row>
    <row r="1638" spans="1:7" x14ac:dyDescent="0.25">
      <c r="A1638" t="s">
        <v>108</v>
      </c>
      <c r="B1638" t="s">
        <v>109</v>
      </c>
      <c r="C1638">
        <v>2330</v>
      </c>
      <c r="D1638" t="s">
        <v>62</v>
      </c>
      <c r="E1638" t="s">
        <v>63</v>
      </c>
      <c r="F1638" s="5">
        <v>42370</v>
      </c>
      <c r="G1638">
        <v>0</v>
      </c>
    </row>
    <row r="1639" spans="1:7" x14ac:dyDescent="0.25">
      <c r="A1639" t="s">
        <v>108</v>
      </c>
      <c r="B1639" t="s">
        <v>109</v>
      </c>
      <c r="C1639">
        <v>2330</v>
      </c>
      <c r="D1639" t="s">
        <v>62</v>
      </c>
      <c r="E1639" t="s">
        <v>63</v>
      </c>
      <c r="F1639" s="5">
        <v>42736</v>
      </c>
      <c r="G1639">
        <v>0</v>
      </c>
    </row>
    <row r="1640" spans="1:7" x14ac:dyDescent="0.25">
      <c r="A1640" t="s">
        <v>108</v>
      </c>
      <c r="B1640" t="s">
        <v>109</v>
      </c>
      <c r="C1640">
        <v>2330</v>
      </c>
      <c r="D1640" t="s">
        <v>62</v>
      </c>
      <c r="E1640" t="s">
        <v>64</v>
      </c>
      <c r="F1640" s="5">
        <v>42370</v>
      </c>
      <c r="G1640">
        <v>0</v>
      </c>
    </row>
    <row r="1641" spans="1:7" x14ac:dyDescent="0.25">
      <c r="A1641" t="s">
        <v>108</v>
      </c>
      <c r="B1641" t="s">
        <v>109</v>
      </c>
      <c r="C1641">
        <v>2330</v>
      </c>
      <c r="D1641" t="s">
        <v>62</v>
      </c>
      <c r="E1641" t="s">
        <v>64</v>
      </c>
      <c r="F1641" s="5">
        <v>42736</v>
      </c>
      <c r="G1641">
        <v>0</v>
      </c>
    </row>
    <row r="1642" spans="1:7" x14ac:dyDescent="0.25">
      <c r="A1642" t="s">
        <v>108</v>
      </c>
      <c r="B1642" t="s">
        <v>109</v>
      </c>
      <c r="C1642">
        <v>2330</v>
      </c>
      <c r="D1642" t="s">
        <v>62</v>
      </c>
      <c r="E1642" t="s">
        <v>9</v>
      </c>
      <c r="F1642" s="5">
        <v>42370</v>
      </c>
      <c r="G1642">
        <v>0</v>
      </c>
    </row>
    <row r="1643" spans="1:7" x14ac:dyDescent="0.25">
      <c r="A1643" t="s">
        <v>108</v>
      </c>
      <c r="B1643" t="s">
        <v>109</v>
      </c>
      <c r="C1643">
        <v>2330</v>
      </c>
      <c r="D1643" t="s">
        <v>62</v>
      </c>
      <c r="E1643" t="s">
        <v>9</v>
      </c>
      <c r="F1643" s="5">
        <v>42736</v>
      </c>
      <c r="G1643">
        <v>0</v>
      </c>
    </row>
    <row r="1644" spans="1:7" x14ac:dyDescent="0.25">
      <c r="A1644" t="s">
        <v>108</v>
      </c>
      <c r="B1644" t="s">
        <v>109</v>
      </c>
      <c r="C1644">
        <v>2330</v>
      </c>
      <c r="D1644" t="s">
        <v>62</v>
      </c>
      <c r="E1644" t="s">
        <v>65</v>
      </c>
      <c r="F1644" s="5">
        <v>42370</v>
      </c>
      <c r="G1644">
        <v>0</v>
      </c>
    </row>
    <row r="1645" spans="1:7" x14ac:dyDescent="0.25">
      <c r="A1645" t="s">
        <v>108</v>
      </c>
      <c r="B1645" t="s">
        <v>109</v>
      </c>
      <c r="C1645">
        <v>2330</v>
      </c>
      <c r="D1645" t="s">
        <v>62</v>
      </c>
      <c r="E1645" t="s">
        <v>65</v>
      </c>
      <c r="F1645" s="5">
        <v>42736</v>
      </c>
      <c r="G1645">
        <v>0</v>
      </c>
    </row>
    <row r="1646" spans="1:7" x14ac:dyDescent="0.25">
      <c r="A1646" t="s">
        <v>108</v>
      </c>
      <c r="B1646" t="s">
        <v>109</v>
      </c>
      <c r="C1646">
        <v>2330</v>
      </c>
      <c r="D1646" t="s">
        <v>62</v>
      </c>
      <c r="E1646" t="s">
        <v>66</v>
      </c>
      <c r="F1646" s="5">
        <v>42370</v>
      </c>
      <c r="G1646">
        <v>0</v>
      </c>
    </row>
    <row r="1647" spans="1:7" x14ac:dyDescent="0.25">
      <c r="A1647" t="s">
        <v>108</v>
      </c>
      <c r="B1647" t="s">
        <v>109</v>
      </c>
      <c r="C1647">
        <v>2330</v>
      </c>
      <c r="D1647" t="s">
        <v>62</v>
      </c>
      <c r="E1647" t="s">
        <v>66</v>
      </c>
      <c r="F1647" s="5">
        <v>42736</v>
      </c>
      <c r="G1647">
        <v>0</v>
      </c>
    </row>
    <row r="1648" spans="1:7" x14ac:dyDescent="0.25">
      <c r="A1648" t="s">
        <v>108</v>
      </c>
      <c r="B1648" t="s">
        <v>109</v>
      </c>
      <c r="C1648">
        <v>2330</v>
      </c>
      <c r="D1648" t="s">
        <v>62</v>
      </c>
      <c r="E1648" t="s">
        <v>67</v>
      </c>
      <c r="F1648" s="5">
        <v>42370</v>
      </c>
      <c r="G1648">
        <v>0</v>
      </c>
    </row>
    <row r="1649" spans="1:7" x14ac:dyDescent="0.25">
      <c r="A1649" t="s">
        <v>108</v>
      </c>
      <c r="B1649" t="s">
        <v>109</v>
      </c>
      <c r="C1649">
        <v>2330</v>
      </c>
      <c r="D1649" t="s">
        <v>62</v>
      </c>
      <c r="E1649" t="s">
        <v>67</v>
      </c>
      <c r="F1649" s="5">
        <v>42736</v>
      </c>
      <c r="G1649">
        <v>0</v>
      </c>
    </row>
    <row r="1650" spans="1:7" x14ac:dyDescent="0.25">
      <c r="A1650" t="s">
        <v>108</v>
      </c>
      <c r="B1650" t="s">
        <v>109</v>
      </c>
      <c r="C1650">
        <v>2330</v>
      </c>
      <c r="D1650" t="s">
        <v>62</v>
      </c>
      <c r="E1650" t="s">
        <v>68</v>
      </c>
      <c r="F1650" s="5">
        <v>42370</v>
      </c>
      <c r="G1650">
        <v>0</v>
      </c>
    </row>
    <row r="1651" spans="1:7" x14ac:dyDescent="0.25">
      <c r="A1651" t="s">
        <v>108</v>
      </c>
      <c r="B1651" t="s">
        <v>109</v>
      </c>
      <c r="C1651">
        <v>2330</v>
      </c>
      <c r="D1651" t="s">
        <v>62</v>
      </c>
      <c r="E1651" t="s">
        <v>68</v>
      </c>
      <c r="F1651" s="5">
        <v>42736</v>
      </c>
      <c r="G1651">
        <v>0</v>
      </c>
    </row>
    <row r="1652" spans="1:7" x14ac:dyDescent="0.25">
      <c r="A1652" t="s">
        <v>108</v>
      </c>
      <c r="B1652" t="s">
        <v>109</v>
      </c>
      <c r="C1652">
        <v>2330</v>
      </c>
      <c r="D1652" t="s">
        <v>62</v>
      </c>
      <c r="E1652" t="s">
        <v>69</v>
      </c>
      <c r="F1652" s="5">
        <v>42370</v>
      </c>
      <c r="G1652">
        <v>0</v>
      </c>
    </row>
    <row r="1653" spans="1:7" x14ac:dyDescent="0.25">
      <c r="A1653" t="s">
        <v>108</v>
      </c>
      <c r="B1653" t="s">
        <v>109</v>
      </c>
      <c r="C1653">
        <v>2330</v>
      </c>
      <c r="D1653" t="s">
        <v>62</v>
      </c>
      <c r="E1653" t="s">
        <v>69</v>
      </c>
      <c r="F1653" s="5">
        <v>42736</v>
      </c>
      <c r="G1653">
        <v>0</v>
      </c>
    </row>
    <row r="1654" spans="1:7" x14ac:dyDescent="0.25">
      <c r="A1654" t="s">
        <v>108</v>
      </c>
      <c r="B1654" t="s">
        <v>109</v>
      </c>
      <c r="C1654">
        <v>2330</v>
      </c>
      <c r="D1654" t="s">
        <v>62</v>
      </c>
      <c r="E1654" t="s">
        <v>70</v>
      </c>
      <c r="F1654" s="5">
        <v>42370</v>
      </c>
      <c r="G1654">
        <v>0</v>
      </c>
    </row>
    <row r="1655" spans="1:7" x14ac:dyDescent="0.25">
      <c r="A1655" t="s">
        <v>108</v>
      </c>
      <c r="B1655" t="s">
        <v>109</v>
      </c>
      <c r="C1655">
        <v>2330</v>
      </c>
      <c r="D1655" t="s">
        <v>62</v>
      </c>
      <c r="E1655" t="s">
        <v>70</v>
      </c>
      <c r="F1655" s="5">
        <v>42736</v>
      </c>
      <c r="G1655">
        <v>0</v>
      </c>
    </row>
    <row r="1656" spans="1:7" x14ac:dyDescent="0.25">
      <c r="A1656" t="s">
        <v>108</v>
      </c>
      <c r="B1656" t="s">
        <v>109</v>
      </c>
      <c r="C1656">
        <v>2330</v>
      </c>
      <c r="D1656" t="s">
        <v>62</v>
      </c>
      <c r="E1656" t="s">
        <v>71</v>
      </c>
      <c r="F1656" s="5">
        <v>42370</v>
      </c>
      <c r="G1656">
        <v>0</v>
      </c>
    </row>
    <row r="1657" spans="1:7" x14ac:dyDescent="0.25">
      <c r="A1657" t="s">
        <v>108</v>
      </c>
      <c r="B1657" t="s">
        <v>109</v>
      </c>
      <c r="C1657">
        <v>2330</v>
      </c>
      <c r="D1657" t="s">
        <v>62</v>
      </c>
      <c r="E1657" t="s">
        <v>71</v>
      </c>
      <c r="F1657" s="5">
        <v>42736</v>
      </c>
      <c r="G1657">
        <v>0</v>
      </c>
    </row>
    <row r="1658" spans="1:7" x14ac:dyDescent="0.25">
      <c r="A1658" t="s">
        <v>108</v>
      </c>
      <c r="B1658" t="s">
        <v>109</v>
      </c>
      <c r="C1658">
        <v>2330</v>
      </c>
      <c r="D1658" t="s">
        <v>72</v>
      </c>
      <c r="E1658" t="s">
        <v>73</v>
      </c>
      <c r="F1658" s="5">
        <v>42370</v>
      </c>
      <c r="G1658">
        <v>0</v>
      </c>
    </row>
    <row r="1659" spans="1:7" x14ac:dyDescent="0.25">
      <c r="A1659" t="s">
        <v>108</v>
      </c>
      <c r="B1659" t="s">
        <v>109</v>
      </c>
      <c r="C1659">
        <v>2330</v>
      </c>
      <c r="D1659" t="s">
        <v>72</v>
      </c>
      <c r="E1659" t="s">
        <v>73</v>
      </c>
      <c r="F1659" s="5">
        <v>42736</v>
      </c>
      <c r="G1659">
        <v>0</v>
      </c>
    </row>
    <row r="1660" spans="1:7" x14ac:dyDescent="0.25">
      <c r="A1660" t="s">
        <v>108</v>
      </c>
      <c r="B1660" t="s">
        <v>109</v>
      </c>
      <c r="C1660">
        <v>2330</v>
      </c>
      <c r="D1660" t="s">
        <v>72</v>
      </c>
      <c r="E1660" t="s">
        <v>9</v>
      </c>
      <c r="F1660" s="5">
        <v>42370</v>
      </c>
      <c r="G1660">
        <v>0</v>
      </c>
    </row>
    <row r="1661" spans="1:7" x14ac:dyDescent="0.25">
      <c r="A1661" t="s">
        <v>108</v>
      </c>
      <c r="B1661" t="s">
        <v>109</v>
      </c>
      <c r="C1661">
        <v>2330</v>
      </c>
      <c r="D1661" t="s">
        <v>72</v>
      </c>
      <c r="E1661" t="s">
        <v>9</v>
      </c>
      <c r="F1661" s="5">
        <v>42736</v>
      </c>
      <c r="G1661">
        <v>0</v>
      </c>
    </row>
    <row r="1662" spans="1:7" x14ac:dyDescent="0.25">
      <c r="A1662" t="s">
        <v>108</v>
      </c>
      <c r="B1662" t="s">
        <v>109</v>
      </c>
      <c r="C1662">
        <v>2330</v>
      </c>
      <c r="D1662" t="s">
        <v>72</v>
      </c>
      <c r="E1662" t="s">
        <v>34</v>
      </c>
      <c r="F1662" s="5">
        <v>42370</v>
      </c>
      <c r="G1662">
        <v>0</v>
      </c>
    </row>
    <row r="1663" spans="1:7" x14ac:dyDescent="0.25">
      <c r="A1663" t="s">
        <v>108</v>
      </c>
      <c r="B1663" t="s">
        <v>109</v>
      </c>
      <c r="C1663">
        <v>2330</v>
      </c>
      <c r="D1663" t="s">
        <v>72</v>
      </c>
      <c r="E1663" t="s">
        <v>34</v>
      </c>
      <c r="F1663" s="5">
        <v>42736</v>
      </c>
      <c r="G1663">
        <v>0</v>
      </c>
    </row>
    <row r="1664" spans="1:7" x14ac:dyDescent="0.25">
      <c r="A1664" t="s">
        <v>108</v>
      </c>
      <c r="B1664" t="s">
        <v>109</v>
      </c>
      <c r="C1664">
        <v>2330</v>
      </c>
      <c r="D1664" t="s">
        <v>72</v>
      </c>
      <c r="E1664" t="s">
        <v>74</v>
      </c>
      <c r="F1664" s="5">
        <v>42370</v>
      </c>
      <c r="G1664">
        <v>0</v>
      </c>
    </row>
    <row r="1665" spans="1:7" x14ac:dyDescent="0.25">
      <c r="A1665" t="s">
        <v>108</v>
      </c>
      <c r="B1665" t="s">
        <v>109</v>
      </c>
      <c r="C1665">
        <v>2330</v>
      </c>
      <c r="D1665" t="s">
        <v>72</v>
      </c>
      <c r="E1665" t="s">
        <v>74</v>
      </c>
      <c r="F1665" s="5">
        <v>42736</v>
      </c>
      <c r="G1665">
        <v>0</v>
      </c>
    </row>
    <row r="1666" spans="1:7" x14ac:dyDescent="0.25">
      <c r="A1666" t="s">
        <v>108</v>
      </c>
      <c r="B1666" t="s">
        <v>109</v>
      </c>
      <c r="C1666">
        <v>2330</v>
      </c>
      <c r="D1666" t="s">
        <v>72</v>
      </c>
      <c r="E1666" t="s">
        <v>75</v>
      </c>
      <c r="F1666" s="5">
        <v>42370</v>
      </c>
      <c r="G1666">
        <v>0</v>
      </c>
    </row>
    <row r="1667" spans="1:7" x14ac:dyDescent="0.25">
      <c r="A1667" t="s">
        <v>108</v>
      </c>
      <c r="B1667" t="s">
        <v>109</v>
      </c>
      <c r="C1667">
        <v>2330</v>
      </c>
      <c r="D1667" t="s">
        <v>72</v>
      </c>
      <c r="E1667" t="s">
        <v>75</v>
      </c>
      <c r="F1667" s="5">
        <v>42736</v>
      </c>
      <c r="G1667">
        <v>0</v>
      </c>
    </row>
    <row r="1668" spans="1:7" x14ac:dyDescent="0.25">
      <c r="A1668" t="s">
        <v>108</v>
      </c>
      <c r="B1668" t="s">
        <v>109</v>
      </c>
      <c r="C1668">
        <v>2330</v>
      </c>
      <c r="D1668" t="s">
        <v>76</v>
      </c>
      <c r="E1668" t="s">
        <v>9</v>
      </c>
      <c r="F1668" s="5">
        <v>42370</v>
      </c>
      <c r="G1668">
        <v>0</v>
      </c>
    </row>
    <row r="1669" spans="1:7" x14ac:dyDescent="0.25">
      <c r="A1669" t="s">
        <v>108</v>
      </c>
      <c r="B1669" t="s">
        <v>109</v>
      </c>
      <c r="C1669">
        <v>2330</v>
      </c>
      <c r="D1669" t="s">
        <v>76</v>
      </c>
      <c r="E1669" t="s">
        <v>9</v>
      </c>
      <c r="F1669" s="5">
        <v>42736</v>
      </c>
      <c r="G1669">
        <v>0</v>
      </c>
    </row>
    <row r="1670" spans="1:7" x14ac:dyDescent="0.25">
      <c r="A1670" t="s">
        <v>108</v>
      </c>
      <c r="B1670" t="s">
        <v>109</v>
      </c>
      <c r="C1670">
        <v>2330</v>
      </c>
      <c r="D1670" t="s">
        <v>76</v>
      </c>
      <c r="E1670" t="s">
        <v>77</v>
      </c>
      <c r="F1670" s="5">
        <v>42370</v>
      </c>
      <c r="G1670">
        <v>0</v>
      </c>
    </row>
    <row r="1671" spans="1:7" x14ac:dyDescent="0.25">
      <c r="A1671" t="s">
        <v>108</v>
      </c>
      <c r="B1671" t="s">
        <v>109</v>
      </c>
      <c r="C1671">
        <v>2330</v>
      </c>
      <c r="D1671" t="s">
        <v>76</v>
      </c>
      <c r="E1671" t="s">
        <v>77</v>
      </c>
      <c r="F1671" s="5">
        <v>42736</v>
      </c>
      <c r="G1671">
        <v>0</v>
      </c>
    </row>
    <row r="1672" spans="1:7" x14ac:dyDescent="0.25">
      <c r="A1672" t="s">
        <v>108</v>
      </c>
      <c r="B1672" t="s">
        <v>109</v>
      </c>
      <c r="C1672">
        <v>2330</v>
      </c>
      <c r="D1672" t="s">
        <v>78</v>
      </c>
      <c r="E1672" t="s">
        <v>79</v>
      </c>
      <c r="F1672" s="5">
        <v>42370</v>
      </c>
      <c r="G1672">
        <v>1</v>
      </c>
    </row>
    <row r="1673" spans="1:7" x14ac:dyDescent="0.25">
      <c r="A1673" t="s">
        <v>108</v>
      </c>
      <c r="B1673" t="s">
        <v>109</v>
      </c>
      <c r="C1673">
        <v>2330</v>
      </c>
      <c r="D1673" t="s">
        <v>78</v>
      </c>
      <c r="E1673" t="s">
        <v>79</v>
      </c>
      <c r="F1673" s="5">
        <v>42736</v>
      </c>
      <c r="G1673">
        <v>0</v>
      </c>
    </row>
    <row r="1674" spans="1:7" x14ac:dyDescent="0.25">
      <c r="A1674" t="s">
        <v>108</v>
      </c>
      <c r="B1674" t="s">
        <v>109</v>
      </c>
      <c r="C1674">
        <v>2330</v>
      </c>
      <c r="D1674" t="s">
        <v>78</v>
      </c>
      <c r="E1674" t="s">
        <v>80</v>
      </c>
      <c r="F1674" s="5">
        <v>42370</v>
      </c>
      <c r="G1674">
        <v>0</v>
      </c>
    </row>
    <row r="1675" spans="1:7" x14ac:dyDescent="0.25">
      <c r="A1675" t="s">
        <v>108</v>
      </c>
      <c r="B1675" t="s">
        <v>109</v>
      </c>
      <c r="C1675">
        <v>2330</v>
      </c>
      <c r="D1675" t="s">
        <v>78</v>
      </c>
      <c r="E1675" t="s">
        <v>80</v>
      </c>
      <c r="F1675" s="5">
        <v>42736</v>
      </c>
      <c r="G1675">
        <v>0</v>
      </c>
    </row>
    <row r="1676" spans="1:7" x14ac:dyDescent="0.25">
      <c r="A1676" t="s">
        <v>108</v>
      </c>
      <c r="B1676" t="s">
        <v>109</v>
      </c>
      <c r="C1676">
        <v>2330</v>
      </c>
      <c r="D1676" t="s">
        <v>78</v>
      </c>
      <c r="E1676" t="s">
        <v>81</v>
      </c>
      <c r="F1676" s="5">
        <v>42370</v>
      </c>
      <c r="G1676">
        <v>159</v>
      </c>
    </row>
    <row r="1677" spans="1:7" x14ac:dyDescent="0.25">
      <c r="A1677" t="s">
        <v>108</v>
      </c>
      <c r="B1677" t="s">
        <v>109</v>
      </c>
      <c r="C1677">
        <v>2330</v>
      </c>
      <c r="D1677" t="s">
        <v>78</v>
      </c>
      <c r="E1677" t="s">
        <v>81</v>
      </c>
      <c r="F1677" s="5">
        <v>42736</v>
      </c>
      <c r="G1677">
        <v>215</v>
      </c>
    </row>
    <row r="1678" spans="1:7" x14ac:dyDescent="0.25">
      <c r="A1678" t="s">
        <v>108</v>
      </c>
      <c r="B1678" t="s">
        <v>109</v>
      </c>
      <c r="C1678">
        <v>2330</v>
      </c>
      <c r="D1678" t="s">
        <v>78</v>
      </c>
      <c r="E1678" t="s">
        <v>82</v>
      </c>
      <c r="F1678" s="5">
        <v>42370</v>
      </c>
      <c r="G1678">
        <v>0</v>
      </c>
    </row>
    <row r="1679" spans="1:7" x14ac:dyDescent="0.25">
      <c r="A1679" t="s">
        <v>108</v>
      </c>
      <c r="B1679" t="s">
        <v>109</v>
      </c>
      <c r="C1679">
        <v>2330</v>
      </c>
      <c r="D1679" t="s">
        <v>78</v>
      </c>
      <c r="E1679" t="s">
        <v>82</v>
      </c>
      <c r="F1679" s="5">
        <v>42736</v>
      </c>
      <c r="G1679">
        <v>0</v>
      </c>
    </row>
    <row r="1680" spans="1:7" x14ac:dyDescent="0.25">
      <c r="A1680" t="s">
        <v>108</v>
      </c>
      <c r="B1680" t="s">
        <v>109</v>
      </c>
      <c r="C1680">
        <v>2330</v>
      </c>
      <c r="D1680" t="s">
        <v>78</v>
      </c>
      <c r="E1680" t="s">
        <v>83</v>
      </c>
      <c r="F1680" s="5">
        <v>42370</v>
      </c>
      <c r="G1680">
        <v>0</v>
      </c>
    </row>
    <row r="1681" spans="1:7" x14ac:dyDescent="0.25">
      <c r="A1681" t="s">
        <v>108</v>
      </c>
      <c r="B1681" t="s">
        <v>109</v>
      </c>
      <c r="C1681">
        <v>2330</v>
      </c>
      <c r="D1681" t="s">
        <v>78</v>
      </c>
      <c r="E1681" t="s">
        <v>83</v>
      </c>
      <c r="F1681" s="5">
        <v>42736</v>
      </c>
      <c r="G1681">
        <v>0</v>
      </c>
    </row>
    <row r="1682" spans="1:7" x14ac:dyDescent="0.25">
      <c r="A1682" t="s">
        <v>108</v>
      </c>
      <c r="B1682" t="s">
        <v>109</v>
      </c>
      <c r="C1682">
        <v>2330</v>
      </c>
      <c r="D1682" t="s">
        <v>78</v>
      </c>
      <c r="E1682" t="s">
        <v>84</v>
      </c>
      <c r="F1682" s="5">
        <v>42370</v>
      </c>
      <c r="G1682">
        <v>0</v>
      </c>
    </row>
    <row r="1683" spans="1:7" x14ac:dyDescent="0.25">
      <c r="A1683" t="s">
        <v>108</v>
      </c>
      <c r="B1683" t="s">
        <v>109</v>
      </c>
      <c r="C1683">
        <v>2330</v>
      </c>
      <c r="D1683" t="s">
        <v>78</v>
      </c>
      <c r="E1683" t="s">
        <v>84</v>
      </c>
      <c r="F1683" s="5">
        <v>42736</v>
      </c>
      <c r="G1683">
        <v>0</v>
      </c>
    </row>
    <row r="1684" spans="1:7" x14ac:dyDescent="0.25">
      <c r="A1684" t="s">
        <v>108</v>
      </c>
      <c r="B1684" t="s">
        <v>109</v>
      </c>
      <c r="C1684">
        <v>2330</v>
      </c>
      <c r="D1684" t="s">
        <v>78</v>
      </c>
      <c r="E1684" t="s">
        <v>85</v>
      </c>
      <c r="F1684" s="5">
        <v>42370</v>
      </c>
      <c r="G1684">
        <v>0</v>
      </c>
    </row>
    <row r="1685" spans="1:7" x14ac:dyDescent="0.25">
      <c r="A1685" t="s">
        <v>108</v>
      </c>
      <c r="B1685" t="s">
        <v>109</v>
      </c>
      <c r="C1685">
        <v>2330</v>
      </c>
      <c r="D1685" t="s">
        <v>78</v>
      </c>
      <c r="E1685" t="s">
        <v>85</v>
      </c>
      <c r="F1685" s="5">
        <v>42736</v>
      </c>
      <c r="G1685">
        <v>0</v>
      </c>
    </row>
    <row r="1686" spans="1:7" x14ac:dyDescent="0.25">
      <c r="A1686" t="s">
        <v>108</v>
      </c>
      <c r="B1686" t="s">
        <v>109</v>
      </c>
      <c r="C1686">
        <v>2330</v>
      </c>
      <c r="D1686" t="s">
        <v>78</v>
      </c>
      <c r="E1686" t="s">
        <v>86</v>
      </c>
      <c r="F1686" s="5">
        <v>42370</v>
      </c>
      <c r="G1686">
        <v>0</v>
      </c>
    </row>
    <row r="1687" spans="1:7" x14ac:dyDescent="0.25">
      <c r="A1687" t="s">
        <v>108</v>
      </c>
      <c r="B1687" t="s">
        <v>109</v>
      </c>
      <c r="C1687">
        <v>2330</v>
      </c>
      <c r="D1687" t="s">
        <v>78</v>
      </c>
      <c r="E1687" t="s">
        <v>86</v>
      </c>
      <c r="F1687" s="5">
        <v>42736</v>
      </c>
      <c r="G1687">
        <v>0</v>
      </c>
    </row>
    <row r="1688" spans="1:7" x14ac:dyDescent="0.25">
      <c r="A1688" t="s">
        <v>108</v>
      </c>
      <c r="B1688" t="s">
        <v>109</v>
      </c>
      <c r="C1688">
        <v>2330</v>
      </c>
      <c r="D1688" t="s">
        <v>78</v>
      </c>
      <c r="E1688" t="s">
        <v>87</v>
      </c>
      <c r="F1688" s="5">
        <v>42370</v>
      </c>
      <c r="G1688">
        <v>0</v>
      </c>
    </row>
    <row r="1689" spans="1:7" x14ac:dyDescent="0.25">
      <c r="A1689" t="s">
        <v>108</v>
      </c>
      <c r="B1689" t="s">
        <v>109</v>
      </c>
      <c r="C1689">
        <v>2330</v>
      </c>
      <c r="D1689" t="s">
        <v>78</v>
      </c>
      <c r="E1689" t="s">
        <v>87</v>
      </c>
      <c r="F1689" s="5">
        <v>42736</v>
      </c>
      <c r="G1689">
        <v>0</v>
      </c>
    </row>
    <row r="1690" spans="1:7" x14ac:dyDescent="0.25">
      <c r="A1690" t="s">
        <v>108</v>
      </c>
      <c r="B1690" t="s">
        <v>109</v>
      </c>
      <c r="C1690">
        <v>2330</v>
      </c>
      <c r="D1690" t="s">
        <v>78</v>
      </c>
      <c r="E1690" t="s">
        <v>88</v>
      </c>
      <c r="F1690" s="5">
        <v>42370</v>
      </c>
      <c r="G1690">
        <v>46</v>
      </c>
    </row>
    <row r="1691" spans="1:7" x14ac:dyDescent="0.25">
      <c r="A1691" t="s">
        <v>108</v>
      </c>
      <c r="B1691" t="s">
        <v>109</v>
      </c>
      <c r="C1691">
        <v>2330</v>
      </c>
      <c r="D1691" t="s">
        <v>78</v>
      </c>
      <c r="E1691" t="s">
        <v>88</v>
      </c>
      <c r="F1691" s="5">
        <v>42736</v>
      </c>
      <c r="G1691">
        <v>78</v>
      </c>
    </row>
    <row r="1692" spans="1:7" x14ac:dyDescent="0.25">
      <c r="A1692" t="s">
        <v>108</v>
      </c>
      <c r="B1692" t="s">
        <v>109</v>
      </c>
      <c r="C1692">
        <v>2330</v>
      </c>
      <c r="D1692" t="s">
        <v>78</v>
      </c>
      <c r="E1692" t="s">
        <v>89</v>
      </c>
      <c r="F1692" s="5">
        <v>42370</v>
      </c>
      <c r="G1692">
        <v>495</v>
      </c>
    </row>
    <row r="1693" spans="1:7" x14ac:dyDescent="0.25">
      <c r="A1693" t="s">
        <v>108</v>
      </c>
      <c r="B1693" t="s">
        <v>109</v>
      </c>
      <c r="C1693">
        <v>2330</v>
      </c>
      <c r="D1693" t="s">
        <v>78</v>
      </c>
      <c r="E1693" t="s">
        <v>89</v>
      </c>
      <c r="F1693" s="5">
        <v>42736</v>
      </c>
      <c r="G1693">
        <v>578</v>
      </c>
    </row>
    <row r="1694" spans="1:7" x14ac:dyDescent="0.25">
      <c r="A1694" t="s">
        <v>108</v>
      </c>
      <c r="B1694" t="s">
        <v>109</v>
      </c>
      <c r="C1694">
        <v>2330</v>
      </c>
      <c r="D1694" t="s">
        <v>78</v>
      </c>
      <c r="E1694" t="s">
        <v>90</v>
      </c>
      <c r="F1694" s="5">
        <v>42370</v>
      </c>
      <c r="G1694">
        <v>0</v>
      </c>
    </row>
    <row r="1695" spans="1:7" x14ac:dyDescent="0.25">
      <c r="A1695" t="s">
        <v>108</v>
      </c>
      <c r="B1695" t="s">
        <v>109</v>
      </c>
      <c r="C1695">
        <v>2330</v>
      </c>
      <c r="D1695" t="s">
        <v>78</v>
      </c>
      <c r="E1695" t="s">
        <v>90</v>
      </c>
      <c r="F1695" s="5">
        <v>42736</v>
      </c>
      <c r="G1695">
        <v>0</v>
      </c>
    </row>
    <row r="1696" spans="1:7" x14ac:dyDescent="0.25">
      <c r="A1696" t="s">
        <v>108</v>
      </c>
      <c r="B1696" t="s">
        <v>109</v>
      </c>
      <c r="C1696">
        <v>2330</v>
      </c>
      <c r="D1696" t="s">
        <v>78</v>
      </c>
      <c r="E1696" t="s">
        <v>91</v>
      </c>
      <c r="F1696" s="5">
        <v>42370</v>
      </c>
      <c r="G1696">
        <v>0</v>
      </c>
    </row>
    <row r="1697" spans="1:7" x14ac:dyDescent="0.25">
      <c r="A1697" t="s">
        <v>108</v>
      </c>
      <c r="B1697" t="s">
        <v>109</v>
      </c>
      <c r="C1697">
        <v>2330</v>
      </c>
      <c r="D1697" t="s">
        <v>78</v>
      </c>
      <c r="E1697" t="s">
        <v>91</v>
      </c>
      <c r="F1697" s="5">
        <v>42736</v>
      </c>
      <c r="G1697">
        <v>0</v>
      </c>
    </row>
    <row r="1698" spans="1:7" x14ac:dyDescent="0.25">
      <c r="A1698" t="s">
        <v>108</v>
      </c>
      <c r="B1698" t="s">
        <v>109</v>
      </c>
      <c r="C1698">
        <v>2330</v>
      </c>
      <c r="D1698" t="s">
        <v>78</v>
      </c>
      <c r="E1698" t="s">
        <v>92</v>
      </c>
      <c r="F1698" s="5">
        <v>42370</v>
      </c>
      <c r="G1698">
        <v>0</v>
      </c>
    </row>
    <row r="1699" spans="1:7" x14ac:dyDescent="0.25">
      <c r="A1699" t="s">
        <v>108</v>
      </c>
      <c r="B1699" t="s">
        <v>109</v>
      </c>
      <c r="C1699">
        <v>2330</v>
      </c>
      <c r="D1699" t="s">
        <v>78</v>
      </c>
      <c r="E1699" t="s">
        <v>92</v>
      </c>
      <c r="F1699" s="5">
        <v>42736</v>
      </c>
      <c r="G1699">
        <v>0</v>
      </c>
    </row>
    <row r="1700" spans="1:7" x14ac:dyDescent="0.25">
      <c r="A1700" t="s">
        <v>108</v>
      </c>
      <c r="B1700" t="s">
        <v>109</v>
      </c>
      <c r="C1700">
        <v>2330</v>
      </c>
      <c r="D1700" t="s">
        <v>78</v>
      </c>
      <c r="E1700" t="s">
        <v>93</v>
      </c>
      <c r="F1700" s="5">
        <v>42370</v>
      </c>
      <c r="G1700">
        <v>0</v>
      </c>
    </row>
    <row r="1701" spans="1:7" x14ac:dyDescent="0.25">
      <c r="A1701" t="s">
        <v>108</v>
      </c>
      <c r="B1701" t="s">
        <v>109</v>
      </c>
      <c r="C1701">
        <v>2330</v>
      </c>
      <c r="D1701" t="s">
        <v>78</v>
      </c>
      <c r="E1701" t="s">
        <v>93</v>
      </c>
      <c r="F1701" s="5">
        <v>42736</v>
      </c>
      <c r="G1701">
        <v>0</v>
      </c>
    </row>
    <row r="1702" spans="1:7" x14ac:dyDescent="0.25">
      <c r="A1702" t="s">
        <v>108</v>
      </c>
      <c r="B1702" t="s">
        <v>109</v>
      </c>
      <c r="C1702">
        <v>2330</v>
      </c>
      <c r="D1702" t="s">
        <v>78</v>
      </c>
      <c r="E1702" t="s">
        <v>94</v>
      </c>
      <c r="F1702" s="5">
        <v>42370</v>
      </c>
      <c r="G1702">
        <v>0</v>
      </c>
    </row>
    <row r="1703" spans="1:7" x14ac:dyDescent="0.25">
      <c r="A1703" t="s">
        <v>108</v>
      </c>
      <c r="B1703" t="s">
        <v>109</v>
      </c>
      <c r="C1703">
        <v>2330</v>
      </c>
      <c r="D1703" t="s">
        <v>78</v>
      </c>
      <c r="E1703" t="s">
        <v>94</v>
      </c>
      <c r="F1703" s="5">
        <v>42736</v>
      </c>
      <c r="G1703">
        <v>0</v>
      </c>
    </row>
    <row r="1704" spans="1:7" x14ac:dyDescent="0.25">
      <c r="A1704" t="s">
        <v>108</v>
      </c>
      <c r="B1704" t="s">
        <v>109</v>
      </c>
      <c r="C1704">
        <v>2330</v>
      </c>
      <c r="D1704" t="s">
        <v>78</v>
      </c>
      <c r="E1704" t="s">
        <v>95</v>
      </c>
      <c r="F1704" s="5">
        <v>42370</v>
      </c>
      <c r="G1704">
        <v>0</v>
      </c>
    </row>
    <row r="1705" spans="1:7" x14ac:dyDescent="0.25">
      <c r="A1705" t="s">
        <v>108</v>
      </c>
      <c r="B1705" t="s">
        <v>109</v>
      </c>
      <c r="C1705">
        <v>2330</v>
      </c>
      <c r="D1705" t="s">
        <v>78</v>
      </c>
      <c r="E1705" t="s">
        <v>95</v>
      </c>
      <c r="F1705" s="5">
        <v>42736</v>
      </c>
      <c r="G1705">
        <v>0</v>
      </c>
    </row>
    <row r="1706" spans="1:7" x14ac:dyDescent="0.25">
      <c r="A1706" t="s">
        <v>108</v>
      </c>
      <c r="B1706" t="s">
        <v>109</v>
      </c>
      <c r="C1706">
        <v>2330</v>
      </c>
      <c r="D1706" t="s">
        <v>78</v>
      </c>
      <c r="E1706" t="s">
        <v>96</v>
      </c>
      <c r="F1706" s="5">
        <v>42370</v>
      </c>
      <c r="G1706">
        <v>0</v>
      </c>
    </row>
    <row r="1707" spans="1:7" x14ac:dyDescent="0.25">
      <c r="A1707" t="s">
        <v>108</v>
      </c>
      <c r="B1707" t="s">
        <v>109</v>
      </c>
      <c r="C1707">
        <v>2330</v>
      </c>
      <c r="D1707" t="s">
        <v>78</v>
      </c>
      <c r="E1707" t="s">
        <v>96</v>
      </c>
      <c r="F1707" s="5">
        <v>42736</v>
      </c>
      <c r="G1707">
        <v>0</v>
      </c>
    </row>
    <row r="1708" spans="1:7" x14ac:dyDescent="0.25">
      <c r="A1708" t="s">
        <v>108</v>
      </c>
      <c r="B1708" t="s">
        <v>109</v>
      </c>
      <c r="C1708">
        <v>2330</v>
      </c>
      <c r="D1708" t="s">
        <v>78</v>
      </c>
      <c r="E1708" t="s">
        <v>97</v>
      </c>
      <c r="F1708" s="5">
        <v>42370</v>
      </c>
      <c r="G1708">
        <v>0</v>
      </c>
    </row>
    <row r="1709" spans="1:7" x14ac:dyDescent="0.25">
      <c r="A1709" t="s">
        <v>108</v>
      </c>
      <c r="B1709" t="s">
        <v>109</v>
      </c>
      <c r="C1709">
        <v>2330</v>
      </c>
      <c r="D1709" t="s">
        <v>78</v>
      </c>
      <c r="E1709" t="s">
        <v>97</v>
      </c>
      <c r="F1709" s="5">
        <v>42736</v>
      </c>
      <c r="G1709">
        <v>0</v>
      </c>
    </row>
    <row r="1710" spans="1:7" x14ac:dyDescent="0.25">
      <c r="A1710" t="s">
        <v>108</v>
      </c>
      <c r="B1710" t="s">
        <v>109</v>
      </c>
      <c r="C1710">
        <v>2330</v>
      </c>
      <c r="D1710" t="s">
        <v>78</v>
      </c>
      <c r="E1710" t="s">
        <v>98</v>
      </c>
      <c r="F1710" s="5">
        <v>42370</v>
      </c>
      <c r="G1710">
        <v>0</v>
      </c>
    </row>
    <row r="1711" spans="1:7" x14ac:dyDescent="0.25">
      <c r="A1711" t="s">
        <v>108</v>
      </c>
      <c r="B1711" t="s">
        <v>109</v>
      </c>
      <c r="C1711">
        <v>2330</v>
      </c>
      <c r="D1711" t="s">
        <v>78</v>
      </c>
      <c r="E1711" t="s">
        <v>98</v>
      </c>
      <c r="F1711" s="5">
        <v>42736</v>
      </c>
      <c r="G1711">
        <v>0</v>
      </c>
    </row>
    <row r="1712" spans="1:7" x14ac:dyDescent="0.25">
      <c r="A1712" t="s">
        <v>108</v>
      </c>
      <c r="B1712" t="s">
        <v>110</v>
      </c>
      <c r="C1712">
        <v>2310</v>
      </c>
      <c r="D1712" t="s">
        <v>8</v>
      </c>
      <c r="E1712" t="s">
        <v>9</v>
      </c>
      <c r="F1712" s="5">
        <v>42370</v>
      </c>
      <c r="G1712">
        <v>0</v>
      </c>
    </row>
    <row r="1713" spans="1:7" x14ac:dyDescent="0.25">
      <c r="A1713" t="s">
        <v>108</v>
      </c>
      <c r="B1713" t="s">
        <v>110</v>
      </c>
      <c r="C1713">
        <v>2310</v>
      </c>
      <c r="D1713" t="s">
        <v>8</v>
      </c>
      <c r="E1713" t="s">
        <v>9</v>
      </c>
      <c r="F1713" s="5">
        <v>42736</v>
      </c>
      <c r="G1713">
        <v>0</v>
      </c>
    </row>
    <row r="1714" spans="1:7" x14ac:dyDescent="0.25">
      <c r="A1714" t="s">
        <v>108</v>
      </c>
      <c r="B1714" t="s">
        <v>110</v>
      </c>
      <c r="C1714">
        <v>2310</v>
      </c>
      <c r="D1714" t="s">
        <v>8</v>
      </c>
      <c r="E1714" t="s">
        <v>10</v>
      </c>
      <c r="F1714" s="5">
        <v>42370</v>
      </c>
      <c r="G1714">
        <v>0</v>
      </c>
    </row>
    <row r="1715" spans="1:7" x14ac:dyDescent="0.25">
      <c r="A1715" t="s">
        <v>108</v>
      </c>
      <c r="B1715" t="s">
        <v>110</v>
      </c>
      <c r="C1715">
        <v>2310</v>
      </c>
      <c r="D1715" t="s">
        <v>8</v>
      </c>
      <c r="E1715" t="s">
        <v>10</v>
      </c>
      <c r="F1715" s="5">
        <v>42736</v>
      </c>
      <c r="G1715">
        <v>0</v>
      </c>
    </row>
    <row r="1716" spans="1:7" x14ac:dyDescent="0.25">
      <c r="A1716" t="s">
        <v>108</v>
      </c>
      <c r="B1716" t="s">
        <v>110</v>
      </c>
      <c r="C1716">
        <v>2310</v>
      </c>
      <c r="D1716" t="s">
        <v>8</v>
      </c>
      <c r="E1716" t="s">
        <v>11</v>
      </c>
      <c r="F1716" s="5">
        <v>42370</v>
      </c>
      <c r="G1716">
        <v>0</v>
      </c>
    </row>
    <row r="1717" spans="1:7" x14ac:dyDescent="0.25">
      <c r="A1717" t="s">
        <v>108</v>
      </c>
      <c r="B1717" t="s">
        <v>110</v>
      </c>
      <c r="C1717">
        <v>2310</v>
      </c>
      <c r="D1717" t="s">
        <v>8</v>
      </c>
      <c r="E1717" t="s">
        <v>11</v>
      </c>
      <c r="F1717" s="5">
        <v>42736</v>
      </c>
      <c r="G1717">
        <v>0</v>
      </c>
    </row>
    <row r="1718" spans="1:7" x14ac:dyDescent="0.25">
      <c r="A1718" t="s">
        <v>108</v>
      </c>
      <c r="B1718" t="s">
        <v>110</v>
      </c>
      <c r="C1718">
        <v>2310</v>
      </c>
      <c r="D1718" t="s">
        <v>8</v>
      </c>
      <c r="E1718" t="s">
        <v>12</v>
      </c>
      <c r="F1718" s="5">
        <v>42370</v>
      </c>
      <c r="G1718">
        <v>0</v>
      </c>
    </row>
    <row r="1719" spans="1:7" x14ac:dyDescent="0.25">
      <c r="A1719" t="s">
        <v>108</v>
      </c>
      <c r="B1719" t="s">
        <v>110</v>
      </c>
      <c r="C1719">
        <v>2310</v>
      </c>
      <c r="D1719" t="s">
        <v>8</v>
      </c>
      <c r="E1719" t="s">
        <v>12</v>
      </c>
      <c r="F1719" s="5">
        <v>42736</v>
      </c>
      <c r="G1719">
        <v>0</v>
      </c>
    </row>
    <row r="1720" spans="1:7" x14ac:dyDescent="0.25">
      <c r="A1720" t="s">
        <v>108</v>
      </c>
      <c r="B1720" t="s">
        <v>110</v>
      </c>
      <c r="C1720">
        <v>2310</v>
      </c>
      <c r="D1720" t="s">
        <v>8</v>
      </c>
      <c r="E1720" t="s">
        <v>13</v>
      </c>
      <c r="F1720" s="5">
        <v>42370</v>
      </c>
      <c r="G1720">
        <v>0</v>
      </c>
    </row>
    <row r="1721" spans="1:7" x14ac:dyDescent="0.25">
      <c r="A1721" t="s">
        <v>108</v>
      </c>
      <c r="B1721" t="s">
        <v>110</v>
      </c>
      <c r="C1721">
        <v>2310</v>
      </c>
      <c r="D1721" t="s">
        <v>8</v>
      </c>
      <c r="E1721" t="s">
        <v>13</v>
      </c>
      <c r="F1721" s="5">
        <v>42736</v>
      </c>
      <c r="G1721">
        <v>0</v>
      </c>
    </row>
    <row r="1722" spans="1:7" x14ac:dyDescent="0.25">
      <c r="A1722" t="s">
        <v>108</v>
      </c>
      <c r="B1722" t="s">
        <v>110</v>
      </c>
      <c r="C1722">
        <v>2310</v>
      </c>
      <c r="D1722" t="s">
        <v>8</v>
      </c>
      <c r="E1722" t="s">
        <v>14</v>
      </c>
      <c r="F1722" s="5">
        <v>42370</v>
      </c>
      <c r="G1722">
        <v>0</v>
      </c>
    </row>
    <row r="1723" spans="1:7" x14ac:dyDescent="0.25">
      <c r="A1723" t="s">
        <v>108</v>
      </c>
      <c r="B1723" t="s">
        <v>110</v>
      </c>
      <c r="C1723">
        <v>2310</v>
      </c>
      <c r="D1723" t="s">
        <v>8</v>
      </c>
      <c r="E1723" t="s">
        <v>14</v>
      </c>
      <c r="F1723" s="5">
        <v>42736</v>
      </c>
      <c r="G1723">
        <v>0</v>
      </c>
    </row>
    <row r="1724" spans="1:7" x14ac:dyDescent="0.25">
      <c r="A1724" t="s">
        <v>108</v>
      </c>
      <c r="B1724" t="s">
        <v>110</v>
      </c>
      <c r="C1724">
        <v>2310</v>
      </c>
      <c r="D1724" t="s">
        <v>8</v>
      </c>
      <c r="E1724" t="s">
        <v>15</v>
      </c>
      <c r="F1724" s="5">
        <v>42370</v>
      </c>
      <c r="G1724">
        <v>0</v>
      </c>
    </row>
    <row r="1725" spans="1:7" x14ac:dyDescent="0.25">
      <c r="A1725" t="s">
        <v>108</v>
      </c>
      <c r="B1725" t="s">
        <v>110</v>
      </c>
      <c r="C1725">
        <v>2310</v>
      </c>
      <c r="D1725" t="s">
        <v>8</v>
      </c>
      <c r="E1725" t="s">
        <v>15</v>
      </c>
      <c r="F1725" s="5">
        <v>42736</v>
      </c>
      <c r="G1725">
        <v>0</v>
      </c>
    </row>
    <row r="1726" spans="1:7" x14ac:dyDescent="0.25">
      <c r="A1726" t="s">
        <v>108</v>
      </c>
      <c r="B1726" t="s">
        <v>110</v>
      </c>
      <c r="C1726">
        <v>2310</v>
      </c>
      <c r="D1726" t="s">
        <v>8</v>
      </c>
      <c r="E1726" t="s">
        <v>16</v>
      </c>
      <c r="F1726" s="5">
        <v>42370</v>
      </c>
      <c r="G1726">
        <v>0</v>
      </c>
    </row>
    <row r="1727" spans="1:7" x14ac:dyDescent="0.25">
      <c r="A1727" t="s">
        <v>108</v>
      </c>
      <c r="B1727" t="s">
        <v>110</v>
      </c>
      <c r="C1727">
        <v>2310</v>
      </c>
      <c r="D1727" t="s">
        <v>8</v>
      </c>
      <c r="E1727" t="s">
        <v>16</v>
      </c>
      <c r="F1727" s="5">
        <v>42736</v>
      </c>
      <c r="G1727">
        <v>0</v>
      </c>
    </row>
    <row r="1728" spans="1:7" x14ac:dyDescent="0.25">
      <c r="A1728" t="s">
        <v>108</v>
      </c>
      <c r="B1728" t="s">
        <v>110</v>
      </c>
      <c r="C1728">
        <v>2310</v>
      </c>
      <c r="D1728" t="s">
        <v>8</v>
      </c>
      <c r="E1728" t="s">
        <v>17</v>
      </c>
      <c r="F1728" s="5">
        <v>42370</v>
      </c>
      <c r="G1728">
        <v>0</v>
      </c>
    </row>
    <row r="1729" spans="1:7" x14ac:dyDescent="0.25">
      <c r="A1729" t="s">
        <v>108</v>
      </c>
      <c r="B1729" t="s">
        <v>110</v>
      </c>
      <c r="C1729">
        <v>2310</v>
      </c>
      <c r="D1729" t="s">
        <v>8</v>
      </c>
      <c r="E1729" t="s">
        <v>17</v>
      </c>
      <c r="F1729" s="5">
        <v>42736</v>
      </c>
      <c r="G1729">
        <v>0</v>
      </c>
    </row>
    <row r="1730" spans="1:7" x14ac:dyDescent="0.25">
      <c r="A1730" t="s">
        <v>108</v>
      </c>
      <c r="B1730" t="s">
        <v>110</v>
      </c>
      <c r="C1730">
        <v>2310</v>
      </c>
      <c r="D1730" t="s">
        <v>8</v>
      </c>
      <c r="E1730" t="s">
        <v>18</v>
      </c>
      <c r="F1730" s="5">
        <v>42370</v>
      </c>
      <c r="G1730">
        <v>0</v>
      </c>
    </row>
    <row r="1731" spans="1:7" x14ac:dyDescent="0.25">
      <c r="A1731" t="s">
        <v>108</v>
      </c>
      <c r="B1731" t="s">
        <v>110</v>
      </c>
      <c r="C1731">
        <v>2310</v>
      </c>
      <c r="D1731" t="s">
        <v>8</v>
      </c>
      <c r="E1731" t="s">
        <v>18</v>
      </c>
      <c r="F1731" s="5">
        <v>42736</v>
      </c>
      <c r="G1731">
        <v>0</v>
      </c>
    </row>
    <row r="1732" spans="1:7" x14ac:dyDescent="0.25">
      <c r="A1732" t="s">
        <v>108</v>
      </c>
      <c r="B1732" t="s">
        <v>110</v>
      </c>
      <c r="C1732">
        <v>2310</v>
      </c>
      <c r="D1732" t="s">
        <v>8</v>
      </c>
      <c r="E1732" t="s">
        <v>19</v>
      </c>
      <c r="F1732" s="5">
        <v>42370</v>
      </c>
      <c r="G1732">
        <v>0</v>
      </c>
    </row>
    <row r="1733" spans="1:7" x14ac:dyDescent="0.25">
      <c r="A1733" t="s">
        <v>108</v>
      </c>
      <c r="B1733" t="s">
        <v>110</v>
      </c>
      <c r="C1733">
        <v>2310</v>
      </c>
      <c r="D1733" t="s">
        <v>8</v>
      </c>
      <c r="E1733" t="s">
        <v>19</v>
      </c>
      <c r="F1733" s="5">
        <v>42736</v>
      </c>
      <c r="G1733">
        <v>0</v>
      </c>
    </row>
    <row r="1734" spans="1:7" x14ac:dyDescent="0.25">
      <c r="A1734" t="s">
        <v>108</v>
      </c>
      <c r="B1734" t="s">
        <v>110</v>
      </c>
      <c r="C1734">
        <v>2310</v>
      </c>
      <c r="D1734" t="s">
        <v>20</v>
      </c>
      <c r="E1734" t="s">
        <v>9</v>
      </c>
      <c r="F1734" s="5">
        <v>42370</v>
      </c>
      <c r="G1734">
        <v>2</v>
      </c>
    </row>
    <row r="1735" spans="1:7" x14ac:dyDescent="0.25">
      <c r="A1735" t="s">
        <v>108</v>
      </c>
      <c r="B1735" t="s">
        <v>110</v>
      </c>
      <c r="C1735">
        <v>2310</v>
      </c>
      <c r="D1735" t="s">
        <v>20</v>
      </c>
      <c r="E1735" t="s">
        <v>9</v>
      </c>
      <c r="F1735" s="5">
        <v>42736</v>
      </c>
      <c r="G1735">
        <v>7</v>
      </c>
    </row>
    <row r="1736" spans="1:7" x14ac:dyDescent="0.25">
      <c r="A1736" t="s">
        <v>108</v>
      </c>
      <c r="B1736" t="s">
        <v>110</v>
      </c>
      <c r="C1736">
        <v>2310</v>
      </c>
      <c r="D1736" t="s">
        <v>20</v>
      </c>
      <c r="E1736" t="s">
        <v>21</v>
      </c>
      <c r="F1736" s="5">
        <v>42370</v>
      </c>
      <c r="G1736">
        <v>0</v>
      </c>
    </row>
    <row r="1737" spans="1:7" x14ac:dyDescent="0.25">
      <c r="A1737" t="s">
        <v>108</v>
      </c>
      <c r="B1737" t="s">
        <v>110</v>
      </c>
      <c r="C1737">
        <v>2310</v>
      </c>
      <c r="D1737" t="s">
        <v>20</v>
      </c>
      <c r="E1737" t="s">
        <v>21</v>
      </c>
      <c r="F1737" s="5">
        <v>42736</v>
      </c>
      <c r="G1737">
        <v>0</v>
      </c>
    </row>
    <row r="1738" spans="1:7" x14ac:dyDescent="0.25">
      <c r="A1738" t="s">
        <v>108</v>
      </c>
      <c r="B1738" t="s">
        <v>110</v>
      </c>
      <c r="C1738">
        <v>2310</v>
      </c>
      <c r="D1738" t="s">
        <v>20</v>
      </c>
      <c r="E1738" t="s">
        <v>22</v>
      </c>
      <c r="F1738" s="5">
        <v>42370</v>
      </c>
      <c r="G1738">
        <v>0</v>
      </c>
    </row>
    <row r="1739" spans="1:7" x14ac:dyDescent="0.25">
      <c r="A1739" t="s">
        <v>108</v>
      </c>
      <c r="B1739" t="s">
        <v>110</v>
      </c>
      <c r="C1739">
        <v>2310</v>
      </c>
      <c r="D1739" t="s">
        <v>20</v>
      </c>
      <c r="E1739" t="s">
        <v>22</v>
      </c>
      <c r="F1739" s="5">
        <v>42736</v>
      </c>
      <c r="G1739">
        <v>0</v>
      </c>
    </row>
    <row r="1740" spans="1:7" x14ac:dyDescent="0.25">
      <c r="A1740" t="s">
        <v>108</v>
      </c>
      <c r="B1740" t="s">
        <v>110</v>
      </c>
      <c r="C1740">
        <v>2310</v>
      </c>
      <c r="D1740" t="s">
        <v>20</v>
      </c>
      <c r="E1740" t="s">
        <v>23</v>
      </c>
      <c r="F1740" s="5">
        <v>42370</v>
      </c>
      <c r="G1740">
        <v>0</v>
      </c>
    </row>
    <row r="1741" spans="1:7" x14ac:dyDescent="0.25">
      <c r="A1741" t="s">
        <v>108</v>
      </c>
      <c r="B1741" t="s">
        <v>110</v>
      </c>
      <c r="C1741">
        <v>2310</v>
      </c>
      <c r="D1741" t="s">
        <v>20</v>
      </c>
      <c r="E1741" t="s">
        <v>23</v>
      </c>
      <c r="F1741" s="5">
        <v>42736</v>
      </c>
      <c r="G1741">
        <v>0</v>
      </c>
    </row>
    <row r="1742" spans="1:7" x14ac:dyDescent="0.25">
      <c r="A1742" t="s">
        <v>108</v>
      </c>
      <c r="B1742" t="s">
        <v>110</v>
      </c>
      <c r="C1742">
        <v>2310</v>
      </c>
      <c r="D1742" t="s">
        <v>20</v>
      </c>
      <c r="E1742" t="s">
        <v>24</v>
      </c>
      <c r="F1742" s="5">
        <v>42370</v>
      </c>
      <c r="G1742">
        <v>0</v>
      </c>
    </row>
    <row r="1743" spans="1:7" x14ac:dyDescent="0.25">
      <c r="A1743" t="s">
        <v>108</v>
      </c>
      <c r="B1743" t="s">
        <v>110</v>
      </c>
      <c r="C1743">
        <v>2310</v>
      </c>
      <c r="D1743" t="s">
        <v>20</v>
      </c>
      <c r="E1743" t="s">
        <v>24</v>
      </c>
      <c r="F1743" s="5">
        <v>42736</v>
      </c>
      <c r="G1743">
        <v>0</v>
      </c>
    </row>
    <row r="1744" spans="1:7" x14ac:dyDescent="0.25">
      <c r="A1744" t="s">
        <v>108</v>
      </c>
      <c r="B1744" t="s">
        <v>110</v>
      </c>
      <c r="C1744">
        <v>2310</v>
      </c>
      <c r="D1744" t="s">
        <v>20</v>
      </c>
      <c r="E1744" t="s">
        <v>25</v>
      </c>
      <c r="F1744" s="5">
        <v>42370</v>
      </c>
      <c r="G1744">
        <v>0</v>
      </c>
    </row>
    <row r="1745" spans="1:7" x14ac:dyDescent="0.25">
      <c r="A1745" t="s">
        <v>108</v>
      </c>
      <c r="B1745" t="s">
        <v>110</v>
      </c>
      <c r="C1745">
        <v>2310</v>
      </c>
      <c r="D1745" t="s">
        <v>20</v>
      </c>
      <c r="E1745" t="s">
        <v>25</v>
      </c>
      <c r="F1745" s="5">
        <v>42736</v>
      </c>
      <c r="G1745">
        <v>0</v>
      </c>
    </row>
    <row r="1746" spans="1:7" x14ac:dyDescent="0.25">
      <c r="A1746" t="s">
        <v>108</v>
      </c>
      <c r="B1746" t="s">
        <v>110</v>
      </c>
      <c r="C1746">
        <v>2310</v>
      </c>
      <c r="D1746" t="s">
        <v>20</v>
      </c>
      <c r="E1746" t="s">
        <v>26</v>
      </c>
      <c r="F1746" s="5">
        <v>42370</v>
      </c>
      <c r="G1746">
        <v>19</v>
      </c>
    </row>
    <row r="1747" spans="1:7" x14ac:dyDescent="0.25">
      <c r="A1747" t="s">
        <v>108</v>
      </c>
      <c r="B1747" t="s">
        <v>110</v>
      </c>
      <c r="C1747">
        <v>2310</v>
      </c>
      <c r="D1747" t="s">
        <v>20</v>
      </c>
      <c r="E1747" t="s">
        <v>26</v>
      </c>
      <c r="F1747" s="5">
        <v>42736</v>
      </c>
      <c r="G1747">
        <v>34</v>
      </c>
    </row>
    <row r="1748" spans="1:7" x14ac:dyDescent="0.25">
      <c r="A1748" t="s">
        <v>108</v>
      </c>
      <c r="B1748" t="s">
        <v>110</v>
      </c>
      <c r="C1748">
        <v>2310</v>
      </c>
      <c r="D1748" t="s">
        <v>20</v>
      </c>
      <c r="E1748" t="s">
        <v>27</v>
      </c>
      <c r="F1748" s="5">
        <v>42370</v>
      </c>
      <c r="G1748">
        <v>0</v>
      </c>
    </row>
    <row r="1749" spans="1:7" x14ac:dyDescent="0.25">
      <c r="A1749" t="s">
        <v>108</v>
      </c>
      <c r="B1749" t="s">
        <v>110</v>
      </c>
      <c r="C1749">
        <v>2310</v>
      </c>
      <c r="D1749" t="s">
        <v>20</v>
      </c>
      <c r="E1749" t="s">
        <v>27</v>
      </c>
      <c r="F1749" s="5">
        <v>42736</v>
      </c>
      <c r="G1749">
        <v>3</v>
      </c>
    </row>
    <row r="1750" spans="1:7" x14ac:dyDescent="0.25">
      <c r="A1750" t="s">
        <v>108</v>
      </c>
      <c r="B1750" t="s">
        <v>110</v>
      </c>
      <c r="C1750">
        <v>2310</v>
      </c>
      <c r="D1750" t="s">
        <v>20</v>
      </c>
      <c r="E1750" t="s">
        <v>28</v>
      </c>
      <c r="F1750" s="5">
        <v>42370</v>
      </c>
      <c r="G1750">
        <v>0</v>
      </c>
    </row>
    <row r="1751" spans="1:7" x14ac:dyDescent="0.25">
      <c r="A1751" t="s">
        <v>108</v>
      </c>
      <c r="B1751" t="s">
        <v>110</v>
      </c>
      <c r="C1751">
        <v>2310</v>
      </c>
      <c r="D1751" t="s">
        <v>20</v>
      </c>
      <c r="E1751" t="s">
        <v>28</v>
      </c>
      <c r="F1751" s="5">
        <v>42736</v>
      </c>
      <c r="G1751">
        <v>0</v>
      </c>
    </row>
    <row r="1752" spans="1:7" x14ac:dyDescent="0.25">
      <c r="A1752" t="s">
        <v>108</v>
      </c>
      <c r="B1752" t="s">
        <v>110</v>
      </c>
      <c r="C1752">
        <v>2310</v>
      </c>
      <c r="D1752" t="s">
        <v>20</v>
      </c>
      <c r="E1752" t="s">
        <v>29</v>
      </c>
      <c r="F1752" s="5">
        <v>42370</v>
      </c>
      <c r="G1752">
        <v>20</v>
      </c>
    </row>
    <row r="1753" spans="1:7" x14ac:dyDescent="0.25">
      <c r="A1753" t="s">
        <v>108</v>
      </c>
      <c r="B1753" t="s">
        <v>110</v>
      </c>
      <c r="C1753">
        <v>2310</v>
      </c>
      <c r="D1753" t="s">
        <v>20</v>
      </c>
      <c r="E1753" t="s">
        <v>29</v>
      </c>
      <c r="F1753" s="5">
        <v>42736</v>
      </c>
      <c r="G1753">
        <v>34</v>
      </c>
    </row>
    <row r="1754" spans="1:7" x14ac:dyDescent="0.25">
      <c r="A1754" t="s">
        <v>108</v>
      </c>
      <c r="B1754" t="s">
        <v>110</v>
      </c>
      <c r="C1754">
        <v>2310</v>
      </c>
      <c r="D1754" t="s">
        <v>20</v>
      </c>
      <c r="E1754" t="s">
        <v>30</v>
      </c>
      <c r="F1754" s="5">
        <v>42370</v>
      </c>
      <c r="G1754">
        <v>19</v>
      </c>
    </row>
    <row r="1755" spans="1:7" x14ac:dyDescent="0.25">
      <c r="A1755" t="s">
        <v>108</v>
      </c>
      <c r="B1755" t="s">
        <v>110</v>
      </c>
      <c r="C1755">
        <v>2310</v>
      </c>
      <c r="D1755" t="s">
        <v>20</v>
      </c>
      <c r="E1755" t="s">
        <v>30</v>
      </c>
      <c r="F1755" s="5">
        <v>42736</v>
      </c>
      <c r="G1755">
        <v>34</v>
      </c>
    </row>
    <row r="1756" spans="1:7" x14ac:dyDescent="0.25">
      <c r="A1756" t="s">
        <v>108</v>
      </c>
      <c r="B1756" t="s">
        <v>110</v>
      </c>
      <c r="C1756">
        <v>2310</v>
      </c>
      <c r="D1756" t="s">
        <v>20</v>
      </c>
      <c r="E1756" t="s">
        <v>31</v>
      </c>
      <c r="F1756" s="5">
        <v>42370</v>
      </c>
      <c r="G1756">
        <v>43</v>
      </c>
    </row>
    <row r="1757" spans="1:7" x14ac:dyDescent="0.25">
      <c r="A1757" t="s">
        <v>108</v>
      </c>
      <c r="B1757" t="s">
        <v>110</v>
      </c>
      <c r="C1757">
        <v>2310</v>
      </c>
      <c r="D1757" t="s">
        <v>20</v>
      </c>
      <c r="E1757" t="s">
        <v>31</v>
      </c>
      <c r="F1757" s="5">
        <v>42736</v>
      </c>
      <c r="G1757">
        <v>65</v>
      </c>
    </row>
    <row r="1758" spans="1:7" x14ac:dyDescent="0.25">
      <c r="A1758" t="s">
        <v>108</v>
      </c>
      <c r="B1758" t="s">
        <v>110</v>
      </c>
      <c r="C1758">
        <v>2310</v>
      </c>
      <c r="D1758" t="s">
        <v>20</v>
      </c>
      <c r="E1758" t="s">
        <v>32</v>
      </c>
      <c r="F1758" s="5">
        <v>42370</v>
      </c>
      <c r="G1758">
        <v>21</v>
      </c>
    </row>
    <row r="1759" spans="1:7" x14ac:dyDescent="0.25">
      <c r="A1759" t="s">
        <v>108</v>
      </c>
      <c r="B1759" t="s">
        <v>110</v>
      </c>
      <c r="C1759">
        <v>2310</v>
      </c>
      <c r="D1759" t="s">
        <v>20</v>
      </c>
      <c r="E1759" t="s">
        <v>32</v>
      </c>
      <c r="F1759" s="5">
        <v>42736</v>
      </c>
      <c r="G1759">
        <v>35</v>
      </c>
    </row>
    <row r="1760" spans="1:7" x14ac:dyDescent="0.25">
      <c r="A1760" t="s">
        <v>108</v>
      </c>
      <c r="B1760" t="s">
        <v>110</v>
      </c>
      <c r="C1760">
        <v>2310</v>
      </c>
      <c r="D1760" t="s">
        <v>33</v>
      </c>
      <c r="E1760" t="s">
        <v>9</v>
      </c>
      <c r="F1760" s="5">
        <v>42370</v>
      </c>
      <c r="G1760">
        <v>0</v>
      </c>
    </row>
    <row r="1761" spans="1:7" x14ac:dyDescent="0.25">
      <c r="A1761" t="s">
        <v>108</v>
      </c>
      <c r="B1761" t="s">
        <v>110</v>
      </c>
      <c r="C1761">
        <v>2310</v>
      </c>
      <c r="D1761" t="s">
        <v>33</v>
      </c>
      <c r="E1761" t="s">
        <v>9</v>
      </c>
      <c r="F1761" s="5">
        <v>42736</v>
      </c>
      <c r="G1761">
        <v>0</v>
      </c>
    </row>
    <row r="1762" spans="1:7" x14ac:dyDescent="0.25">
      <c r="A1762" t="s">
        <v>108</v>
      </c>
      <c r="B1762" t="s">
        <v>110</v>
      </c>
      <c r="C1762">
        <v>2310</v>
      </c>
      <c r="D1762" t="s">
        <v>33</v>
      </c>
      <c r="E1762" t="s">
        <v>34</v>
      </c>
      <c r="F1762" s="5">
        <v>42370</v>
      </c>
      <c r="G1762">
        <v>0</v>
      </c>
    </row>
    <row r="1763" spans="1:7" x14ac:dyDescent="0.25">
      <c r="A1763" t="s">
        <v>108</v>
      </c>
      <c r="B1763" t="s">
        <v>110</v>
      </c>
      <c r="C1763">
        <v>2310</v>
      </c>
      <c r="D1763" t="s">
        <v>33</v>
      </c>
      <c r="E1763" t="s">
        <v>34</v>
      </c>
      <c r="F1763" s="5">
        <v>42736</v>
      </c>
      <c r="G1763">
        <v>0</v>
      </c>
    </row>
    <row r="1764" spans="1:7" x14ac:dyDescent="0.25">
      <c r="A1764" t="s">
        <v>108</v>
      </c>
      <c r="B1764" t="s">
        <v>110</v>
      </c>
      <c r="C1764">
        <v>2310</v>
      </c>
      <c r="D1764" t="s">
        <v>35</v>
      </c>
      <c r="E1764" t="s">
        <v>36</v>
      </c>
      <c r="F1764" s="5">
        <v>42370</v>
      </c>
      <c r="G1764">
        <v>0</v>
      </c>
    </row>
    <row r="1765" spans="1:7" x14ac:dyDescent="0.25">
      <c r="A1765" t="s">
        <v>108</v>
      </c>
      <c r="B1765" t="s">
        <v>110</v>
      </c>
      <c r="C1765">
        <v>2310</v>
      </c>
      <c r="D1765" t="s">
        <v>35</v>
      </c>
      <c r="E1765" t="s">
        <v>36</v>
      </c>
      <c r="F1765" s="5">
        <v>42736</v>
      </c>
      <c r="G1765">
        <v>0</v>
      </c>
    </row>
    <row r="1766" spans="1:7" x14ac:dyDescent="0.25">
      <c r="A1766" t="s">
        <v>108</v>
      </c>
      <c r="B1766" t="s">
        <v>110</v>
      </c>
      <c r="C1766">
        <v>2310</v>
      </c>
      <c r="D1766" t="s">
        <v>35</v>
      </c>
      <c r="E1766" t="s">
        <v>37</v>
      </c>
      <c r="F1766" s="5">
        <v>42370</v>
      </c>
      <c r="G1766">
        <v>0</v>
      </c>
    </row>
    <row r="1767" spans="1:7" x14ac:dyDescent="0.25">
      <c r="A1767" t="s">
        <v>108</v>
      </c>
      <c r="B1767" t="s">
        <v>110</v>
      </c>
      <c r="C1767">
        <v>2310</v>
      </c>
      <c r="D1767" t="s">
        <v>35</v>
      </c>
      <c r="E1767" t="s">
        <v>37</v>
      </c>
      <c r="F1767" s="5">
        <v>42736</v>
      </c>
      <c r="G1767">
        <v>0</v>
      </c>
    </row>
    <row r="1768" spans="1:7" x14ac:dyDescent="0.25">
      <c r="A1768" t="s">
        <v>108</v>
      </c>
      <c r="B1768" t="s">
        <v>110</v>
      </c>
      <c r="C1768">
        <v>2310</v>
      </c>
      <c r="D1768" t="s">
        <v>35</v>
      </c>
      <c r="E1768" t="s">
        <v>38</v>
      </c>
      <c r="F1768" s="5">
        <v>42370</v>
      </c>
      <c r="G1768">
        <v>0</v>
      </c>
    </row>
    <row r="1769" spans="1:7" x14ac:dyDescent="0.25">
      <c r="A1769" t="s">
        <v>108</v>
      </c>
      <c r="B1769" t="s">
        <v>110</v>
      </c>
      <c r="C1769">
        <v>2310</v>
      </c>
      <c r="D1769" t="s">
        <v>35</v>
      </c>
      <c r="E1769" t="s">
        <v>38</v>
      </c>
      <c r="F1769" s="5">
        <v>42736</v>
      </c>
      <c r="G1769">
        <v>0</v>
      </c>
    </row>
    <row r="1770" spans="1:7" x14ac:dyDescent="0.25">
      <c r="A1770" t="s">
        <v>108</v>
      </c>
      <c r="B1770" t="s">
        <v>110</v>
      </c>
      <c r="C1770">
        <v>2310</v>
      </c>
      <c r="D1770" t="s">
        <v>35</v>
      </c>
      <c r="E1770" t="s">
        <v>39</v>
      </c>
      <c r="F1770" s="5">
        <v>42370</v>
      </c>
      <c r="G1770">
        <v>0</v>
      </c>
    </row>
    <row r="1771" spans="1:7" x14ac:dyDescent="0.25">
      <c r="A1771" t="s">
        <v>108</v>
      </c>
      <c r="B1771" t="s">
        <v>110</v>
      </c>
      <c r="C1771">
        <v>2310</v>
      </c>
      <c r="D1771" t="s">
        <v>35</v>
      </c>
      <c r="E1771" t="s">
        <v>39</v>
      </c>
      <c r="F1771" s="5">
        <v>42736</v>
      </c>
      <c r="G1771">
        <v>0</v>
      </c>
    </row>
    <row r="1772" spans="1:7" x14ac:dyDescent="0.25">
      <c r="A1772" t="s">
        <v>108</v>
      </c>
      <c r="B1772" t="s">
        <v>110</v>
      </c>
      <c r="C1772">
        <v>2310</v>
      </c>
      <c r="D1772" t="s">
        <v>35</v>
      </c>
      <c r="E1772" t="s">
        <v>40</v>
      </c>
      <c r="F1772" s="5">
        <v>42370</v>
      </c>
      <c r="G1772">
        <v>0</v>
      </c>
    </row>
    <row r="1773" spans="1:7" x14ac:dyDescent="0.25">
      <c r="A1773" t="s">
        <v>108</v>
      </c>
      <c r="B1773" t="s">
        <v>110</v>
      </c>
      <c r="C1773">
        <v>2310</v>
      </c>
      <c r="D1773" t="s">
        <v>35</v>
      </c>
      <c r="E1773" t="s">
        <v>40</v>
      </c>
      <c r="F1773" s="5">
        <v>42736</v>
      </c>
      <c r="G1773">
        <v>0</v>
      </c>
    </row>
    <row r="1774" spans="1:7" x14ac:dyDescent="0.25">
      <c r="A1774" t="s">
        <v>108</v>
      </c>
      <c r="B1774" t="s">
        <v>110</v>
      </c>
      <c r="C1774">
        <v>2310</v>
      </c>
      <c r="D1774" t="s">
        <v>35</v>
      </c>
      <c r="E1774" t="s">
        <v>41</v>
      </c>
      <c r="F1774" s="5">
        <v>42370</v>
      </c>
      <c r="G1774">
        <v>0</v>
      </c>
    </row>
    <row r="1775" spans="1:7" x14ac:dyDescent="0.25">
      <c r="A1775" t="s">
        <v>108</v>
      </c>
      <c r="B1775" t="s">
        <v>110</v>
      </c>
      <c r="C1775">
        <v>2310</v>
      </c>
      <c r="D1775" t="s">
        <v>35</v>
      </c>
      <c r="E1775" t="s">
        <v>41</v>
      </c>
      <c r="F1775" s="5">
        <v>42736</v>
      </c>
      <c r="G1775">
        <v>0</v>
      </c>
    </row>
    <row r="1776" spans="1:7" x14ac:dyDescent="0.25">
      <c r="A1776" t="s">
        <v>108</v>
      </c>
      <c r="B1776" t="s">
        <v>110</v>
      </c>
      <c r="C1776">
        <v>2310</v>
      </c>
      <c r="D1776" t="s">
        <v>35</v>
      </c>
      <c r="E1776" t="s">
        <v>42</v>
      </c>
      <c r="F1776" s="5">
        <v>42370</v>
      </c>
      <c r="G1776">
        <v>0</v>
      </c>
    </row>
    <row r="1777" spans="1:7" x14ac:dyDescent="0.25">
      <c r="A1777" t="s">
        <v>108</v>
      </c>
      <c r="B1777" t="s">
        <v>110</v>
      </c>
      <c r="C1777">
        <v>2310</v>
      </c>
      <c r="D1777" t="s">
        <v>35</v>
      </c>
      <c r="E1777" t="s">
        <v>42</v>
      </c>
      <c r="F1777" s="5">
        <v>42736</v>
      </c>
      <c r="G1777">
        <v>0</v>
      </c>
    </row>
    <row r="1778" spans="1:7" x14ac:dyDescent="0.25">
      <c r="A1778" t="s">
        <v>108</v>
      </c>
      <c r="B1778" t="s">
        <v>110</v>
      </c>
      <c r="C1778">
        <v>2310</v>
      </c>
      <c r="D1778" t="s">
        <v>35</v>
      </c>
      <c r="E1778" t="s">
        <v>43</v>
      </c>
      <c r="F1778" s="5">
        <v>42370</v>
      </c>
      <c r="G1778">
        <v>0</v>
      </c>
    </row>
    <row r="1779" spans="1:7" x14ac:dyDescent="0.25">
      <c r="A1779" t="s">
        <v>108</v>
      </c>
      <c r="B1779" t="s">
        <v>110</v>
      </c>
      <c r="C1779">
        <v>2310</v>
      </c>
      <c r="D1779" t="s">
        <v>35</v>
      </c>
      <c r="E1779" t="s">
        <v>43</v>
      </c>
      <c r="F1779" s="5">
        <v>42736</v>
      </c>
      <c r="G1779">
        <v>0</v>
      </c>
    </row>
    <row r="1780" spans="1:7" x14ac:dyDescent="0.25">
      <c r="A1780" t="s">
        <v>108</v>
      </c>
      <c r="B1780" t="s">
        <v>110</v>
      </c>
      <c r="C1780">
        <v>2310</v>
      </c>
      <c r="D1780" t="s">
        <v>44</v>
      </c>
      <c r="E1780" t="s">
        <v>36</v>
      </c>
      <c r="F1780" s="5">
        <v>42370</v>
      </c>
      <c r="G1780">
        <v>0</v>
      </c>
    </row>
    <row r="1781" spans="1:7" x14ac:dyDescent="0.25">
      <c r="A1781" t="s">
        <v>108</v>
      </c>
      <c r="B1781" t="s">
        <v>110</v>
      </c>
      <c r="C1781">
        <v>2310</v>
      </c>
      <c r="D1781" t="s">
        <v>44</v>
      </c>
      <c r="E1781" t="s">
        <v>36</v>
      </c>
      <c r="F1781" s="5">
        <v>42736</v>
      </c>
      <c r="G1781">
        <v>0</v>
      </c>
    </row>
    <row r="1782" spans="1:7" x14ac:dyDescent="0.25">
      <c r="A1782" t="s">
        <v>108</v>
      </c>
      <c r="B1782" t="s">
        <v>110</v>
      </c>
      <c r="C1782">
        <v>2310</v>
      </c>
      <c r="D1782" t="s">
        <v>44</v>
      </c>
      <c r="E1782" t="s">
        <v>37</v>
      </c>
      <c r="F1782" s="5">
        <v>42370</v>
      </c>
      <c r="G1782">
        <v>0</v>
      </c>
    </row>
    <row r="1783" spans="1:7" x14ac:dyDescent="0.25">
      <c r="A1783" t="s">
        <v>108</v>
      </c>
      <c r="B1783" t="s">
        <v>110</v>
      </c>
      <c r="C1783">
        <v>2310</v>
      </c>
      <c r="D1783" t="s">
        <v>44</v>
      </c>
      <c r="E1783" t="s">
        <v>37</v>
      </c>
      <c r="F1783" s="5">
        <v>42736</v>
      </c>
      <c r="G1783">
        <v>0</v>
      </c>
    </row>
    <row r="1784" spans="1:7" x14ac:dyDescent="0.25">
      <c r="A1784" t="s">
        <v>108</v>
      </c>
      <c r="B1784" t="s">
        <v>110</v>
      </c>
      <c r="C1784">
        <v>2310</v>
      </c>
      <c r="D1784" t="s">
        <v>44</v>
      </c>
      <c r="E1784" t="s">
        <v>38</v>
      </c>
      <c r="F1784" s="5">
        <v>42370</v>
      </c>
      <c r="G1784">
        <v>0</v>
      </c>
    </row>
    <row r="1785" spans="1:7" x14ac:dyDescent="0.25">
      <c r="A1785" t="s">
        <v>108</v>
      </c>
      <c r="B1785" t="s">
        <v>110</v>
      </c>
      <c r="C1785">
        <v>2310</v>
      </c>
      <c r="D1785" t="s">
        <v>44</v>
      </c>
      <c r="E1785" t="s">
        <v>38</v>
      </c>
      <c r="F1785" s="5">
        <v>42736</v>
      </c>
      <c r="G1785">
        <v>0</v>
      </c>
    </row>
    <row r="1786" spans="1:7" x14ac:dyDescent="0.25">
      <c r="A1786" t="s">
        <v>108</v>
      </c>
      <c r="B1786" t="s">
        <v>110</v>
      </c>
      <c r="C1786">
        <v>2310</v>
      </c>
      <c r="D1786" t="s">
        <v>44</v>
      </c>
      <c r="E1786" t="s">
        <v>39</v>
      </c>
      <c r="F1786" s="5">
        <v>42370</v>
      </c>
      <c r="G1786">
        <v>0</v>
      </c>
    </row>
    <row r="1787" spans="1:7" x14ac:dyDescent="0.25">
      <c r="A1787" t="s">
        <v>108</v>
      </c>
      <c r="B1787" t="s">
        <v>110</v>
      </c>
      <c r="C1787">
        <v>2310</v>
      </c>
      <c r="D1787" t="s">
        <v>44</v>
      </c>
      <c r="E1787" t="s">
        <v>39</v>
      </c>
      <c r="F1787" s="5">
        <v>42736</v>
      </c>
      <c r="G1787">
        <v>0</v>
      </c>
    </row>
    <row r="1788" spans="1:7" x14ac:dyDescent="0.25">
      <c r="A1788" t="s">
        <v>108</v>
      </c>
      <c r="B1788" t="s">
        <v>110</v>
      </c>
      <c r="C1788">
        <v>2310</v>
      </c>
      <c r="D1788" t="s">
        <v>44</v>
      </c>
      <c r="E1788" t="s">
        <v>40</v>
      </c>
      <c r="F1788" s="5">
        <v>42370</v>
      </c>
      <c r="G1788">
        <v>0</v>
      </c>
    </row>
    <row r="1789" spans="1:7" x14ac:dyDescent="0.25">
      <c r="A1789" t="s">
        <v>108</v>
      </c>
      <c r="B1789" t="s">
        <v>110</v>
      </c>
      <c r="C1789">
        <v>2310</v>
      </c>
      <c r="D1789" t="s">
        <v>44</v>
      </c>
      <c r="E1789" t="s">
        <v>40</v>
      </c>
      <c r="F1789" s="5">
        <v>42736</v>
      </c>
      <c r="G1789">
        <v>0</v>
      </c>
    </row>
    <row r="1790" spans="1:7" x14ac:dyDescent="0.25">
      <c r="A1790" t="s">
        <v>108</v>
      </c>
      <c r="B1790" t="s">
        <v>110</v>
      </c>
      <c r="C1790">
        <v>2310</v>
      </c>
      <c r="D1790" t="s">
        <v>44</v>
      </c>
      <c r="E1790" t="s">
        <v>41</v>
      </c>
      <c r="F1790" s="5">
        <v>42370</v>
      </c>
      <c r="G1790">
        <v>0</v>
      </c>
    </row>
    <row r="1791" spans="1:7" x14ac:dyDescent="0.25">
      <c r="A1791" t="s">
        <v>108</v>
      </c>
      <c r="B1791" t="s">
        <v>110</v>
      </c>
      <c r="C1791">
        <v>2310</v>
      </c>
      <c r="D1791" t="s">
        <v>44</v>
      </c>
      <c r="E1791" t="s">
        <v>41</v>
      </c>
      <c r="F1791" s="5">
        <v>42736</v>
      </c>
      <c r="G1791">
        <v>0</v>
      </c>
    </row>
    <row r="1792" spans="1:7" x14ac:dyDescent="0.25">
      <c r="A1792" t="s">
        <v>108</v>
      </c>
      <c r="B1792" t="s">
        <v>110</v>
      </c>
      <c r="C1792">
        <v>2310</v>
      </c>
      <c r="D1792" t="s">
        <v>44</v>
      </c>
      <c r="E1792" t="s">
        <v>42</v>
      </c>
      <c r="F1792" s="5">
        <v>42370</v>
      </c>
      <c r="G1792">
        <v>0</v>
      </c>
    </row>
    <row r="1793" spans="1:7" x14ac:dyDescent="0.25">
      <c r="A1793" t="s">
        <v>108</v>
      </c>
      <c r="B1793" t="s">
        <v>110</v>
      </c>
      <c r="C1793">
        <v>2310</v>
      </c>
      <c r="D1793" t="s">
        <v>44</v>
      </c>
      <c r="E1793" t="s">
        <v>42</v>
      </c>
      <c r="F1793" s="5">
        <v>42736</v>
      </c>
      <c r="G1793">
        <v>0</v>
      </c>
    </row>
    <row r="1794" spans="1:7" x14ac:dyDescent="0.25">
      <c r="A1794" t="s">
        <v>108</v>
      </c>
      <c r="B1794" t="s">
        <v>110</v>
      </c>
      <c r="C1794">
        <v>2310</v>
      </c>
      <c r="D1794" t="s">
        <v>44</v>
      </c>
      <c r="E1794" t="s">
        <v>43</v>
      </c>
      <c r="F1794" s="5">
        <v>42370</v>
      </c>
      <c r="G1794">
        <v>0</v>
      </c>
    </row>
    <row r="1795" spans="1:7" x14ac:dyDescent="0.25">
      <c r="A1795" t="s">
        <v>108</v>
      </c>
      <c r="B1795" t="s">
        <v>110</v>
      </c>
      <c r="C1795">
        <v>2310</v>
      </c>
      <c r="D1795" t="s">
        <v>44</v>
      </c>
      <c r="E1795" t="s">
        <v>43</v>
      </c>
      <c r="F1795" s="5">
        <v>42736</v>
      </c>
      <c r="G1795">
        <v>0</v>
      </c>
    </row>
    <row r="1796" spans="1:7" x14ac:dyDescent="0.25">
      <c r="A1796" t="s">
        <v>108</v>
      </c>
      <c r="B1796" t="s">
        <v>110</v>
      </c>
      <c r="C1796">
        <v>2310</v>
      </c>
      <c r="D1796" t="s">
        <v>45</v>
      </c>
      <c r="E1796" t="s">
        <v>46</v>
      </c>
      <c r="F1796" s="5">
        <v>42370</v>
      </c>
      <c r="G1796">
        <v>0</v>
      </c>
    </row>
    <row r="1797" spans="1:7" x14ac:dyDescent="0.25">
      <c r="A1797" t="s">
        <v>108</v>
      </c>
      <c r="B1797" t="s">
        <v>110</v>
      </c>
      <c r="C1797">
        <v>2310</v>
      </c>
      <c r="D1797" t="s">
        <v>45</v>
      </c>
      <c r="E1797" t="s">
        <v>46</v>
      </c>
      <c r="F1797" s="5">
        <v>42736</v>
      </c>
      <c r="G1797">
        <v>0</v>
      </c>
    </row>
    <row r="1798" spans="1:7" x14ac:dyDescent="0.25">
      <c r="A1798" t="s">
        <v>108</v>
      </c>
      <c r="B1798" t="s">
        <v>110</v>
      </c>
      <c r="C1798">
        <v>2310</v>
      </c>
      <c r="D1798" t="s">
        <v>45</v>
      </c>
      <c r="E1798" t="s">
        <v>47</v>
      </c>
      <c r="F1798" s="5">
        <v>42370</v>
      </c>
      <c r="G1798">
        <v>0</v>
      </c>
    </row>
    <row r="1799" spans="1:7" x14ac:dyDescent="0.25">
      <c r="A1799" t="s">
        <v>108</v>
      </c>
      <c r="B1799" t="s">
        <v>110</v>
      </c>
      <c r="C1799">
        <v>2310</v>
      </c>
      <c r="D1799" t="s">
        <v>45</v>
      </c>
      <c r="E1799" t="s">
        <v>47</v>
      </c>
      <c r="F1799" s="5">
        <v>42736</v>
      </c>
      <c r="G1799">
        <v>0</v>
      </c>
    </row>
    <row r="1800" spans="1:7" x14ac:dyDescent="0.25">
      <c r="A1800" t="s">
        <v>108</v>
      </c>
      <c r="B1800" t="s">
        <v>110</v>
      </c>
      <c r="C1800">
        <v>2310</v>
      </c>
      <c r="D1800" t="s">
        <v>45</v>
      </c>
      <c r="E1800" t="s">
        <v>48</v>
      </c>
      <c r="F1800" s="5">
        <v>42370</v>
      </c>
      <c r="G1800">
        <v>12</v>
      </c>
    </row>
    <row r="1801" spans="1:7" x14ac:dyDescent="0.25">
      <c r="A1801" t="s">
        <v>108</v>
      </c>
      <c r="B1801" t="s">
        <v>110</v>
      </c>
      <c r="C1801">
        <v>2310</v>
      </c>
      <c r="D1801" t="s">
        <v>45</v>
      </c>
      <c r="E1801" t="s">
        <v>48</v>
      </c>
      <c r="F1801" s="5">
        <v>42736</v>
      </c>
      <c r="G1801">
        <v>13</v>
      </c>
    </row>
    <row r="1802" spans="1:7" x14ac:dyDescent="0.25">
      <c r="A1802" t="s">
        <v>108</v>
      </c>
      <c r="B1802" t="s">
        <v>110</v>
      </c>
      <c r="C1802">
        <v>2310</v>
      </c>
      <c r="D1802" t="s">
        <v>45</v>
      </c>
      <c r="E1802" t="s">
        <v>49</v>
      </c>
      <c r="F1802" s="5">
        <v>42370</v>
      </c>
      <c r="G1802">
        <v>0</v>
      </c>
    </row>
    <row r="1803" spans="1:7" x14ac:dyDescent="0.25">
      <c r="A1803" t="s">
        <v>108</v>
      </c>
      <c r="B1803" t="s">
        <v>110</v>
      </c>
      <c r="C1803">
        <v>2310</v>
      </c>
      <c r="D1803" t="s">
        <v>45</v>
      </c>
      <c r="E1803" t="s">
        <v>49</v>
      </c>
      <c r="F1803" s="5">
        <v>42736</v>
      </c>
      <c r="G1803">
        <v>0</v>
      </c>
    </row>
    <row r="1804" spans="1:7" x14ac:dyDescent="0.25">
      <c r="A1804" t="s">
        <v>108</v>
      </c>
      <c r="B1804" t="s">
        <v>110</v>
      </c>
      <c r="C1804">
        <v>2310</v>
      </c>
      <c r="D1804" t="s">
        <v>45</v>
      </c>
      <c r="E1804" t="s">
        <v>50</v>
      </c>
      <c r="F1804" s="5">
        <v>42370</v>
      </c>
      <c r="G1804">
        <v>0</v>
      </c>
    </row>
    <row r="1805" spans="1:7" x14ac:dyDescent="0.25">
      <c r="A1805" t="s">
        <v>108</v>
      </c>
      <c r="B1805" t="s">
        <v>110</v>
      </c>
      <c r="C1805">
        <v>2310</v>
      </c>
      <c r="D1805" t="s">
        <v>45</v>
      </c>
      <c r="E1805" t="s">
        <v>50</v>
      </c>
      <c r="F1805" s="5">
        <v>42736</v>
      </c>
      <c r="G1805">
        <v>0</v>
      </c>
    </row>
    <row r="1806" spans="1:7" x14ac:dyDescent="0.25">
      <c r="A1806" t="s">
        <v>108</v>
      </c>
      <c r="B1806" t="s">
        <v>110</v>
      </c>
      <c r="C1806">
        <v>2310</v>
      </c>
      <c r="D1806" t="s">
        <v>45</v>
      </c>
      <c r="E1806" t="s">
        <v>51</v>
      </c>
      <c r="F1806" s="5">
        <v>42370</v>
      </c>
      <c r="G1806">
        <v>0</v>
      </c>
    </row>
    <row r="1807" spans="1:7" x14ac:dyDescent="0.25">
      <c r="A1807" t="s">
        <v>108</v>
      </c>
      <c r="B1807" t="s">
        <v>110</v>
      </c>
      <c r="C1807">
        <v>2310</v>
      </c>
      <c r="D1807" t="s">
        <v>45</v>
      </c>
      <c r="E1807" t="s">
        <v>51</v>
      </c>
      <c r="F1807" s="5">
        <v>42736</v>
      </c>
      <c r="G1807">
        <v>0</v>
      </c>
    </row>
    <row r="1808" spans="1:7" x14ac:dyDescent="0.25">
      <c r="A1808" t="s">
        <v>108</v>
      </c>
      <c r="B1808" t="s">
        <v>110</v>
      </c>
      <c r="C1808">
        <v>2310</v>
      </c>
      <c r="D1808" t="s">
        <v>45</v>
      </c>
      <c r="E1808" t="s">
        <v>52</v>
      </c>
      <c r="F1808" s="5">
        <v>42370</v>
      </c>
      <c r="G1808">
        <v>0</v>
      </c>
    </row>
    <row r="1809" spans="1:7" x14ac:dyDescent="0.25">
      <c r="A1809" t="s">
        <v>108</v>
      </c>
      <c r="B1809" t="s">
        <v>110</v>
      </c>
      <c r="C1809">
        <v>2310</v>
      </c>
      <c r="D1809" t="s">
        <v>45</v>
      </c>
      <c r="E1809" t="s">
        <v>52</v>
      </c>
      <c r="F1809" s="5">
        <v>42736</v>
      </c>
      <c r="G1809">
        <v>0</v>
      </c>
    </row>
    <row r="1810" spans="1:7" x14ac:dyDescent="0.25">
      <c r="A1810" t="s">
        <v>108</v>
      </c>
      <c r="B1810" t="s">
        <v>110</v>
      </c>
      <c r="C1810">
        <v>2310</v>
      </c>
      <c r="D1810" t="s">
        <v>45</v>
      </c>
      <c r="E1810" t="s">
        <v>53</v>
      </c>
      <c r="F1810" s="5">
        <v>42370</v>
      </c>
      <c r="G1810">
        <v>10</v>
      </c>
    </row>
    <row r="1811" spans="1:7" x14ac:dyDescent="0.25">
      <c r="A1811" t="s">
        <v>108</v>
      </c>
      <c r="B1811" t="s">
        <v>110</v>
      </c>
      <c r="C1811">
        <v>2310</v>
      </c>
      <c r="D1811" t="s">
        <v>45</v>
      </c>
      <c r="E1811" t="s">
        <v>53</v>
      </c>
      <c r="F1811" s="5">
        <v>42736</v>
      </c>
      <c r="G1811">
        <v>24</v>
      </c>
    </row>
    <row r="1812" spans="1:7" x14ac:dyDescent="0.25">
      <c r="A1812" t="s">
        <v>108</v>
      </c>
      <c r="B1812" t="s">
        <v>110</v>
      </c>
      <c r="C1812">
        <v>2310</v>
      </c>
      <c r="D1812" t="s">
        <v>45</v>
      </c>
      <c r="E1812" t="s">
        <v>54</v>
      </c>
      <c r="F1812" s="5">
        <v>42370</v>
      </c>
      <c r="G1812">
        <v>0</v>
      </c>
    </row>
    <row r="1813" spans="1:7" x14ac:dyDescent="0.25">
      <c r="A1813" t="s">
        <v>108</v>
      </c>
      <c r="B1813" t="s">
        <v>110</v>
      </c>
      <c r="C1813">
        <v>2310</v>
      </c>
      <c r="D1813" t="s">
        <v>45</v>
      </c>
      <c r="E1813" t="s">
        <v>54</v>
      </c>
      <c r="F1813" s="5">
        <v>42736</v>
      </c>
      <c r="G1813">
        <v>0</v>
      </c>
    </row>
    <row r="1814" spans="1:7" x14ac:dyDescent="0.25">
      <c r="A1814" t="s">
        <v>108</v>
      </c>
      <c r="B1814" t="s">
        <v>110</v>
      </c>
      <c r="C1814">
        <v>2310</v>
      </c>
      <c r="D1814" t="s">
        <v>45</v>
      </c>
      <c r="E1814" t="s">
        <v>55</v>
      </c>
      <c r="F1814" s="5">
        <v>42370</v>
      </c>
      <c r="G1814">
        <v>0</v>
      </c>
    </row>
    <row r="1815" spans="1:7" x14ac:dyDescent="0.25">
      <c r="A1815" t="s">
        <v>108</v>
      </c>
      <c r="B1815" t="s">
        <v>110</v>
      </c>
      <c r="C1815">
        <v>2310</v>
      </c>
      <c r="D1815" t="s">
        <v>45</v>
      </c>
      <c r="E1815" t="s">
        <v>55</v>
      </c>
      <c r="F1815" s="5">
        <v>42736</v>
      </c>
      <c r="G1815">
        <v>0</v>
      </c>
    </row>
    <row r="1816" spans="1:7" x14ac:dyDescent="0.25">
      <c r="A1816" t="s">
        <v>108</v>
      </c>
      <c r="B1816" t="s">
        <v>110</v>
      </c>
      <c r="C1816">
        <v>2310</v>
      </c>
      <c r="D1816" t="s">
        <v>45</v>
      </c>
      <c r="E1816" t="s">
        <v>56</v>
      </c>
      <c r="F1816" s="5">
        <v>42370</v>
      </c>
      <c r="G1816">
        <v>0</v>
      </c>
    </row>
    <row r="1817" spans="1:7" x14ac:dyDescent="0.25">
      <c r="A1817" t="s">
        <v>108</v>
      </c>
      <c r="B1817" t="s">
        <v>110</v>
      </c>
      <c r="C1817">
        <v>2310</v>
      </c>
      <c r="D1817" t="s">
        <v>45</v>
      </c>
      <c r="E1817" t="s">
        <v>56</v>
      </c>
      <c r="F1817" s="5">
        <v>42736</v>
      </c>
      <c r="G1817">
        <v>0</v>
      </c>
    </row>
    <row r="1818" spans="1:7" x14ac:dyDescent="0.25">
      <c r="A1818" t="s">
        <v>108</v>
      </c>
      <c r="B1818" t="s">
        <v>110</v>
      </c>
      <c r="C1818">
        <v>2310</v>
      </c>
      <c r="D1818" t="s">
        <v>45</v>
      </c>
      <c r="E1818" t="s">
        <v>57</v>
      </c>
      <c r="F1818" s="5">
        <v>42370</v>
      </c>
      <c r="G1818">
        <v>0</v>
      </c>
    </row>
    <row r="1819" spans="1:7" x14ac:dyDescent="0.25">
      <c r="A1819" t="s">
        <v>108</v>
      </c>
      <c r="B1819" t="s">
        <v>110</v>
      </c>
      <c r="C1819">
        <v>2310</v>
      </c>
      <c r="D1819" t="s">
        <v>45</v>
      </c>
      <c r="E1819" t="s">
        <v>57</v>
      </c>
      <c r="F1819" s="5">
        <v>42736</v>
      </c>
      <c r="G1819">
        <v>0</v>
      </c>
    </row>
    <row r="1820" spans="1:7" x14ac:dyDescent="0.25">
      <c r="A1820" t="s">
        <v>108</v>
      </c>
      <c r="B1820" t="s">
        <v>110</v>
      </c>
      <c r="C1820">
        <v>2310</v>
      </c>
      <c r="D1820" t="s">
        <v>45</v>
      </c>
      <c r="E1820" t="s">
        <v>58</v>
      </c>
      <c r="F1820" s="5">
        <v>42370</v>
      </c>
      <c r="G1820">
        <v>0</v>
      </c>
    </row>
    <row r="1821" spans="1:7" x14ac:dyDescent="0.25">
      <c r="A1821" t="s">
        <v>108</v>
      </c>
      <c r="B1821" t="s">
        <v>110</v>
      </c>
      <c r="C1821">
        <v>2310</v>
      </c>
      <c r="D1821" t="s">
        <v>45</v>
      </c>
      <c r="E1821" t="s">
        <v>58</v>
      </c>
      <c r="F1821" s="5">
        <v>42736</v>
      </c>
      <c r="G1821">
        <v>0</v>
      </c>
    </row>
    <row r="1822" spans="1:7" x14ac:dyDescent="0.25">
      <c r="A1822" t="s">
        <v>108</v>
      </c>
      <c r="B1822" t="s">
        <v>110</v>
      </c>
      <c r="C1822">
        <v>2310</v>
      </c>
      <c r="D1822" t="s">
        <v>45</v>
      </c>
      <c r="E1822" t="s">
        <v>59</v>
      </c>
      <c r="F1822" s="5">
        <v>42370</v>
      </c>
      <c r="G1822">
        <v>0</v>
      </c>
    </row>
    <row r="1823" spans="1:7" x14ac:dyDescent="0.25">
      <c r="A1823" t="s">
        <v>108</v>
      </c>
      <c r="B1823" t="s">
        <v>110</v>
      </c>
      <c r="C1823">
        <v>2310</v>
      </c>
      <c r="D1823" t="s">
        <v>45</v>
      </c>
      <c r="E1823" t="s">
        <v>59</v>
      </c>
      <c r="F1823" s="5">
        <v>42736</v>
      </c>
      <c r="G1823">
        <v>0</v>
      </c>
    </row>
    <row r="1824" spans="1:7" x14ac:dyDescent="0.25">
      <c r="A1824" t="s">
        <v>108</v>
      </c>
      <c r="B1824" t="s">
        <v>110</v>
      </c>
      <c r="C1824">
        <v>2310</v>
      </c>
      <c r="D1824" t="s">
        <v>45</v>
      </c>
      <c r="E1824" t="s">
        <v>60</v>
      </c>
      <c r="F1824" s="5">
        <v>42370</v>
      </c>
      <c r="G1824">
        <v>0</v>
      </c>
    </row>
    <row r="1825" spans="1:7" x14ac:dyDescent="0.25">
      <c r="A1825" t="s">
        <v>108</v>
      </c>
      <c r="B1825" t="s">
        <v>110</v>
      </c>
      <c r="C1825">
        <v>2310</v>
      </c>
      <c r="D1825" t="s">
        <v>45</v>
      </c>
      <c r="E1825" t="s">
        <v>60</v>
      </c>
      <c r="F1825" s="5">
        <v>42736</v>
      </c>
      <c r="G1825">
        <v>0</v>
      </c>
    </row>
    <row r="1826" spans="1:7" x14ac:dyDescent="0.25">
      <c r="A1826" t="s">
        <v>108</v>
      </c>
      <c r="B1826" t="s">
        <v>110</v>
      </c>
      <c r="C1826">
        <v>2310</v>
      </c>
      <c r="D1826" t="s">
        <v>45</v>
      </c>
      <c r="E1826" t="s">
        <v>61</v>
      </c>
      <c r="F1826" s="5">
        <v>42370</v>
      </c>
      <c r="G1826">
        <v>0</v>
      </c>
    </row>
    <row r="1827" spans="1:7" x14ac:dyDescent="0.25">
      <c r="A1827" t="s">
        <v>108</v>
      </c>
      <c r="B1827" t="s">
        <v>110</v>
      </c>
      <c r="C1827">
        <v>2310</v>
      </c>
      <c r="D1827" t="s">
        <v>45</v>
      </c>
      <c r="E1827" t="s">
        <v>61</v>
      </c>
      <c r="F1827" s="5">
        <v>42736</v>
      </c>
      <c r="G1827">
        <v>1</v>
      </c>
    </row>
    <row r="1828" spans="1:7" x14ac:dyDescent="0.25">
      <c r="A1828" t="s">
        <v>108</v>
      </c>
      <c r="B1828" t="s">
        <v>110</v>
      </c>
      <c r="C1828">
        <v>2310</v>
      </c>
      <c r="D1828" t="s">
        <v>62</v>
      </c>
      <c r="E1828" t="s">
        <v>63</v>
      </c>
      <c r="F1828" s="5">
        <v>42370</v>
      </c>
      <c r="G1828">
        <v>0</v>
      </c>
    </row>
    <row r="1829" spans="1:7" x14ac:dyDescent="0.25">
      <c r="A1829" t="s">
        <v>108</v>
      </c>
      <c r="B1829" t="s">
        <v>110</v>
      </c>
      <c r="C1829">
        <v>2310</v>
      </c>
      <c r="D1829" t="s">
        <v>62</v>
      </c>
      <c r="E1829" t="s">
        <v>63</v>
      </c>
      <c r="F1829" s="5">
        <v>42736</v>
      </c>
      <c r="G1829">
        <v>0</v>
      </c>
    </row>
    <row r="1830" spans="1:7" x14ac:dyDescent="0.25">
      <c r="A1830" t="s">
        <v>108</v>
      </c>
      <c r="B1830" t="s">
        <v>110</v>
      </c>
      <c r="C1830">
        <v>2310</v>
      </c>
      <c r="D1830" t="s">
        <v>62</v>
      </c>
      <c r="E1830" t="s">
        <v>64</v>
      </c>
      <c r="F1830" s="5">
        <v>42370</v>
      </c>
      <c r="G1830">
        <v>0</v>
      </c>
    </row>
    <row r="1831" spans="1:7" x14ac:dyDescent="0.25">
      <c r="A1831" t="s">
        <v>108</v>
      </c>
      <c r="B1831" t="s">
        <v>110</v>
      </c>
      <c r="C1831">
        <v>2310</v>
      </c>
      <c r="D1831" t="s">
        <v>62</v>
      </c>
      <c r="E1831" t="s">
        <v>64</v>
      </c>
      <c r="F1831" s="5">
        <v>42736</v>
      </c>
      <c r="G1831">
        <v>0</v>
      </c>
    </row>
    <row r="1832" spans="1:7" x14ac:dyDescent="0.25">
      <c r="A1832" t="s">
        <v>108</v>
      </c>
      <c r="B1832" t="s">
        <v>110</v>
      </c>
      <c r="C1832">
        <v>2310</v>
      </c>
      <c r="D1832" t="s">
        <v>62</v>
      </c>
      <c r="E1832" t="s">
        <v>9</v>
      </c>
      <c r="F1832" s="5">
        <v>42370</v>
      </c>
      <c r="G1832">
        <v>0</v>
      </c>
    </row>
    <row r="1833" spans="1:7" x14ac:dyDescent="0.25">
      <c r="A1833" t="s">
        <v>108</v>
      </c>
      <c r="B1833" t="s">
        <v>110</v>
      </c>
      <c r="C1833">
        <v>2310</v>
      </c>
      <c r="D1833" t="s">
        <v>62</v>
      </c>
      <c r="E1833" t="s">
        <v>9</v>
      </c>
      <c r="F1833" s="5">
        <v>42736</v>
      </c>
      <c r="G1833">
        <v>0</v>
      </c>
    </row>
    <row r="1834" spans="1:7" x14ac:dyDescent="0.25">
      <c r="A1834" t="s">
        <v>108</v>
      </c>
      <c r="B1834" t="s">
        <v>110</v>
      </c>
      <c r="C1834">
        <v>2310</v>
      </c>
      <c r="D1834" t="s">
        <v>62</v>
      </c>
      <c r="E1834" t="s">
        <v>65</v>
      </c>
      <c r="F1834" s="5">
        <v>42370</v>
      </c>
      <c r="G1834">
        <v>0</v>
      </c>
    </row>
    <row r="1835" spans="1:7" x14ac:dyDescent="0.25">
      <c r="A1835" t="s">
        <v>108</v>
      </c>
      <c r="B1835" t="s">
        <v>110</v>
      </c>
      <c r="C1835">
        <v>2310</v>
      </c>
      <c r="D1835" t="s">
        <v>62</v>
      </c>
      <c r="E1835" t="s">
        <v>65</v>
      </c>
      <c r="F1835" s="5">
        <v>42736</v>
      </c>
      <c r="G1835">
        <v>0</v>
      </c>
    </row>
    <row r="1836" spans="1:7" x14ac:dyDescent="0.25">
      <c r="A1836" t="s">
        <v>108</v>
      </c>
      <c r="B1836" t="s">
        <v>110</v>
      </c>
      <c r="C1836">
        <v>2310</v>
      </c>
      <c r="D1836" t="s">
        <v>62</v>
      </c>
      <c r="E1836" t="s">
        <v>66</v>
      </c>
      <c r="F1836" s="5">
        <v>42370</v>
      </c>
      <c r="G1836">
        <v>0</v>
      </c>
    </row>
    <row r="1837" spans="1:7" x14ac:dyDescent="0.25">
      <c r="A1837" t="s">
        <v>108</v>
      </c>
      <c r="B1837" t="s">
        <v>110</v>
      </c>
      <c r="C1837">
        <v>2310</v>
      </c>
      <c r="D1837" t="s">
        <v>62</v>
      </c>
      <c r="E1837" t="s">
        <v>66</v>
      </c>
      <c r="F1837" s="5">
        <v>42736</v>
      </c>
      <c r="G1837">
        <v>0</v>
      </c>
    </row>
    <row r="1838" spans="1:7" x14ac:dyDescent="0.25">
      <c r="A1838" t="s">
        <v>108</v>
      </c>
      <c r="B1838" t="s">
        <v>110</v>
      </c>
      <c r="C1838">
        <v>2310</v>
      </c>
      <c r="D1838" t="s">
        <v>62</v>
      </c>
      <c r="E1838" t="s">
        <v>67</v>
      </c>
      <c r="F1838" s="5">
        <v>42370</v>
      </c>
      <c r="G1838">
        <v>0</v>
      </c>
    </row>
    <row r="1839" spans="1:7" x14ac:dyDescent="0.25">
      <c r="A1839" t="s">
        <v>108</v>
      </c>
      <c r="B1839" t="s">
        <v>110</v>
      </c>
      <c r="C1839">
        <v>2310</v>
      </c>
      <c r="D1839" t="s">
        <v>62</v>
      </c>
      <c r="E1839" t="s">
        <v>67</v>
      </c>
      <c r="F1839" s="5">
        <v>42736</v>
      </c>
      <c r="G1839">
        <v>0</v>
      </c>
    </row>
    <row r="1840" spans="1:7" x14ac:dyDescent="0.25">
      <c r="A1840" t="s">
        <v>108</v>
      </c>
      <c r="B1840" t="s">
        <v>110</v>
      </c>
      <c r="C1840">
        <v>2310</v>
      </c>
      <c r="D1840" t="s">
        <v>62</v>
      </c>
      <c r="E1840" t="s">
        <v>68</v>
      </c>
      <c r="F1840" s="5">
        <v>42370</v>
      </c>
      <c r="G1840">
        <v>0</v>
      </c>
    </row>
    <row r="1841" spans="1:7" x14ac:dyDescent="0.25">
      <c r="A1841" t="s">
        <v>108</v>
      </c>
      <c r="B1841" t="s">
        <v>110</v>
      </c>
      <c r="C1841">
        <v>2310</v>
      </c>
      <c r="D1841" t="s">
        <v>62</v>
      </c>
      <c r="E1841" t="s">
        <v>68</v>
      </c>
      <c r="F1841" s="5">
        <v>42736</v>
      </c>
      <c r="G1841">
        <v>0</v>
      </c>
    </row>
    <row r="1842" spans="1:7" x14ac:dyDescent="0.25">
      <c r="A1842" t="s">
        <v>108</v>
      </c>
      <c r="B1842" t="s">
        <v>110</v>
      </c>
      <c r="C1842">
        <v>2310</v>
      </c>
      <c r="D1842" t="s">
        <v>62</v>
      </c>
      <c r="E1842" t="s">
        <v>69</v>
      </c>
      <c r="F1842" s="5">
        <v>42370</v>
      </c>
      <c r="G1842">
        <v>0</v>
      </c>
    </row>
    <row r="1843" spans="1:7" x14ac:dyDescent="0.25">
      <c r="A1843" t="s">
        <v>108</v>
      </c>
      <c r="B1843" t="s">
        <v>110</v>
      </c>
      <c r="C1843">
        <v>2310</v>
      </c>
      <c r="D1843" t="s">
        <v>62</v>
      </c>
      <c r="E1843" t="s">
        <v>69</v>
      </c>
      <c r="F1843" s="5">
        <v>42736</v>
      </c>
      <c r="G1843">
        <v>0</v>
      </c>
    </row>
    <row r="1844" spans="1:7" x14ac:dyDescent="0.25">
      <c r="A1844" t="s">
        <v>108</v>
      </c>
      <c r="B1844" t="s">
        <v>110</v>
      </c>
      <c r="C1844">
        <v>2310</v>
      </c>
      <c r="D1844" t="s">
        <v>62</v>
      </c>
      <c r="E1844" t="s">
        <v>70</v>
      </c>
      <c r="F1844" s="5">
        <v>42370</v>
      </c>
      <c r="G1844">
        <v>0</v>
      </c>
    </row>
    <row r="1845" spans="1:7" x14ac:dyDescent="0.25">
      <c r="A1845" t="s">
        <v>108</v>
      </c>
      <c r="B1845" t="s">
        <v>110</v>
      </c>
      <c r="C1845">
        <v>2310</v>
      </c>
      <c r="D1845" t="s">
        <v>62</v>
      </c>
      <c r="E1845" t="s">
        <v>70</v>
      </c>
      <c r="F1845" s="5">
        <v>42736</v>
      </c>
      <c r="G1845">
        <v>0</v>
      </c>
    </row>
    <row r="1846" spans="1:7" x14ac:dyDescent="0.25">
      <c r="A1846" t="s">
        <v>108</v>
      </c>
      <c r="B1846" t="s">
        <v>110</v>
      </c>
      <c r="C1846">
        <v>2310</v>
      </c>
      <c r="D1846" t="s">
        <v>62</v>
      </c>
      <c r="E1846" t="s">
        <v>71</v>
      </c>
      <c r="F1846" s="5">
        <v>42370</v>
      </c>
      <c r="G1846">
        <v>0</v>
      </c>
    </row>
    <row r="1847" spans="1:7" x14ac:dyDescent="0.25">
      <c r="A1847" t="s">
        <v>108</v>
      </c>
      <c r="B1847" t="s">
        <v>110</v>
      </c>
      <c r="C1847">
        <v>2310</v>
      </c>
      <c r="D1847" t="s">
        <v>62</v>
      </c>
      <c r="E1847" t="s">
        <v>71</v>
      </c>
      <c r="F1847" s="5">
        <v>42736</v>
      </c>
      <c r="G1847">
        <v>0</v>
      </c>
    </row>
    <row r="1848" spans="1:7" x14ac:dyDescent="0.25">
      <c r="A1848" t="s">
        <v>108</v>
      </c>
      <c r="B1848" t="s">
        <v>110</v>
      </c>
      <c r="C1848">
        <v>2310</v>
      </c>
      <c r="D1848" t="s">
        <v>72</v>
      </c>
      <c r="E1848" t="s">
        <v>73</v>
      </c>
      <c r="F1848" s="5">
        <v>42370</v>
      </c>
      <c r="G1848">
        <v>0</v>
      </c>
    </row>
    <row r="1849" spans="1:7" x14ac:dyDescent="0.25">
      <c r="A1849" t="s">
        <v>108</v>
      </c>
      <c r="B1849" t="s">
        <v>110</v>
      </c>
      <c r="C1849">
        <v>2310</v>
      </c>
      <c r="D1849" t="s">
        <v>72</v>
      </c>
      <c r="E1849" t="s">
        <v>73</v>
      </c>
      <c r="F1849" s="5">
        <v>42736</v>
      </c>
      <c r="G1849">
        <v>0</v>
      </c>
    </row>
    <row r="1850" spans="1:7" x14ac:dyDescent="0.25">
      <c r="A1850" t="s">
        <v>108</v>
      </c>
      <c r="B1850" t="s">
        <v>110</v>
      </c>
      <c r="C1850">
        <v>2310</v>
      </c>
      <c r="D1850" t="s">
        <v>72</v>
      </c>
      <c r="E1850" t="s">
        <v>9</v>
      </c>
      <c r="F1850" s="5">
        <v>42370</v>
      </c>
      <c r="G1850">
        <v>0</v>
      </c>
    </row>
    <row r="1851" spans="1:7" x14ac:dyDescent="0.25">
      <c r="A1851" t="s">
        <v>108</v>
      </c>
      <c r="B1851" t="s">
        <v>110</v>
      </c>
      <c r="C1851">
        <v>2310</v>
      </c>
      <c r="D1851" t="s">
        <v>72</v>
      </c>
      <c r="E1851" t="s">
        <v>9</v>
      </c>
      <c r="F1851" s="5">
        <v>42736</v>
      </c>
      <c r="G1851">
        <v>0</v>
      </c>
    </row>
    <row r="1852" spans="1:7" x14ac:dyDescent="0.25">
      <c r="A1852" t="s">
        <v>108</v>
      </c>
      <c r="B1852" t="s">
        <v>110</v>
      </c>
      <c r="C1852">
        <v>2310</v>
      </c>
      <c r="D1852" t="s">
        <v>72</v>
      </c>
      <c r="E1852" t="s">
        <v>34</v>
      </c>
      <c r="F1852" s="5">
        <v>42370</v>
      </c>
      <c r="G1852">
        <v>0</v>
      </c>
    </row>
    <row r="1853" spans="1:7" x14ac:dyDescent="0.25">
      <c r="A1853" t="s">
        <v>108</v>
      </c>
      <c r="B1853" t="s">
        <v>110</v>
      </c>
      <c r="C1853">
        <v>2310</v>
      </c>
      <c r="D1853" t="s">
        <v>72</v>
      </c>
      <c r="E1853" t="s">
        <v>34</v>
      </c>
      <c r="F1853" s="5">
        <v>42736</v>
      </c>
      <c r="G1853">
        <v>0</v>
      </c>
    </row>
    <row r="1854" spans="1:7" x14ac:dyDescent="0.25">
      <c r="A1854" t="s">
        <v>108</v>
      </c>
      <c r="B1854" t="s">
        <v>110</v>
      </c>
      <c r="C1854">
        <v>2310</v>
      </c>
      <c r="D1854" t="s">
        <v>72</v>
      </c>
      <c r="E1854" t="s">
        <v>74</v>
      </c>
      <c r="F1854" s="5">
        <v>42370</v>
      </c>
      <c r="G1854">
        <v>0</v>
      </c>
    </row>
    <row r="1855" spans="1:7" x14ac:dyDescent="0.25">
      <c r="A1855" t="s">
        <v>108</v>
      </c>
      <c r="B1855" t="s">
        <v>110</v>
      </c>
      <c r="C1855">
        <v>2310</v>
      </c>
      <c r="D1855" t="s">
        <v>72</v>
      </c>
      <c r="E1855" t="s">
        <v>74</v>
      </c>
      <c r="F1855" s="5">
        <v>42736</v>
      </c>
      <c r="G1855">
        <v>0</v>
      </c>
    </row>
    <row r="1856" spans="1:7" x14ac:dyDescent="0.25">
      <c r="A1856" t="s">
        <v>108</v>
      </c>
      <c r="B1856" t="s">
        <v>110</v>
      </c>
      <c r="C1856">
        <v>2310</v>
      </c>
      <c r="D1856" t="s">
        <v>72</v>
      </c>
      <c r="E1856" t="s">
        <v>75</v>
      </c>
      <c r="F1856" s="5">
        <v>42370</v>
      </c>
      <c r="G1856">
        <v>0</v>
      </c>
    </row>
    <row r="1857" spans="1:7" x14ac:dyDescent="0.25">
      <c r="A1857" t="s">
        <v>108</v>
      </c>
      <c r="B1857" t="s">
        <v>110</v>
      </c>
      <c r="C1857">
        <v>2310</v>
      </c>
      <c r="D1857" t="s">
        <v>72</v>
      </c>
      <c r="E1857" t="s">
        <v>75</v>
      </c>
      <c r="F1857" s="5">
        <v>42736</v>
      </c>
      <c r="G1857">
        <v>0</v>
      </c>
    </row>
    <row r="1858" spans="1:7" x14ac:dyDescent="0.25">
      <c r="A1858" t="s">
        <v>108</v>
      </c>
      <c r="B1858" t="s">
        <v>110</v>
      </c>
      <c r="C1858">
        <v>2310</v>
      </c>
      <c r="D1858" t="s">
        <v>76</v>
      </c>
      <c r="E1858" t="s">
        <v>9</v>
      </c>
      <c r="F1858" s="5">
        <v>42370</v>
      </c>
      <c r="G1858">
        <v>0</v>
      </c>
    </row>
    <row r="1859" spans="1:7" x14ac:dyDescent="0.25">
      <c r="A1859" t="s">
        <v>108</v>
      </c>
      <c r="B1859" t="s">
        <v>110</v>
      </c>
      <c r="C1859">
        <v>2310</v>
      </c>
      <c r="D1859" t="s">
        <v>76</v>
      </c>
      <c r="E1859" t="s">
        <v>9</v>
      </c>
      <c r="F1859" s="5">
        <v>42736</v>
      </c>
      <c r="G1859">
        <v>0</v>
      </c>
    </row>
    <row r="1860" spans="1:7" x14ac:dyDescent="0.25">
      <c r="A1860" t="s">
        <v>108</v>
      </c>
      <c r="B1860" t="s">
        <v>110</v>
      </c>
      <c r="C1860">
        <v>2310</v>
      </c>
      <c r="D1860" t="s">
        <v>76</v>
      </c>
      <c r="E1860" t="s">
        <v>77</v>
      </c>
      <c r="F1860" s="5">
        <v>42370</v>
      </c>
      <c r="G1860">
        <v>0</v>
      </c>
    </row>
    <row r="1861" spans="1:7" x14ac:dyDescent="0.25">
      <c r="A1861" t="s">
        <v>108</v>
      </c>
      <c r="B1861" t="s">
        <v>110</v>
      </c>
      <c r="C1861">
        <v>2310</v>
      </c>
      <c r="D1861" t="s">
        <v>76</v>
      </c>
      <c r="E1861" t="s">
        <v>77</v>
      </c>
      <c r="F1861" s="5">
        <v>42736</v>
      </c>
      <c r="G1861">
        <v>0</v>
      </c>
    </row>
    <row r="1862" spans="1:7" x14ac:dyDescent="0.25">
      <c r="A1862" t="s">
        <v>108</v>
      </c>
      <c r="B1862" t="s">
        <v>110</v>
      </c>
      <c r="C1862">
        <v>2310</v>
      </c>
      <c r="D1862" t="s">
        <v>78</v>
      </c>
      <c r="E1862" t="s">
        <v>79</v>
      </c>
      <c r="F1862" s="5">
        <v>42370</v>
      </c>
      <c r="G1862">
        <v>0</v>
      </c>
    </row>
    <row r="1863" spans="1:7" x14ac:dyDescent="0.25">
      <c r="A1863" t="s">
        <v>108</v>
      </c>
      <c r="B1863" t="s">
        <v>110</v>
      </c>
      <c r="C1863">
        <v>2310</v>
      </c>
      <c r="D1863" t="s">
        <v>78</v>
      </c>
      <c r="E1863" t="s">
        <v>79</v>
      </c>
      <c r="F1863" s="5">
        <v>42736</v>
      </c>
      <c r="G1863">
        <v>0</v>
      </c>
    </row>
    <row r="1864" spans="1:7" x14ac:dyDescent="0.25">
      <c r="A1864" t="s">
        <v>108</v>
      </c>
      <c r="B1864" t="s">
        <v>110</v>
      </c>
      <c r="C1864">
        <v>2310</v>
      </c>
      <c r="D1864" t="s">
        <v>78</v>
      </c>
      <c r="E1864" t="s">
        <v>80</v>
      </c>
      <c r="F1864" s="5">
        <v>42370</v>
      </c>
      <c r="G1864">
        <v>0</v>
      </c>
    </row>
    <row r="1865" spans="1:7" x14ac:dyDescent="0.25">
      <c r="A1865" t="s">
        <v>108</v>
      </c>
      <c r="B1865" t="s">
        <v>110</v>
      </c>
      <c r="C1865">
        <v>2310</v>
      </c>
      <c r="D1865" t="s">
        <v>78</v>
      </c>
      <c r="E1865" t="s">
        <v>80</v>
      </c>
      <c r="F1865" s="5">
        <v>42736</v>
      </c>
      <c r="G1865">
        <v>0</v>
      </c>
    </row>
    <row r="1866" spans="1:7" x14ac:dyDescent="0.25">
      <c r="A1866" t="s">
        <v>108</v>
      </c>
      <c r="B1866" t="s">
        <v>110</v>
      </c>
      <c r="C1866">
        <v>2310</v>
      </c>
      <c r="D1866" t="s">
        <v>78</v>
      </c>
      <c r="E1866" t="s">
        <v>81</v>
      </c>
      <c r="F1866" s="5">
        <v>42370</v>
      </c>
      <c r="G1866">
        <v>107</v>
      </c>
    </row>
    <row r="1867" spans="1:7" x14ac:dyDescent="0.25">
      <c r="A1867" t="s">
        <v>108</v>
      </c>
      <c r="B1867" t="s">
        <v>110</v>
      </c>
      <c r="C1867">
        <v>2310</v>
      </c>
      <c r="D1867" t="s">
        <v>78</v>
      </c>
      <c r="E1867" t="s">
        <v>81</v>
      </c>
      <c r="F1867" s="5">
        <v>42736</v>
      </c>
      <c r="G1867">
        <v>201</v>
      </c>
    </row>
    <row r="1868" spans="1:7" x14ac:dyDescent="0.25">
      <c r="A1868" t="s">
        <v>108</v>
      </c>
      <c r="B1868" t="s">
        <v>110</v>
      </c>
      <c r="C1868">
        <v>2310</v>
      </c>
      <c r="D1868" t="s">
        <v>78</v>
      </c>
      <c r="E1868" t="s">
        <v>82</v>
      </c>
      <c r="F1868" s="5">
        <v>42370</v>
      </c>
      <c r="G1868">
        <v>0</v>
      </c>
    </row>
    <row r="1869" spans="1:7" x14ac:dyDescent="0.25">
      <c r="A1869" t="s">
        <v>108</v>
      </c>
      <c r="B1869" t="s">
        <v>110</v>
      </c>
      <c r="C1869">
        <v>2310</v>
      </c>
      <c r="D1869" t="s">
        <v>78</v>
      </c>
      <c r="E1869" t="s">
        <v>82</v>
      </c>
      <c r="F1869" s="5">
        <v>42736</v>
      </c>
      <c r="G1869">
        <v>0</v>
      </c>
    </row>
    <row r="1870" spans="1:7" x14ac:dyDescent="0.25">
      <c r="A1870" t="s">
        <v>108</v>
      </c>
      <c r="B1870" t="s">
        <v>110</v>
      </c>
      <c r="C1870">
        <v>2310</v>
      </c>
      <c r="D1870" t="s">
        <v>78</v>
      </c>
      <c r="E1870" t="s">
        <v>83</v>
      </c>
      <c r="F1870" s="5">
        <v>42370</v>
      </c>
      <c r="G1870">
        <v>0</v>
      </c>
    </row>
    <row r="1871" spans="1:7" x14ac:dyDescent="0.25">
      <c r="A1871" t="s">
        <v>108</v>
      </c>
      <c r="B1871" t="s">
        <v>110</v>
      </c>
      <c r="C1871">
        <v>2310</v>
      </c>
      <c r="D1871" t="s">
        <v>78</v>
      </c>
      <c r="E1871" t="s">
        <v>83</v>
      </c>
      <c r="F1871" s="5">
        <v>42736</v>
      </c>
      <c r="G1871">
        <v>0</v>
      </c>
    </row>
    <row r="1872" spans="1:7" x14ac:dyDescent="0.25">
      <c r="A1872" t="s">
        <v>108</v>
      </c>
      <c r="B1872" t="s">
        <v>110</v>
      </c>
      <c r="C1872">
        <v>2310</v>
      </c>
      <c r="D1872" t="s">
        <v>78</v>
      </c>
      <c r="E1872" t="s">
        <v>84</v>
      </c>
      <c r="F1872" s="5">
        <v>42370</v>
      </c>
      <c r="G1872">
        <v>0</v>
      </c>
    </row>
    <row r="1873" spans="1:7" x14ac:dyDescent="0.25">
      <c r="A1873" t="s">
        <v>108</v>
      </c>
      <c r="B1873" t="s">
        <v>110</v>
      </c>
      <c r="C1873">
        <v>2310</v>
      </c>
      <c r="D1873" t="s">
        <v>78</v>
      </c>
      <c r="E1873" t="s">
        <v>84</v>
      </c>
      <c r="F1873" s="5">
        <v>42736</v>
      </c>
      <c r="G1873">
        <v>0</v>
      </c>
    </row>
    <row r="1874" spans="1:7" x14ac:dyDescent="0.25">
      <c r="A1874" t="s">
        <v>108</v>
      </c>
      <c r="B1874" t="s">
        <v>110</v>
      </c>
      <c r="C1874">
        <v>2310</v>
      </c>
      <c r="D1874" t="s">
        <v>78</v>
      </c>
      <c r="E1874" t="s">
        <v>85</v>
      </c>
      <c r="F1874" s="5">
        <v>42370</v>
      </c>
      <c r="G1874">
        <v>0</v>
      </c>
    </row>
    <row r="1875" spans="1:7" x14ac:dyDescent="0.25">
      <c r="A1875" t="s">
        <v>108</v>
      </c>
      <c r="B1875" t="s">
        <v>110</v>
      </c>
      <c r="C1875">
        <v>2310</v>
      </c>
      <c r="D1875" t="s">
        <v>78</v>
      </c>
      <c r="E1875" t="s">
        <v>85</v>
      </c>
      <c r="F1875" s="5">
        <v>42736</v>
      </c>
      <c r="G1875">
        <v>0</v>
      </c>
    </row>
    <row r="1876" spans="1:7" x14ac:dyDescent="0.25">
      <c r="A1876" t="s">
        <v>108</v>
      </c>
      <c r="B1876" t="s">
        <v>110</v>
      </c>
      <c r="C1876">
        <v>2310</v>
      </c>
      <c r="D1876" t="s">
        <v>78</v>
      </c>
      <c r="E1876" t="s">
        <v>86</v>
      </c>
      <c r="F1876" s="5">
        <v>42370</v>
      </c>
      <c r="G1876">
        <v>0</v>
      </c>
    </row>
    <row r="1877" spans="1:7" x14ac:dyDescent="0.25">
      <c r="A1877" t="s">
        <v>108</v>
      </c>
      <c r="B1877" t="s">
        <v>110</v>
      </c>
      <c r="C1877">
        <v>2310</v>
      </c>
      <c r="D1877" t="s">
        <v>78</v>
      </c>
      <c r="E1877" t="s">
        <v>86</v>
      </c>
      <c r="F1877" s="5">
        <v>42736</v>
      </c>
      <c r="G1877">
        <v>0</v>
      </c>
    </row>
    <row r="1878" spans="1:7" x14ac:dyDescent="0.25">
      <c r="A1878" t="s">
        <v>108</v>
      </c>
      <c r="B1878" t="s">
        <v>110</v>
      </c>
      <c r="C1878">
        <v>2310</v>
      </c>
      <c r="D1878" t="s">
        <v>78</v>
      </c>
      <c r="E1878" t="s">
        <v>87</v>
      </c>
      <c r="F1878" s="5">
        <v>42370</v>
      </c>
      <c r="G1878">
        <v>0</v>
      </c>
    </row>
    <row r="1879" spans="1:7" x14ac:dyDescent="0.25">
      <c r="A1879" t="s">
        <v>108</v>
      </c>
      <c r="B1879" t="s">
        <v>110</v>
      </c>
      <c r="C1879">
        <v>2310</v>
      </c>
      <c r="D1879" t="s">
        <v>78</v>
      </c>
      <c r="E1879" t="s">
        <v>87</v>
      </c>
      <c r="F1879" s="5">
        <v>42736</v>
      </c>
      <c r="G1879">
        <v>0</v>
      </c>
    </row>
    <row r="1880" spans="1:7" x14ac:dyDescent="0.25">
      <c r="A1880" t="s">
        <v>108</v>
      </c>
      <c r="B1880" t="s">
        <v>110</v>
      </c>
      <c r="C1880">
        <v>2310</v>
      </c>
      <c r="D1880" t="s">
        <v>78</v>
      </c>
      <c r="E1880" t="s">
        <v>88</v>
      </c>
      <c r="F1880" s="5">
        <v>42370</v>
      </c>
      <c r="G1880">
        <v>34</v>
      </c>
    </row>
    <row r="1881" spans="1:7" x14ac:dyDescent="0.25">
      <c r="A1881" t="s">
        <v>108</v>
      </c>
      <c r="B1881" t="s">
        <v>110</v>
      </c>
      <c r="C1881">
        <v>2310</v>
      </c>
      <c r="D1881" t="s">
        <v>78</v>
      </c>
      <c r="E1881" t="s">
        <v>88</v>
      </c>
      <c r="F1881" s="5">
        <v>42736</v>
      </c>
      <c r="G1881">
        <v>42</v>
      </c>
    </row>
    <row r="1882" spans="1:7" x14ac:dyDescent="0.25">
      <c r="A1882" t="s">
        <v>108</v>
      </c>
      <c r="B1882" t="s">
        <v>110</v>
      </c>
      <c r="C1882">
        <v>2310</v>
      </c>
      <c r="D1882" t="s">
        <v>78</v>
      </c>
      <c r="E1882" t="s">
        <v>89</v>
      </c>
      <c r="F1882" s="5">
        <v>42370</v>
      </c>
      <c r="G1882">
        <v>307</v>
      </c>
    </row>
    <row r="1883" spans="1:7" x14ac:dyDescent="0.25">
      <c r="A1883" t="s">
        <v>108</v>
      </c>
      <c r="B1883" t="s">
        <v>110</v>
      </c>
      <c r="C1883">
        <v>2310</v>
      </c>
      <c r="D1883" t="s">
        <v>78</v>
      </c>
      <c r="E1883" t="s">
        <v>89</v>
      </c>
      <c r="F1883" s="5">
        <v>42736</v>
      </c>
      <c r="G1883">
        <v>350</v>
      </c>
    </row>
    <row r="1884" spans="1:7" x14ac:dyDescent="0.25">
      <c r="A1884" t="s">
        <v>108</v>
      </c>
      <c r="B1884" t="s">
        <v>110</v>
      </c>
      <c r="C1884">
        <v>2310</v>
      </c>
      <c r="D1884" t="s">
        <v>78</v>
      </c>
      <c r="E1884" t="s">
        <v>90</v>
      </c>
      <c r="F1884" s="5">
        <v>42370</v>
      </c>
      <c r="G1884">
        <v>0</v>
      </c>
    </row>
    <row r="1885" spans="1:7" x14ac:dyDescent="0.25">
      <c r="A1885" t="s">
        <v>108</v>
      </c>
      <c r="B1885" t="s">
        <v>110</v>
      </c>
      <c r="C1885">
        <v>2310</v>
      </c>
      <c r="D1885" t="s">
        <v>78</v>
      </c>
      <c r="E1885" t="s">
        <v>90</v>
      </c>
      <c r="F1885" s="5">
        <v>42736</v>
      </c>
      <c r="G1885">
        <v>0</v>
      </c>
    </row>
    <row r="1886" spans="1:7" x14ac:dyDescent="0.25">
      <c r="A1886" t="s">
        <v>108</v>
      </c>
      <c r="B1886" t="s">
        <v>110</v>
      </c>
      <c r="C1886">
        <v>2310</v>
      </c>
      <c r="D1886" t="s">
        <v>78</v>
      </c>
      <c r="E1886" t="s">
        <v>91</v>
      </c>
      <c r="F1886" s="5">
        <v>42370</v>
      </c>
      <c r="G1886">
        <v>0</v>
      </c>
    </row>
    <row r="1887" spans="1:7" x14ac:dyDescent="0.25">
      <c r="A1887" t="s">
        <v>108</v>
      </c>
      <c r="B1887" t="s">
        <v>110</v>
      </c>
      <c r="C1887">
        <v>2310</v>
      </c>
      <c r="D1887" t="s">
        <v>78</v>
      </c>
      <c r="E1887" t="s">
        <v>91</v>
      </c>
      <c r="F1887" s="5">
        <v>42736</v>
      </c>
      <c r="G1887">
        <v>0</v>
      </c>
    </row>
    <row r="1888" spans="1:7" x14ac:dyDescent="0.25">
      <c r="A1888" t="s">
        <v>108</v>
      </c>
      <c r="B1888" t="s">
        <v>110</v>
      </c>
      <c r="C1888">
        <v>2310</v>
      </c>
      <c r="D1888" t="s">
        <v>78</v>
      </c>
      <c r="E1888" t="s">
        <v>92</v>
      </c>
      <c r="F1888" s="5">
        <v>42370</v>
      </c>
      <c r="G1888">
        <v>0</v>
      </c>
    </row>
    <row r="1889" spans="1:7" x14ac:dyDescent="0.25">
      <c r="A1889" t="s">
        <v>108</v>
      </c>
      <c r="B1889" t="s">
        <v>110</v>
      </c>
      <c r="C1889">
        <v>2310</v>
      </c>
      <c r="D1889" t="s">
        <v>78</v>
      </c>
      <c r="E1889" t="s">
        <v>92</v>
      </c>
      <c r="F1889" s="5">
        <v>42736</v>
      </c>
      <c r="G1889">
        <v>0</v>
      </c>
    </row>
    <row r="1890" spans="1:7" x14ac:dyDescent="0.25">
      <c r="A1890" t="s">
        <v>108</v>
      </c>
      <c r="B1890" t="s">
        <v>110</v>
      </c>
      <c r="C1890">
        <v>2310</v>
      </c>
      <c r="D1890" t="s">
        <v>78</v>
      </c>
      <c r="E1890" t="s">
        <v>93</v>
      </c>
      <c r="F1890" s="5">
        <v>42370</v>
      </c>
      <c r="G1890">
        <v>0</v>
      </c>
    </row>
    <row r="1891" spans="1:7" x14ac:dyDescent="0.25">
      <c r="A1891" t="s">
        <v>108</v>
      </c>
      <c r="B1891" t="s">
        <v>110</v>
      </c>
      <c r="C1891">
        <v>2310</v>
      </c>
      <c r="D1891" t="s">
        <v>78</v>
      </c>
      <c r="E1891" t="s">
        <v>93</v>
      </c>
      <c r="F1891" s="5">
        <v>42736</v>
      </c>
      <c r="G1891">
        <v>0</v>
      </c>
    </row>
    <row r="1892" spans="1:7" x14ac:dyDescent="0.25">
      <c r="A1892" t="s">
        <v>108</v>
      </c>
      <c r="B1892" t="s">
        <v>110</v>
      </c>
      <c r="C1892">
        <v>2310</v>
      </c>
      <c r="D1892" t="s">
        <v>78</v>
      </c>
      <c r="E1892" t="s">
        <v>94</v>
      </c>
      <c r="F1892" s="5">
        <v>42370</v>
      </c>
      <c r="G1892">
        <v>0</v>
      </c>
    </row>
    <row r="1893" spans="1:7" x14ac:dyDescent="0.25">
      <c r="A1893" t="s">
        <v>108</v>
      </c>
      <c r="B1893" t="s">
        <v>110</v>
      </c>
      <c r="C1893">
        <v>2310</v>
      </c>
      <c r="D1893" t="s">
        <v>78</v>
      </c>
      <c r="E1893" t="s">
        <v>94</v>
      </c>
      <c r="F1893" s="5">
        <v>42736</v>
      </c>
      <c r="G1893">
        <v>0</v>
      </c>
    </row>
    <row r="1894" spans="1:7" x14ac:dyDescent="0.25">
      <c r="A1894" t="s">
        <v>108</v>
      </c>
      <c r="B1894" t="s">
        <v>110</v>
      </c>
      <c r="C1894">
        <v>2310</v>
      </c>
      <c r="D1894" t="s">
        <v>78</v>
      </c>
      <c r="E1894" t="s">
        <v>95</v>
      </c>
      <c r="F1894" s="5">
        <v>42370</v>
      </c>
      <c r="G1894">
        <v>0</v>
      </c>
    </row>
    <row r="1895" spans="1:7" x14ac:dyDescent="0.25">
      <c r="A1895" t="s">
        <v>108</v>
      </c>
      <c r="B1895" t="s">
        <v>110</v>
      </c>
      <c r="C1895">
        <v>2310</v>
      </c>
      <c r="D1895" t="s">
        <v>78</v>
      </c>
      <c r="E1895" t="s">
        <v>95</v>
      </c>
      <c r="F1895" s="5">
        <v>42736</v>
      </c>
      <c r="G1895">
        <v>0</v>
      </c>
    </row>
    <row r="1896" spans="1:7" x14ac:dyDescent="0.25">
      <c r="A1896" t="s">
        <v>108</v>
      </c>
      <c r="B1896" t="s">
        <v>110</v>
      </c>
      <c r="C1896">
        <v>2310</v>
      </c>
      <c r="D1896" t="s">
        <v>78</v>
      </c>
      <c r="E1896" t="s">
        <v>96</v>
      </c>
      <c r="F1896" s="5">
        <v>42370</v>
      </c>
      <c r="G1896">
        <v>0</v>
      </c>
    </row>
    <row r="1897" spans="1:7" x14ac:dyDescent="0.25">
      <c r="A1897" t="s">
        <v>108</v>
      </c>
      <c r="B1897" t="s">
        <v>110</v>
      </c>
      <c r="C1897">
        <v>2310</v>
      </c>
      <c r="D1897" t="s">
        <v>78</v>
      </c>
      <c r="E1897" t="s">
        <v>96</v>
      </c>
      <c r="F1897" s="5">
        <v>42736</v>
      </c>
      <c r="G1897">
        <v>0</v>
      </c>
    </row>
    <row r="1898" spans="1:7" x14ac:dyDescent="0.25">
      <c r="A1898" t="s">
        <v>108</v>
      </c>
      <c r="B1898" t="s">
        <v>110</v>
      </c>
      <c r="C1898">
        <v>2310</v>
      </c>
      <c r="D1898" t="s">
        <v>78</v>
      </c>
      <c r="E1898" t="s">
        <v>97</v>
      </c>
      <c r="F1898" s="5">
        <v>42370</v>
      </c>
      <c r="G1898">
        <v>0</v>
      </c>
    </row>
    <row r="1899" spans="1:7" x14ac:dyDescent="0.25">
      <c r="A1899" t="s">
        <v>108</v>
      </c>
      <c r="B1899" t="s">
        <v>110</v>
      </c>
      <c r="C1899">
        <v>2310</v>
      </c>
      <c r="D1899" t="s">
        <v>78</v>
      </c>
      <c r="E1899" t="s">
        <v>97</v>
      </c>
      <c r="F1899" s="5">
        <v>42736</v>
      </c>
      <c r="G1899">
        <v>0</v>
      </c>
    </row>
    <row r="1900" spans="1:7" x14ac:dyDescent="0.25">
      <c r="A1900" t="s">
        <v>108</v>
      </c>
      <c r="B1900" t="s">
        <v>110</v>
      </c>
      <c r="C1900">
        <v>2310</v>
      </c>
      <c r="D1900" t="s">
        <v>78</v>
      </c>
      <c r="E1900" t="s">
        <v>98</v>
      </c>
      <c r="F1900" s="5">
        <v>42370</v>
      </c>
      <c r="G1900">
        <v>1</v>
      </c>
    </row>
    <row r="1901" spans="1:7" x14ac:dyDescent="0.25">
      <c r="A1901" t="s">
        <v>108</v>
      </c>
      <c r="B1901" t="s">
        <v>110</v>
      </c>
      <c r="C1901">
        <v>2310</v>
      </c>
      <c r="D1901" t="s">
        <v>78</v>
      </c>
      <c r="E1901" t="s">
        <v>98</v>
      </c>
      <c r="F1901" s="5">
        <v>42736</v>
      </c>
      <c r="G1901">
        <v>0</v>
      </c>
    </row>
    <row r="1902" spans="1:7" x14ac:dyDescent="0.25">
      <c r="A1902" t="s">
        <v>108</v>
      </c>
      <c r="B1902" t="s">
        <v>111</v>
      </c>
      <c r="C1902">
        <v>2320</v>
      </c>
      <c r="D1902" t="s">
        <v>8</v>
      </c>
      <c r="E1902" t="s">
        <v>9</v>
      </c>
      <c r="F1902" s="5">
        <v>42370</v>
      </c>
      <c r="G1902">
        <v>0</v>
      </c>
    </row>
    <row r="1903" spans="1:7" x14ac:dyDescent="0.25">
      <c r="A1903" t="s">
        <v>108</v>
      </c>
      <c r="B1903" t="s">
        <v>111</v>
      </c>
      <c r="C1903">
        <v>2320</v>
      </c>
      <c r="D1903" t="s">
        <v>8</v>
      </c>
      <c r="E1903" t="s">
        <v>9</v>
      </c>
      <c r="F1903" s="5">
        <v>42736</v>
      </c>
      <c r="G1903">
        <v>0</v>
      </c>
    </row>
    <row r="1904" spans="1:7" x14ac:dyDescent="0.25">
      <c r="A1904" t="s">
        <v>108</v>
      </c>
      <c r="B1904" t="s">
        <v>111</v>
      </c>
      <c r="C1904">
        <v>2320</v>
      </c>
      <c r="D1904" t="s">
        <v>8</v>
      </c>
      <c r="E1904" t="s">
        <v>10</v>
      </c>
      <c r="F1904" s="5">
        <v>42370</v>
      </c>
      <c r="G1904">
        <v>0</v>
      </c>
    </row>
    <row r="1905" spans="1:7" x14ac:dyDescent="0.25">
      <c r="A1905" t="s">
        <v>108</v>
      </c>
      <c r="B1905" t="s">
        <v>111</v>
      </c>
      <c r="C1905">
        <v>2320</v>
      </c>
      <c r="D1905" t="s">
        <v>8</v>
      </c>
      <c r="E1905" t="s">
        <v>10</v>
      </c>
      <c r="F1905" s="5">
        <v>42736</v>
      </c>
      <c r="G1905">
        <v>0</v>
      </c>
    </row>
    <row r="1906" spans="1:7" x14ac:dyDescent="0.25">
      <c r="A1906" t="s">
        <v>108</v>
      </c>
      <c r="B1906" t="s">
        <v>111</v>
      </c>
      <c r="C1906">
        <v>2320</v>
      </c>
      <c r="D1906" t="s">
        <v>8</v>
      </c>
      <c r="E1906" t="s">
        <v>11</v>
      </c>
      <c r="F1906" s="5">
        <v>42370</v>
      </c>
      <c r="G1906">
        <v>0</v>
      </c>
    </row>
    <row r="1907" spans="1:7" x14ac:dyDescent="0.25">
      <c r="A1907" t="s">
        <v>108</v>
      </c>
      <c r="B1907" t="s">
        <v>111</v>
      </c>
      <c r="C1907">
        <v>2320</v>
      </c>
      <c r="D1907" t="s">
        <v>8</v>
      </c>
      <c r="E1907" t="s">
        <v>11</v>
      </c>
      <c r="F1907" s="5">
        <v>42736</v>
      </c>
      <c r="G1907">
        <v>0</v>
      </c>
    </row>
    <row r="1908" spans="1:7" x14ac:dyDescent="0.25">
      <c r="A1908" t="s">
        <v>108</v>
      </c>
      <c r="B1908" t="s">
        <v>111</v>
      </c>
      <c r="C1908">
        <v>2320</v>
      </c>
      <c r="D1908" t="s">
        <v>8</v>
      </c>
      <c r="E1908" t="s">
        <v>12</v>
      </c>
      <c r="F1908" s="5">
        <v>42370</v>
      </c>
      <c r="G1908">
        <v>0</v>
      </c>
    </row>
    <row r="1909" spans="1:7" x14ac:dyDescent="0.25">
      <c r="A1909" t="s">
        <v>108</v>
      </c>
      <c r="B1909" t="s">
        <v>111</v>
      </c>
      <c r="C1909">
        <v>2320</v>
      </c>
      <c r="D1909" t="s">
        <v>8</v>
      </c>
      <c r="E1909" t="s">
        <v>12</v>
      </c>
      <c r="F1909" s="5">
        <v>42736</v>
      </c>
      <c r="G1909">
        <v>0</v>
      </c>
    </row>
    <row r="1910" spans="1:7" x14ac:dyDescent="0.25">
      <c r="A1910" t="s">
        <v>108</v>
      </c>
      <c r="B1910" t="s">
        <v>111</v>
      </c>
      <c r="C1910">
        <v>2320</v>
      </c>
      <c r="D1910" t="s">
        <v>8</v>
      </c>
      <c r="E1910" t="s">
        <v>13</v>
      </c>
      <c r="F1910" s="5">
        <v>42370</v>
      </c>
      <c r="G1910">
        <v>0</v>
      </c>
    </row>
    <row r="1911" spans="1:7" x14ac:dyDescent="0.25">
      <c r="A1911" t="s">
        <v>108</v>
      </c>
      <c r="B1911" t="s">
        <v>111</v>
      </c>
      <c r="C1911">
        <v>2320</v>
      </c>
      <c r="D1911" t="s">
        <v>8</v>
      </c>
      <c r="E1911" t="s">
        <v>13</v>
      </c>
      <c r="F1911" s="5">
        <v>42736</v>
      </c>
      <c r="G1911">
        <v>0</v>
      </c>
    </row>
    <row r="1912" spans="1:7" x14ac:dyDescent="0.25">
      <c r="A1912" t="s">
        <v>108</v>
      </c>
      <c r="B1912" t="s">
        <v>111</v>
      </c>
      <c r="C1912">
        <v>2320</v>
      </c>
      <c r="D1912" t="s">
        <v>8</v>
      </c>
      <c r="E1912" t="s">
        <v>14</v>
      </c>
      <c r="F1912" s="5">
        <v>42370</v>
      </c>
      <c r="G1912">
        <v>0</v>
      </c>
    </row>
    <row r="1913" spans="1:7" x14ac:dyDescent="0.25">
      <c r="A1913" t="s">
        <v>108</v>
      </c>
      <c r="B1913" t="s">
        <v>111</v>
      </c>
      <c r="C1913">
        <v>2320</v>
      </c>
      <c r="D1913" t="s">
        <v>8</v>
      </c>
      <c r="E1913" t="s">
        <v>14</v>
      </c>
      <c r="F1913" s="5">
        <v>42736</v>
      </c>
      <c r="G1913">
        <v>0</v>
      </c>
    </row>
    <row r="1914" spans="1:7" x14ac:dyDescent="0.25">
      <c r="A1914" t="s">
        <v>108</v>
      </c>
      <c r="B1914" t="s">
        <v>111</v>
      </c>
      <c r="C1914">
        <v>2320</v>
      </c>
      <c r="D1914" t="s">
        <v>8</v>
      </c>
      <c r="E1914" t="s">
        <v>15</v>
      </c>
      <c r="F1914" s="5">
        <v>42370</v>
      </c>
      <c r="G1914">
        <v>0</v>
      </c>
    </row>
    <row r="1915" spans="1:7" x14ac:dyDescent="0.25">
      <c r="A1915" t="s">
        <v>108</v>
      </c>
      <c r="B1915" t="s">
        <v>111</v>
      </c>
      <c r="C1915">
        <v>2320</v>
      </c>
      <c r="D1915" t="s">
        <v>8</v>
      </c>
      <c r="E1915" t="s">
        <v>15</v>
      </c>
      <c r="F1915" s="5">
        <v>42736</v>
      </c>
      <c r="G1915">
        <v>0</v>
      </c>
    </row>
    <row r="1916" spans="1:7" x14ac:dyDescent="0.25">
      <c r="A1916" t="s">
        <v>108</v>
      </c>
      <c r="B1916" t="s">
        <v>111</v>
      </c>
      <c r="C1916">
        <v>2320</v>
      </c>
      <c r="D1916" t="s">
        <v>8</v>
      </c>
      <c r="E1916" t="s">
        <v>16</v>
      </c>
      <c r="F1916" s="5">
        <v>42370</v>
      </c>
      <c r="G1916">
        <v>0</v>
      </c>
    </row>
    <row r="1917" spans="1:7" x14ac:dyDescent="0.25">
      <c r="A1917" t="s">
        <v>108</v>
      </c>
      <c r="B1917" t="s">
        <v>111</v>
      </c>
      <c r="C1917">
        <v>2320</v>
      </c>
      <c r="D1917" t="s">
        <v>8</v>
      </c>
      <c r="E1917" t="s">
        <v>16</v>
      </c>
      <c r="F1917" s="5">
        <v>42736</v>
      </c>
      <c r="G1917">
        <v>0</v>
      </c>
    </row>
    <row r="1918" spans="1:7" x14ac:dyDescent="0.25">
      <c r="A1918" t="s">
        <v>108</v>
      </c>
      <c r="B1918" t="s">
        <v>111</v>
      </c>
      <c r="C1918">
        <v>2320</v>
      </c>
      <c r="D1918" t="s">
        <v>8</v>
      </c>
      <c r="E1918" t="s">
        <v>17</v>
      </c>
      <c r="F1918" s="5">
        <v>42370</v>
      </c>
      <c r="G1918">
        <v>0</v>
      </c>
    </row>
    <row r="1919" spans="1:7" x14ac:dyDescent="0.25">
      <c r="A1919" t="s">
        <v>108</v>
      </c>
      <c r="B1919" t="s">
        <v>111</v>
      </c>
      <c r="C1919">
        <v>2320</v>
      </c>
      <c r="D1919" t="s">
        <v>8</v>
      </c>
      <c r="E1919" t="s">
        <v>17</v>
      </c>
      <c r="F1919" s="5">
        <v>42736</v>
      </c>
      <c r="G1919">
        <v>0</v>
      </c>
    </row>
    <row r="1920" spans="1:7" x14ac:dyDescent="0.25">
      <c r="A1920" t="s">
        <v>108</v>
      </c>
      <c r="B1920" t="s">
        <v>111</v>
      </c>
      <c r="C1920">
        <v>2320</v>
      </c>
      <c r="D1920" t="s">
        <v>8</v>
      </c>
      <c r="E1920" t="s">
        <v>18</v>
      </c>
      <c r="F1920" s="5">
        <v>42370</v>
      </c>
      <c r="G1920">
        <v>0</v>
      </c>
    </row>
    <row r="1921" spans="1:7" x14ac:dyDescent="0.25">
      <c r="A1921" t="s">
        <v>108</v>
      </c>
      <c r="B1921" t="s">
        <v>111</v>
      </c>
      <c r="C1921">
        <v>2320</v>
      </c>
      <c r="D1921" t="s">
        <v>8</v>
      </c>
      <c r="E1921" t="s">
        <v>18</v>
      </c>
      <c r="F1921" s="5">
        <v>42736</v>
      </c>
      <c r="G1921">
        <v>0</v>
      </c>
    </row>
    <row r="1922" spans="1:7" x14ac:dyDescent="0.25">
      <c r="A1922" t="s">
        <v>108</v>
      </c>
      <c r="B1922" t="s">
        <v>111</v>
      </c>
      <c r="C1922">
        <v>2320</v>
      </c>
      <c r="D1922" t="s">
        <v>8</v>
      </c>
      <c r="E1922" t="s">
        <v>19</v>
      </c>
      <c r="F1922" s="5">
        <v>42370</v>
      </c>
      <c r="G1922">
        <v>0</v>
      </c>
    </row>
    <row r="1923" spans="1:7" x14ac:dyDescent="0.25">
      <c r="A1923" t="s">
        <v>108</v>
      </c>
      <c r="B1923" t="s">
        <v>111</v>
      </c>
      <c r="C1923">
        <v>2320</v>
      </c>
      <c r="D1923" t="s">
        <v>8</v>
      </c>
      <c r="E1923" t="s">
        <v>19</v>
      </c>
      <c r="F1923" s="5">
        <v>42736</v>
      </c>
      <c r="G1923">
        <v>0</v>
      </c>
    </row>
    <row r="1924" spans="1:7" x14ac:dyDescent="0.25">
      <c r="A1924" t="s">
        <v>108</v>
      </c>
      <c r="B1924" t="s">
        <v>111</v>
      </c>
      <c r="C1924">
        <v>2320</v>
      </c>
      <c r="D1924" t="s">
        <v>20</v>
      </c>
      <c r="E1924" t="s">
        <v>9</v>
      </c>
      <c r="F1924" s="5">
        <v>42370</v>
      </c>
      <c r="G1924">
        <v>1</v>
      </c>
    </row>
    <row r="1925" spans="1:7" x14ac:dyDescent="0.25">
      <c r="A1925" t="s">
        <v>108</v>
      </c>
      <c r="B1925" t="s">
        <v>111</v>
      </c>
      <c r="C1925">
        <v>2320</v>
      </c>
      <c r="D1925" t="s">
        <v>20</v>
      </c>
      <c r="E1925" t="s">
        <v>9</v>
      </c>
      <c r="F1925" s="5">
        <v>42736</v>
      </c>
      <c r="G1925">
        <v>1</v>
      </c>
    </row>
    <row r="1926" spans="1:7" x14ac:dyDescent="0.25">
      <c r="A1926" t="s">
        <v>108</v>
      </c>
      <c r="B1926" t="s">
        <v>111</v>
      </c>
      <c r="C1926">
        <v>2320</v>
      </c>
      <c r="D1926" t="s">
        <v>20</v>
      </c>
      <c r="E1926" t="s">
        <v>21</v>
      </c>
      <c r="F1926" s="5">
        <v>42370</v>
      </c>
      <c r="G1926">
        <v>0</v>
      </c>
    </row>
    <row r="1927" spans="1:7" x14ac:dyDescent="0.25">
      <c r="A1927" t="s">
        <v>108</v>
      </c>
      <c r="B1927" t="s">
        <v>111</v>
      </c>
      <c r="C1927">
        <v>2320</v>
      </c>
      <c r="D1927" t="s">
        <v>20</v>
      </c>
      <c r="E1927" t="s">
        <v>21</v>
      </c>
      <c r="F1927" s="5">
        <v>42736</v>
      </c>
      <c r="G1927">
        <v>0</v>
      </c>
    </row>
    <row r="1928" spans="1:7" x14ac:dyDescent="0.25">
      <c r="A1928" t="s">
        <v>108</v>
      </c>
      <c r="B1928" t="s">
        <v>111</v>
      </c>
      <c r="C1928">
        <v>2320</v>
      </c>
      <c r="D1928" t="s">
        <v>20</v>
      </c>
      <c r="E1928" t="s">
        <v>22</v>
      </c>
      <c r="F1928" s="5">
        <v>42370</v>
      </c>
      <c r="G1928">
        <v>0</v>
      </c>
    </row>
    <row r="1929" spans="1:7" x14ac:dyDescent="0.25">
      <c r="A1929" t="s">
        <v>108</v>
      </c>
      <c r="B1929" t="s">
        <v>111</v>
      </c>
      <c r="C1929">
        <v>2320</v>
      </c>
      <c r="D1929" t="s">
        <v>20</v>
      </c>
      <c r="E1929" t="s">
        <v>22</v>
      </c>
      <c r="F1929" s="5">
        <v>42736</v>
      </c>
      <c r="G1929">
        <v>0</v>
      </c>
    </row>
    <row r="1930" spans="1:7" x14ac:dyDescent="0.25">
      <c r="A1930" t="s">
        <v>108</v>
      </c>
      <c r="B1930" t="s">
        <v>111</v>
      </c>
      <c r="C1930">
        <v>2320</v>
      </c>
      <c r="D1930" t="s">
        <v>20</v>
      </c>
      <c r="E1930" t="s">
        <v>23</v>
      </c>
      <c r="F1930" s="5">
        <v>42370</v>
      </c>
      <c r="G1930">
        <v>0</v>
      </c>
    </row>
    <row r="1931" spans="1:7" x14ac:dyDescent="0.25">
      <c r="A1931" t="s">
        <v>108</v>
      </c>
      <c r="B1931" t="s">
        <v>111</v>
      </c>
      <c r="C1931">
        <v>2320</v>
      </c>
      <c r="D1931" t="s">
        <v>20</v>
      </c>
      <c r="E1931" t="s">
        <v>23</v>
      </c>
      <c r="F1931" s="5">
        <v>42736</v>
      </c>
      <c r="G1931">
        <v>0</v>
      </c>
    </row>
    <row r="1932" spans="1:7" x14ac:dyDescent="0.25">
      <c r="A1932" t="s">
        <v>108</v>
      </c>
      <c r="B1932" t="s">
        <v>111</v>
      </c>
      <c r="C1932">
        <v>2320</v>
      </c>
      <c r="D1932" t="s">
        <v>20</v>
      </c>
      <c r="E1932" t="s">
        <v>24</v>
      </c>
      <c r="F1932" s="5">
        <v>42370</v>
      </c>
      <c r="G1932">
        <v>0</v>
      </c>
    </row>
    <row r="1933" spans="1:7" x14ac:dyDescent="0.25">
      <c r="A1933" t="s">
        <v>108</v>
      </c>
      <c r="B1933" t="s">
        <v>111</v>
      </c>
      <c r="C1933">
        <v>2320</v>
      </c>
      <c r="D1933" t="s">
        <v>20</v>
      </c>
      <c r="E1933" t="s">
        <v>24</v>
      </c>
      <c r="F1933" s="5">
        <v>42736</v>
      </c>
      <c r="G1933">
        <v>0</v>
      </c>
    </row>
    <row r="1934" spans="1:7" x14ac:dyDescent="0.25">
      <c r="A1934" t="s">
        <v>108</v>
      </c>
      <c r="B1934" t="s">
        <v>111</v>
      </c>
      <c r="C1934">
        <v>2320</v>
      </c>
      <c r="D1934" t="s">
        <v>20</v>
      </c>
      <c r="E1934" t="s">
        <v>25</v>
      </c>
      <c r="F1934" s="5">
        <v>42370</v>
      </c>
      <c r="G1934">
        <v>0</v>
      </c>
    </row>
    <row r="1935" spans="1:7" x14ac:dyDescent="0.25">
      <c r="A1935" t="s">
        <v>108</v>
      </c>
      <c r="B1935" t="s">
        <v>111</v>
      </c>
      <c r="C1935">
        <v>2320</v>
      </c>
      <c r="D1935" t="s">
        <v>20</v>
      </c>
      <c r="E1935" t="s">
        <v>25</v>
      </c>
      <c r="F1935" s="5">
        <v>42736</v>
      </c>
      <c r="G1935">
        <v>0</v>
      </c>
    </row>
    <row r="1936" spans="1:7" x14ac:dyDescent="0.25">
      <c r="A1936" t="s">
        <v>108</v>
      </c>
      <c r="B1936" t="s">
        <v>111</v>
      </c>
      <c r="C1936">
        <v>2320</v>
      </c>
      <c r="D1936" t="s">
        <v>20</v>
      </c>
      <c r="E1936" t="s">
        <v>26</v>
      </c>
      <c r="F1936" s="5">
        <v>42370</v>
      </c>
      <c r="G1936">
        <v>29</v>
      </c>
    </row>
    <row r="1937" spans="1:7" x14ac:dyDescent="0.25">
      <c r="A1937" t="s">
        <v>108</v>
      </c>
      <c r="B1937" t="s">
        <v>111</v>
      </c>
      <c r="C1937">
        <v>2320</v>
      </c>
      <c r="D1937" t="s">
        <v>20</v>
      </c>
      <c r="E1937" t="s">
        <v>26</v>
      </c>
      <c r="F1937" s="5">
        <v>42736</v>
      </c>
      <c r="G1937">
        <v>40</v>
      </c>
    </row>
    <row r="1938" spans="1:7" x14ac:dyDescent="0.25">
      <c r="A1938" t="s">
        <v>108</v>
      </c>
      <c r="B1938" t="s">
        <v>111</v>
      </c>
      <c r="C1938">
        <v>2320</v>
      </c>
      <c r="D1938" t="s">
        <v>20</v>
      </c>
      <c r="E1938" t="s">
        <v>27</v>
      </c>
      <c r="F1938" s="5">
        <v>42370</v>
      </c>
      <c r="G1938">
        <v>0</v>
      </c>
    </row>
    <row r="1939" spans="1:7" x14ac:dyDescent="0.25">
      <c r="A1939" t="s">
        <v>108</v>
      </c>
      <c r="B1939" t="s">
        <v>111</v>
      </c>
      <c r="C1939">
        <v>2320</v>
      </c>
      <c r="D1939" t="s">
        <v>20</v>
      </c>
      <c r="E1939" t="s">
        <v>27</v>
      </c>
      <c r="F1939" s="5">
        <v>42736</v>
      </c>
      <c r="G1939">
        <v>3</v>
      </c>
    </row>
    <row r="1940" spans="1:7" x14ac:dyDescent="0.25">
      <c r="A1940" t="s">
        <v>108</v>
      </c>
      <c r="B1940" t="s">
        <v>111</v>
      </c>
      <c r="C1940">
        <v>2320</v>
      </c>
      <c r="D1940" t="s">
        <v>20</v>
      </c>
      <c r="E1940" t="s">
        <v>28</v>
      </c>
      <c r="F1940" s="5">
        <v>42370</v>
      </c>
      <c r="G1940">
        <v>0</v>
      </c>
    </row>
    <row r="1941" spans="1:7" x14ac:dyDescent="0.25">
      <c r="A1941" t="s">
        <v>108</v>
      </c>
      <c r="B1941" t="s">
        <v>111</v>
      </c>
      <c r="C1941">
        <v>2320</v>
      </c>
      <c r="D1941" t="s">
        <v>20</v>
      </c>
      <c r="E1941" t="s">
        <v>28</v>
      </c>
      <c r="F1941" s="5">
        <v>42736</v>
      </c>
      <c r="G1941">
        <v>0</v>
      </c>
    </row>
    <row r="1942" spans="1:7" x14ac:dyDescent="0.25">
      <c r="A1942" t="s">
        <v>108</v>
      </c>
      <c r="B1942" t="s">
        <v>111</v>
      </c>
      <c r="C1942">
        <v>2320</v>
      </c>
      <c r="D1942" t="s">
        <v>20</v>
      </c>
      <c r="E1942" t="s">
        <v>29</v>
      </c>
      <c r="F1942" s="5">
        <v>42370</v>
      </c>
      <c r="G1942">
        <v>27</v>
      </c>
    </row>
    <row r="1943" spans="1:7" x14ac:dyDescent="0.25">
      <c r="A1943" t="s">
        <v>108</v>
      </c>
      <c r="B1943" t="s">
        <v>111</v>
      </c>
      <c r="C1943">
        <v>2320</v>
      </c>
      <c r="D1943" t="s">
        <v>20</v>
      </c>
      <c r="E1943" t="s">
        <v>29</v>
      </c>
      <c r="F1943" s="5">
        <v>42736</v>
      </c>
      <c r="G1943">
        <v>37</v>
      </c>
    </row>
    <row r="1944" spans="1:7" x14ac:dyDescent="0.25">
      <c r="A1944" t="s">
        <v>108</v>
      </c>
      <c r="B1944" t="s">
        <v>111</v>
      </c>
      <c r="C1944">
        <v>2320</v>
      </c>
      <c r="D1944" t="s">
        <v>20</v>
      </c>
      <c r="E1944" t="s">
        <v>30</v>
      </c>
      <c r="F1944" s="5">
        <v>42370</v>
      </c>
      <c r="G1944">
        <v>28</v>
      </c>
    </row>
    <row r="1945" spans="1:7" x14ac:dyDescent="0.25">
      <c r="A1945" t="s">
        <v>108</v>
      </c>
      <c r="B1945" t="s">
        <v>111</v>
      </c>
      <c r="C1945">
        <v>2320</v>
      </c>
      <c r="D1945" t="s">
        <v>20</v>
      </c>
      <c r="E1945" t="s">
        <v>30</v>
      </c>
      <c r="F1945" s="5">
        <v>42736</v>
      </c>
      <c r="G1945">
        <v>40</v>
      </c>
    </row>
    <row r="1946" spans="1:7" x14ac:dyDescent="0.25">
      <c r="A1946" t="s">
        <v>108</v>
      </c>
      <c r="B1946" t="s">
        <v>111</v>
      </c>
      <c r="C1946">
        <v>2320</v>
      </c>
      <c r="D1946" t="s">
        <v>20</v>
      </c>
      <c r="E1946" t="s">
        <v>31</v>
      </c>
      <c r="F1946" s="5">
        <v>42370</v>
      </c>
      <c r="G1946">
        <v>45</v>
      </c>
    </row>
    <row r="1947" spans="1:7" x14ac:dyDescent="0.25">
      <c r="A1947" t="s">
        <v>108</v>
      </c>
      <c r="B1947" t="s">
        <v>111</v>
      </c>
      <c r="C1947">
        <v>2320</v>
      </c>
      <c r="D1947" t="s">
        <v>20</v>
      </c>
      <c r="E1947" t="s">
        <v>31</v>
      </c>
      <c r="F1947" s="5">
        <v>42736</v>
      </c>
      <c r="G1947">
        <v>71</v>
      </c>
    </row>
    <row r="1948" spans="1:7" x14ac:dyDescent="0.25">
      <c r="A1948" t="s">
        <v>108</v>
      </c>
      <c r="B1948" t="s">
        <v>111</v>
      </c>
      <c r="C1948">
        <v>2320</v>
      </c>
      <c r="D1948" t="s">
        <v>20</v>
      </c>
      <c r="E1948" t="s">
        <v>32</v>
      </c>
      <c r="F1948" s="5">
        <v>42370</v>
      </c>
      <c r="G1948">
        <v>29</v>
      </c>
    </row>
    <row r="1949" spans="1:7" x14ac:dyDescent="0.25">
      <c r="A1949" t="s">
        <v>108</v>
      </c>
      <c r="B1949" t="s">
        <v>111</v>
      </c>
      <c r="C1949">
        <v>2320</v>
      </c>
      <c r="D1949" t="s">
        <v>20</v>
      </c>
      <c r="E1949" t="s">
        <v>32</v>
      </c>
      <c r="F1949" s="5">
        <v>42736</v>
      </c>
      <c r="G1949">
        <v>37</v>
      </c>
    </row>
    <row r="1950" spans="1:7" x14ac:dyDescent="0.25">
      <c r="A1950" t="s">
        <v>108</v>
      </c>
      <c r="B1950" t="s">
        <v>111</v>
      </c>
      <c r="C1950">
        <v>2320</v>
      </c>
      <c r="D1950" t="s">
        <v>33</v>
      </c>
      <c r="E1950" t="s">
        <v>9</v>
      </c>
      <c r="F1950" s="5">
        <v>42370</v>
      </c>
      <c r="G1950">
        <v>0</v>
      </c>
    </row>
    <row r="1951" spans="1:7" x14ac:dyDescent="0.25">
      <c r="A1951" t="s">
        <v>108</v>
      </c>
      <c r="B1951" t="s">
        <v>111</v>
      </c>
      <c r="C1951">
        <v>2320</v>
      </c>
      <c r="D1951" t="s">
        <v>33</v>
      </c>
      <c r="E1951" t="s">
        <v>9</v>
      </c>
      <c r="F1951" s="5">
        <v>42736</v>
      </c>
      <c r="G1951">
        <v>0</v>
      </c>
    </row>
    <row r="1952" spans="1:7" x14ac:dyDescent="0.25">
      <c r="A1952" t="s">
        <v>108</v>
      </c>
      <c r="B1952" t="s">
        <v>111</v>
      </c>
      <c r="C1952">
        <v>2320</v>
      </c>
      <c r="D1952" t="s">
        <v>33</v>
      </c>
      <c r="E1952" t="s">
        <v>34</v>
      </c>
      <c r="F1952" s="5">
        <v>42370</v>
      </c>
      <c r="G1952">
        <v>0</v>
      </c>
    </row>
    <row r="1953" spans="1:7" x14ac:dyDescent="0.25">
      <c r="A1953" t="s">
        <v>108</v>
      </c>
      <c r="B1953" t="s">
        <v>111</v>
      </c>
      <c r="C1953">
        <v>2320</v>
      </c>
      <c r="D1953" t="s">
        <v>33</v>
      </c>
      <c r="E1953" t="s">
        <v>34</v>
      </c>
      <c r="F1953" s="5">
        <v>42736</v>
      </c>
      <c r="G1953">
        <v>0</v>
      </c>
    </row>
    <row r="1954" spans="1:7" x14ac:dyDescent="0.25">
      <c r="A1954" t="s">
        <v>108</v>
      </c>
      <c r="B1954" t="s">
        <v>111</v>
      </c>
      <c r="C1954">
        <v>2320</v>
      </c>
      <c r="D1954" t="s">
        <v>35</v>
      </c>
      <c r="E1954" t="s">
        <v>36</v>
      </c>
      <c r="F1954" s="5">
        <v>42370</v>
      </c>
      <c r="G1954">
        <v>0</v>
      </c>
    </row>
    <row r="1955" spans="1:7" x14ac:dyDescent="0.25">
      <c r="A1955" t="s">
        <v>108</v>
      </c>
      <c r="B1955" t="s">
        <v>111</v>
      </c>
      <c r="C1955">
        <v>2320</v>
      </c>
      <c r="D1955" t="s">
        <v>35</v>
      </c>
      <c r="E1955" t="s">
        <v>36</v>
      </c>
      <c r="F1955" s="5">
        <v>42736</v>
      </c>
      <c r="G1955">
        <v>0</v>
      </c>
    </row>
    <row r="1956" spans="1:7" x14ac:dyDescent="0.25">
      <c r="A1956" t="s">
        <v>108</v>
      </c>
      <c r="B1956" t="s">
        <v>111</v>
      </c>
      <c r="C1956">
        <v>2320</v>
      </c>
      <c r="D1956" t="s">
        <v>35</v>
      </c>
      <c r="E1956" t="s">
        <v>37</v>
      </c>
      <c r="F1956" s="5">
        <v>42370</v>
      </c>
      <c r="G1956">
        <v>0</v>
      </c>
    </row>
    <row r="1957" spans="1:7" x14ac:dyDescent="0.25">
      <c r="A1957" t="s">
        <v>108</v>
      </c>
      <c r="B1957" t="s">
        <v>111</v>
      </c>
      <c r="C1957">
        <v>2320</v>
      </c>
      <c r="D1957" t="s">
        <v>35</v>
      </c>
      <c r="E1957" t="s">
        <v>37</v>
      </c>
      <c r="F1957" s="5">
        <v>42736</v>
      </c>
      <c r="G1957">
        <v>0</v>
      </c>
    </row>
    <row r="1958" spans="1:7" x14ac:dyDescent="0.25">
      <c r="A1958" t="s">
        <v>108</v>
      </c>
      <c r="B1958" t="s">
        <v>111</v>
      </c>
      <c r="C1958">
        <v>2320</v>
      </c>
      <c r="D1958" t="s">
        <v>35</v>
      </c>
      <c r="E1958" t="s">
        <v>38</v>
      </c>
      <c r="F1958" s="5">
        <v>42370</v>
      </c>
      <c r="G1958">
        <v>0</v>
      </c>
    </row>
    <row r="1959" spans="1:7" x14ac:dyDescent="0.25">
      <c r="A1959" t="s">
        <v>108</v>
      </c>
      <c r="B1959" t="s">
        <v>111</v>
      </c>
      <c r="C1959">
        <v>2320</v>
      </c>
      <c r="D1959" t="s">
        <v>35</v>
      </c>
      <c r="E1959" t="s">
        <v>38</v>
      </c>
      <c r="F1959" s="5">
        <v>42736</v>
      </c>
      <c r="G1959">
        <v>0</v>
      </c>
    </row>
    <row r="1960" spans="1:7" x14ac:dyDescent="0.25">
      <c r="A1960" t="s">
        <v>108</v>
      </c>
      <c r="B1960" t="s">
        <v>111</v>
      </c>
      <c r="C1960">
        <v>2320</v>
      </c>
      <c r="D1960" t="s">
        <v>35</v>
      </c>
      <c r="E1960" t="s">
        <v>39</v>
      </c>
      <c r="F1960" s="5">
        <v>42370</v>
      </c>
      <c r="G1960">
        <v>0</v>
      </c>
    </row>
    <row r="1961" spans="1:7" x14ac:dyDescent="0.25">
      <c r="A1961" t="s">
        <v>108</v>
      </c>
      <c r="B1961" t="s">
        <v>111</v>
      </c>
      <c r="C1961">
        <v>2320</v>
      </c>
      <c r="D1961" t="s">
        <v>35</v>
      </c>
      <c r="E1961" t="s">
        <v>39</v>
      </c>
      <c r="F1961" s="5">
        <v>42736</v>
      </c>
      <c r="G1961">
        <v>0</v>
      </c>
    </row>
    <row r="1962" spans="1:7" x14ac:dyDescent="0.25">
      <c r="A1962" t="s">
        <v>108</v>
      </c>
      <c r="B1962" t="s">
        <v>111</v>
      </c>
      <c r="C1962">
        <v>2320</v>
      </c>
      <c r="D1962" t="s">
        <v>35</v>
      </c>
      <c r="E1962" t="s">
        <v>40</v>
      </c>
      <c r="F1962" s="5">
        <v>42370</v>
      </c>
      <c r="G1962">
        <v>0</v>
      </c>
    </row>
    <row r="1963" spans="1:7" x14ac:dyDescent="0.25">
      <c r="A1963" t="s">
        <v>108</v>
      </c>
      <c r="B1963" t="s">
        <v>111</v>
      </c>
      <c r="C1963">
        <v>2320</v>
      </c>
      <c r="D1963" t="s">
        <v>35</v>
      </c>
      <c r="E1963" t="s">
        <v>40</v>
      </c>
      <c r="F1963" s="5">
        <v>42736</v>
      </c>
      <c r="G1963">
        <v>0</v>
      </c>
    </row>
    <row r="1964" spans="1:7" x14ac:dyDescent="0.25">
      <c r="A1964" t="s">
        <v>108</v>
      </c>
      <c r="B1964" t="s">
        <v>111</v>
      </c>
      <c r="C1964">
        <v>2320</v>
      </c>
      <c r="D1964" t="s">
        <v>35</v>
      </c>
      <c r="E1964" t="s">
        <v>41</v>
      </c>
      <c r="F1964" s="5">
        <v>42370</v>
      </c>
      <c r="G1964">
        <v>0</v>
      </c>
    </row>
    <row r="1965" spans="1:7" x14ac:dyDescent="0.25">
      <c r="A1965" t="s">
        <v>108</v>
      </c>
      <c r="B1965" t="s">
        <v>111</v>
      </c>
      <c r="C1965">
        <v>2320</v>
      </c>
      <c r="D1965" t="s">
        <v>35</v>
      </c>
      <c r="E1965" t="s">
        <v>41</v>
      </c>
      <c r="F1965" s="5">
        <v>42736</v>
      </c>
      <c r="G1965">
        <v>0</v>
      </c>
    </row>
    <row r="1966" spans="1:7" x14ac:dyDescent="0.25">
      <c r="A1966" t="s">
        <v>108</v>
      </c>
      <c r="B1966" t="s">
        <v>111</v>
      </c>
      <c r="C1966">
        <v>2320</v>
      </c>
      <c r="D1966" t="s">
        <v>35</v>
      </c>
      <c r="E1966" t="s">
        <v>42</v>
      </c>
      <c r="F1966" s="5">
        <v>42370</v>
      </c>
      <c r="G1966">
        <v>0</v>
      </c>
    </row>
    <row r="1967" spans="1:7" x14ac:dyDescent="0.25">
      <c r="A1967" t="s">
        <v>108</v>
      </c>
      <c r="B1967" t="s">
        <v>111</v>
      </c>
      <c r="C1967">
        <v>2320</v>
      </c>
      <c r="D1967" t="s">
        <v>35</v>
      </c>
      <c r="E1967" t="s">
        <v>42</v>
      </c>
      <c r="F1967" s="5">
        <v>42736</v>
      </c>
      <c r="G1967">
        <v>0</v>
      </c>
    </row>
    <row r="1968" spans="1:7" x14ac:dyDescent="0.25">
      <c r="A1968" t="s">
        <v>108</v>
      </c>
      <c r="B1968" t="s">
        <v>111</v>
      </c>
      <c r="C1968">
        <v>2320</v>
      </c>
      <c r="D1968" t="s">
        <v>35</v>
      </c>
      <c r="E1968" t="s">
        <v>43</v>
      </c>
      <c r="F1968" s="5">
        <v>42370</v>
      </c>
      <c r="G1968">
        <v>0</v>
      </c>
    </row>
    <row r="1969" spans="1:7" x14ac:dyDescent="0.25">
      <c r="A1969" t="s">
        <v>108</v>
      </c>
      <c r="B1969" t="s">
        <v>111</v>
      </c>
      <c r="C1969">
        <v>2320</v>
      </c>
      <c r="D1969" t="s">
        <v>35</v>
      </c>
      <c r="E1969" t="s">
        <v>43</v>
      </c>
      <c r="F1969" s="5">
        <v>42736</v>
      </c>
      <c r="G1969">
        <v>0</v>
      </c>
    </row>
    <row r="1970" spans="1:7" x14ac:dyDescent="0.25">
      <c r="A1970" t="s">
        <v>108</v>
      </c>
      <c r="B1970" t="s">
        <v>111</v>
      </c>
      <c r="C1970">
        <v>2320</v>
      </c>
      <c r="D1970" t="s">
        <v>44</v>
      </c>
      <c r="E1970" t="s">
        <v>36</v>
      </c>
      <c r="F1970" s="5">
        <v>42370</v>
      </c>
      <c r="G1970">
        <v>0</v>
      </c>
    </row>
    <row r="1971" spans="1:7" x14ac:dyDescent="0.25">
      <c r="A1971" t="s">
        <v>108</v>
      </c>
      <c r="B1971" t="s">
        <v>111</v>
      </c>
      <c r="C1971">
        <v>2320</v>
      </c>
      <c r="D1971" t="s">
        <v>44</v>
      </c>
      <c r="E1971" t="s">
        <v>36</v>
      </c>
      <c r="F1971" s="5">
        <v>42736</v>
      </c>
      <c r="G1971">
        <v>0</v>
      </c>
    </row>
    <row r="1972" spans="1:7" x14ac:dyDescent="0.25">
      <c r="A1972" t="s">
        <v>108</v>
      </c>
      <c r="B1972" t="s">
        <v>111</v>
      </c>
      <c r="C1972">
        <v>2320</v>
      </c>
      <c r="D1972" t="s">
        <v>44</v>
      </c>
      <c r="E1972" t="s">
        <v>37</v>
      </c>
      <c r="F1972" s="5">
        <v>42370</v>
      </c>
      <c r="G1972">
        <v>0</v>
      </c>
    </row>
    <row r="1973" spans="1:7" x14ac:dyDescent="0.25">
      <c r="A1973" t="s">
        <v>108</v>
      </c>
      <c r="B1973" t="s">
        <v>111</v>
      </c>
      <c r="C1973">
        <v>2320</v>
      </c>
      <c r="D1973" t="s">
        <v>44</v>
      </c>
      <c r="E1973" t="s">
        <v>37</v>
      </c>
      <c r="F1973" s="5">
        <v>42736</v>
      </c>
      <c r="G1973">
        <v>0</v>
      </c>
    </row>
    <row r="1974" spans="1:7" x14ac:dyDescent="0.25">
      <c r="A1974" t="s">
        <v>108</v>
      </c>
      <c r="B1974" t="s">
        <v>111</v>
      </c>
      <c r="C1974">
        <v>2320</v>
      </c>
      <c r="D1974" t="s">
        <v>44</v>
      </c>
      <c r="E1974" t="s">
        <v>38</v>
      </c>
      <c r="F1974" s="5">
        <v>42370</v>
      </c>
      <c r="G1974">
        <v>0</v>
      </c>
    </row>
    <row r="1975" spans="1:7" x14ac:dyDescent="0.25">
      <c r="A1975" t="s">
        <v>108</v>
      </c>
      <c r="B1975" t="s">
        <v>111</v>
      </c>
      <c r="C1975">
        <v>2320</v>
      </c>
      <c r="D1975" t="s">
        <v>44</v>
      </c>
      <c r="E1975" t="s">
        <v>38</v>
      </c>
      <c r="F1975" s="5">
        <v>42736</v>
      </c>
      <c r="G1975">
        <v>0</v>
      </c>
    </row>
    <row r="1976" spans="1:7" x14ac:dyDescent="0.25">
      <c r="A1976" t="s">
        <v>108</v>
      </c>
      <c r="B1976" t="s">
        <v>111</v>
      </c>
      <c r="C1976">
        <v>2320</v>
      </c>
      <c r="D1976" t="s">
        <v>44</v>
      </c>
      <c r="E1976" t="s">
        <v>39</v>
      </c>
      <c r="F1976" s="5">
        <v>42370</v>
      </c>
      <c r="G1976">
        <v>0</v>
      </c>
    </row>
    <row r="1977" spans="1:7" x14ac:dyDescent="0.25">
      <c r="A1977" t="s">
        <v>108</v>
      </c>
      <c r="B1977" t="s">
        <v>111</v>
      </c>
      <c r="C1977">
        <v>2320</v>
      </c>
      <c r="D1977" t="s">
        <v>44</v>
      </c>
      <c r="E1977" t="s">
        <v>39</v>
      </c>
      <c r="F1977" s="5">
        <v>42736</v>
      </c>
      <c r="G1977">
        <v>0</v>
      </c>
    </row>
    <row r="1978" spans="1:7" x14ac:dyDescent="0.25">
      <c r="A1978" t="s">
        <v>108</v>
      </c>
      <c r="B1978" t="s">
        <v>111</v>
      </c>
      <c r="C1978">
        <v>2320</v>
      </c>
      <c r="D1978" t="s">
        <v>44</v>
      </c>
      <c r="E1978" t="s">
        <v>40</v>
      </c>
      <c r="F1978" s="5">
        <v>42370</v>
      </c>
      <c r="G1978">
        <v>0</v>
      </c>
    </row>
    <row r="1979" spans="1:7" x14ac:dyDescent="0.25">
      <c r="A1979" t="s">
        <v>108</v>
      </c>
      <c r="B1979" t="s">
        <v>111</v>
      </c>
      <c r="C1979">
        <v>2320</v>
      </c>
      <c r="D1979" t="s">
        <v>44</v>
      </c>
      <c r="E1979" t="s">
        <v>40</v>
      </c>
      <c r="F1979" s="5">
        <v>42736</v>
      </c>
      <c r="G1979">
        <v>0</v>
      </c>
    </row>
    <row r="1980" spans="1:7" x14ac:dyDescent="0.25">
      <c r="A1980" t="s">
        <v>108</v>
      </c>
      <c r="B1980" t="s">
        <v>111</v>
      </c>
      <c r="C1980">
        <v>2320</v>
      </c>
      <c r="D1980" t="s">
        <v>44</v>
      </c>
      <c r="E1980" t="s">
        <v>41</v>
      </c>
      <c r="F1980" s="5">
        <v>42370</v>
      </c>
      <c r="G1980">
        <v>0</v>
      </c>
    </row>
    <row r="1981" spans="1:7" x14ac:dyDescent="0.25">
      <c r="A1981" t="s">
        <v>108</v>
      </c>
      <c r="B1981" t="s">
        <v>111</v>
      </c>
      <c r="C1981">
        <v>2320</v>
      </c>
      <c r="D1981" t="s">
        <v>44</v>
      </c>
      <c r="E1981" t="s">
        <v>41</v>
      </c>
      <c r="F1981" s="5">
        <v>42736</v>
      </c>
      <c r="G1981">
        <v>0</v>
      </c>
    </row>
    <row r="1982" spans="1:7" x14ac:dyDescent="0.25">
      <c r="A1982" t="s">
        <v>108</v>
      </c>
      <c r="B1982" t="s">
        <v>111</v>
      </c>
      <c r="C1982">
        <v>2320</v>
      </c>
      <c r="D1982" t="s">
        <v>44</v>
      </c>
      <c r="E1982" t="s">
        <v>42</v>
      </c>
      <c r="F1982" s="5">
        <v>42370</v>
      </c>
      <c r="G1982">
        <v>0</v>
      </c>
    </row>
    <row r="1983" spans="1:7" x14ac:dyDescent="0.25">
      <c r="A1983" t="s">
        <v>108</v>
      </c>
      <c r="B1983" t="s">
        <v>111</v>
      </c>
      <c r="C1983">
        <v>2320</v>
      </c>
      <c r="D1983" t="s">
        <v>44</v>
      </c>
      <c r="E1983" t="s">
        <v>42</v>
      </c>
      <c r="F1983" s="5">
        <v>42736</v>
      </c>
      <c r="G1983">
        <v>0</v>
      </c>
    </row>
    <row r="1984" spans="1:7" x14ac:dyDescent="0.25">
      <c r="A1984" t="s">
        <v>108</v>
      </c>
      <c r="B1984" t="s">
        <v>111</v>
      </c>
      <c r="C1984">
        <v>2320</v>
      </c>
      <c r="D1984" t="s">
        <v>44</v>
      </c>
      <c r="E1984" t="s">
        <v>43</v>
      </c>
      <c r="F1984" s="5">
        <v>42370</v>
      </c>
      <c r="G1984">
        <v>0</v>
      </c>
    </row>
    <row r="1985" spans="1:7" x14ac:dyDescent="0.25">
      <c r="A1985" t="s">
        <v>108</v>
      </c>
      <c r="B1985" t="s">
        <v>111</v>
      </c>
      <c r="C1985">
        <v>2320</v>
      </c>
      <c r="D1985" t="s">
        <v>44</v>
      </c>
      <c r="E1985" t="s">
        <v>43</v>
      </c>
      <c r="F1985" s="5">
        <v>42736</v>
      </c>
      <c r="G1985">
        <v>0</v>
      </c>
    </row>
    <row r="1986" spans="1:7" x14ac:dyDescent="0.25">
      <c r="A1986" t="s">
        <v>108</v>
      </c>
      <c r="B1986" t="s">
        <v>111</v>
      </c>
      <c r="C1986">
        <v>2320</v>
      </c>
      <c r="D1986" t="s">
        <v>45</v>
      </c>
      <c r="E1986" t="s">
        <v>46</v>
      </c>
      <c r="F1986" s="5">
        <v>42370</v>
      </c>
      <c r="G1986">
        <v>0</v>
      </c>
    </row>
    <row r="1987" spans="1:7" x14ac:dyDescent="0.25">
      <c r="A1987" t="s">
        <v>108</v>
      </c>
      <c r="B1987" t="s">
        <v>111</v>
      </c>
      <c r="C1987">
        <v>2320</v>
      </c>
      <c r="D1987" t="s">
        <v>45</v>
      </c>
      <c r="E1987" t="s">
        <v>46</v>
      </c>
      <c r="F1987" s="5">
        <v>42736</v>
      </c>
      <c r="G1987">
        <v>0</v>
      </c>
    </row>
    <row r="1988" spans="1:7" x14ac:dyDescent="0.25">
      <c r="A1988" t="s">
        <v>108</v>
      </c>
      <c r="B1988" t="s">
        <v>111</v>
      </c>
      <c r="C1988">
        <v>2320</v>
      </c>
      <c r="D1988" t="s">
        <v>45</v>
      </c>
      <c r="E1988" t="s">
        <v>47</v>
      </c>
      <c r="F1988" s="5">
        <v>42370</v>
      </c>
      <c r="G1988">
        <v>2</v>
      </c>
    </row>
    <row r="1989" spans="1:7" x14ac:dyDescent="0.25">
      <c r="A1989" t="s">
        <v>108</v>
      </c>
      <c r="B1989" t="s">
        <v>111</v>
      </c>
      <c r="C1989">
        <v>2320</v>
      </c>
      <c r="D1989" t="s">
        <v>45</v>
      </c>
      <c r="E1989" t="s">
        <v>47</v>
      </c>
      <c r="F1989" s="5">
        <v>42736</v>
      </c>
      <c r="G1989">
        <v>0</v>
      </c>
    </row>
    <row r="1990" spans="1:7" x14ac:dyDescent="0.25">
      <c r="A1990" t="s">
        <v>108</v>
      </c>
      <c r="B1990" t="s">
        <v>111</v>
      </c>
      <c r="C1990">
        <v>2320</v>
      </c>
      <c r="D1990" t="s">
        <v>45</v>
      </c>
      <c r="E1990" t="s">
        <v>48</v>
      </c>
      <c r="F1990" s="5">
        <v>42370</v>
      </c>
      <c r="G1990">
        <v>9</v>
      </c>
    </row>
    <row r="1991" spans="1:7" x14ac:dyDescent="0.25">
      <c r="A1991" t="s">
        <v>108</v>
      </c>
      <c r="B1991" t="s">
        <v>111</v>
      </c>
      <c r="C1991">
        <v>2320</v>
      </c>
      <c r="D1991" t="s">
        <v>45</v>
      </c>
      <c r="E1991" t="s">
        <v>48</v>
      </c>
      <c r="F1991" s="5">
        <v>42736</v>
      </c>
      <c r="G1991">
        <v>13</v>
      </c>
    </row>
    <row r="1992" spans="1:7" x14ac:dyDescent="0.25">
      <c r="A1992" t="s">
        <v>108</v>
      </c>
      <c r="B1992" t="s">
        <v>111</v>
      </c>
      <c r="C1992">
        <v>2320</v>
      </c>
      <c r="D1992" t="s">
        <v>45</v>
      </c>
      <c r="E1992" t="s">
        <v>49</v>
      </c>
      <c r="F1992" s="5">
        <v>42370</v>
      </c>
      <c r="G1992">
        <v>0</v>
      </c>
    </row>
    <row r="1993" spans="1:7" x14ac:dyDescent="0.25">
      <c r="A1993" t="s">
        <v>108</v>
      </c>
      <c r="B1993" t="s">
        <v>111</v>
      </c>
      <c r="C1993">
        <v>2320</v>
      </c>
      <c r="D1993" t="s">
        <v>45</v>
      </c>
      <c r="E1993" t="s">
        <v>49</v>
      </c>
      <c r="F1993" s="5">
        <v>42736</v>
      </c>
      <c r="G1993">
        <v>0</v>
      </c>
    </row>
    <row r="1994" spans="1:7" x14ac:dyDescent="0.25">
      <c r="A1994" t="s">
        <v>108</v>
      </c>
      <c r="B1994" t="s">
        <v>111</v>
      </c>
      <c r="C1994">
        <v>2320</v>
      </c>
      <c r="D1994" t="s">
        <v>45</v>
      </c>
      <c r="E1994" t="s">
        <v>50</v>
      </c>
      <c r="F1994" s="5">
        <v>42370</v>
      </c>
      <c r="G1994">
        <v>0</v>
      </c>
    </row>
    <row r="1995" spans="1:7" x14ac:dyDescent="0.25">
      <c r="A1995" t="s">
        <v>108</v>
      </c>
      <c r="B1995" t="s">
        <v>111</v>
      </c>
      <c r="C1995">
        <v>2320</v>
      </c>
      <c r="D1995" t="s">
        <v>45</v>
      </c>
      <c r="E1995" t="s">
        <v>50</v>
      </c>
      <c r="F1995" s="5">
        <v>42736</v>
      </c>
      <c r="G1995">
        <v>0</v>
      </c>
    </row>
    <row r="1996" spans="1:7" x14ac:dyDescent="0.25">
      <c r="A1996" t="s">
        <v>108</v>
      </c>
      <c r="B1996" t="s">
        <v>111</v>
      </c>
      <c r="C1996">
        <v>2320</v>
      </c>
      <c r="D1996" t="s">
        <v>45</v>
      </c>
      <c r="E1996" t="s">
        <v>51</v>
      </c>
      <c r="F1996" s="5">
        <v>42370</v>
      </c>
      <c r="G1996">
        <v>0</v>
      </c>
    </row>
    <row r="1997" spans="1:7" x14ac:dyDescent="0.25">
      <c r="A1997" t="s">
        <v>108</v>
      </c>
      <c r="B1997" t="s">
        <v>111</v>
      </c>
      <c r="C1997">
        <v>2320</v>
      </c>
      <c r="D1997" t="s">
        <v>45</v>
      </c>
      <c r="E1997" t="s">
        <v>51</v>
      </c>
      <c r="F1997" s="5">
        <v>42736</v>
      </c>
      <c r="G1997">
        <v>0</v>
      </c>
    </row>
    <row r="1998" spans="1:7" x14ac:dyDescent="0.25">
      <c r="A1998" t="s">
        <v>108</v>
      </c>
      <c r="B1998" t="s">
        <v>111</v>
      </c>
      <c r="C1998">
        <v>2320</v>
      </c>
      <c r="D1998" t="s">
        <v>45</v>
      </c>
      <c r="E1998" t="s">
        <v>52</v>
      </c>
      <c r="F1998" s="5">
        <v>42370</v>
      </c>
      <c r="G1998">
        <v>0</v>
      </c>
    </row>
    <row r="1999" spans="1:7" x14ac:dyDescent="0.25">
      <c r="A1999" t="s">
        <v>108</v>
      </c>
      <c r="B1999" t="s">
        <v>111</v>
      </c>
      <c r="C1999">
        <v>2320</v>
      </c>
      <c r="D1999" t="s">
        <v>45</v>
      </c>
      <c r="E1999" t="s">
        <v>52</v>
      </c>
      <c r="F1999" s="5">
        <v>42736</v>
      </c>
      <c r="G1999">
        <v>0</v>
      </c>
    </row>
    <row r="2000" spans="1:7" x14ac:dyDescent="0.25">
      <c r="A2000" t="s">
        <v>108</v>
      </c>
      <c r="B2000" t="s">
        <v>111</v>
      </c>
      <c r="C2000">
        <v>2320</v>
      </c>
      <c r="D2000" t="s">
        <v>45</v>
      </c>
      <c r="E2000" t="s">
        <v>53</v>
      </c>
      <c r="F2000" s="5">
        <v>42370</v>
      </c>
      <c r="G2000">
        <v>9</v>
      </c>
    </row>
    <row r="2001" spans="1:7" x14ac:dyDescent="0.25">
      <c r="A2001" t="s">
        <v>108</v>
      </c>
      <c r="B2001" t="s">
        <v>111</v>
      </c>
      <c r="C2001">
        <v>2320</v>
      </c>
      <c r="D2001" t="s">
        <v>45</v>
      </c>
      <c r="E2001" t="s">
        <v>53</v>
      </c>
      <c r="F2001" s="5">
        <v>42736</v>
      </c>
      <c r="G2001">
        <v>9</v>
      </c>
    </row>
    <row r="2002" spans="1:7" x14ac:dyDescent="0.25">
      <c r="A2002" t="s">
        <v>108</v>
      </c>
      <c r="B2002" t="s">
        <v>111</v>
      </c>
      <c r="C2002">
        <v>2320</v>
      </c>
      <c r="D2002" t="s">
        <v>45</v>
      </c>
      <c r="E2002" t="s">
        <v>54</v>
      </c>
      <c r="F2002" s="5">
        <v>42370</v>
      </c>
      <c r="G2002">
        <v>0</v>
      </c>
    </row>
    <row r="2003" spans="1:7" x14ac:dyDescent="0.25">
      <c r="A2003" t="s">
        <v>108</v>
      </c>
      <c r="B2003" t="s">
        <v>111</v>
      </c>
      <c r="C2003">
        <v>2320</v>
      </c>
      <c r="D2003" t="s">
        <v>45</v>
      </c>
      <c r="E2003" t="s">
        <v>54</v>
      </c>
      <c r="F2003" s="5">
        <v>42736</v>
      </c>
      <c r="G2003">
        <v>0</v>
      </c>
    </row>
    <row r="2004" spans="1:7" x14ac:dyDescent="0.25">
      <c r="A2004" t="s">
        <v>108</v>
      </c>
      <c r="B2004" t="s">
        <v>111</v>
      </c>
      <c r="C2004">
        <v>2320</v>
      </c>
      <c r="D2004" t="s">
        <v>45</v>
      </c>
      <c r="E2004" t="s">
        <v>55</v>
      </c>
      <c r="F2004" s="5">
        <v>42370</v>
      </c>
      <c r="G2004">
        <v>0</v>
      </c>
    </row>
    <row r="2005" spans="1:7" x14ac:dyDescent="0.25">
      <c r="A2005" t="s">
        <v>108</v>
      </c>
      <c r="B2005" t="s">
        <v>111</v>
      </c>
      <c r="C2005">
        <v>2320</v>
      </c>
      <c r="D2005" t="s">
        <v>45</v>
      </c>
      <c r="E2005" t="s">
        <v>55</v>
      </c>
      <c r="F2005" s="5">
        <v>42736</v>
      </c>
      <c r="G2005">
        <v>0</v>
      </c>
    </row>
    <row r="2006" spans="1:7" x14ac:dyDescent="0.25">
      <c r="A2006" t="s">
        <v>108</v>
      </c>
      <c r="B2006" t="s">
        <v>111</v>
      </c>
      <c r="C2006">
        <v>2320</v>
      </c>
      <c r="D2006" t="s">
        <v>45</v>
      </c>
      <c r="E2006" t="s">
        <v>56</v>
      </c>
      <c r="F2006" s="5">
        <v>42370</v>
      </c>
      <c r="G2006">
        <v>0</v>
      </c>
    </row>
    <row r="2007" spans="1:7" x14ac:dyDescent="0.25">
      <c r="A2007" t="s">
        <v>108</v>
      </c>
      <c r="B2007" t="s">
        <v>111</v>
      </c>
      <c r="C2007">
        <v>2320</v>
      </c>
      <c r="D2007" t="s">
        <v>45</v>
      </c>
      <c r="E2007" t="s">
        <v>56</v>
      </c>
      <c r="F2007" s="5">
        <v>42736</v>
      </c>
      <c r="G2007">
        <v>0</v>
      </c>
    </row>
    <row r="2008" spans="1:7" x14ac:dyDescent="0.25">
      <c r="A2008" t="s">
        <v>108</v>
      </c>
      <c r="B2008" t="s">
        <v>111</v>
      </c>
      <c r="C2008">
        <v>2320</v>
      </c>
      <c r="D2008" t="s">
        <v>45</v>
      </c>
      <c r="E2008" t="s">
        <v>57</v>
      </c>
      <c r="F2008" s="5">
        <v>42370</v>
      </c>
      <c r="G2008">
        <v>0</v>
      </c>
    </row>
    <row r="2009" spans="1:7" x14ac:dyDescent="0.25">
      <c r="A2009" t="s">
        <v>108</v>
      </c>
      <c r="B2009" t="s">
        <v>111</v>
      </c>
      <c r="C2009">
        <v>2320</v>
      </c>
      <c r="D2009" t="s">
        <v>45</v>
      </c>
      <c r="E2009" t="s">
        <v>57</v>
      </c>
      <c r="F2009" s="5">
        <v>42736</v>
      </c>
      <c r="G2009">
        <v>0</v>
      </c>
    </row>
    <row r="2010" spans="1:7" x14ac:dyDescent="0.25">
      <c r="A2010" t="s">
        <v>108</v>
      </c>
      <c r="B2010" t="s">
        <v>111</v>
      </c>
      <c r="C2010">
        <v>2320</v>
      </c>
      <c r="D2010" t="s">
        <v>45</v>
      </c>
      <c r="E2010" t="s">
        <v>58</v>
      </c>
      <c r="F2010" s="5">
        <v>42370</v>
      </c>
      <c r="G2010">
        <v>0</v>
      </c>
    </row>
    <row r="2011" spans="1:7" x14ac:dyDescent="0.25">
      <c r="A2011" t="s">
        <v>108</v>
      </c>
      <c r="B2011" t="s">
        <v>111</v>
      </c>
      <c r="C2011">
        <v>2320</v>
      </c>
      <c r="D2011" t="s">
        <v>45</v>
      </c>
      <c r="E2011" t="s">
        <v>58</v>
      </c>
      <c r="F2011" s="5">
        <v>42736</v>
      </c>
      <c r="G2011">
        <v>0</v>
      </c>
    </row>
    <row r="2012" spans="1:7" x14ac:dyDescent="0.25">
      <c r="A2012" t="s">
        <v>108</v>
      </c>
      <c r="B2012" t="s">
        <v>111</v>
      </c>
      <c r="C2012">
        <v>2320</v>
      </c>
      <c r="D2012" t="s">
        <v>45</v>
      </c>
      <c r="E2012" t="s">
        <v>59</v>
      </c>
      <c r="F2012" s="5">
        <v>42370</v>
      </c>
      <c r="G2012">
        <v>0</v>
      </c>
    </row>
    <row r="2013" spans="1:7" x14ac:dyDescent="0.25">
      <c r="A2013" t="s">
        <v>108</v>
      </c>
      <c r="B2013" t="s">
        <v>111</v>
      </c>
      <c r="C2013">
        <v>2320</v>
      </c>
      <c r="D2013" t="s">
        <v>45</v>
      </c>
      <c r="E2013" t="s">
        <v>59</v>
      </c>
      <c r="F2013" s="5">
        <v>42736</v>
      </c>
      <c r="G2013">
        <v>0</v>
      </c>
    </row>
    <row r="2014" spans="1:7" x14ac:dyDescent="0.25">
      <c r="A2014" t="s">
        <v>108</v>
      </c>
      <c r="B2014" t="s">
        <v>111</v>
      </c>
      <c r="C2014">
        <v>2320</v>
      </c>
      <c r="D2014" t="s">
        <v>45</v>
      </c>
      <c r="E2014" t="s">
        <v>60</v>
      </c>
      <c r="F2014" s="5">
        <v>42370</v>
      </c>
      <c r="G2014">
        <v>0</v>
      </c>
    </row>
    <row r="2015" spans="1:7" x14ac:dyDescent="0.25">
      <c r="A2015" t="s">
        <v>108</v>
      </c>
      <c r="B2015" t="s">
        <v>111</v>
      </c>
      <c r="C2015">
        <v>2320</v>
      </c>
      <c r="D2015" t="s">
        <v>45</v>
      </c>
      <c r="E2015" t="s">
        <v>60</v>
      </c>
      <c r="F2015" s="5">
        <v>42736</v>
      </c>
      <c r="G2015">
        <v>0</v>
      </c>
    </row>
    <row r="2016" spans="1:7" x14ac:dyDescent="0.25">
      <c r="A2016" t="s">
        <v>108</v>
      </c>
      <c r="B2016" t="s">
        <v>111</v>
      </c>
      <c r="C2016">
        <v>2320</v>
      </c>
      <c r="D2016" t="s">
        <v>45</v>
      </c>
      <c r="E2016" t="s">
        <v>61</v>
      </c>
      <c r="F2016" s="5">
        <v>42370</v>
      </c>
      <c r="G2016">
        <v>3</v>
      </c>
    </row>
    <row r="2017" spans="1:7" x14ac:dyDescent="0.25">
      <c r="A2017" t="s">
        <v>108</v>
      </c>
      <c r="B2017" t="s">
        <v>111</v>
      </c>
      <c r="C2017">
        <v>2320</v>
      </c>
      <c r="D2017" t="s">
        <v>45</v>
      </c>
      <c r="E2017" t="s">
        <v>61</v>
      </c>
      <c r="F2017" s="5">
        <v>42736</v>
      </c>
      <c r="G2017">
        <v>1</v>
      </c>
    </row>
    <row r="2018" spans="1:7" x14ac:dyDescent="0.25">
      <c r="A2018" t="s">
        <v>108</v>
      </c>
      <c r="B2018" t="s">
        <v>111</v>
      </c>
      <c r="C2018">
        <v>2320</v>
      </c>
      <c r="D2018" t="s">
        <v>62</v>
      </c>
      <c r="E2018" t="s">
        <v>63</v>
      </c>
      <c r="F2018" s="5">
        <v>42370</v>
      </c>
      <c r="G2018">
        <v>0</v>
      </c>
    </row>
    <row r="2019" spans="1:7" x14ac:dyDescent="0.25">
      <c r="A2019" t="s">
        <v>108</v>
      </c>
      <c r="B2019" t="s">
        <v>111</v>
      </c>
      <c r="C2019">
        <v>2320</v>
      </c>
      <c r="D2019" t="s">
        <v>62</v>
      </c>
      <c r="E2019" t="s">
        <v>63</v>
      </c>
      <c r="F2019" s="5">
        <v>42736</v>
      </c>
      <c r="G2019">
        <v>0</v>
      </c>
    </row>
    <row r="2020" spans="1:7" x14ac:dyDescent="0.25">
      <c r="A2020" t="s">
        <v>108</v>
      </c>
      <c r="B2020" t="s">
        <v>111</v>
      </c>
      <c r="C2020">
        <v>2320</v>
      </c>
      <c r="D2020" t="s">
        <v>62</v>
      </c>
      <c r="E2020" t="s">
        <v>64</v>
      </c>
      <c r="F2020" s="5">
        <v>42370</v>
      </c>
      <c r="G2020">
        <v>0</v>
      </c>
    </row>
    <row r="2021" spans="1:7" x14ac:dyDescent="0.25">
      <c r="A2021" t="s">
        <v>108</v>
      </c>
      <c r="B2021" t="s">
        <v>111</v>
      </c>
      <c r="C2021">
        <v>2320</v>
      </c>
      <c r="D2021" t="s">
        <v>62</v>
      </c>
      <c r="E2021" t="s">
        <v>64</v>
      </c>
      <c r="F2021" s="5">
        <v>42736</v>
      </c>
      <c r="G2021">
        <v>0</v>
      </c>
    </row>
    <row r="2022" spans="1:7" x14ac:dyDescent="0.25">
      <c r="A2022" t="s">
        <v>108</v>
      </c>
      <c r="B2022" t="s">
        <v>111</v>
      </c>
      <c r="C2022">
        <v>2320</v>
      </c>
      <c r="D2022" t="s">
        <v>62</v>
      </c>
      <c r="E2022" t="s">
        <v>9</v>
      </c>
      <c r="F2022" s="5">
        <v>42370</v>
      </c>
      <c r="G2022">
        <v>0</v>
      </c>
    </row>
    <row r="2023" spans="1:7" x14ac:dyDescent="0.25">
      <c r="A2023" t="s">
        <v>108</v>
      </c>
      <c r="B2023" t="s">
        <v>111</v>
      </c>
      <c r="C2023">
        <v>2320</v>
      </c>
      <c r="D2023" t="s">
        <v>62</v>
      </c>
      <c r="E2023" t="s">
        <v>9</v>
      </c>
      <c r="F2023" s="5">
        <v>42736</v>
      </c>
      <c r="G2023">
        <v>0</v>
      </c>
    </row>
    <row r="2024" spans="1:7" x14ac:dyDescent="0.25">
      <c r="A2024" t="s">
        <v>108</v>
      </c>
      <c r="B2024" t="s">
        <v>111</v>
      </c>
      <c r="C2024">
        <v>2320</v>
      </c>
      <c r="D2024" t="s">
        <v>62</v>
      </c>
      <c r="E2024" t="s">
        <v>65</v>
      </c>
      <c r="F2024" s="5">
        <v>42370</v>
      </c>
      <c r="G2024">
        <v>0</v>
      </c>
    </row>
    <row r="2025" spans="1:7" x14ac:dyDescent="0.25">
      <c r="A2025" t="s">
        <v>108</v>
      </c>
      <c r="B2025" t="s">
        <v>111</v>
      </c>
      <c r="C2025">
        <v>2320</v>
      </c>
      <c r="D2025" t="s">
        <v>62</v>
      </c>
      <c r="E2025" t="s">
        <v>65</v>
      </c>
      <c r="F2025" s="5">
        <v>42736</v>
      </c>
      <c r="G2025">
        <v>0</v>
      </c>
    </row>
    <row r="2026" spans="1:7" x14ac:dyDescent="0.25">
      <c r="A2026" t="s">
        <v>108</v>
      </c>
      <c r="B2026" t="s">
        <v>111</v>
      </c>
      <c r="C2026">
        <v>2320</v>
      </c>
      <c r="D2026" t="s">
        <v>62</v>
      </c>
      <c r="E2026" t="s">
        <v>66</v>
      </c>
      <c r="F2026" s="5">
        <v>42370</v>
      </c>
      <c r="G2026">
        <v>0</v>
      </c>
    </row>
    <row r="2027" spans="1:7" x14ac:dyDescent="0.25">
      <c r="A2027" t="s">
        <v>108</v>
      </c>
      <c r="B2027" t="s">
        <v>111</v>
      </c>
      <c r="C2027">
        <v>2320</v>
      </c>
      <c r="D2027" t="s">
        <v>62</v>
      </c>
      <c r="E2027" t="s">
        <v>66</v>
      </c>
      <c r="F2027" s="5">
        <v>42736</v>
      </c>
      <c r="G2027">
        <v>0</v>
      </c>
    </row>
    <row r="2028" spans="1:7" x14ac:dyDescent="0.25">
      <c r="A2028" t="s">
        <v>108</v>
      </c>
      <c r="B2028" t="s">
        <v>111</v>
      </c>
      <c r="C2028">
        <v>2320</v>
      </c>
      <c r="D2028" t="s">
        <v>62</v>
      </c>
      <c r="E2028" t="s">
        <v>67</v>
      </c>
      <c r="F2028" s="5">
        <v>42370</v>
      </c>
      <c r="G2028">
        <v>0</v>
      </c>
    </row>
    <row r="2029" spans="1:7" x14ac:dyDescent="0.25">
      <c r="A2029" t="s">
        <v>108</v>
      </c>
      <c r="B2029" t="s">
        <v>111</v>
      </c>
      <c r="C2029">
        <v>2320</v>
      </c>
      <c r="D2029" t="s">
        <v>62</v>
      </c>
      <c r="E2029" t="s">
        <v>67</v>
      </c>
      <c r="F2029" s="5">
        <v>42736</v>
      </c>
      <c r="G2029">
        <v>0</v>
      </c>
    </row>
    <row r="2030" spans="1:7" x14ac:dyDescent="0.25">
      <c r="A2030" t="s">
        <v>108</v>
      </c>
      <c r="B2030" t="s">
        <v>111</v>
      </c>
      <c r="C2030">
        <v>2320</v>
      </c>
      <c r="D2030" t="s">
        <v>62</v>
      </c>
      <c r="E2030" t="s">
        <v>68</v>
      </c>
      <c r="F2030" s="5">
        <v>42370</v>
      </c>
      <c r="G2030">
        <v>0</v>
      </c>
    </row>
    <row r="2031" spans="1:7" x14ac:dyDescent="0.25">
      <c r="A2031" t="s">
        <v>108</v>
      </c>
      <c r="B2031" t="s">
        <v>111</v>
      </c>
      <c r="C2031">
        <v>2320</v>
      </c>
      <c r="D2031" t="s">
        <v>62</v>
      </c>
      <c r="E2031" t="s">
        <v>68</v>
      </c>
      <c r="F2031" s="5">
        <v>42736</v>
      </c>
      <c r="G2031">
        <v>0</v>
      </c>
    </row>
    <row r="2032" spans="1:7" x14ac:dyDescent="0.25">
      <c r="A2032" t="s">
        <v>108</v>
      </c>
      <c r="B2032" t="s">
        <v>111</v>
      </c>
      <c r="C2032">
        <v>2320</v>
      </c>
      <c r="D2032" t="s">
        <v>62</v>
      </c>
      <c r="E2032" t="s">
        <v>69</v>
      </c>
      <c r="F2032" s="5">
        <v>42370</v>
      </c>
      <c r="G2032">
        <v>0</v>
      </c>
    </row>
    <row r="2033" spans="1:7" x14ac:dyDescent="0.25">
      <c r="A2033" t="s">
        <v>108</v>
      </c>
      <c r="B2033" t="s">
        <v>111</v>
      </c>
      <c r="C2033">
        <v>2320</v>
      </c>
      <c r="D2033" t="s">
        <v>62</v>
      </c>
      <c r="E2033" t="s">
        <v>69</v>
      </c>
      <c r="F2033" s="5">
        <v>42736</v>
      </c>
      <c r="G2033">
        <v>0</v>
      </c>
    </row>
    <row r="2034" spans="1:7" x14ac:dyDescent="0.25">
      <c r="A2034" t="s">
        <v>108</v>
      </c>
      <c r="B2034" t="s">
        <v>111</v>
      </c>
      <c r="C2034">
        <v>2320</v>
      </c>
      <c r="D2034" t="s">
        <v>62</v>
      </c>
      <c r="E2034" t="s">
        <v>70</v>
      </c>
      <c r="F2034" s="5">
        <v>42370</v>
      </c>
      <c r="G2034">
        <v>0</v>
      </c>
    </row>
    <row r="2035" spans="1:7" x14ac:dyDescent="0.25">
      <c r="A2035" t="s">
        <v>108</v>
      </c>
      <c r="B2035" t="s">
        <v>111</v>
      </c>
      <c r="C2035">
        <v>2320</v>
      </c>
      <c r="D2035" t="s">
        <v>62</v>
      </c>
      <c r="E2035" t="s">
        <v>70</v>
      </c>
      <c r="F2035" s="5">
        <v>42736</v>
      </c>
      <c r="G2035">
        <v>0</v>
      </c>
    </row>
    <row r="2036" spans="1:7" x14ac:dyDescent="0.25">
      <c r="A2036" t="s">
        <v>108</v>
      </c>
      <c r="B2036" t="s">
        <v>111</v>
      </c>
      <c r="C2036">
        <v>2320</v>
      </c>
      <c r="D2036" t="s">
        <v>62</v>
      </c>
      <c r="E2036" t="s">
        <v>71</v>
      </c>
      <c r="F2036" s="5">
        <v>42370</v>
      </c>
      <c r="G2036">
        <v>0</v>
      </c>
    </row>
    <row r="2037" spans="1:7" x14ac:dyDescent="0.25">
      <c r="A2037" t="s">
        <v>108</v>
      </c>
      <c r="B2037" t="s">
        <v>111</v>
      </c>
      <c r="C2037">
        <v>2320</v>
      </c>
      <c r="D2037" t="s">
        <v>62</v>
      </c>
      <c r="E2037" t="s">
        <v>71</v>
      </c>
      <c r="F2037" s="5">
        <v>42736</v>
      </c>
      <c r="G2037">
        <v>0</v>
      </c>
    </row>
    <row r="2038" spans="1:7" x14ac:dyDescent="0.25">
      <c r="A2038" t="s">
        <v>108</v>
      </c>
      <c r="B2038" t="s">
        <v>111</v>
      </c>
      <c r="C2038">
        <v>2320</v>
      </c>
      <c r="D2038" t="s">
        <v>72</v>
      </c>
      <c r="E2038" t="s">
        <v>73</v>
      </c>
      <c r="F2038" s="5">
        <v>42370</v>
      </c>
      <c r="G2038">
        <v>0</v>
      </c>
    </row>
    <row r="2039" spans="1:7" x14ac:dyDescent="0.25">
      <c r="A2039" t="s">
        <v>108</v>
      </c>
      <c r="B2039" t="s">
        <v>111</v>
      </c>
      <c r="C2039">
        <v>2320</v>
      </c>
      <c r="D2039" t="s">
        <v>72</v>
      </c>
      <c r="E2039" t="s">
        <v>73</v>
      </c>
      <c r="F2039" s="5">
        <v>42736</v>
      </c>
      <c r="G2039">
        <v>0</v>
      </c>
    </row>
    <row r="2040" spans="1:7" x14ac:dyDescent="0.25">
      <c r="A2040" t="s">
        <v>108</v>
      </c>
      <c r="B2040" t="s">
        <v>111</v>
      </c>
      <c r="C2040">
        <v>2320</v>
      </c>
      <c r="D2040" t="s">
        <v>72</v>
      </c>
      <c r="E2040" t="s">
        <v>9</v>
      </c>
      <c r="F2040" s="5">
        <v>42370</v>
      </c>
      <c r="G2040">
        <v>0</v>
      </c>
    </row>
    <row r="2041" spans="1:7" x14ac:dyDescent="0.25">
      <c r="A2041" t="s">
        <v>108</v>
      </c>
      <c r="B2041" t="s">
        <v>111</v>
      </c>
      <c r="C2041">
        <v>2320</v>
      </c>
      <c r="D2041" t="s">
        <v>72</v>
      </c>
      <c r="E2041" t="s">
        <v>9</v>
      </c>
      <c r="F2041" s="5">
        <v>42736</v>
      </c>
      <c r="G2041">
        <v>0</v>
      </c>
    </row>
    <row r="2042" spans="1:7" x14ac:dyDescent="0.25">
      <c r="A2042" t="s">
        <v>108</v>
      </c>
      <c r="B2042" t="s">
        <v>111</v>
      </c>
      <c r="C2042">
        <v>2320</v>
      </c>
      <c r="D2042" t="s">
        <v>72</v>
      </c>
      <c r="E2042" t="s">
        <v>34</v>
      </c>
      <c r="F2042" s="5">
        <v>42370</v>
      </c>
      <c r="G2042">
        <v>0</v>
      </c>
    </row>
    <row r="2043" spans="1:7" x14ac:dyDescent="0.25">
      <c r="A2043" t="s">
        <v>108</v>
      </c>
      <c r="B2043" t="s">
        <v>111</v>
      </c>
      <c r="C2043">
        <v>2320</v>
      </c>
      <c r="D2043" t="s">
        <v>72</v>
      </c>
      <c r="E2043" t="s">
        <v>34</v>
      </c>
      <c r="F2043" s="5">
        <v>42736</v>
      </c>
      <c r="G2043">
        <v>0</v>
      </c>
    </row>
    <row r="2044" spans="1:7" x14ac:dyDescent="0.25">
      <c r="A2044" t="s">
        <v>108</v>
      </c>
      <c r="B2044" t="s">
        <v>111</v>
      </c>
      <c r="C2044">
        <v>2320</v>
      </c>
      <c r="D2044" t="s">
        <v>72</v>
      </c>
      <c r="E2044" t="s">
        <v>74</v>
      </c>
      <c r="F2044" s="5">
        <v>42370</v>
      </c>
      <c r="G2044">
        <v>0</v>
      </c>
    </row>
    <row r="2045" spans="1:7" x14ac:dyDescent="0.25">
      <c r="A2045" t="s">
        <v>108</v>
      </c>
      <c r="B2045" t="s">
        <v>111</v>
      </c>
      <c r="C2045">
        <v>2320</v>
      </c>
      <c r="D2045" t="s">
        <v>72</v>
      </c>
      <c r="E2045" t="s">
        <v>74</v>
      </c>
      <c r="F2045" s="5">
        <v>42736</v>
      </c>
      <c r="G2045">
        <v>0</v>
      </c>
    </row>
    <row r="2046" spans="1:7" x14ac:dyDescent="0.25">
      <c r="A2046" t="s">
        <v>108</v>
      </c>
      <c r="B2046" t="s">
        <v>111</v>
      </c>
      <c r="C2046">
        <v>2320</v>
      </c>
      <c r="D2046" t="s">
        <v>72</v>
      </c>
      <c r="E2046" t="s">
        <v>75</v>
      </c>
      <c r="F2046" s="5">
        <v>42370</v>
      </c>
      <c r="G2046">
        <v>0</v>
      </c>
    </row>
    <row r="2047" spans="1:7" x14ac:dyDescent="0.25">
      <c r="A2047" t="s">
        <v>108</v>
      </c>
      <c r="B2047" t="s">
        <v>111</v>
      </c>
      <c r="C2047">
        <v>2320</v>
      </c>
      <c r="D2047" t="s">
        <v>72</v>
      </c>
      <c r="E2047" t="s">
        <v>75</v>
      </c>
      <c r="F2047" s="5">
        <v>42736</v>
      </c>
      <c r="G2047">
        <v>0</v>
      </c>
    </row>
    <row r="2048" spans="1:7" x14ac:dyDescent="0.25">
      <c r="A2048" t="s">
        <v>108</v>
      </c>
      <c r="B2048" t="s">
        <v>111</v>
      </c>
      <c r="C2048">
        <v>2320</v>
      </c>
      <c r="D2048" t="s">
        <v>76</v>
      </c>
      <c r="E2048" t="s">
        <v>9</v>
      </c>
      <c r="F2048" s="5">
        <v>42370</v>
      </c>
      <c r="G2048">
        <v>0</v>
      </c>
    </row>
    <row r="2049" spans="1:7" x14ac:dyDescent="0.25">
      <c r="A2049" t="s">
        <v>108</v>
      </c>
      <c r="B2049" t="s">
        <v>111</v>
      </c>
      <c r="C2049">
        <v>2320</v>
      </c>
      <c r="D2049" t="s">
        <v>76</v>
      </c>
      <c r="E2049" t="s">
        <v>9</v>
      </c>
      <c r="F2049" s="5">
        <v>42736</v>
      </c>
      <c r="G2049">
        <v>0</v>
      </c>
    </row>
    <row r="2050" spans="1:7" x14ac:dyDescent="0.25">
      <c r="A2050" t="s">
        <v>108</v>
      </c>
      <c r="B2050" t="s">
        <v>111</v>
      </c>
      <c r="C2050">
        <v>2320</v>
      </c>
      <c r="D2050" t="s">
        <v>76</v>
      </c>
      <c r="E2050" t="s">
        <v>77</v>
      </c>
      <c r="F2050" s="5">
        <v>42370</v>
      </c>
      <c r="G2050">
        <v>0</v>
      </c>
    </row>
    <row r="2051" spans="1:7" x14ac:dyDescent="0.25">
      <c r="A2051" t="s">
        <v>108</v>
      </c>
      <c r="B2051" t="s">
        <v>111</v>
      </c>
      <c r="C2051">
        <v>2320</v>
      </c>
      <c r="D2051" t="s">
        <v>76</v>
      </c>
      <c r="E2051" t="s">
        <v>77</v>
      </c>
      <c r="F2051" s="5">
        <v>42736</v>
      </c>
      <c r="G2051">
        <v>0</v>
      </c>
    </row>
    <row r="2052" spans="1:7" x14ac:dyDescent="0.25">
      <c r="A2052" t="s">
        <v>108</v>
      </c>
      <c r="B2052" t="s">
        <v>111</v>
      </c>
      <c r="C2052">
        <v>2320</v>
      </c>
      <c r="D2052" t="s">
        <v>78</v>
      </c>
      <c r="E2052" t="s">
        <v>79</v>
      </c>
      <c r="F2052" s="5">
        <v>42370</v>
      </c>
      <c r="G2052">
        <v>0</v>
      </c>
    </row>
    <row r="2053" spans="1:7" x14ac:dyDescent="0.25">
      <c r="A2053" t="s">
        <v>108</v>
      </c>
      <c r="B2053" t="s">
        <v>111</v>
      </c>
      <c r="C2053">
        <v>2320</v>
      </c>
      <c r="D2053" t="s">
        <v>78</v>
      </c>
      <c r="E2053" t="s">
        <v>79</v>
      </c>
      <c r="F2053" s="5">
        <v>42736</v>
      </c>
      <c r="G2053">
        <v>0</v>
      </c>
    </row>
    <row r="2054" spans="1:7" x14ac:dyDescent="0.25">
      <c r="A2054" t="s">
        <v>108</v>
      </c>
      <c r="B2054" t="s">
        <v>111</v>
      </c>
      <c r="C2054">
        <v>2320</v>
      </c>
      <c r="D2054" t="s">
        <v>78</v>
      </c>
      <c r="E2054" t="s">
        <v>80</v>
      </c>
      <c r="F2054" s="5">
        <v>42370</v>
      </c>
      <c r="G2054">
        <v>0</v>
      </c>
    </row>
    <row r="2055" spans="1:7" x14ac:dyDescent="0.25">
      <c r="A2055" t="s">
        <v>108</v>
      </c>
      <c r="B2055" t="s">
        <v>111</v>
      </c>
      <c r="C2055">
        <v>2320</v>
      </c>
      <c r="D2055" t="s">
        <v>78</v>
      </c>
      <c r="E2055" t="s">
        <v>80</v>
      </c>
      <c r="F2055" s="5">
        <v>42736</v>
      </c>
      <c r="G2055">
        <v>0</v>
      </c>
    </row>
    <row r="2056" spans="1:7" x14ac:dyDescent="0.25">
      <c r="A2056" t="s">
        <v>108</v>
      </c>
      <c r="B2056" t="s">
        <v>111</v>
      </c>
      <c r="C2056">
        <v>2320</v>
      </c>
      <c r="D2056" t="s">
        <v>78</v>
      </c>
      <c r="E2056" t="s">
        <v>81</v>
      </c>
      <c r="F2056" s="5">
        <v>42370</v>
      </c>
      <c r="G2056">
        <v>193</v>
      </c>
    </row>
    <row r="2057" spans="1:7" x14ac:dyDescent="0.25">
      <c r="A2057" t="s">
        <v>108</v>
      </c>
      <c r="B2057" t="s">
        <v>111</v>
      </c>
      <c r="C2057">
        <v>2320</v>
      </c>
      <c r="D2057" t="s">
        <v>78</v>
      </c>
      <c r="E2057" t="s">
        <v>81</v>
      </c>
      <c r="F2057" s="5">
        <v>42736</v>
      </c>
      <c r="G2057">
        <v>222</v>
      </c>
    </row>
    <row r="2058" spans="1:7" x14ac:dyDescent="0.25">
      <c r="A2058" t="s">
        <v>108</v>
      </c>
      <c r="B2058" t="s">
        <v>111</v>
      </c>
      <c r="C2058">
        <v>2320</v>
      </c>
      <c r="D2058" t="s">
        <v>78</v>
      </c>
      <c r="E2058" t="s">
        <v>82</v>
      </c>
      <c r="F2058" s="5">
        <v>42370</v>
      </c>
      <c r="G2058">
        <v>0</v>
      </c>
    </row>
    <row r="2059" spans="1:7" x14ac:dyDescent="0.25">
      <c r="A2059" t="s">
        <v>108</v>
      </c>
      <c r="B2059" t="s">
        <v>111</v>
      </c>
      <c r="C2059">
        <v>2320</v>
      </c>
      <c r="D2059" t="s">
        <v>78</v>
      </c>
      <c r="E2059" t="s">
        <v>82</v>
      </c>
      <c r="F2059" s="5">
        <v>42736</v>
      </c>
      <c r="G2059">
        <v>0</v>
      </c>
    </row>
    <row r="2060" spans="1:7" x14ac:dyDescent="0.25">
      <c r="A2060" t="s">
        <v>108</v>
      </c>
      <c r="B2060" t="s">
        <v>111</v>
      </c>
      <c r="C2060">
        <v>2320</v>
      </c>
      <c r="D2060" t="s">
        <v>78</v>
      </c>
      <c r="E2060" t="s">
        <v>83</v>
      </c>
      <c r="F2060" s="5">
        <v>42370</v>
      </c>
      <c r="G2060">
        <v>0</v>
      </c>
    </row>
    <row r="2061" spans="1:7" x14ac:dyDescent="0.25">
      <c r="A2061" t="s">
        <v>108</v>
      </c>
      <c r="B2061" t="s">
        <v>111</v>
      </c>
      <c r="C2061">
        <v>2320</v>
      </c>
      <c r="D2061" t="s">
        <v>78</v>
      </c>
      <c r="E2061" t="s">
        <v>83</v>
      </c>
      <c r="F2061" s="5">
        <v>42736</v>
      </c>
      <c r="G2061">
        <v>0</v>
      </c>
    </row>
    <row r="2062" spans="1:7" x14ac:dyDescent="0.25">
      <c r="A2062" t="s">
        <v>108</v>
      </c>
      <c r="B2062" t="s">
        <v>111</v>
      </c>
      <c r="C2062">
        <v>2320</v>
      </c>
      <c r="D2062" t="s">
        <v>78</v>
      </c>
      <c r="E2062" t="s">
        <v>84</v>
      </c>
      <c r="F2062" s="5">
        <v>42370</v>
      </c>
      <c r="G2062">
        <v>0</v>
      </c>
    </row>
    <row r="2063" spans="1:7" x14ac:dyDescent="0.25">
      <c r="A2063" t="s">
        <v>108</v>
      </c>
      <c r="B2063" t="s">
        <v>111</v>
      </c>
      <c r="C2063">
        <v>2320</v>
      </c>
      <c r="D2063" t="s">
        <v>78</v>
      </c>
      <c r="E2063" t="s">
        <v>84</v>
      </c>
      <c r="F2063" s="5">
        <v>42736</v>
      </c>
      <c r="G2063">
        <v>0</v>
      </c>
    </row>
    <row r="2064" spans="1:7" x14ac:dyDescent="0.25">
      <c r="A2064" t="s">
        <v>108</v>
      </c>
      <c r="B2064" t="s">
        <v>111</v>
      </c>
      <c r="C2064">
        <v>2320</v>
      </c>
      <c r="D2064" t="s">
        <v>78</v>
      </c>
      <c r="E2064" t="s">
        <v>85</v>
      </c>
      <c r="F2064" s="5">
        <v>42370</v>
      </c>
      <c r="G2064">
        <v>0</v>
      </c>
    </row>
    <row r="2065" spans="1:7" x14ac:dyDescent="0.25">
      <c r="A2065" t="s">
        <v>108</v>
      </c>
      <c r="B2065" t="s">
        <v>111</v>
      </c>
      <c r="C2065">
        <v>2320</v>
      </c>
      <c r="D2065" t="s">
        <v>78</v>
      </c>
      <c r="E2065" t="s">
        <v>85</v>
      </c>
      <c r="F2065" s="5">
        <v>42736</v>
      </c>
      <c r="G2065">
        <v>0</v>
      </c>
    </row>
    <row r="2066" spans="1:7" x14ac:dyDescent="0.25">
      <c r="A2066" t="s">
        <v>108</v>
      </c>
      <c r="B2066" t="s">
        <v>111</v>
      </c>
      <c r="C2066">
        <v>2320</v>
      </c>
      <c r="D2066" t="s">
        <v>78</v>
      </c>
      <c r="E2066" t="s">
        <v>86</v>
      </c>
      <c r="F2066" s="5">
        <v>42370</v>
      </c>
      <c r="G2066">
        <v>0</v>
      </c>
    </row>
    <row r="2067" spans="1:7" x14ac:dyDescent="0.25">
      <c r="A2067" t="s">
        <v>108</v>
      </c>
      <c r="B2067" t="s">
        <v>111</v>
      </c>
      <c r="C2067">
        <v>2320</v>
      </c>
      <c r="D2067" t="s">
        <v>78</v>
      </c>
      <c r="E2067" t="s">
        <v>86</v>
      </c>
      <c r="F2067" s="5">
        <v>42736</v>
      </c>
      <c r="G2067">
        <v>0</v>
      </c>
    </row>
    <row r="2068" spans="1:7" x14ac:dyDescent="0.25">
      <c r="A2068" t="s">
        <v>108</v>
      </c>
      <c r="B2068" t="s">
        <v>111</v>
      </c>
      <c r="C2068">
        <v>2320</v>
      </c>
      <c r="D2068" t="s">
        <v>78</v>
      </c>
      <c r="E2068" t="s">
        <v>87</v>
      </c>
      <c r="F2068" s="5">
        <v>42370</v>
      </c>
      <c r="G2068">
        <v>0</v>
      </c>
    </row>
    <row r="2069" spans="1:7" x14ac:dyDescent="0.25">
      <c r="A2069" t="s">
        <v>108</v>
      </c>
      <c r="B2069" t="s">
        <v>111</v>
      </c>
      <c r="C2069">
        <v>2320</v>
      </c>
      <c r="D2069" t="s">
        <v>78</v>
      </c>
      <c r="E2069" t="s">
        <v>87</v>
      </c>
      <c r="F2069" s="5">
        <v>42736</v>
      </c>
      <c r="G2069">
        <v>0</v>
      </c>
    </row>
    <row r="2070" spans="1:7" x14ac:dyDescent="0.25">
      <c r="A2070" t="s">
        <v>108</v>
      </c>
      <c r="B2070" t="s">
        <v>111</v>
      </c>
      <c r="C2070">
        <v>2320</v>
      </c>
      <c r="D2070" t="s">
        <v>78</v>
      </c>
      <c r="E2070" t="s">
        <v>88</v>
      </c>
      <c r="F2070" s="5">
        <v>42370</v>
      </c>
      <c r="G2070">
        <v>48</v>
      </c>
    </row>
    <row r="2071" spans="1:7" x14ac:dyDescent="0.25">
      <c r="A2071" t="s">
        <v>108</v>
      </c>
      <c r="B2071" t="s">
        <v>111</v>
      </c>
      <c r="C2071">
        <v>2320</v>
      </c>
      <c r="D2071" t="s">
        <v>78</v>
      </c>
      <c r="E2071" t="s">
        <v>88</v>
      </c>
      <c r="F2071" s="5">
        <v>42736</v>
      </c>
      <c r="G2071">
        <v>64</v>
      </c>
    </row>
    <row r="2072" spans="1:7" x14ac:dyDescent="0.25">
      <c r="A2072" t="s">
        <v>108</v>
      </c>
      <c r="B2072" t="s">
        <v>111</v>
      </c>
      <c r="C2072">
        <v>2320</v>
      </c>
      <c r="D2072" t="s">
        <v>78</v>
      </c>
      <c r="E2072" t="s">
        <v>89</v>
      </c>
      <c r="F2072" s="5">
        <v>42370</v>
      </c>
      <c r="G2072">
        <v>541</v>
      </c>
    </row>
    <row r="2073" spans="1:7" x14ac:dyDescent="0.25">
      <c r="A2073" t="s">
        <v>108</v>
      </c>
      <c r="B2073" t="s">
        <v>111</v>
      </c>
      <c r="C2073">
        <v>2320</v>
      </c>
      <c r="D2073" t="s">
        <v>78</v>
      </c>
      <c r="E2073" t="s">
        <v>89</v>
      </c>
      <c r="F2073" s="5">
        <v>42736</v>
      </c>
      <c r="G2073">
        <v>847</v>
      </c>
    </row>
    <row r="2074" spans="1:7" x14ac:dyDescent="0.25">
      <c r="A2074" t="s">
        <v>108</v>
      </c>
      <c r="B2074" t="s">
        <v>111</v>
      </c>
      <c r="C2074">
        <v>2320</v>
      </c>
      <c r="D2074" t="s">
        <v>78</v>
      </c>
      <c r="E2074" t="s">
        <v>90</v>
      </c>
      <c r="F2074" s="5">
        <v>42370</v>
      </c>
      <c r="G2074">
        <v>0</v>
      </c>
    </row>
    <row r="2075" spans="1:7" x14ac:dyDescent="0.25">
      <c r="A2075" t="s">
        <v>108</v>
      </c>
      <c r="B2075" t="s">
        <v>111</v>
      </c>
      <c r="C2075">
        <v>2320</v>
      </c>
      <c r="D2075" t="s">
        <v>78</v>
      </c>
      <c r="E2075" t="s">
        <v>90</v>
      </c>
      <c r="F2075" s="5">
        <v>42736</v>
      </c>
      <c r="G2075">
        <v>0</v>
      </c>
    </row>
    <row r="2076" spans="1:7" x14ac:dyDescent="0.25">
      <c r="A2076" t="s">
        <v>108</v>
      </c>
      <c r="B2076" t="s">
        <v>111</v>
      </c>
      <c r="C2076">
        <v>2320</v>
      </c>
      <c r="D2076" t="s">
        <v>78</v>
      </c>
      <c r="E2076" t="s">
        <v>91</v>
      </c>
      <c r="F2076" s="5">
        <v>42370</v>
      </c>
      <c r="G2076">
        <v>0</v>
      </c>
    </row>
    <row r="2077" spans="1:7" x14ac:dyDescent="0.25">
      <c r="A2077" t="s">
        <v>108</v>
      </c>
      <c r="B2077" t="s">
        <v>111</v>
      </c>
      <c r="C2077">
        <v>2320</v>
      </c>
      <c r="D2077" t="s">
        <v>78</v>
      </c>
      <c r="E2077" t="s">
        <v>91</v>
      </c>
      <c r="F2077" s="5">
        <v>42736</v>
      </c>
      <c r="G2077">
        <v>0</v>
      </c>
    </row>
    <row r="2078" spans="1:7" x14ac:dyDescent="0.25">
      <c r="A2078" t="s">
        <v>108</v>
      </c>
      <c r="B2078" t="s">
        <v>111</v>
      </c>
      <c r="C2078">
        <v>2320</v>
      </c>
      <c r="D2078" t="s">
        <v>78</v>
      </c>
      <c r="E2078" t="s">
        <v>92</v>
      </c>
      <c r="F2078" s="5">
        <v>42370</v>
      </c>
      <c r="G2078">
        <v>0</v>
      </c>
    </row>
    <row r="2079" spans="1:7" x14ac:dyDescent="0.25">
      <c r="A2079" t="s">
        <v>108</v>
      </c>
      <c r="B2079" t="s">
        <v>111</v>
      </c>
      <c r="C2079">
        <v>2320</v>
      </c>
      <c r="D2079" t="s">
        <v>78</v>
      </c>
      <c r="E2079" t="s">
        <v>92</v>
      </c>
      <c r="F2079" s="5">
        <v>42736</v>
      </c>
      <c r="G2079">
        <v>0</v>
      </c>
    </row>
    <row r="2080" spans="1:7" x14ac:dyDescent="0.25">
      <c r="A2080" t="s">
        <v>108</v>
      </c>
      <c r="B2080" t="s">
        <v>111</v>
      </c>
      <c r="C2080">
        <v>2320</v>
      </c>
      <c r="D2080" t="s">
        <v>78</v>
      </c>
      <c r="E2080" t="s">
        <v>93</v>
      </c>
      <c r="F2080" s="5">
        <v>42370</v>
      </c>
      <c r="G2080">
        <v>0</v>
      </c>
    </row>
    <row r="2081" spans="1:7" x14ac:dyDescent="0.25">
      <c r="A2081" t="s">
        <v>108</v>
      </c>
      <c r="B2081" t="s">
        <v>111</v>
      </c>
      <c r="C2081">
        <v>2320</v>
      </c>
      <c r="D2081" t="s">
        <v>78</v>
      </c>
      <c r="E2081" t="s">
        <v>93</v>
      </c>
      <c r="F2081" s="5">
        <v>42736</v>
      </c>
      <c r="G2081">
        <v>0</v>
      </c>
    </row>
    <row r="2082" spans="1:7" x14ac:dyDescent="0.25">
      <c r="A2082" t="s">
        <v>108</v>
      </c>
      <c r="B2082" t="s">
        <v>111</v>
      </c>
      <c r="C2082">
        <v>2320</v>
      </c>
      <c r="D2082" t="s">
        <v>78</v>
      </c>
      <c r="E2082" t="s">
        <v>94</v>
      </c>
      <c r="F2082" s="5">
        <v>42370</v>
      </c>
      <c r="G2082">
        <v>0</v>
      </c>
    </row>
    <row r="2083" spans="1:7" x14ac:dyDescent="0.25">
      <c r="A2083" t="s">
        <v>108</v>
      </c>
      <c r="B2083" t="s">
        <v>111</v>
      </c>
      <c r="C2083">
        <v>2320</v>
      </c>
      <c r="D2083" t="s">
        <v>78</v>
      </c>
      <c r="E2083" t="s">
        <v>94</v>
      </c>
      <c r="F2083" s="5">
        <v>42736</v>
      </c>
      <c r="G2083">
        <v>0</v>
      </c>
    </row>
    <row r="2084" spans="1:7" x14ac:dyDescent="0.25">
      <c r="A2084" t="s">
        <v>108</v>
      </c>
      <c r="B2084" t="s">
        <v>111</v>
      </c>
      <c r="C2084">
        <v>2320</v>
      </c>
      <c r="D2084" t="s">
        <v>78</v>
      </c>
      <c r="E2084" t="s">
        <v>95</v>
      </c>
      <c r="F2084" s="5">
        <v>42370</v>
      </c>
      <c r="G2084">
        <v>0</v>
      </c>
    </row>
    <row r="2085" spans="1:7" x14ac:dyDescent="0.25">
      <c r="A2085" t="s">
        <v>108</v>
      </c>
      <c r="B2085" t="s">
        <v>111</v>
      </c>
      <c r="C2085">
        <v>2320</v>
      </c>
      <c r="D2085" t="s">
        <v>78</v>
      </c>
      <c r="E2085" t="s">
        <v>95</v>
      </c>
      <c r="F2085" s="5">
        <v>42736</v>
      </c>
      <c r="G2085">
        <v>0</v>
      </c>
    </row>
    <row r="2086" spans="1:7" x14ac:dyDescent="0.25">
      <c r="A2086" t="s">
        <v>108</v>
      </c>
      <c r="B2086" t="s">
        <v>111</v>
      </c>
      <c r="C2086">
        <v>2320</v>
      </c>
      <c r="D2086" t="s">
        <v>78</v>
      </c>
      <c r="E2086" t="s">
        <v>96</v>
      </c>
      <c r="F2086" s="5">
        <v>42370</v>
      </c>
      <c r="G2086">
        <v>0</v>
      </c>
    </row>
    <row r="2087" spans="1:7" x14ac:dyDescent="0.25">
      <c r="A2087" t="s">
        <v>108</v>
      </c>
      <c r="B2087" t="s">
        <v>111</v>
      </c>
      <c r="C2087">
        <v>2320</v>
      </c>
      <c r="D2087" t="s">
        <v>78</v>
      </c>
      <c r="E2087" t="s">
        <v>96</v>
      </c>
      <c r="F2087" s="5">
        <v>42736</v>
      </c>
      <c r="G2087">
        <v>0</v>
      </c>
    </row>
    <row r="2088" spans="1:7" x14ac:dyDescent="0.25">
      <c r="A2088" t="s">
        <v>108</v>
      </c>
      <c r="B2088" t="s">
        <v>111</v>
      </c>
      <c r="C2088">
        <v>2320</v>
      </c>
      <c r="D2088" t="s">
        <v>78</v>
      </c>
      <c r="E2088" t="s">
        <v>97</v>
      </c>
      <c r="F2088" s="5">
        <v>42370</v>
      </c>
      <c r="G2088">
        <v>0</v>
      </c>
    </row>
    <row r="2089" spans="1:7" x14ac:dyDescent="0.25">
      <c r="A2089" t="s">
        <v>108</v>
      </c>
      <c r="B2089" t="s">
        <v>111</v>
      </c>
      <c r="C2089">
        <v>2320</v>
      </c>
      <c r="D2089" t="s">
        <v>78</v>
      </c>
      <c r="E2089" t="s">
        <v>97</v>
      </c>
      <c r="F2089" s="5">
        <v>42736</v>
      </c>
      <c r="G2089">
        <v>0</v>
      </c>
    </row>
    <row r="2090" spans="1:7" x14ac:dyDescent="0.25">
      <c r="A2090" t="s">
        <v>108</v>
      </c>
      <c r="B2090" t="s">
        <v>111</v>
      </c>
      <c r="C2090">
        <v>2320</v>
      </c>
      <c r="D2090" t="s">
        <v>78</v>
      </c>
      <c r="E2090" t="s">
        <v>98</v>
      </c>
      <c r="F2090" s="5">
        <v>42370</v>
      </c>
      <c r="G2090">
        <v>0</v>
      </c>
    </row>
    <row r="2091" spans="1:7" x14ac:dyDescent="0.25">
      <c r="A2091" t="s">
        <v>108</v>
      </c>
      <c r="B2091" t="s">
        <v>111</v>
      </c>
      <c r="C2091">
        <v>2320</v>
      </c>
      <c r="D2091" t="s">
        <v>78</v>
      </c>
      <c r="E2091" t="s">
        <v>98</v>
      </c>
      <c r="F2091" s="5">
        <v>42736</v>
      </c>
      <c r="G2091">
        <v>0</v>
      </c>
    </row>
    <row r="2092" spans="1:7" x14ac:dyDescent="0.25">
      <c r="A2092" t="s">
        <v>108</v>
      </c>
      <c r="B2092" t="s">
        <v>112</v>
      </c>
      <c r="C2092">
        <v>2300</v>
      </c>
      <c r="D2092" t="s">
        <v>8</v>
      </c>
      <c r="E2092" t="s">
        <v>9</v>
      </c>
      <c r="F2092" s="5">
        <v>42370</v>
      </c>
      <c r="G2092">
        <v>0</v>
      </c>
    </row>
    <row r="2093" spans="1:7" x14ac:dyDescent="0.25">
      <c r="A2093" t="s">
        <v>108</v>
      </c>
      <c r="B2093" t="s">
        <v>112</v>
      </c>
      <c r="C2093">
        <v>2300</v>
      </c>
      <c r="D2093" t="s">
        <v>8</v>
      </c>
      <c r="E2093" t="s">
        <v>9</v>
      </c>
      <c r="F2093" s="5">
        <v>42736</v>
      </c>
      <c r="G2093">
        <v>0</v>
      </c>
    </row>
    <row r="2094" spans="1:7" x14ac:dyDescent="0.25">
      <c r="A2094" t="s">
        <v>108</v>
      </c>
      <c r="B2094" t="s">
        <v>112</v>
      </c>
      <c r="C2094">
        <v>2300</v>
      </c>
      <c r="D2094" t="s">
        <v>8</v>
      </c>
      <c r="E2094" t="s">
        <v>10</v>
      </c>
      <c r="F2094" s="5">
        <v>42370</v>
      </c>
      <c r="G2094">
        <v>113</v>
      </c>
    </row>
    <row r="2095" spans="1:7" x14ac:dyDescent="0.25">
      <c r="A2095" t="s">
        <v>108</v>
      </c>
      <c r="B2095" t="s">
        <v>112</v>
      </c>
      <c r="C2095">
        <v>2300</v>
      </c>
      <c r="D2095" t="s">
        <v>8</v>
      </c>
      <c r="E2095" t="s">
        <v>10</v>
      </c>
      <c r="F2095" s="5">
        <v>42736</v>
      </c>
      <c r="G2095">
        <v>142</v>
      </c>
    </row>
    <row r="2096" spans="1:7" x14ac:dyDescent="0.25">
      <c r="A2096" t="s">
        <v>108</v>
      </c>
      <c r="B2096" t="s">
        <v>112</v>
      </c>
      <c r="C2096">
        <v>2300</v>
      </c>
      <c r="D2096" t="s">
        <v>8</v>
      </c>
      <c r="E2096" t="s">
        <v>11</v>
      </c>
      <c r="F2096" s="5">
        <v>42370</v>
      </c>
      <c r="G2096">
        <v>25</v>
      </c>
    </row>
    <row r="2097" spans="1:7" x14ac:dyDescent="0.25">
      <c r="A2097" t="s">
        <v>108</v>
      </c>
      <c r="B2097" t="s">
        <v>112</v>
      </c>
      <c r="C2097">
        <v>2300</v>
      </c>
      <c r="D2097" t="s">
        <v>8</v>
      </c>
      <c r="E2097" t="s">
        <v>11</v>
      </c>
      <c r="F2097" s="5">
        <v>42736</v>
      </c>
      <c r="G2097">
        <v>76</v>
      </c>
    </row>
    <row r="2098" spans="1:7" x14ac:dyDescent="0.25">
      <c r="A2098" t="s">
        <v>108</v>
      </c>
      <c r="B2098" t="s">
        <v>112</v>
      </c>
      <c r="C2098">
        <v>2300</v>
      </c>
      <c r="D2098" t="s">
        <v>8</v>
      </c>
      <c r="E2098" t="s">
        <v>12</v>
      </c>
      <c r="F2098" s="5">
        <v>42370</v>
      </c>
      <c r="G2098">
        <v>0</v>
      </c>
    </row>
    <row r="2099" spans="1:7" x14ac:dyDescent="0.25">
      <c r="A2099" t="s">
        <v>108</v>
      </c>
      <c r="B2099" t="s">
        <v>112</v>
      </c>
      <c r="C2099">
        <v>2300</v>
      </c>
      <c r="D2099" t="s">
        <v>8</v>
      </c>
      <c r="E2099" t="s">
        <v>12</v>
      </c>
      <c r="F2099" s="5">
        <v>42736</v>
      </c>
      <c r="G2099">
        <v>0</v>
      </c>
    </row>
    <row r="2100" spans="1:7" x14ac:dyDescent="0.25">
      <c r="A2100" t="s">
        <v>108</v>
      </c>
      <c r="B2100" t="s">
        <v>112</v>
      </c>
      <c r="C2100">
        <v>2300</v>
      </c>
      <c r="D2100" t="s">
        <v>8</v>
      </c>
      <c r="E2100" t="s">
        <v>13</v>
      </c>
      <c r="F2100" s="5">
        <v>42370</v>
      </c>
      <c r="G2100">
        <v>0</v>
      </c>
    </row>
    <row r="2101" spans="1:7" x14ac:dyDescent="0.25">
      <c r="A2101" t="s">
        <v>108</v>
      </c>
      <c r="B2101" t="s">
        <v>112</v>
      </c>
      <c r="C2101">
        <v>2300</v>
      </c>
      <c r="D2101" t="s">
        <v>8</v>
      </c>
      <c r="E2101" t="s">
        <v>13</v>
      </c>
      <c r="F2101" s="5">
        <v>42736</v>
      </c>
      <c r="G2101">
        <v>0</v>
      </c>
    </row>
    <row r="2102" spans="1:7" x14ac:dyDescent="0.25">
      <c r="A2102" t="s">
        <v>108</v>
      </c>
      <c r="B2102" t="s">
        <v>112</v>
      </c>
      <c r="C2102">
        <v>2300</v>
      </c>
      <c r="D2102" t="s">
        <v>8</v>
      </c>
      <c r="E2102" t="s">
        <v>14</v>
      </c>
      <c r="F2102" s="5">
        <v>42370</v>
      </c>
      <c r="G2102">
        <v>0</v>
      </c>
    </row>
    <row r="2103" spans="1:7" x14ac:dyDescent="0.25">
      <c r="A2103" t="s">
        <v>108</v>
      </c>
      <c r="B2103" t="s">
        <v>112</v>
      </c>
      <c r="C2103">
        <v>2300</v>
      </c>
      <c r="D2103" t="s">
        <v>8</v>
      </c>
      <c r="E2103" t="s">
        <v>14</v>
      </c>
      <c r="F2103" s="5">
        <v>42736</v>
      </c>
      <c r="G2103">
        <v>0</v>
      </c>
    </row>
    <row r="2104" spans="1:7" x14ac:dyDescent="0.25">
      <c r="A2104" t="s">
        <v>108</v>
      </c>
      <c r="B2104" t="s">
        <v>112</v>
      </c>
      <c r="C2104">
        <v>2300</v>
      </c>
      <c r="D2104" t="s">
        <v>8</v>
      </c>
      <c r="E2104" t="s">
        <v>15</v>
      </c>
      <c r="F2104" s="5">
        <v>42370</v>
      </c>
      <c r="G2104">
        <v>0</v>
      </c>
    </row>
    <row r="2105" spans="1:7" x14ac:dyDescent="0.25">
      <c r="A2105" t="s">
        <v>108</v>
      </c>
      <c r="B2105" t="s">
        <v>112</v>
      </c>
      <c r="C2105">
        <v>2300</v>
      </c>
      <c r="D2105" t="s">
        <v>8</v>
      </c>
      <c r="E2105" t="s">
        <v>15</v>
      </c>
      <c r="F2105" s="5">
        <v>42736</v>
      </c>
      <c r="G2105">
        <v>0</v>
      </c>
    </row>
    <row r="2106" spans="1:7" x14ac:dyDescent="0.25">
      <c r="A2106" t="s">
        <v>108</v>
      </c>
      <c r="B2106" t="s">
        <v>112</v>
      </c>
      <c r="C2106">
        <v>2300</v>
      </c>
      <c r="D2106" t="s">
        <v>8</v>
      </c>
      <c r="E2106" t="s">
        <v>16</v>
      </c>
      <c r="F2106" s="5">
        <v>42370</v>
      </c>
      <c r="G2106">
        <v>28</v>
      </c>
    </row>
    <row r="2107" spans="1:7" x14ac:dyDescent="0.25">
      <c r="A2107" t="s">
        <v>108</v>
      </c>
      <c r="B2107" t="s">
        <v>112</v>
      </c>
      <c r="C2107">
        <v>2300</v>
      </c>
      <c r="D2107" t="s">
        <v>8</v>
      </c>
      <c r="E2107" t="s">
        <v>16</v>
      </c>
      <c r="F2107" s="5">
        <v>42736</v>
      </c>
      <c r="G2107">
        <v>34</v>
      </c>
    </row>
    <row r="2108" spans="1:7" x14ac:dyDescent="0.25">
      <c r="A2108" t="s">
        <v>108</v>
      </c>
      <c r="B2108" t="s">
        <v>112</v>
      </c>
      <c r="C2108">
        <v>2300</v>
      </c>
      <c r="D2108" t="s">
        <v>8</v>
      </c>
      <c r="E2108" t="s">
        <v>17</v>
      </c>
      <c r="F2108" s="5">
        <v>42370</v>
      </c>
      <c r="G2108">
        <v>0</v>
      </c>
    </row>
    <row r="2109" spans="1:7" x14ac:dyDescent="0.25">
      <c r="A2109" t="s">
        <v>108</v>
      </c>
      <c r="B2109" t="s">
        <v>112</v>
      </c>
      <c r="C2109">
        <v>2300</v>
      </c>
      <c r="D2109" t="s">
        <v>8</v>
      </c>
      <c r="E2109" t="s">
        <v>17</v>
      </c>
      <c r="F2109" s="5">
        <v>42736</v>
      </c>
      <c r="G2109">
        <v>0</v>
      </c>
    </row>
    <row r="2110" spans="1:7" x14ac:dyDescent="0.25">
      <c r="A2110" t="s">
        <v>108</v>
      </c>
      <c r="B2110" t="s">
        <v>112</v>
      </c>
      <c r="C2110">
        <v>2300</v>
      </c>
      <c r="D2110" t="s">
        <v>8</v>
      </c>
      <c r="E2110" t="s">
        <v>18</v>
      </c>
      <c r="F2110" s="5">
        <v>42370</v>
      </c>
      <c r="G2110">
        <v>6</v>
      </c>
    </row>
    <row r="2111" spans="1:7" x14ac:dyDescent="0.25">
      <c r="A2111" t="s">
        <v>108</v>
      </c>
      <c r="B2111" t="s">
        <v>112</v>
      </c>
      <c r="C2111">
        <v>2300</v>
      </c>
      <c r="D2111" t="s">
        <v>8</v>
      </c>
      <c r="E2111" t="s">
        <v>18</v>
      </c>
      <c r="F2111" s="5">
        <v>42736</v>
      </c>
      <c r="G2111">
        <v>7</v>
      </c>
    </row>
    <row r="2112" spans="1:7" x14ac:dyDescent="0.25">
      <c r="A2112" t="s">
        <v>108</v>
      </c>
      <c r="B2112" t="s">
        <v>112</v>
      </c>
      <c r="C2112">
        <v>2300</v>
      </c>
      <c r="D2112" t="s">
        <v>8</v>
      </c>
      <c r="E2112" t="s">
        <v>19</v>
      </c>
      <c r="F2112" s="5">
        <v>42370</v>
      </c>
      <c r="G2112">
        <v>0</v>
      </c>
    </row>
    <row r="2113" spans="1:7" x14ac:dyDescent="0.25">
      <c r="A2113" t="s">
        <v>108</v>
      </c>
      <c r="B2113" t="s">
        <v>112</v>
      </c>
      <c r="C2113">
        <v>2300</v>
      </c>
      <c r="D2113" t="s">
        <v>8</v>
      </c>
      <c r="E2113" t="s">
        <v>19</v>
      </c>
      <c r="F2113" s="5">
        <v>42736</v>
      </c>
      <c r="G2113">
        <v>0</v>
      </c>
    </row>
    <row r="2114" spans="1:7" x14ac:dyDescent="0.25">
      <c r="A2114" t="s">
        <v>108</v>
      </c>
      <c r="B2114" t="s">
        <v>112</v>
      </c>
      <c r="C2114">
        <v>2300</v>
      </c>
      <c r="D2114" t="s">
        <v>20</v>
      </c>
      <c r="E2114" t="s">
        <v>9</v>
      </c>
      <c r="F2114" s="5">
        <v>42370</v>
      </c>
      <c r="G2114">
        <v>13</v>
      </c>
    </row>
    <row r="2115" spans="1:7" x14ac:dyDescent="0.25">
      <c r="A2115" t="s">
        <v>108</v>
      </c>
      <c r="B2115" t="s">
        <v>112</v>
      </c>
      <c r="C2115">
        <v>2300</v>
      </c>
      <c r="D2115" t="s">
        <v>20</v>
      </c>
      <c r="E2115" t="s">
        <v>9</v>
      </c>
      <c r="F2115" s="5">
        <v>42736</v>
      </c>
      <c r="G2115">
        <v>32</v>
      </c>
    </row>
    <row r="2116" spans="1:7" x14ac:dyDescent="0.25">
      <c r="A2116" t="s">
        <v>108</v>
      </c>
      <c r="B2116" t="s">
        <v>112</v>
      </c>
      <c r="C2116">
        <v>2300</v>
      </c>
      <c r="D2116" t="s">
        <v>20</v>
      </c>
      <c r="E2116" t="s">
        <v>21</v>
      </c>
      <c r="F2116" s="5">
        <v>42370</v>
      </c>
      <c r="G2116">
        <v>0</v>
      </c>
    </row>
    <row r="2117" spans="1:7" x14ac:dyDescent="0.25">
      <c r="A2117" t="s">
        <v>108</v>
      </c>
      <c r="B2117" t="s">
        <v>112</v>
      </c>
      <c r="C2117">
        <v>2300</v>
      </c>
      <c r="D2117" t="s">
        <v>20</v>
      </c>
      <c r="E2117" t="s">
        <v>21</v>
      </c>
      <c r="F2117" s="5">
        <v>42736</v>
      </c>
      <c r="G2117">
        <v>0</v>
      </c>
    </row>
    <row r="2118" spans="1:7" x14ac:dyDescent="0.25">
      <c r="A2118" t="s">
        <v>108</v>
      </c>
      <c r="B2118" t="s">
        <v>112</v>
      </c>
      <c r="C2118">
        <v>2300</v>
      </c>
      <c r="D2118" t="s">
        <v>20</v>
      </c>
      <c r="E2118" t="s">
        <v>22</v>
      </c>
      <c r="F2118" s="5">
        <v>42370</v>
      </c>
      <c r="G2118">
        <v>0</v>
      </c>
    </row>
    <row r="2119" spans="1:7" x14ac:dyDescent="0.25">
      <c r="A2119" t="s">
        <v>108</v>
      </c>
      <c r="B2119" t="s">
        <v>112</v>
      </c>
      <c r="C2119">
        <v>2300</v>
      </c>
      <c r="D2119" t="s">
        <v>20</v>
      </c>
      <c r="E2119" t="s">
        <v>22</v>
      </c>
      <c r="F2119" s="5">
        <v>42736</v>
      </c>
      <c r="G2119">
        <v>1</v>
      </c>
    </row>
    <row r="2120" spans="1:7" x14ac:dyDescent="0.25">
      <c r="A2120" t="s">
        <v>108</v>
      </c>
      <c r="B2120" t="s">
        <v>112</v>
      </c>
      <c r="C2120">
        <v>2300</v>
      </c>
      <c r="D2120" t="s">
        <v>20</v>
      </c>
      <c r="E2120" t="s">
        <v>23</v>
      </c>
      <c r="F2120" s="5">
        <v>42370</v>
      </c>
      <c r="G2120">
        <v>2</v>
      </c>
    </row>
    <row r="2121" spans="1:7" x14ac:dyDescent="0.25">
      <c r="A2121" t="s">
        <v>108</v>
      </c>
      <c r="B2121" t="s">
        <v>112</v>
      </c>
      <c r="C2121">
        <v>2300</v>
      </c>
      <c r="D2121" t="s">
        <v>20</v>
      </c>
      <c r="E2121" t="s">
        <v>23</v>
      </c>
      <c r="F2121" s="5">
        <v>42736</v>
      </c>
      <c r="G2121">
        <v>3</v>
      </c>
    </row>
    <row r="2122" spans="1:7" x14ac:dyDescent="0.25">
      <c r="A2122" t="s">
        <v>108</v>
      </c>
      <c r="B2122" t="s">
        <v>112</v>
      </c>
      <c r="C2122">
        <v>2300</v>
      </c>
      <c r="D2122" t="s">
        <v>20</v>
      </c>
      <c r="E2122" t="s">
        <v>24</v>
      </c>
      <c r="F2122" s="5">
        <v>42370</v>
      </c>
      <c r="G2122">
        <v>0</v>
      </c>
    </row>
    <row r="2123" spans="1:7" x14ac:dyDescent="0.25">
      <c r="A2123" t="s">
        <v>108</v>
      </c>
      <c r="B2123" t="s">
        <v>112</v>
      </c>
      <c r="C2123">
        <v>2300</v>
      </c>
      <c r="D2123" t="s">
        <v>20</v>
      </c>
      <c r="E2123" t="s">
        <v>24</v>
      </c>
      <c r="F2123" s="5">
        <v>42736</v>
      </c>
      <c r="G2123">
        <v>0</v>
      </c>
    </row>
    <row r="2124" spans="1:7" x14ac:dyDescent="0.25">
      <c r="A2124" t="s">
        <v>108</v>
      </c>
      <c r="B2124" t="s">
        <v>112</v>
      </c>
      <c r="C2124">
        <v>2300</v>
      </c>
      <c r="D2124" t="s">
        <v>20</v>
      </c>
      <c r="E2124" t="s">
        <v>25</v>
      </c>
      <c r="F2124" s="5">
        <v>42370</v>
      </c>
      <c r="G2124">
        <v>0</v>
      </c>
    </row>
    <row r="2125" spans="1:7" x14ac:dyDescent="0.25">
      <c r="A2125" t="s">
        <v>108</v>
      </c>
      <c r="B2125" t="s">
        <v>112</v>
      </c>
      <c r="C2125">
        <v>2300</v>
      </c>
      <c r="D2125" t="s">
        <v>20</v>
      </c>
      <c r="E2125" t="s">
        <v>25</v>
      </c>
      <c r="F2125" s="5">
        <v>42736</v>
      </c>
      <c r="G2125">
        <v>0</v>
      </c>
    </row>
    <row r="2126" spans="1:7" x14ac:dyDescent="0.25">
      <c r="A2126" t="s">
        <v>108</v>
      </c>
      <c r="B2126" t="s">
        <v>112</v>
      </c>
      <c r="C2126">
        <v>2300</v>
      </c>
      <c r="D2126" t="s">
        <v>20</v>
      </c>
      <c r="E2126" t="s">
        <v>26</v>
      </c>
      <c r="F2126" s="5">
        <v>42370</v>
      </c>
      <c r="G2126">
        <v>98</v>
      </c>
    </row>
    <row r="2127" spans="1:7" x14ac:dyDescent="0.25">
      <c r="A2127" t="s">
        <v>108</v>
      </c>
      <c r="B2127" t="s">
        <v>112</v>
      </c>
      <c r="C2127">
        <v>2300</v>
      </c>
      <c r="D2127" t="s">
        <v>20</v>
      </c>
      <c r="E2127" t="s">
        <v>26</v>
      </c>
      <c r="F2127" s="5">
        <v>42736</v>
      </c>
      <c r="G2127">
        <v>130</v>
      </c>
    </row>
    <row r="2128" spans="1:7" x14ac:dyDescent="0.25">
      <c r="A2128" t="s">
        <v>108</v>
      </c>
      <c r="B2128" t="s">
        <v>112</v>
      </c>
      <c r="C2128">
        <v>2300</v>
      </c>
      <c r="D2128" t="s">
        <v>20</v>
      </c>
      <c r="E2128" t="s">
        <v>27</v>
      </c>
      <c r="F2128" s="5">
        <v>42370</v>
      </c>
      <c r="G2128">
        <v>1</v>
      </c>
    </row>
    <row r="2129" spans="1:7" x14ac:dyDescent="0.25">
      <c r="A2129" t="s">
        <v>108</v>
      </c>
      <c r="B2129" t="s">
        <v>112</v>
      </c>
      <c r="C2129">
        <v>2300</v>
      </c>
      <c r="D2129" t="s">
        <v>20</v>
      </c>
      <c r="E2129" t="s">
        <v>27</v>
      </c>
      <c r="F2129" s="5">
        <v>42736</v>
      </c>
      <c r="G2129">
        <v>3</v>
      </c>
    </row>
    <row r="2130" spans="1:7" x14ac:dyDescent="0.25">
      <c r="A2130" t="s">
        <v>108</v>
      </c>
      <c r="B2130" t="s">
        <v>112</v>
      </c>
      <c r="C2130">
        <v>2300</v>
      </c>
      <c r="D2130" t="s">
        <v>20</v>
      </c>
      <c r="E2130" t="s">
        <v>28</v>
      </c>
      <c r="F2130" s="5">
        <v>42370</v>
      </c>
      <c r="G2130">
        <v>0</v>
      </c>
    </row>
    <row r="2131" spans="1:7" x14ac:dyDescent="0.25">
      <c r="A2131" t="s">
        <v>108</v>
      </c>
      <c r="B2131" t="s">
        <v>112</v>
      </c>
      <c r="C2131">
        <v>2300</v>
      </c>
      <c r="D2131" t="s">
        <v>20</v>
      </c>
      <c r="E2131" t="s">
        <v>28</v>
      </c>
      <c r="F2131" s="5">
        <v>42736</v>
      </c>
      <c r="G2131">
        <v>0</v>
      </c>
    </row>
    <row r="2132" spans="1:7" x14ac:dyDescent="0.25">
      <c r="A2132" t="s">
        <v>108</v>
      </c>
      <c r="B2132" t="s">
        <v>112</v>
      </c>
      <c r="C2132">
        <v>2300</v>
      </c>
      <c r="D2132" t="s">
        <v>20</v>
      </c>
      <c r="E2132" t="s">
        <v>29</v>
      </c>
      <c r="F2132" s="5">
        <v>42370</v>
      </c>
      <c r="G2132">
        <v>99</v>
      </c>
    </row>
    <row r="2133" spans="1:7" x14ac:dyDescent="0.25">
      <c r="A2133" t="s">
        <v>108</v>
      </c>
      <c r="B2133" t="s">
        <v>112</v>
      </c>
      <c r="C2133">
        <v>2300</v>
      </c>
      <c r="D2133" t="s">
        <v>20</v>
      </c>
      <c r="E2133" t="s">
        <v>29</v>
      </c>
      <c r="F2133" s="5">
        <v>42736</v>
      </c>
      <c r="G2133">
        <v>132</v>
      </c>
    </row>
    <row r="2134" spans="1:7" x14ac:dyDescent="0.25">
      <c r="A2134" t="s">
        <v>108</v>
      </c>
      <c r="B2134" t="s">
        <v>112</v>
      </c>
      <c r="C2134">
        <v>2300</v>
      </c>
      <c r="D2134" t="s">
        <v>20</v>
      </c>
      <c r="E2134" t="s">
        <v>30</v>
      </c>
      <c r="F2134" s="5">
        <v>42370</v>
      </c>
      <c r="G2134">
        <v>98</v>
      </c>
    </row>
    <row r="2135" spans="1:7" x14ac:dyDescent="0.25">
      <c r="A2135" t="s">
        <v>108</v>
      </c>
      <c r="B2135" t="s">
        <v>112</v>
      </c>
      <c r="C2135">
        <v>2300</v>
      </c>
      <c r="D2135" t="s">
        <v>20</v>
      </c>
      <c r="E2135" t="s">
        <v>30</v>
      </c>
      <c r="F2135" s="5">
        <v>42736</v>
      </c>
      <c r="G2135">
        <v>127</v>
      </c>
    </row>
    <row r="2136" spans="1:7" x14ac:dyDescent="0.25">
      <c r="A2136" t="s">
        <v>108</v>
      </c>
      <c r="B2136" t="s">
        <v>112</v>
      </c>
      <c r="C2136">
        <v>2300</v>
      </c>
      <c r="D2136" t="s">
        <v>20</v>
      </c>
      <c r="E2136" t="s">
        <v>31</v>
      </c>
      <c r="F2136" s="5">
        <v>42370</v>
      </c>
      <c r="G2136">
        <v>393</v>
      </c>
    </row>
    <row r="2137" spans="1:7" x14ac:dyDescent="0.25">
      <c r="A2137" t="s">
        <v>108</v>
      </c>
      <c r="B2137" t="s">
        <v>112</v>
      </c>
      <c r="C2137">
        <v>2300</v>
      </c>
      <c r="D2137" t="s">
        <v>20</v>
      </c>
      <c r="E2137" t="s">
        <v>31</v>
      </c>
      <c r="F2137" s="5">
        <v>42736</v>
      </c>
      <c r="G2137">
        <v>261</v>
      </c>
    </row>
    <row r="2138" spans="1:7" x14ac:dyDescent="0.25">
      <c r="A2138" t="s">
        <v>108</v>
      </c>
      <c r="B2138" t="s">
        <v>112</v>
      </c>
      <c r="C2138">
        <v>2300</v>
      </c>
      <c r="D2138" t="s">
        <v>20</v>
      </c>
      <c r="E2138" t="s">
        <v>32</v>
      </c>
      <c r="F2138" s="5">
        <v>42370</v>
      </c>
      <c r="G2138">
        <v>99</v>
      </c>
    </row>
    <row r="2139" spans="1:7" x14ac:dyDescent="0.25">
      <c r="A2139" t="s">
        <v>108</v>
      </c>
      <c r="B2139" t="s">
        <v>112</v>
      </c>
      <c r="C2139">
        <v>2300</v>
      </c>
      <c r="D2139" t="s">
        <v>20</v>
      </c>
      <c r="E2139" t="s">
        <v>32</v>
      </c>
      <c r="F2139" s="5">
        <v>42736</v>
      </c>
      <c r="G2139">
        <v>130</v>
      </c>
    </row>
    <row r="2140" spans="1:7" x14ac:dyDescent="0.25">
      <c r="A2140" t="s">
        <v>108</v>
      </c>
      <c r="B2140" t="s">
        <v>112</v>
      </c>
      <c r="C2140">
        <v>2300</v>
      </c>
      <c r="D2140" t="s">
        <v>33</v>
      </c>
      <c r="E2140" t="s">
        <v>9</v>
      </c>
      <c r="F2140" s="5">
        <v>42370</v>
      </c>
      <c r="G2140">
        <v>0</v>
      </c>
    </row>
    <row r="2141" spans="1:7" x14ac:dyDescent="0.25">
      <c r="A2141" t="s">
        <v>108</v>
      </c>
      <c r="B2141" t="s">
        <v>112</v>
      </c>
      <c r="C2141">
        <v>2300</v>
      </c>
      <c r="D2141" t="s">
        <v>33</v>
      </c>
      <c r="E2141" t="s">
        <v>9</v>
      </c>
      <c r="F2141" s="5">
        <v>42736</v>
      </c>
      <c r="G2141">
        <v>0</v>
      </c>
    </row>
    <row r="2142" spans="1:7" x14ac:dyDescent="0.25">
      <c r="A2142" t="s">
        <v>108</v>
      </c>
      <c r="B2142" t="s">
        <v>112</v>
      </c>
      <c r="C2142">
        <v>2300</v>
      </c>
      <c r="D2142" t="s">
        <v>33</v>
      </c>
      <c r="E2142" t="s">
        <v>34</v>
      </c>
      <c r="F2142" s="5">
        <v>42370</v>
      </c>
      <c r="G2142">
        <v>0</v>
      </c>
    </row>
    <row r="2143" spans="1:7" x14ac:dyDescent="0.25">
      <c r="A2143" t="s">
        <v>108</v>
      </c>
      <c r="B2143" t="s">
        <v>112</v>
      </c>
      <c r="C2143">
        <v>2300</v>
      </c>
      <c r="D2143" t="s">
        <v>33</v>
      </c>
      <c r="E2143" t="s">
        <v>34</v>
      </c>
      <c r="F2143" s="5">
        <v>42736</v>
      </c>
      <c r="G2143">
        <v>0</v>
      </c>
    </row>
    <row r="2144" spans="1:7" x14ac:dyDescent="0.25">
      <c r="A2144" t="s">
        <v>108</v>
      </c>
      <c r="B2144" t="s">
        <v>112</v>
      </c>
      <c r="C2144">
        <v>2300</v>
      </c>
      <c r="D2144" t="s">
        <v>35</v>
      </c>
      <c r="E2144" t="s">
        <v>36</v>
      </c>
      <c r="F2144" s="5">
        <v>42370</v>
      </c>
      <c r="G2144">
        <v>0</v>
      </c>
    </row>
    <row r="2145" spans="1:7" x14ac:dyDescent="0.25">
      <c r="A2145" t="s">
        <v>108</v>
      </c>
      <c r="B2145" t="s">
        <v>112</v>
      </c>
      <c r="C2145">
        <v>2300</v>
      </c>
      <c r="D2145" t="s">
        <v>35</v>
      </c>
      <c r="E2145" t="s">
        <v>36</v>
      </c>
      <c r="F2145" s="5">
        <v>42736</v>
      </c>
      <c r="G2145">
        <v>0</v>
      </c>
    </row>
    <row r="2146" spans="1:7" x14ac:dyDescent="0.25">
      <c r="A2146" t="s">
        <v>108</v>
      </c>
      <c r="B2146" t="s">
        <v>112</v>
      </c>
      <c r="C2146">
        <v>2300</v>
      </c>
      <c r="D2146" t="s">
        <v>35</v>
      </c>
      <c r="E2146" t="s">
        <v>37</v>
      </c>
      <c r="F2146" s="5">
        <v>42370</v>
      </c>
      <c r="G2146">
        <v>0</v>
      </c>
    </row>
    <row r="2147" spans="1:7" x14ac:dyDescent="0.25">
      <c r="A2147" t="s">
        <v>108</v>
      </c>
      <c r="B2147" t="s">
        <v>112</v>
      </c>
      <c r="C2147">
        <v>2300</v>
      </c>
      <c r="D2147" t="s">
        <v>35</v>
      </c>
      <c r="E2147" t="s">
        <v>37</v>
      </c>
      <c r="F2147" s="5">
        <v>42736</v>
      </c>
      <c r="G2147">
        <v>0</v>
      </c>
    </row>
    <row r="2148" spans="1:7" x14ac:dyDescent="0.25">
      <c r="A2148" t="s">
        <v>108</v>
      </c>
      <c r="B2148" t="s">
        <v>112</v>
      </c>
      <c r="C2148">
        <v>2300</v>
      </c>
      <c r="D2148" t="s">
        <v>35</v>
      </c>
      <c r="E2148" t="s">
        <v>38</v>
      </c>
      <c r="F2148" s="5">
        <v>42370</v>
      </c>
      <c r="G2148">
        <v>0</v>
      </c>
    </row>
    <row r="2149" spans="1:7" x14ac:dyDescent="0.25">
      <c r="A2149" t="s">
        <v>108</v>
      </c>
      <c r="B2149" t="s">
        <v>112</v>
      </c>
      <c r="C2149">
        <v>2300</v>
      </c>
      <c r="D2149" t="s">
        <v>35</v>
      </c>
      <c r="E2149" t="s">
        <v>38</v>
      </c>
      <c r="F2149" s="5">
        <v>42736</v>
      </c>
      <c r="G2149">
        <v>0</v>
      </c>
    </row>
    <row r="2150" spans="1:7" x14ac:dyDescent="0.25">
      <c r="A2150" t="s">
        <v>108</v>
      </c>
      <c r="B2150" t="s">
        <v>112</v>
      </c>
      <c r="C2150">
        <v>2300</v>
      </c>
      <c r="D2150" t="s">
        <v>35</v>
      </c>
      <c r="E2150" t="s">
        <v>39</v>
      </c>
      <c r="F2150" s="5">
        <v>42370</v>
      </c>
      <c r="G2150">
        <v>0</v>
      </c>
    </row>
    <row r="2151" spans="1:7" x14ac:dyDescent="0.25">
      <c r="A2151" t="s">
        <v>108</v>
      </c>
      <c r="B2151" t="s">
        <v>112</v>
      </c>
      <c r="C2151">
        <v>2300</v>
      </c>
      <c r="D2151" t="s">
        <v>35</v>
      </c>
      <c r="E2151" t="s">
        <v>39</v>
      </c>
      <c r="F2151" s="5">
        <v>42736</v>
      </c>
      <c r="G2151">
        <v>0</v>
      </c>
    </row>
    <row r="2152" spans="1:7" x14ac:dyDescent="0.25">
      <c r="A2152" t="s">
        <v>108</v>
      </c>
      <c r="B2152" t="s">
        <v>112</v>
      </c>
      <c r="C2152">
        <v>2300</v>
      </c>
      <c r="D2152" t="s">
        <v>35</v>
      </c>
      <c r="E2152" t="s">
        <v>40</v>
      </c>
      <c r="F2152" s="5">
        <v>42370</v>
      </c>
      <c r="G2152">
        <v>0</v>
      </c>
    </row>
    <row r="2153" spans="1:7" x14ac:dyDescent="0.25">
      <c r="A2153" t="s">
        <v>108</v>
      </c>
      <c r="B2153" t="s">
        <v>112</v>
      </c>
      <c r="C2153">
        <v>2300</v>
      </c>
      <c r="D2153" t="s">
        <v>35</v>
      </c>
      <c r="E2153" t="s">
        <v>40</v>
      </c>
      <c r="F2153" s="5">
        <v>42736</v>
      </c>
      <c r="G2153">
        <v>0</v>
      </c>
    </row>
    <row r="2154" spans="1:7" x14ac:dyDescent="0.25">
      <c r="A2154" t="s">
        <v>108</v>
      </c>
      <c r="B2154" t="s">
        <v>112</v>
      </c>
      <c r="C2154">
        <v>2300</v>
      </c>
      <c r="D2154" t="s">
        <v>35</v>
      </c>
      <c r="E2154" t="s">
        <v>41</v>
      </c>
      <c r="F2154" s="5">
        <v>42370</v>
      </c>
      <c r="G2154">
        <v>0</v>
      </c>
    </row>
    <row r="2155" spans="1:7" x14ac:dyDescent="0.25">
      <c r="A2155" t="s">
        <v>108</v>
      </c>
      <c r="B2155" t="s">
        <v>112</v>
      </c>
      <c r="C2155">
        <v>2300</v>
      </c>
      <c r="D2155" t="s">
        <v>35</v>
      </c>
      <c r="E2155" t="s">
        <v>41</v>
      </c>
      <c r="F2155" s="5">
        <v>42736</v>
      </c>
      <c r="G2155">
        <v>0</v>
      </c>
    </row>
    <row r="2156" spans="1:7" x14ac:dyDescent="0.25">
      <c r="A2156" t="s">
        <v>108</v>
      </c>
      <c r="B2156" t="s">
        <v>112</v>
      </c>
      <c r="C2156">
        <v>2300</v>
      </c>
      <c r="D2156" t="s">
        <v>35</v>
      </c>
      <c r="E2156" t="s">
        <v>42</v>
      </c>
      <c r="F2156" s="5">
        <v>42370</v>
      </c>
      <c r="G2156">
        <v>0</v>
      </c>
    </row>
    <row r="2157" spans="1:7" x14ac:dyDescent="0.25">
      <c r="A2157" t="s">
        <v>108</v>
      </c>
      <c r="B2157" t="s">
        <v>112</v>
      </c>
      <c r="C2157">
        <v>2300</v>
      </c>
      <c r="D2157" t="s">
        <v>35</v>
      </c>
      <c r="E2157" t="s">
        <v>42</v>
      </c>
      <c r="F2157" s="5">
        <v>42736</v>
      </c>
      <c r="G2157">
        <v>0</v>
      </c>
    </row>
    <row r="2158" spans="1:7" x14ac:dyDescent="0.25">
      <c r="A2158" t="s">
        <v>108</v>
      </c>
      <c r="B2158" t="s">
        <v>112</v>
      </c>
      <c r="C2158">
        <v>2300</v>
      </c>
      <c r="D2158" t="s">
        <v>35</v>
      </c>
      <c r="E2158" t="s">
        <v>43</v>
      </c>
      <c r="F2158" s="5">
        <v>42370</v>
      </c>
      <c r="G2158">
        <v>0</v>
      </c>
    </row>
    <row r="2159" spans="1:7" x14ac:dyDescent="0.25">
      <c r="A2159" t="s">
        <v>108</v>
      </c>
      <c r="B2159" t="s">
        <v>112</v>
      </c>
      <c r="C2159">
        <v>2300</v>
      </c>
      <c r="D2159" t="s">
        <v>35</v>
      </c>
      <c r="E2159" t="s">
        <v>43</v>
      </c>
      <c r="F2159" s="5">
        <v>42736</v>
      </c>
      <c r="G2159">
        <v>0</v>
      </c>
    </row>
    <row r="2160" spans="1:7" x14ac:dyDescent="0.25">
      <c r="A2160" t="s">
        <v>108</v>
      </c>
      <c r="B2160" t="s">
        <v>112</v>
      </c>
      <c r="C2160">
        <v>2300</v>
      </c>
      <c r="D2160" t="s">
        <v>44</v>
      </c>
      <c r="E2160" t="s">
        <v>36</v>
      </c>
      <c r="F2160" s="5">
        <v>42370</v>
      </c>
      <c r="G2160">
        <v>0</v>
      </c>
    </row>
    <row r="2161" spans="1:7" x14ac:dyDescent="0.25">
      <c r="A2161" t="s">
        <v>108</v>
      </c>
      <c r="B2161" t="s">
        <v>112</v>
      </c>
      <c r="C2161">
        <v>2300</v>
      </c>
      <c r="D2161" t="s">
        <v>44</v>
      </c>
      <c r="E2161" t="s">
        <v>36</v>
      </c>
      <c r="F2161" s="5">
        <v>42736</v>
      </c>
      <c r="G2161">
        <v>0</v>
      </c>
    </row>
    <row r="2162" spans="1:7" x14ac:dyDescent="0.25">
      <c r="A2162" t="s">
        <v>108</v>
      </c>
      <c r="B2162" t="s">
        <v>112</v>
      </c>
      <c r="C2162">
        <v>2300</v>
      </c>
      <c r="D2162" t="s">
        <v>44</v>
      </c>
      <c r="E2162" t="s">
        <v>37</v>
      </c>
      <c r="F2162" s="5">
        <v>42370</v>
      </c>
      <c r="G2162">
        <v>0</v>
      </c>
    </row>
    <row r="2163" spans="1:7" x14ac:dyDescent="0.25">
      <c r="A2163" t="s">
        <v>108</v>
      </c>
      <c r="B2163" t="s">
        <v>112</v>
      </c>
      <c r="C2163">
        <v>2300</v>
      </c>
      <c r="D2163" t="s">
        <v>44</v>
      </c>
      <c r="E2163" t="s">
        <v>37</v>
      </c>
      <c r="F2163" s="5">
        <v>42736</v>
      </c>
      <c r="G2163">
        <v>0</v>
      </c>
    </row>
    <row r="2164" spans="1:7" x14ac:dyDescent="0.25">
      <c r="A2164" t="s">
        <v>108</v>
      </c>
      <c r="B2164" t="s">
        <v>112</v>
      </c>
      <c r="C2164">
        <v>2300</v>
      </c>
      <c r="D2164" t="s">
        <v>44</v>
      </c>
      <c r="E2164" t="s">
        <v>38</v>
      </c>
      <c r="F2164" s="5">
        <v>42370</v>
      </c>
      <c r="G2164">
        <v>0</v>
      </c>
    </row>
    <row r="2165" spans="1:7" x14ac:dyDescent="0.25">
      <c r="A2165" t="s">
        <v>108</v>
      </c>
      <c r="B2165" t="s">
        <v>112</v>
      </c>
      <c r="C2165">
        <v>2300</v>
      </c>
      <c r="D2165" t="s">
        <v>44</v>
      </c>
      <c r="E2165" t="s">
        <v>38</v>
      </c>
      <c r="F2165" s="5">
        <v>42736</v>
      </c>
      <c r="G2165">
        <v>0</v>
      </c>
    </row>
    <row r="2166" spans="1:7" x14ac:dyDescent="0.25">
      <c r="A2166" t="s">
        <v>108</v>
      </c>
      <c r="B2166" t="s">
        <v>112</v>
      </c>
      <c r="C2166">
        <v>2300</v>
      </c>
      <c r="D2166" t="s">
        <v>44</v>
      </c>
      <c r="E2166" t="s">
        <v>39</v>
      </c>
      <c r="F2166" s="5">
        <v>42370</v>
      </c>
      <c r="G2166">
        <v>0</v>
      </c>
    </row>
    <row r="2167" spans="1:7" x14ac:dyDescent="0.25">
      <c r="A2167" t="s">
        <v>108</v>
      </c>
      <c r="B2167" t="s">
        <v>112</v>
      </c>
      <c r="C2167">
        <v>2300</v>
      </c>
      <c r="D2167" t="s">
        <v>44</v>
      </c>
      <c r="E2167" t="s">
        <v>39</v>
      </c>
      <c r="F2167" s="5">
        <v>42736</v>
      </c>
      <c r="G2167">
        <v>0</v>
      </c>
    </row>
    <row r="2168" spans="1:7" x14ac:dyDescent="0.25">
      <c r="A2168" t="s">
        <v>108</v>
      </c>
      <c r="B2168" t="s">
        <v>112</v>
      </c>
      <c r="C2168">
        <v>2300</v>
      </c>
      <c r="D2168" t="s">
        <v>44</v>
      </c>
      <c r="E2168" t="s">
        <v>40</v>
      </c>
      <c r="F2168" s="5">
        <v>42370</v>
      </c>
      <c r="G2168">
        <v>0</v>
      </c>
    </row>
    <row r="2169" spans="1:7" x14ac:dyDescent="0.25">
      <c r="A2169" t="s">
        <v>108</v>
      </c>
      <c r="B2169" t="s">
        <v>112</v>
      </c>
      <c r="C2169">
        <v>2300</v>
      </c>
      <c r="D2169" t="s">
        <v>44</v>
      </c>
      <c r="E2169" t="s">
        <v>40</v>
      </c>
      <c r="F2169" s="5">
        <v>42736</v>
      </c>
      <c r="G2169">
        <v>0</v>
      </c>
    </row>
    <row r="2170" spans="1:7" x14ac:dyDescent="0.25">
      <c r="A2170" t="s">
        <v>108</v>
      </c>
      <c r="B2170" t="s">
        <v>112</v>
      </c>
      <c r="C2170">
        <v>2300</v>
      </c>
      <c r="D2170" t="s">
        <v>44</v>
      </c>
      <c r="E2170" t="s">
        <v>41</v>
      </c>
      <c r="F2170" s="5">
        <v>42370</v>
      </c>
      <c r="G2170">
        <v>0</v>
      </c>
    </row>
    <row r="2171" spans="1:7" x14ac:dyDescent="0.25">
      <c r="A2171" t="s">
        <v>108</v>
      </c>
      <c r="B2171" t="s">
        <v>112</v>
      </c>
      <c r="C2171">
        <v>2300</v>
      </c>
      <c r="D2171" t="s">
        <v>44</v>
      </c>
      <c r="E2171" t="s">
        <v>41</v>
      </c>
      <c r="F2171" s="5">
        <v>42736</v>
      </c>
      <c r="G2171">
        <v>1</v>
      </c>
    </row>
    <row r="2172" spans="1:7" x14ac:dyDescent="0.25">
      <c r="A2172" t="s">
        <v>108</v>
      </c>
      <c r="B2172" t="s">
        <v>112</v>
      </c>
      <c r="C2172">
        <v>2300</v>
      </c>
      <c r="D2172" t="s">
        <v>44</v>
      </c>
      <c r="E2172" t="s">
        <v>42</v>
      </c>
      <c r="F2172" s="5">
        <v>42370</v>
      </c>
      <c r="G2172">
        <v>0</v>
      </c>
    </row>
    <row r="2173" spans="1:7" x14ac:dyDescent="0.25">
      <c r="A2173" t="s">
        <v>108</v>
      </c>
      <c r="B2173" t="s">
        <v>112</v>
      </c>
      <c r="C2173">
        <v>2300</v>
      </c>
      <c r="D2173" t="s">
        <v>44</v>
      </c>
      <c r="E2173" t="s">
        <v>42</v>
      </c>
      <c r="F2173" s="5">
        <v>42736</v>
      </c>
      <c r="G2173">
        <v>0</v>
      </c>
    </row>
    <row r="2174" spans="1:7" x14ac:dyDescent="0.25">
      <c r="A2174" t="s">
        <v>108</v>
      </c>
      <c r="B2174" t="s">
        <v>112</v>
      </c>
      <c r="C2174">
        <v>2300</v>
      </c>
      <c r="D2174" t="s">
        <v>44</v>
      </c>
      <c r="E2174" t="s">
        <v>43</v>
      </c>
      <c r="F2174" s="5">
        <v>42370</v>
      </c>
      <c r="G2174">
        <v>0</v>
      </c>
    </row>
    <row r="2175" spans="1:7" x14ac:dyDescent="0.25">
      <c r="A2175" t="s">
        <v>108</v>
      </c>
      <c r="B2175" t="s">
        <v>112</v>
      </c>
      <c r="C2175">
        <v>2300</v>
      </c>
      <c r="D2175" t="s">
        <v>44</v>
      </c>
      <c r="E2175" t="s">
        <v>43</v>
      </c>
      <c r="F2175" s="5">
        <v>42736</v>
      </c>
      <c r="G2175">
        <v>0</v>
      </c>
    </row>
    <row r="2176" spans="1:7" x14ac:dyDescent="0.25">
      <c r="A2176" t="s">
        <v>108</v>
      </c>
      <c r="B2176" t="s">
        <v>112</v>
      </c>
      <c r="C2176">
        <v>2300</v>
      </c>
      <c r="D2176" t="s">
        <v>45</v>
      </c>
      <c r="E2176" t="s">
        <v>46</v>
      </c>
      <c r="F2176" s="5">
        <v>42370</v>
      </c>
      <c r="G2176">
        <v>0</v>
      </c>
    </row>
    <row r="2177" spans="1:7" x14ac:dyDescent="0.25">
      <c r="A2177" t="s">
        <v>108</v>
      </c>
      <c r="B2177" t="s">
        <v>112</v>
      </c>
      <c r="C2177">
        <v>2300</v>
      </c>
      <c r="D2177" t="s">
        <v>45</v>
      </c>
      <c r="E2177" t="s">
        <v>46</v>
      </c>
      <c r="F2177" s="5">
        <v>42736</v>
      </c>
      <c r="G2177">
        <v>0</v>
      </c>
    </row>
    <row r="2178" spans="1:7" x14ac:dyDescent="0.25">
      <c r="A2178" t="s">
        <v>108</v>
      </c>
      <c r="B2178" t="s">
        <v>112</v>
      </c>
      <c r="C2178">
        <v>2300</v>
      </c>
      <c r="D2178" t="s">
        <v>45</v>
      </c>
      <c r="E2178" t="s">
        <v>47</v>
      </c>
      <c r="F2178" s="5">
        <v>42370</v>
      </c>
      <c r="G2178">
        <v>1</v>
      </c>
    </row>
    <row r="2179" spans="1:7" x14ac:dyDescent="0.25">
      <c r="A2179" t="s">
        <v>108</v>
      </c>
      <c r="B2179" t="s">
        <v>112</v>
      </c>
      <c r="C2179">
        <v>2300</v>
      </c>
      <c r="D2179" t="s">
        <v>45</v>
      </c>
      <c r="E2179" t="s">
        <v>47</v>
      </c>
      <c r="F2179" s="5">
        <v>42736</v>
      </c>
      <c r="G2179">
        <v>0</v>
      </c>
    </row>
    <row r="2180" spans="1:7" x14ac:dyDescent="0.25">
      <c r="A2180" t="s">
        <v>108</v>
      </c>
      <c r="B2180" t="s">
        <v>112</v>
      </c>
      <c r="C2180">
        <v>2300</v>
      </c>
      <c r="D2180" t="s">
        <v>45</v>
      </c>
      <c r="E2180" t="s">
        <v>48</v>
      </c>
      <c r="F2180" s="5">
        <v>42370</v>
      </c>
      <c r="G2180">
        <v>37</v>
      </c>
    </row>
    <row r="2181" spans="1:7" x14ac:dyDescent="0.25">
      <c r="A2181" t="s">
        <v>108</v>
      </c>
      <c r="B2181" t="s">
        <v>112</v>
      </c>
      <c r="C2181">
        <v>2300</v>
      </c>
      <c r="D2181" t="s">
        <v>45</v>
      </c>
      <c r="E2181" t="s">
        <v>48</v>
      </c>
      <c r="F2181" s="5">
        <v>42736</v>
      </c>
      <c r="G2181">
        <v>41</v>
      </c>
    </row>
    <row r="2182" spans="1:7" x14ac:dyDescent="0.25">
      <c r="A2182" t="s">
        <v>108</v>
      </c>
      <c r="B2182" t="s">
        <v>112</v>
      </c>
      <c r="C2182">
        <v>2300</v>
      </c>
      <c r="D2182" t="s">
        <v>45</v>
      </c>
      <c r="E2182" t="s">
        <v>49</v>
      </c>
      <c r="F2182" s="5">
        <v>42370</v>
      </c>
      <c r="G2182">
        <v>95</v>
      </c>
    </row>
    <row r="2183" spans="1:7" x14ac:dyDescent="0.25">
      <c r="A2183" t="s">
        <v>108</v>
      </c>
      <c r="B2183" t="s">
        <v>112</v>
      </c>
      <c r="C2183">
        <v>2300</v>
      </c>
      <c r="D2183" t="s">
        <v>45</v>
      </c>
      <c r="E2183" t="s">
        <v>49</v>
      </c>
      <c r="F2183" s="5">
        <v>42736</v>
      </c>
      <c r="G2183">
        <v>107</v>
      </c>
    </row>
    <row r="2184" spans="1:7" x14ac:dyDescent="0.25">
      <c r="A2184" t="s">
        <v>108</v>
      </c>
      <c r="B2184" t="s">
        <v>112</v>
      </c>
      <c r="C2184">
        <v>2300</v>
      </c>
      <c r="D2184" t="s">
        <v>45</v>
      </c>
      <c r="E2184" t="s">
        <v>50</v>
      </c>
      <c r="F2184" s="5">
        <v>42370</v>
      </c>
      <c r="G2184">
        <v>0</v>
      </c>
    </row>
    <row r="2185" spans="1:7" x14ac:dyDescent="0.25">
      <c r="A2185" t="s">
        <v>108</v>
      </c>
      <c r="B2185" t="s">
        <v>112</v>
      </c>
      <c r="C2185">
        <v>2300</v>
      </c>
      <c r="D2185" t="s">
        <v>45</v>
      </c>
      <c r="E2185" t="s">
        <v>50</v>
      </c>
      <c r="F2185" s="5">
        <v>42736</v>
      </c>
      <c r="G2185">
        <v>1</v>
      </c>
    </row>
    <row r="2186" spans="1:7" x14ac:dyDescent="0.25">
      <c r="A2186" t="s">
        <v>108</v>
      </c>
      <c r="B2186" t="s">
        <v>112</v>
      </c>
      <c r="C2186">
        <v>2300</v>
      </c>
      <c r="D2186" t="s">
        <v>45</v>
      </c>
      <c r="E2186" t="s">
        <v>51</v>
      </c>
      <c r="F2186" s="5">
        <v>42370</v>
      </c>
      <c r="G2186">
        <v>0</v>
      </c>
    </row>
    <row r="2187" spans="1:7" x14ac:dyDescent="0.25">
      <c r="A2187" t="s">
        <v>108</v>
      </c>
      <c r="B2187" t="s">
        <v>112</v>
      </c>
      <c r="C2187">
        <v>2300</v>
      </c>
      <c r="D2187" t="s">
        <v>45</v>
      </c>
      <c r="E2187" t="s">
        <v>51</v>
      </c>
      <c r="F2187" s="5">
        <v>42736</v>
      </c>
      <c r="G2187">
        <v>0</v>
      </c>
    </row>
    <row r="2188" spans="1:7" x14ac:dyDescent="0.25">
      <c r="A2188" t="s">
        <v>108</v>
      </c>
      <c r="B2188" t="s">
        <v>112</v>
      </c>
      <c r="C2188">
        <v>2300</v>
      </c>
      <c r="D2188" t="s">
        <v>45</v>
      </c>
      <c r="E2188" t="s">
        <v>52</v>
      </c>
      <c r="F2188" s="5">
        <v>42370</v>
      </c>
      <c r="G2188">
        <v>0</v>
      </c>
    </row>
    <row r="2189" spans="1:7" x14ac:dyDescent="0.25">
      <c r="A2189" t="s">
        <v>108</v>
      </c>
      <c r="B2189" t="s">
        <v>112</v>
      </c>
      <c r="C2189">
        <v>2300</v>
      </c>
      <c r="D2189" t="s">
        <v>45</v>
      </c>
      <c r="E2189" t="s">
        <v>52</v>
      </c>
      <c r="F2189" s="5">
        <v>42736</v>
      </c>
      <c r="G2189">
        <v>0</v>
      </c>
    </row>
    <row r="2190" spans="1:7" x14ac:dyDescent="0.25">
      <c r="A2190" t="s">
        <v>108</v>
      </c>
      <c r="B2190" t="s">
        <v>112</v>
      </c>
      <c r="C2190">
        <v>2300</v>
      </c>
      <c r="D2190" t="s">
        <v>45</v>
      </c>
      <c r="E2190" t="s">
        <v>53</v>
      </c>
      <c r="F2190" s="5">
        <v>42370</v>
      </c>
      <c r="G2190">
        <v>38</v>
      </c>
    </row>
    <row r="2191" spans="1:7" x14ac:dyDescent="0.25">
      <c r="A2191" t="s">
        <v>108</v>
      </c>
      <c r="B2191" t="s">
        <v>112</v>
      </c>
      <c r="C2191">
        <v>2300</v>
      </c>
      <c r="D2191" t="s">
        <v>45</v>
      </c>
      <c r="E2191" t="s">
        <v>53</v>
      </c>
      <c r="F2191" s="5">
        <v>42736</v>
      </c>
      <c r="G2191">
        <v>35</v>
      </c>
    </row>
    <row r="2192" spans="1:7" x14ac:dyDescent="0.25">
      <c r="A2192" t="s">
        <v>108</v>
      </c>
      <c r="B2192" t="s">
        <v>112</v>
      </c>
      <c r="C2192">
        <v>2300</v>
      </c>
      <c r="D2192" t="s">
        <v>45</v>
      </c>
      <c r="E2192" t="s">
        <v>54</v>
      </c>
      <c r="F2192" s="5">
        <v>42370</v>
      </c>
      <c r="G2192">
        <v>1</v>
      </c>
    </row>
    <row r="2193" spans="1:7" x14ac:dyDescent="0.25">
      <c r="A2193" t="s">
        <v>108</v>
      </c>
      <c r="B2193" t="s">
        <v>112</v>
      </c>
      <c r="C2193">
        <v>2300</v>
      </c>
      <c r="D2193" t="s">
        <v>45</v>
      </c>
      <c r="E2193" t="s">
        <v>54</v>
      </c>
      <c r="F2193" s="5">
        <v>42736</v>
      </c>
      <c r="G2193">
        <v>1</v>
      </c>
    </row>
    <row r="2194" spans="1:7" x14ac:dyDescent="0.25">
      <c r="A2194" t="s">
        <v>108</v>
      </c>
      <c r="B2194" t="s">
        <v>112</v>
      </c>
      <c r="C2194">
        <v>2300</v>
      </c>
      <c r="D2194" t="s">
        <v>45</v>
      </c>
      <c r="E2194" t="s">
        <v>55</v>
      </c>
      <c r="F2194" s="5">
        <v>42370</v>
      </c>
      <c r="G2194">
        <v>0</v>
      </c>
    </row>
    <row r="2195" spans="1:7" x14ac:dyDescent="0.25">
      <c r="A2195" t="s">
        <v>108</v>
      </c>
      <c r="B2195" t="s">
        <v>112</v>
      </c>
      <c r="C2195">
        <v>2300</v>
      </c>
      <c r="D2195" t="s">
        <v>45</v>
      </c>
      <c r="E2195" t="s">
        <v>55</v>
      </c>
      <c r="F2195" s="5">
        <v>42736</v>
      </c>
      <c r="G2195">
        <v>0</v>
      </c>
    </row>
    <row r="2196" spans="1:7" x14ac:dyDescent="0.25">
      <c r="A2196" t="s">
        <v>108</v>
      </c>
      <c r="B2196" t="s">
        <v>112</v>
      </c>
      <c r="C2196">
        <v>2300</v>
      </c>
      <c r="D2196" t="s">
        <v>45</v>
      </c>
      <c r="E2196" t="s">
        <v>56</v>
      </c>
      <c r="F2196" s="5">
        <v>42370</v>
      </c>
      <c r="G2196">
        <v>1</v>
      </c>
    </row>
    <row r="2197" spans="1:7" x14ac:dyDescent="0.25">
      <c r="A2197" t="s">
        <v>108</v>
      </c>
      <c r="B2197" t="s">
        <v>112</v>
      </c>
      <c r="C2197">
        <v>2300</v>
      </c>
      <c r="D2197" t="s">
        <v>45</v>
      </c>
      <c r="E2197" t="s">
        <v>56</v>
      </c>
      <c r="F2197" s="5">
        <v>42736</v>
      </c>
      <c r="G2197">
        <v>0</v>
      </c>
    </row>
    <row r="2198" spans="1:7" x14ac:dyDescent="0.25">
      <c r="A2198" t="s">
        <v>108</v>
      </c>
      <c r="B2198" t="s">
        <v>112</v>
      </c>
      <c r="C2198">
        <v>2300</v>
      </c>
      <c r="D2198" t="s">
        <v>45</v>
      </c>
      <c r="E2198" t="s">
        <v>57</v>
      </c>
      <c r="F2198" s="5">
        <v>42370</v>
      </c>
      <c r="G2198">
        <v>2</v>
      </c>
    </row>
    <row r="2199" spans="1:7" x14ac:dyDescent="0.25">
      <c r="A2199" t="s">
        <v>108</v>
      </c>
      <c r="B2199" t="s">
        <v>112</v>
      </c>
      <c r="C2199">
        <v>2300</v>
      </c>
      <c r="D2199" t="s">
        <v>45</v>
      </c>
      <c r="E2199" t="s">
        <v>57</v>
      </c>
      <c r="F2199" s="5">
        <v>42736</v>
      </c>
      <c r="G2199">
        <v>0</v>
      </c>
    </row>
    <row r="2200" spans="1:7" x14ac:dyDescent="0.25">
      <c r="A2200" t="s">
        <v>108</v>
      </c>
      <c r="B2200" t="s">
        <v>112</v>
      </c>
      <c r="C2200">
        <v>2300</v>
      </c>
      <c r="D2200" t="s">
        <v>45</v>
      </c>
      <c r="E2200" t="s">
        <v>58</v>
      </c>
      <c r="F2200" s="5">
        <v>42370</v>
      </c>
      <c r="G2200">
        <v>0</v>
      </c>
    </row>
    <row r="2201" spans="1:7" x14ac:dyDescent="0.25">
      <c r="A2201" t="s">
        <v>108</v>
      </c>
      <c r="B2201" t="s">
        <v>112</v>
      </c>
      <c r="C2201">
        <v>2300</v>
      </c>
      <c r="D2201" t="s">
        <v>45</v>
      </c>
      <c r="E2201" t="s">
        <v>58</v>
      </c>
      <c r="F2201" s="5">
        <v>42736</v>
      </c>
      <c r="G2201">
        <v>0</v>
      </c>
    </row>
    <row r="2202" spans="1:7" x14ac:dyDescent="0.25">
      <c r="A2202" t="s">
        <v>108</v>
      </c>
      <c r="B2202" t="s">
        <v>112</v>
      </c>
      <c r="C2202">
        <v>2300</v>
      </c>
      <c r="D2202" t="s">
        <v>45</v>
      </c>
      <c r="E2202" t="s">
        <v>59</v>
      </c>
      <c r="F2202" s="5">
        <v>42370</v>
      </c>
      <c r="G2202">
        <v>0</v>
      </c>
    </row>
    <row r="2203" spans="1:7" x14ac:dyDescent="0.25">
      <c r="A2203" t="s">
        <v>108</v>
      </c>
      <c r="B2203" t="s">
        <v>112</v>
      </c>
      <c r="C2203">
        <v>2300</v>
      </c>
      <c r="D2203" t="s">
        <v>45</v>
      </c>
      <c r="E2203" t="s">
        <v>59</v>
      </c>
      <c r="F2203" s="5">
        <v>42736</v>
      </c>
      <c r="G2203">
        <v>0</v>
      </c>
    </row>
    <row r="2204" spans="1:7" x14ac:dyDescent="0.25">
      <c r="A2204" t="s">
        <v>108</v>
      </c>
      <c r="B2204" t="s">
        <v>112</v>
      </c>
      <c r="C2204">
        <v>2300</v>
      </c>
      <c r="D2204" t="s">
        <v>45</v>
      </c>
      <c r="E2204" t="s">
        <v>60</v>
      </c>
      <c r="F2204" s="5">
        <v>42370</v>
      </c>
      <c r="G2204">
        <v>0</v>
      </c>
    </row>
    <row r="2205" spans="1:7" x14ac:dyDescent="0.25">
      <c r="A2205" t="s">
        <v>108</v>
      </c>
      <c r="B2205" t="s">
        <v>112</v>
      </c>
      <c r="C2205">
        <v>2300</v>
      </c>
      <c r="D2205" t="s">
        <v>45</v>
      </c>
      <c r="E2205" t="s">
        <v>60</v>
      </c>
      <c r="F2205" s="5">
        <v>42736</v>
      </c>
      <c r="G2205">
        <v>8</v>
      </c>
    </row>
    <row r="2206" spans="1:7" x14ac:dyDescent="0.25">
      <c r="A2206" t="s">
        <v>108</v>
      </c>
      <c r="B2206" t="s">
        <v>112</v>
      </c>
      <c r="C2206">
        <v>2300</v>
      </c>
      <c r="D2206" t="s">
        <v>45</v>
      </c>
      <c r="E2206" t="s">
        <v>61</v>
      </c>
      <c r="F2206" s="5">
        <v>42370</v>
      </c>
      <c r="G2206">
        <v>2</v>
      </c>
    </row>
    <row r="2207" spans="1:7" x14ac:dyDescent="0.25">
      <c r="A2207" t="s">
        <v>108</v>
      </c>
      <c r="B2207" t="s">
        <v>112</v>
      </c>
      <c r="C2207">
        <v>2300</v>
      </c>
      <c r="D2207" t="s">
        <v>45</v>
      </c>
      <c r="E2207" t="s">
        <v>61</v>
      </c>
      <c r="F2207" s="5">
        <v>42736</v>
      </c>
      <c r="G2207">
        <v>1</v>
      </c>
    </row>
    <row r="2208" spans="1:7" x14ac:dyDescent="0.25">
      <c r="A2208" t="s">
        <v>108</v>
      </c>
      <c r="B2208" t="s">
        <v>112</v>
      </c>
      <c r="C2208">
        <v>2300</v>
      </c>
      <c r="D2208" t="s">
        <v>62</v>
      </c>
      <c r="E2208" t="s">
        <v>63</v>
      </c>
      <c r="F2208" s="5">
        <v>42370</v>
      </c>
      <c r="G2208">
        <v>0</v>
      </c>
    </row>
    <row r="2209" spans="1:7" x14ac:dyDescent="0.25">
      <c r="A2209" t="s">
        <v>108</v>
      </c>
      <c r="B2209" t="s">
        <v>112</v>
      </c>
      <c r="C2209">
        <v>2300</v>
      </c>
      <c r="D2209" t="s">
        <v>62</v>
      </c>
      <c r="E2209" t="s">
        <v>63</v>
      </c>
      <c r="F2209" s="5">
        <v>42736</v>
      </c>
      <c r="G2209">
        <v>0</v>
      </c>
    </row>
    <row r="2210" spans="1:7" x14ac:dyDescent="0.25">
      <c r="A2210" t="s">
        <v>108</v>
      </c>
      <c r="B2210" t="s">
        <v>112</v>
      </c>
      <c r="C2210">
        <v>2300</v>
      </c>
      <c r="D2210" t="s">
        <v>62</v>
      </c>
      <c r="E2210" t="s">
        <v>64</v>
      </c>
      <c r="F2210" s="5">
        <v>42370</v>
      </c>
      <c r="G2210">
        <v>0</v>
      </c>
    </row>
    <row r="2211" spans="1:7" x14ac:dyDescent="0.25">
      <c r="A2211" t="s">
        <v>108</v>
      </c>
      <c r="B2211" t="s">
        <v>112</v>
      </c>
      <c r="C2211">
        <v>2300</v>
      </c>
      <c r="D2211" t="s">
        <v>62</v>
      </c>
      <c r="E2211" t="s">
        <v>64</v>
      </c>
      <c r="F2211" s="5">
        <v>42736</v>
      </c>
      <c r="G2211">
        <v>1</v>
      </c>
    </row>
    <row r="2212" spans="1:7" x14ac:dyDescent="0.25">
      <c r="A2212" t="s">
        <v>108</v>
      </c>
      <c r="B2212" t="s">
        <v>112</v>
      </c>
      <c r="C2212">
        <v>2300</v>
      </c>
      <c r="D2212" t="s">
        <v>62</v>
      </c>
      <c r="E2212" t="s">
        <v>9</v>
      </c>
      <c r="F2212" s="5">
        <v>42370</v>
      </c>
      <c r="G2212">
        <v>0</v>
      </c>
    </row>
    <row r="2213" spans="1:7" x14ac:dyDescent="0.25">
      <c r="A2213" t="s">
        <v>108</v>
      </c>
      <c r="B2213" t="s">
        <v>112</v>
      </c>
      <c r="C2213">
        <v>2300</v>
      </c>
      <c r="D2213" t="s">
        <v>62</v>
      </c>
      <c r="E2213" t="s">
        <v>9</v>
      </c>
      <c r="F2213" s="5">
        <v>42736</v>
      </c>
      <c r="G2213">
        <v>0</v>
      </c>
    </row>
    <row r="2214" spans="1:7" x14ac:dyDescent="0.25">
      <c r="A2214" t="s">
        <v>108</v>
      </c>
      <c r="B2214" t="s">
        <v>112</v>
      </c>
      <c r="C2214">
        <v>2300</v>
      </c>
      <c r="D2214" t="s">
        <v>62</v>
      </c>
      <c r="E2214" t="s">
        <v>65</v>
      </c>
      <c r="F2214" s="5">
        <v>42370</v>
      </c>
      <c r="G2214">
        <v>0</v>
      </c>
    </row>
    <row r="2215" spans="1:7" x14ac:dyDescent="0.25">
      <c r="A2215" t="s">
        <v>108</v>
      </c>
      <c r="B2215" t="s">
        <v>112</v>
      </c>
      <c r="C2215">
        <v>2300</v>
      </c>
      <c r="D2215" t="s">
        <v>62</v>
      </c>
      <c r="E2215" t="s">
        <v>65</v>
      </c>
      <c r="F2215" s="5">
        <v>42736</v>
      </c>
      <c r="G2215">
        <v>0</v>
      </c>
    </row>
    <row r="2216" spans="1:7" x14ac:dyDescent="0.25">
      <c r="A2216" t="s">
        <v>108</v>
      </c>
      <c r="B2216" t="s">
        <v>112</v>
      </c>
      <c r="C2216">
        <v>2300</v>
      </c>
      <c r="D2216" t="s">
        <v>62</v>
      </c>
      <c r="E2216" t="s">
        <v>66</v>
      </c>
      <c r="F2216" s="5">
        <v>42370</v>
      </c>
      <c r="G2216">
        <v>0</v>
      </c>
    </row>
    <row r="2217" spans="1:7" x14ac:dyDescent="0.25">
      <c r="A2217" t="s">
        <v>108</v>
      </c>
      <c r="B2217" t="s">
        <v>112</v>
      </c>
      <c r="C2217">
        <v>2300</v>
      </c>
      <c r="D2217" t="s">
        <v>62</v>
      </c>
      <c r="E2217" t="s">
        <v>66</v>
      </c>
      <c r="F2217" s="5">
        <v>42736</v>
      </c>
      <c r="G2217">
        <v>0</v>
      </c>
    </row>
    <row r="2218" spans="1:7" x14ac:dyDescent="0.25">
      <c r="A2218" t="s">
        <v>108</v>
      </c>
      <c r="B2218" t="s">
        <v>112</v>
      </c>
      <c r="C2218">
        <v>2300</v>
      </c>
      <c r="D2218" t="s">
        <v>62</v>
      </c>
      <c r="E2218" t="s">
        <v>67</v>
      </c>
      <c r="F2218" s="5">
        <v>42370</v>
      </c>
      <c r="G2218">
        <v>0</v>
      </c>
    </row>
    <row r="2219" spans="1:7" x14ac:dyDescent="0.25">
      <c r="A2219" t="s">
        <v>108</v>
      </c>
      <c r="B2219" t="s">
        <v>112</v>
      </c>
      <c r="C2219">
        <v>2300</v>
      </c>
      <c r="D2219" t="s">
        <v>62</v>
      </c>
      <c r="E2219" t="s">
        <v>67</v>
      </c>
      <c r="F2219" s="5">
        <v>42736</v>
      </c>
      <c r="G2219">
        <v>0</v>
      </c>
    </row>
    <row r="2220" spans="1:7" x14ac:dyDescent="0.25">
      <c r="A2220" t="s">
        <v>108</v>
      </c>
      <c r="B2220" t="s">
        <v>112</v>
      </c>
      <c r="C2220">
        <v>2300</v>
      </c>
      <c r="D2220" t="s">
        <v>62</v>
      </c>
      <c r="E2220" t="s">
        <v>68</v>
      </c>
      <c r="F2220" s="5">
        <v>42370</v>
      </c>
      <c r="G2220">
        <v>0</v>
      </c>
    </row>
    <row r="2221" spans="1:7" x14ac:dyDescent="0.25">
      <c r="A2221" t="s">
        <v>108</v>
      </c>
      <c r="B2221" t="s">
        <v>112</v>
      </c>
      <c r="C2221">
        <v>2300</v>
      </c>
      <c r="D2221" t="s">
        <v>62</v>
      </c>
      <c r="E2221" t="s">
        <v>68</v>
      </c>
      <c r="F2221" s="5">
        <v>42736</v>
      </c>
      <c r="G2221">
        <v>0</v>
      </c>
    </row>
    <row r="2222" spans="1:7" x14ac:dyDescent="0.25">
      <c r="A2222" t="s">
        <v>108</v>
      </c>
      <c r="B2222" t="s">
        <v>112</v>
      </c>
      <c r="C2222">
        <v>2300</v>
      </c>
      <c r="D2222" t="s">
        <v>62</v>
      </c>
      <c r="E2222" t="s">
        <v>69</v>
      </c>
      <c r="F2222" s="5">
        <v>42370</v>
      </c>
      <c r="G2222">
        <v>0</v>
      </c>
    </row>
    <row r="2223" spans="1:7" x14ac:dyDescent="0.25">
      <c r="A2223" t="s">
        <v>108</v>
      </c>
      <c r="B2223" t="s">
        <v>112</v>
      </c>
      <c r="C2223">
        <v>2300</v>
      </c>
      <c r="D2223" t="s">
        <v>62</v>
      </c>
      <c r="E2223" t="s">
        <v>69</v>
      </c>
      <c r="F2223" s="5">
        <v>42736</v>
      </c>
      <c r="G2223">
        <v>1</v>
      </c>
    </row>
    <row r="2224" spans="1:7" x14ac:dyDescent="0.25">
      <c r="A2224" t="s">
        <v>108</v>
      </c>
      <c r="B2224" t="s">
        <v>112</v>
      </c>
      <c r="C2224">
        <v>2300</v>
      </c>
      <c r="D2224" t="s">
        <v>62</v>
      </c>
      <c r="E2224" t="s">
        <v>70</v>
      </c>
      <c r="F2224" s="5">
        <v>42370</v>
      </c>
      <c r="G2224">
        <v>0</v>
      </c>
    </row>
    <row r="2225" spans="1:7" x14ac:dyDescent="0.25">
      <c r="A2225" t="s">
        <v>108</v>
      </c>
      <c r="B2225" t="s">
        <v>112</v>
      </c>
      <c r="C2225">
        <v>2300</v>
      </c>
      <c r="D2225" t="s">
        <v>62</v>
      </c>
      <c r="E2225" t="s">
        <v>70</v>
      </c>
      <c r="F2225" s="5">
        <v>42736</v>
      </c>
      <c r="G2225">
        <v>0</v>
      </c>
    </row>
    <row r="2226" spans="1:7" x14ac:dyDescent="0.25">
      <c r="A2226" t="s">
        <v>108</v>
      </c>
      <c r="B2226" t="s">
        <v>112</v>
      </c>
      <c r="C2226">
        <v>2300</v>
      </c>
      <c r="D2226" t="s">
        <v>62</v>
      </c>
      <c r="E2226" t="s">
        <v>71</v>
      </c>
      <c r="F2226" s="5">
        <v>42370</v>
      </c>
      <c r="G2226">
        <v>0</v>
      </c>
    </row>
    <row r="2227" spans="1:7" x14ac:dyDescent="0.25">
      <c r="A2227" t="s">
        <v>108</v>
      </c>
      <c r="B2227" t="s">
        <v>112</v>
      </c>
      <c r="C2227">
        <v>2300</v>
      </c>
      <c r="D2227" t="s">
        <v>62</v>
      </c>
      <c r="E2227" t="s">
        <v>71</v>
      </c>
      <c r="F2227" s="5">
        <v>42736</v>
      </c>
      <c r="G2227">
        <v>0</v>
      </c>
    </row>
    <row r="2228" spans="1:7" x14ac:dyDescent="0.25">
      <c r="A2228" t="s">
        <v>108</v>
      </c>
      <c r="B2228" t="s">
        <v>112</v>
      </c>
      <c r="C2228">
        <v>2300</v>
      </c>
      <c r="D2228" t="s">
        <v>72</v>
      </c>
      <c r="E2228" t="s">
        <v>73</v>
      </c>
      <c r="F2228" s="5">
        <v>42370</v>
      </c>
      <c r="G2228">
        <v>0</v>
      </c>
    </row>
    <row r="2229" spans="1:7" x14ac:dyDescent="0.25">
      <c r="A2229" t="s">
        <v>108</v>
      </c>
      <c r="B2229" t="s">
        <v>112</v>
      </c>
      <c r="C2229">
        <v>2300</v>
      </c>
      <c r="D2229" t="s">
        <v>72</v>
      </c>
      <c r="E2229" t="s">
        <v>73</v>
      </c>
      <c r="F2229" s="5">
        <v>42736</v>
      </c>
      <c r="G2229">
        <v>0</v>
      </c>
    </row>
    <row r="2230" spans="1:7" x14ac:dyDescent="0.25">
      <c r="A2230" t="s">
        <v>108</v>
      </c>
      <c r="B2230" t="s">
        <v>112</v>
      </c>
      <c r="C2230">
        <v>2300</v>
      </c>
      <c r="D2230" t="s">
        <v>72</v>
      </c>
      <c r="E2230" t="s">
        <v>9</v>
      </c>
      <c r="F2230" s="5">
        <v>42370</v>
      </c>
      <c r="G2230">
        <v>0</v>
      </c>
    </row>
    <row r="2231" spans="1:7" x14ac:dyDescent="0.25">
      <c r="A2231" t="s">
        <v>108</v>
      </c>
      <c r="B2231" t="s">
        <v>112</v>
      </c>
      <c r="C2231">
        <v>2300</v>
      </c>
      <c r="D2231" t="s">
        <v>72</v>
      </c>
      <c r="E2231" t="s">
        <v>9</v>
      </c>
      <c r="F2231" s="5">
        <v>42736</v>
      </c>
      <c r="G2231">
        <v>0</v>
      </c>
    </row>
    <row r="2232" spans="1:7" x14ac:dyDescent="0.25">
      <c r="A2232" t="s">
        <v>108</v>
      </c>
      <c r="B2232" t="s">
        <v>112</v>
      </c>
      <c r="C2232">
        <v>2300</v>
      </c>
      <c r="D2232" t="s">
        <v>72</v>
      </c>
      <c r="E2232" t="s">
        <v>34</v>
      </c>
      <c r="F2232" s="5">
        <v>42370</v>
      </c>
      <c r="G2232">
        <v>0</v>
      </c>
    </row>
    <row r="2233" spans="1:7" x14ac:dyDescent="0.25">
      <c r="A2233" t="s">
        <v>108</v>
      </c>
      <c r="B2233" t="s">
        <v>112</v>
      </c>
      <c r="C2233">
        <v>2300</v>
      </c>
      <c r="D2233" t="s">
        <v>72</v>
      </c>
      <c r="E2233" t="s">
        <v>34</v>
      </c>
      <c r="F2233" s="5">
        <v>42736</v>
      </c>
      <c r="G2233">
        <v>0</v>
      </c>
    </row>
    <row r="2234" spans="1:7" x14ac:dyDescent="0.25">
      <c r="A2234" t="s">
        <v>108</v>
      </c>
      <c r="B2234" t="s">
        <v>112</v>
      </c>
      <c r="C2234">
        <v>2300</v>
      </c>
      <c r="D2234" t="s">
        <v>72</v>
      </c>
      <c r="E2234" t="s">
        <v>74</v>
      </c>
      <c r="F2234" s="5">
        <v>42370</v>
      </c>
      <c r="G2234">
        <v>0</v>
      </c>
    </row>
    <row r="2235" spans="1:7" x14ac:dyDescent="0.25">
      <c r="A2235" t="s">
        <v>108</v>
      </c>
      <c r="B2235" t="s">
        <v>112</v>
      </c>
      <c r="C2235">
        <v>2300</v>
      </c>
      <c r="D2235" t="s">
        <v>72</v>
      </c>
      <c r="E2235" t="s">
        <v>74</v>
      </c>
      <c r="F2235" s="5">
        <v>42736</v>
      </c>
      <c r="G2235">
        <v>0</v>
      </c>
    </row>
    <row r="2236" spans="1:7" x14ac:dyDescent="0.25">
      <c r="A2236" t="s">
        <v>108</v>
      </c>
      <c r="B2236" t="s">
        <v>112</v>
      </c>
      <c r="C2236">
        <v>2300</v>
      </c>
      <c r="D2236" t="s">
        <v>72</v>
      </c>
      <c r="E2236" t="s">
        <v>75</v>
      </c>
      <c r="F2236" s="5">
        <v>42370</v>
      </c>
      <c r="G2236">
        <v>0</v>
      </c>
    </row>
    <row r="2237" spans="1:7" x14ac:dyDescent="0.25">
      <c r="A2237" t="s">
        <v>108</v>
      </c>
      <c r="B2237" t="s">
        <v>112</v>
      </c>
      <c r="C2237">
        <v>2300</v>
      </c>
      <c r="D2237" t="s">
        <v>72</v>
      </c>
      <c r="E2237" t="s">
        <v>75</v>
      </c>
      <c r="F2237" s="5">
        <v>42736</v>
      </c>
      <c r="G2237">
        <v>0</v>
      </c>
    </row>
    <row r="2238" spans="1:7" x14ac:dyDescent="0.25">
      <c r="A2238" t="s">
        <v>108</v>
      </c>
      <c r="B2238" t="s">
        <v>112</v>
      </c>
      <c r="C2238">
        <v>2300</v>
      </c>
      <c r="D2238" t="s">
        <v>76</v>
      </c>
      <c r="E2238" t="s">
        <v>9</v>
      </c>
      <c r="F2238" s="5">
        <v>42370</v>
      </c>
      <c r="G2238">
        <v>0</v>
      </c>
    </row>
    <row r="2239" spans="1:7" x14ac:dyDescent="0.25">
      <c r="A2239" t="s">
        <v>108</v>
      </c>
      <c r="B2239" t="s">
        <v>112</v>
      </c>
      <c r="C2239">
        <v>2300</v>
      </c>
      <c r="D2239" t="s">
        <v>76</v>
      </c>
      <c r="E2239" t="s">
        <v>9</v>
      </c>
      <c r="F2239" s="5">
        <v>42736</v>
      </c>
      <c r="G2239">
        <v>0</v>
      </c>
    </row>
    <row r="2240" spans="1:7" x14ac:dyDescent="0.25">
      <c r="A2240" t="s">
        <v>108</v>
      </c>
      <c r="B2240" t="s">
        <v>112</v>
      </c>
      <c r="C2240">
        <v>2300</v>
      </c>
      <c r="D2240" t="s">
        <v>76</v>
      </c>
      <c r="E2240" t="s">
        <v>77</v>
      </c>
      <c r="F2240" s="5">
        <v>42370</v>
      </c>
      <c r="G2240">
        <v>0</v>
      </c>
    </row>
    <row r="2241" spans="1:7" x14ac:dyDescent="0.25">
      <c r="A2241" t="s">
        <v>108</v>
      </c>
      <c r="B2241" t="s">
        <v>112</v>
      </c>
      <c r="C2241">
        <v>2300</v>
      </c>
      <c r="D2241" t="s">
        <v>76</v>
      </c>
      <c r="E2241" t="s">
        <v>77</v>
      </c>
      <c r="F2241" s="5">
        <v>42736</v>
      </c>
      <c r="G2241">
        <v>0</v>
      </c>
    </row>
    <row r="2242" spans="1:7" x14ac:dyDescent="0.25">
      <c r="A2242" t="s">
        <v>108</v>
      </c>
      <c r="B2242" t="s">
        <v>112</v>
      </c>
      <c r="C2242">
        <v>2300</v>
      </c>
      <c r="D2242" t="s">
        <v>78</v>
      </c>
      <c r="E2242" t="s">
        <v>79</v>
      </c>
      <c r="F2242" s="5">
        <v>42370</v>
      </c>
      <c r="G2242">
        <v>80</v>
      </c>
    </row>
    <row r="2243" spans="1:7" x14ac:dyDescent="0.25">
      <c r="A2243" t="s">
        <v>108</v>
      </c>
      <c r="B2243" t="s">
        <v>112</v>
      </c>
      <c r="C2243">
        <v>2300</v>
      </c>
      <c r="D2243" t="s">
        <v>78</v>
      </c>
      <c r="E2243" t="s">
        <v>79</v>
      </c>
      <c r="F2243" s="5">
        <v>42736</v>
      </c>
      <c r="G2243">
        <v>92</v>
      </c>
    </row>
    <row r="2244" spans="1:7" x14ac:dyDescent="0.25">
      <c r="A2244" t="s">
        <v>108</v>
      </c>
      <c r="B2244" t="s">
        <v>112</v>
      </c>
      <c r="C2244">
        <v>2300</v>
      </c>
      <c r="D2244" t="s">
        <v>78</v>
      </c>
      <c r="E2244" t="s">
        <v>80</v>
      </c>
      <c r="F2244" s="5">
        <v>42370</v>
      </c>
      <c r="G2244">
        <v>0</v>
      </c>
    </row>
    <row r="2245" spans="1:7" x14ac:dyDescent="0.25">
      <c r="A2245" t="s">
        <v>108</v>
      </c>
      <c r="B2245" t="s">
        <v>112</v>
      </c>
      <c r="C2245">
        <v>2300</v>
      </c>
      <c r="D2245" t="s">
        <v>78</v>
      </c>
      <c r="E2245" t="s">
        <v>80</v>
      </c>
      <c r="F2245" s="5">
        <v>42736</v>
      </c>
      <c r="G2245">
        <v>0</v>
      </c>
    </row>
    <row r="2246" spans="1:7" x14ac:dyDescent="0.25">
      <c r="A2246" t="s">
        <v>108</v>
      </c>
      <c r="B2246" t="s">
        <v>112</v>
      </c>
      <c r="C2246">
        <v>2300</v>
      </c>
      <c r="D2246" t="s">
        <v>78</v>
      </c>
      <c r="E2246" t="s">
        <v>81</v>
      </c>
      <c r="F2246" s="5">
        <v>42370</v>
      </c>
      <c r="G2246">
        <v>772</v>
      </c>
    </row>
    <row r="2247" spans="1:7" x14ac:dyDescent="0.25">
      <c r="A2247" t="s">
        <v>108</v>
      </c>
      <c r="B2247" t="s">
        <v>112</v>
      </c>
      <c r="C2247">
        <v>2300</v>
      </c>
      <c r="D2247" t="s">
        <v>78</v>
      </c>
      <c r="E2247" t="s">
        <v>81</v>
      </c>
      <c r="F2247" s="5">
        <v>42736</v>
      </c>
      <c r="G2247">
        <v>1147</v>
      </c>
    </row>
    <row r="2248" spans="1:7" x14ac:dyDescent="0.25">
      <c r="A2248" t="s">
        <v>108</v>
      </c>
      <c r="B2248" t="s">
        <v>112</v>
      </c>
      <c r="C2248">
        <v>2300</v>
      </c>
      <c r="D2248" t="s">
        <v>78</v>
      </c>
      <c r="E2248" t="s">
        <v>82</v>
      </c>
      <c r="F2248" s="5">
        <v>42370</v>
      </c>
      <c r="G2248">
        <v>14</v>
      </c>
    </row>
    <row r="2249" spans="1:7" x14ac:dyDescent="0.25">
      <c r="A2249" t="s">
        <v>108</v>
      </c>
      <c r="B2249" t="s">
        <v>112</v>
      </c>
      <c r="C2249">
        <v>2300</v>
      </c>
      <c r="D2249" t="s">
        <v>78</v>
      </c>
      <c r="E2249" t="s">
        <v>82</v>
      </c>
      <c r="F2249" s="5">
        <v>42736</v>
      </c>
      <c r="G2249">
        <v>10</v>
      </c>
    </row>
    <row r="2250" spans="1:7" x14ac:dyDescent="0.25">
      <c r="A2250" t="s">
        <v>108</v>
      </c>
      <c r="B2250" t="s">
        <v>112</v>
      </c>
      <c r="C2250">
        <v>2300</v>
      </c>
      <c r="D2250" t="s">
        <v>78</v>
      </c>
      <c r="E2250" t="s">
        <v>83</v>
      </c>
      <c r="F2250" s="5">
        <v>42370</v>
      </c>
      <c r="G2250">
        <v>7</v>
      </c>
    </row>
    <row r="2251" spans="1:7" x14ac:dyDescent="0.25">
      <c r="A2251" t="s">
        <v>108</v>
      </c>
      <c r="B2251" t="s">
        <v>112</v>
      </c>
      <c r="C2251">
        <v>2300</v>
      </c>
      <c r="D2251" t="s">
        <v>78</v>
      </c>
      <c r="E2251" t="s">
        <v>83</v>
      </c>
      <c r="F2251" s="5">
        <v>42736</v>
      </c>
      <c r="G2251">
        <v>9</v>
      </c>
    </row>
    <row r="2252" spans="1:7" x14ac:dyDescent="0.25">
      <c r="A2252" t="s">
        <v>108</v>
      </c>
      <c r="B2252" t="s">
        <v>112</v>
      </c>
      <c r="C2252">
        <v>2300</v>
      </c>
      <c r="D2252" t="s">
        <v>78</v>
      </c>
      <c r="E2252" t="s">
        <v>84</v>
      </c>
      <c r="F2252" s="5">
        <v>42370</v>
      </c>
      <c r="G2252">
        <v>2</v>
      </c>
    </row>
    <row r="2253" spans="1:7" x14ac:dyDescent="0.25">
      <c r="A2253" t="s">
        <v>108</v>
      </c>
      <c r="B2253" t="s">
        <v>112</v>
      </c>
      <c r="C2253">
        <v>2300</v>
      </c>
      <c r="D2253" t="s">
        <v>78</v>
      </c>
      <c r="E2253" t="s">
        <v>84</v>
      </c>
      <c r="F2253" s="5">
        <v>42736</v>
      </c>
      <c r="G2253">
        <v>14</v>
      </c>
    </row>
    <row r="2254" spans="1:7" x14ac:dyDescent="0.25">
      <c r="A2254" t="s">
        <v>108</v>
      </c>
      <c r="B2254" t="s">
        <v>112</v>
      </c>
      <c r="C2254">
        <v>2300</v>
      </c>
      <c r="D2254" t="s">
        <v>78</v>
      </c>
      <c r="E2254" t="s">
        <v>85</v>
      </c>
      <c r="F2254" s="5">
        <v>42370</v>
      </c>
      <c r="G2254">
        <v>0</v>
      </c>
    </row>
    <row r="2255" spans="1:7" x14ac:dyDescent="0.25">
      <c r="A2255" t="s">
        <v>108</v>
      </c>
      <c r="B2255" t="s">
        <v>112</v>
      </c>
      <c r="C2255">
        <v>2300</v>
      </c>
      <c r="D2255" t="s">
        <v>78</v>
      </c>
      <c r="E2255" t="s">
        <v>85</v>
      </c>
      <c r="F2255" s="5">
        <v>42736</v>
      </c>
      <c r="G2255">
        <v>2</v>
      </c>
    </row>
    <row r="2256" spans="1:7" x14ac:dyDescent="0.25">
      <c r="A2256" t="s">
        <v>108</v>
      </c>
      <c r="B2256" t="s">
        <v>112</v>
      </c>
      <c r="C2256">
        <v>2300</v>
      </c>
      <c r="D2256" t="s">
        <v>78</v>
      </c>
      <c r="E2256" t="s">
        <v>86</v>
      </c>
      <c r="F2256" s="5">
        <v>42370</v>
      </c>
      <c r="G2256">
        <v>0</v>
      </c>
    </row>
    <row r="2257" spans="1:7" x14ac:dyDescent="0.25">
      <c r="A2257" t="s">
        <v>108</v>
      </c>
      <c r="B2257" t="s">
        <v>112</v>
      </c>
      <c r="C2257">
        <v>2300</v>
      </c>
      <c r="D2257" t="s">
        <v>78</v>
      </c>
      <c r="E2257" t="s">
        <v>86</v>
      </c>
      <c r="F2257" s="5">
        <v>42736</v>
      </c>
      <c r="G2257">
        <v>0</v>
      </c>
    </row>
    <row r="2258" spans="1:7" x14ac:dyDescent="0.25">
      <c r="A2258" t="s">
        <v>108</v>
      </c>
      <c r="B2258" t="s">
        <v>112</v>
      </c>
      <c r="C2258">
        <v>2300</v>
      </c>
      <c r="D2258" t="s">
        <v>78</v>
      </c>
      <c r="E2258" t="s">
        <v>87</v>
      </c>
      <c r="F2258" s="5">
        <v>42370</v>
      </c>
      <c r="G2258">
        <v>14</v>
      </c>
    </row>
    <row r="2259" spans="1:7" x14ac:dyDescent="0.25">
      <c r="A2259" t="s">
        <v>108</v>
      </c>
      <c r="B2259" t="s">
        <v>112</v>
      </c>
      <c r="C2259">
        <v>2300</v>
      </c>
      <c r="D2259" t="s">
        <v>78</v>
      </c>
      <c r="E2259" t="s">
        <v>87</v>
      </c>
      <c r="F2259" s="5">
        <v>42736</v>
      </c>
      <c r="G2259">
        <v>16</v>
      </c>
    </row>
    <row r="2260" spans="1:7" x14ac:dyDescent="0.25">
      <c r="A2260" t="s">
        <v>108</v>
      </c>
      <c r="B2260" t="s">
        <v>112</v>
      </c>
      <c r="C2260">
        <v>2300</v>
      </c>
      <c r="D2260" t="s">
        <v>78</v>
      </c>
      <c r="E2260" t="s">
        <v>88</v>
      </c>
      <c r="F2260" s="5">
        <v>42370</v>
      </c>
      <c r="G2260">
        <v>129</v>
      </c>
    </row>
    <row r="2261" spans="1:7" x14ac:dyDescent="0.25">
      <c r="A2261" t="s">
        <v>108</v>
      </c>
      <c r="B2261" t="s">
        <v>112</v>
      </c>
      <c r="C2261">
        <v>2300</v>
      </c>
      <c r="D2261" t="s">
        <v>78</v>
      </c>
      <c r="E2261" t="s">
        <v>88</v>
      </c>
      <c r="F2261" s="5">
        <v>42736</v>
      </c>
      <c r="G2261">
        <v>168</v>
      </c>
    </row>
    <row r="2262" spans="1:7" x14ac:dyDescent="0.25">
      <c r="A2262" t="s">
        <v>108</v>
      </c>
      <c r="B2262" t="s">
        <v>112</v>
      </c>
      <c r="C2262">
        <v>2300</v>
      </c>
      <c r="D2262" t="s">
        <v>78</v>
      </c>
      <c r="E2262" t="s">
        <v>89</v>
      </c>
      <c r="F2262" s="5">
        <v>42370</v>
      </c>
      <c r="G2262">
        <v>2293</v>
      </c>
    </row>
    <row r="2263" spans="1:7" x14ac:dyDescent="0.25">
      <c r="A2263" t="s">
        <v>108</v>
      </c>
      <c r="B2263" t="s">
        <v>112</v>
      </c>
      <c r="C2263">
        <v>2300</v>
      </c>
      <c r="D2263" t="s">
        <v>78</v>
      </c>
      <c r="E2263" t="s">
        <v>89</v>
      </c>
      <c r="F2263" s="5">
        <v>42736</v>
      </c>
      <c r="G2263">
        <v>2749</v>
      </c>
    </row>
    <row r="2264" spans="1:7" x14ac:dyDescent="0.25">
      <c r="A2264" t="s">
        <v>108</v>
      </c>
      <c r="B2264" t="s">
        <v>112</v>
      </c>
      <c r="C2264">
        <v>2300</v>
      </c>
      <c r="D2264" t="s">
        <v>78</v>
      </c>
      <c r="E2264" t="s">
        <v>90</v>
      </c>
      <c r="F2264" s="5">
        <v>42370</v>
      </c>
      <c r="G2264">
        <v>0</v>
      </c>
    </row>
    <row r="2265" spans="1:7" x14ac:dyDescent="0.25">
      <c r="A2265" t="s">
        <v>108</v>
      </c>
      <c r="B2265" t="s">
        <v>112</v>
      </c>
      <c r="C2265">
        <v>2300</v>
      </c>
      <c r="D2265" t="s">
        <v>78</v>
      </c>
      <c r="E2265" t="s">
        <v>90</v>
      </c>
      <c r="F2265" s="5">
        <v>42736</v>
      </c>
      <c r="G2265">
        <v>0</v>
      </c>
    </row>
    <row r="2266" spans="1:7" x14ac:dyDescent="0.25">
      <c r="A2266" t="s">
        <v>108</v>
      </c>
      <c r="B2266" t="s">
        <v>112</v>
      </c>
      <c r="C2266">
        <v>2300</v>
      </c>
      <c r="D2266" t="s">
        <v>78</v>
      </c>
      <c r="E2266" t="s">
        <v>91</v>
      </c>
      <c r="F2266" s="5">
        <v>42370</v>
      </c>
      <c r="G2266">
        <v>53</v>
      </c>
    </row>
    <row r="2267" spans="1:7" x14ac:dyDescent="0.25">
      <c r="A2267" t="s">
        <v>108</v>
      </c>
      <c r="B2267" t="s">
        <v>112</v>
      </c>
      <c r="C2267">
        <v>2300</v>
      </c>
      <c r="D2267" t="s">
        <v>78</v>
      </c>
      <c r="E2267" t="s">
        <v>91</v>
      </c>
      <c r="F2267" s="5">
        <v>42736</v>
      </c>
      <c r="G2267">
        <v>70</v>
      </c>
    </row>
    <row r="2268" spans="1:7" x14ac:dyDescent="0.25">
      <c r="A2268" t="s">
        <v>108</v>
      </c>
      <c r="B2268" t="s">
        <v>112</v>
      </c>
      <c r="C2268">
        <v>2300</v>
      </c>
      <c r="D2268" t="s">
        <v>78</v>
      </c>
      <c r="E2268" t="s">
        <v>92</v>
      </c>
      <c r="F2268" s="5">
        <v>42370</v>
      </c>
      <c r="G2268">
        <v>8</v>
      </c>
    </row>
    <row r="2269" spans="1:7" x14ac:dyDescent="0.25">
      <c r="A2269" t="s">
        <v>108</v>
      </c>
      <c r="B2269" t="s">
        <v>112</v>
      </c>
      <c r="C2269">
        <v>2300</v>
      </c>
      <c r="D2269" t="s">
        <v>78</v>
      </c>
      <c r="E2269" t="s">
        <v>92</v>
      </c>
      <c r="F2269" s="5">
        <v>42736</v>
      </c>
      <c r="G2269">
        <v>7</v>
      </c>
    </row>
    <row r="2270" spans="1:7" x14ac:dyDescent="0.25">
      <c r="A2270" t="s">
        <v>108</v>
      </c>
      <c r="B2270" t="s">
        <v>112</v>
      </c>
      <c r="C2270">
        <v>2300</v>
      </c>
      <c r="D2270" t="s">
        <v>78</v>
      </c>
      <c r="E2270" t="s">
        <v>93</v>
      </c>
      <c r="F2270" s="5">
        <v>42370</v>
      </c>
      <c r="G2270">
        <v>36</v>
      </c>
    </row>
    <row r="2271" spans="1:7" x14ac:dyDescent="0.25">
      <c r="A2271" t="s">
        <v>108</v>
      </c>
      <c r="B2271" t="s">
        <v>112</v>
      </c>
      <c r="C2271">
        <v>2300</v>
      </c>
      <c r="D2271" t="s">
        <v>78</v>
      </c>
      <c r="E2271" t="s">
        <v>93</v>
      </c>
      <c r="F2271" s="5">
        <v>42736</v>
      </c>
      <c r="G2271">
        <v>51</v>
      </c>
    </row>
    <row r="2272" spans="1:7" x14ac:dyDescent="0.25">
      <c r="A2272" t="s">
        <v>108</v>
      </c>
      <c r="B2272" t="s">
        <v>112</v>
      </c>
      <c r="C2272">
        <v>2300</v>
      </c>
      <c r="D2272" t="s">
        <v>78</v>
      </c>
      <c r="E2272" t="s">
        <v>94</v>
      </c>
      <c r="F2272" s="5">
        <v>42370</v>
      </c>
      <c r="G2272">
        <v>69</v>
      </c>
    </row>
    <row r="2273" spans="1:7" x14ac:dyDescent="0.25">
      <c r="A2273" t="s">
        <v>108</v>
      </c>
      <c r="B2273" t="s">
        <v>112</v>
      </c>
      <c r="C2273">
        <v>2300</v>
      </c>
      <c r="D2273" t="s">
        <v>78</v>
      </c>
      <c r="E2273" t="s">
        <v>94</v>
      </c>
      <c r="F2273" s="5">
        <v>42736</v>
      </c>
      <c r="G2273">
        <v>152</v>
      </c>
    </row>
    <row r="2274" spans="1:7" x14ac:dyDescent="0.25">
      <c r="A2274" t="s">
        <v>108</v>
      </c>
      <c r="B2274" t="s">
        <v>112</v>
      </c>
      <c r="C2274">
        <v>2300</v>
      </c>
      <c r="D2274" t="s">
        <v>78</v>
      </c>
      <c r="E2274" t="s">
        <v>95</v>
      </c>
      <c r="F2274" s="5">
        <v>42370</v>
      </c>
      <c r="G2274">
        <v>0</v>
      </c>
    </row>
    <row r="2275" spans="1:7" x14ac:dyDescent="0.25">
      <c r="A2275" t="s">
        <v>108</v>
      </c>
      <c r="B2275" t="s">
        <v>112</v>
      </c>
      <c r="C2275">
        <v>2300</v>
      </c>
      <c r="D2275" t="s">
        <v>78</v>
      </c>
      <c r="E2275" t="s">
        <v>95</v>
      </c>
      <c r="F2275" s="5">
        <v>42736</v>
      </c>
      <c r="G2275">
        <v>18</v>
      </c>
    </row>
    <row r="2276" spans="1:7" x14ac:dyDescent="0.25">
      <c r="A2276" t="s">
        <v>108</v>
      </c>
      <c r="B2276" t="s">
        <v>112</v>
      </c>
      <c r="C2276">
        <v>2300</v>
      </c>
      <c r="D2276" t="s">
        <v>78</v>
      </c>
      <c r="E2276" t="s">
        <v>96</v>
      </c>
      <c r="F2276" s="5">
        <v>42370</v>
      </c>
      <c r="G2276">
        <v>7</v>
      </c>
    </row>
    <row r="2277" spans="1:7" x14ac:dyDescent="0.25">
      <c r="A2277" t="s">
        <v>108</v>
      </c>
      <c r="B2277" t="s">
        <v>112</v>
      </c>
      <c r="C2277">
        <v>2300</v>
      </c>
      <c r="D2277" t="s">
        <v>78</v>
      </c>
      <c r="E2277" t="s">
        <v>96</v>
      </c>
      <c r="F2277" s="5">
        <v>42736</v>
      </c>
      <c r="G2277">
        <v>9</v>
      </c>
    </row>
    <row r="2278" spans="1:7" x14ac:dyDescent="0.25">
      <c r="A2278" t="s">
        <v>108</v>
      </c>
      <c r="B2278" t="s">
        <v>112</v>
      </c>
      <c r="C2278">
        <v>2300</v>
      </c>
      <c r="D2278" t="s">
        <v>78</v>
      </c>
      <c r="E2278" t="s">
        <v>97</v>
      </c>
      <c r="F2278" s="5">
        <v>42370</v>
      </c>
      <c r="G2278">
        <v>49</v>
      </c>
    </row>
    <row r="2279" spans="1:7" x14ac:dyDescent="0.25">
      <c r="A2279" t="s">
        <v>108</v>
      </c>
      <c r="B2279" t="s">
        <v>112</v>
      </c>
      <c r="C2279">
        <v>2300</v>
      </c>
      <c r="D2279" t="s">
        <v>78</v>
      </c>
      <c r="E2279" t="s">
        <v>97</v>
      </c>
      <c r="F2279" s="5">
        <v>42736</v>
      </c>
      <c r="G2279">
        <v>170</v>
      </c>
    </row>
    <row r="2280" spans="1:7" x14ac:dyDescent="0.25">
      <c r="A2280" t="s">
        <v>108</v>
      </c>
      <c r="B2280" t="s">
        <v>112</v>
      </c>
      <c r="C2280">
        <v>2300</v>
      </c>
      <c r="D2280" t="s">
        <v>78</v>
      </c>
      <c r="E2280" t="s">
        <v>98</v>
      </c>
      <c r="F2280" s="5">
        <v>42370</v>
      </c>
      <c r="G2280">
        <v>94</v>
      </c>
    </row>
    <row r="2281" spans="1:7" x14ac:dyDescent="0.25">
      <c r="A2281" t="s">
        <v>108</v>
      </c>
      <c r="B2281" t="s">
        <v>112</v>
      </c>
      <c r="C2281">
        <v>2300</v>
      </c>
      <c r="D2281" t="s">
        <v>78</v>
      </c>
      <c r="E2281" t="s">
        <v>98</v>
      </c>
      <c r="F2281" s="5">
        <v>42736</v>
      </c>
      <c r="G2281">
        <v>98</v>
      </c>
    </row>
    <row r="2282" spans="1:7" x14ac:dyDescent="0.25">
      <c r="A2282" t="s">
        <v>113</v>
      </c>
      <c r="B2282" t="s">
        <v>114</v>
      </c>
      <c r="C2282">
        <v>1330</v>
      </c>
      <c r="D2282" t="s">
        <v>8</v>
      </c>
      <c r="E2282" t="s">
        <v>9</v>
      </c>
      <c r="F2282" s="5">
        <v>42370</v>
      </c>
      <c r="G2282">
        <v>0</v>
      </c>
    </row>
    <row r="2283" spans="1:7" x14ac:dyDescent="0.25">
      <c r="A2283" t="s">
        <v>113</v>
      </c>
      <c r="B2283" t="s">
        <v>114</v>
      </c>
      <c r="C2283">
        <v>1330</v>
      </c>
      <c r="D2283" t="s">
        <v>8</v>
      </c>
      <c r="E2283" t="s">
        <v>9</v>
      </c>
      <c r="F2283" s="5">
        <v>42736</v>
      </c>
      <c r="G2283">
        <v>0</v>
      </c>
    </row>
    <row r="2284" spans="1:7" x14ac:dyDescent="0.25">
      <c r="A2284" t="s">
        <v>113</v>
      </c>
      <c r="B2284" t="s">
        <v>114</v>
      </c>
      <c r="C2284">
        <v>1330</v>
      </c>
      <c r="D2284" t="s">
        <v>8</v>
      </c>
      <c r="E2284" t="s">
        <v>10</v>
      </c>
      <c r="F2284" s="5">
        <v>42370</v>
      </c>
      <c r="G2284">
        <v>0</v>
      </c>
    </row>
    <row r="2285" spans="1:7" x14ac:dyDescent="0.25">
      <c r="A2285" t="s">
        <v>113</v>
      </c>
      <c r="B2285" t="s">
        <v>114</v>
      </c>
      <c r="C2285">
        <v>1330</v>
      </c>
      <c r="D2285" t="s">
        <v>8</v>
      </c>
      <c r="E2285" t="s">
        <v>10</v>
      </c>
      <c r="F2285" s="5">
        <v>42736</v>
      </c>
      <c r="G2285">
        <v>0</v>
      </c>
    </row>
    <row r="2286" spans="1:7" x14ac:dyDescent="0.25">
      <c r="A2286" t="s">
        <v>113</v>
      </c>
      <c r="B2286" t="s">
        <v>114</v>
      </c>
      <c r="C2286">
        <v>1330</v>
      </c>
      <c r="D2286" t="s">
        <v>8</v>
      </c>
      <c r="E2286" t="s">
        <v>11</v>
      </c>
      <c r="F2286" s="5">
        <v>42370</v>
      </c>
      <c r="G2286">
        <v>0</v>
      </c>
    </row>
    <row r="2287" spans="1:7" x14ac:dyDescent="0.25">
      <c r="A2287" t="s">
        <v>113</v>
      </c>
      <c r="B2287" t="s">
        <v>114</v>
      </c>
      <c r="C2287">
        <v>1330</v>
      </c>
      <c r="D2287" t="s">
        <v>8</v>
      </c>
      <c r="E2287" t="s">
        <v>11</v>
      </c>
      <c r="F2287" s="5">
        <v>42736</v>
      </c>
      <c r="G2287">
        <v>0</v>
      </c>
    </row>
    <row r="2288" spans="1:7" x14ac:dyDescent="0.25">
      <c r="A2288" t="s">
        <v>113</v>
      </c>
      <c r="B2288" t="s">
        <v>114</v>
      </c>
      <c r="C2288">
        <v>1330</v>
      </c>
      <c r="D2288" t="s">
        <v>8</v>
      </c>
      <c r="E2288" t="s">
        <v>12</v>
      </c>
      <c r="F2288" s="5">
        <v>42370</v>
      </c>
      <c r="G2288">
        <v>0</v>
      </c>
    </row>
    <row r="2289" spans="1:7" x14ac:dyDescent="0.25">
      <c r="A2289" t="s">
        <v>113</v>
      </c>
      <c r="B2289" t="s">
        <v>114</v>
      </c>
      <c r="C2289">
        <v>1330</v>
      </c>
      <c r="D2289" t="s">
        <v>8</v>
      </c>
      <c r="E2289" t="s">
        <v>12</v>
      </c>
      <c r="F2289" s="5">
        <v>42736</v>
      </c>
      <c r="G2289">
        <v>0</v>
      </c>
    </row>
    <row r="2290" spans="1:7" x14ac:dyDescent="0.25">
      <c r="A2290" t="s">
        <v>113</v>
      </c>
      <c r="B2290" t="s">
        <v>114</v>
      </c>
      <c r="C2290">
        <v>1330</v>
      </c>
      <c r="D2290" t="s">
        <v>8</v>
      </c>
      <c r="E2290" t="s">
        <v>13</v>
      </c>
      <c r="F2290" s="5">
        <v>42370</v>
      </c>
      <c r="G2290">
        <v>0</v>
      </c>
    </row>
    <row r="2291" spans="1:7" x14ac:dyDescent="0.25">
      <c r="A2291" t="s">
        <v>113</v>
      </c>
      <c r="B2291" t="s">
        <v>114</v>
      </c>
      <c r="C2291">
        <v>1330</v>
      </c>
      <c r="D2291" t="s">
        <v>8</v>
      </c>
      <c r="E2291" t="s">
        <v>13</v>
      </c>
      <c r="F2291" s="5">
        <v>42736</v>
      </c>
      <c r="G2291">
        <v>0</v>
      </c>
    </row>
    <row r="2292" spans="1:7" x14ac:dyDescent="0.25">
      <c r="A2292" t="s">
        <v>113</v>
      </c>
      <c r="B2292" t="s">
        <v>114</v>
      </c>
      <c r="C2292">
        <v>1330</v>
      </c>
      <c r="D2292" t="s">
        <v>8</v>
      </c>
      <c r="E2292" t="s">
        <v>14</v>
      </c>
      <c r="F2292" s="5">
        <v>42370</v>
      </c>
      <c r="G2292">
        <v>0</v>
      </c>
    </row>
    <row r="2293" spans="1:7" x14ac:dyDescent="0.25">
      <c r="A2293" t="s">
        <v>113</v>
      </c>
      <c r="B2293" t="s">
        <v>114</v>
      </c>
      <c r="C2293">
        <v>1330</v>
      </c>
      <c r="D2293" t="s">
        <v>8</v>
      </c>
      <c r="E2293" t="s">
        <v>14</v>
      </c>
      <c r="F2293" s="5">
        <v>42736</v>
      </c>
      <c r="G2293">
        <v>0</v>
      </c>
    </row>
    <row r="2294" spans="1:7" x14ac:dyDescent="0.25">
      <c r="A2294" t="s">
        <v>113</v>
      </c>
      <c r="B2294" t="s">
        <v>114</v>
      </c>
      <c r="C2294">
        <v>1330</v>
      </c>
      <c r="D2294" t="s">
        <v>8</v>
      </c>
      <c r="E2294" t="s">
        <v>15</v>
      </c>
      <c r="F2294" s="5">
        <v>42370</v>
      </c>
      <c r="G2294">
        <v>0</v>
      </c>
    </row>
    <row r="2295" spans="1:7" x14ac:dyDescent="0.25">
      <c r="A2295" t="s">
        <v>113</v>
      </c>
      <c r="B2295" t="s">
        <v>114</v>
      </c>
      <c r="C2295">
        <v>1330</v>
      </c>
      <c r="D2295" t="s">
        <v>8</v>
      </c>
      <c r="E2295" t="s">
        <v>15</v>
      </c>
      <c r="F2295" s="5">
        <v>42736</v>
      </c>
      <c r="G2295">
        <v>0</v>
      </c>
    </row>
    <row r="2296" spans="1:7" x14ac:dyDescent="0.25">
      <c r="A2296" t="s">
        <v>113</v>
      </c>
      <c r="B2296" t="s">
        <v>114</v>
      </c>
      <c r="C2296">
        <v>1330</v>
      </c>
      <c r="D2296" t="s">
        <v>8</v>
      </c>
      <c r="E2296" t="s">
        <v>16</v>
      </c>
      <c r="F2296" s="5">
        <v>42370</v>
      </c>
      <c r="G2296">
        <v>0</v>
      </c>
    </row>
    <row r="2297" spans="1:7" x14ac:dyDescent="0.25">
      <c r="A2297" t="s">
        <v>113</v>
      </c>
      <c r="B2297" t="s">
        <v>114</v>
      </c>
      <c r="C2297">
        <v>1330</v>
      </c>
      <c r="D2297" t="s">
        <v>8</v>
      </c>
      <c r="E2297" t="s">
        <v>16</v>
      </c>
      <c r="F2297" s="5">
        <v>42736</v>
      </c>
      <c r="G2297">
        <v>0</v>
      </c>
    </row>
    <row r="2298" spans="1:7" x14ac:dyDescent="0.25">
      <c r="A2298" t="s">
        <v>113</v>
      </c>
      <c r="B2298" t="s">
        <v>114</v>
      </c>
      <c r="C2298">
        <v>1330</v>
      </c>
      <c r="D2298" t="s">
        <v>8</v>
      </c>
      <c r="E2298" t="s">
        <v>17</v>
      </c>
      <c r="F2298" s="5">
        <v>42370</v>
      </c>
      <c r="G2298">
        <v>0</v>
      </c>
    </row>
    <row r="2299" spans="1:7" x14ac:dyDescent="0.25">
      <c r="A2299" t="s">
        <v>113</v>
      </c>
      <c r="B2299" t="s">
        <v>114</v>
      </c>
      <c r="C2299">
        <v>1330</v>
      </c>
      <c r="D2299" t="s">
        <v>8</v>
      </c>
      <c r="E2299" t="s">
        <v>17</v>
      </c>
      <c r="F2299" s="5">
        <v>42736</v>
      </c>
      <c r="G2299">
        <v>0</v>
      </c>
    </row>
    <row r="2300" spans="1:7" x14ac:dyDescent="0.25">
      <c r="A2300" t="s">
        <v>113</v>
      </c>
      <c r="B2300" t="s">
        <v>114</v>
      </c>
      <c r="C2300">
        <v>1330</v>
      </c>
      <c r="D2300" t="s">
        <v>8</v>
      </c>
      <c r="E2300" t="s">
        <v>18</v>
      </c>
      <c r="F2300" s="5">
        <v>42370</v>
      </c>
      <c r="G2300">
        <v>0</v>
      </c>
    </row>
    <row r="2301" spans="1:7" x14ac:dyDescent="0.25">
      <c r="A2301" t="s">
        <v>113</v>
      </c>
      <c r="B2301" t="s">
        <v>114</v>
      </c>
      <c r="C2301">
        <v>1330</v>
      </c>
      <c r="D2301" t="s">
        <v>8</v>
      </c>
      <c r="E2301" t="s">
        <v>18</v>
      </c>
      <c r="F2301" s="5">
        <v>42736</v>
      </c>
      <c r="G2301">
        <v>0</v>
      </c>
    </row>
    <row r="2302" spans="1:7" x14ac:dyDescent="0.25">
      <c r="A2302" t="s">
        <v>113</v>
      </c>
      <c r="B2302" t="s">
        <v>114</v>
      </c>
      <c r="C2302">
        <v>1330</v>
      </c>
      <c r="D2302" t="s">
        <v>8</v>
      </c>
      <c r="E2302" t="s">
        <v>19</v>
      </c>
      <c r="F2302" s="5">
        <v>42370</v>
      </c>
      <c r="G2302">
        <v>0</v>
      </c>
    </row>
    <row r="2303" spans="1:7" x14ac:dyDescent="0.25">
      <c r="A2303" t="s">
        <v>113</v>
      </c>
      <c r="B2303" t="s">
        <v>114</v>
      </c>
      <c r="C2303">
        <v>1330</v>
      </c>
      <c r="D2303" t="s">
        <v>8</v>
      </c>
      <c r="E2303" t="s">
        <v>19</v>
      </c>
      <c r="F2303" s="5">
        <v>42736</v>
      </c>
      <c r="G2303">
        <v>0</v>
      </c>
    </row>
    <row r="2304" spans="1:7" x14ac:dyDescent="0.25">
      <c r="A2304" t="s">
        <v>113</v>
      </c>
      <c r="B2304" t="s">
        <v>114</v>
      </c>
      <c r="C2304">
        <v>1330</v>
      </c>
      <c r="D2304" t="s">
        <v>20</v>
      </c>
      <c r="E2304" t="s">
        <v>9</v>
      </c>
      <c r="F2304" s="5">
        <v>42370</v>
      </c>
      <c r="G2304">
        <v>0</v>
      </c>
    </row>
    <row r="2305" spans="1:7" x14ac:dyDescent="0.25">
      <c r="A2305" t="s">
        <v>113</v>
      </c>
      <c r="B2305" t="s">
        <v>114</v>
      </c>
      <c r="C2305">
        <v>1330</v>
      </c>
      <c r="D2305" t="s">
        <v>20</v>
      </c>
      <c r="E2305" t="s">
        <v>9</v>
      </c>
      <c r="F2305" s="5">
        <v>42736</v>
      </c>
      <c r="G2305">
        <v>1</v>
      </c>
    </row>
    <row r="2306" spans="1:7" x14ac:dyDescent="0.25">
      <c r="A2306" t="s">
        <v>113</v>
      </c>
      <c r="B2306" t="s">
        <v>114</v>
      </c>
      <c r="C2306">
        <v>1330</v>
      </c>
      <c r="D2306" t="s">
        <v>20</v>
      </c>
      <c r="E2306" t="s">
        <v>21</v>
      </c>
      <c r="F2306" s="5">
        <v>42370</v>
      </c>
      <c r="G2306">
        <v>0</v>
      </c>
    </row>
    <row r="2307" spans="1:7" x14ac:dyDescent="0.25">
      <c r="A2307" t="s">
        <v>113</v>
      </c>
      <c r="B2307" t="s">
        <v>114</v>
      </c>
      <c r="C2307">
        <v>1330</v>
      </c>
      <c r="D2307" t="s">
        <v>20</v>
      </c>
      <c r="E2307" t="s">
        <v>21</v>
      </c>
      <c r="F2307" s="5">
        <v>42736</v>
      </c>
      <c r="G2307">
        <v>0</v>
      </c>
    </row>
    <row r="2308" spans="1:7" x14ac:dyDescent="0.25">
      <c r="A2308" t="s">
        <v>113</v>
      </c>
      <c r="B2308" t="s">
        <v>114</v>
      </c>
      <c r="C2308">
        <v>1330</v>
      </c>
      <c r="D2308" t="s">
        <v>20</v>
      </c>
      <c r="E2308" t="s">
        <v>22</v>
      </c>
      <c r="F2308" s="5">
        <v>42370</v>
      </c>
      <c r="G2308">
        <v>0</v>
      </c>
    </row>
    <row r="2309" spans="1:7" x14ac:dyDescent="0.25">
      <c r="A2309" t="s">
        <v>113</v>
      </c>
      <c r="B2309" t="s">
        <v>114</v>
      </c>
      <c r="C2309">
        <v>1330</v>
      </c>
      <c r="D2309" t="s">
        <v>20</v>
      </c>
      <c r="E2309" t="s">
        <v>22</v>
      </c>
      <c r="F2309" s="5">
        <v>42736</v>
      </c>
      <c r="G2309">
        <v>1</v>
      </c>
    </row>
    <row r="2310" spans="1:7" x14ac:dyDescent="0.25">
      <c r="A2310" t="s">
        <v>113</v>
      </c>
      <c r="B2310" t="s">
        <v>114</v>
      </c>
      <c r="C2310">
        <v>1330</v>
      </c>
      <c r="D2310" t="s">
        <v>20</v>
      </c>
      <c r="E2310" t="s">
        <v>23</v>
      </c>
      <c r="F2310" s="5">
        <v>42370</v>
      </c>
      <c r="G2310">
        <v>0</v>
      </c>
    </row>
    <row r="2311" spans="1:7" x14ac:dyDescent="0.25">
      <c r="A2311" t="s">
        <v>113</v>
      </c>
      <c r="B2311" t="s">
        <v>114</v>
      </c>
      <c r="C2311">
        <v>1330</v>
      </c>
      <c r="D2311" t="s">
        <v>20</v>
      </c>
      <c r="E2311" t="s">
        <v>23</v>
      </c>
      <c r="F2311" s="5">
        <v>42736</v>
      </c>
      <c r="G2311">
        <v>0</v>
      </c>
    </row>
    <row r="2312" spans="1:7" x14ac:dyDescent="0.25">
      <c r="A2312" t="s">
        <v>113</v>
      </c>
      <c r="B2312" t="s">
        <v>114</v>
      </c>
      <c r="C2312">
        <v>1330</v>
      </c>
      <c r="D2312" t="s">
        <v>20</v>
      </c>
      <c r="E2312" t="s">
        <v>24</v>
      </c>
      <c r="F2312" s="5">
        <v>42370</v>
      </c>
      <c r="G2312">
        <v>0</v>
      </c>
    </row>
    <row r="2313" spans="1:7" x14ac:dyDescent="0.25">
      <c r="A2313" t="s">
        <v>113</v>
      </c>
      <c r="B2313" t="s">
        <v>114</v>
      </c>
      <c r="C2313">
        <v>1330</v>
      </c>
      <c r="D2313" t="s">
        <v>20</v>
      </c>
      <c r="E2313" t="s">
        <v>24</v>
      </c>
      <c r="F2313" s="5">
        <v>42736</v>
      </c>
      <c r="G2313">
        <v>0</v>
      </c>
    </row>
    <row r="2314" spans="1:7" x14ac:dyDescent="0.25">
      <c r="A2314" t="s">
        <v>113</v>
      </c>
      <c r="B2314" t="s">
        <v>114</v>
      </c>
      <c r="C2314">
        <v>1330</v>
      </c>
      <c r="D2314" t="s">
        <v>20</v>
      </c>
      <c r="E2314" t="s">
        <v>25</v>
      </c>
      <c r="F2314" s="5">
        <v>42370</v>
      </c>
      <c r="G2314">
        <v>0</v>
      </c>
    </row>
    <row r="2315" spans="1:7" x14ac:dyDescent="0.25">
      <c r="A2315" t="s">
        <v>113</v>
      </c>
      <c r="B2315" t="s">
        <v>114</v>
      </c>
      <c r="C2315">
        <v>1330</v>
      </c>
      <c r="D2315" t="s">
        <v>20</v>
      </c>
      <c r="E2315" t="s">
        <v>25</v>
      </c>
      <c r="F2315" s="5">
        <v>42736</v>
      </c>
      <c r="G2315">
        <v>0</v>
      </c>
    </row>
    <row r="2316" spans="1:7" x14ac:dyDescent="0.25">
      <c r="A2316" t="s">
        <v>113</v>
      </c>
      <c r="B2316" t="s">
        <v>114</v>
      </c>
      <c r="C2316">
        <v>1330</v>
      </c>
      <c r="D2316" t="s">
        <v>20</v>
      </c>
      <c r="E2316" t="s">
        <v>26</v>
      </c>
      <c r="F2316" s="5">
        <v>42370</v>
      </c>
      <c r="G2316">
        <v>27</v>
      </c>
    </row>
    <row r="2317" spans="1:7" x14ac:dyDescent="0.25">
      <c r="A2317" t="s">
        <v>113</v>
      </c>
      <c r="B2317" t="s">
        <v>114</v>
      </c>
      <c r="C2317">
        <v>1330</v>
      </c>
      <c r="D2317" t="s">
        <v>20</v>
      </c>
      <c r="E2317" t="s">
        <v>26</v>
      </c>
      <c r="F2317" s="5">
        <v>42736</v>
      </c>
      <c r="G2317">
        <v>40</v>
      </c>
    </row>
    <row r="2318" spans="1:7" x14ac:dyDescent="0.25">
      <c r="A2318" t="s">
        <v>113</v>
      </c>
      <c r="B2318" t="s">
        <v>114</v>
      </c>
      <c r="C2318">
        <v>1330</v>
      </c>
      <c r="D2318" t="s">
        <v>20</v>
      </c>
      <c r="E2318" t="s">
        <v>27</v>
      </c>
      <c r="F2318" s="5">
        <v>42370</v>
      </c>
      <c r="G2318">
        <v>0</v>
      </c>
    </row>
    <row r="2319" spans="1:7" x14ac:dyDescent="0.25">
      <c r="A2319" t="s">
        <v>113</v>
      </c>
      <c r="B2319" t="s">
        <v>114</v>
      </c>
      <c r="C2319">
        <v>1330</v>
      </c>
      <c r="D2319" t="s">
        <v>20</v>
      </c>
      <c r="E2319" t="s">
        <v>27</v>
      </c>
      <c r="F2319" s="5">
        <v>42736</v>
      </c>
      <c r="G2319">
        <v>0</v>
      </c>
    </row>
    <row r="2320" spans="1:7" x14ac:dyDescent="0.25">
      <c r="A2320" t="s">
        <v>113</v>
      </c>
      <c r="B2320" t="s">
        <v>114</v>
      </c>
      <c r="C2320">
        <v>1330</v>
      </c>
      <c r="D2320" t="s">
        <v>20</v>
      </c>
      <c r="E2320" t="s">
        <v>28</v>
      </c>
      <c r="F2320" s="5">
        <v>42370</v>
      </c>
      <c r="G2320">
        <v>0</v>
      </c>
    </row>
    <row r="2321" spans="1:7" x14ac:dyDescent="0.25">
      <c r="A2321" t="s">
        <v>113</v>
      </c>
      <c r="B2321" t="s">
        <v>114</v>
      </c>
      <c r="C2321">
        <v>1330</v>
      </c>
      <c r="D2321" t="s">
        <v>20</v>
      </c>
      <c r="E2321" t="s">
        <v>28</v>
      </c>
      <c r="F2321" s="5">
        <v>42736</v>
      </c>
      <c r="G2321">
        <v>0</v>
      </c>
    </row>
    <row r="2322" spans="1:7" x14ac:dyDescent="0.25">
      <c r="A2322" t="s">
        <v>113</v>
      </c>
      <c r="B2322" t="s">
        <v>114</v>
      </c>
      <c r="C2322">
        <v>1330</v>
      </c>
      <c r="D2322" t="s">
        <v>20</v>
      </c>
      <c r="E2322" t="s">
        <v>29</v>
      </c>
      <c r="F2322" s="5">
        <v>42370</v>
      </c>
      <c r="G2322">
        <v>33</v>
      </c>
    </row>
    <row r="2323" spans="1:7" x14ac:dyDescent="0.25">
      <c r="A2323" t="s">
        <v>113</v>
      </c>
      <c r="B2323" t="s">
        <v>114</v>
      </c>
      <c r="C2323">
        <v>1330</v>
      </c>
      <c r="D2323" t="s">
        <v>20</v>
      </c>
      <c r="E2323" t="s">
        <v>29</v>
      </c>
      <c r="F2323" s="5">
        <v>42736</v>
      </c>
      <c r="G2323">
        <v>43</v>
      </c>
    </row>
    <row r="2324" spans="1:7" x14ac:dyDescent="0.25">
      <c r="A2324" t="s">
        <v>113</v>
      </c>
      <c r="B2324" t="s">
        <v>114</v>
      </c>
      <c r="C2324">
        <v>1330</v>
      </c>
      <c r="D2324" t="s">
        <v>20</v>
      </c>
      <c r="E2324" t="s">
        <v>30</v>
      </c>
      <c r="F2324" s="5">
        <v>42370</v>
      </c>
      <c r="G2324">
        <v>28</v>
      </c>
    </row>
    <row r="2325" spans="1:7" x14ac:dyDescent="0.25">
      <c r="A2325" t="s">
        <v>113</v>
      </c>
      <c r="B2325" t="s">
        <v>114</v>
      </c>
      <c r="C2325">
        <v>1330</v>
      </c>
      <c r="D2325" t="s">
        <v>20</v>
      </c>
      <c r="E2325" t="s">
        <v>30</v>
      </c>
      <c r="F2325" s="5">
        <v>42736</v>
      </c>
      <c r="G2325">
        <v>42</v>
      </c>
    </row>
    <row r="2326" spans="1:7" x14ac:dyDescent="0.25">
      <c r="A2326" t="s">
        <v>113</v>
      </c>
      <c r="B2326" t="s">
        <v>114</v>
      </c>
      <c r="C2326">
        <v>1330</v>
      </c>
      <c r="D2326" t="s">
        <v>20</v>
      </c>
      <c r="E2326" t="s">
        <v>31</v>
      </c>
      <c r="F2326" s="5">
        <v>42370</v>
      </c>
      <c r="G2326">
        <v>55</v>
      </c>
    </row>
    <row r="2327" spans="1:7" x14ac:dyDescent="0.25">
      <c r="A2327" t="s">
        <v>113</v>
      </c>
      <c r="B2327" t="s">
        <v>114</v>
      </c>
      <c r="C2327">
        <v>1330</v>
      </c>
      <c r="D2327" t="s">
        <v>20</v>
      </c>
      <c r="E2327" t="s">
        <v>31</v>
      </c>
      <c r="F2327" s="5">
        <v>42736</v>
      </c>
      <c r="G2327">
        <v>92</v>
      </c>
    </row>
    <row r="2328" spans="1:7" x14ac:dyDescent="0.25">
      <c r="A2328" t="s">
        <v>113</v>
      </c>
      <c r="B2328" t="s">
        <v>114</v>
      </c>
      <c r="C2328">
        <v>1330</v>
      </c>
      <c r="D2328" t="s">
        <v>20</v>
      </c>
      <c r="E2328" t="s">
        <v>32</v>
      </c>
      <c r="F2328" s="5">
        <v>42370</v>
      </c>
      <c r="G2328">
        <v>26</v>
      </c>
    </row>
    <row r="2329" spans="1:7" x14ac:dyDescent="0.25">
      <c r="A2329" t="s">
        <v>113</v>
      </c>
      <c r="B2329" t="s">
        <v>114</v>
      </c>
      <c r="C2329">
        <v>1330</v>
      </c>
      <c r="D2329" t="s">
        <v>20</v>
      </c>
      <c r="E2329" t="s">
        <v>32</v>
      </c>
      <c r="F2329" s="5">
        <v>42736</v>
      </c>
      <c r="G2329">
        <v>33</v>
      </c>
    </row>
    <row r="2330" spans="1:7" x14ac:dyDescent="0.25">
      <c r="A2330" t="s">
        <v>113</v>
      </c>
      <c r="B2330" t="s">
        <v>114</v>
      </c>
      <c r="C2330">
        <v>1330</v>
      </c>
      <c r="D2330" t="s">
        <v>33</v>
      </c>
      <c r="E2330" t="s">
        <v>9</v>
      </c>
      <c r="F2330" s="5">
        <v>42370</v>
      </c>
      <c r="G2330">
        <v>0</v>
      </c>
    </row>
    <row r="2331" spans="1:7" x14ac:dyDescent="0.25">
      <c r="A2331" t="s">
        <v>113</v>
      </c>
      <c r="B2331" t="s">
        <v>114</v>
      </c>
      <c r="C2331">
        <v>1330</v>
      </c>
      <c r="D2331" t="s">
        <v>33</v>
      </c>
      <c r="E2331" t="s">
        <v>9</v>
      </c>
      <c r="F2331" s="5">
        <v>42736</v>
      </c>
      <c r="G2331">
        <v>0</v>
      </c>
    </row>
    <row r="2332" spans="1:7" x14ac:dyDescent="0.25">
      <c r="A2332" t="s">
        <v>113</v>
      </c>
      <c r="B2332" t="s">
        <v>114</v>
      </c>
      <c r="C2332">
        <v>1330</v>
      </c>
      <c r="D2332" t="s">
        <v>33</v>
      </c>
      <c r="E2332" t="s">
        <v>34</v>
      </c>
      <c r="F2332" s="5">
        <v>42370</v>
      </c>
      <c r="G2332">
        <v>0</v>
      </c>
    </row>
    <row r="2333" spans="1:7" x14ac:dyDescent="0.25">
      <c r="A2333" t="s">
        <v>113</v>
      </c>
      <c r="B2333" t="s">
        <v>114</v>
      </c>
      <c r="C2333">
        <v>1330</v>
      </c>
      <c r="D2333" t="s">
        <v>33</v>
      </c>
      <c r="E2333" t="s">
        <v>34</v>
      </c>
      <c r="F2333" s="5">
        <v>42736</v>
      </c>
      <c r="G2333">
        <v>0</v>
      </c>
    </row>
    <row r="2334" spans="1:7" x14ac:dyDescent="0.25">
      <c r="A2334" t="s">
        <v>113</v>
      </c>
      <c r="B2334" t="s">
        <v>114</v>
      </c>
      <c r="C2334">
        <v>1330</v>
      </c>
      <c r="D2334" t="s">
        <v>35</v>
      </c>
      <c r="E2334" t="s">
        <v>36</v>
      </c>
      <c r="F2334" s="5">
        <v>42370</v>
      </c>
      <c r="G2334">
        <v>0</v>
      </c>
    </row>
    <row r="2335" spans="1:7" x14ac:dyDescent="0.25">
      <c r="A2335" t="s">
        <v>113</v>
      </c>
      <c r="B2335" t="s">
        <v>114</v>
      </c>
      <c r="C2335">
        <v>1330</v>
      </c>
      <c r="D2335" t="s">
        <v>35</v>
      </c>
      <c r="E2335" t="s">
        <v>36</v>
      </c>
      <c r="F2335" s="5">
        <v>42736</v>
      </c>
      <c r="G2335">
        <v>0</v>
      </c>
    </row>
    <row r="2336" spans="1:7" x14ac:dyDescent="0.25">
      <c r="A2336" t="s">
        <v>113</v>
      </c>
      <c r="B2336" t="s">
        <v>114</v>
      </c>
      <c r="C2336">
        <v>1330</v>
      </c>
      <c r="D2336" t="s">
        <v>35</v>
      </c>
      <c r="E2336" t="s">
        <v>37</v>
      </c>
      <c r="F2336" s="5">
        <v>42370</v>
      </c>
      <c r="G2336">
        <v>0</v>
      </c>
    </row>
    <row r="2337" spans="1:7" x14ac:dyDescent="0.25">
      <c r="A2337" t="s">
        <v>113</v>
      </c>
      <c r="B2337" t="s">
        <v>114</v>
      </c>
      <c r="C2337">
        <v>1330</v>
      </c>
      <c r="D2337" t="s">
        <v>35</v>
      </c>
      <c r="E2337" t="s">
        <v>37</v>
      </c>
      <c r="F2337" s="5">
        <v>42736</v>
      </c>
      <c r="G2337">
        <v>0</v>
      </c>
    </row>
    <row r="2338" spans="1:7" x14ac:dyDescent="0.25">
      <c r="A2338" t="s">
        <v>113</v>
      </c>
      <c r="B2338" t="s">
        <v>114</v>
      </c>
      <c r="C2338">
        <v>1330</v>
      </c>
      <c r="D2338" t="s">
        <v>35</v>
      </c>
      <c r="E2338" t="s">
        <v>38</v>
      </c>
      <c r="F2338" s="5">
        <v>42370</v>
      </c>
      <c r="G2338">
        <v>0</v>
      </c>
    </row>
    <row r="2339" spans="1:7" x14ac:dyDescent="0.25">
      <c r="A2339" t="s">
        <v>113</v>
      </c>
      <c r="B2339" t="s">
        <v>114</v>
      </c>
      <c r="C2339">
        <v>1330</v>
      </c>
      <c r="D2339" t="s">
        <v>35</v>
      </c>
      <c r="E2339" t="s">
        <v>38</v>
      </c>
      <c r="F2339" s="5">
        <v>42736</v>
      </c>
      <c r="G2339">
        <v>0</v>
      </c>
    </row>
    <row r="2340" spans="1:7" x14ac:dyDescent="0.25">
      <c r="A2340" t="s">
        <v>113</v>
      </c>
      <c r="B2340" t="s">
        <v>114</v>
      </c>
      <c r="C2340">
        <v>1330</v>
      </c>
      <c r="D2340" t="s">
        <v>35</v>
      </c>
      <c r="E2340" t="s">
        <v>39</v>
      </c>
      <c r="F2340" s="5">
        <v>42370</v>
      </c>
      <c r="G2340">
        <v>0</v>
      </c>
    </row>
    <row r="2341" spans="1:7" x14ac:dyDescent="0.25">
      <c r="A2341" t="s">
        <v>113</v>
      </c>
      <c r="B2341" t="s">
        <v>114</v>
      </c>
      <c r="C2341">
        <v>1330</v>
      </c>
      <c r="D2341" t="s">
        <v>35</v>
      </c>
      <c r="E2341" t="s">
        <v>39</v>
      </c>
      <c r="F2341" s="5">
        <v>42736</v>
      </c>
      <c r="G2341">
        <v>0</v>
      </c>
    </row>
    <row r="2342" spans="1:7" x14ac:dyDescent="0.25">
      <c r="A2342" t="s">
        <v>113</v>
      </c>
      <c r="B2342" t="s">
        <v>114</v>
      </c>
      <c r="C2342">
        <v>1330</v>
      </c>
      <c r="D2342" t="s">
        <v>35</v>
      </c>
      <c r="E2342" t="s">
        <v>40</v>
      </c>
      <c r="F2342" s="5">
        <v>42370</v>
      </c>
      <c r="G2342">
        <v>0</v>
      </c>
    </row>
    <row r="2343" spans="1:7" x14ac:dyDescent="0.25">
      <c r="A2343" t="s">
        <v>113</v>
      </c>
      <c r="B2343" t="s">
        <v>114</v>
      </c>
      <c r="C2343">
        <v>1330</v>
      </c>
      <c r="D2343" t="s">
        <v>35</v>
      </c>
      <c r="E2343" t="s">
        <v>40</v>
      </c>
      <c r="F2343" s="5">
        <v>42736</v>
      </c>
      <c r="G2343">
        <v>0</v>
      </c>
    </row>
    <row r="2344" spans="1:7" x14ac:dyDescent="0.25">
      <c r="A2344" t="s">
        <v>113</v>
      </c>
      <c r="B2344" t="s">
        <v>114</v>
      </c>
      <c r="C2344">
        <v>1330</v>
      </c>
      <c r="D2344" t="s">
        <v>35</v>
      </c>
      <c r="E2344" t="s">
        <v>41</v>
      </c>
      <c r="F2344" s="5">
        <v>42370</v>
      </c>
      <c r="G2344">
        <v>0</v>
      </c>
    </row>
    <row r="2345" spans="1:7" x14ac:dyDescent="0.25">
      <c r="A2345" t="s">
        <v>113</v>
      </c>
      <c r="B2345" t="s">
        <v>114</v>
      </c>
      <c r="C2345">
        <v>1330</v>
      </c>
      <c r="D2345" t="s">
        <v>35</v>
      </c>
      <c r="E2345" t="s">
        <v>41</v>
      </c>
      <c r="F2345" s="5">
        <v>42736</v>
      </c>
      <c r="G2345">
        <v>0</v>
      </c>
    </row>
    <row r="2346" spans="1:7" x14ac:dyDescent="0.25">
      <c r="A2346" t="s">
        <v>113</v>
      </c>
      <c r="B2346" t="s">
        <v>114</v>
      </c>
      <c r="C2346">
        <v>1330</v>
      </c>
      <c r="D2346" t="s">
        <v>35</v>
      </c>
      <c r="E2346" t="s">
        <v>42</v>
      </c>
      <c r="F2346" s="5">
        <v>42370</v>
      </c>
      <c r="G2346">
        <v>0</v>
      </c>
    </row>
    <row r="2347" spans="1:7" x14ac:dyDescent="0.25">
      <c r="A2347" t="s">
        <v>113</v>
      </c>
      <c r="B2347" t="s">
        <v>114</v>
      </c>
      <c r="C2347">
        <v>1330</v>
      </c>
      <c r="D2347" t="s">
        <v>35</v>
      </c>
      <c r="E2347" t="s">
        <v>42</v>
      </c>
      <c r="F2347" s="5">
        <v>42736</v>
      </c>
      <c r="G2347">
        <v>0</v>
      </c>
    </row>
    <row r="2348" spans="1:7" x14ac:dyDescent="0.25">
      <c r="A2348" t="s">
        <v>113</v>
      </c>
      <c r="B2348" t="s">
        <v>114</v>
      </c>
      <c r="C2348">
        <v>1330</v>
      </c>
      <c r="D2348" t="s">
        <v>35</v>
      </c>
      <c r="E2348" t="s">
        <v>43</v>
      </c>
      <c r="F2348" s="5">
        <v>42370</v>
      </c>
      <c r="G2348">
        <v>0</v>
      </c>
    </row>
    <row r="2349" spans="1:7" x14ac:dyDescent="0.25">
      <c r="A2349" t="s">
        <v>113</v>
      </c>
      <c r="B2349" t="s">
        <v>114</v>
      </c>
      <c r="C2349">
        <v>1330</v>
      </c>
      <c r="D2349" t="s">
        <v>35</v>
      </c>
      <c r="E2349" t="s">
        <v>43</v>
      </c>
      <c r="F2349" s="5">
        <v>42736</v>
      </c>
      <c r="G2349">
        <v>0</v>
      </c>
    </row>
    <row r="2350" spans="1:7" x14ac:dyDescent="0.25">
      <c r="A2350" t="s">
        <v>113</v>
      </c>
      <c r="B2350" t="s">
        <v>114</v>
      </c>
      <c r="C2350">
        <v>1330</v>
      </c>
      <c r="D2350" t="s">
        <v>44</v>
      </c>
      <c r="E2350" t="s">
        <v>36</v>
      </c>
      <c r="F2350" s="5">
        <v>42370</v>
      </c>
      <c r="G2350">
        <v>0</v>
      </c>
    </row>
    <row r="2351" spans="1:7" x14ac:dyDescent="0.25">
      <c r="A2351" t="s">
        <v>113</v>
      </c>
      <c r="B2351" t="s">
        <v>114</v>
      </c>
      <c r="C2351">
        <v>1330</v>
      </c>
      <c r="D2351" t="s">
        <v>44</v>
      </c>
      <c r="E2351" t="s">
        <v>36</v>
      </c>
      <c r="F2351" s="5">
        <v>42736</v>
      </c>
      <c r="G2351">
        <v>0</v>
      </c>
    </row>
    <row r="2352" spans="1:7" x14ac:dyDescent="0.25">
      <c r="A2352" t="s">
        <v>113</v>
      </c>
      <c r="B2352" t="s">
        <v>114</v>
      </c>
      <c r="C2352">
        <v>1330</v>
      </c>
      <c r="D2352" t="s">
        <v>44</v>
      </c>
      <c r="E2352" t="s">
        <v>37</v>
      </c>
      <c r="F2352" s="5">
        <v>42370</v>
      </c>
      <c r="G2352">
        <v>0</v>
      </c>
    </row>
    <row r="2353" spans="1:7" x14ac:dyDescent="0.25">
      <c r="A2353" t="s">
        <v>113</v>
      </c>
      <c r="B2353" t="s">
        <v>114</v>
      </c>
      <c r="C2353">
        <v>1330</v>
      </c>
      <c r="D2353" t="s">
        <v>44</v>
      </c>
      <c r="E2353" t="s">
        <v>37</v>
      </c>
      <c r="F2353" s="5">
        <v>42736</v>
      </c>
      <c r="G2353">
        <v>0</v>
      </c>
    </row>
    <row r="2354" spans="1:7" x14ac:dyDescent="0.25">
      <c r="A2354" t="s">
        <v>113</v>
      </c>
      <c r="B2354" t="s">
        <v>114</v>
      </c>
      <c r="C2354">
        <v>1330</v>
      </c>
      <c r="D2354" t="s">
        <v>44</v>
      </c>
      <c r="E2354" t="s">
        <v>38</v>
      </c>
      <c r="F2354" s="5">
        <v>42370</v>
      </c>
      <c r="G2354">
        <v>0</v>
      </c>
    </row>
    <row r="2355" spans="1:7" x14ac:dyDescent="0.25">
      <c r="A2355" t="s">
        <v>113</v>
      </c>
      <c r="B2355" t="s">
        <v>114</v>
      </c>
      <c r="C2355">
        <v>1330</v>
      </c>
      <c r="D2355" t="s">
        <v>44</v>
      </c>
      <c r="E2355" t="s">
        <v>38</v>
      </c>
      <c r="F2355" s="5">
        <v>42736</v>
      </c>
      <c r="G2355">
        <v>0</v>
      </c>
    </row>
    <row r="2356" spans="1:7" x14ac:dyDescent="0.25">
      <c r="A2356" t="s">
        <v>113</v>
      </c>
      <c r="B2356" t="s">
        <v>114</v>
      </c>
      <c r="C2356">
        <v>1330</v>
      </c>
      <c r="D2356" t="s">
        <v>44</v>
      </c>
      <c r="E2356" t="s">
        <v>39</v>
      </c>
      <c r="F2356" s="5">
        <v>42370</v>
      </c>
      <c r="G2356">
        <v>0</v>
      </c>
    </row>
    <row r="2357" spans="1:7" x14ac:dyDescent="0.25">
      <c r="A2357" t="s">
        <v>113</v>
      </c>
      <c r="B2357" t="s">
        <v>114</v>
      </c>
      <c r="C2357">
        <v>1330</v>
      </c>
      <c r="D2357" t="s">
        <v>44</v>
      </c>
      <c r="E2357" t="s">
        <v>39</v>
      </c>
      <c r="F2357" s="5">
        <v>42736</v>
      </c>
      <c r="G2357">
        <v>0</v>
      </c>
    </row>
    <row r="2358" spans="1:7" x14ac:dyDescent="0.25">
      <c r="A2358" t="s">
        <v>113</v>
      </c>
      <c r="B2358" t="s">
        <v>114</v>
      </c>
      <c r="C2358">
        <v>1330</v>
      </c>
      <c r="D2358" t="s">
        <v>44</v>
      </c>
      <c r="E2358" t="s">
        <v>40</v>
      </c>
      <c r="F2358" s="5">
        <v>42370</v>
      </c>
      <c r="G2358">
        <v>0</v>
      </c>
    </row>
    <row r="2359" spans="1:7" x14ac:dyDescent="0.25">
      <c r="A2359" t="s">
        <v>113</v>
      </c>
      <c r="B2359" t="s">
        <v>114</v>
      </c>
      <c r="C2359">
        <v>1330</v>
      </c>
      <c r="D2359" t="s">
        <v>44</v>
      </c>
      <c r="E2359" t="s">
        <v>40</v>
      </c>
      <c r="F2359" s="5">
        <v>42736</v>
      </c>
      <c r="G2359">
        <v>0</v>
      </c>
    </row>
    <row r="2360" spans="1:7" x14ac:dyDescent="0.25">
      <c r="A2360" t="s">
        <v>113</v>
      </c>
      <c r="B2360" t="s">
        <v>114</v>
      </c>
      <c r="C2360">
        <v>1330</v>
      </c>
      <c r="D2360" t="s">
        <v>44</v>
      </c>
      <c r="E2360" t="s">
        <v>41</v>
      </c>
      <c r="F2360" s="5">
        <v>42370</v>
      </c>
      <c r="G2360">
        <v>0</v>
      </c>
    </row>
    <row r="2361" spans="1:7" x14ac:dyDescent="0.25">
      <c r="A2361" t="s">
        <v>113</v>
      </c>
      <c r="B2361" t="s">
        <v>114</v>
      </c>
      <c r="C2361">
        <v>1330</v>
      </c>
      <c r="D2361" t="s">
        <v>44</v>
      </c>
      <c r="E2361" t="s">
        <v>41</v>
      </c>
      <c r="F2361" s="5">
        <v>42736</v>
      </c>
      <c r="G2361">
        <v>0</v>
      </c>
    </row>
    <row r="2362" spans="1:7" x14ac:dyDescent="0.25">
      <c r="A2362" t="s">
        <v>113</v>
      </c>
      <c r="B2362" t="s">
        <v>114</v>
      </c>
      <c r="C2362">
        <v>1330</v>
      </c>
      <c r="D2362" t="s">
        <v>44</v>
      </c>
      <c r="E2362" t="s">
        <v>42</v>
      </c>
      <c r="F2362" s="5">
        <v>42370</v>
      </c>
      <c r="G2362">
        <v>0</v>
      </c>
    </row>
    <row r="2363" spans="1:7" x14ac:dyDescent="0.25">
      <c r="A2363" t="s">
        <v>113</v>
      </c>
      <c r="B2363" t="s">
        <v>114</v>
      </c>
      <c r="C2363">
        <v>1330</v>
      </c>
      <c r="D2363" t="s">
        <v>44</v>
      </c>
      <c r="E2363" t="s">
        <v>42</v>
      </c>
      <c r="F2363" s="5">
        <v>42736</v>
      </c>
      <c r="G2363">
        <v>0</v>
      </c>
    </row>
    <row r="2364" spans="1:7" x14ac:dyDescent="0.25">
      <c r="A2364" t="s">
        <v>113</v>
      </c>
      <c r="B2364" t="s">
        <v>114</v>
      </c>
      <c r="C2364">
        <v>1330</v>
      </c>
      <c r="D2364" t="s">
        <v>44</v>
      </c>
      <c r="E2364" t="s">
        <v>43</v>
      </c>
      <c r="F2364" s="5">
        <v>42370</v>
      </c>
      <c r="G2364">
        <v>0</v>
      </c>
    </row>
    <row r="2365" spans="1:7" x14ac:dyDescent="0.25">
      <c r="A2365" t="s">
        <v>113</v>
      </c>
      <c r="B2365" t="s">
        <v>114</v>
      </c>
      <c r="C2365">
        <v>1330</v>
      </c>
      <c r="D2365" t="s">
        <v>44</v>
      </c>
      <c r="E2365" t="s">
        <v>43</v>
      </c>
      <c r="F2365" s="5">
        <v>42736</v>
      </c>
      <c r="G2365">
        <v>0</v>
      </c>
    </row>
    <row r="2366" spans="1:7" x14ac:dyDescent="0.25">
      <c r="A2366" t="s">
        <v>113</v>
      </c>
      <c r="B2366" t="s">
        <v>114</v>
      </c>
      <c r="C2366">
        <v>1330</v>
      </c>
      <c r="D2366" t="s">
        <v>45</v>
      </c>
      <c r="E2366" t="s">
        <v>46</v>
      </c>
      <c r="F2366" s="5">
        <v>42370</v>
      </c>
      <c r="G2366">
        <v>0</v>
      </c>
    </row>
    <row r="2367" spans="1:7" x14ac:dyDescent="0.25">
      <c r="A2367" t="s">
        <v>113</v>
      </c>
      <c r="B2367" t="s">
        <v>114</v>
      </c>
      <c r="C2367">
        <v>1330</v>
      </c>
      <c r="D2367" t="s">
        <v>45</v>
      </c>
      <c r="E2367" t="s">
        <v>46</v>
      </c>
      <c r="F2367" s="5">
        <v>42736</v>
      </c>
      <c r="G2367">
        <v>0</v>
      </c>
    </row>
    <row r="2368" spans="1:7" x14ac:dyDescent="0.25">
      <c r="A2368" t="s">
        <v>113</v>
      </c>
      <c r="B2368" t="s">
        <v>114</v>
      </c>
      <c r="C2368">
        <v>1330</v>
      </c>
      <c r="D2368" t="s">
        <v>45</v>
      </c>
      <c r="E2368" t="s">
        <v>47</v>
      </c>
      <c r="F2368" s="5">
        <v>42370</v>
      </c>
      <c r="G2368">
        <v>0</v>
      </c>
    </row>
    <row r="2369" spans="1:7" x14ac:dyDescent="0.25">
      <c r="A2369" t="s">
        <v>113</v>
      </c>
      <c r="B2369" t="s">
        <v>114</v>
      </c>
      <c r="C2369">
        <v>1330</v>
      </c>
      <c r="D2369" t="s">
        <v>45</v>
      </c>
      <c r="E2369" t="s">
        <v>47</v>
      </c>
      <c r="F2369" s="5">
        <v>42736</v>
      </c>
      <c r="G2369">
        <v>6</v>
      </c>
    </row>
    <row r="2370" spans="1:7" x14ac:dyDescent="0.25">
      <c r="A2370" t="s">
        <v>113</v>
      </c>
      <c r="B2370" t="s">
        <v>114</v>
      </c>
      <c r="C2370">
        <v>1330</v>
      </c>
      <c r="D2370" t="s">
        <v>45</v>
      </c>
      <c r="E2370" t="s">
        <v>48</v>
      </c>
      <c r="F2370" s="5">
        <v>42370</v>
      </c>
      <c r="G2370">
        <v>8</v>
      </c>
    </row>
    <row r="2371" spans="1:7" x14ac:dyDescent="0.25">
      <c r="A2371" t="s">
        <v>113</v>
      </c>
      <c r="B2371" t="s">
        <v>114</v>
      </c>
      <c r="C2371">
        <v>1330</v>
      </c>
      <c r="D2371" t="s">
        <v>45</v>
      </c>
      <c r="E2371" t="s">
        <v>48</v>
      </c>
      <c r="F2371" s="5">
        <v>42736</v>
      </c>
      <c r="G2371">
        <v>15</v>
      </c>
    </row>
    <row r="2372" spans="1:7" x14ac:dyDescent="0.25">
      <c r="A2372" t="s">
        <v>113</v>
      </c>
      <c r="B2372" t="s">
        <v>114</v>
      </c>
      <c r="C2372">
        <v>1330</v>
      </c>
      <c r="D2372" t="s">
        <v>45</v>
      </c>
      <c r="E2372" t="s">
        <v>49</v>
      </c>
      <c r="F2372" s="5">
        <v>42370</v>
      </c>
      <c r="G2372">
        <v>6</v>
      </c>
    </row>
    <row r="2373" spans="1:7" x14ac:dyDescent="0.25">
      <c r="A2373" t="s">
        <v>113</v>
      </c>
      <c r="B2373" t="s">
        <v>114</v>
      </c>
      <c r="C2373">
        <v>1330</v>
      </c>
      <c r="D2373" t="s">
        <v>45</v>
      </c>
      <c r="E2373" t="s">
        <v>49</v>
      </c>
      <c r="F2373" s="5">
        <v>42736</v>
      </c>
      <c r="G2373">
        <v>6</v>
      </c>
    </row>
    <row r="2374" spans="1:7" x14ac:dyDescent="0.25">
      <c r="A2374" t="s">
        <v>113</v>
      </c>
      <c r="B2374" t="s">
        <v>114</v>
      </c>
      <c r="C2374">
        <v>1330</v>
      </c>
      <c r="D2374" t="s">
        <v>45</v>
      </c>
      <c r="E2374" t="s">
        <v>50</v>
      </c>
      <c r="F2374" s="5">
        <v>42370</v>
      </c>
      <c r="G2374">
        <v>0</v>
      </c>
    </row>
    <row r="2375" spans="1:7" x14ac:dyDescent="0.25">
      <c r="A2375" t="s">
        <v>113</v>
      </c>
      <c r="B2375" t="s">
        <v>114</v>
      </c>
      <c r="C2375">
        <v>1330</v>
      </c>
      <c r="D2375" t="s">
        <v>45</v>
      </c>
      <c r="E2375" t="s">
        <v>50</v>
      </c>
      <c r="F2375" s="5">
        <v>42736</v>
      </c>
      <c r="G2375">
        <v>0</v>
      </c>
    </row>
    <row r="2376" spans="1:7" x14ac:dyDescent="0.25">
      <c r="A2376" t="s">
        <v>113</v>
      </c>
      <c r="B2376" t="s">
        <v>114</v>
      </c>
      <c r="C2376">
        <v>1330</v>
      </c>
      <c r="D2376" t="s">
        <v>45</v>
      </c>
      <c r="E2376" t="s">
        <v>51</v>
      </c>
      <c r="F2376" s="5">
        <v>42370</v>
      </c>
      <c r="G2376">
        <v>0</v>
      </c>
    </row>
    <row r="2377" spans="1:7" x14ac:dyDescent="0.25">
      <c r="A2377" t="s">
        <v>113</v>
      </c>
      <c r="B2377" t="s">
        <v>114</v>
      </c>
      <c r="C2377">
        <v>1330</v>
      </c>
      <c r="D2377" t="s">
        <v>45</v>
      </c>
      <c r="E2377" t="s">
        <v>51</v>
      </c>
      <c r="F2377" s="5">
        <v>42736</v>
      </c>
      <c r="G2377">
        <v>0</v>
      </c>
    </row>
    <row r="2378" spans="1:7" x14ac:dyDescent="0.25">
      <c r="A2378" t="s">
        <v>113</v>
      </c>
      <c r="B2378" t="s">
        <v>114</v>
      </c>
      <c r="C2378">
        <v>1330</v>
      </c>
      <c r="D2378" t="s">
        <v>45</v>
      </c>
      <c r="E2378" t="s">
        <v>52</v>
      </c>
      <c r="F2378" s="5">
        <v>42370</v>
      </c>
      <c r="G2378">
        <v>0</v>
      </c>
    </row>
    <row r="2379" spans="1:7" x14ac:dyDescent="0.25">
      <c r="A2379" t="s">
        <v>113</v>
      </c>
      <c r="B2379" t="s">
        <v>114</v>
      </c>
      <c r="C2379">
        <v>1330</v>
      </c>
      <c r="D2379" t="s">
        <v>45</v>
      </c>
      <c r="E2379" t="s">
        <v>52</v>
      </c>
      <c r="F2379" s="5">
        <v>42736</v>
      </c>
      <c r="G2379">
        <v>0</v>
      </c>
    </row>
    <row r="2380" spans="1:7" x14ac:dyDescent="0.25">
      <c r="A2380" t="s">
        <v>113</v>
      </c>
      <c r="B2380" t="s">
        <v>114</v>
      </c>
      <c r="C2380">
        <v>1330</v>
      </c>
      <c r="D2380" t="s">
        <v>45</v>
      </c>
      <c r="E2380" t="s">
        <v>53</v>
      </c>
      <c r="F2380" s="5">
        <v>42370</v>
      </c>
      <c r="G2380">
        <v>0</v>
      </c>
    </row>
    <row r="2381" spans="1:7" x14ac:dyDescent="0.25">
      <c r="A2381" t="s">
        <v>113</v>
      </c>
      <c r="B2381" t="s">
        <v>114</v>
      </c>
      <c r="C2381">
        <v>1330</v>
      </c>
      <c r="D2381" t="s">
        <v>45</v>
      </c>
      <c r="E2381" t="s">
        <v>53</v>
      </c>
      <c r="F2381" s="5">
        <v>42736</v>
      </c>
      <c r="G2381">
        <v>4</v>
      </c>
    </row>
    <row r="2382" spans="1:7" x14ac:dyDescent="0.25">
      <c r="A2382" t="s">
        <v>113</v>
      </c>
      <c r="B2382" t="s">
        <v>114</v>
      </c>
      <c r="C2382">
        <v>1330</v>
      </c>
      <c r="D2382" t="s">
        <v>45</v>
      </c>
      <c r="E2382" t="s">
        <v>54</v>
      </c>
      <c r="F2382" s="5">
        <v>42370</v>
      </c>
      <c r="G2382">
        <v>0</v>
      </c>
    </row>
    <row r="2383" spans="1:7" x14ac:dyDescent="0.25">
      <c r="A2383" t="s">
        <v>113</v>
      </c>
      <c r="B2383" t="s">
        <v>114</v>
      </c>
      <c r="C2383">
        <v>1330</v>
      </c>
      <c r="D2383" t="s">
        <v>45</v>
      </c>
      <c r="E2383" t="s">
        <v>54</v>
      </c>
      <c r="F2383" s="5">
        <v>42736</v>
      </c>
      <c r="G2383">
        <v>0</v>
      </c>
    </row>
    <row r="2384" spans="1:7" x14ac:dyDescent="0.25">
      <c r="A2384" t="s">
        <v>113</v>
      </c>
      <c r="B2384" t="s">
        <v>114</v>
      </c>
      <c r="C2384">
        <v>1330</v>
      </c>
      <c r="D2384" t="s">
        <v>45</v>
      </c>
      <c r="E2384" t="s">
        <v>55</v>
      </c>
      <c r="F2384" s="5">
        <v>42370</v>
      </c>
      <c r="G2384">
        <v>0</v>
      </c>
    </row>
    <row r="2385" spans="1:7" x14ac:dyDescent="0.25">
      <c r="A2385" t="s">
        <v>113</v>
      </c>
      <c r="B2385" t="s">
        <v>114</v>
      </c>
      <c r="C2385">
        <v>1330</v>
      </c>
      <c r="D2385" t="s">
        <v>45</v>
      </c>
      <c r="E2385" t="s">
        <v>55</v>
      </c>
      <c r="F2385" s="5">
        <v>42736</v>
      </c>
      <c r="G2385">
        <v>0</v>
      </c>
    </row>
    <row r="2386" spans="1:7" x14ac:dyDescent="0.25">
      <c r="A2386" t="s">
        <v>113</v>
      </c>
      <c r="B2386" t="s">
        <v>114</v>
      </c>
      <c r="C2386">
        <v>1330</v>
      </c>
      <c r="D2386" t="s">
        <v>45</v>
      </c>
      <c r="E2386" t="s">
        <v>56</v>
      </c>
      <c r="F2386" s="5">
        <v>42370</v>
      </c>
      <c r="G2386">
        <v>1</v>
      </c>
    </row>
    <row r="2387" spans="1:7" x14ac:dyDescent="0.25">
      <c r="A2387" t="s">
        <v>113</v>
      </c>
      <c r="B2387" t="s">
        <v>114</v>
      </c>
      <c r="C2387">
        <v>1330</v>
      </c>
      <c r="D2387" t="s">
        <v>45</v>
      </c>
      <c r="E2387" t="s">
        <v>56</v>
      </c>
      <c r="F2387" s="5">
        <v>42736</v>
      </c>
      <c r="G2387">
        <v>1</v>
      </c>
    </row>
    <row r="2388" spans="1:7" x14ac:dyDescent="0.25">
      <c r="A2388" t="s">
        <v>113</v>
      </c>
      <c r="B2388" t="s">
        <v>114</v>
      </c>
      <c r="C2388">
        <v>1330</v>
      </c>
      <c r="D2388" t="s">
        <v>45</v>
      </c>
      <c r="E2388" t="s">
        <v>57</v>
      </c>
      <c r="F2388" s="5">
        <v>42370</v>
      </c>
      <c r="G2388">
        <v>0</v>
      </c>
    </row>
    <row r="2389" spans="1:7" x14ac:dyDescent="0.25">
      <c r="A2389" t="s">
        <v>113</v>
      </c>
      <c r="B2389" t="s">
        <v>114</v>
      </c>
      <c r="C2389">
        <v>1330</v>
      </c>
      <c r="D2389" t="s">
        <v>45</v>
      </c>
      <c r="E2389" t="s">
        <v>57</v>
      </c>
      <c r="F2389" s="5">
        <v>42736</v>
      </c>
      <c r="G2389">
        <v>0</v>
      </c>
    </row>
    <row r="2390" spans="1:7" x14ac:dyDescent="0.25">
      <c r="A2390" t="s">
        <v>113</v>
      </c>
      <c r="B2390" t="s">
        <v>114</v>
      </c>
      <c r="C2390">
        <v>1330</v>
      </c>
      <c r="D2390" t="s">
        <v>45</v>
      </c>
      <c r="E2390" t="s">
        <v>58</v>
      </c>
      <c r="F2390" s="5">
        <v>42370</v>
      </c>
      <c r="G2390">
        <v>0</v>
      </c>
    </row>
    <row r="2391" spans="1:7" x14ac:dyDescent="0.25">
      <c r="A2391" t="s">
        <v>113</v>
      </c>
      <c r="B2391" t="s">
        <v>114</v>
      </c>
      <c r="C2391">
        <v>1330</v>
      </c>
      <c r="D2391" t="s">
        <v>45</v>
      </c>
      <c r="E2391" t="s">
        <v>58</v>
      </c>
      <c r="F2391" s="5">
        <v>42736</v>
      </c>
      <c r="G2391">
        <v>0</v>
      </c>
    </row>
    <row r="2392" spans="1:7" x14ac:dyDescent="0.25">
      <c r="A2392" t="s">
        <v>113</v>
      </c>
      <c r="B2392" t="s">
        <v>114</v>
      </c>
      <c r="C2392">
        <v>1330</v>
      </c>
      <c r="D2392" t="s">
        <v>45</v>
      </c>
      <c r="E2392" t="s">
        <v>59</v>
      </c>
      <c r="F2392" s="5">
        <v>42370</v>
      </c>
      <c r="G2392">
        <v>0</v>
      </c>
    </row>
    <row r="2393" spans="1:7" x14ac:dyDescent="0.25">
      <c r="A2393" t="s">
        <v>113</v>
      </c>
      <c r="B2393" t="s">
        <v>114</v>
      </c>
      <c r="C2393">
        <v>1330</v>
      </c>
      <c r="D2393" t="s">
        <v>45</v>
      </c>
      <c r="E2393" t="s">
        <v>59</v>
      </c>
      <c r="F2393" s="5">
        <v>42736</v>
      </c>
      <c r="G2393">
        <v>0</v>
      </c>
    </row>
    <row r="2394" spans="1:7" x14ac:dyDescent="0.25">
      <c r="A2394" t="s">
        <v>113</v>
      </c>
      <c r="B2394" t="s">
        <v>114</v>
      </c>
      <c r="C2394">
        <v>1330</v>
      </c>
      <c r="D2394" t="s">
        <v>45</v>
      </c>
      <c r="E2394" t="s">
        <v>60</v>
      </c>
      <c r="F2394" s="5">
        <v>42370</v>
      </c>
      <c r="G2394">
        <v>0</v>
      </c>
    </row>
    <row r="2395" spans="1:7" x14ac:dyDescent="0.25">
      <c r="A2395" t="s">
        <v>113</v>
      </c>
      <c r="B2395" t="s">
        <v>114</v>
      </c>
      <c r="C2395">
        <v>1330</v>
      </c>
      <c r="D2395" t="s">
        <v>45</v>
      </c>
      <c r="E2395" t="s">
        <v>60</v>
      </c>
      <c r="F2395" s="5">
        <v>42736</v>
      </c>
      <c r="G2395">
        <v>0</v>
      </c>
    </row>
    <row r="2396" spans="1:7" x14ac:dyDescent="0.25">
      <c r="A2396" t="s">
        <v>113</v>
      </c>
      <c r="B2396" t="s">
        <v>114</v>
      </c>
      <c r="C2396">
        <v>1330</v>
      </c>
      <c r="D2396" t="s">
        <v>45</v>
      </c>
      <c r="E2396" t="s">
        <v>61</v>
      </c>
      <c r="F2396" s="5">
        <v>42370</v>
      </c>
      <c r="G2396">
        <v>5</v>
      </c>
    </row>
    <row r="2397" spans="1:7" x14ac:dyDescent="0.25">
      <c r="A2397" t="s">
        <v>113</v>
      </c>
      <c r="B2397" t="s">
        <v>114</v>
      </c>
      <c r="C2397">
        <v>1330</v>
      </c>
      <c r="D2397" t="s">
        <v>45</v>
      </c>
      <c r="E2397" t="s">
        <v>61</v>
      </c>
      <c r="F2397" s="5">
        <v>42736</v>
      </c>
      <c r="G2397">
        <v>0</v>
      </c>
    </row>
    <row r="2398" spans="1:7" x14ac:dyDescent="0.25">
      <c r="A2398" t="s">
        <v>113</v>
      </c>
      <c r="B2398" t="s">
        <v>114</v>
      </c>
      <c r="C2398">
        <v>1330</v>
      </c>
      <c r="D2398" t="s">
        <v>62</v>
      </c>
      <c r="E2398" t="s">
        <v>63</v>
      </c>
      <c r="F2398" s="5">
        <v>42370</v>
      </c>
      <c r="G2398">
        <v>0</v>
      </c>
    </row>
    <row r="2399" spans="1:7" x14ac:dyDescent="0.25">
      <c r="A2399" t="s">
        <v>113</v>
      </c>
      <c r="B2399" t="s">
        <v>114</v>
      </c>
      <c r="C2399">
        <v>1330</v>
      </c>
      <c r="D2399" t="s">
        <v>62</v>
      </c>
      <c r="E2399" t="s">
        <v>63</v>
      </c>
      <c r="F2399" s="5">
        <v>42736</v>
      </c>
      <c r="G2399">
        <v>0</v>
      </c>
    </row>
    <row r="2400" spans="1:7" x14ac:dyDescent="0.25">
      <c r="A2400" t="s">
        <v>113</v>
      </c>
      <c r="B2400" t="s">
        <v>114</v>
      </c>
      <c r="C2400">
        <v>1330</v>
      </c>
      <c r="D2400" t="s">
        <v>62</v>
      </c>
      <c r="E2400" t="s">
        <v>64</v>
      </c>
      <c r="F2400" s="5">
        <v>42370</v>
      </c>
      <c r="G2400">
        <v>0</v>
      </c>
    </row>
    <row r="2401" spans="1:7" x14ac:dyDescent="0.25">
      <c r="A2401" t="s">
        <v>113</v>
      </c>
      <c r="B2401" t="s">
        <v>114</v>
      </c>
      <c r="C2401">
        <v>1330</v>
      </c>
      <c r="D2401" t="s">
        <v>62</v>
      </c>
      <c r="E2401" t="s">
        <v>64</v>
      </c>
      <c r="F2401" s="5">
        <v>42736</v>
      </c>
      <c r="G2401">
        <v>0</v>
      </c>
    </row>
    <row r="2402" spans="1:7" x14ac:dyDescent="0.25">
      <c r="A2402" t="s">
        <v>113</v>
      </c>
      <c r="B2402" t="s">
        <v>114</v>
      </c>
      <c r="C2402">
        <v>1330</v>
      </c>
      <c r="D2402" t="s">
        <v>62</v>
      </c>
      <c r="E2402" t="s">
        <v>9</v>
      </c>
      <c r="F2402" s="5">
        <v>42370</v>
      </c>
      <c r="G2402">
        <v>0</v>
      </c>
    </row>
    <row r="2403" spans="1:7" x14ac:dyDescent="0.25">
      <c r="A2403" t="s">
        <v>113</v>
      </c>
      <c r="B2403" t="s">
        <v>114</v>
      </c>
      <c r="C2403">
        <v>1330</v>
      </c>
      <c r="D2403" t="s">
        <v>62</v>
      </c>
      <c r="E2403" t="s">
        <v>9</v>
      </c>
      <c r="F2403" s="5">
        <v>42736</v>
      </c>
      <c r="G2403">
        <v>0</v>
      </c>
    </row>
    <row r="2404" spans="1:7" x14ac:dyDescent="0.25">
      <c r="A2404" t="s">
        <v>113</v>
      </c>
      <c r="B2404" t="s">
        <v>114</v>
      </c>
      <c r="C2404">
        <v>1330</v>
      </c>
      <c r="D2404" t="s">
        <v>62</v>
      </c>
      <c r="E2404" t="s">
        <v>65</v>
      </c>
      <c r="F2404" s="5">
        <v>42370</v>
      </c>
      <c r="G2404">
        <v>0</v>
      </c>
    </row>
    <row r="2405" spans="1:7" x14ac:dyDescent="0.25">
      <c r="A2405" t="s">
        <v>113</v>
      </c>
      <c r="B2405" t="s">
        <v>114</v>
      </c>
      <c r="C2405">
        <v>1330</v>
      </c>
      <c r="D2405" t="s">
        <v>62</v>
      </c>
      <c r="E2405" t="s">
        <v>65</v>
      </c>
      <c r="F2405" s="5">
        <v>42736</v>
      </c>
      <c r="G2405">
        <v>0</v>
      </c>
    </row>
    <row r="2406" spans="1:7" x14ac:dyDescent="0.25">
      <c r="A2406" t="s">
        <v>113</v>
      </c>
      <c r="B2406" t="s">
        <v>114</v>
      </c>
      <c r="C2406">
        <v>1330</v>
      </c>
      <c r="D2406" t="s">
        <v>62</v>
      </c>
      <c r="E2406" t="s">
        <v>66</v>
      </c>
      <c r="F2406" s="5">
        <v>42370</v>
      </c>
      <c r="G2406">
        <v>0</v>
      </c>
    </row>
    <row r="2407" spans="1:7" x14ac:dyDescent="0.25">
      <c r="A2407" t="s">
        <v>113</v>
      </c>
      <c r="B2407" t="s">
        <v>114</v>
      </c>
      <c r="C2407">
        <v>1330</v>
      </c>
      <c r="D2407" t="s">
        <v>62</v>
      </c>
      <c r="E2407" t="s">
        <v>66</v>
      </c>
      <c r="F2407" s="5">
        <v>42736</v>
      </c>
      <c r="G2407">
        <v>0</v>
      </c>
    </row>
    <row r="2408" spans="1:7" x14ac:dyDescent="0.25">
      <c r="A2408" t="s">
        <v>113</v>
      </c>
      <c r="B2408" t="s">
        <v>114</v>
      </c>
      <c r="C2408">
        <v>1330</v>
      </c>
      <c r="D2408" t="s">
        <v>62</v>
      </c>
      <c r="E2408" t="s">
        <v>67</v>
      </c>
      <c r="F2408" s="5">
        <v>42370</v>
      </c>
      <c r="G2408">
        <v>0</v>
      </c>
    </row>
    <row r="2409" spans="1:7" x14ac:dyDescent="0.25">
      <c r="A2409" t="s">
        <v>113</v>
      </c>
      <c r="B2409" t="s">
        <v>114</v>
      </c>
      <c r="C2409">
        <v>1330</v>
      </c>
      <c r="D2409" t="s">
        <v>62</v>
      </c>
      <c r="E2409" t="s">
        <v>67</v>
      </c>
      <c r="F2409" s="5">
        <v>42736</v>
      </c>
      <c r="G2409">
        <v>0</v>
      </c>
    </row>
    <row r="2410" spans="1:7" x14ac:dyDescent="0.25">
      <c r="A2410" t="s">
        <v>113</v>
      </c>
      <c r="B2410" t="s">
        <v>114</v>
      </c>
      <c r="C2410">
        <v>1330</v>
      </c>
      <c r="D2410" t="s">
        <v>62</v>
      </c>
      <c r="E2410" t="s">
        <v>68</v>
      </c>
      <c r="F2410" s="5">
        <v>42370</v>
      </c>
      <c r="G2410">
        <v>0</v>
      </c>
    </row>
    <row r="2411" spans="1:7" x14ac:dyDescent="0.25">
      <c r="A2411" t="s">
        <v>113</v>
      </c>
      <c r="B2411" t="s">
        <v>114</v>
      </c>
      <c r="C2411">
        <v>1330</v>
      </c>
      <c r="D2411" t="s">
        <v>62</v>
      </c>
      <c r="E2411" t="s">
        <v>68</v>
      </c>
      <c r="F2411" s="5">
        <v>42736</v>
      </c>
      <c r="G2411">
        <v>0</v>
      </c>
    </row>
    <row r="2412" spans="1:7" x14ac:dyDescent="0.25">
      <c r="A2412" t="s">
        <v>113</v>
      </c>
      <c r="B2412" t="s">
        <v>114</v>
      </c>
      <c r="C2412">
        <v>1330</v>
      </c>
      <c r="D2412" t="s">
        <v>62</v>
      </c>
      <c r="E2412" t="s">
        <v>69</v>
      </c>
      <c r="F2412" s="5">
        <v>42370</v>
      </c>
      <c r="G2412">
        <v>0</v>
      </c>
    </row>
    <row r="2413" spans="1:7" x14ac:dyDescent="0.25">
      <c r="A2413" t="s">
        <v>113</v>
      </c>
      <c r="B2413" t="s">
        <v>114</v>
      </c>
      <c r="C2413">
        <v>1330</v>
      </c>
      <c r="D2413" t="s">
        <v>62</v>
      </c>
      <c r="E2413" t="s">
        <v>69</v>
      </c>
      <c r="F2413" s="5">
        <v>42736</v>
      </c>
      <c r="G2413">
        <v>0</v>
      </c>
    </row>
    <row r="2414" spans="1:7" x14ac:dyDescent="0.25">
      <c r="A2414" t="s">
        <v>113</v>
      </c>
      <c r="B2414" t="s">
        <v>114</v>
      </c>
      <c r="C2414">
        <v>1330</v>
      </c>
      <c r="D2414" t="s">
        <v>62</v>
      </c>
      <c r="E2414" t="s">
        <v>70</v>
      </c>
      <c r="F2414" s="5">
        <v>42370</v>
      </c>
      <c r="G2414">
        <v>0</v>
      </c>
    </row>
    <row r="2415" spans="1:7" x14ac:dyDescent="0.25">
      <c r="A2415" t="s">
        <v>113</v>
      </c>
      <c r="B2415" t="s">
        <v>114</v>
      </c>
      <c r="C2415">
        <v>1330</v>
      </c>
      <c r="D2415" t="s">
        <v>62</v>
      </c>
      <c r="E2415" t="s">
        <v>70</v>
      </c>
      <c r="F2415" s="5">
        <v>42736</v>
      </c>
      <c r="G2415">
        <v>0</v>
      </c>
    </row>
    <row r="2416" spans="1:7" x14ac:dyDescent="0.25">
      <c r="A2416" t="s">
        <v>113</v>
      </c>
      <c r="B2416" t="s">
        <v>114</v>
      </c>
      <c r="C2416">
        <v>1330</v>
      </c>
      <c r="D2416" t="s">
        <v>62</v>
      </c>
      <c r="E2416" t="s">
        <v>71</v>
      </c>
      <c r="F2416" s="5">
        <v>42370</v>
      </c>
      <c r="G2416">
        <v>0</v>
      </c>
    </row>
    <row r="2417" spans="1:7" x14ac:dyDescent="0.25">
      <c r="A2417" t="s">
        <v>113</v>
      </c>
      <c r="B2417" t="s">
        <v>114</v>
      </c>
      <c r="C2417">
        <v>1330</v>
      </c>
      <c r="D2417" t="s">
        <v>62</v>
      </c>
      <c r="E2417" t="s">
        <v>71</v>
      </c>
      <c r="F2417" s="5">
        <v>42736</v>
      </c>
      <c r="G2417">
        <v>0</v>
      </c>
    </row>
    <row r="2418" spans="1:7" x14ac:dyDescent="0.25">
      <c r="A2418" t="s">
        <v>113</v>
      </c>
      <c r="B2418" t="s">
        <v>114</v>
      </c>
      <c r="C2418">
        <v>1330</v>
      </c>
      <c r="D2418" t="s">
        <v>72</v>
      </c>
      <c r="E2418" t="s">
        <v>73</v>
      </c>
      <c r="F2418" s="5">
        <v>42370</v>
      </c>
      <c r="G2418">
        <v>0</v>
      </c>
    </row>
    <row r="2419" spans="1:7" x14ac:dyDescent="0.25">
      <c r="A2419" t="s">
        <v>113</v>
      </c>
      <c r="B2419" t="s">
        <v>114</v>
      </c>
      <c r="C2419">
        <v>1330</v>
      </c>
      <c r="D2419" t="s">
        <v>72</v>
      </c>
      <c r="E2419" t="s">
        <v>73</v>
      </c>
      <c r="F2419" s="5">
        <v>42736</v>
      </c>
      <c r="G2419">
        <v>0</v>
      </c>
    </row>
    <row r="2420" spans="1:7" x14ac:dyDescent="0.25">
      <c r="A2420" t="s">
        <v>113</v>
      </c>
      <c r="B2420" t="s">
        <v>114</v>
      </c>
      <c r="C2420">
        <v>1330</v>
      </c>
      <c r="D2420" t="s">
        <v>72</v>
      </c>
      <c r="E2420" t="s">
        <v>9</v>
      </c>
      <c r="F2420" s="5">
        <v>42370</v>
      </c>
      <c r="G2420">
        <v>0</v>
      </c>
    </row>
    <row r="2421" spans="1:7" x14ac:dyDescent="0.25">
      <c r="A2421" t="s">
        <v>113</v>
      </c>
      <c r="B2421" t="s">
        <v>114</v>
      </c>
      <c r="C2421">
        <v>1330</v>
      </c>
      <c r="D2421" t="s">
        <v>72</v>
      </c>
      <c r="E2421" t="s">
        <v>9</v>
      </c>
      <c r="F2421" s="5">
        <v>42736</v>
      </c>
      <c r="G2421">
        <v>0</v>
      </c>
    </row>
    <row r="2422" spans="1:7" x14ac:dyDescent="0.25">
      <c r="A2422" t="s">
        <v>113</v>
      </c>
      <c r="B2422" t="s">
        <v>114</v>
      </c>
      <c r="C2422">
        <v>1330</v>
      </c>
      <c r="D2422" t="s">
        <v>72</v>
      </c>
      <c r="E2422" t="s">
        <v>34</v>
      </c>
      <c r="F2422" s="5">
        <v>42370</v>
      </c>
      <c r="G2422">
        <v>0</v>
      </c>
    </row>
    <row r="2423" spans="1:7" x14ac:dyDescent="0.25">
      <c r="A2423" t="s">
        <v>113</v>
      </c>
      <c r="B2423" t="s">
        <v>114</v>
      </c>
      <c r="C2423">
        <v>1330</v>
      </c>
      <c r="D2423" t="s">
        <v>72</v>
      </c>
      <c r="E2423" t="s">
        <v>34</v>
      </c>
      <c r="F2423" s="5">
        <v>42736</v>
      </c>
      <c r="G2423">
        <v>0</v>
      </c>
    </row>
    <row r="2424" spans="1:7" x14ac:dyDescent="0.25">
      <c r="A2424" t="s">
        <v>113</v>
      </c>
      <c r="B2424" t="s">
        <v>114</v>
      </c>
      <c r="C2424">
        <v>1330</v>
      </c>
      <c r="D2424" t="s">
        <v>72</v>
      </c>
      <c r="E2424" t="s">
        <v>74</v>
      </c>
      <c r="F2424" s="5">
        <v>42370</v>
      </c>
      <c r="G2424">
        <v>0</v>
      </c>
    </row>
    <row r="2425" spans="1:7" x14ac:dyDescent="0.25">
      <c r="A2425" t="s">
        <v>113</v>
      </c>
      <c r="B2425" t="s">
        <v>114</v>
      </c>
      <c r="C2425">
        <v>1330</v>
      </c>
      <c r="D2425" t="s">
        <v>72</v>
      </c>
      <c r="E2425" t="s">
        <v>74</v>
      </c>
      <c r="F2425" s="5">
        <v>42736</v>
      </c>
      <c r="G2425">
        <v>0</v>
      </c>
    </row>
    <row r="2426" spans="1:7" x14ac:dyDescent="0.25">
      <c r="A2426" t="s">
        <v>113</v>
      </c>
      <c r="B2426" t="s">
        <v>114</v>
      </c>
      <c r="C2426">
        <v>1330</v>
      </c>
      <c r="D2426" t="s">
        <v>72</v>
      </c>
      <c r="E2426" t="s">
        <v>75</v>
      </c>
      <c r="F2426" s="5">
        <v>42370</v>
      </c>
      <c r="G2426">
        <v>0</v>
      </c>
    </row>
    <row r="2427" spans="1:7" x14ac:dyDescent="0.25">
      <c r="A2427" t="s">
        <v>113</v>
      </c>
      <c r="B2427" t="s">
        <v>114</v>
      </c>
      <c r="C2427">
        <v>1330</v>
      </c>
      <c r="D2427" t="s">
        <v>72</v>
      </c>
      <c r="E2427" t="s">
        <v>75</v>
      </c>
      <c r="F2427" s="5">
        <v>42736</v>
      </c>
      <c r="G2427">
        <v>0</v>
      </c>
    </row>
    <row r="2428" spans="1:7" x14ac:dyDescent="0.25">
      <c r="A2428" t="s">
        <v>113</v>
      </c>
      <c r="B2428" t="s">
        <v>114</v>
      </c>
      <c r="C2428">
        <v>1330</v>
      </c>
      <c r="D2428" t="s">
        <v>76</v>
      </c>
      <c r="E2428" t="s">
        <v>9</v>
      </c>
      <c r="F2428" s="5">
        <v>42370</v>
      </c>
      <c r="G2428">
        <v>0</v>
      </c>
    </row>
    <row r="2429" spans="1:7" x14ac:dyDescent="0.25">
      <c r="A2429" t="s">
        <v>113</v>
      </c>
      <c r="B2429" t="s">
        <v>114</v>
      </c>
      <c r="C2429">
        <v>1330</v>
      </c>
      <c r="D2429" t="s">
        <v>76</v>
      </c>
      <c r="E2429" t="s">
        <v>9</v>
      </c>
      <c r="F2429" s="5">
        <v>42736</v>
      </c>
      <c r="G2429">
        <v>0</v>
      </c>
    </row>
    <row r="2430" spans="1:7" x14ac:dyDescent="0.25">
      <c r="A2430" t="s">
        <v>113</v>
      </c>
      <c r="B2430" t="s">
        <v>114</v>
      </c>
      <c r="C2430">
        <v>1330</v>
      </c>
      <c r="D2430" t="s">
        <v>76</v>
      </c>
      <c r="E2430" t="s">
        <v>77</v>
      </c>
      <c r="F2430" s="5">
        <v>42370</v>
      </c>
      <c r="G2430">
        <v>0</v>
      </c>
    </row>
    <row r="2431" spans="1:7" x14ac:dyDescent="0.25">
      <c r="A2431" t="s">
        <v>113</v>
      </c>
      <c r="B2431" t="s">
        <v>114</v>
      </c>
      <c r="C2431">
        <v>1330</v>
      </c>
      <c r="D2431" t="s">
        <v>76</v>
      </c>
      <c r="E2431" t="s">
        <v>77</v>
      </c>
      <c r="F2431" s="5">
        <v>42736</v>
      </c>
      <c r="G2431">
        <v>0</v>
      </c>
    </row>
    <row r="2432" spans="1:7" x14ac:dyDescent="0.25">
      <c r="A2432" t="s">
        <v>113</v>
      </c>
      <c r="B2432" t="s">
        <v>114</v>
      </c>
      <c r="C2432">
        <v>1330</v>
      </c>
      <c r="D2432" t="s">
        <v>78</v>
      </c>
      <c r="E2432" t="s">
        <v>79</v>
      </c>
      <c r="F2432" s="5">
        <v>42370</v>
      </c>
      <c r="G2432">
        <v>4</v>
      </c>
    </row>
    <row r="2433" spans="1:7" x14ac:dyDescent="0.25">
      <c r="A2433" t="s">
        <v>113</v>
      </c>
      <c r="B2433" t="s">
        <v>114</v>
      </c>
      <c r="C2433">
        <v>1330</v>
      </c>
      <c r="D2433" t="s">
        <v>78</v>
      </c>
      <c r="E2433" t="s">
        <v>79</v>
      </c>
      <c r="F2433" s="5">
        <v>42736</v>
      </c>
      <c r="G2433">
        <v>5</v>
      </c>
    </row>
    <row r="2434" spans="1:7" x14ac:dyDescent="0.25">
      <c r="A2434" t="s">
        <v>113</v>
      </c>
      <c r="B2434" t="s">
        <v>114</v>
      </c>
      <c r="C2434">
        <v>1330</v>
      </c>
      <c r="D2434" t="s">
        <v>78</v>
      </c>
      <c r="E2434" t="s">
        <v>80</v>
      </c>
      <c r="F2434" s="5">
        <v>42370</v>
      </c>
      <c r="G2434">
        <v>6</v>
      </c>
    </row>
    <row r="2435" spans="1:7" x14ac:dyDescent="0.25">
      <c r="A2435" t="s">
        <v>113</v>
      </c>
      <c r="B2435" t="s">
        <v>114</v>
      </c>
      <c r="C2435">
        <v>1330</v>
      </c>
      <c r="D2435" t="s">
        <v>78</v>
      </c>
      <c r="E2435" t="s">
        <v>80</v>
      </c>
      <c r="F2435" s="5">
        <v>42736</v>
      </c>
      <c r="G2435">
        <v>0</v>
      </c>
    </row>
    <row r="2436" spans="1:7" x14ac:dyDescent="0.25">
      <c r="A2436" t="s">
        <v>113</v>
      </c>
      <c r="B2436" t="s">
        <v>114</v>
      </c>
      <c r="C2436">
        <v>1330</v>
      </c>
      <c r="D2436" t="s">
        <v>78</v>
      </c>
      <c r="E2436" t="s">
        <v>81</v>
      </c>
      <c r="F2436" s="5">
        <v>42370</v>
      </c>
      <c r="G2436">
        <v>151</v>
      </c>
    </row>
    <row r="2437" spans="1:7" x14ac:dyDescent="0.25">
      <c r="A2437" t="s">
        <v>113</v>
      </c>
      <c r="B2437" t="s">
        <v>114</v>
      </c>
      <c r="C2437">
        <v>1330</v>
      </c>
      <c r="D2437" t="s">
        <v>78</v>
      </c>
      <c r="E2437" t="s">
        <v>81</v>
      </c>
      <c r="F2437" s="5">
        <v>42736</v>
      </c>
      <c r="G2437">
        <v>203</v>
      </c>
    </row>
    <row r="2438" spans="1:7" x14ac:dyDescent="0.25">
      <c r="A2438" t="s">
        <v>113</v>
      </c>
      <c r="B2438" t="s">
        <v>114</v>
      </c>
      <c r="C2438">
        <v>1330</v>
      </c>
      <c r="D2438" t="s">
        <v>78</v>
      </c>
      <c r="E2438" t="s">
        <v>82</v>
      </c>
      <c r="F2438" s="5">
        <v>42370</v>
      </c>
      <c r="G2438">
        <v>3</v>
      </c>
    </row>
    <row r="2439" spans="1:7" x14ac:dyDescent="0.25">
      <c r="A2439" t="s">
        <v>113</v>
      </c>
      <c r="B2439" t="s">
        <v>114</v>
      </c>
      <c r="C2439">
        <v>1330</v>
      </c>
      <c r="D2439" t="s">
        <v>78</v>
      </c>
      <c r="E2439" t="s">
        <v>82</v>
      </c>
      <c r="F2439" s="5">
        <v>42736</v>
      </c>
      <c r="G2439">
        <v>4</v>
      </c>
    </row>
    <row r="2440" spans="1:7" x14ac:dyDescent="0.25">
      <c r="A2440" t="s">
        <v>113</v>
      </c>
      <c r="B2440" t="s">
        <v>114</v>
      </c>
      <c r="C2440">
        <v>1330</v>
      </c>
      <c r="D2440" t="s">
        <v>78</v>
      </c>
      <c r="E2440" t="s">
        <v>83</v>
      </c>
      <c r="F2440" s="5">
        <v>42370</v>
      </c>
      <c r="G2440">
        <v>0</v>
      </c>
    </row>
    <row r="2441" spans="1:7" x14ac:dyDescent="0.25">
      <c r="A2441" t="s">
        <v>113</v>
      </c>
      <c r="B2441" t="s">
        <v>114</v>
      </c>
      <c r="C2441">
        <v>1330</v>
      </c>
      <c r="D2441" t="s">
        <v>78</v>
      </c>
      <c r="E2441" t="s">
        <v>83</v>
      </c>
      <c r="F2441" s="5">
        <v>42736</v>
      </c>
      <c r="G2441">
        <v>0</v>
      </c>
    </row>
    <row r="2442" spans="1:7" x14ac:dyDescent="0.25">
      <c r="A2442" t="s">
        <v>113</v>
      </c>
      <c r="B2442" t="s">
        <v>114</v>
      </c>
      <c r="C2442">
        <v>1330</v>
      </c>
      <c r="D2442" t="s">
        <v>78</v>
      </c>
      <c r="E2442" t="s">
        <v>84</v>
      </c>
      <c r="F2442" s="5">
        <v>42370</v>
      </c>
      <c r="G2442">
        <v>0</v>
      </c>
    </row>
    <row r="2443" spans="1:7" x14ac:dyDescent="0.25">
      <c r="A2443" t="s">
        <v>113</v>
      </c>
      <c r="B2443" t="s">
        <v>114</v>
      </c>
      <c r="C2443">
        <v>1330</v>
      </c>
      <c r="D2443" t="s">
        <v>78</v>
      </c>
      <c r="E2443" t="s">
        <v>84</v>
      </c>
      <c r="F2443" s="5">
        <v>42736</v>
      </c>
      <c r="G2443">
        <v>0</v>
      </c>
    </row>
    <row r="2444" spans="1:7" x14ac:dyDescent="0.25">
      <c r="A2444" t="s">
        <v>113</v>
      </c>
      <c r="B2444" t="s">
        <v>114</v>
      </c>
      <c r="C2444">
        <v>1330</v>
      </c>
      <c r="D2444" t="s">
        <v>78</v>
      </c>
      <c r="E2444" t="s">
        <v>85</v>
      </c>
      <c r="F2444" s="5">
        <v>42370</v>
      </c>
      <c r="G2444">
        <v>0</v>
      </c>
    </row>
    <row r="2445" spans="1:7" x14ac:dyDescent="0.25">
      <c r="A2445" t="s">
        <v>113</v>
      </c>
      <c r="B2445" t="s">
        <v>114</v>
      </c>
      <c r="C2445">
        <v>1330</v>
      </c>
      <c r="D2445" t="s">
        <v>78</v>
      </c>
      <c r="E2445" t="s">
        <v>85</v>
      </c>
      <c r="F2445" s="5">
        <v>42736</v>
      </c>
      <c r="G2445">
        <v>0</v>
      </c>
    </row>
    <row r="2446" spans="1:7" x14ac:dyDescent="0.25">
      <c r="A2446" t="s">
        <v>113</v>
      </c>
      <c r="B2446" t="s">
        <v>114</v>
      </c>
      <c r="C2446">
        <v>1330</v>
      </c>
      <c r="D2446" t="s">
        <v>78</v>
      </c>
      <c r="E2446" t="s">
        <v>86</v>
      </c>
      <c r="F2446" s="5">
        <v>42370</v>
      </c>
      <c r="G2446">
        <v>0</v>
      </c>
    </row>
    <row r="2447" spans="1:7" x14ac:dyDescent="0.25">
      <c r="A2447" t="s">
        <v>113</v>
      </c>
      <c r="B2447" t="s">
        <v>114</v>
      </c>
      <c r="C2447">
        <v>1330</v>
      </c>
      <c r="D2447" t="s">
        <v>78</v>
      </c>
      <c r="E2447" t="s">
        <v>86</v>
      </c>
      <c r="F2447" s="5">
        <v>42736</v>
      </c>
      <c r="G2447">
        <v>0</v>
      </c>
    </row>
    <row r="2448" spans="1:7" x14ac:dyDescent="0.25">
      <c r="A2448" t="s">
        <v>113</v>
      </c>
      <c r="B2448" t="s">
        <v>114</v>
      </c>
      <c r="C2448">
        <v>1330</v>
      </c>
      <c r="D2448" t="s">
        <v>78</v>
      </c>
      <c r="E2448" t="s">
        <v>87</v>
      </c>
      <c r="F2448" s="5">
        <v>42370</v>
      </c>
      <c r="G2448">
        <v>6</v>
      </c>
    </row>
    <row r="2449" spans="1:7" x14ac:dyDescent="0.25">
      <c r="A2449" t="s">
        <v>113</v>
      </c>
      <c r="B2449" t="s">
        <v>114</v>
      </c>
      <c r="C2449">
        <v>1330</v>
      </c>
      <c r="D2449" t="s">
        <v>78</v>
      </c>
      <c r="E2449" t="s">
        <v>87</v>
      </c>
      <c r="F2449" s="5">
        <v>42736</v>
      </c>
      <c r="G2449">
        <v>7</v>
      </c>
    </row>
    <row r="2450" spans="1:7" x14ac:dyDescent="0.25">
      <c r="A2450" t="s">
        <v>113</v>
      </c>
      <c r="B2450" t="s">
        <v>114</v>
      </c>
      <c r="C2450">
        <v>1330</v>
      </c>
      <c r="D2450" t="s">
        <v>78</v>
      </c>
      <c r="E2450" t="s">
        <v>88</v>
      </c>
      <c r="F2450" s="5">
        <v>42370</v>
      </c>
      <c r="G2450">
        <v>32</v>
      </c>
    </row>
    <row r="2451" spans="1:7" x14ac:dyDescent="0.25">
      <c r="A2451" t="s">
        <v>113</v>
      </c>
      <c r="B2451" t="s">
        <v>114</v>
      </c>
      <c r="C2451">
        <v>1330</v>
      </c>
      <c r="D2451" t="s">
        <v>78</v>
      </c>
      <c r="E2451" t="s">
        <v>88</v>
      </c>
      <c r="F2451" s="5">
        <v>42736</v>
      </c>
      <c r="G2451">
        <v>54</v>
      </c>
    </row>
    <row r="2452" spans="1:7" x14ac:dyDescent="0.25">
      <c r="A2452" t="s">
        <v>113</v>
      </c>
      <c r="B2452" t="s">
        <v>114</v>
      </c>
      <c r="C2452">
        <v>1330</v>
      </c>
      <c r="D2452" t="s">
        <v>78</v>
      </c>
      <c r="E2452" t="s">
        <v>89</v>
      </c>
      <c r="F2452" s="5">
        <v>42370</v>
      </c>
      <c r="G2452">
        <v>636</v>
      </c>
    </row>
    <row r="2453" spans="1:7" x14ac:dyDescent="0.25">
      <c r="A2453" t="s">
        <v>113</v>
      </c>
      <c r="B2453" t="s">
        <v>114</v>
      </c>
      <c r="C2453">
        <v>1330</v>
      </c>
      <c r="D2453" t="s">
        <v>78</v>
      </c>
      <c r="E2453" t="s">
        <v>89</v>
      </c>
      <c r="F2453" s="5">
        <v>42736</v>
      </c>
      <c r="G2453">
        <v>594</v>
      </c>
    </row>
    <row r="2454" spans="1:7" x14ac:dyDescent="0.25">
      <c r="A2454" t="s">
        <v>113</v>
      </c>
      <c r="B2454" t="s">
        <v>114</v>
      </c>
      <c r="C2454">
        <v>1330</v>
      </c>
      <c r="D2454" t="s">
        <v>78</v>
      </c>
      <c r="E2454" t="s">
        <v>90</v>
      </c>
      <c r="F2454" s="5">
        <v>42370</v>
      </c>
      <c r="G2454">
        <v>0</v>
      </c>
    </row>
    <row r="2455" spans="1:7" x14ac:dyDescent="0.25">
      <c r="A2455" t="s">
        <v>113</v>
      </c>
      <c r="B2455" t="s">
        <v>114</v>
      </c>
      <c r="C2455">
        <v>1330</v>
      </c>
      <c r="D2455" t="s">
        <v>78</v>
      </c>
      <c r="E2455" t="s">
        <v>90</v>
      </c>
      <c r="F2455" s="5">
        <v>42736</v>
      </c>
      <c r="G2455">
        <v>0</v>
      </c>
    </row>
    <row r="2456" spans="1:7" x14ac:dyDescent="0.25">
      <c r="A2456" t="s">
        <v>113</v>
      </c>
      <c r="B2456" t="s">
        <v>114</v>
      </c>
      <c r="C2456">
        <v>1330</v>
      </c>
      <c r="D2456" t="s">
        <v>78</v>
      </c>
      <c r="E2456" t="s">
        <v>91</v>
      </c>
      <c r="F2456" s="5">
        <v>42370</v>
      </c>
      <c r="G2456">
        <v>0</v>
      </c>
    </row>
    <row r="2457" spans="1:7" x14ac:dyDescent="0.25">
      <c r="A2457" t="s">
        <v>113</v>
      </c>
      <c r="B2457" t="s">
        <v>114</v>
      </c>
      <c r="C2457">
        <v>1330</v>
      </c>
      <c r="D2457" t="s">
        <v>78</v>
      </c>
      <c r="E2457" t="s">
        <v>91</v>
      </c>
      <c r="F2457" s="5">
        <v>42736</v>
      </c>
      <c r="G2457">
        <v>0</v>
      </c>
    </row>
    <row r="2458" spans="1:7" x14ac:dyDescent="0.25">
      <c r="A2458" t="s">
        <v>113</v>
      </c>
      <c r="B2458" t="s">
        <v>114</v>
      </c>
      <c r="C2458">
        <v>1330</v>
      </c>
      <c r="D2458" t="s">
        <v>78</v>
      </c>
      <c r="E2458" t="s">
        <v>92</v>
      </c>
      <c r="F2458" s="5">
        <v>42370</v>
      </c>
      <c r="G2458">
        <v>0</v>
      </c>
    </row>
    <row r="2459" spans="1:7" x14ac:dyDescent="0.25">
      <c r="A2459" t="s">
        <v>113</v>
      </c>
      <c r="B2459" t="s">
        <v>114</v>
      </c>
      <c r="C2459">
        <v>1330</v>
      </c>
      <c r="D2459" t="s">
        <v>78</v>
      </c>
      <c r="E2459" t="s">
        <v>92</v>
      </c>
      <c r="F2459" s="5">
        <v>42736</v>
      </c>
      <c r="G2459">
        <v>0</v>
      </c>
    </row>
    <row r="2460" spans="1:7" x14ac:dyDescent="0.25">
      <c r="A2460" t="s">
        <v>113</v>
      </c>
      <c r="B2460" t="s">
        <v>114</v>
      </c>
      <c r="C2460">
        <v>1330</v>
      </c>
      <c r="D2460" t="s">
        <v>78</v>
      </c>
      <c r="E2460" t="s">
        <v>93</v>
      </c>
      <c r="F2460" s="5">
        <v>42370</v>
      </c>
      <c r="G2460">
        <v>0</v>
      </c>
    </row>
    <row r="2461" spans="1:7" x14ac:dyDescent="0.25">
      <c r="A2461" t="s">
        <v>113</v>
      </c>
      <c r="B2461" t="s">
        <v>114</v>
      </c>
      <c r="C2461">
        <v>1330</v>
      </c>
      <c r="D2461" t="s">
        <v>78</v>
      </c>
      <c r="E2461" t="s">
        <v>93</v>
      </c>
      <c r="F2461" s="5">
        <v>42736</v>
      </c>
      <c r="G2461">
        <v>0</v>
      </c>
    </row>
    <row r="2462" spans="1:7" x14ac:dyDescent="0.25">
      <c r="A2462" t="s">
        <v>113</v>
      </c>
      <c r="B2462" t="s">
        <v>114</v>
      </c>
      <c r="C2462">
        <v>1330</v>
      </c>
      <c r="D2462" t="s">
        <v>78</v>
      </c>
      <c r="E2462" t="s">
        <v>94</v>
      </c>
      <c r="F2462" s="5">
        <v>42370</v>
      </c>
      <c r="G2462">
        <v>0</v>
      </c>
    </row>
    <row r="2463" spans="1:7" x14ac:dyDescent="0.25">
      <c r="A2463" t="s">
        <v>113</v>
      </c>
      <c r="B2463" t="s">
        <v>114</v>
      </c>
      <c r="C2463">
        <v>1330</v>
      </c>
      <c r="D2463" t="s">
        <v>78</v>
      </c>
      <c r="E2463" t="s">
        <v>94</v>
      </c>
      <c r="F2463" s="5">
        <v>42736</v>
      </c>
      <c r="G2463">
        <v>0</v>
      </c>
    </row>
    <row r="2464" spans="1:7" x14ac:dyDescent="0.25">
      <c r="A2464" t="s">
        <v>113</v>
      </c>
      <c r="B2464" t="s">
        <v>114</v>
      </c>
      <c r="C2464">
        <v>1330</v>
      </c>
      <c r="D2464" t="s">
        <v>78</v>
      </c>
      <c r="E2464" t="s">
        <v>95</v>
      </c>
      <c r="F2464" s="5">
        <v>42370</v>
      </c>
      <c r="G2464">
        <v>0</v>
      </c>
    </row>
    <row r="2465" spans="1:7" x14ac:dyDescent="0.25">
      <c r="A2465" t="s">
        <v>113</v>
      </c>
      <c r="B2465" t="s">
        <v>114</v>
      </c>
      <c r="C2465">
        <v>1330</v>
      </c>
      <c r="D2465" t="s">
        <v>78</v>
      </c>
      <c r="E2465" t="s">
        <v>95</v>
      </c>
      <c r="F2465" s="5">
        <v>42736</v>
      </c>
      <c r="G2465">
        <v>0</v>
      </c>
    </row>
    <row r="2466" spans="1:7" x14ac:dyDescent="0.25">
      <c r="A2466" t="s">
        <v>113</v>
      </c>
      <c r="B2466" t="s">
        <v>114</v>
      </c>
      <c r="C2466">
        <v>1330</v>
      </c>
      <c r="D2466" t="s">
        <v>78</v>
      </c>
      <c r="E2466" t="s">
        <v>96</v>
      </c>
      <c r="F2466" s="5">
        <v>42370</v>
      </c>
      <c r="G2466">
        <v>0</v>
      </c>
    </row>
    <row r="2467" spans="1:7" x14ac:dyDescent="0.25">
      <c r="A2467" t="s">
        <v>113</v>
      </c>
      <c r="B2467" t="s">
        <v>114</v>
      </c>
      <c r="C2467">
        <v>1330</v>
      </c>
      <c r="D2467" t="s">
        <v>78</v>
      </c>
      <c r="E2467" t="s">
        <v>96</v>
      </c>
      <c r="F2467" s="5">
        <v>42736</v>
      </c>
      <c r="G2467">
        <v>0</v>
      </c>
    </row>
    <row r="2468" spans="1:7" x14ac:dyDescent="0.25">
      <c r="A2468" t="s">
        <v>113</v>
      </c>
      <c r="B2468" t="s">
        <v>114</v>
      </c>
      <c r="C2468">
        <v>1330</v>
      </c>
      <c r="D2468" t="s">
        <v>78</v>
      </c>
      <c r="E2468" t="s">
        <v>97</v>
      </c>
      <c r="F2468" s="5">
        <v>42370</v>
      </c>
      <c r="G2468">
        <v>0</v>
      </c>
    </row>
    <row r="2469" spans="1:7" x14ac:dyDescent="0.25">
      <c r="A2469" t="s">
        <v>113</v>
      </c>
      <c r="B2469" t="s">
        <v>114</v>
      </c>
      <c r="C2469">
        <v>1330</v>
      </c>
      <c r="D2469" t="s">
        <v>78</v>
      </c>
      <c r="E2469" t="s">
        <v>97</v>
      </c>
      <c r="F2469" s="5">
        <v>42736</v>
      </c>
      <c r="G2469">
        <v>0</v>
      </c>
    </row>
    <row r="2470" spans="1:7" x14ac:dyDescent="0.25">
      <c r="A2470" t="s">
        <v>113</v>
      </c>
      <c r="B2470" t="s">
        <v>114</v>
      </c>
      <c r="C2470">
        <v>1330</v>
      </c>
      <c r="D2470" t="s">
        <v>78</v>
      </c>
      <c r="E2470" t="s">
        <v>98</v>
      </c>
      <c r="F2470" s="5">
        <v>42370</v>
      </c>
      <c r="G2470">
        <v>5</v>
      </c>
    </row>
    <row r="2471" spans="1:7" x14ac:dyDescent="0.25">
      <c r="A2471" t="s">
        <v>113</v>
      </c>
      <c r="B2471" t="s">
        <v>114</v>
      </c>
      <c r="C2471">
        <v>1330</v>
      </c>
      <c r="D2471" t="s">
        <v>78</v>
      </c>
      <c r="E2471" t="s">
        <v>98</v>
      </c>
      <c r="F2471" s="5">
        <v>42736</v>
      </c>
      <c r="G2471">
        <v>18</v>
      </c>
    </row>
    <row r="2472" spans="1:7" x14ac:dyDescent="0.25">
      <c r="A2472" t="s">
        <v>113</v>
      </c>
      <c r="B2472" t="s">
        <v>115</v>
      </c>
      <c r="C2472">
        <v>1300</v>
      </c>
      <c r="D2472" t="s">
        <v>8</v>
      </c>
      <c r="E2472" t="s">
        <v>9</v>
      </c>
      <c r="F2472" s="5">
        <v>42370</v>
      </c>
      <c r="G2472">
        <v>0</v>
      </c>
    </row>
    <row r="2473" spans="1:7" x14ac:dyDescent="0.25">
      <c r="A2473" t="s">
        <v>113</v>
      </c>
      <c r="B2473" t="s">
        <v>115</v>
      </c>
      <c r="C2473">
        <v>1300</v>
      </c>
      <c r="D2473" t="s">
        <v>8</v>
      </c>
      <c r="E2473" t="s">
        <v>9</v>
      </c>
      <c r="F2473" s="5">
        <v>42736</v>
      </c>
      <c r="G2473">
        <v>0</v>
      </c>
    </row>
    <row r="2474" spans="1:7" x14ac:dyDescent="0.25">
      <c r="A2474" t="s">
        <v>113</v>
      </c>
      <c r="B2474" t="s">
        <v>115</v>
      </c>
      <c r="C2474">
        <v>1300</v>
      </c>
      <c r="D2474" t="s">
        <v>8</v>
      </c>
      <c r="E2474" t="s">
        <v>10</v>
      </c>
      <c r="F2474" s="5">
        <v>42370</v>
      </c>
      <c r="G2474">
        <v>211</v>
      </c>
    </row>
    <row r="2475" spans="1:7" x14ac:dyDescent="0.25">
      <c r="A2475" t="s">
        <v>113</v>
      </c>
      <c r="B2475" t="s">
        <v>115</v>
      </c>
      <c r="C2475">
        <v>1300</v>
      </c>
      <c r="D2475" t="s">
        <v>8</v>
      </c>
      <c r="E2475" t="s">
        <v>10</v>
      </c>
      <c r="F2475" s="5">
        <v>42736</v>
      </c>
      <c r="G2475">
        <v>323</v>
      </c>
    </row>
    <row r="2476" spans="1:7" x14ac:dyDescent="0.25">
      <c r="A2476" t="s">
        <v>113</v>
      </c>
      <c r="B2476" t="s">
        <v>115</v>
      </c>
      <c r="C2476">
        <v>1300</v>
      </c>
      <c r="D2476" t="s">
        <v>8</v>
      </c>
      <c r="E2476" t="s">
        <v>11</v>
      </c>
      <c r="F2476" s="5">
        <v>42370</v>
      </c>
      <c r="G2476">
        <v>43</v>
      </c>
    </row>
    <row r="2477" spans="1:7" x14ac:dyDescent="0.25">
      <c r="A2477" t="s">
        <v>113</v>
      </c>
      <c r="B2477" t="s">
        <v>115</v>
      </c>
      <c r="C2477">
        <v>1300</v>
      </c>
      <c r="D2477" t="s">
        <v>8</v>
      </c>
      <c r="E2477" t="s">
        <v>11</v>
      </c>
      <c r="F2477" s="5">
        <v>42736</v>
      </c>
      <c r="G2477">
        <v>108</v>
      </c>
    </row>
    <row r="2478" spans="1:7" x14ac:dyDescent="0.25">
      <c r="A2478" t="s">
        <v>113</v>
      </c>
      <c r="B2478" t="s">
        <v>115</v>
      </c>
      <c r="C2478">
        <v>1300</v>
      </c>
      <c r="D2478" t="s">
        <v>8</v>
      </c>
      <c r="E2478" t="s">
        <v>12</v>
      </c>
      <c r="F2478" s="5">
        <v>42370</v>
      </c>
      <c r="G2478">
        <v>0</v>
      </c>
    </row>
    <row r="2479" spans="1:7" x14ac:dyDescent="0.25">
      <c r="A2479" t="s">
        <v>113</v>
      </c>
      <c r="B2479" t="s">
        <v>115</v>
      </c>
      <c r="C2479">
        <v>1300</v>
      </c>
      <c r="D2479" t="s">
        <v>8</v>
      </c>
      <c r="E2479" t="s">
        <v>12</v>
      </c>
      <c r="F2479" s="5">
        <v>42736</v>
      </c>
      <c r="G2479">
        <v>0</v>
      </c>
    </row>
    <row r="2480" spans="1:7" x14ac:dyDescent="0.25">
      <c r="A2480" t="s">
        <v>113</v>
      </c>
      <c r="B2480" t="s">
        <v>115</v>
      </c>
      <c r="C2480">
        <v>1300</v>
      </c>
      <c r="D2480" t="s">
        <v>8</v>
      </c>
      <c r="E2480" t="s">
        <v>13</v>
      </c>
      <c r="F2480" s="5">
        <v>42370</v>
      </c>
      <c r="G2480">
        <v>0</v>
      </c>
    </row>
    <row r="2481" spans="1:7" x14ac:dyDescent="0.25">
      <c r="A2481" t="s">
        <v>113</v>
      </c>
      <c r="B2481" t="s">
        <v>115</v>
      </c>
      <c r="C2481">
        <v>1300</v>
      </c>
      <c r="D2481" t="s">
        <v>8</v>
      </c>
      <c r="E2481" t="s">
        <v>13</v>
      </c>
      <c r="F2481" s="5">
        <v>42736</v>
      </c>
      <c r="G2481">
        <v>0</v>
      </c>
    </row>
    <row r="2482" spans="1:7" x14ac:dyDescent="0.25">
      <c r="A2482" t="s">
        <v>113</v>
      </c>
      <c r="B2482" t="s">
        <v>115</v>
      </c>
      <c r="C2482">
        <v>1300</v>
      </c>
      <c r="D2482" t="s">
        <v>8</v>
      </c>
      <c r="E2482" t="s">
        <v>14</v>
      </c>
      <c r="F2482" s="5">
        <v>42370</v>
      </c>
      <c r="G2482">
        <v>0</v>
      </c>
    </row>
    <row r="2483" spans="1:7" x14ac:dyDescent="0.25">
      <c r="A2483" t="s">
        <v>113</v>
      </c>
      <c r="B2483" t="s">
        <v>115</v>
      </c>
      <c r="C2483">
        <v>1300</v>
      </c>
      <c r="D2483" t="s">
        <v>8</v>
      </c>
      <c r="E2483" t="s">
        <v>14</v>
      </c>
      <c r="F2483" s="5">
        <v>42736</v>
      </c>
      <c r="G2483">
        <v>0</v>
      </c>
    </row>
    <row r="2484" spans="1:7" x14ac:dyDescent="0.25">
      <c r="A2484" t="s">
        <v>113</v>
      </c>
      <c r="B2484" t="s">
        <v>115</v>
      </c>
      <c r="C2484">
        <v>1300</v>
      </c>
      <c r="D2484" t="s">
        <v>8</v>
      </c>
      <c r="E2484" t="s">
        <v>15</v>
      </c>
      <c r="F2484" s="5">
        <v>42370</v>
      </c>
      <c r="G2484">
        <v>0</v>
      </c>
    </row>
    <row r="2485" spans="1:7" x14ac:dyDescent="0.25">
      <c r="A2485" t="s">
        <v>113</v>
      </c>
      <c r="B2485" t="s">
        <v>115</v>
      </c>
      <c r="C2485">
        <v>1300</v>
      </c>
      <c r="D2485" t="s">
        <v>8</v>
      </c>
      <c r="E2485" t="s">
        <v>15</v>
      </c>
      <c r="F2485" s="5">
        <v>42736</v>
      </c>
      <c r="G2485">
        <v>0</v>
      </c>
    </row>
    <row r="2486" spans="1:7" x14ac:dyDescent="0.25">
      <c r="A2486" t="s">
        <v>113</v>
      </c>
      <c r="B2486" t="s">
        <v>115</v>
      </c>
      <c r="C2486">
        <v>1300</v>
      </c>
      <c r="D2486" t="s">
        <v>8</v>
      </c>
      <c r="E2486" t="s">
        <v>16</v>
      </c>
      <c r="F2486" s="5">
        <v>42370</v>
      </c>
      <c r="G2486">
        <v>42</v>
      </c>
    </row>
    <row r="2487" spans="1:7" x14ac:dyDescent="0.25">
      <c r="A2487" t="s">
        <v>113</v>
      </c>
      <c r="B2487" t="s">
        <v>115</v>
      </c>
      <c r="C2487">
        <v>1300</v>
      </c>
      <c r="D2487" t="s">
        <v>8</v>
      </c>
      <c r="E2487" t="s">
        <v>16</v>
      </c>
      <c r="F2487" s="5">
        <v>42736</v>
      </c>
      <c r="G2487">
        <v>63</v>
      </c>
    </row>
    <row r="2488" spans="1:7" x14ac:dyDescent="0.25">
      <c r="A2488" t="s">
        <v>113</v>
      </c>
      <c r="B2488" t="s">
        <v>115</v>
      </c>
      <c r="C2488">
        <v>1300</v>
      </c>
      <c r="D2488" t="s">
        <v>8</v>
      </c>
      <c r="E2488" t="s">
        <v>17</v>
      </c>
      <c r="F2488" s="5">
        <v>42370</v>
      </c>
      <c r="G2488">
        <v>0</v>
      </c>
    </row>
    <row r="2489" spans="1:7" x14ac:dyDescent="0.25">
      <c r="A2489" t="s">
        <v>113</v>
      </c>
      <c r="B2489" t="s">
        <v>115</v>
      </c>
      <c r="C2489">
        <v>1300</v>
      </c>
      <c r="D2489" t="s">
        <v>8</v>
      </c>
      <c r="E2489" t="s">
        <v>17</v>
      </c>
      <c r="F2489" s="5">
        <v>42736</v>
      </c>
      <c r="G2489">
        <v>0</v>
      </c>
    </row>
    <row r="2490" spans="1:7" x14ac:dyDescent="0.25">
      <c r="A2490" t="s">
        <v>113</v>
      </c>
      <c r="B2490" t="s">
        <v>115</v>
      </c>
      <c r="C2490">
        <v>1300</v>
      </c>
      <c r="D2490" t="s">
        <v>8</v>
      </c>
      <c r="E2490" t="s">
        <v>18</v>
      </c>
      <c r="F2490" s="5">
        <v>42370</v>
      </c>
      <c r="G2490">
        <v>10</v>
      </c>
    </row>
    <row r="2491" spans="1:7" x14ac:dyDescent="0.25">
      <c r="A2491" t="s">
        <v>113</v>
      </c>
      <c r="B2491" t="s">
        <v>115</v>
      </c>
      <c r="C2491">
        <v>1300</v>
      </c>
      <c r="D2491" t="s">
        <v>8</v>
      </c>
      <c r="E2491" t="s">
        <v>18</v>
      </c>
      <c r="F2491" s="5">
        <v>42736</v>
      </c>
      <c r="G2491">
        <v>7</v>
      </c>
    </row>
    <row r="2492" spans="1:7" x14ac:dyDescent="0.25">
      <c r="A2492" t="s">
        <v>113</v>
      </c>
      <c r="B2492" t="s">
        <v>115</v>
      </c>
      <c r="C2492">
        <v>1300</v>
      </c>
      <c r="D2492" t="s">
        <v>8</v>
      </c>
      <c r="E2492" t="s">
        <v>19</v>
      </c>
      <c r="F2492" s="5">
        <v>42370</v>
      </c>
      <c r="G2492">
        <v>0</v>
      </c>
    </row>
    <row r="2493" spans="1:7" x14ac:dyDescent="0.25">
      <c r="A2493" t="s">
        <v>113</v>
      </c>
      <c r="B2493" t="s">
        <v>115</v>
      </c>
      <c r="C2493">
        <v>1300</v>
      </c>
      <c r="D2493" t="s">
        <v>8</v>
      </c>
      <c r="E2493" t="s">
        <v>19</v>
      </c>
      <c r="F2493" s="5">
        <v>42736</v>
      </c>
      <c r="G2493">
        <v>0</v>
      </c>
    </row>
    <row r="2494" spans="1:7" x14ac:dyDescent="0.25">
      <c r="A2494" t="s">
        <v>113</v>
      </c>
      <c r="B2494" t="s">
        <v>115</v>
      </c>
      <c r="C2494">
        <v>1300</v>
      </c>
      <c r="D2494" t="s">
        <v>20</v>
      </c>
      <c r="E2494" t="s">
        <v>9</v>
      </c>
      <c r="F2494" s="5">
        <v>42370</v>
      </c>
      <c r="G2494">
        <v>16</v>
      </c>
    </row>
    <row r="2495" spans="1:7" x14ac:dyDescent="0.25">
      <c r="A2495" t="s">
        <v>113</v>
      </c>
      <c r="B2495" t="s">
        <v>115</v>
      </c>
      <c r="C2495">
        <v>1300</v>
      </c>
      <c r="D2495" t="s">
        <v>20</v>
      </c>
      <c r="E2495" t="s">
        <v>9</v>
      </c>
      <c r="F2495" s="5">
        <v>42736</v>
      </c>
      <c r="G2495">
        <v>24</v>
      </c>
    </row>
    <row r="2496" spans="1:7" x14ac:dyDescent="0.25">
      <c r="A2496" t="s">
        <v>113</v>
      </c>
      <c r="B2496" t="s">
        <v>115</v>
      </c>
      <c r="C2496">
        <v>1300</v>
      </c>
      <c r="D2496" t="s">
        <v>20</v>
      </c>
      <c r="E2496" t="s">
        <v>21</v>
      </c>
      <c r="F2496" s="5">
        <v>42370</v>
      </c>
      <c r="G2496">
        <v>10</v>
      </c>
    </row>
    <row r="2497" spans="1:7" x14ac:dyDescent="0.25">
      <c r="A2497" t="s">
        <v>113</v>
      </c>
      <c r="B2497" t="s">
        <v>115</v>
      </c>
      <c r="C2497">
        <v>1300</v>
      </c>
      <c r="D2497" t="s">
        <v>20</v>
      </c>
      <c r="E2497" t="s">
        <v>21</v>
      </c>
      <c r="F2497" s="5">
        <v>42736</v>
      </c>
      <c r="G2497">
        <v>1</v>
      </c>
    </row>
    <row r="2498" spans="1:7" x14ac:dyDescent="0.25">
      <c r="A2498" t="s">
        <v>113</v>
      </c>
      <c r="B2498" t="s">
        <v>115</v>
      </c>
      <c r="C2498">
        <v>1300</v>
      </c>
      <c r="D2498" t="s">
        <v>20</v>
      </c>
      <c r="E2498" t="s">
        <v>22</v>
      </c>
      <c r="F2498" s="5">
        <v>42370</v>
      </c>
      <c r="G2498">
        <v>0</v>
      </c>
    </row>
    <row r="2499" spans="1:7" x14ac:dyDescent="0.25">
      <c r="A2499" t="s">
        <v>113</v>
      </c>
      <c r="B2499" t="s">
        <v>115</v>
      </c>
      <c r="C2499">
        <v>1300</v>
      </c>
      <c r="D2499" t="s">
        <v>20</v>
      </c>
      <c r="E2499" t="s">
        <v>22</v>
      </c>
      <c r="F2499" s="5">
        <v>42736</v>
      </c>
      <c r="G2499">
        <v>2</v>
      </c>
    </row>
    <row r="2500" spans="1:7" x14ac:dyDescent="0.25">
      <c r="A2500" t="s">
        <v>113</v>
      </c>
      <c r="B2500" t="s">
        <v>115</v>
      </c>
      <c r="C2500">
        <v>1300</v>
      </c>
      <c r="D2500" t="s">
        <v>20</v>
      </c>
      <c r="E2500" t="s">
        <v>23</v>
      </c>
      <c r="F2500" s="5">
        <v>42370</v>
      </c>
      <c r="G2500">
        <v>1</v>
      </c>
    </row>
    <row r="2501" spans="1:7" x14ac:dyDescent="0.25">
      <c r="A2501" t="s">
        <v>113</v>
      </c>
      <c r="B2501" t="s">
        <v>115</v>
      </c>
      <c r="C2501">
        <v>1300</v>
      </c>
      <c r="D2501" t="s">
        <v>20</v>
      </c>
      <c r="E2501" t="s">
        <v>23</v>
      </c>
      <c r="F2501" s="5">
        <v>42736</v>
      </c>
      <c r="G2501">
        <v>2</v>
      </c>
    </row>
    <row r="2502" spans="1:7" x14ac:dyDescent="0.25">
      <c r="A2502" t="s">
        <v>113</v>
      </c>
      <c r="B2502" t="s">
        <v>115</v>
      </c>
      <c r="C2502">
        <v>1300</v>
      </c>
      <c r="D2502" t="s">
        <v>20</v>
      </c>
      <c r="E2502" t="s">
        <v>24</v>
      </c>
      <c r="F2502" s="5">
        <v>42370</v>
      </c>
      <c r="G2502">
        <v>0</v>
      </c>
    </row>
    <row r="2503" spans="1:7" x14ac:dyDescent="0.25">
      <c r="A2503" t="s">
        <v>113</v>
      </c>
      <c r="B2503" t="s">
        <v>115</v>
      </c>
      <c r="C2503">
        <v>1300</v>
      </c>
      <c r="D2503" t="s">
        <v>20</v>
      </c>
      <c r="E2503" t="s">
        <v>24</v>
      </c>
      <c r="F2503" s="5">
        <v>42736</v>
      </c>
      <c r="G2503">
        <v>0</v>
      </c>
    </row>
    <row r="2504" spans="1:7" x14ac:dyDescent="0.25">
      <c r="A2504" t="s">
        <v>113</v>
      </c>
      <c r="B2504" t="s">
        <v>115</v>
      </c>
      <c r="C2504">
        <v>1300</v>
      </c>
      <c r="D2504" t="s">
        <v>20</v>
      </c>
      <c r="E2504" t="s">
        <v>25</v>
      </c>
      <c r="F2504" s="5">
        <v>42370</v>
      </c>
      <c r="G2504">
        <v>0</v>
      </c>
    </row>
    <row r="2505" spans="1:7" x14ac:dyDescent="0.25">
      <c r="A2505" t="s">
        <v>113</v>
      </c>
      <c r="B2505" t="s">
        <v>115</v>
      </c>
      <c r="C2505">
        <v>1300</v>
      </c>
      <c r="D2505" t="s">
        <v>20</v>
      </c>
      <c r="E2505" t="s">
        <v>25</v>
      </c>
      <c r="F2505" s="5">
        <v>42736</v>
      </c>
      <c r="G2505">
        <v>0</v>
      </c>
    </row>
    <row r="2506" spans="1:7" x14ac:dyDescent="0.25">
      <c r="A2506" t="s">
        <v>113</v>
      </c>
      <c r="B2506" t="s">
        <v>115</v>
      </c>
      <c r="C2506">
        <v>1300</v>
      </c>
      <c r="D2506" t="s">
        <v>20</v>
      </c>
      <c r="E2506" t="s">
        <v>26</v>
      </c>
      <c r="F2506" s="5">
        <v>42370</v>
      </c>
      <c r="G2506">
        <v>118</v>
      </c>
    </row>
    <row r="2507" spans="1:7" x14ac:dyDescent="0.25">
      <c r="A2507" t="s">
        <v>113</v>
      </c>
      <c r="B2507" t="s">
        <v>115</v>
      </c>
      <c r="C2507">
        <v>1300</v>
      </c>
      <c r="D2507" t="s">
        <v>20</v>
      </c>
      <c r="E2507" t="s">
        <v>26</v>
      </c>
      <c r="F2507" s="5">
        <v>42736</v>
      </c>
      <c r="G2507">
        <v>204</v>
      </c>
    </row>
    <row r="2508" spans="1:7" x14ac:dyDescent="0.25">
      <c r="A2508" t="s">
        <v>113</v>
      </c>
      <c r="B2508" t="s">
        <v>115</v>
      </c>
      <c r="C2508">
        <v>1300</v>
      </c>
      <c r="D2508" t="s">
        <v>20</v>
      </c>
      <c r="E2508" t="s">
        <v>27</v>
      </c>
      <c r="F2508" s="5">
        <v>42370</v>
      </c>
      <c r="G2508">
        <v>0</v>
      </c>
    </row>
    <row r="2509" spans="1:7" x14ac:dyDescent="0.25">
      <c r="A2509" t="s">
        <v>113</v>
      </c>
      <c r="B2509" t="s">
        <v>115</v>
      </c>
      <c r="C2509">
        <v>1300</v>
      </c>
      <c r="D2509" t="s">
        <v>20</v>
      </c>
      <c r="E2509" t="s">
        <v>27</v>
      </c>
      <c r="F2509" s="5">
        <v>42736</v>
      </c>
      <c r="G2509">
        <v>2</v>
      </c>
    </row>
    <row r="2510" spans="1:7" x14ac:dyDescent="0.25">
      <c r="A2510" t="s">
        <v>113</v>
      </c>
      <c r="B2510" t="s">
        <v>115</v>
      </c>
      <c r="C2510">
        <v>1300</v>
      </c>
      <c r="D2510" t="s">
        <v>20</v>
      </c>
      <c r="E2510" t="s">
        <v>28</v>
      </c>
      <c r="F2510" s="5">
        <v>42370</v>
      </c>
      <c r="G2510">
        <v>0</v>
      </c>
    </row>
    <row r="2511" spans="1:7" x14ac:dyDescent="0.25">
      <c r="A2511" t="s">
        <v>113</v>
      </c>
      <c r="B2511" t="s">
        <v>115</v>
      </c>
      <c r="C2511">
        <v>1300</v>
      </c>
      <c r="D2511" t="s">
        <v>20</v>
      </c>
      <c r="E2511" t="s">
        <v>28</v>
      </c>
      <c r="F2511" s="5">
        <v>42736</v>
      </c>
      <c r="G2511">
        <v>0</v>
      </c>
    </row>
    <row r="2512" spans="1:7" x14ac:dyDescent="0.25">
      <c r="A2512" t="s">
        <v>113</v>
      </c>
      <c r="B2512" t="s">
        <v>115</v>
      </c>
      <c r="C2512">
        <v>1300</v>
      </c>
      <c r="D2512" t="s">
        <v>20</v>
      </c>
      <c r="E2512" t="s">
        <v>29</v>
      </c>
      <c r="F2512" s="5">
        <v>42370</v>
      </c>
      <c r="G2512">
        <v>117</v>
      </c>
    </row>
    <row r="2513" spans="1:7" x14ac:dyDescent="0.25">
      <c r="A2513" t="s">
        <v>113</v>
      </c>
      <c r="B2513" t="s">
        <v>115</v>
      </c>
      <c r="C2513">
        <v>1300</v>
      </c>
      <c r="D2513" t="s">
        <v>20</v>
      </c>
      <c r="E2513" t="s">
        <v>29</v>
      </c>
      <c r="F2513" s="5">
        <v>42736</v>
      </c>
      <c r="G2513">
        <v>210</v>
      </c>
    </row>
    <row r="2514" spans="1:7" x14ac:dyDescent="0.25">
      <c r="A2514" t="s">
        <v>113</v>
      </c>
      <c r="B2514" t="s">
        <v>115</v>
      </c>
      <c r="C2514">
        <v>1300</v>
      </c>
      <c r="D2514" t="s">
        <v>20</v>
      </c>
      <c r="E2514" t="s">
        <v>30</v>
      </c>
      <c r="F2514" s="5">
        <v>42370</v>
      </c>
      <c r="G2514">
        <v>123</v>
      </c>
    </row>
    <row r="2515" spans="1:7" x14ac:dyDescent="0.25">
      <c r="A2515" t="s">
        <v>113</v>
      </c>
      <c r="B2515" t="s">
        <v>115</v>
      </c>
      <c r="C2515">
        <v>1300</v>
      </c>
      <c r="D2515" t="s">
        <v>20</v>
      </c>
      <c r="E2515" t="s">
        <v>30</v>
      </c>
      <c r="F2515" s="5">
        <v>42736</v>
      </c>
      <c r="G2515">
        <v>210</v>
      </c>
    </row>
    <row r="2516" spans="1:7" x14ac:dyDescent="0.25">
      <c r="A2516" t="s">
        <v>113</v>
      </c>
      <c r="B2516" t="s">
        <v>115</v>
      </c>
      <c r="C2516">
        <v>1300</v>
      </c>
      <c r="D2516" t="s">
        <v>20</v>
      </c>
      <c r="E2516" t="s">
        <v>31</v>
      </c>
      <c r="F2516" s="5">
        <v>42370</v>
      </c>
      <c r="G2516">
        <v>304</v>
      </c>
    </row>
    <row r="2517" spans="1:7" x14ac:dyDescent="0.25">
      <c r="A2517" t="s">
        <v>113</v>
      </c>
      <c r="B2517" t="s">
        <v>115</v>
      </c>
      <c r="C2517">
        <v>1300</v>
      </c>
      <c r="D2517" t="s">
        <v>20</v>
      </c>
      <c r="E2517" t="s">
        <v>31</v>
      </c>
      <c r="F2517" s="5">
        <v>42736</v>
      </c>
      <c r="G2517">
        <v>432</v>
      </c>
    </row>
    <row r="2518" spans="1:7" x14ac:dyDescent="0.25">
      <c r="A2518" t="s">
        <v>113</v>
      </c>
      <c r="B2518" t="s">
        <v>115</v>
      </c>
      <c r="C2518">
        <v>1300</v>
      </c>
      <c r="D2518" t="s">
        <v>20</v>
      </c>
      <c r="E2518" t="s">
        <v>32</v>
      </c>
      <c r="F2518" s="5">
        <v>42370</v>
      </c>
      <c r="G2518">
        <v>129</v>
      </c>
    </row>
    <row r="2519" spans="1:7" x14ac:dyDescent="0.25">
      <c r="A2519" t="s">
        <v>113</v>
      </c>
      <c r="B2519" t="s">
        <v>115</v>
      </c>
      <c r="C2519">
        <v>1300</v>
      </c>
      <c r="D2519" t="s">
        <v>20</v>
      </c>
      <c r="E2519" t="s">
        <v>32</v>
      </c>
      <c r="F2519" s="5">
        <v>42736</v>
      </c>
      <c r="G2519">
        <v>208</v>
      </c>
    </row>
    <row r="2520" spans="1:7" x14ac:dyDescent="0.25">
      <c r="A2520" t="s">
        <v>113</v>
      </c>
      <c r="B2520" t="s">
        <v>115</v>
      </c>
      <c r="C2520">
        <v>1300</v>
      </c>
      <c r="D2520" t="s">
        <v>33</v>
      </c>
      <c r="E2520" t="s">
        <v>9</v>
      </c>
      <c r="F2520" s="5">
        <v>42370</v>
      </c>
      <c r="G2520">
        <v>0</v>
      </c>
    </row>
    <row r="2521" spans="1:7" x14ac:dyDescent="0.25">
      <c r="A2521" t="s">
        <v>113</v>
      </c>
      <c r="B2521" t="s">
        <v>115</v>
      </c>
      <c r="C2521">
        <v>1300</v>
      </c>
      <c r="D2521" t="s">
        <v>33</v>
      </c>
      <c r="E2521" t="s">
        <v>9</v>
      </c>
      <c r="F2521" s="5">
        <v>42736</v>
      </c>
      <c r="G2521">
        <v>0</v>
      </c>
    </row>
    <row r="2522" spans="1:7" x14ac:dyDescent="0.25">
      <c r="A2522" t="s">
        <v>113</v>
      </c>
      <c r="B2522" t="s">
        <v>115</v>
      </c>
      <c r="C2522">
        <v>1300</v>
      </c>
      <c r="D2522" t="s">
        <v>33</v>
      </c>
      <c r="E2522" t="s">
        <v>34</v>
      </c>
      <c r="F2522" s="5">
        <v>42370</v>
      </c>
      <c r="G2522">
        <v>0</v>
      </c>
    </row>
    <row r="2523" spans="1:7" x14ac:dyDescent="0.25">
      <c r="A2523" t="s">
        <v>113</v>
      </c>
      <c r="B2523" t="s">
        <v>115</v>
      </c>
      <c r="C2523">
        <v>1300</v>
      </c>
      <c r="D2523" t="s">
        <v>33</v>
      </c>
      <c r="E2523" t="s">
        <v>34</v>
      </c>
      <c r="F2523" s="5">
        <v>42736</v>
      </c>
      <c r="G2523">
        <v>0</v>
      </c>
    </row>
    <row r="2524" spans="1:7" x14ac:dyDescent="0.25">
      <c r="A2524" t="s">
        <v>113</v>
      </c>
      <c r="B2524" t="s">
        <v>115</v>
      </c>
      <c r="C2524">
        <v>1300</v>
      </c>
      <c r="D2524" t="s">
        <v>35</v>
      </c>
      <c r="E2524" t="s">
        <v>36</v>
      </c>
      <c r="F2524" s="5">
        <v>42370</v>
      </c>
      <c r="G2524">
        <v>0</v>
      </c>
    </row>
    <row r="2525" spans="1:7" x14ac:dyDescent="0.25">
      <c r="A2525" t="s">
        <v>113</v>
      </c>
      <c r="B2525" t="s">
        <v>115</v>
      </c>
      <c r="C2525">
        <v>1300</v>
      </c>
      <c r="D2525" t="s">
        <v>35</v>
      </c>
      <c r="E2525" t="s">
        <v>36</v>
      </c>
      <c r="F2525" s="5">
        <v>42736</v>
      </c>
      <c r="G2525">
        <v>0</v>
      </c>
    </row>
    <row r="2526" spans="1:7" x14ac:dyDescent="0.25">
      <c r="A2526" t="s">
        <v>113</v>
      </c>
      <c r="B2526" t="s">
        <v>115</v>
      </c>
      <c r="C2526">
        <v>1300</v>
      </c>
      <c r="D2526" t="s">
        <v>35</v>
      </c>
      <c r="E2526" t="s">
        <v>37</v>
      </c>
      <c r="F2526" s="5">
        <v>42370</v>
      </c>
      <c r="G2526">
        <v>0</v>
      </c>
    </row>
    <row r="2527" spans="1:7" x14ac:dyDescent="0.25">
      <c r="A2527" t="s">
        <v>113</v>
      </c>
      <c r="B2527" t="s">
        <v>115</v>
      </c>
      <c r="C2527">
        <v>1300</v>
      </c>
      <c r="D2527" t="s">
        <v>35</v>
      </c>
      <c r="E2527" t="s">
        <v>37</v>
      </c>
      <c r="F2527" s="5">
        <v>42736</v>
      </c>
      <c r="G2527">
        <v>0</v>
      </c>
    </row>
    <row r="2528" spans="1:7" x14ac:dyDescent="0.25">
      <c r="A2528" t="s">
        <v>113</v>
      </c>
      <c r="B2528" t="s">
        <v>115</v>
      </c>
      <c r="C2528">
        <v>1300</v>
      </c>
      <c r="D2528" t="s">
        <v>35</v>
      </c>
      <c r="E2528" t="s">
        <v>38</v>
      </c>
      <c r="F2528" s="5">
        <v>42370</v>
      </c>
      <c r="G2528">
        <v>0</v>
      </c>
    </row>
    <row r="2529" spans="1:7" x14ac:dyDescent="0.25">
      <c r="A2529" t="s">
        <v>113</v>
      </c>
      <c r="B2529" t="s">
        <v>115</v>
      </c>
      <c r="C2529">
        <v>1300</v>
      </c>
      <c r="D2529" t="s">
        <v>35</v>
      </c>
      <c r="E2529" t="s">
        <v>38</v>
      </c>
      <c r="F2529" s="5">
        <v>42736</v>
      </c>
      <c r="G2529">
        <v>0</v>
      </c>
    </row>
    <row r="2530" spans="1:7" x14ac:dyDescent="0.25">
      <c r="A2530" t="s">
        <v>113</v>
      </c>
      <c r="B2530" t="s">
        <v>115</v>
      </c>
      <c r="C2530">
        <v>1300</v>
      </c>
      <c r="D2530" t="s">
        <v>35</v>
      </c>
      <c r="E2530" t="s">
        <v>39</v>
      </c>
      <c r="F2530" s="5">
        <v>42370</v>
      </c>
      <c r="G2530">
        <v>0</v>
      </c>
    </row>
    <row r="2531" spans="1:7" x14ac:dyDescent="0.25">
      <c r="A2531" t="s">
        <v>113</v>
      </c>
      <c r="B2531" t="s">
        <v>115</v>
      </c>
      <c r="C2531">
        <v>1300</v>
      </c>
      <c r="D2531" t="s">
        <v>35</v>
      </c>
      <c r="E2531" t="s">
        <v>39</v>
      </c>
      <c r="F2531" s="5">
        <v>42736</v>
      </c>
      <c r="G2531">
        <v>0</v>
      </c>
    </row>
    <row r="2532" spans="1:7" x14ac:dyDescent="0.25">
      <c r="A2532" t="s">
        <v>113</v>
      </c>
      <c r="B2532" t="s">
        <v>115</v>
      </c>
      <c r="C2532">
        <v>1300</v>
      </c>
      <c r="D2532" t="s">
        <v>35</v>
      </c>
      <c r="E2532" t="s">
        <v>40</v>
      </c>
      <c r="F2532" s="5">
        <v>42370</v>
      </c>
      <c r="G2532">
        <v>0</v>
      </c>
    </row>
    <row r="2533" spans="1:7" x14ac:dyDescent="0.25">
      <c r="A2533" t="s">
        <v>113</v>
      </c>
      <c r="B2533" t="s">
        <v>115</v>
      </c>
      <c r="C2533">
        <v>1300</v>
      </c>
      <c r="D2533" t="s">
        <v>35</v>
      </c>
      <c r="E2533" t="s">
        <v>40</v>
      </c>
      <c r="F2533" s="5">
        <v>42736</v>
      </c>
      <c r="G2533">
        <v>0</v>
      </c>
    </row>
    <row r="2534" spans="1:7" x14ac:dyDescent="0.25">
      <c r="A2534" t="s">
        <v>113</v>
      </c>
      <c r="B2534" t="s">
        <v>115</v>
      </c>
      <c r="C2534">
        <v>1300</v>
      </c>
      <c r="D2534" t="s">
        <v>35</v>
      </c>
      <c r="E2534" t="s">
        <v>41</v>
      </c>
      <c r="F2534" s="5">
        <v>42370</v>
      </c>
      <c r="G2534">
        <v>0</v>
      </c>
    </row>
    <row r="2535" spans="1:7" x14ac:dyDescent="0.25">
      <c r="A2535" t="s">
        <v>113</v>
      </c>
      <c r="B2535" t="s">
        <v>115</v>
      </c>
      <c r="C2535">
        <v>1300</v>
      </c>
      <c r="D2535" t="s">
        <v>35</v>
      </c>
      <c r="E2535" t="s">
        <v>41</v>
      </c>
      <c r="F2535" s="5">
        <v>42736</v>
      </c>
      <c r="G2535">
        <v>1</v>
      </c>
    </row>
    <row r="2536" spans="1:7" x14ac:dyDescent="0.25">
      <c r="A2536" t="s">
        <v>113</v>
      </c>
      <c r="B2536" t="s">
        <v>115</v>
      </c>
      <c r="C2536">
        <v>1300</v>
      </c>
      <c r="D2536" t="s">
        <v>35</v>
      </c>
      <c r="E2536" t="s">
        <v>42</v>
      </c>
      <c r="F2536" s="5">
        <v>42370</v>
      </c>
      <c r="G2536">
        <v>0</v>
      </c>
    </row>
    <row r="2537" spans="1:7" x14ac:dyDescent="0.25">
      <c r="A2537" t="s">
        <v>113</v>
      </c>
      <c r="B2537" t="s">
        <v>115</v>
      </c>
      <c r="C2537">
        <v>1300</v>
      </c>
      <c r="D2537" t="s">
        <v>35</v>
      </c>
      <c r="E2537" t="s">
        <v>42</v>
      </c>
      <c r="F2537" s="5">
        <v>42736</v>
      </c>
      <c r="G2537">
        <v>0</v>
      </c>
    </row>
    <row r="2538" spans="1:7" x14ac:dyDescent="0.25">
      <c r="A2538" t="s">
        <v>113</v>
      </c>
      <c r="B2538" t="s">
        <v>115</v>
      </c>
      <c r="C2538">
        <v>1300</v>
      </c>
      <c r="D2538" t="s">
        <v>35</v>
      </c>
      <c r="E2538" t="s">
        <v>43</v>
      </c>
      <c r="F2538" s="5">
        <v>42370</v>
      </c>
      <c r="G2538">
        <v>0</v>
      </c>
    </row>
    <row r="2539" spans="1:7" x14ac:dyDescent="0.25">
      <c r="A2539" t="s">
        <v>113</v>
      </c>
      <c r="B2539" t="s">
        <v>115</v>
      </c>
      <c r="C2539">
        <v>1300</v>
      </c>
      <c r="D2539" t="s">
        <v>35</v>
      </c>
      <c r="E2539" t="s">
        <v>43</v>
      </c>
      <c r="F2539" s="5">
        <v>42736</v>
      </c>
      <c r="G2539">
        <v>1</v>
      </c>
    </row>
    <row r="2540" spans="1:7" x14ac:dyDescent="0.25">
      <c r="A2540" t="s">
        <v>113</v>
      </c>
      <c r="B2540" t="s">
        <v>115</v>
      </c>
      <c r="C2540">
        <v>1300</v>
      </c>
      <c r="D2540" t="s">
        <v>44</v>
      </c>
      <c r="E2540" t="s">
        <v>36</v>
      </c>
      <c r="F2540" s="5">
        <v>42370</v>
      </c>
      <c r="G2540">
        <v>0</v>
      </c>
    </row>
    <row r="2541" spans="1:7" x14ac:dyDescent="0.25">
      <c r="A2541" t="s">
        <v>113</v>
      </c>
      <c r="B2541" t="s">
        <v>115</v>
      </c>
      <c r="C2541">
        <v>1300</v>
      </c>
      <c r="D2541" t="s">
        <v>44</v>
      </c>
      <c r="E2541" t="s">
        <v>36</v>
      </c>
      <c r="F2541" s="5">
        <v>42736</v>
      </c>
      <c r="G2541">
        <v>0</v>
      </c>
    </row>
    <row r="2542" spans="1:7" x14ac:dyDescent="0.25">
      <c r="A2542" t="s">
        <v>113</v>
      </c>
      <c r="B2542" t="s">
        <v>115</v>
      </c>
      <c r="C2542">
        <v>1300</v>
      </c>
      <c r="D2542" t="s">
        <v>44</v>
      </c>
      <c r="E2542" t="s">
        <v>37</v>
      </c>
      <c r="F2542" s="5">
        <v>42370</v>
      </c>
      <c r="G2542">
        <v>0</v>
      </c>
    </row>
    <row r="2543" spans="1:7" x14ac:dyDescent="0.25">
      <c r="A2543" t="s">
        <v>113</v>
      </c>
      <c r="B2543" t="s">
        <v>115</v>
      </c>
      <c r="C2543">
        <v>1300</v>
      </c>
      <c r="D2543" t="s">
        <v>44</v>
      </c>
      <c r="E2543" t="s">
        <v>37</v>
      </c>
      <c r="F2543" s="5">
        <v>42736</v>
      </c>
      <c r="G2543">
        <v>0</v>
      </c>
    </row>
    <row r="2544" spans="1:7" x14ac:dyDescent="0.25">
      <c r="A2544" t="s">
        <v>113</v>
      </c>
      <c r="B2544" t="s">
        <v>115</v>
      </c>
      <c r="C2544">
        <v>1300</v>
      </c>
      <c r="D2544" t="s">
        <v>44</v>
      </c>
      <c r="E2544" t="s">
        <v>38</v>
      </c>
      <c r="F2544" s="5">
        <v>42370</v>
      </c>
      <c r="G2544">
        <v>0</v>
      </c>
    </row>
    <row r="2545" spans="1:7" x14ac:dyDescent="0.25">
      <c r="A2545" t="s">
        <v>113</v>
      </c>
      <c r="B2545" t="s">
        <v>115</v>
      </c>
      <c r="C2545">
        <v>1300</v>
      </c>
      <c r="D2545" t="s">
        <v>44</v>
      </c>
      <c r="E2545" t="s">
        <v>38</v>
      </c>
      <c r="F2545" s="5">
        <v>42736</v>
      </c>
      <c r="G2545">
        <v>0</v>
      </c>
    </row>
    <row r="2546" spans="1:7" x14ac:dyDescent="0.25">
      <c r="A2546" t="s">
        <v>113</v>
      </c>
      <c r="B2546" t="s">
        <v>115</v>
      </c>
      <c r="C2546">
        <v>1300</v>
      </c>
      <c r="D2546" t="s">
        <v>44</v>
      </c>
      <c r="E2546" t="s">
        <v>39</v>
      </c>
      <c r="F2546" s="5">
        <v>42370</v>
      </c>
      <c r="G2546">
        <v>0</v>
      </c>
    </row>
    <row r="2547" spans="1:7" x14ac:dyDescent="0.25">
      <c r="A2547" t="s">
        <v>113</v>
      </c>
      <c r="B2547" t="s">
        <v>115</v>
      </c>
      <c r="C2547">
        <v>1300</v>
      </c>
      <c r="D2547" t="s">
        <v>44</v>
      </c>
      <c r="E2547" t="s">
        <v>39</v>
      </c>
      <c r="F2547" s="5">
        <v>42736</v>
      </c>
      <c r="G2547">
        <v>0</v>
      </c>
    </row>
    <row r="2548" spans="1:7" x14ac:dyDescent="0.25">
      <c r="A2548" t="s">
        <v>113</v>
      </c>
      <c r="B2548" t="s">
        <v>115</v>
      </c>
      <c r="C2548">
        <v>1300</v>
      </c>
      <c r="D2548" t="s">
        <v>44</v>
      </c>
      <c r="E2548" t="s">
        <v>40</v>
      </c>
      <c r="F2548" s="5">
        <v>42370</v>
      </c>
      <c r="G2548">
        <v>0</v>
      </c>
    </row>
    <row r="2549" spans="1:7" x14ac:dyDescent="0.25">
      <c r="A2549" t="s">
        <v>113</v>
      </c>
      <c r="B2549" t="s">
        <v>115</v>
      </c>
      <c r="C2549">
        <v>1300</v>
      </c>
      <c r="D2549" t="s">
        <v>44</v>
      </c>
      <c r="E2549" t="s">
        <v>40</v>
      </c>
      <c r="F2549" s="5">
        <v>42736</v>
      </c>
      <c r="G2549">
        <v>0</v>
      </c>
    </row>
    <row r="2550" spans="1:7" x14ac:dyDescent="0.25">
      <c r="A2550" t="s">
        <v>113</v>
      </c>
      <c r="B2550" t="s">
        <v>115</v>
      </c>
      <c r="C2550">
        <v>1300</v>
      </c>
      <c r="D2550" t="s">
        <v>44</v>
      </c>
      <c r="E2550" t="s">
        <v>41</v>
      </c>
      <c r="F2550" s="5">
        <v>42370</v>
      </c>
      <c r="G2550">
        <v>0</v>
      </c>
    </row>
    <row r="2551" spans="1:7" x14ac:dyDescent="0.25">
      <c r="A2551" t="s">
        <v>113</v>
      </c>
      <c r="B2551" t="s">
        <v>115</v>
      </c>
      <c r="C2551">
        <v>1300</v>
      </c>
      <c r="D2551" t="s">
        <v>44</v>
      </c>
      <c r="E2551" t="s">
        <v>41</v>
      </c>
      <c r="F2551" s="5">
        <v>42736</v>
      </c>
      <c r="G2551">
        <v>0</v>
      </c>
    </row>
    <row r="2552" spans="1:7" x14ac:dyDescent="0.25">
      <c r="A2552" t="s">
        <v>113</v>
      </c>
      <c r="B2552" t="s">
        <v>115</v>
      </c>
      <c r="C2552">
        <v>1300</v>
      </c>
      <c r="D2552" t="s">
        <v>44</v>
      </c>
      <c r="E2552" t="s">
        <v>42</v>
      </c>
      <c r="F2552" s="5">
        <v>42370</v>
      </c>
      <c r="G2552">
        <v>0</v>
      </c>
    </row>
    <row r="2553" spans="1:7" x14ac:dyDescent="0.25">
      <c r="A2553" t="s">
        <v>113</v>
      </c>
      <c r="B2553" t="s">
        <v>115</v>
      </c>
      <c r="C2553">
        <v>1300</v>
      </c>
      <c r="D2553" t="s">
        <v>44</v>
      </c>
      <c r="E2553" t="s">
        <v>42</v>
      </c>
      <c r="F2553" s="5">
        <v>42736</v>
      </c>
      <c r="G2553">
        <v>0</v>
      </c>
    </row>
    <row r="2554" spans="1:7" x14ac:dyDescent="0.25">
      <c r="A2554" t="s">
        <v>113</v>
      </c>
      <c r="B2554" t="s">
        <v>115</v>
      </c>
      <c r="C2554">
        <v>1300</v>
      </c>
      <c r="D2554" t="s">
        <v>44</v>
      </c>
      <c r="E2554" t="s">
        <v>43</v>
      </c>
      <c r="F2554" s="5">
        <v>42370</v>
      </c>
      <c r="G2554">
        <v>0</v>
      </c>
    </row>
    <row r="2555" spans="1:7" x14ac:dyDescent="0.25">
      <c r="A2555" t="s">
        <v>113</v>
      </c>
      <c r="B2555" t="s">
        <v>115</v>
      </c>
      <c r="C2555">
        <v>1300</v>
      </c>
      <c r="D2555" t="s">
        <v>44</v>
      </c>
      <c r="E2555" t="s">
        <v>43</v>
      </c>
      <c r="F2555" s="5">
        <v>42736</v>
      </c>
      <c r="G2555">
        <v>0</v>
      </c>
    </row>
    <row r="2556" spans="1:7" x14ac:dyDescent="0.25">
      <c r="A2556" t="s">
        <v>113</v>
      </c>
      <c r="B2556" t="s">
        <v>115</v>
      </c>
      <c r="C2556">
        <v>1300</v>
      </c>
      <c r="D2556" t="s">
        <v>45</v>
      </c>
      <c r="E2556" t="s">
        <v>46</v>
      </c>
      <c r="F2556" s="5">
        <v>42370</v>
      </c>
      <c r="G2556">
        <v>0</v>
      </c>
    </row>
    <row r="2557" spans="1:7" x14ac:dyDescent="0.25">
      <c r="A2557" t="s">
        <v>113</v>
      </c>
      <c r="B2557" t="s">
        <v>115</v>
      </c>
      <c r="C2557">
        <v>1300</v>
      </c>
      <c r="D2557" t="s">
        <v>45</v>
      </c>
      <c r="E2557" t="s">
        <v>46</v>
      </c>
      <c r="F2557" s="5">
        <v>42736</v>
      </c>
      <c r="G2557">
        <v>0</v>
      </c>
    </row>
    <row r="2558" spans="1:7" x14ac:dyDescent="0.25">
      <c r="A2558" t="s">
        <v>113</v>
      </c>
      <c r="B2558" t="s">
        <v>115</v>
      </c>
      <c r="C2558">
        <v>1300</v>
      </c>
      <c r="D2558" t="s">
        <v>45</v>
      </c>
      <c r="E2558" t="s">
        <v>47</v>
      </c>
      <c r="F2558" s="5">
        <v>42370</v>
      </c>
      <c r="G2558">
        <v>0</v>
      </c>
    </row>
    <row r="2559" spans="1:7" x14ac:dyDescent="0.25">
      <c r="A2559" t="s">
        <v>113</v>
      </c>
      <c r="B2559" t="s">
        <v>115</v>
      </c>
      <c r="C2559">
        <v>1300</v>
      </c>
      <c r="D2559" t="s">
        <v>45</v>
      </c>
      <c r="E2559" t="s">
        <v>47</v>
      </c>
      <c r="F2559" s="5">
        <v>42736</v>
      </c>
      <c r="G2559">
        <v>1</v>
      </c>
    </row>
    <row r="2560" spans="1:7" x14ac:dyDescent="0.25">
      <c r="A2560" t="s">
        <v>113</v>
      </c>
      <c r="B2560" t="s">
        <v>115</v>
      </c>
      <c r="C2560">
        <v>1300</v>
      </c>
      <c r="D2560" t="s">
        <v>45</v>
      </c>
      <c r="E2560" t="s">
        <v>48</v>
      </c>
      <c r="F2560" s="5">
        <v>42370</v>
      </c>
      <c r="G2560">
        <v>56</v>
      </c>
    </row>
    <row r="2561" spans="1:7" x14ac:dyDescent="0.25">
      <c r="A2561" t="s">
        <v>113</v>
      </c>
      <c r="B2561" t="s">
        <v>115</v>
      </c>
      <c r="C2561">
        <v>1300</v>
      </c>
      <c r="D2561" t="s">
        <v>45</v>
      </c>
      <c r="E2561" t="s">
        <v>48</v>
      </c>
      <c r="F2561" s="5">
        <v>42736</v>
      </c>
      <c r="G2561">
        <v>74</v>
      </c>
    </row>
    <row r="2562" spans="1:7" x14ac:dyDescent="0.25">
      <c r="A2562" t="s">
        <v>113</v>
      </c>
      <c r="B2562" t="s">
        <v>115</v>
      </c>
      <c r="C2562">
        <v>1300</v>
      </c>
      <c r="D2562" t="s">
        <v>45</v>
      </c>
      <c r="E2562" t="s">
        <v>49</v>
      </c>
      <c r="F2562" s="5">
        <v>42370</v>
      </c>
      <c r="G2562">
        <v>30</v>
      </c>
    </row>
    <row r="2563" spans="1:7" x14ac:dyDescent="0.25">
      <c r="A2563" t="s">
        <v>113</v>
      </c>
      <c r="B2563" t="s">
        <v>115</v>
      </c>
      <c r="C2563">
        <v>1300</v>
      </c>
      <c r="D2563" t="s">
        <v>45</v>
      </c>
      <c r="E2563" t="s">
        <v>49</v>
      </c>
      <c r="F2563" s="5">
        <v>42736</v>
      </c>
      <c r="G2563">
        <v>40</v>
      </c>
    </row>
    <row r="2564" spans="1:7" x14ac:dyDescent="0.25">
      <c r="A2564" t="s">
        <v>113</v>
      </c>
      <c r="B2564" t="s">
        <v>115</v>
      </c>
      <c r="C2564">
        <v>1300</v>
      </c>
      <c r="D2564" t="s">
        <v>45</v>
      </c>
      <c r="E2564" t="s">
        <v>50</v>
      </c>
      <c r="F2564" s="5">
        <v>42370</v>
      </c>
      <c r="G2564">
        <v>1</v>
      </c>
    </row>
    <row r="2565" spans="1:7" x14ac:dyDescent="0.25">
      <c r="A2565" t="s">
        <v>113</v>
      </c>
      <c r="B2565" t="s">
        <v>115</v>
      </c>
      <c r="C2565">
        <v>1300</v>
      </c>
      <c r="D2565" t="s">
        <v>45</v>
      </c>
      <c r="E2565" t="s">
        <v>50</v>
      </c>
      <c r="F2565" s="5">
        <v>42736</v>
      </c>
      <c r="G2565">
        <v>0</v>
      </c>
    </row>
    <row r="2566" spans="1:7" x14ac:dyDescent="0.25">
      <c r="A2566" t="s">
        <v>113</v>
      </c>
      <c r="B2566" t="s">
        <v>115</v>
      </c>
      <c r="C2566">
        <v>1300</v>
      </c>
      <c r="D2566" t="s">
        <v>45</v>
      </c>
      <c r="E2566" t="s">
        <v>51</v>
      </c>
      <c r="F2566" s="5">
        <v>42370</v>
      </c>
      <c r="G2566">
        <v>0</v>
      </c>
    </row>
    <row r="2567" spans="1:7" x14ac:dyDescent="0.25">
      <c r="A2567" t="s">
        <v>113</v>
      </c>
      <c r="B2567" t="s">
        <v>115</v>
      </c>
      <c r="C2567">
        <v>1300</v>
      </c>
      <c r="D2567" t="s">
        <v>45</v>
      </c>
      <c r="E2567" t="s">
        <v>51</v>
      </c>
      <c r="F2567" s="5">
        <v>42736</v>
      </c>
      <c r="G2567">
        <v>0</v>
      </c>
    </row>
    <row r="2568" spans="1:7" x14ac:dyDescent="0.25">
      <c r="A2568" t="s">
        <v>113</v>
      </c>
      <c r="B2568" t="s">
        <v>115</v>
      </c>
      <c r="C2568">
        <v>1300</v>
      </c>
      <c r="D2568" t="s">
        <v>45</v>
      </c>
      <c r="E2568" t="s">
        <v>52</v>
      </c>
      <c r="F2568" s="5">
        <v>42370</v>
      </c>
      <c r="G2568">
        <v>0</v>
      </c>
    </row>
    <row r="2569" spans="1:7" x14ac:dyDescent="0.25">
      <c r="A2569" t="s">
        <v>113</v>
      </c>
      <c r="B2569" t="s">
        <v>115</v>
      </c>
      <c r="C2569">
        <v>1300</v>
      </c>
      <c r="D2569" t="s">
        <v>45</v>
      </c>
      <c r="E2569" t="s">
        <v>52</v>
      </c>
      <c r="F2569" s="5">
        <v>42736</v>
      </c>
      <c r="G2569">
        <v>0</v>
      </c>
    </row>
    <row r="2570" spans="1:7" x14ac:dyDescent="0.25">
      <c r="A2570" t="s">
        <v>113</v>
      </c>
      <c r="B2570" t="s">
        <v>115</v>
      </c>
      <c r="C2570">
        <v>1300</v>
      </c>
      <c r="D2570" t="s">
        <v>45</v>
      </c>
      <c r="E2570" t="s">
        <v>53</v>
      </c>
      <c r="F2570" s="5">
        <v>42370</v>
      </c>
      <c r="G2570">
        <v>51</v>
      </c>
    </row>
    <row r="2571" spans="1:7" x14ac:dyDescent="0.25">
      <c r="A2571" t="s">
        <v>113</v>
      </c>
      <c r="B2571" t="s">
        <v>115</v>
      </c>
      <c r="C2571">
        <v>1300</v>
      </c>
      <c r="D2571" t="s">
        <v>45</v>
      </c>
      <c r="E2571" t="s">
        <v>53</v>
      </c>
      <c r="F2571" s="5">
        <v>42736</v>
      </c>
      <c r="G2571">
        <v>99</v>
      </c>
    </row>
    <row r="2572" spans="1:7" x14ac:dyDescent="0.25">
      <c r="A2572" t="s">
        <v>113</v>
      </c>
      <c r="B2572" t="s">
        <v>115</v>
      </c>
      <c r="C2572">
        <v>1300</v>
      </c>
      <c r="D2572" t="s">
        <v>45</v>
      </c>
      <c r="E2572" t="s">
        <v>54</v>
      </c>
      <c r="F2572" s="5">
        <v>42370</v>
      </c>
      <c r="G2572">
        <v>0</v>
      </c>
    </row>
    <row r="2573" spans="1:7" x14ac:dyDescent="0.25">
      <c r="A2573" t="s">
        <v>113</v>
      </c>
      <c r="B2573" t="s">
        <v>115</v>
      </c>
      <c r="C2573">
        <v>1300</v>
      </c>
      <c r="D2573" t="s">
        <v>45</v>
      </c>
      <c r="E2573" t="s">
        <v>54</v>
      </c>
      <c r="F2573" s="5">
        <v>42736</v>
      </c>
      <c r="G2573">
        <v>0</v>
      </c>
    </row>
    <row r="2574" spans="1:7" x14ac:dyDescent="0.25">
      <c r="A2574" t="s">
        <v>113</v>
      </c>
      <c r="B2574" t="s">
        <v>115</v>
      </c>
      <c r="C2574">
        <v>1300</v>
      </c>
      <c r="D2574" t="s">
        <v>45</v>
      </c>
      <c r="E2574" t="s">
        <v>55</v>
      </c>
      <c r="F2574" s="5">
        <v>42370</v>
      </c>
      <c r="G2574">
        <v>0</v>
      </c>
    </row>
    <row r="2575" spans="1:7" x14ac:dyDescent="0.25">
      <c r="A2575" t="s">
        <v>113</v>
      </c>
      <c r="B2575" t="s">
        <v>115</v>
      </c>
      <c r="C2575">
        <v>1300</v>
      </c>
      <c r="D2575" t="s">
        <v>45</v>
      </c>
      <c r="E2575" t="s">
        <v>55</v>
      </c>
      <c r="F2575" s="5">
        <v>42736</v>
      </c>
      <c r="G2575">
        <v>0</v>
      </c>
    </row>
    <row r="2576" spans="1:7" x14ac:dyDescent="0.25">
      <c r="A2576" t="s">
        <v>113</v>
      </c>
      <c r="B2576" t="s">
        <v>115</v>
      </c>
      <c r="C2576">
        <v>1300</v>
      </c>
      <c r="D2576" t="s">
        <v>45</v>
      </c>
      <c r="E2576" t="s">
        <v>56</v>
      </c>
      <c r="F2576" s="5">
        <v>42370</v>
      </c>
      <c r="G2576">
        <v>3</v>
      </c>
    </row>
    <row r="2577" spans="1:7" x14ac:dyDescent="0.25">
      <c r="A2577" t="s">
        <v>113</v>
      </c>
      <c r="B2577" t="s">
        <v>115</v>
      </c>
      <c r="C2577">
        <v>1300</v>
      </c>
      <c r="D2577" t="s">
        <v>45</v>
      </c>
      <c r="E2577" t="s">
        <v>56</v>
      </c>
      <c r="F2577" s="5">
        <v>42736</v>
      </c>
      <c r="G2577">
        <v>1</v>
      </c>
    </row>
    <row r="2578" spans="1:7" x14ac:dyDescent="0.25">
      <c r="A2578" t="s">
        <v>113</v>
      </c>
      <c r="B2578" t="s">
        <v>115</v>
      </c>
      <c r="C2578">
        <v>1300</v>
      </c>
      <c r="D2578" t="s">
        <v>45</v>
      </c>
      <c r="E2578" t="s">
        <v>57</v>
      </c>
      <c r="F2578" s="5">
        <v>42370</v>
      </c>
      <c r="G2578">
        <v>1</v>
      </c>
    </row>
    <row r="2579" spans="1:7" x14ac:dyDescent="0.25">
      <c r="A2579" t="s">
        <v>113</v>
      </c>
      <c r="B2579" t="s">
        <v>115</v>
      </c>
      <c r="C2579">
        <v>1300</v>
      </c>
      <c r="D2579" t="s">
        <v>45</v>
      </c>
      <c r="E2579" t="s">
        <v>57</v>
      </c>
      <c r="F2579" s="5">
        <v>42736</v>
      </c>
      <c r="G2579">
        <v>0</v>
      </c>
    </row>
    <row r="2580" spans="1:7" x14ac:dyDescent="0.25">
      <c r="A2580" t="s">
        <v>113</v>
      </c>
      <c r="B2580" t="s">
        <v>115</v>
      </c>
      <c r="C2580">
        <v>1300</v>
      </c>
      <c r="D2580" t="s">
        <v>45</v>
      </c>
      <c r="E2580" t="s">
        <v>58</v>
      </c>
      <c r="F2580" s="5">
        <v>42370</v>
      </c>
      <c r="G2580">
        <v>0</v>
      </c>
    </row>
    <row r="2581" spans="1:7" x14ac:dyDescent="0.25">
      <c r="A2581" t="s">
        <v>113</v>
      </c>
      <c r="B2581" t="s">
        <v>115</v>
      </c>
      <c r="C2581">
        <v>1300</v>
      </c>
      <c r="D2581" t="s">
        <v>45</v>
      </c>
      <c r="E2581" t="s">
        <v>58</v>
      </c>
      <c r="F2581" s="5">
        <v>42736</v>
      </c>
      <c r="G2581">
        <v>0</v>
      </c>
    </row>
    <row r="2582" spans="1:7" x14ac:dyDescent="0.25">
      <c r="A2582" t="s">
        <v>113</v>
      </c>
      <c r="B2582" t="s">
        <v>115</v>
      </c>
      <c r="C2582">
        <v>1300</v>
      </c>
      <c r="D2582" t="s">
        <v>45</v>
      </c>
      <c r="E2582" t="s">
        <v>59</v>
      </c>
      <c r="F2582" s="5">
        <v>42370</v>
      </c>
      <c r="G2582">
        <v>0</v>
      </c>
    </row>
    <row r="2583" spans="1:7" x14ac:dyDescent="0.25">
      <c r="A2583" t="s">
        <v>113</v>
      </c>
      <c r="B2583" t="s">
        <v>115</v>
      </c>
      <c r="C2583">
        <v>1300</v>
      </c>
      <c r="D2583" t="s">
        <v>45</v>
      </c>
      <c r="E2583" t="s">
        <v>59</v>
      </c>
      <c r="F2583" s="5">
        <v>42736</v>
      </c>
      <c r="G2583">
        <v>0</v>
      </c>
    </row>
    <row r="2584" spans="1:7" x14ac:dyDescent="0.25">
      <c r="A2584" t="s">
        <v>113</v>
      </c>
      <c r="B2584" t="s">
        <v>115</v>
      </c>
      <c r="C2584">
        <v>1300</v>
      </c>
      <c r="D2584" t="s">
        <v>45</v>
      </c>
      <c r="E2584" t="s">
        <v>60</v>
      </c>
      <c r="F2584" s="5">
        <v>42370</v>
      </c>
      <c r="G2584">
        <v>5</v>
      </c>
    </row>
    <row r="2585" spans="1:7" x14ac:dyDescent="0.25">
      <c r="A2585" t="s">
        <v>113</v>
      </c>
      <c r="B2585" t="s">
        <v>115</v>
      </c>
      <c r="C2585">
        <v>1300</v>
      </c>
      <c r="D2585" t="s">
        <v>45</v>
      </c>
      <c r="E2585" t="s">
        <v>60</v>
      </c>
      <c r="F2585" s="5">
        <v>42736</v>
      </c>
      <c r="G2585">
        <v>8</v>
      </c>
    </row>
    <row r="2586" spans="1:7" x14ac:dyDescent="0.25">
      <c r="A2586" t="s">
        <v>113</v>
      </c>
      <c r="B2586" t="s">
        <v>115</v>
      </c>
      <c r="C2586">
        <v>1300</v>
      </c>
      <c r="D2586" t="s">
        <v>45</v>
      </c>
      <c r="E2586" t="s">
        <v>61</v>
      </c>
      <c r="F2586" s="5">
        <v>42370</v>
      </c>
      <c r="G2586">
        <v>0</v>
      </c>
    </row>
    <row r="2587" spans="1:7" x14ac:dyDescent="0.25">
      <c r="A2587" t="s">
        <v>113</v>
      </c>
      <c r="B2587" t="s">
        <v>115</v>
      </c>
      <c r="C2587">
        <v>1300</v>
      </c>
      <c r="D2587" t="s">
        <v>45</v>
      </c>
      <c r="E2587" t="s">
        <v>61</v>
      </c>
      <c r="F2587" s="5">
        <v>42736</v>
      </c>
      <c r="G2587">
        <v>0</v>
      </c>
    </row>
    <row r="2588" spans="1:7" x14ac:dyDescent="0.25">
      <c r="A2588" t="s">
        <v>113</v>
      </c>
      <c r="B2588" t="s">
        <v>115</v>
      </c>
      <c r="C2588">
        <v>1300</v>
      </c>
      <c r="D2588" t="s">
        <v>62</v>
      </c>
      <c r="E2588" t="s">
        <v>63</v>
      </c>
      <c r="F2588" s="5">
        <v>42370</v>
      </c>
      <c r="G2588">
        <v>0</v>
      </c>
    </row>
    <row r="2589" spans="1:7" x14ac:dyDescent="0.25">
      <c r="A2589" t="s">
        <v>113</v>
      </c>
      <c r="B2589" t="s">
        <v>115</v>
      </c>
      <c r="C2589">
        <v>1300</v>
      </c>
      <c r="D2589" t="s">
        <v>62</v>
      </c>
      <c r="E2589" t="s">
        <v>63</v>
      </c>
      <c r="F2589" s="5">
        <v>42736</v>
      </c>
      <c r="G2589">
        <v>0</v>
      </c>
    </row>
    <row r="2590" spans="1:7" x14ac:dyDescent="0.25">
      <c r="A2590" t="s">
        <v>113</v>
      </c>
      <c r="B2590" t="s">
        <v>115</v>
      </c>
      <c r="C2590">
        <v>1300</v>
      </c>
      <c r="D2590" t="s">
        <v>62</v>
      </c>
      <c r="E2590" t="s">
        <v>64</v>
      </c>
      <c r="F2590" s="5">
        <v>42370</v>
      </c>
      <c r="G2590">
        <v>0</v>
      </c>
    </row>
    <row r="2591" spans="1:7" x14ac:dyDescent="0.25">
      <c r="A2591" t="s">
        <v>113</v>
      </c>
      <c r="B2591" t="s">
        <v>115</v>
      </c>
      <c r="C2591">
        <v>1300</v>
      </c>
      <c r="D2591" t="s">
        <v>62</v>
      </c>
      <c r="E2591" t="s">
        <v>64</v>
      </c>
      <c r="F2591" s="5">
        <v>42736</v>
      </c>
      <c r="G2591">
        <v>0</v>
      </c>
    </row>
    <row r="2592" spans="1:7" x14ac:dyDescent="0.25">
      <c r="A2592" t="s">
        <v>113</v>
      </c>
      <c r="B2592" t="s">
        <v>115</v>
      </c>
      <c r="C2592">
        <v>1300</v>
      </c>
      <c r="D2592" t="s">
        <v>62</v>
      </c>
      <c r="E2592" t="s">
        <v>9</v>
      </c>
      <c r="F2592" s="5">
        <v>42370</v>
      </c>
      <c r="G2592">
        <v>0</v>
      </c>
    </row>
    <row r="2593" spans="1:7" x14ac:dyDescent="0.25">
      <c r="A2593" t="s">
        <v>113</v>
      </c>
      <c r="B2593" t="s">
        <v>115</v>
      </c>
      <c r="C2593">
        <v>1300</v>
      </c>
      <c r="D2593" t="s">
        <v>62</v>
      </c>
      <c r="E2593" t="s">
        <v>9</v>
      </c>
      <c r="F2593" s="5">
        <v>42736</v>
      </c>
      <c r="G2593">
        <v>0</v>
      </c>
    </row>
    <row r="2594" spans="1:7" x14ac:dyDescent="0.25">
      <c r="A2594" t="s">
        <v>113</v>
      </c>
      <c r="B2594" t="s">
        <v>115</v>
      </c>
      <c r="C2594">
        <v>1300</v>
      </c>
      <c r="D2594" t="s">
        <v>62</v>
      </c>
      <c r="E2594" t="s">
        <v>65</v>
      </c>
      <c r="F2594" s="5">
        <v>42370</v>
      </c>
      <c r="G2594">
        <v>0</v>
      </c>
    </row>
    <row r="2595" spans="1:7" x14ac:dyDescent="0.25">
      <c r="A2595" t="s">
        <v>113</v>
      </c>
      <c r="B2595" t="s">
        <v>115</v>
      </c>
      <c r="C2595">
        <v>1300</v>
      </c>
      <c r="D2595" t="s">
        <v>62</v>
      </c>
      <c r="E2595" t="s">
        <v>65</v>
      </c>
      <c r="F2595" s="5">
        <v>42736</v>
      </c>
      <c r="G2595">
        <v>0</v>
      </c>
    </row>
    <row r="2596" spans="1:7" x14ac:dyDescent="0.25">
      <c r="A2596" t="s">
        <v>113</v>
      </c>
      <c r="B2596" t="s">
        <v>115</v>
      </c>
      <c r="C2596">
        <v>1300</v>
      </c>
      <c r="D2596" t="s">
        <v>62</v>
      </c>
      <c r="E2596" t="s">
        <v>66</v>
      </c>
      <c r="F2596" s="5">
        <v>42370</v>
      </c>
      <c r="G2596">
        <v>0</v>
      </c>
    </row>
    <row r="2597" spans="1:7" x14ac:dyDescent="0.25">
      <c r="A2597" t="s">
        <v>113</v>
      </c>
      <c r="B2597" t="s">
        <v>115</v>
      </c>
      <c r="C2597">
        <v>1300</v>
      </c>
      <c r="D2597" t="s">
        <v>62</v>
      </c>
      <c r="E2597" t="s">
        <v>66</v>
      </c>
      <c r="F2597" s="5">
        <v>42736</v>
      </c>
      <c r="G2597">
        <v>0</v>
      </c>
    </row>
    <row r="2598" spans="1:7" x14ac:dyDescent="0.25">
      <c r="A2598" t="s">
        <v>113</v>
      </c>
      <c r="B2598" t="s">
        <v>115</v>
      </c>
      <c r="C2598">
        <v>1300</v>
      </c>
      <c r="D2598" t="s">
        <v>62</v>
      </c>
      <c r="E2598" t="s">
        <v>67</v>
      </c>
      <c r="F2598" s="5">
        <v>42370</v>
      </c>
      <c r="G2598">
        <v>0</v>
      </c>
    </row>
    <row r="2599" spans="1:7" x14ac:dyDescent="0.25">
      <c r="A2599" t="s">
        <v>113</v>
      </c>
      <c r="B2599" t="s">
        <v>115</v>
      </c>
      <c r="C2599">
        <v>1300</v>
      </c>
      <c r="D2599" t="s">
        <v>62</v>
      </c>
      <c r="E2599" t="s">
        <v>67</v>
      </c>
      <c r="F2599" s="5">
        <v>42736</v>
      </c>
      <c r="G2599">
        <v>0</v>
      </c>
    </row>
    <row r="2600" spans="1:7" x14ac:dyDescent="0.25">
      <c r="A2600" t="s">
        <v>113</v>
      </c>
      <c r="B2600" t="s">
        <v>115</v>
      </c>
      <c r="C2600">
        <v>1300</v>
      </c>
      <c r="D2600" t="s">
        <v>62</v>
      </c>
      <c r="E2600" t="s">
        <v>68</v>
      </c>
      <c r="F2600" s="5">
        <v>42370</v>
      </c>
      <c r="G2600">
        <v>0</v>
      </c>
    </row>
    <row r="2601" spans="1:7" x14ac:dyDescent="0.25">
      <c r="A2601" t="s">
        <v>113</v>
      </c>
      <c r="B2601" t="s">
        <v>115</v>
      </c>
      <c r="C2601">
        <v>1300</v>
      </c>
      <c r="D2601" t="s">
        <v>62</v>
      </c>
      <c r="E2601" t="s">
        <v>68</v>
      </c>
      <c r="F2601" s="5">
        <v>42736</v>
      </c>
      <c r="G2601">
        <v>0</v>
      </c>
    </row>
    <row r="2602" spans="1:7" x14ac:dyDescent="0.25">
      <c r="A2602" t="s">
        <v>113</v>
      </c>
      <c r="B2602" t="s">
        <v>115</v>
      </c>
      <c r="C2602">
        <v>1300</v>
      </c>
      <c r="D2602" t="s">
        <v>62</v>
      </c>
      <c r="E2602" t="s">
        <v>69</v>
      </c>
      <c r="F2602" s="5">
        <v>42370</v>
      </c>
      <c r="G2602">
        <v>0</v>
      </c>
    </row>
    <row r="2603" spans="1:7" x14ac:dyDescent="0.25">
      <c r="A2603" t="s">
        <v>113</v>
      </c>
      <c r="B2603" t="s">
        <v>115</v>
      </c>
      <c r="C2603">
        <v>1300</v>
      </c>
      <c r="D2603" t="s">
        <v>62</v>
      </c>
      <c r="E2603" t="s">
        <v>69</v>
      </c>
      <c r="F2603" s="5">
        <v>42736</v>
      </c>
      <c r="G2603">
        <v>0</v>
      </c>
    </row>
    <row r="2604" spans="1:7" x14ac:dyDescent="0.25">
      <c r="A2604" t="s">
        <v>113</v>
      </c>
      <c r="B2604" t="s">
        <v>115</v>
      </c>
      <c r="C2604">
        <v>1300</v>
      </c>
      <c r="D2604" t="s">
        <v>62</v>
      </c>
      <c r="E2604" t="s">
        <v>70</v>
      </c>
      <c r="F2604" s="5">
        <v>42370</v>
      </c>
      <c r="G2604">
        <v>0</v>
      </c>
    </row>
    <row r="2605" spans="1:7" x14ac:dyDescent="0.25">
      <c r="A2605" t="s">
        <v>113</v>
      </c>
      <c r="B2605" t="s">
        <v>115</v>
      </c>
      <c r="C2605">
        <v>1300</v>
      </c>
      <c r="D2605" t="s">
        <v>62</v>
      </c>
      <c r="E2605" t="s">
        <v>70</v>
      </c>
      <c r="F2605" s="5">
        <v>42736</v>
      </c>
      <c r="G2605">
        <v>0</v>
      </c>
    </row>
    <row r="2606" spans="1:7" x14ac:dyDescent="0.25">
      <c r="A2606" t="s">
        <v>113</v>
      </c>
      <c r="B2606" t="s">
        <v>115</v>
      </c>
      <c r="C2606">
        <v>1300</v>
      </c>
      <c r="D2606" t="s">
        <v>62</v>
      </c>
      <c r="E2606" t="s">
        <v>71</v>
      </c>
      <c r="F2606" s="5">
        <v>42370</v>
      </c>
      <c r="G2606">
        <v>0</v>
      </c>
    </row>
    <row r="2607" spans="1:7" x14ac:dyDescent="0.25">
      <c r="A2607" t="s">
        <v>113</v>
      </c>
      <c r="B2607" t="s">
        <v>115</v>
      </c>
      <c r="C2607">
        <v>1300</v>
      </c>
      <c r="D2607" t="s">
        <v>62</v>
      </c>
      <c r="E2607" t="s">
        <v>71</v>
      </c>
      <c r="F2607" s="5">
        <v>42736</v>
      </c>
      <c r="G2607">
        <v>0</v>
      </c>
    </row>
    <row r="2608" spans="1:7" x14ac:dyDescent="0.25">
      <c r="A2608" t="s">
        <v>113</v>
      </c>
      <c r="B2608" t="s">
        <v>115</v>
      </c>
      <c r="C2608">
        <v>1300</v>
      </c>
      <c r="D2608" t="s">
        <v>72</v>
      </c>
      <c r="E2608" t="s">
        <v>73</v>
      </c>
      <c r="F2608" s="5">
        <v>42370</v>
      </c>
      <c r="G2608">
        <v>0</v>
      </c>
    </row>
    <row r="2609" spans="1:7" x14ac:dyDescent="0.25">
      <c r="A2609" t="s">
        <v>113</v>
      </c>
      <c r="B2609" t="s">
        <v>115</v>
      </c>
      <c r="C2609">
        <v>1300</v>
      </c>
      <c r="D2609" t="s">
        <v>72</v>
      </c>
      <c r="E2609" t="s">
        <v>73</v>
      </c>
      <c r="F2609" s="5">
        <v>42736</v>
      </c>
      <c r="G2609">
        <v>0</v>
      </c>
    </row>
    <row r="2610" spans="1:7" x14ac:dyDescent="0.25">
      <c r="A2610" t="s">
        <v>113</v>
      </c>
      <c r="B2610" t="s">
        <v>115</v>
      </c>
      <c r="C2610">
        <v>1300</v>
      </c>
      <c r="D2610" t="s">
        <v>72</v>
      </c>
      <c r="E2610" t="s">
        <v>9</v>
      </c>
      <c r="F2610" s="5">
        <v>42370</v>
      </c>
      <c r="G2610">
        <v>0</v>
      </c>
    </row>
    <row r="2611" spans="1:7" x14ac:dyDescent="0.25">
      <c r="A2611" t="s">
        <v>113</v>
      </c>
      <c r="B2611" t="s">
        <v>115</v>
      </c>
      <c r="C2611">
        <v>1300</v>
      </c>
      <c r="D2611" t="s">
        <v>72</v>
      </c>
      <c r="E2611" t="s">
        <v>9</v>
      </c>
      <c r="F2611" s="5">
        <v>42736</v>
      </c>
      <c r="G2611">
        <v>0</v>
      </c>
    </row>
    <row r="2612" spans="1:7" x14ac:dyDescent="0.25">
      <c r="A2612" t="s">
        <v>113</v>
      </c>
      <c r="B2612" t="s">
        <v>115</v>
      </c>
      <c r="C2612">
        <v>1300</v>
      </c>
      <c r="D2612" t="s">
        <v>72</v>
      </c>
      <c r="E2612" t="s">
        <v>34</v>
      </c>
      <c r="F2612" s="5">
        <v>42370</v>
      </c>
      <c r="G2612">
        <v>0</v>
      </c>
    </row>
    <row r="2613" spans="1:7" x14ac:dyDescent="0.25">
      <c r="A2613" t="s">
        <v>113</v>
      </c>
      <c r="B2613" t="s">
        <v>115</v>
      </c>
      <c r="C2613">
        <v>1300</v>
      </c>
      <c r="D2613" t="s">
        <v>72</v>
      </c>
      <c r="E2613" t="s">
        <v>34</v>
      </c>
      <c r="F2613" s="5">
        <v>42736</v>
      </c>
      <c r="G2613">
        <v>0</v>
      </c>
    </row>
    <row r="2614" spans="1:7" x14ac:dyDescent="0.25">
      <c r="A2614" t="s">
        <v>113</v>
      </c>
      <c r="B2614" t="s">
        <v>115</v>
      </c>
      <c r="C2614">
        <v>1300</v>
      </c>
      <c r="D2614" t="s">
        <v>72</v>
      </c>
      <c r="E2614" t="s">
        <v>74</v>
      </c>
      <c r="F2614" s="5">
        <v>42370</v>
      </c>
      <c r="G2614">
        <v>0</v>
      </c>
    </row>
    <row r="2615" spans="1:7" x14ac:dyDescent="0.25">
      <c r="A2615" t="s">
        <v>113</v>
      </c>
      <c r="B2615" t="s">
        <v>115</v>
      </c>
      <c r="C2615">
        <v>1300</v>
      </c>
      <c r="D2615" t="s">
        <v>72</v>
      </c>
      <c r="E2615" t="s">
        <v>74</v>
      </c>
      <c r="F2615" s="5">
        <v>42736</v>
      </c>
      <c r="G2615">
        <v>0</v>
      </c>
    </row>
    <row r="2616" spans="1:7" x14ac:dyDescent="0.25">
      <c r="A2616" t="s">
        <v>113</v>
      </c>
      <c r="B2616" t="s">
        <v>115</v>
      </c>
      <c r="C2616">
        <v>1300</v>
      </c>
      <c r="D2616" t="s">
        <v>72</v>
      </c>
      <c r="E2616" t="s">
        <v>75</v>
      </c>
      <c r="F2616" s="5">
        <v>42370</v>
      </c>
      <c r="G2616">
        <v>26</v>
      </c>
    </row>
    <row r="2617" spans="1:7" x14ac:dyDescent="0.25">
      <c r="A2617" t="s">
        <v>113</v>
      </c>
      <c r="B2617" t="s">
        <v>115</v>
      </c>
      <c r="C2617">
        <v>1300</v>
      </c>
      <c r="D2617" t="s">
        <v>72</v>
      </c>
      <c r="E2617" t="s">
        <v>75</v>
      </c>
      <c r="F2617" s="5">
        <v>42736</v>
      </c>
      <c r="G2617">
        <v>45</v>
      </c>
    </row>
    <row r="2618" spans="1:7" x14ac:dyDescent="0.25">
      <c r="A2618" t="s">
        <v>113</v>
      </c>
      <c r="B2618" t="s">
        <v>115</v>
      </c>
      <c r="C2618">
        <v>1300</v>
      </c>
      <c r="D2618" t="s">
        <v>76</v>
      </c>
      <c r="E2618" t="s">
        <v>9</v>
      </c>
      <c r="F2618" s="5">
        <v>42370</v>
      </c>
      <c r="G2618">
        <v>0</v>
      </c>
    </row>
    <row r="2619" spans="1:7" x14ac:dyDescent="0.25">
      <c r="A2619" t="s">
        <v>113</v>
      </c>
      <c r="B2619" t="s">
        <v>115</v>
      </c>
      <c r="C2619">
        <v>1300</v>
      </c>
      <c r="D2619" t="s">
        <v>76</v>
      </c>
      <c r="E2619" t="s">
        <v>9</v>
      </c>
      <c r="F2619" s="5">
        <v>42736</v>
      </c>
      <c r="G2619">
        <v>0</v>
      </c>
    </row>
    <row r="2620" spans="1:7" x14ac:dyDescent="0.25">
      <c r="A2620" t="s">
        <v>113</v>
      </c>
      <c r="B2620" t="s">
        <v>115</v>
      </c>
      <c r="C2620">
        <v>1300</v>
      </c>
      <c r="D2620" t="s">
        <v>76</v>
      </c>
      <c r="E2620" t="s">
        <v>77</v>
      </c>
      <c r="F2620" s="5">
        <v>42370</v>
      </c>
      <c r="G2620">
        <v>1</v>
      </c>
    </row>
    <row r="2621" spans="1:7" x14ac:dyDescent="0.25">
      <c r="A2621" t="s">
        <v>113</v>
      </c>
      <c r="B2621" t="s">
        <v>115</v>
      </c>
      <c r="C2621">
        <v>1300</v>
      </c>
      <c r="D2621" t="s">
        <v>76</v>
      </c>
      <c r="E2621" t="s">
        <v>77</v>
      </c>
      <c r="F2621" s="5">
        <v>42736</v>
      </c>
      <c r="G2621">
        <v>1</v>
      </c>
    </row>
    <row r="2622" spans="1:7" x14ac:dyDescent="0.25">
      <c r="A2622" t="s">
        <v>113</v>
      </c>
      <c r="B2622" t="s">
        <v>115</v>
      </c>
      <c r="C2622">
        <v>1300</v>
      </c>
      <c r="D2622" t="s">
        <v>78</v>
      </c>
      <c r="E2622" t="s">
        <v>79</v>
      </c>
      <c r="F2622" s="5">
        <v>42370</v>
      </c>
      <c r="G2622">
        <v>218</v>
      </c>
    </row>
    <row r="2623" spans="1:7" x14ac:dyDescent="0.25">
      <c r="A2623" t="s">
        <v>113</v>
      </c>
      <c r="B2623" t="s">
        <v>115</v>
      </c>
      <c r="C2623">
        <v>1300</v>
      </c>
      <c r="D2623" t="s">
        <v>78</v>
      </c>
      <c r="E2623" t="s">
        <v>79</v>
      </c>
      <c r="F2623" s="5">
        <v>42736</v>
      </c>
      <c r="G2623">
        <v>272</v>
      </c>
    </row>
    <row r="2624" spans="1:7" x14ac:dyDescent="0.25">
      <c r="A2624" t="s">
        <v>113</v>
      </c>
      <c r="B2624" t="s">
        <v>115</v>
      </c>
      <c r="C2624">
        <v>1300</v>
      </c>
      <c r="D2624" t="s">
        <v>78</v>
      </c>
      <c r="E2624" t="s">
        <v>80</v>
      </c>
      <c r="F2624" s="5">
        <v>42370</v>
      </c>
      <c r="G2624">
        <v>34</v>
      </c>
    </row>
    <row r="2625" spans="1:7" x14ac:dyDescent="0.25">
      <c r="A2625" t="s">
        <v>113</v>
      </c>
      <c r="B2625" t="s">
        <v>115</v>
      </c>
      <c r="C2625">
        <v>1300</v>
      </c>
      <c r="D2625" t="s">
        <v>78</v>
      </c>
      <c r="E2625" t="s">
        <v>80</v>
      </c>
      <c r="F2625" s="5">
        <v>42736</v>
      </c>
      <c r="G2625">
        <v>34</v>
      </c>
    </row>
    <row r="2626" spans="1:7" x14ac:dyDescent="0.25">
      <c r="A2626" t="s">
        <v>113</v>
      </c>
      <c r="B2626" t="s">
        <v>115</v>
      </c>
      <c r="C2626">
        <v>1300</v>
      </c>
      <c r="D2626" t="s">
        <v>78</v>
      </c>
      <c r="E2626" t="s">
        <v>81</v>
      </c>
      <c r="F2626" s="5">
        <v>42370</v>
      </c>
      <c r="G2626">
        <v>1036</v>
      </c>
    </row>
    <row r="2627" spans="1:7" x14ac:dyDescent="0.25">
      <c r="A2627" t="s">
        <v>113</v>
      </c>
      <c r="B2627" t="s">
        <v>115</v>
      </c>
      <c r="C2627">
        <v>1300</v>
      </c>
      <c r="D2627" t="s">
        <v>78</v>
      </c>
      <c r="E2627" t="s">
        <v>81</v>
      </c>
      <c r="F2627" s="5">
        <v>42736</v>
      </c>
      <c r="G2627">
        <v>1285</v>
      </c>
    </row>
    <row r="2628" spans="1:7" x14ac:dyDescent="0.25">
      <c r="A2628" t="s">
        <v>113</v>
      </c>
      <c r="B2628" t="s">
        <v>115</v>
      </c>
      <c r="C2628">
        <v>1300</v>
      </c>
      <c r="D2628" t="s">
        <v>78</v>
      </c>
      <c r="E2628" t="s">
        <v>82</v>
      </c>
      <c r="F2628" s="5">
        <v>42370</v>
      </c>
      <c r="G2628">
        <v>27</v>
      </c>
    </row>
    <row r="2629" spans="1:7" x14ac:dyDescent="0.25">
      <c r="A2629" t="s">
        <v>113</v>
      </c>
      <c r="B2629" t="s">
        <v>115</v>
      </c>
      <c r="C2629">
        <v>1300</v>
      </c>
      <c r="D2629" t="s">
        <v>78</v>
      </c>
      <c r="E2629" t="s">
        <v>82</v>
      </c>
      <c r="F2629" s="5">
        <v>42736</v>
      </c>
      <c r="G2629">
        <v>55</v>
      </c>
    </row>
    <row r="2630" spans="1:7" x14ac:dyDescent="0.25">
      <c r="A2630" t="s">
        <v>113</v>
      </c>
      <c r="B2630" t="s">
        <v>115</v>
      </c>
      <c r="C2630">
        <v>1300</v>
      </c>
      <c r="D2630" t="s">
        <v>78</v>
      </c>
      <c r="E2630" t="s">
        <v>83</v>
      </c>
      <c r="F2630" s="5">
        <v>42370</v>
      </c>
      <c r="G2630">
        <v>27</v>
      </c>
    </row>
    <row r="2631" spans="1:7" x14ac:dyDescent="0.25">
      <c r="A2631" t="s">
        <v>113</v>
      </c>
      <c r="B2631" t="s">
        <v>115</v>
      </c>
      <c r="C2631">
        <v>1300</v>
      </c>
      <c r="D2631" t="s">
        <v>78</v>
      </c>
      <c r="E2631" t="s">
        <v>83</v>
      </c>
      <c r="F2631" s="5">
        <v>42736</v>
      </c>
      <c r="G2631">
        <v>44</v>
      </c>
    </row>
    <row r="2632" spans="1:7" x14ac:dyDescent="0.25">
      <c r="A2632" t="s">
        <v>113</v>
      </c>
      <c r="B2632" t="s">
        <v>115</v>
      </c>
      <c r="C2632">
        <v>1300</v>
      </c>
      <c r="D2632" t="s">
        <v>78</v>
      </c>
      <c r="E2632" t="s">
        <v>84</v>
      </c>
      <c r="F2632" s="5">
        <v>42370</v>
      </c>
      <c r="G2632">
        <v>7</v>
      </c>
    </row>
    <row r="2633" spans="1:7" x14ac:dyDescent="0.25">
      <c r="A2633" t="s">
        <v>113</v>
      </c>
      <c r="B2633" t="s">
        <v>115</v>
      </c>
      <c r="C2633">
        <v>1300</v>
      </c>
      <c r="D2633" t="s">
        <v>78</v>
      </c>
      <c r="E2633" t="s">
        <v>84</v>
      </c>
      <c r="F2633" s="5">
        <v>42736</v>
      </c>
      <c r="G2633">
        <v>7</v>
      </c>
    </row>
    <row r="2634" spans="1:7" x14ac:dyDescent="0.25">
      <c r="A2634" t="s">
        <v>113</v>
      </c>
      <c r="B2634" t="s">
        <v>115</v>
      </c>
      <c r="C2634">
        <v>1300</v>
      </c>
      <c r="D2634" t="s">
        <v>78</v>
      </c>
      <c r="E2634" t="s">
        <v>85</v>
      </c>
      <c r="F2634" s="5">
        <v>42370</v>
      </c>
      <c r="G2634">
        <v>3</v>
      </c>
    </row>
    <row r="2635" spans="1:7" x14ac:dyDescent="0.25">
      <c r="A2635" t="s">
        <v>113</v>
      </c>
      <c r="B2635" t="s">
        <v>115</v>
      </c>
      <c r="C2635">
        <v>1300</v>
      </c>
      <c r="D2635" t="s">
        <v>78</v>
      </c>
      <c r="E2635" t="s">
        <v>85</v>
      </c>
      <c r="F2635" s="5">
        <v>42736</v>
      </c>
      <c r="G2635">
        <v>4</v>
      </c>
    </row>
    <row r="2636" spans="1:7" x14ac:dyDescent="0.25">
      <c r="A2636" t="s">
        <v>113</v>
      </c>
      <c r="B2636" t="s">
        <v>115</v>
      </c>
      <c r="C2636">
        <v>1300</v>
      </c>
      <c r="D2636" t="s">
        <v>78</v>
      </c>
      <c r="E2636" t="s">
        <v>86</v>
      </c>
      <c r="F2636" s="5">
        <v>42370</v>
      </c>
      <c r="G2636">
        <v>43</v>
      </c>
    </row>
    <row r="2637" spans="1:7" x14ac:dyDescent="0.25">
      <c r="A2637" t="s">
        <v>113</v>
      </c>
      <c r="B2637" t="s">
        <v>115</v>
      </c>
      <c r="C2637">
        <v>1300</v>
      </c>
      <c r="D2637" t="s">
        <v>78</v>
      </c>
      <c r="E2637" t="s">
        <v>86</v>
      </c>
      <c r="F2637" s="5">
        <v>42736</v>
      </c>
      <c r="G2637">
        <v>80</v>
      </c>
    </row>
    <row r="2638" spans="1:7" x14ac:dyDescent="0.25">
      <c r="A2638" t="s">
        <v>113</v>
      </c>
      <c r="B2638" t="s">
        <v>115</v>
      </c>
      <c r="C2638">
        <v>1300</v>
      </c>
      <c r="D2638" t="s">
        <v>78</v>
      </c>
      <c r="E2638" t="s">
        <v>87</v>
      </c>
      <c r="F2638" s="5">
        <v>42370</v>
      </c>
      <c r="G2638">
        <v>155</v>
      </c>
    </row>
    <row r="2639" spans="1:7" x14ac:dyDescent="0.25">
      <c r="A2639" t="s">
        <v>113</v>
      </c>
      <c r="B2639" t="s">
        <v>115</v>
      </c>
      <c r="C2639">
        <v>1300</v>
      </c>
      <c r="D2639" t="s">
        <v>78</v>
      </c>
      <c r="E2639" t="s">
        <v>87</v>
      </c>
      <c r="F2639" s="5">
        <v>42736</v>
      </c>
      <c r="G2639">
        <v>112</v>
      </c>
    </row>
    <row r="2640" spans="1:7" x14ac:dyDescent="0.25">
      <c r="A2640" t="s">
        <v>113</v>
      </c>
      <c r="B2640" t="s">
        <v>115</v>
      </c>
      <c r="C2640">
        <v>1300</v>
      </c>
      <c r="D2640" t="s">
        <v>78</v>
      </c>
      <c r="E2640" t="s">
        <v>88</v>
      </c>
      <c r="F2640" s="5">
        <v>42370</v>
      </c>
      <c r="G2640">
        <v>191</v>
      </c>
    </row>
    <row r="2641" spans="1:7" x14ac:dyDescent="0.25">
      <c r="A2641" t="s">
        <v>113</v>
      </c>
      <c r="B2641" t="s">
        <v>115</v>
      </c>
      <c r="C2641">
        <v>1300</v>
      </c>
      <c r="D2641" t="s">
        <v>78</v>
      </c>
      <c r="E2641" t="s">
        <v>88</v>
      </c>
      <c r="F2641" s="5">
        <v>42736</v>
      </c>
      <c r="G2641">
        <v>264</v>
      </c>
    </row>
    <row r="2642" spans="1:7" x14ac:dyDescent="0.25">
      <c r="A2642" t="s">
        <v>113</v>
      </c>
      <c r="B2642" t="s">
        <v>115</v>
      </c>
      <c r="C2642">
        <v>1300</v>
      </c>
      <c r="D2642" t="s">
        <v>78</v>
      </c>
      <c r="E2642" t="s">
        <v>89</v>
      </c>
      <c r="F2642" s="5">
        <v>42370</v>
      </c>
      <c r="G2642">
        <v>3949</v>
      </c>
    </row>
    <row r="2643" spans="1:7" x14ac:dyDescent="0.25">
      <c r="A2643" t="s">
        <v>113</v>
      </c>
      <c r="B2643" t="s">
        <v>115</v>
      </c>
      <c r="C2643">
        <v>1300</v>
      </c>
      <c r="D2643" t="s">
        <v>78</v>
      </c>
      <c r="E2643" t="s">
        <v>89</v>
      </c>
      <c r="F2643" s="5">
        <v>42736</v>
      </c>
      <c r="G2643">
        <v>3481</v>
      </c>
    </row>
    <row r="2644" spans="1:7" x14ac:dyDescent="0.25">
      <c r="A2644" t="s">
        <v>113</v>
      </c>
      <c r="B2644" t="s">
        <v>115</v>
      </c>
      <c r="C2644">
        <v>1300</v>
      </c>
      <c r="D2644" t="s">
        <v>78</v>
      </c>
      <c r="E2644" t="s">
        <v>90</v>
      </c>
      <c r="F2644" s="5">
        <v>42370</v>
      </c>
      <c r="G2644">
        <v>0</v>
      </c>
    </row>
    <row r="2645" spans="1:7" x14ac:dyDescent="0.25">
      <c r="A2645" t="s">
        <v>113</v>
      </c>
      <c r="B2645" t="s">
        <v>115</v>
      </c>
      <c r="C2645">
        <v>1300</v>
      </c>
      <c r="D2645" t="s">
        <v>78</v>
      </c>
      <c r="E2645" t="s">
        <v>90</v>
      </c>
      <c r="F2645" s="5">
        <v>42736</v>
      </c>
      <c r="G2645">
        <v>1</v>
      </c>
    </row>
    <row r="2646" spans="1:7" x14ac:dyDescent="0.25">
      <c r="A2646" t="s">
        <v>113</v>
      </c>
      <c r="B2646" t="s">
        <v>115</v>
      </c>
      <c r="C2646">
        <v>1300</v>
      </c>
      <c r="D2646" t="s">
        <v>78</v>
      </c>
      <c r="E2646" t="s">
        <v>91</v>
      </c>
      <c r="F2646" s="5">
        <v>42370</v>
      </c>
      <c r="G2646">
        <v>29</v>
      </c>
    </row>
    <row r="2647" spans="1:7" x14ac:dyDescent="0.25">
      <c r="A2647" t="s">
        <v>113</v>
      </c>
      <c r="B2647" t="s">
        <v>115</v>
      </c>
      <c r="C2647">
        <v>1300</v>
      </c>
      <c r="D2647" t="s">
        <v>78</v>
      </c>
      <c r="E2647" t="s">
        <v>91</v>
      </c>
      <c r="F2647" s="5">
        <v>42736</v>
      </c>
      <c r="G2647">
        <v>69</v>
      </c>
    </row>
    <row r="2648" spans="1:7" x14ac:dyDescent="0.25">
      <c r="A2648" t="s">
        <v>113</v>
      </c>
      <c r="B2648" t="s">
        <v>115</v>
      </c>
      <c r="C2648">
        <v>1300</v>
      </c>
      <c r="D2648" t="s">
        <v>78</v>
      </c>
      <c r="E2648" t="s">
        <v>92</v>
      </c>
      <c r="F2648" s="5">
        <v>42370</v>
      </c>
      <c r="G2648">
        <v>6</v>
      </c>
    </row>
    <row r="2649" spans="1:7" x14ac:dyDescent="0.25">
      <c r="A2649" t="s">
        <v>113</v>
      </c>
      <c r="B2649" t="s">
        <v>115</v>
      </c>
      <c r="C2649">
        <v>1300</v>
      </c>
      <c r="D2649" t="s">
        <v>78</v>
      </c>
      <c r="E2649" t="s">
        <v>92</v>
      </c>
      <c r="F2649" s="5">
        <v>42736</v>
      </c>
      <c r="G2649">
        <v>14</v>
      </c>
    </row>
    <row r="2650" spans="1:7" x14ac:dyDescent="0.25">
      <c r="A2650" t="s">
        <v>113</v>
      </c>
      <c r="B2650" t="s">
        <v>115</v>
      </c>
      <c r="C2650">
        <v>1300</v>
      </c>
      <c r="D2650" t="s">
        <v>78</v>
      </c>
      <c r="E2650" t="s">
        <v>93</v>
      </c>
      <c r="F2650" s="5">
        <v>42370</v>
      </c>
      <c r="G2650">
        <v>44</v>
      </c>
    </row>
    <row r="2651" spans="1:7" x14ac:dyDescent="0.25">
      <c r="A2651" t="s">
        <v>113</v>
      </c>
      <c r="B2651" t="s">
        <v>115</v>
      </c>
      <c r="C2651">
        <v>1300</v>
      </c>
      <c r="D2651" t="s">
        <v>78</v>
      </c>
      <c r="E2651" t="s">
        <v>93</v>
      </c>
      <c r="F2651" s="5">
        <v>42736</v>
      </c>
      <c r="G2651">
        <v>68</v>
      </c>
    </row>
    <row r="2652" spans="1:7" x14ac:dyDescent="0.25">
      <c r="A2652" t="s">
        <v>113</v>
      </c>
      <c r="B2652" t="s">
        <v>115</v>
      </c>
      <c r="C2652">
        <v>1300</v>
      </c>
      <c r="D2652" t="s">
        <v>78</v>
      </c>
      <c r="E2652" t="s">
        <v>94</v>
      </c>
      <c r="F2652" s="5">
        <v>42370</v>
      </c>
      <c r="G2652">
        <v>92</v>
      </c>
    </row>
    <row r="2653" spans="1:7" x14ac:dyDescent="0.25">
      <c r="A2653" t="s">
        <v>113</v>
      </c>
      <c r="B2653" t="s">
        <v>115</v>
      </c>
      <c r="C2653">
        <v>1300</v>
      </c>
      <c r="D2653" t="s">
        <v>78</v>
      </c>
      <c r="E2653" t="s">
        <v>94</v>
      </c>
      <c r="F2653" s="5">
        <v>42736</v>
      </c>
      <c r="G2653">
        <v>202</v>
      </c>
    </row>
    <row r="2654" spans="1:7" x14ac:dyDescent="0.25">
      <c r="A2654" t="s">
        <v>113</v>
      </c>
      <c r="B2654" t="s">
        <v>115</v>
      </c>
      <c r="C2654">
        <v>1300</v>
      </c>
      <c r="D2654" t="s">
        <v>78</v>
      </c>
      <c r="E2654" t="s">
        <v>95</v>
      </c>
      <c r="F2654" s="5">
        <v>42370</v>
      </c>
      <c r="G2654">
        <v>12</v>
      </c>
    </row>
    <row r="2655" spans="1:7" x14ac:dyDescent="0.25">
      <c r="A2655" t="s">
        <v>113</v>
      </c>
      <c r="B2655" t="s">
        <v>115</v>
      </c>
      <c r="C2655">
        <v>1300</v>
      </c>
      <c r="D2655" t="s">
        <v>78</v>
      </c>
      <c r="E2655" t="s">
        <v>95</v>
      </c>
      <c r="F2655" s="5">
        <v>42736</v>
      </c>
      <c r="G2655">
        <v>27</v>
      </c>
    </row>
    <row r="2656" spans="1:7" x14ac:dyDescent="0.25">
      <c r="A2656" t="s">
        <v>113</v>
      </c>
      <c r="B2656" t="s">
        <v>115</v>
      </c>
      <c r="C2656">
        <v>1300</v>
      </c>
      <c r="D2656" t="s">
        <v>78</v>
      </c>
      <c r="E2656" t="s">
        <v>96</v>
      </c>
      <c r="F2656" s="5">
        <v>42370</v>
      </c>
      <c r="G2656">
        <v>27</v>
      </c>
    </row>
    <row r="2657" spans="1:7" x14ac:dyDescent="0.25">
      <c r="A2657" t="s">
        <v>113</v>
      </c>
      <c r="B2657" t="s">
        <v>115</v>
      </c>
      <c r="C2657">
        <v>1300</v>
      </c>
      <c r="D2657" t="s">
        <v>78</v>
      </c>
      <c r="E2657" t="s">
        <v>96</v>
      </c>
      <c r="F2657" s="5">
        <v>42736</v>
      </c>
      <c r="G2657">
        <v>44</v>
      </c>
    </row>
    <row r="2658" spans="1:7" x14ac:dyDescent="0.25">
      <c r="A2658" t="s">
        <v>113</v>
      </c>
      <c r="B2658" t="s">
        <v>115</v>
      </c>
      <c r="C2658">
        <v>1300</v>
      </c>
      <c r="D2658" t="s">
        <v>78</v>
      </c>
      <c r="E2658" t="s">
        <v>97</v>
      </c>
      <c r="F2658" s="5">
        <v>42370</v>
      </c>
      <c r="G2658">
        <v>50</v>
      </c>
    </row>
    <row r="2659" spans="1:7" x14ac:dyDescent="0.25">
      <c r="A2659" t="s">
        <v>113</v>
      </c>
      <c r="B2659" t="s">
        <v>115</v>
      </c>
      <c r="C2659">
        <v>1300</v>
      </c>
      <c r="D2659" t="s">
        <v>78</v>
      </c>
      <c r="E2659" t="s">
        <v>97</v>
      </c>
      <c r="F2659" s="5">
        <v>42736</v>
      </c>
      <c r="G2659">
        <v>181</v>
      </c>
    </row>
    <row r="2660" spans="1:7" x14ac:dyDescent="0.25">
      <c r="A2660" t="s">
        <v>113</v>
      </c>
      <c r="B2660" t="s">
        <v>115</v>
      </c>
      <c r="C2660">
        <v>1300</v>
      </c>
      <c r="D2660" t="s">
        <v>78</v>
      </c>
      <c r="E2660" t="s">
        <v>98</v>
      </c>
      <c r="F2660" s="5">
        <v>42370</v>
      </c>
      <c r="G2660">
        <v>13</v>
      </c>
    </row>
    <row r="2661" spans="1:7" x14ac:dyDescent="0.25">
      <c r="A2661" t="s">
        <v>113</v>
      </c>
      <c r="B2661" t="s">
        <v>115</v>
      </c>
      <c r="C2661">
        <v>1300</v>
      </c>
      <c r="D2661" t="s">
        <v>78</v>
      </c>
      <c r="E2661" t="s">
        <v>98</v>
      </c>
      <c r="F2661" s="5">
        <v>42736</v>
      </c>
      <c r="G2661">
        <v>0</v>
      </c>
    </row>
    <row r="2662" spans="1:7" x14ac:dyDescent="0.25">
      <c r="A2662" t="s">
        <v>116</v>
      </c>
      <c r="B2662" t="s">
        <v>117</v>
      </c>
      <c r="C2662">
        <v>1250</v>
      </c>
      <c r="D2662" t="s">
        <v>8</v>
      </c>
      <c r="E2662" t="s">
        <v>9</v>
      </c>
      <c r="F2662" s="5">
        <v>42370</v>
      </c>
      <c r="G2662">
        <v>0</v>
      </c>
    </row>
    <row r="2663" spans="1:7" x14ac:dyDescent="0.25">
      <c r="A2663" t="s">
        <v>116</v>
      </c>
      <c r="B2663" t="s">
        <v>117</v>
      </c>
      <c r="C2663">
        <v>1250</v>
      </c>
      <c r="D2663" t="s">
        <v>8</v>
      </c>
      <c r="E2663" t="s">
        <v>9</v>
      </c>
      <c r="F2663" s="5">
        <v>42736</v>
      </c>
      <c r="G2663">
        <v>0</v>
      </c>
    </row>
    <row r="2664" spans="1:7" x14ac:dyDescent="0.25">
      <c r="A2664" t="s">
        <v>116</v>
      </c>
      <c r="B2664" t="s">
        <v>117</v>
      </c>
      <c r="C2664">
        <v>1250</v>
      </c>
      <c r="D2664" t="s">
        <v>8</v>
      </c>
      <c r="E2664" t="s">
        <v>10</v>
      </c>
      <c r="F2664" s="5">
        <v>42370</v>
      </c>
      <c r="G2664">
        <v>8</v>
      </c>
    </row>
    <row r="2665" spans="1:7" x14ac:dyDescent="0.25">
      <c r="A2665" t="s">
        <v>116</v>
      </c>
      <c r="B2665" t="s">
        <v>117</v>
      </c>
      <c r="C2665">
        <v>1250</v>
      </c>
      <c r="D2665" t="s">
        <v>8</v>
      </c>
      <c r="E2665" t="s">
        <v>10</v>
      </c>
      <c r="F2665" s="5">
        <v>42736</v>
      </c>
      <c r="G2665">
        <v>17</v>
      </c>
    </row>
    <row r="2666" spans="1:7" x14ac:dyDescent="0.25">
      <c r="A2666" t="s">
        <v>116</v>
      </c>
      <c r="B2666" t="s">
        <v>117</v>
      </c>
      <c r="C2666">
        <v>1250</v>
      </c>
      <c r="D2666" t="s">
        <v>8</v>
      </c>
      <c r="E2666" t="s">
        <v>11</v>
      </c>
      <c r="F2666" s="5">
        <v>42370</v>
      </c>
      <c r="G2666">
        <v>2</v>
      </c>
    </row>
    <row r="2667" spans="1:7" x14ac:dyDescent="0.25">
      <c r="A2667" t="s">
        <v>116</v>
      </c>
      <c r="B2667" t="s">
        <v>117</v>
      </c>
      <c r="C2667">
        <v>1250</v>
      </c>
      <c r="D2667" t="s">
        <v>8</v>
      </c>
      <c r="E2667" t="s">
        <v>11</v>
      </c>
      <c r="F2667" s="5">
        <v>42736</v>
      </c>
      <c r="G2667">
        <v>7</v>
      </c>
    </row>
    <row r="2668" spans="1:7" x14ac:dyDescent="0.25">
      <c r="A2668" t="s">
        <v>116</v>
      </c>
      <c r="B2668" t="s">
        <v>117</v>
      </c>
      <c r="C2668">
        <v>1250</v>
      </c>
      <c r="D2668" t="s">
        <v>8</v>
      </c>
      <c r="E2668" t="s">
        <v>12</v>
      </c>
      <c r="F2668" s="5">
        <v>42370</v>
      </c>
      <c r="G2668">
        <v>0</v>
      </c>
    </row>
    <row r="2669" spans="1:7" x14ac:dyDescent="0.25">
      <c r="A2669" t="s">
        <v>116</v>
      </c>
      <c r="B2669" t="s">
        <v>117</v>
      </c>
      <c r="C2669">
        <v>1250</v>
      </c>
      <c r="D2669" t="s">
        <v>8</v>
      </c>
      <c r="E2669" t="s">
        <v>12</v>
      </c>
      <c r="F2669" s="5">
        <v>42736</v>
      </c>
      <c r="G2669">
        <v>0</v>
      </c>
    </row>
    <row r="2670" spans="1:7" x14ac:dyDescent="0.25">
      <c r="A2670" t="s">
        <v>116</v>
      </c>
      <c r="B2670" t="s">
        <v>117</v>
      </c>
      <c r="C2670">
        <v>1250</v>
      </c>
      <c r="D2670" t="s">
        <v>8</v>
      </c>
      <c r="E2670" t="s">
        <v>13</v>
      </c>
      <c r="F2670" s="5">
        <v>42370</v>
      </c>
      <c r="G2670">
        <v>0</v>
      </c>
    </row>
    <row r="2671" spans="1:7" x14ac:dyDescent="0.25">
      <c r="A2671" t="s">
        <v>116</v>
      </c>
      <c r="B2671" t="s">
        <v>117</v>
      </c>
      <c r="C2671">
        <v>1250</v>
      </c>
      <c r="D2671" t="s">
        <v>8</v>
      </c>
      <c r="E2671" t="s">
        <v>13</v>
      </c>
      <c r="F2671" s="5">
        <v>42736</v>
      </c>
      <c r="G2671">
        <v>0</v>
      </c>
    </row>
    <row r="2672" spans="1:7" x14ac:dyDescent="0.25">
      <c r="A2672" t="s">
        <v>116</v>
      </c>
      <c r="B2672" t="s">
        <v>117</v>
      </c>
      <c r="C2672">
        <v>1250</v>
      </c>
      <c r="D2672" t="s">
        <v>8</v>
      </c>
      <c r="E2672" t="s">
        <v>14</v>
      </c>
      <c r="F2672" s="5">
        <v>42370</v>
      </c>
      <c r="G2672">
        <v>0</v>
      </c>
    </row>
    <row r="2673" spans="1:7" x14ac:dyDescent="0.25">
      <c r="A2673" t="s">
        <v>116</v>
      </c>
      <c r="B2673" t="s">
        <v>117</v>
      </c>
      <c r="C2673">
        <v>1250</v>
      </c>
      <c r="D2673" t="s">
        <v>8</v>
      </c>
      <c r="E2673" t="s">
        <v>14</v>
      </c>
      <c r="F2673" s="5">
        <v>42736</v>
      </c>
      <c r="G2673">
        <v>0</v>
      </c>
    </row>
    <row r="2674" spans="1:7" x14ac:dyDescent="0.25">
      <c r="A2674" t="s">
        <v>116</v>
      </c>
      <c r="B2674" t="s">
        <v>117</v>
      </c>
      <c r="C2674">
        <v>1250</v>
      </c>
      <c r="D2674" t="s">
        <v>8</v>
      </c>
      <c r="E2674" t="s">
        <v>15</v>
      </c>
      <c r="F2674" s="5">
        <v>42370</v>
      </c>
      <c r="G2674">
        <v>0</v>
      </c>
    </row>
    <row r="2675" spans="1:7" x14ac:dyDescent="0.25">
      <c r="A2675" t="s">
        <v>116</v>
      </c>
      <c r="B2675" t="s">
        <v>117</v>
      </c>
      <c r="C2675">
        <v>1250</v>
      </c>
      <c r="D2675" t="s">
        <v>8</v>
      </c>
      <c r="E2675" t="s">
        <v>15</v>
      </c>
      <c r="F2675" s="5">
        <v>42736</v>
      </c>
      <c r="G2675">
        <v>0</v>
      </c>
    </row>
    <row r="2676" spans="1:7" x14ac:dyDescent="0.25">
      <c r="A2676" t="s">
        <v>116</v>
      </c>
      <c r="B2676" t="s">
        <v>117</v>
      </c>
      <c r="C2676">
        <v>1250</v>
      </c>
      <c r="D2676" t="s">
        <v>8</v>
      </c>
      <c r="E2676" t="s">
        <v>16</v>
      </c>
      <c r="F2676" s="5">
        <v>42370</v>
      </c>
      <c r="G2676">
        <v>6</v>
      </c>
    </row>
    <row r="2677" spans="1:7" x14ac:dyDescent="0.25">
      <c r="A2677" t="s">
        <v>116</v>
      </c>
      <c r="B2677" t="s">
        <v>117</v>
      </c>
      <c r="C2677">
        <v>1250</v>
      </c>
      <c r="D2677" t="s">
        <v>8</v>
      </c>
      <c r="E2677" t="s">
        <v>16</v>
      </c>
      <c r="F2677" s="5">
        <v>42736</v>
      </c>
      <c r="G2677">
        <v>2</v>
      </c>
    </row>
    <row r="2678" spans="1:7" x14ac:dyDescent="0.25">
      <c r="A2678" t="s">
        <v>116</v>
      </c>
      <c r="B2678" t="s">
        <v>117</v>
      </c>
      <c r="C2678">
        <v>1250</v>
      </c>
      <c r="D2678" t="s">
        <v>8</v>
      </c>
      <c r="E2678" t="s">
        <v>17</v>
      </c>
      <c r="F2678" s="5">
        <v>42370</v>
      </c>
      <c r="G2678">
        <v>0</v>
      </c>
    </row>
    <row r="2679" spans="1:7" x14ac:dyDescent="0.25">
      <c r="A2679" t="s">
        <v>116</v>
      </c>
      <c r="B2679" t="s">
        <v>117</v>
      </c>
      <c r="C2679">
        <v>1250</v>
      </c>
      <c r="D2679" t="s">
        <v>8</v>
      </c>
      <c r="E2679" t="s">
        <v>17</v>
      </c>
      <c r="F2679" s="5">
        <v>42736</v>
      </c>
      <c r="G2679">
        <v>0</v>
      </c>
    </row>
    <row r="2680" spans="1:7" x14ac:dyDescent="0.25">
      <c r="A2680" t="s">
        <v>116</v>
      </c>
      <c r="B2680" t="s">
        <v>117</v>
      </c>
      <c r="C2680">
        <v>1250</v>
      </c>
      <c r="D2680" t="s">
        <v>8</v>
      </c>
      <c r="E2680" t="s">
        <v>18</v>
      </c>
      <c r="F2680" s="5">
        <v>42370</v>
      </c>
      <c r="G2680">
        <v>1</v>
      </c>
    </row>
    <row r="2681" spans="1:7" x14ac:dyDescent="0.25">
      <c r="A2681" t="s">
        <v>116</v>
      </c>
      <c r="B2681" t="s">
        <v>117</v>
      </c>
      <c r="C2681">
        <v>1250</v>
      </c>
      <c r="D2681" t="s">
        <v>8</v>
      </c>
      <c r="E2681" t="s">
        <v>18</v>
      </c>
      <c r="F2681" s="5">
        <v>42736</v>
      </c>
      <c r="G2681">
        <v>0</v>
      </c>
    </row>
    <row r="2682" spans="1:7" x14ac:dyDescent="0.25">
      <c r="A2682" t="s">
        <v>116</v>
      </c>
      <c r="B2682" t="s">
        <v>117</v>
      </c>
      <c r="C2682">
        <v>1250</v>
      </c>
      <c r="D2682" t="s">
        <v>8</v>
      </c>
      <c r="E2682" t="s">
        <v>19</v>
      </c>
      <c r="F2682" s="5">
        <v>42370</v>
      </c>
      <c r="G2682">
        <v>0</v>
      </c>
    </row>
    <row r="2683" spans="1:7" x14ac:dyDescent="0.25">
      <c r="A2683" t="s">
        <v>116</v>
      </c>
      <c r="B2683" t="s">
        <v>117</v>
      </c>
      <c r="C2683">
        <v>1250</v>
      </c>
      <c r="D2683" t="s">
        <v>8</v>
      </c>
      <c r="E2683" t="s">
        <v>19</v>
      </c>
      <c r="F2683" s="5">
        <v>42736</v>
      </c>
      <c r="G2683">
        <v>0</v>
      </c>
    </row>
    <row r="2684" spans="1:7" x14ac:dyDescent="0.25">
      <c r="A2684" t="s">
        <v>116</v>
      </c>
      <c r="B2684" t="s">
        <v>117</v>
      </c>
      <c r="C2684">
        <v>1250</v>
      </c>
      <c r="D2684" t="s">
        <v>20</v>
      </c>
      <c r="E2684" t="s">
        <v>9</v>
      </c>
      <c r="F2684" s="5">
        <v>42370</v>
      </c>
      <c r="G2684">
        <v>0</v>
      </c>
    </row>
    <row r="2685" spans="1:7" x14ac:dyDescent="0.25">
      <c r="A2685" t="s">
        <v>116</v>
      </c>
      <c r="B2685" t="s">
        <v>117</v>
      </c>
      <c r="C2685">
        <v>1250</v>
      </c>
      <c r="D2685" t="s">
        <v>20</v>
      </c>
      <c r="E2685" t="s">
        <v>9</v>
      </c>
      <c r="F2685" s="5">
        <v>42736</v>
      </c>
      <c r="G2685">
        <v>1</v>
      </c>
    </row>
    <row r="2686" spans="1:7" x14ac:dyDescent="0.25">
      <c r="A2686" t="s">
        <v>116</v>
      </c>
      <c r="B2686" t="s">
        <v>117</v>
      </c>
      <c r="C2686">
        <v>1250</v>
      </c>
      <c r="D2686" t="s">
        <v>20</v>
      </c>
      <c r="E2686" t="s">
        <v>21</v>
      </c>
      <c r="F2686" s="5">
        <v>42370</v>
      </c>
      <c r="G2686">
        <v>0</v>
      </c>
    </row>
    <row r="2687" spans="1:7" x14ac:dyDescent="0.25">
      <c r="A2687" t="s">
        <v>116</v>
      </c>
      <c r="B2687" t="s">
        <v>117</v>
      </c>
      <c r="C2687">
        <v>1250</v>
      </c>
      <c r="D2687" t="s">
        <v>20</v>
      </c>
      <c r="E2687" t="s">
        <v>21</v>
      </c>
      <c r="F2687" s="5">
        <v>42736</v>
      </c>
      <c r="G2687">
        <v>0</v>
      </c>
    </row>
    <row r="2688" spans="1:7" x14ac:dyDescent="0.25">
      <c r="A2688" t="s">
        <v>116</v>
      </c>
      <c r="B2688" t="s">
        <v>117</v>
      </c>
      <c r="C2688">
        <v>1250</v>
      </c>
      <c r="D2688" t="s">
        <v>20</v>
      </c>
      <c r="E2688" t="s">
        <v>22</v>
      </c>
      <c r="F2688" s="5">
        <v>42370</v>
      </c>
      <c r="G2688">
        <v>0</v>
      </c>
    </row>
    <row r="2689" spans="1:7" x14ac:dyDescent="0.25">
      <c r="A2689" t="s">
        <v>116</v>
      </c>
      <c r="B2689" t="s">
        <v>117</v>
      </c>
      <c r="C2689">
        <v>1250</v>
      </c>
      <c r="D2689" t="s">
        <v>20</v>
      </c>
      <c r="E2689" t="s">
        <v>22</v>
      </c>
      <c r="F2689" s="5">
        <v>42736</v>
      </c>
      <c r="G2689">
        <v>0</v>
      </c>
    </row>
    <row r="2690" spans="1:7" x14ac:dyDescent="0.25">
      <c r="A2690" t="s">
        <v>116</v>
      </c>
      <c r="B2690" t="s">
        <v>117</v>
      </c>
      <c r="C2690">
        <v>1250</v>
      </c>
      <c r="D2690" t="s">
        <v>20</v>
      </c>
      <c r="E2690" t="s">
        <v>23</v>
      </c>
      <c r="F2690" s="5">
        <v>42370</v>
      </c>
      <c r="G2690">
        <v>0</v>
      </c>
    </row>
    <row r="2691" spans="1:7" x14ac:dyDescent="0.25">
      <c r="A2691" t="s">
        <v>116</v>
      </c>
      <c r="B2691" t="s">
        <v>117</v>
      </c>
      <c r="C2691">
        <v>1250</v>
      </c>
      <c r="D2691" t="s">
        <v>20</v>
      </c>
      <c r="E2691" t="s">
        <v>23</v>
      </c>
      <c r="F2691" s="5">
        <v>42736</v>
      </c>
      <c r="G2691">
        <v>0</v>
      </c>
    </row>
    <row r="2692" spans="1:7" x14ac:dyDescent="0.25">
      <c r="A2692" t="s">
        <v>116</v>
      </c>
      <c r="B2692" t="s">
        <v>117</v>
      </c>
      <c r="C2692">
        <v>1250</v>
      </c>
      <c r="D2692" t="s">
        <v>20</v>
      </c>
      <c r="E2692" t="s">
        <v>24</v>
      </c>
      <c r="F2692" s="5">
        <v>42370</v>
      </c>
      <c r="G2692">
        <v>0</v>
      </c>
    </row>
    <row r="2693" spans="1:7" x14ac:dyDescent="0.25">
      <c r="A2693" t="s">
        <v>116</v>
      </c>
      <c r="B2693" t="s">
        <v>117</v>
      </c>
      <c r="C2693">
        <v>1250</v>
      </c>
      <c r="D2693" t="s">
        <v>20</v>
      </c>
      <c r="E2693" t="s">
        <v>24</v>
      </c>
      <c r="F2693" s="5">
        <v>42736</v>
      </c>
      <c r="G2693">
        <v>0</v>
      </c>
    </row>
    <row r="2694" spans="1:7" x14ac:dyDescent="0.25">
      <c r="A2694" t="s">
        <v>116</v>
      </c>
      <c r="B2694" t="s">
        <v>117</v>
      </c>
      <c r="C2694">
        <v>1250</v>
      </c>
      <c r="D2694" t="s">
        <v>20</v>
      </c>
      <c r="E2694" t="s">
        <v>25</v>
      </c>
      <c r="F2694" s="5">
        <v>42370</v>
      </c>
      <c r="G2694">
        <v>0</v>
      </c>
    </row>
    <row r="2695" spans="1:7" x14ac:dyDescent="0.25">
      <c r="A2695" t="s">
        <v>116</v>
      </c>
      <c r="B2695" t="s">
        <v>117</v>
      </c>
      <c r="C2695">
        <v>1250</v>
      </c>
      <c r="D2695" t="s">
        <v>20</v>
      </c>
      <c r="E2695" t="s">
        <v>25</v>
      </c>
      <c r="F2695" s="5">
        <v>42736</v>
      </c>
      <c r="G2695">
        <v>0</v>
      </c>
    </row>
    <row r="2696" spans="1:7" x14ac:dyDescent="0.25">
      <c r="A2696" t="s">
        <v>116</v>
      </c>
      <c r="B2696" t="s">
        <v>117</v>
      </c>
      <c r="C2696">
        <v>1250</v>
      </c>
      <c r="D2696" t="s">
        <v>20</v>
      </c>
      <c r="E2696" t="s">
        <v>26</v>
      </c>
      <c r="F2696" s="5">
        <v>42370</v>
      </c>
      <c r="G2696">
        <v>16</v>
      </c>
    </row>
    <row r="2697" spans="1:7" x14ac:dyDescent="0.25">
      <c r="A2697" t="s">
        <v>116</v>
      </c>
      <c r="B2697" t="s">
        <v>117</v>
      </c>
      <c r="C2697">
        <v>1250</v>
      </c>
      <c r="D2697" t="s">
        <v>20</v>
      </c>
      <c r="E2697" t="s">
        <v>26</v>
      </c>
      <c r="F2697" s="5">
        <v>42736</v>
      </c>
      <c r="G2697">
        <v>32</v>
      </c>
    </row>
    <row r="2698" spans="1:7" x14ac:dyDescent="0.25">
      <c r="A2698" t="s">
        <v>116</v>
      </c>
      <c r="B2698" t="s">
        <v>117</v>
      </c>
      <c r="C2698">
        <v>1250</v>
      </c>
      <c r="D2698" t="s">
        <v>20</v>
      </c>
      <c r="E2698" t="s">
        <v>27</v>
      </c>
      <c r="F2698" s="5">
        <v>42370</v>
      </c>
      <c r="G2698">
        <v>0</v>
      </c>
    </row>
    <row r="2699" spans="1:7" x14ac:dyDescent="0.25">
      <c r="A2699" t="s">
        <v>116</v>
      </c>
      <c r="B2699" t="s">
        <v>117</v>
      </c>
      <c r="C2699">
        <v>1250</v>
      </c>
      <c r="D2699" t="s">
        <v>20</v>
      </c>
      <c r="E2699" t="s">
        <v>27</v>
      </c>
      <c r="F2699" s="5">
        <v>42736</v>
      </c>
      <c r="G2699">
        <v>0</v>
      </c>
    </row>
    <row r="2700" spans="1:7" x14ac:dyDescent="0.25">
      <c r="A2700" t="s">
        <v>116</v>
      </c>
      <c r="B2700" t="s">
        <v>117</v>
      </c>
      <c r="C2700">
        <v>1250</v>
      </c>
      <c r="D2700" t="s">
        <v>20</v>
      </c>
      <c r="E2700" t="s">
        <v>28</v>
      </c>
      <c r="F2700" s="5">
        <v>42370</v>
      </c>
      <c r="G2700">
        <v>0</v>
      </c>
    </row>
    <row r="2701" spans="1:7" x14ac:dyDescent="0.25">
      <c r="A2701" t="s">
        <v>116</v>
      </c>
      <c r="B2701" t="s">
        <v>117</v>
      </c>
      <c r="C2701">
        <v>1250</v>
      </c>
      <c r="D2701" t="s">
        <v>20</v>
      </c>
      <c r="E2701" t="s">
        <v>28</v>
      </c>
      <c r="F2701" s="5">
        <v>42736</v>
      </c>
      <c r="G2701">
        <v>0</v>
      </c>
    </row>
    <row r="2702" spans="1:7" x14ac:dyDescent="0.25">
      <c r="A2702" t="s">
        <v>116</v>
      </c>
      <c r="B2702" t="s">
        <v>117</v>
      </c>
      <c r="C2702">
        <v>1250</v>
      </c>
      <c r="D2702" t="s">
        <v>20</v>
      </c>
      <c r="E2702" t="s">
        <v>29</v>
      </c>
      <c r="F2702" s="5">
        <v>42370</v>
      </c>
      <c r="G2702">
        <v>17</v>
      </c>
    </row>
    <row r="2703" spans="1:7" x14ac:dyDescent="0.25">
      <c r="A2703" t="s">
        <v>116</v>
      </c>
      <c r="B2703" t="s">
        <v>117</v>
      </c>
      <c r="C2703">
        <v>1250</v>
      </c>
      <c r="D2703" t="s">
        <v>20</v>
      </c>
      <c r="E2703" t="s">
        <v>29</v>
      </c>
      <c r="F2703" s="5">
        <v>42736</v>
      </c>
      <c r="G2703">
        <v>34</v>
      </c>
    </row>
    <row r="2704" spans="1:7" x14ac:dyDescent="0.25">
      <c r="A2704" t="s">
        <v>116</v>
      </c>
      <c r="B2704" t="s">
        <v>117</v>
      </c>
      <c r="C2704">
        <v>1250</v>
      </c>
      <c r="D2704" t="s">
        <v>20</v>
      </c>
      <c r="E2704" t="s">
        <v>30</v>
      </c>
      <c r="F2704" s="5">
        <v>42370</v>
      </c>
      <c r="G2704">
        <v>16</v>
      </c>
    </row>
    <row r="2705" spans="1:7" x14ac:dyDescent="0.25">
      <c r="A2705" t="s">
        <v>116</v>
      </c>
      <c r="B2705" t="s">
        <v>117</v>
      </c>
      <c r="C2705">
        <v>1250</v>
      </c>
      <c r="D2705" t="s">
        <v>20</v>
      </c>
      <c r="E2705" t="s">
        <v>30</v>
      </c>
      <c r="F2705" s="5">
        <v>42736</v>
      </c>
      <c r="G2705">
        <v>32</v>
      </c>
    </row>
    <row r="2706" spans="1:7" x14ac:dyDescent="0.25">
      <c r="A2706" t="s">
        <v>116</v>
      </c>
      <c r="B2706" t="s">
        <v>117</v>
      </c>
      <c r="C2706">
        <v>1250</v>
      </c>
      <c r="D2706" t="s">
        <v>20</v>
      </c>
      <c r="E2706" t="s">
        <v>31</v>
      </c>
      <c r="F2706" s="5">
        <v>42370</v>
      </c>
      <c r="G2706">
        <v>31</v>
      </c>
    </row>
    <row r="2707" spans="1:7" x14ac:dyDescent="0.25">
      <c r="A2707" t="s">
        <v>116</v>
      </c>
      <c r="B2707" t="s">
        <v>117</v>
      </c>
      <c r="C2707">
        <v>1250</v>
      </c>
      <c r="D2707" t="s">
        <v>20</v>
      </c>
      <c r="E2707" t="s">
        <v>31</v>
      </c>
      <c r="F2707" s="5">
        <v>42736</v>
      </c>
      <c r="G2707">
        <v>66</v>
      </c>
    </row>
    <row r="2708" spans="1:7" x14ac:dyDescent="0.25">
      <c r="A2708" t="s">
        <v>116</v>
      </c>
      <c r="B2708" t="s">
        <v>117</v>
      </c>
      <c r="C2708">
        <v>1250</v>
      </c>
      <c r="D2708" t="s">
        <v>20</v>
      </c>
      <c r="E2708" t="s">
        <v>32</v>
      </c>
      <c r="F2708" s="5">
        <v>42370</v>
      </c>
      <c r="G2708">
        <v>17</v>
      </c>
    </row>
    <row r="2709" spans="1:7" x14ac:dyDescent="0.25">
      <c r="A2709" t="s">
        <v>116</v>
      </c>
      <c r="B2709" t="s">
        <v>117</v>
      </c>
      <c r="C2709">
        <v>1250</v>
      </c>
      <c r="D2709" t="s">
        <v>20</v>
      </c>
      <c r="E2709" t="s">
        <v>32</v>
      </c>
      <c r="F2709" s="5">
        <v>42736</v>
      </c>
      <c r="G2709">
        <v>33</v>
      </c>
    </row>
    <row r="2710" spans="1:7" x14ac:dyDescent="0.25">
      <c r="A2710" t="s">
        <v>116</v>
      </c>
      <c r="B2710" t="s">
        <v>117</v>
      </c>
      <c r="C2710">
        <v>1250</v>
      </c>
      <c r="D2710" t="s">
        <v>33</v>
      </c>
      <c r="E2710" t="s">
        <v>9</v>
      </c>
      <c r="F2710" s="5">
        <v>42370</v>
      </c>
      <c r="G2710">
        <v>0</v>
      </c>
    </row>
    <row r="2711" spans="1:7" x14ac:dyDescent="0.25">
      <c r="A2711" t="s">
        <v>116</v>
      </c>
      <c r="B2711" t="s">
        <v>117</v>
      </c>
      <c r="C2711">
        <v>1250</v>
      </c>
      <c r="D2711" t="s">
        <v>33</v>
      </c>
      <c r="E2711" t="s">
        <v>9</v>
      </c>
      <c r="F2711" s="5">
        <v>42736</v>
      </c>
      <c r="G2711">
        <v>0</v>
      </c>
    </row>
    <row r="2712" spans="1:7" x14ac:dyDescent="0.25">
      <c r="A2712" t="s">
        <v>116</v>
      </c>
      <c r="B2712" t="s">
        <v>117</v>
      </c>
      <c r="C2712">
        <v>1250</v>
      </c>
      <c r="D2712" t="s">
        <v>33</v>
      </c>
      <c r="E2712" t="s">
        <v>34</v>
      </c>
      <c r="F2712" s="5">
        <v>42370</v>
      </c>
      <c r="G2712">
        <v>0</v>
      </c>
    </row>
    <row r="2713" spans="1:7" x14ac:dyDescent="0.25">
      <c r="A2713" t="s">
        <v>116</v>
      </c>
      <c r="B2713" t="s">
        <v>117</v>
      </c>
      <c r="C2713">
        <v>1250</v>
      </c>
      <c r="D2713" t="s">
        <v>33</v>
      </c>
      <c r="E2713" t="s">
        <v>34</v>
      </c>
      <c r="F2713" s="5">
        <v>42736</v>
      </c>
      <c r="G2713">
        <v>0</v>
      </c>
    </row>
    <row r="2714" spans="1:7" x14ac:dyDescent="0.25">
      <c r="A2714" t="s">
        <v>116</v>
      </c>
      <c r="B2714" t="s">
        <v>117</v>
      </c>
      <c r="C2714">
        <v>1250</v>
      </c>
      <c r="D2714" t="s">
        <v>35</v>
      </c>
      <c r="E2714" t="s">
        <v>36</v>
      </c>
      <c r="F2714" s="5">
        <v>42370</v>
      </c>
      <c r="G2714">
        <v>0</v>
      </c>
    </row>
    <row r="2715" spans="1:7" x14ac:dyDescent="0.25">
      <c r="A2715" t="s">
        <v>116</v>
      </c>
      <c r="B2715" t="s">
        <v>117</v>
      </c>
      <c r="C2715">
        <v>1250</v>
      </c>
      <c r="D2715" t="s">
        <v>35</v>
      </c>
      <c r="E2715" t="s">
        <v>36</v>
      </c>
      <c r="F2715" s="5">
        <v>42736</v>
      </c>
      <c r="G2715">
        <v>0</v>
      </c>
    </row>
    <row r="2716" spans="1:7" x14ac:dyDescent="0.25">
      <c r="A2716" t="s">
        <v>116</v>
      </c>
      <c r="B2716" t="s">
        <v>117</v>
      </c>
      <c r="C2716">
        <v>1250</v>
      </c>
      <c r="D2716" t="s">
        <v>35</v>
      </c>
      <c r="E2716" t="s">
        <v>37</v>
      </c>
      <c r="F2716" s="5">
        <v>42370</v>
      </c>
      <c r="G2716">
        <v>0</v>
      </c>
    </row>
    <row r="2717" spans="1:7" x14ac:dyDescent="0.25">
      <c r="A2717" t="s">
        <v>116</v>
      </c>
      <c r="B2717" t="s">
        <v>117</v>
      </c>
      <c r="C2717">
        <v>1250</v>
      </c>
      <c r="D2717" t="s">
        <v>35</v>
      </c>
      <c r="E2717" t="s">
        <v>37</v>
      </c>
      <c r="F2717" s="5">
        <v>42736</v>
      </c>
      <c r="G2717">
        <v>0</v>
      </c>
    </row>
    <row r="2718" spans="1:7" x14ac:dyDescent="0.25">
      <c r="A2718" t="s">
        <v>116</v>
      </c>
      <c r="B2718" t="s">
        <v>117</v>
      </c>
      <c r="C2718">
        <v>1250</v>
      </c>
      <c r="D2718" t="s">
        <v>35</v>
      </c>
      <c r="E2718" t="s">
        <v>38</v>
      </c>
      <c r="F2718" s="5">
        <v>42370</v>
      </c>
      <c r="G2718">
        <v>0</v>
      </c>
    </row>
    <row r="2719" spans="1:7" x14ac:dyDescent="0.25">
      <c r="A2719" t="s">
        <v>116</v>
      </c>
      <c r="B2719" t="s">
        <v>117</v>
      </c>
      <c r="C2719">
        <v>1250</v>
      </c>
      <c r="D2719" t="s">
        <v>35</v>
      </c>
      <c r="E2719" t="s">
        <v>38</v>
      </c>
      <c r="F2719" s="5">
        <v>42736</v>
      </c>
      <c r="G2719">
        <v>0</v>
      </c>
    </row>
    <row r="2720" spans="1:7" x14ac:dyDescent="0.25">
      <c r="A2720" t="s">
        <v>116</v>
      </c>
      <c r="B2720" t="s">
        <v>117</v>
      </c>
      <c r="C2720">
        <v>1250</v>
      </c>
      <c r="D2720" t="s">
        <v>35</v>
      </c>
      <c r="E2720" t="s">
        <v>39</v>
      </c>
      <c r="F2720" s="5">
        <v>42370</v>
      </c>
      <c r="G2720">
        <v>0</v>
      </c>
    </row>
    <row r="2721" spans="1:7" x14ac:dyDescent="0.25">
      <c r="A2721" t="s">
        <v>116</v>
      </c>
      <c r="B2721" t="s">
        <v>117</v>
      </c>
      <c r="C2721">
        <v>1250</v>
      </c>
      <c r="D2721" t="s">
        <v>35</v>
      </c>
      <c r="E2721" t="s">
        <v>39</v>
      </c>
      <c r="F2721" s="5">
        <v>42736</v>
      </c>
      <c r="G2721">
        <v>0</v>
      </c>
    </row>
    <row r="2722" spans="1:7" x14ac:dyDescent="0.25">
      <c r="A2722" t="s">
        <v>116</v>
      </c>
      <c r="B2722" t="s">
        <v>117</v>
      </c>
      <c r="C2722">
        <v>1250</v>
      </c>
      <c r="D2722" t="s">
        <v>35</v>
      </c>
      <c r="E2722" t="s">
        <v>40</v>
      </c>
      <c r="F2722" s="5">
        <v>42370</v>
      </c>
      <c r="G2722">
        <v>0</v>
      </c>
    </row>
    <row r="2723" spans="1:7" x14ac:dyDescent="0.25">
      <c r="A2723" t="s">
        <v>116</v>
      </c>
      <c r="B2723" t="s">
        <v>117</v>
      </c>
      <c r="C2723">
        <v>1250</v>
      </c>
      <c r="D2723" t="s">
        <v>35</v>
      </c>
      <c r="E2723" t="s">
        <v>40</v>
      </c>
      <c r="F2723" s="5">
        <v>42736</v>
      </c>
      <c r="G2723">
        <v>0</v>
      </c>
    </row>
    <row r="2724" spans="1:7" x14ac:dyDescent="0.25">
      <c r="A2724" t="s">
        <v>116</v>
      </c>
      <c r="B2724" t="s">
        <v>117</v>
      </c>
      <c r="C2724">
        <v>1250</v>
      </c>
      <c r="D2724" t="s">
        <v>35</v>
      </c>
      <c r="E2724" t="s">
        <v>41</v>
      </c>
      <c r="F2724" s="5">
        <v>42370</v>
      </c>
      <c r="G2724">
        <v>0</v>
      </c>
    </row>
    <row r="2725" spans="1:7" x14ac:dyDescent="0.25">
      <c r="A2725" t="s">
        <v>116</v>
      </c>
      <c r="B2725" t="s">
        <v>117</v>
      </c>
      <c r="C2725">
        <v>1250</v>
      </c>
      <c r="D2725" t="s">
        <v>35</v>
      </c>
      <c r="E2725" t="s">
        <v>41</v>
      </c>
      <c r="F2725" s="5">
        <v>42736</v>
      </c>
      <c r="G2725">
        <v>0</v>
      </c>
    </row>
    <row r="2726" spans="1:7" x14ac:dyDescent="0.25">
      <c r="A2726" t="s">
        <v>116</v>
      </c>
      <c r="B2726" t="s">
        <v>117</v>
      </c>
      <c r="C2726">
        <v>1250</v>
      </c>
      <c r="D2726" t="s">
        <v>35</v>
      </c>
      <c r="E2726" t="s">
        <v>42</v>
      </c>
      <c r="F2726" s="5">
        <v>42370</v>
      </c>
      <c r="G2726">
        <v>0</v>
      </c>
    </row>
    <row r="2727" spans="1:7" x14ac:dyDescent="0.25">
      <c r="A2727" t="s">
        <v>116</v>
      </c>
      <c r="B2727" t="s">
        <v>117</v>
      </c>
      <c r="C2727">
        <v>1250</v>
      </c>
      <c r="D2727" t="s">
        <v>35</v>
      </c>
      <c r="E2727" t="s">
        <v>42</v>
      </c>
      <c r="F2727" s="5">
        <v>42736</v>
      </c>
      <c r="G2727">
        <v>0</v>
      </c>
    </row>
    <row r="2728" spans="1:7" x14ac:dyDescent="0.25">
      <c r="A2728" t="s">
        <v>116</v>
      </c>
      <c r="B2728" t="s">
        <v>117</v>
      </c>
      <c r="C2728">
        <v>1250</v>
      </c>
      <c r="D2728" t="s">
        <v>35</v>
      </c>
      <c r="E2728" t="s">
        <v>43</v>
      </c>
      <c r="F2728" s="5">
        <v>42370</v>
      </c>
      <c r="G2728">
        <v>0</v>
      </c>
    </row>
    <row r="2729" spans="1:7" x14ac:dyDescent="0.25">
      <c r="A2729" t="s">
        <v>116</v>
      </c>
      <c r="B2729" t="s">
        <v>117</v>
      </c>
      <c r="C2729">
        <v>1250</v>
      </c>
      <c r="D2729" t="s">
        <v>35</v>
      </c>
      <c r="E2729" t="s">
        <v>43</v>
      </c>
      <c r="F2729" s="5">
        <v>42736</v>
      </c>
      <c r="G2729">
        <v>0</v>
      </c>
    </row>
    <row r="2730" spans="1:7" x14ac:dyDescent="0.25">
      <c r="A2730" t="s">
        <v>116</v>
      </c>
      <c r="B2730" t="s">
        <v>117</v>
      </c>
      <c r="C2730">
        <v>1250</v>
      </c>
      <c r="D2730" t="s">
        <v>44</v>
      </c>
      <c r="E2730" t="s">
        <v>36</v>
      </c>
      <c r="F2730" s="5">
        <v>42370</v>
      </c>
      <c r="G2730">
        <v>0</v>
      </c>
    </row>
    <row r="2731" spans="1:7" x14ac:dyDescent="0.25">
      <c r="A2731" t="s">
        <v>116</v>
      </c>
      <c r="B2731" t="s">
        <v>117</v>
      </c>
      <c r="C2731">
        <v>1250</v>
      </c>
      <c r="D2731" t="s">
        <v>44</v>
      </c>
      <c r="E2731" t="s">
        <v>36</v>
      </c>
      <c r="F2731" s="5">
        <v>42736</v>
      </c>
      <c r="G2731">
        <v>0</v>
      </c>
    </row>
    <row r="2732" spans="1:7" x14ac:dyDescent="0.25">
      <c r="A2732" t="s">
        <v>116</v>
      </c>
      <c r="B2732" t="s">
        <v>117</v>
      </c>
      <c r="C2732">
        <v>1250</v>
      </c>
      <c r="D2732" t="s">
        <v>44</v>
      </c>
      <c r="E2732" t="s">
        <v>37</v>
      </c>
      <c r="F2732" s="5">
        <v>42370</v>
      </c>
      <c r="G2732">
        <v>0</v>
      </c>
    </row>
    <row r="2733" spans="1:7" x14ac:dyDescent="0.25">
      <c r="A2733" t="s">
        <v>116</v>
      </c>
      <c r="B2733" t="s">
        <v>117</v>
      </c>
      <c r="C2733">
        <v>1250</v>
      </c>
      <c r="D2733" t="s">
        <v>44</v>
      </c>
      <c r="E2733" t="s">
        <v>37</v>
      </c>
      <c r="F2733" s="5">
        <v>42736</v>
      </c>
      <c r="G2733">
        <v>0</v>
      </c>
    </row>
    <row r="2734" spans="1:7" x14ac:dyDescent="0.25">
      <c r="A2734" t="s">
        <v>116</v>
      </c>
      <c r="B2734" t="s">
        <v>117</v>
      </c>
      <c r="C2734">
        <v>1250</v>
      </c>
      <c r="D2734" t="s">
        <v>44</v>
      </c>
      <c r="E2734" t="s">
        <v>38</v>
      </c>
      <c r="F2734" s="5">
        <v>42370</v>
      </c>
      <c r="G2734">
        <v>0</v>
      </c>
    </row>
    <row r="2735" spans="1:7" x14ac:dyDescent="0.25">
      <c r="A2735" t="s">
        <v>116</v>
      </c>
      <c r="B2735" t="s">
        <v>117</v>
      </c>
      <c r="C2735">
        <v>1250</v>
      </c>
      <c r="D2735" t="s">
        <v>44</v>
      </c>
      <c r="E2735" t="s">
        <v>38</v>
      </c>
      <c r="F2735" s="5">
        <v>42736</v>
      </c>
      <c r="G2735">
        <v>0</v>
      </c>
    </row>
    <row r="2736" spans="1:7" x14ac:dyDescent="0.25">
      <c r="A2736" t="s">
        <v>116</v>
      </c>
      <c r="B2736" t="s">
        <v>117</v>
      </c>
      <c r="C2736">
        <v>1250</v>
      </c>
      <c r="D2736" t="s">
        <v>44</v>
      </c>
      <c r="E2736" t="s">
        <v>39</v>
      </c>
      <c r="F2736" s="5">
        <v>42370</v>
      </c>
      <c r="G2736">
        <v>0</v>
      </c>
    </row>
    <row r="2737" spans="1:7" x14ac:dyDescent="0.25">
      <c r="A2737" t="s">
        <v>116</v>
      </c>
      <c r="B2737" t="s">
        <v>117</v>
      </c>
      <c r="C2737">
        <v>1250</v>
      </c>
      <c r="D2737" t="s">
        <v>44</v>
      </c>
      <c r="E2737" t="s">
        <v>39</v>
      </c>
      <c r="F2737" s="5">
        <v>42736</v>
      </c>
      <c r="G2737">
        <v>0</v>
      </c>
    </row>
    <row r="2738" spans="1:7" x14ac:dyDescent="0.25">
      <c r="A2738" t="s">
        <v>116</v>
      </c>
      <c r="B2738" t="s">
        <v>117</v>
      </c>
      <c r="C2738">
        <v>1250</v>
      </c>
      <c r="D2738" t="s">
        <v>44</v>
      </c>
      <c r="E2738" t="s">
        <v>40</v>
      </c>
      <c r="F2738" s="5">
        <v>42370</v>
      </c>
      <c r="G2738">
        <v>0</v>
      </c>
    </row>
    <row r="2739" spans="1:7" x14ac:dyDescent="0.25">
      <c r="A2739" t="s">
        <v>116</v>
      </c>
      <c r="B2739" t="s">
        <v>117</v>
      </c>
      <c r="C2739">
        <v>1250</v>
      </c>
      <c r="D2739" t="s">
        <v>44</v>
      </c>
      <c r="E2739" t="s">
        <v>40</v>
      </c>
      <c r="F2739" s="5">
        <v>42736</v>
      </c>
      <c r="G2739">
        <v>0</v>
      </c>
    </row>
    <row r="2740" spans="1:7" x14ac:dyDescent="0.25">
      <c r="A2740" t="s">
        <v>116</v>
      </c>
      <c r="B2740" t="s">
        <v>117</v>
      </c>
      <c r="C2740">
        <v>1250</v>
      </c>
      <c r="D2740" t="s">
        <v>44</v>
      </c>
      <c r="E2740" t="s">
        <v>41</v>
      </c>
      <c r="F2740" s="5">
        <v>42370</v>
      </c>
      <c r="G2740">
        <v>0</v>
      </c>
    </row>
    <row r="2741" spans="1:7" x14ac:dyDescent="0.25">
      <c r="A2741" t="s">
        <v>116</v>
      </c>
      <c r="B2741" t="s">
        <v>117</v>
      </c>
      <c r="C2741">
        <v>1250</v>
      </c>
      <c r="D2741" t="s">
        <v>44</v>
      </c>
      <c r="E2741" t="s">
        <v>41</v>
      </c>
      <c r="F2741" s="5">
        <v>42736</v>
      </c>
      <c r="G2741">
        <v>0</v>
      </c>
    </row>
    <row r="2742" spans="1:7" x14ac:dyDescent="0.25">
      <c r="A2742" t="s">
        <v>116</v>
      </c>
      <c r="B2742" t="s">
        <v>117</v>
      </c>
      <c r="C2742">
        <v>1250</v>
      </c>
      <c r="D2742" t="s">
        <v>44</v>
      </c>
      <c r="E2742" t="s">
        <v>42</v>
      </c>
      <c r="F2742" s="5">
        <v>42370</v>
      </c>
      <c r="G2742">
        <v>0</v>
      </c>
    </row>
    <row r="2743" spans="1:7" x14ac:dyDescent="0.25">
      <c r="A2743" t="s">
        <v>116</v>
      </c>
      <c r="B2743" t="s">
        <v>117</v>
      </c>
      <c r="C2743">
        <v>1250</v>
      </c>
      <c r="D2743" t="s">
        <v>44</v>
      </c>
      <c r="E2743" t="s">
        <v>42</v>
      </c>
      <c r="F2743" s="5">
        <v>42736</v>
      </c>
      <c r="G2743">
        <v>0</v>
      </c>
    </row>
    <row r="2744" spans="1:7" x14ac:dyDescent="0.25">
      <c r="A2744" t="s">
        <v>116</v>
      </c>
      <c r="B2744" t="s">
        <v>117</v>
      </c>
      <c r="C2744">
        <v>1250</v>
      </c>
      <c r="D2744" t="s">
        <v>44</v>
      </c>
      <c r="E2744" t="s">
        <v>43</v>
      </c>
      <c r="F2744" s="5">
        <v>42370</v>
      </c>
      <c r="G2744">
        <v>0</v>
      </c>
    </row>
    <row r="2745" spans="1:7" x14ac:dyDescent="0.25">
      <c r="A2745" t="s">
        <v>116</v>
      </c>
      <c r="B2745" t="s">
        <v>117</v>
      </c>
      <c r="C2745">
        <v>1250</v>
      </c>
      <c r="D2745" t="s">
        <v>44</v>
      </c>
      <c r="E2745" t="s">
        <v>43</v>
      </c>
      <c r="F2745" s="5">
        <v>42736</v>
      </c>
      <c r="G2745">
        <v>0</v>
      </c>
    </row>
    <row r="2746" spans="1:7" x14ac:dyDescent="0.25">
      <c r="A2746" t="s">
        <v>116</v>
      </c>
      <c r="B2746" t="s">
        <v>117</v>
      </c>
      <c r="C2746">
        <v>1250</v>
      </c>
      <c r="D2746" t="s">
        <v>45</v>
      </c>
      <c r="E2746" t="s">
        <v>46</v>
      </c>
      <c r="F2746" s="5">
        <v>42370</v>
      </c>
      <c r="G2746">
        <v>0</v>
      </c>
    </row>
    <row r="2747" spans="1:7" x14ac:dyDescent="0.25">
      <c r="A2747" t="s">
        <v>116</v>
      </c>
      <c r="B2747" t="s">
        <v>117</v>
      </c>
      <c r="C2747">
        <v>1250</v>
      </c>
      <c r="D2747" t="s">
        <v>45</v>
      </c>
      <c r="E2747" t="s">
        <v>46</v>
      </c>
      <c r="F2747" s="5">
        <v>42736</v>
      </c>
      <c r="G2747">
        <v>0</v>
      </c>
    </row>
    <row r="2748" spans="1:7" x14ac:dyDescent="0.25">
      <c r="A2748" t="s">
        <v>116</v>
      </c>
      <c r="B2748" t="s">
        <v>117</v>
      </c>
      <c r="C2748">
        <v>1250</v>
      </c>
      <c r="D2748" t="s">
        <v>45</v>
      </c>
      <c r="E2748" t="s">
        <v>47</v>
      </c>
      <c r="F2748" s="5">
        <v>42370</v>
      </c>
      <c r="G2748">
        <v>2</v>
      </c>
    </row>
    <row r="2749" spans="1:7" x14ac:dyDescent="0.25">
      <c r="A2749" t="s">
        <v>116</v>
      </c>
      <c r="B2749" t="s">
        <v>117</v>
      </c>
      <c r="C2749">
        <v>1250</v>
      </c>
      <c r="D2749" t="s">
        <v>45</v>
      </c>
      <c r="E2749" t="s">
        <v>47</v>
      </c>
      <c r="F2749" s="5">
        <v>42736</v>
      </c>
      <c r="G2749">
        <v>1</v>
      </c>
    </row>
    <row r="2750" spans="1:7" x14ac:dyDescent="0.25">
      <c r="A2750" t="s">
        <v>116</v>
      </c>
      <c r="B2750" t="s">
        <v>117</v>
      </c>
      <c r="C2750">
        <v>1250</v>
      </c>
      <c r="D2750" t="s">
        <v>45</v>
      </c>
      <c r="E2750" t="s">
        <v>48</v>
      </c>
      <c r="F2750" s="5">
        <v>42370</v>
      </c>
      <c r="G2750">
        <v>13</v>
      </c>
    </row>
    <row r="2751" spans="1:7" x14ac:dyDescent="0.25">
      <c r="A2751" t="s">
        <v>116</v>
      </c>
      <c r="B2751" t="s">
        <v>117</v>
      </c>
      <c r="C2751">
        <v>1250</v>
      </c>
      <c r="D2751" t="s">
        <v>45</v>
      </c>
      <c r="E2751" t="s">
        <v>48</v>
      </c>
      <c r="F2751" s="5">
        <v>42736</v>
      </c>
      <c r="G2751">
        <v>19</v>
      </c>
    </row>
    <row r="2752" spans="1:7" x14ac:dyDescent="0.25">
      <c r="A2752" t="s">
        <v>116</v>
      </c>
      <c r="B2752" t="s">
        <v>117</v>
      </c>
      <c r="C2752">
        <v>1250</v>
      </c>
      <c r="D2752" t="s">
        <v>45</v>
      </c>
      <c r="E2752" t="s">
        <v>49</v>
      </c>
      <c r="F2752" s="5">
        <v>42370</v>
      </c>
      <c r="G2752">
        <v>1</v>
      </c>
    </row>
    <row r="2753" spans="1:7" x14ac:dyDescent="0.25">
      <c r="A2753" t="s">
        <v>116</v>
      </c>
      <c r="B2753" t="s">
        <v>117</v>
      </c>
      <c r="C2753">
        <v>1250</v>
      </c>
      <c r="D2753" t="s">
        <v>45</v>
      </c>
      <c r="E2753" t="s">
        <v>49</v>
      </c>
      <c r="F2753" s="5">
        <v>42736</v>
      </c>
      <c r="G2753">
        <v>4</v>
      </c>
    </row>
    <row r="2754" spans="1:7" x14ac:dyDescent="0.25">
      <c r="A2754" t="s">
        <v>116</v>
      </c>
      <c r="B2754" t="s">
        <v>117</v>
      </c>
      <c r="C2754">
        <v>1250</v>
      </c>
      <c r="D2754" t="s">
        <v>45</v>
      </c>
      <c r="E2754" t="s">
        <v>50</v>
      </c>
      <c r="F2754" s="5">
        <v>42370</v>
      </c>
      <c r="G2754">
        <v>0</v>
      </c>
    </row>
    <row r="2755" spans="1:7" x14ac:dyDescent="0.25">
      <c r="A2755" t="s">
        <v>116</v>
      </c>
      <c r="B2755" t="s">
        <v>117</v>
      </c>
      <c r="C2755">
        <v>1250</v>
      </c>
      <c r="D2755" t="s">
        <v>45</v>
      </c>
      <c r="E2755" t="s">
        <v>50</v>
      </c>
      <c r="F2755" s="5">
        <v>42736</v>
      </c>
      <c r="G2755">
        <v>0</v>
      </c>
    </row>
    <row r="2756" spans="1:7" x14ac:dyDescent="0.25">
      <c r="A2756" t="s">
        <v>116</v>
      </c>
      <c r="B2756" t="s">
        <v>117</v>
      </c>
      <c r="C2756">
        <v>1250</v>
      </c>
      <c r="D2756" t="s">
        <v>45</v>
      </c>
      <c r="E2756" t="s">
        <v>51</v>
      </c>
      <c r="F2756" s="5">
        <v>42370</v>
      </c>
      <c r="G2756">
        <v>0</v>
      </c>
    </row>
    <row r="2757" spans="1:7" x14ac:dyDescent="0.25">
      <c r="A2757" t="s">
        <v>116</v>
      </c>
      <c r="B2757" t="s">
        <v>117</v>
      </c>
      <c r="C2757">
        <v>1250</v>
      </c>
      <c r="D2757" t="s">
        <v>45</v>
      </c>
      <c r="E2757" t="s">
        <v>51</v>
      </c>
      <c r="F2757" s="5">
        <v>42736</v>
      </c>
      <c r="G2757">
        <v>0</v>
      </c>
    </row>
    <row r="2758" spans="1:7" x14ac:dyDescent="0.25">
      <c r="A2758" t="s">
        <v>116</v>
      </c>
      <c r="B2758" t="s">
        <v>117</v>
      </c>
      <c r="C2758">
        <v>1250</v>
      </c>
      <c r="D2758" t="s">
        <v>45</v>
      </c>
      <c r="E2758" t="s">
        <v>52</v>
      </c>
      <c r="F2758" s="5">
        <v>42370</v>
      </c>
      <c r="G2758">
        <v>0</v>
      </c>
    </row>
    <row r="2759" spans="1:7" x14ac:dyDescent="0.25">
      <c r="A2759" t="s">
        <v>116</v>
      </c>
      <c r="B2759" t="s">
        <v>117</v>
      </c>
      <c r="C2759">
        <v>1250</v>
      </c>
      <c r="D2759" t="s">
        <v>45</v>
      </c>
      <c r="E2759" t="s">
        <v>52</v>
      </c>
      <c r="F2759" s="5">
        <v>42736</v>
      </c>
      <c r="G2759">
        <v>0</v>
      </c>
    </row>
    <row r="2760" spans="1:7" x14ac:dyDescent="0.25">
      <c r="A2760" t="s">
        <v>116</v>
      </c>
      <c r="B2760" t="s">
        <v>117</v>
      </c>
      <c r="C2760">
        <v>1250</v>
      </c>
      <c r="D2760" t="s">
        <v>45</v>
      </c>
      <c r="E2760" t="s">
        <v>53</v>
      </c>
      <c r="F2760" s="5">
        <v>42370</v>
      </c>
      <c r="G2760">
        <v>1</v>
      </c>
    </row>
    <row r="2761" spans="1:7" x14ac:dyDescent="0.25">
      <c r="A2761" t="s">
        <v>116</v>
      </c>
      <c r="B2761" t="s">
        <v>117</v>
      </c>
      <c r="C2761">
        <v>1250</v>
      </c>
      <c r="D2761" t="s">
        <v>45</v>
      </c>
      <c r="E2761" t="s">
        <v>53</v>
      </c>
      <c r="F2761" s="5">
        <v>42736</v>
      </c>
      <c r="G2761">
        <v>4</v>
      </c>
    </row>
    <row r="2762" spans="1:7" x14ac:dyDescent="0.25">
      <c r="A2762" t="s">
        <v>116</v>
      </c>
      <c r="B2762" t="s">
        <v>117</v>
      </c>
      <c r="C2762">
        <v>1250</v>
      </c>
      <c r="D2762" t="s">
        <v>45</v>
      </c>
      <c r="E2762" t="s">
        <v>54</v>
      </c>
      <c r="F2762" s="5">
        <v>42370</v>
      </c>
      <c r="G2762">
        <v>0</v>
      </c>
    </row>
    <row r="2763" spans="1:7" x14ac:dyDescent="0.25">
      <c r="A2763" t="s">
        <v>116</v>
      </c>
      <c r="B2763" t="s">
        <v>117</v>
      </c>
      <c r="C2763">
        <v>1250</v>
      </c>
      <c r="D2763" t="s">
        <v>45</v>
      </c>
      <c r="E2763" t="s">
        <v>54</v>
      </c>
      <c r="F2763" s="5">
        <v>42736</v>
      </c>
      <c r="G2763">
        <v>1</v>
      </c>
    </row>
    <row r="2764" spans="1:7" x14ac:dyDescent="0.25">
      <c r="A2764" t="s">
        <v>116</v>
      </c>
      <c r="B2764" t="s">
        <v>117</v>
      </c>
      <c r="C2764">
        <v>1250</v>
      </c>
      <c r="D2764" t="s">
        <v>45</v>
      </c>
      <c r="E2764" t="s">
        <v>55</v>
      </c>
      <c r="F2764" s="5">
        <v>42370</v>
      </c>
      <c r="G2764">
        <v>0</v>
      </c>
    </row>
    <row r="2765" spans="1:7" x14ac:dyDescent="0.25">
      <c r="A2765" t="s">
        <v>116</v>
      </c>
      <c r="B2765" t="s">
        <v>117</v>
      </c>
      <c r="C2765">
        <v>1250</v>
      </c>
      <c r="D2765" t="s">
        <v>45</v>
      </c>
      <c r="E2765" t="s">
        <v>55</v>
      </c>
      <c r="F2765" s="5">
        <v>42736</v>
      </c>
      <c r="G2765">
        <v>0</v>
      </c>
    </row>
    <row r="2766" spans="1:7" x14ac:dyDescent="0.25">
      <c r="A2766" t="s">
        <v>116</v>
      </c>
      <c r="B2766" t="s">
        <v>117</v>
      </c>
      <c r="C2766">
        <v>1250</v>
      </c>
      <c r="D2766" t="s">
        <v>45</v>
      </c>
      <c r="E2766" t="s">
        <v>56</v>
      </c>
      <c r="F2766" s="5">
        <v>42370</v>
      </c>
      <c r="G2766">
        <v>0</v>
      </c>
    </row>
    <row r="2767" spans="1:7" x14ac:dyDescent="0.25">
      <c r="A2767" t="s">
        <v>116</v>
      </c>
      <c r="B2767" t="s">
        <v>117</v>
      </c>
      <c r="C2767">
        <v>1250</v>
      </c>
      <c r="D2767" t="s">
        <v>45</v>
      </c>
      <c r="E2767" t="s">
        <v>56</v>
      </c>
      <c r="F2767" s="5">
        <v>42736</v>
      </c>
      <c r="G2767">
        <v>0</v>
      </c>
    </row>
    <row r="2768" spans="1:7" x14ac:dyDescent="0.25">
      <c r="A2768" t="s">
        <v>116</v>
      </c>
      <c r="B2768" t="s">
        <v>117</v>
      </c>
      <c r="C2768">
        <v>1250</v>
      </c>
      <c r="D2768" t="s">
        <v>45</v>
      </c>
      <c r="E2768" t="s">
        <v>57</v>
      </c>
      <c r="F2768" s="5">
        <v>42370</v>
      </c>
      <c r="G2768">
        <v>0</v>
      </c>
    </row>
    <row r="2769" spans="1:7" x14ac:dyDescent="0.25">
      <c r="A2769" t="s">
        <v>116</v>
      </c>
      <c r="B2769" t="s">
        <v>117</v>
      </c>
      <c r="C2769">
        <v>1250</v>
      </c>
      <c r="D2769" t="s">
        <v>45</v>
      </c>
      <c r="E2769" t="s">
        <v>57</v>
      </c>
      <c r="F2769" s="5">
        <v>42736</v>
      </c>
      <c r="G2769">
        <v>0</v>
      </c>
    </row>
    <row r="2770" spans="1:7" x14ac:dyDescent="0.25">
      <c r="A2770" t="s">
        <v>116</v>
      </c>
      <c r="B2770" t="s">
        <v>117</v>
      </c>
      <c r="C2770">
        <v>1250</v>
      </c>
      <c r="D2770" t="s">
        <v>45</v>
      </c>
      <c r="E2770" t="s">
        <v>58</v>
      </c>
      <c r="F2770" s="5">
        <v>42370</v>
      </c>
      <c r="G2770">
        <v>0</v>
      </c>
    </row>
    <row r="2771" spans="1:7" x14ac:dyDescent="0.25">
      <c r="A2771" t="s">
        <v>116</v>
      </c>
      <c r="B2771" t="s">
        <v>117</v>
      </c>
      <c r="C2771">
        <v>1250</v>
      </c>
      <c r="D2771" t="s">
        <v>45</v>
      </c>
      <c r="E2771" t="s">
        <v>58</v>
      </c>
      <c r="F2771" s="5">
        <v>42736</v>
      </c>
      <c r="G2771">
        <v>0</v>
      </c>
    </row>
    <row r="2772" spans="1:7" x14ac:dyDescent="0.25">
      <c r="A2772" t="s">
        <v>116</v>
      </c>
      <c r="B2772" t="s">
        <v>117</v>
      </c>
      <c r="C2772">
        <v>1250</v>
      </c>
      <c r="D2772" t="s">
        <v>45</v>
      </c>
      <c r="E2772" t="s">
        <v>59</v>
      </c>
      <c r="F2772" s="5">
        <v>42370</v>
      </c>
      <c r="G2772">
        <v>0</v>
      </c>
    </row>
    <row r="2773" spans="1:7" x14ac:dyDescent="0.25">
      <c r="A2773" t="s">
        <v>116</v>
      </c>
      <c r="B2773" t="s">
        <v>117</v>
      </c>
      <c r="C2773">
        <v>1250</v>
      </c>
      <c r="D2773" t="s">
        <v>45</v>
      </c>
      <c r="E2773" t="s">
        <v>59</v>
      </c>
      <c r="F2773" s="5">
        <v>42736</v>
      </c>
      <c r="G2773">
        <v>0</v>
      </c>
    </row>
    <row r="2774" spans="1:7" x14ac:dyDescent="0.25">
      <c r="A2774" t="s">
        <v>116</v>
      </c>
      <c r="B2774" t="s">
        <v>117</v>
      </c>
      <c r="C2774">
        <v>1250</v>
      </c>
      <c r="D2774" t="s">
        <v>45</v>
      </c>
      <c r="E2774" t="s">
        <v>60</v>
      </c>
      <c r="F2774" s="5">
        <v>42370</v>
      </c>
      <c r="G2774">
        <v>0</v>
      </c>
    </row>
    <row r="2775" spans="1:7" x14ac:dyDescent="0.25">
      <c r="A2775" t="s">
        <v>116</v>
      </c>
      <c r="B2775" t="s">
        <v>117</v>
      </c>
      <c r="C2775">
        <v>1250</v>
      </c>
      <c r="D2775" t="s">
        <v>45</v>
      </c>
      <c r="E2775" t="s">
        <v>60</v>
      </c>
      <c r="F2775" s="5">
        <v>42736</v>
      </c>
      <c r="G2775">
        <v>0</v>
      </c>
    </row>
    <row r="2776" spans="1:7" x14ac:dyDescent="0.25">
      <c r="A2776" t="s">
        <v>116</v>
      </c>
      <c r="B2776" t="s">
        <v>117</v>
      </c>
      <c r="C2776">
        <v>1250</v>
      </c>
      <c r="D2776" t="s">
        <v>45</v>
      </c>
      <c r="E2776" t="s">
        <v>61</v>
      </c>
      <c r="F2776" s="5">
        <v>42370</v>
      </c>
      <c r="G2776">
        <v>1</v>
      </c>
    </row>
    <row r="2777" spans="1:7" x14ac:dyDescent="0.25">
      <c r="A2777" t="s">
        <v>116</v>
      </c>
      <c r="B2777" t="s">
        <v>117</v>
      </c>
      <c r="C2777">
        <v>1250</v>
      </c>
      <c r="D2777" t="s">
        <v>45</v>
      </c>
      <c r="E2777" t="s">
        <v>61</v>
      </c>
      <c r="F2777" s="5">
        <v>42736</v>
      </c>
      <c r="G2777">
        <v>0</v>
      </c>
    </row>
    <row r="2778" spans="1:7" x14ac:dyDescent="0.25">
      <c r="A2778" t="s">
        <v>116</v>
      </c>
      <c r="B2778" t="s">
        <v>117</v>
      </c>
      <c r="C2778">
        <v>1250</v>
      </c>
      <c r="D2778" t="s">
        <v>62</v>
      </c>
      <c r="E2778" t="s">
        <v>63</v>
      </c>
      <c r="F2778" s="5">
        <v>42370</v>
      </c>
      <c r="G2778">
        <v>0</v>
      </c>
    </row>
    <row r="2779" spans="1:7" x14ac:dyDescent="0.25">
      <c r="A2779" t="s">
        <v>116</v>
      </c>
      <c r="B2779" t="s">
        <v>117</v>
      </c>
      <c r="C2779">
        <v>1250</v>
      </c>
      <c r="D2779" t="s">
        <v>62</v>
      </c>
      <c r="E2779" t="s">
        <v>63</v>
      </c>
      <c r="F2779" s="5">
        <v>42736</v>
      </c>
      <c r="G2779">
        <v>0</v>
      </c>
    </row>
    <row r="2780" spans="1:7" x14ac:dyDescent="0.25">
      <c r="A2780" t="s">
        <v>116</v>
      </c>
      <c r="B2780" t="s">
        <v>117</v>
      </c>
      <c r="C2780">
        <v>1250</v>
      </c>
      <c r="D2780" t="s">
        <v>62</v>
      </c>
      <c r="E2780" t="s">
        <v>64</v>
      </c>
      <c r="F2780" s="5">
        <v>42370</v>
      </c>
      <c r="G2780">
        <v>0</v>
      </c>
    </row>
    <row r="2781" spans="1:7" x14ac:dyDescent="0.25">
      <c r="A2781" t="s">
        <v>116</v>
      </c>
      <c r="B2781" t="s">
        <v>117</v>
      </c>
      <c r="C2781">
        <v>1250</v>
      </c>
      <c r="D2781" t="s">
        <v>62</v>
      </c>
      <c r="E2781" t="s">
        <v>64</v>
      </c>
      <c r="F2781" s="5">
        <v>42736</v>
      </c>
      <c r="G2781">
        <v>0</v>
      </c>
    </row>
    <row r="2782" spans="1:7" x14ac:dyDescent="0.25">
      <c r="A2782" t="s">
        <v>116</v>
      </c>
      <c r="B2782" t="s">
        <v>117</v>
      </c>
      <c r="C2782">
        <v>1250</v>
      </c>
      <c r="D2782" t="s">
        <v>62</v>
      </c>
      <c r="E2782" t="s">
        <v>9</v>
      </c>
      <c r="F2782" s="5">
        <v>42370</v>
      </c>
      <c r="G2782">
        <v>0</v>
      </c>
    </row>
    <row r="2783" spans="1:7" x14ac:dyDescent="0.25">
      <c r="A2783" t="s">
        <v>116</v>
      </c>
      <c r="B2783" t="s">
        <v>117</v>
      </c>
      <c r="C2783">
        <v>1250</v>
      </c>
      <c r="D2783" t="s">
        <v>62</v>
      </c>
      <c r="E2783" t="s">
        <v>9</v>
      </c>
      <c r="F2783" s="5">
        <v>42736</v>
      </c>
      <c r="G2783">
        <v>0</v>
      </c>
    </row>
    <row r="2784" spans="1:7" x14ac:dyDescent="0.25">
      <c r="A2784" t="s">
        <v>116</v>
      </c>
      <c r="B2784" t="s">
        <v>117</v>
      </c>
      <c r="C2784">
        <v>1250</v>
      </c>
      <c r="D2784" t="s">
        <v>62</v>
      </c>
      <c r="E2784" t="s">
        <v>65</v>
      </c>
      <c r="F2784" s="5">
        <v>42370</v>
      </c>
      <c r="G2784">
        <v>0</v>
      </c>
    </row>
    <row r="2785" spans="1:7" x14ac:dyDescent="0.25">
      <c r="A2785" t="s">
        <v>116</v>
      </c>
      <c r="B2785" t="s">
        <v>117</v>
      </c>
      <c r="C2785">
        <v>1250</v>
      </c>
      <c r="D2785" t="s">
        <v>62</v>
      </c>
      <c r="E2785" t="s">
        <v>65</v>
      </c>
      <c r="F2785" s="5">
        <v>42736</v>
      </c>
      <c r="G2785">
        <v>0</v>
      </c>
    </row>
    <row r="2786" spans="1:7" x14ac:dyDescent="0.25">
      <c r="A2786" t="s">
        <v>116</v>
      </c>
      <c r="B2786" t="s">
        <v>117</v>
      </c>
      <c r="C2786">
        <v>1250</v>
      </c>
      <c r="D2786" t="s">
        <v>62</v>
      </c>
      <c r="E2786" t="s">
        <v>66</v>
      </c>
      <c r="F2786" s="5">
        <v>42370</v>
      </c>
      <c r="G2786">
        <v>0</v>
      </c>
    </row>
    <row r="2787" spans="1:7" x14ac:dyDescent="0.25">
      <c r="A2787" t="s">
        <v>116</v>
      </c>
      <c r="B2787" t="s">
        <v>117</v>
      </c>
      <c r="C2787">
        <v>1250</v>
      </c>
      <c r="D2787" t="s">
        <v>62</v>
      </c>
      <c r="E2787" t="s">
        <v>66</v>
      </c>
      <c r="F2787" s="5">
        <v>42736</v>
      </c>
      <c r="G2787">
        <v>0</v>
      </c>
    </row>
    <row r="2788" spans="1:7" x14ac:dyDescent="0.25">
      <c r="A2788" t="s">
        <v>116</v>
      </c>
      <c r="B2788" t="s">
        <v>117</v>
      </c>
      <c r="C2788">
        <v>1250</v>
      </c>
      <c r="D2788" t="s">
        <v>62</v>
      </c>
      <c r="E2788" t="s">
        <v>67</v>
      </c>
      <c r="F2788" s="5">
        <v>42370</v>
      </c>
      <c r="G2788">
        <v>0</v>
      </c>
    </row>
    <row r="2789" spans="1:7" x14ac:dyDescent="0.25">
      <c r="A2789" t="s">
        <v>116</v>
      </c>
      <c r="B2789" t="s">
        <v>117</v>
      </c>
      <c r="C2789">
        <v>1250</v>
      </c>
      <c r="D2789" t="s">
        <v>62</v>
      </c>
      <c r="E2789" t="s">
        <v>67</v>
      </c>
      <c r="F2789" s="5">
        <v>42736</v>
      </c>
      <c r="G2789">
        <v>0</v>
      </c>
    </row>
    <row r="2790" spans="1:7" x14ac:dyDescent="0.25">
      <c r="A2790" t="s">
        <v>116</v>
      </c>
      <c r="B2790" t="s">
        <v>117</v>
      </c>
      <c r="C2790">
        <v>1250</v>
      </c>
      <c r="D2790" t="s">
        <v>62</v>
      </c>
      <c r="E2790" t="s">
        <v>68</v>
      </c>
      <c r="F2790" s="5">
        <v>42370</v>
      </c>
      <c r="G2790">
        <v>0</v>
      </c>
    </row>
    <row r="2791" spans="1:7" x14ac:dyDescent="0.25">
      <c r="A2791" t="s">
        <v>116</v>
      </c>
      <c r="B2791" t="s">
        <v>117</v>
      </c>
      <c r="C2791">
        <v>1250</v>
      </c>
      <c r="D2791" t="s">
        <v>62</v>
      </c>
      <c r="E2791" t="s">
        <v>68</v>
      </c>
      <c r="F2791" s="5">
        <v>42736</v>
      </c>
      <c r="G2791">
        <v>0</v>
      </c>
    </row>
    <row r="2792" spans="1:7" x14ac:dyDescent="0.25">
      <c r="A2792" t="s">
        <v>116</v>
      </c>
      <c r="B2792" t="s">
        <v>117</v>
      </c>
      <c r="C2792">
        <v>1250</v>
      </c>
      <c r="D2792" t="s">
        <v>62</v>
      </c>
      <c r="E2792" t="s">
        <v>69</v>
      </c>
      <c r="F2792" s="5">
        <v>42370</v>
      </c>
      <c r="G2792">
        <v>0</v>
      </c>
    </row>
    <row r="2793" spans="1:7" x14ac:dyDescent="0.25">
      <c r="A2793" t="s">
        <v>116</v>
      </c>
      <c r="B2793" t="s">
        <v>117</v>
      </c>
      <c r="C2793">
        <v>1250</v>
      </c>
      <c r="D2793" t="s">
        <v>62</v>
      </c>
      <c r="E2793" t="s">
        <v>69</v>
      </c>
      <c r="F2793" s="5">
        <v>42736</v>
      </c>
      <c r="G2793">
        <v>0</v>
      </c>
    </row>
    <row r="2794" spans="1:7" x14ac:dyDescent="0.25">
      <c r="A2794" t="s">
        <v>116</v>
      </c>
      <c r="B2794" t="s">
        <v>117</v>
      </c>
      <c r="C2794">
        <v>1250</v>
      </c>
      <c r="D2794" t="s">
        <v>62</v>
      </c>
      <c r="E2794" t="s">
        <v>70</v>
      </c>
      <c r="F2794" s="5">
        <v>42370</v>
      </c>
      <c r="G2794">
        <v>0</v>
      </c>
    </row>
    <row r="2795" spans="1:7" x14ac:dyDescent="0.25">
      <c r="A2795" t="s">
        <v>116</v>
      </c>
      <c r="B2795" t="s">
        <v>117</v>
      </c>
      <c r="C2795">
        <v>1250</v>
      </c>
      <c r="D2795" t="s">
        <v>62</v>
      </c>
      <c r="E2795" t="s">
        <v>70</v>
      </c>
      <c r="F2795" s="5">
        <v>42736</v>
      </c>
      <c r="G2795">
        <v>0</v>
      </c>
    </row>
    <row r="2796" spans="1:7" x14ac:dyDescent="0.25">
      <c r="A2796" t="s">
        <v>116</v>
      </c>
      <c r="B2796" t="s">
        <v>117</v>
      </c>
      <c r="C2796">
        <v>1250</v>
      </c>
      <c r="D2796" t="s">
        <v>62</v>
      </c>
      <c r="E2796" t="s">
        <v>71</v>
      </c>
      <c r="F2796" s="5">
        <v>42370</v>
      </c>
      <c r="G2796">
        <v>0</v>
      </c>
    </row>
    <row r="2797" spans="1:7" x14ac:dyDescent="0.25">
      <c r="A2797" t="s">
        <v>116</v>
      </c>
      <c r="B2797" t="s">
        <v>117</v>
      </c>
      <c r="C2797">
        <v>1250</v>
      </c>
      <c r="D2797" t="s">
        <v>62</v>
      </c>
      <c r="E2797" t="s">
        <v>71</v>
      </c>
      <c r="F2797" s="5">
        <v>42736</v>
      </c>
      <c r="G2797">
        <v>0</v>
      </c>
    </row>
    <row r="2798" spans="1:7" x14ac:dyDescent="0.25">
      <c r="A2798" t="s">
        <v>116</v>
      </c>
      <c r="B2798" t="s">
        <v>117</v>
      </c>
      <c r="C2798">
        <v>1250</v>
      </c>
      <c r="D2798" t="s">
        <v>72</v>
      </c>
      <c r="E2798" t="s">
        <v>73</v>
      </c>
      <c r="F2798" s="5">
        <v>42370</v>
      </c>
      <c r="G2798">
        <v>0</v>
      </c>
    </row>
    <row r="2799" spans="1:7" x14ac:dyDescent="0.25">
      <c r="A2799" t="s">
        <v>116</v>
      </c>
      <c r="B2799" t="s">
        <v>117</v>
      </c>
      <c r="C2799">
        <v>1250</v>
      </c>
      <c r="D2799" t="s">
        <v>72</v>
      </c>
      <c r="E2799" t="s">
        <v>73</v>
      </c>
      <c r="F2799" s="5">
        <v>42736</v>
      </c>
      <c r="G2799">
        <v>0</v>
      </c>
    </row>
    <row r="2800" spans="1:7" x14ac:dyDescent="0.25">
      <c r="A2800" t="s">
        <v>116</v>
      </c>
      <c r="B2800" t="s">
        <v>117</v>
      </c>
      <c r="C2800">
        <v>1250</v>
      </c>
      <c r="D2800" t="s">
        <v>72</v>
      </c>
      <c r="E2800" t="s">
        <v>9</v>
      </c>
      <c r="F2800" s="5">
        <v>42370</v>
      </c>
      <c r="G2800">
        <v>0</v>
      </c>
    </row>
    <row r="2801" spans="1:7" x14ac:dyDescent="0.25">
      <c r="A2801" t="s">
        <v>116</v>
      </c>
      <c r="B2801" t="s">
        <v>117</v>
      </c>
      <c r="C2801">
        <v>1250</v>
      </c>
      <c r="D2801" t="s">
        <v>72</v>
      </c>
      <c r="E2801" t="s">
        <v>9</v>
      </c>
      <c r="F2801" s="5">
        <v>42736</v>
      </c>
      <c r="G2801">
        <v>0</v>
      </c>
    </row>
    <row r="2802" spans="1:7" x14ac:dyDescent="0.25">
      <c r="A2802" t="s">
        <v>116</v>
      </c>
      <c r="B2802" t="s">
        <v>117</v>
      </c>
      <c r="C2802">
        <v>1250</v>
      </c>
      <c r="D2802" t="s">
        <v>72</v>
      </c>
      <c r="E2802" t="s">
        <v>34</v>
      </c>
      <c r="F2802" s="5">
        <v>42370</v>
      </c>
      <c r="G2802">
        <v>0</v>
      </c>
    </row>
    <row r="2803" spans="1:7" x14ac:dyDescent="0.25">
      <c r="A2803" t="s">
        <v>116</v>
      </c>
      <c r="B2803" t="s">
        <v>117</v>
      </c>
      <c r="C2803">
        <v>1250</v>
      </c>
      <c r="D2803" t="s">
        <v>72</v>
      </c>
      <c r="E2803" t="s">
        <v>34</v>
      </c>
      <c r="F2803" s="5">
        <v>42736</v>
      </c>
      <c r="G2803">
        <v>0</v>
      </c>
    </row>
    <row r="2804" spans="1:7" x14ac:dyDescent="0.25">
      <c r="A2804" t="s">
        <v>116</v>
      </c>
      <c r="B2804" t="s">
        <v>117</v>
      </c>
      <c r="C2804">
        <v>1250</v>
      </c>
      <c r="D2804" t="s">
        <v>72</v>
      </c>
      <c r="E2804" t="s">
        <v>74</v>
      </c>
      <c r="F2804" s="5">
        <v>42370</v>
      </c>
      <c r="G2804">
        <v>0</v>
      </c>
    </row>
    <row r="2805" spans="1:7" x14ac:dyDescent="0.25">
      <c r="A2805" t="s">
        <v>116</v>
      </c>
      <c r="B2805" t="s">
        <v>117</v>
      </c>
      <c r="C2805">
        <v>1250</v>
      </c>
      <c r="D2805" t="s">
        <v>72</v>
      </c>
      <c r="E2805" t="s">
        <v>74</v>
      </c>
      <c r="F2805" s="5">
        <v>42736</v>
      </c>
      <c r="G2805">
        <v>0</v>
      </c>
    </row>
    <row r="2806" spans="1:7" x14ac:dyDescent="0.25">
      <c r="A2806" t="s">
        <v>116</v>
      </c>
      <c r="B2806" t="s">
        <v>117</v>
      </c>
      <c r="C2806">
        <v>1250</v>
      </c>
      <c r="D2806" t="s">
        <v>72</v>
      </c>
      <c r="E2806" t="s">
        <v>75</v>
      </c>
      <c r="F2806" s="5">
        <v>42370</v>
      </c>
      <c r="G2806">
        <v>0</v>
      </c>
    </row>
    <row r="2807" spans="1:7" x14ac:dyDescent="0.25">
      <c r="A2807" t="s">
        <v>116</v>
      </c>
      <c r="B2807" t="s">
        <v>117</v>
      </c>
      <c r="C2807">
        <v>1250</v>
      </c>
      <c r="D2807" t="s">
        <v>72</v>
      </c>
      <c r="E2807" t="s">
        <v>75</v>
      </c>
      <c r="F2807" s="5">
        <v>42736</v>
      </c>
      <c r="G2807">
        <v>0</v>
      </c>
    </row>
    <row r="2808" spans="1:7" x14ac:dyDescent="0.25">
      <c r="A2808" t="s">
        <v>116</v>
      </c>
      <c r="B2808" t="s">
        <v>117</v>
      </c>
      <c r="C2808">
        <v>1250</v>
      </c>
      <c r="D2808" t="s">
        <v>76</v>
      </c>
      <c r="E2808" t="s">
        <v>9</v>
      </c>
      <c r="F2808" s="5">
        <v>42370</v>
      </c>
      <c r="G2808">
        <v>0</v>
      </c>
    </row>
    <row r="2809" spans="1:7" x14ac:dyDescent="0.25">
      <c r="A2809" t="s">
        <v>116</v>
      </c>
      <c r="B2809" t="s">
        <v>117</v>
      </c>
      <c r="C2809">
        <v>1250</v>
      </c>
      <c r="D2809" t="s">
        <v>76</v>
      </c>
      <c r="E2809" t="s">
        <v>9</v>
      </c>
      <c r="F2809" s="5">
        <v>42736</v>
      </c>
      <c r="G2809">
        <v>0</v>
      </c>
    </row>
    <row r="2810" spans="1:7" x14ac:dyDescent="0.25">
      <c r="A2810" t="s">
        <v>116</v>
      </c>
      <c r="B2810" t="s">
        <v>117</v>
      </c>
      <c r="C2810">
        <v>1250</v>
      </c>
      <c r="D2810" t="s">
        <v>76</v>
      </c>
      <c r="E2810" t="s">
        <v>77</v>
      </c>
      <c r="F2810" s="5">
        <v>42370</v>
      </c>
      <c r="G2810">
        <v>0</v>
      </c>
    </row>
    <row r="2811" spans="1:7" x14ac:dyDescent="0.25">
      <c r="A2811" t="s">
        <v>116</v>
      </c>
      <c r="B2811" t="s">
        <v>117</v>
      </c>
      <c r="C2811">
        <v>1250</v>
      </c>
      <c r="D2811" t="s">
        <v>76</v>
      </c>
      <c r="E2811" t="s">
        <v>77</v>
      </c>
      <c r="F2811" s="5">
        <v>42736</v>
      </c>
      <c r="G2811">
        <v>0</v>
      </c>
    </row>
    <row r="2812" spans="1:7" x14ac:dyDescent="0.25">
      <c r="A2812" t="s">
        <v>116</v>
      </c>
      <c r="B2812" t="s">
        <v>117</v>
      </c>
      <c r="C2812">
        <v>1250</v>
      </c>
      <c r="D2812" t="s">
        <v>78</v>
      </c>
      <c r="E2812" t="s">
        <v>79</v>
      </c>
      <c r="F2812" s="5">
        <v>42370</v>
      </c>
      <c r="G2812">
        <v>0</v>
      </c>
    </row>
    <row r="2813" spans="1:7" x14ac:dyDescent="0.25">
      <c r="A2813" t="s">
        <v>116</v>
      </c>
      <c r="B2813" t="s">
        <v>117</v>
      </c>
      <c r="C2813">
        <v>1250</v>
      </c>
      <c r="D2813" t="s">
        <v>78</v>
      </c>
      <c r="E2813" t="s">
        <v>79</v>
      </c>
      <c r="F2813" s="5">
        <v>42736</v>
      </c>
      <c r="G2813">
        <v>0</v>
      </c>
    </row>
    <row r="2814" spans="1:7" x14ac:dyDescent="0.25">
      <c r="A2814" t="s">
        <v>116</v>
      </c>
      <c r="B2814" t="s">
        <v>117</v>
      </c>
      <c r="C2814">
        <v>1250</v>
      </c>
      <c r="D2814" t="s">
        <v>78</v>
      </c>
      <c r="E2814" t="s">
        <v>80</v>
      </c>
      <c r="F2814" s="5">
        <v>42370</v>
      </c>
      <c r="G2814">
        <v>0</v>
      </c>
    </row>
    <row r="2815" spans="1:7" x14ac:dyDescent="0.25">
      <c r="A2815" t="s">
        <v>116</v>
      </c>
      <c r="B2815" t="s">
        <v>117</v>
      </c>
      <c r="C2815">
        <v>1250</v>
      </c>
      <c r="D2815" t="s">
        <v>78</v>
      </c>
      <c r="E2815" t="s">
        <v>80</v>
      </c>
      <c r="F2815" s="5">
        <v>42736</v>
      </c>
      <c r="G2815">
        <v>0</v>
      </c>
    </row>
    <row r="2816" spans="1:7" x14ac:dyDescent="0.25">
      <c r="A2816" t="s">
        <v>116</v>
      </c>
      <c r="B2816" t="s">
        <v>117</v>
      </c>
      <c r="C2816">
        <v>1250</v>
      </c>
      <c r="D2816" t="s">
        <v>78</v>
      </c>
      <c r="E2816" t="s">
        <v>81</v>
      </c>
      <c r="F2816" s="5">
        <v>42370</v>
      </c>
      <c r="G2816">
        <v>126</v>
      </c>
    </row>
    <row r="2817" spans="1:7" x14ac:dyDescent="0.25">
      <c r="A2817" t="s">
        <v>116</v>
      </c>
      <c r="B2817" t="s">
        <v>117</v>
      </c>
      <c r="C2817">
        <v>1250</v>
      </c>
      <c r="D2817" t="s">
        <v>78</v>
      </c>
      <c r="E2817" t="s">
        <v>81</v>
      </c>
      <c r="F2817" s="5">
        <v>42736</v>
      </c>
      <c r="G2817">
        <v>316</v>
      </c>
    </row>
    <row r="2818" spans="1:7" x14ac:dyDescent="0.25">
      <c r="A2818" t="s">
        <v>116</v>
      </c>
      <c r="B2818" t="s">
        <v>117</v>
      </c>
      <c r="C2818">
        <v>1250</v>
      </c>
      <c r="D2818" t="s">
        <v>78</v>
      </c>
      <c r="E2818" t="s">
        <v>82</v>
      </c>
      <c r="F2818" s="5">
        <v>42370</v>
      </c>
      <c r="G2818">
        <v>0</v>
      </c>
    </row>
    <row r="2819" spans="1:7" x14ac:dyDescent="0.25">
      <c r="A2819" t="s">
        <v>116</v>
      </c>
      <c r="B2819" t="s">
        <v>117</v>
      </c>
      <c r="C2819">
        <v>1250</v>
      </c>
      <c r="D2819" t="s">
        <v>78</v>
      </c>
      <c r="E2819" t="s">
        <v>82</v>
      </c>
      <c r="F2819" s="5">
        <v>42736</v>
      </c>
      <c r="G2819">
        <v>0</v>
      </c>
    </row>
    <row r="2820" spans="1:7" x14ac:dyDescent="0.25">
      <c r="A2820" t="s">
        <v>116</v>
      </c>
      <c r="B2820" t="s">
        <v>117</v>
      </c>
      <c r="C2820">
        <v>1250</v>
      </c>
      <c r="D2820" t="s">
        <v>78</v>
      </c>
      <c r="E2820" t="s">
        <v>83</v>
      </c>
      <c r="F2820" s="5">
        <v>42370</v>
      </c>
      <c r="G2820">
        <v>0</v>
      </c>
    </row>
    <row r="2821" spans="1:7" x14ac:dyDescent="0.25">
      <c r="A2821" t="s">
        <v>116</v>
      </c>
      <c r="B2821" t="s">
        <v>117</v>
      </c>
      <c r="C2821">
        <v>1250</v>
      </c>
      <c r="D2821" t="s">
        <v>78</v>
      </c>
      <c r="E2821" t="s">
        <v>83</v>
      </c>
      <c r="F2821" s="5">
        <v>42736</v>
      </c>
      <c r="G2821">
        <v>0</v>
      </c>
    </row>
    <row r="2822" spans="1:7" x14ac:dyDescent="0.25">
      <c r="A2822" t="s">
        <v>116</v>
      </c>
      <c r="B2822" t="s">
        <v>117</v>
      </c>
      <c r="C2822">
        <v>1250</v>
      </c>
      <c r="D2822" t="s">
        <v>78</v>
      </c>
      <c r="E2822" t="s">
        <v>84</v>
      </c>
      <c r="F2822" s="5">
        <v>42370</v>
      </c>
      <c r="G2822">
        <v>0</v>
      </c>
    </row>
    <row r="2823" spans="1:7" x14ac:dyDescent="0.25">
      <c r="A2823" t="s">
        <v>116</v>
      </c>
      <c r="B2823" t="s">
        <v>117</v>
      </c>
      <c r="C2823">
        <v>1250</v>
      </c>
      <c r="D2823" t="s">
        <v>78</v>
      </c>
      <c r="E2823" t="s">
        <v>84</v>
      </c>
      <c r="F2823" s="5">
        <v>42736</v>
      </c>
      <c r="G2823">
        <v>0</v>
      </c>
    </row>
    <row r="2824" spans="1:7" x14ac:dyDescent="0.25">
      <c r="A2824" t="s">
        <v>116</v>
      </c>
      <c r="B2824" t="s">
        <v>117</v>
      </c>
      <c r="C2824">
        <v>1250</v>
      </c>
      <c r="D2824" t="s">
        <v>78</v>
      </c>
      <c r="E2824" t="s">
        <v>85</v>
      </c>
      <c r="F2824" s="5">
        <v>42370</v>
      </c>
      <c r="G2824">
        <v>0</v>
      </c>
    </row>
    <row r="2825" spans="1:7" x14ac:dyDescent="0.25">
      <c r="A2825" t="s">
        <v>116</v>
      </c>
      <c r="B2825" t="s">
        <v>117</v>
      </c>
      <c r="C2825">
        <v>1250</v>
      </c>
      <c r="D2825" t="s">
        <v>78</v>
      </c>
      <c r="E2825" t="s">
        <v>85</v>
      </c>
      <c r="F2825" s="5">
        <v>42736</v>
      </c>
      <c r="G2825">
        <v>0</v>
      </c>
    </row>
    <row r="2826" spans="1:7" x14ac:dyDescent="0.25">
      <c r="A2826" t="s">
        <v>116</v>
      </c>
      <c r="B2826" t="s">
        <v>117</v>
      </c>
      <c r="C2826">
        <v>1250</v>
      </c>
      <c r="D2826" t="s">
        <v>78</v>
      </c>
      <c r="E2826" t="s">
        <v>86</v>
      </c>
      <c r="F2826" s="5">
        <v>42370</v>
      </c>
      <c r="G2826">
        <v>0</v>
      </c>
    </row>
    <row r="2827" spans="1:7" x14ac:dyDescent="0.25">
      <c r="A2827" t="s">
        <v>116</v>
      </c>
      <c r="B2827" t="s">
        <v>117</v>
      </c>
      <c r="C2827">
        <v>1250</v>
      </c>
      <c r="D2827" t="s">
        <v>78</v>
      </c>
      <c r="E2827" t="s">
        <v>86</v>
      </c>
      <c r="F2827" s="5">
        <v>42736</v>
      </c>
      <c r="G2827">
        <v>0</v>
      </c>
    </row>
    <row r="2828" spans="1:7" x14ac:dyDescent="0.25">
      <c r="A2828" t="s">
        <v>116</v>
      </c>
      <c r="B2828" t="s">
        <v>117</v>
      </c>
      <c r="C2828">
        <v>1250</v>
      </c>
      <c r="D2828" t="s">
        <v>78</v>
      </c>
      <c r="E2828" t="s">
        <v>87</v>
      </c>
      <c r="F2828" s="5">
        <v>42370</v>
      </c>
      <c r="G2828">
        <v>0</v>
      </c>
    </row>
    <row r="2829" spans="1:7" x14ac:dyDescent="0.25">
      <c r="A2829" t="s">
        <v>116</v>
      </c>
      <c r="B2829" t="s">
        <v>117</v>
      </c>
      <c r="C2829">
        <v>1250</v>
      </c>
      <c r="D2829" t="s">
        <v>78</v>
      </c>
      <c r="E2829" t="s">
        <v>87</v>
      </c>
      <c r="F2829" s="5">
        <v>42736</v>
      </c>
      <c r="G2829">
        <v>0</v>
      </c>
    </row>
    <row r="2830" spans="1:7" x14ac:dyDescent="0.25">
      <c r="A2830" t="s">
        <v>116</v>
      </c>
      <c r="B2830" t="s">
        <v>117</v>
      </c>
      <c r="C2830">
        <v>1250</v>
      </c>
      <c r="D2830" t="s">
        <v>78</v>
      </c>
      <c r="E2830" t="s">
        <v>88</v>
      </c>
      <c r="F2830" s="5">
        <v>42370</v>
      </c>
      <c r="G2830">
        <v>25</v>
      </c>
    </row>
    <row r="2831" spans="1:7" x14ac:dyDescent="0.25">
      <c r="A2831" t="s">
        <v>116</v>
      </c>
      <c r="B2831" t="s">
        <v>117</v>
      </c>
      <c r="C2831">
        <v>1250</v>
      </c>
      <c r="D2831" t="s">
        <v>78</v>
      </c>
      <c r="E2831" t="s">
        <v>88</v>
      </c>
      <c r="F2831" s="5">
        <v>42736</v>
      </c>
      <c r="G2831">
        <v>41</v>
      </c>
    </row>
    <row r="2832" spans="1:7" x14ac:dyDescent="0.25">
      <c r="A2832" t="s">
        <v>116</v>
      </c>
      <c r="B2832" t="s">
        <v>117</v>
      </c>
      <c r="C2832">
        <v>1250</v>
      </c>
      <c r="D2832" t="s">
        <v>78</v>
      </c>
      <c r="E2832" t="s">
        <v>89</v>
      </c>
      <c r="F2832" s="5">
        <v>42370</v>
      </c>
      <c r="G2832">
        <v>602</v>
      </c>
    </row>
    <row r="2833" spans="1:7" x14ac:dyDescent="0.25">
      <c r="A2833" t="s">
        <v>116</v>
      </c>
      <c r="B2833" t="s">
        <v>117</v>
      </c>
      <c r="C2833">
        <v>1250</v>
      </c>
      <c r="D2833" t="s">
        <v>78</v>
      </c>
      <c r="E2833" t="s">
        <v>89</v>
      </c>
      <c r="F2833" s="5">
        <v>42736</v>
      </c>
      <c r="G2833">
        <v>657</v>
      </c>
    </row>
    <row r="2834" spans="1:7" x14ac:dyDescent="0.25">
      <c r="A2834" t="s">
        <v>116</v>
      </c>
      <c r="B2834" t="s">
        <v>117</v>
      </c>
      <c r="C2834">
        <v>1250</v>
      </c>
      <c r="D2834" t="s">
        <v>78</v>
      </c>
      <c r="E2834" t="s">
        <v>90</v>
      </c>
      <c r="F2834" s="5">
        <v>42370</v>
      </c>
      <c r="G2834">
        <v>0</v>
      </c>
    </row>
    <row r="2835" spans="1:7" x14ac:dyDescent="0.25">
      <c r="A2835" t="s">
        <v>116</v>
      </c>
      <c r="B2835" t="s">
        <v>117</v>
      </c>
      <c r="C2835">
        <v>1250</v>
      </c>
      <c r="D2835" t="s">
        <v>78</v>
      </c>
      <c r="E2835" t="s">
        <v>90</v>
      </c>
      <c r="F2835" s="5">
        <v>42736</v>
      </c>
      <c r="G2835">
        <v>0</v>
      </c>
    </row>
    <row r="2836" spans="1:7" x14ac:dyDescent="0.25">
      <c r="A2836" t="s">
        <v>116</v>
      </c>
      <c r="B2836" t="s">
        <v>117</v>
      </c>
      <c r="C2836">
        <v>1250</v>
      </c>
      <c r="D2836" t="s">
        <v>78</v>
      </c>
      <c r="E2836" t="s">
        <v>91</v>
      </c>
      <c r="F2836" s="5">
        <v>42370</v>
      </c>
      <c r="G2836">
        <v>0</v>
      </c>
    </row>
    <row r="2837" spans="1:7" x14ac:dyDescent="0.25">
      <c r="A2837" t="s">
        <v>116</v>
      </c>
      <c r="B2837" t="s">
        <v>117</v>
      </c>
      <c r="C2837">
        <v>1250</v>
      </c>
      <c r="D2837" t="s">
        <v>78</v>
      </c>
      <c r="E2837" t="s">
        <v>91</v>
      </c>
      <c r="F2837" s="5">
        <v>42736</v>
      </c>
      <c r="G2837">
        <v>0</v>
      </c>
    </row>
    <row r="2838" spans="1:7" x14ac:dyDescent="0.25">
      <c r="A2838" t="s">
        <v>116</v>
      </c>
      <c r="B2838" t="s">
        <v>117</v>
      </c>
      <c r="C2838">
        <v>1250</v>
      </c>
      <c r="D2838" t="s">
        <v>78</v>
      </c>
      <c r="E2838" t="s">
        <v>92</v>
      </c>
      <c r="F2838" s="5">
        <v>42370</v>
      </c>
      <c r="G2838">
        <v>0</v>
      </c>
    </row>
    <row r="2839" spans="1:7" x14ac:dyDescent="0.25">
      <c r="A2839" t="s">
        <v>116</v>
      </c>
      <c r="B2839" t="s">
        <v>117</v>
      </c>
      <c r="C2839">
        <v>1250</v>
      </c>
      <c r="D2839" t="s">
        <v>78</v>
      </c>
      <c r="E2839" t="s">
        <v>92</v>
      </c>
      <c r="F2839" s="5">
        <v>42736</v>
      </c>
      <c r="G2839">
        <v>0</v>
      </c>
    </row>
    <row r="2840" spans="1:7" x14ac:dyDescent="0.25">
      <c r="A2840" t="s">
        <v>116</v>
      </c>
      <c r="B2840" t="s">
        <v>117</v>
      </c>
      <c r="C2840">
        <v>1250</v>
      </c>
      <c r="D2840" t="s">
        <v>78</v>
      </c>
      <c r="E2840" t="s">
        <v>93</v>
      </c>
      <c r="F2840" s="5">
        <v>42370</v>
      </c>
      <c r="G2840">
        <v>0</v>
      </c>
    </row>
    <row r="2841" spans="1:7" x14ac:dyDescent="0.25">
      <c r="A2841" t="s">
        <v>116</v>
      </c>
      <c r="B2841" t="s">
        <v>117</v>
      </c>
      <c r="C2841">
        <v>1250</v>
      </c>
      <c r="D2841" t="s">
        <v>78</v>
      </c>
      <c r="E2841" t="s">
        <v>93</v>
      </c>
      <c r="F2841" s="5">
        <v>42736</v>
      </c>
      <c r="G2841">
        <v>0</v>
      </c>
    </row>
    <row r="2842" spans="1:7" x14ac:dyDescent="0.25">
      <c r="A2842" t="s">
        <v>116</v>
      </c>
      <c r="B2842" t="s">
        <v>117</v>
      </c>
      <c r="C2842">
        <v>1250</v>
      </c>
      <c r="D2842" t="s">
        <v>78</v>
      </c>
      <c r="E2842" t="s">
        <v>94</v>
      </c>
      <c r="F2842" s="5">
        <v>42370</v>
      </c>
      <c r="G2842">
        <v>0</v>
      </c>
    </row>
    <row r="2843" spans="1:7" x14ac:dyDescent="0.25">
      <c r="A2843" t="s">
        <v>116</v>
      </c>
      <c r="B2843" t="s">
        <v>117</v>
      </c>
      <c r="C2843">
        <v>1250</v>
      </c>
      <c r="D2843" t="s">
        <v>78</v>
      </c>
      <c r="E2843" t="s">
        <v>94</v>
      </c>
      <c r="F2843" s="5">
        <v>42736</v>
      </c>
      <c r="G2843">
        <v>0</v>
      </c>
    </row>
    <row r="2844" spans="1:7" x14ac:dyDescent="0.25">
      <c r="A2844" t="s">
        <v>116</v>
      </c>
      <c r="B2844" t="s">
        <v>117</v>
      </c>
      <c r="C2844">
        <v>1250</v>
      </c>
      <c r="D2844" t="s">
        <v>78</v>
      </c>
      <c r="E2844" t="s">
        <v>95</v>
      </c>
      <c r="F2844" s="5">
        <v>42370</v>
      </c>
      <c r="G2844">
        <v>0</v>
      </c>
    </row>
    <row r="2845" spans="1:7" x14ac:dyDescent="0.25">
      <c r="A2845" t="s">
        <v>116</v>
      </c>
      <c r="B2845" t="s">
        <v>117</v>
      </c>
      <c r="C2845">
        <v>1250</v>
      </c>
      <c r="D2845" t="s">
        <v>78</v>
      </c>
      <c r="E2845" t="s">
        <v>95</v>
      </c>
      <c r="F2845" s="5">
        <v>42736</v>
      </c>
      <c r="G2845">
        <v>0</v>
      </c>
    </row>
    <row r="2846" spans="1:7" x14ac:dyDescent="0.25">
      <c r="A2846" t="s">
        <v>116</v>
      </c>
      <c r="B2846" t="s">
        <v>117</v>
      </c>
      <c r="C2846">
        <v>1250</v>
      </c>
      <c r="D2846" t="s">
        <v>78</v>
      </c>
      <c r="E2846" t="s">
        <v>96</v>
      </c>
      <c r="F2846" s="5">
        <v>42370</v>
      </c>
      <c r="G2846">
        <v>0</v>
      </c>
    </row>
    <row r="2847" spans="1:7" x14ac:dyDescent="0.25">
      <c r="A2847" t="s">
        <v>116</v>
      </c>
      <c r="B2847" t="s">
        <v>117</v>
      </c>
      <c r="C2847">
        <v>1250</v>
      </c>
      <c r="D2847" t="s">
        <v>78</v>
      </c>
      <c r="E2847" t="s">
        <v>96</v>
      </c>
      <c r="F2847" s="5">
        <v>42736</v>
      </c>
      <c r="G2847">
        <v>0</v>
      </c>
    </row>
    <row r="2848" spans="1:7" x14ac:dyDescent="0.25">
      <c r="A2848" t="s">
        <v>116</v>
      </c>
      <c r="B2848" t="s">
        <v>117</v>
      </c>
      <c r="C2848">
        <v>1250</v>
      </c>
      <c r="D2848" t="s">
        <v>78</v>
      </c>
      <c r="E2848" t="s">
        <v>97</v>
      </c>
      <c r="F2848" s="5">
        <v>42370</v>
      </c>
      <c r="G2848">
        <v>0</v>
      </c>
    </row>
    <row r="2849" spans="1:7" x14ac:dyDescent="0.25">
      <c r="A2849" t="s">
        <v>116</v>
      </c>
      <c r="B2849" t="s">
        <v>117</v>
      </c>
      <c r="C2849">
        <v>1250</v>
      </c>
      <c r="D2849" t="s">
        <v>78</v>
      </c>
      <c r="E2849" t="s">
        <v>97</v>
      </c>
      <c r="F2849" s="5">
        <v>42736</v>
      </c>
      <c r="G2849">
        <v>0</v>
      </c>
    </row>
    <row r="2850" spans="1:7" x14ac:dyDescent="0.25">
      <c r="A2850" t="s">
        <v>116</v>
      </c>
      <c r="B2850" t="s">
        <v>117</v>
      </c>
      <c r="C2850">
        <v>1250</v>
      </c>
      <c r="D2850" t="s">
        <v>78</v>
      </c>
      <c r="E2850" t="s">
        <v>98</v>
      </c>
      <c r="F2850" s="5">
        <v>42370</v>
      </c>
      <c r="G2850">
        <v>0</v>
      </c>
    </row>
    <row r="2851" spans="1:7" x14ac:dyDescent="0.25">
      <c r="A2851" t="s">
        <v>116</v>
      </c>
      <c r="B2851" t="s">
        <v>117</v>
      </c>
      <c r="C2851">
        <v>1250</v>
      </c>
      <c r="D2851" t="s">
        <v>78</v>
      </c>
      <c r="E2851" t="s">
        <v>98</v>
      </c>
      <c r="F2851" s="5">
        <v>42736</v>
      </c>
      <c r="G2851">
        <v>0</v>
      </c>
    </row>
    <row r="2852" spans="1:7" x14ac:dyDescent="0.25">
      <c r="A2852" t="s">
        <v>116</v>
      </c>
      <c r="B2852" t="s">
        <v>118</v>
      </c>
      <c r="C2852">
        <v>6000</v>
      </c>
      <c r="D2852" t="s">
        <v>8</v>
      </c>
      <c r="E2852" t="s">
        <v>9</v>
      </c>
      <c r="F2852" s="5">
        <v>42370</v>
      </c>
      <c r="G2852">
        <v>0</v>
      </c>
    </row>
    <row r="2853" spans="1:7" x14ac:dyDescent="0.25">
      <c r="A2853" t="s">
        <v>116</v>
      </c>
      <c r="B2853" t="s">
        <v>118</v>
      </c>
      <c r="C2853">
        <v>6000</v>
      </c>
      <c r="D2853" t="s">
        <v>8</v>
      </c>
      <c r="E2853" t="s">
        <v>9</v>
      </c>
      <c r="F2853" s="5">
        <v>42736</v>
      </c>
      <c r="G2853">
        <v>0</v>
      </c>
    </row>
    <row r="2854" spans="1:7" x14ac:dyDescent="0.25">
      <c r="A2854" t="s">
        <v>116</v>
      </c>
      <c r="B2854" t="s">
        <v>118</v>
      </c>
      <c r="C2854">
        <v>6000</v>
      </c>
      <c r="D2854" t="s">
        <v>8</v>
      </c>
      <c r="E2854" t="s">
        <v>10</v>
      </c>
      <c r="F2854" s="5">
        <v>42370</v>
      </c>
      <c r="G2854">
        <v>131</v>
      </c>
    </row>
    <row r="2855" spans="1:7" x14ac:dyDescent="0.25">
      <c r="A2855" t="s">
        <v>116</v>
      </c>
      <c r="B2855" t="s">
        <v>118</v>
      </c>
      <c r="C2855">
        <v>6000</v>
      </c>
      <c r="D2855" t="s">
        <v>8</v>
      </c>
      <c r="E2855" t="s">
        <v>10</v>
      </c>
      <c r="F2855" s="5">
        <v>42736</v>
      </c>
      <c r="G2855">
        <v>152</v>
      </c>
    </row>
    <row r="2856" spans="1:7" x14ac:dyDescent="0.25">
      <c r="A2856" t="s">
        <v>116</v>
      </c>
      <c r="B2856" t="s">
        <v>118</v>
      </c>
      <c r="C2856">
        <v>6000</v>
      </c>
      <c r="D2856" t="s">
        <v>8</v>
      </c>
      <c r="E2856" t="s">
        <v>11</v>
      </c>
      <c r="F2856" s="5">
        <v>42370</v>
      </c>
      <c r="G2856">
        <v>30</v>
      </c>
    </row>
    <row r="2857" spans="1:7" x14ac:dyDescent="0.25">
      <c r="A2857" t="s">
        <v>116</v>
      </c>
      <c r="B2857" t="s">
        <v>118</v>
      </c>
      <c r="C2857">
        <v>6000</v>
      </c>
      <c r="D2857" t="s">
        <v>8</v>
      </c>
      <c r="E2857" t="s">
        <v>11</v>
      </c>
      <c r="F2857" s="5">
        <v>42736</v>
      </c>
      <c r="G2857">
        <v>88</v>
      </c>
    </row>
    <row r="2858" spans="1:7" x14ac:dyDescent="0.25">
      <c r="A2858" t="s">
        <v>116</v>
      </c>
      <c r="B2858" t="s">
        <v>118</v>
      </c>
      <c r="C2858">
        <v>6000</v>
      </c>
      <c r="D2858" t="s">
        <v>8</v>
      </c>
      <c r="E2858" t="s">
        <v>12</v>
      </c>
      <c r="F2858" s="5">
        <v>42370</v>
      </c>
      <c r="G2858">
        <v>0</v>
      </c>
    </row>
    <row r="2859" spans="1:7" x14ac:dyDescent="0.25">
      <c r="A2859" t="s">
        <v>116</v>
      </c>
      <c r="B2859" t="s">
        <v>118</v>
      </c>
      <c r="C2859">
        <v>6000</v>
      </c>
      <c r="D2859" t="s">
        <v>8</v>
      </c>
      <c r="E2859" t="s">
        <v>12</v>
      </c>
      <c r="F2859" s="5">
        <v>42736</v>
      </c>
      <c r="G2859">
        <v>0</v>
      </c>
    </row>
    <row r="2860" spans="1:7" x14ac:dyDescent="0.25">
      <c r="A2860" t="s">
        <v>116</v>
      </c>
      <c r="B2860" t="s">
        <v>118</v>
      </c>
      <c r="C2860">
        <v>6000</v>
      </c>
      <c r="D2860" t="s">
        <v>8</v>
      </c>
      <c r="E2860" t="s">
        <v>13</v>
      </c>
      <c r="F2860" s="5">
        <v>42370</v>
      </c>
      <c r="G2860">
        <v>0</v>
      </c>
    </row>
    <row r="2861" spans="1:7" x14ac:dyDescent="0.25">
      <c r="A2861" t="s">
        <v>116</v>
      </c>
      <c r="B2861" t="s">
        <v>118</v>
      </c>
      <c r="C2861">
        <v>6000</v>
      </c>
      <c r="D2861" t="s">
        <v>8</v>
      </c>
      <c r="E2861" t="s">
        <v>13</v>
      </c>
      <c r="F2861" s="5">
        <v>42736</v>
      </c>
      <c r="G2861">
        <v>0</v>
      </c>
    </row>
    <row r="2862" spans="1:7" x14ac:dyDescent="0.25">
      <c r="A2862" t="s">
        <v>116</v>
      </c>
      <c r="B2862" t="s">
        <v>118</v>
      </c>
      <c r="C2862">
        <v>6000</v>
      </c>
      <c r="D2862" t="s">
        <v>8</v>
      </c>
      <c r="E2862" t="s">
        <v>14</v>
      </c>
      <c r="F2862" s="5">
        <v>42370</v>
      </c>
      <c r="G2862">
        <v>0</v>
      </c>
    </row>
    <row r="2863" spans="1:7" x14ac:dyDescent="0.25">
      <c r="A2863" t="s">
        <v>116</v>
      </c>
      <c r="B2863" t="s">
        <v>118</v>
      </c>
      <c r="C2863">
        <v>6000</v>
      </c>
      <c r="D2863" t="s">
        <v>8</v>
      </c>
      <c r="E2863" t="s">
        <v>14</v>
      </c>
      <c r="F2863" s="5">
        <v>42736</v>
      </c>
      <c r="G2863">
        <v>0</v>
      </c>
    </row>
    <row r="2864" spans="1:7" x14ac:dyDescent="0.25">
      <c r="A2864" t="s">
        <v>116</v>
      </c>
      <c r="B2864" t="s">
        <v>118</v>
      </c>
      <c r="C2864">
        <v>6000</v>
      </c>
      <c r="D2864" t="s">
        <v>8</v>
      </c>
      <c r="E2864" t="s">
        <v>15</v>
      </c>
      <c r="F2864" s="5">
        <v>42370</v>
      </c>
      <c r="G2864">
        <v>0</v>
      </c>
    </row>
    <row r="2865" spans="1:7" x14ac:dyDescent="0.25">
      <c r="A2865" t="s">
        <v>116</v>
      </c>
      <c r="B2865" t="s">
        <v>118</v>
      </c>
      <c r="C2865">
        <v>6000</v>
      </c>
      <c r="D2865" t="s">
        <v>8</v>
      </c>
      <c r="E2865" t="s">
        <v>15</v>
      </c>
      <c r="F2865" s="5">
        <v>42736</v>
      </c>
      <c r="G2865">
        <v>0</v>
      </c>
    </row>
    <row r="2866" spans="1:7" x14ac:dyDescent="0.25">
      <c r="A2866" t="s">
        <v>116</v>
      </c>
      <c r="B2866" t="s">
        <v>118</v>
      </c>
      <c r="C2866">
        <v>6000</v>
      </c>
      <c r="D2866" t="s">
        <v>8</v>
      </c>
      <c r="E2866" t="s">
        <v>16</v>
      </c>
      <c r="F2866" s="5">
        <v>42370</v>
      </c>
      <c r="G2866">
        <v>23</v>
      </c>
    </row>
    <row r="2867" spans="1:7" x14ac:dyDescent="0.25">
      <c r="A2867" t="s">
        <v>116</v>
      </c>
      <c r="B2867" t="s">
        <v>118</v>
      </c>
      <c r="C2867">
        <v>6000</v>
      </c>
      <c r="D2867" t="s">
        <v>8</v>
      </c>
      <c r="E2867" t="s">
        <v>16</v>
      </c>
      <c r="F2867" s="5">
        <v>42736</v>
      </c>
      <c r="G2867">
        <v>29</v>
      </c>
    </row>
    <row r="2868" spans="1:7" x14ac:dyDescent="0.25">
      <c r="A2868" t="s">
        <v>116</v>
      </c>
      <c r="B2868" t="s">
        <v>118</v>
      </c>
      <c r="C2868">
        <v>6000</v>
      </c>
      <c r="D2868" t="s">
        <v>8</v>
      </c>
      <c r="E2868" t="s">
        <v>17</v>
      </c>
      <c r="F2868" s="5">
        <v>42370</v>
      </c>
      <c r="G2868">
        <v>0</v>
      </c>
    </row>
    <row r="2869" spans="1:7" x14ac:dyDescent="0.25">
      <c r="A2869" t="s">
        <v>116</v>
      </c>
      <c r="B2869" t="s">
        <v>118</v>
      </c>
      <c r="C2869">
        <v>6000</v>
      </c>
      <c r="D2869" t="s">
        <v>8</v>
      </c>
      <c r="E2869" t="s">
        <v>17</v>
      </c>
      <c r="F2869" s="5">
        <v>42736</v>
      </c>
      <c r="G2869">
        <v>0</v>
      </c>
    </row>
    <row r="2870" spans="1:7" x14ac:dyDescent="0.25">
      <c r="A2870" t="s">
        <v>116</v>
      </c>
      <c r="B2870" t="s">
        <v>118</v>
      </c>
      <c r="C2870">
        <v>6000</v>
      </c>
      <c r="D2870" t="s">
        <v>8</v>
      </c>
      <c r="E2870" t="s">
        <v>18</v>
      </c>
      <c r="F2870" s="5">
        <v>42370</v>
      </c>
      <c r="G2870">
        <v>15</v>
      </c>
    </row>
    <row r="2871" spans="1:7" x14ac:dyDescent="0.25">
      <c r="A2871" t="s">
        <v>116</v>
      </c>
      <c r="B2871" t="s">
        <v>118</v>
      </c>
      <c r="C2871">
        <v>6000</v>
      </c>
      <c r="D2871" t="s">
        <v>8</v>
      </c>
      <c r="E2871" t="s">
        <v>18</v>
      </c>
      <c r="F2871" s="5">
        <v>42736</v>
      </c>
      <c r="G2871">
        <v>23</v>
      </c>
    </row>
    <row r="2872" spans="1:7" x14ac:dyDescent="0.25">
      <c r="A2872" t="s">
        <v>116</v>
      </c>
      <c r="B2872" t="s">
        <v>118</v>
      </c>
      <c r="C2872">
        <v>6000</v>
      </c>
      <c r="D2872" t="s">
        <v>8</v>
      </c>
      <c r="E2872" t="s">
        <v>19</v>
      </c>
      <c r="F2872" s="5">
        <v>42370</v>
      </c>
      <c r="G2872">
        <v>0</v>
      </c>
    </row>
    <row r="2873" spans="1:7" x14ac:dyDescent="0.25">
      <c r="A2873" t="s">
        <v>116</v>
      </c>
      <c r="B2873" t="s">
        <v>118</v>
      </c>
      <c r="C2873">
        <v>6000</v>
      </c>
      <c r="D2873" t="s">
        <v>8</v>
      </c>
      <c r="E2873" t="s">
        <v>19</v>
      </c>
      <c r="F2873" s="5">
        <v>42736</v>
      </c>
      <c r="G2873">
        <v>0</v>
      </c>
    </row>
    <row r="2874" spans="1:7" x14ac:dyDescent="0.25">
      <c r="A2874" t="s">
        <v>116</v>
      </c>
      <c r="B2874" t="s">
        <v>118</v>
      </c>
      <c r="C2874">
        <v>6000</v>
      </c>
      <c r="D2874" t="s">
        <v>20</v>
      </c>
      <c r="E2874" t="s">
        <v>9</v>
      </c>
      <c r="F2874" s="5">
        <v>42370</v>
      </c>
      <c r="G2874">
        <v>30</v>
      </c>
    </row>
    <row r="2875" spans="1:7" x14ac:dyDescent="0.25">
      <c r="A2875" t="s">
        <v>116</v>
      </c>
      <c r="B2875" t="s">
        <v>118</v>
      </c>
      <c r="C2875">
        <v>6000</v>
      </c>
      <c r="D2875" t="s">
        <v>20</v>
      </c>
      <c r="E2875" t="s">
        <v>9</v>
      </c>
      <c r="F2875" s="5">
        <v>42736</v>
      </c>
      <c r="G2875">
        <v>56</v>
      </c>
    </row>
    <row r="2876" spans="1:7" x14ac:dyDescent="0.25">
      <c r="A2876" t="s">
        <v>116</v>
      </c>
      <c r="B2876" t="s">
        <v>118</v>
      </c>
      <c r="C2876">
        <v>6000</v>
      </c>
      <c r="D2876" t="s">
        <v>20</v>
      </c>
      <c r="E2876" t="s">
        <v>21</v>
      </c>
      <c r="F2876" s="5">
        <v>42370</v>
      </c>
      <c r="G2876">
        <v>0</v>
      </c>
    </row>
    <row r="2877" spans="1:7" x14ac:dyDescent="0.25">
      <c r="A2877" t="s">
        <v>116</v>
      </c>
      <c r="B2877" t="s">
        <v>118</v>
      </c>
      <c r="C2877">
        <v>6000</v>
      </c>
      <c r="D2877" t="s">
        <v>20</v>
      </c>
      <c r="E2877" t="s">
        <v>21</v>
      </c>
      <c r="F2877" s="5">
        <v>42736</v>
      </c>
      <c r="G2877">
        <v>0</v>
      </c>
    </row>
    <row r="2878" spans="1:7" x14ac:dyDescent="0.25">
      <c r="A2878" t="s">
        <v>116</v>
      </c>
      <c r="B2878" t="s">
        <v>118</v>
      </c>
      <c r="C2878">
        <v>6000</v>
      </c>
      <c r="D2878" t="s">
        <v>20</v>
      </c>
      <c r="E2878" t="s">
        <v>22</v>
      </c>
      <c r="F2878" s="5">
        <v>42370</v>
      </c>
      <c r="G2878">
        <v>0</v>
      </c>
    </row>
    <row r="2879" spans="1:7" x14ac:dyDescent="0.25">
      <c r="A2879" t="s">
        <v>116</v>
      </c>
      <c r="B2879" t="s">
        <v>118</v>
      </c>
      <c r="C2879">
        <v>6000</v>
      </c>
      <c r="D2879" t="s">
        <v>20</v>
      </c>
      <c r="E2879" t="s">
        <v>22</v>
      </c>
      <c r="F2879" s="5">
        <v>42736</v>
      </c>
      <c r="G2879">
        <v>2</v>
      </c>
    </row>
    <row r="2880" spans="1:7" x14ac:dyDescent="0.25">
      <c r="A2880" t="s">
        <v>116</v>
      </c>
      <c r="B2880" t="s">
        <v>118</v>
      </c>
      <c r="C2880">
        <v>6000</v>
      </c>
      <c r="D2880" t="s">
        <v>20</v>
      </c>
      <c r="E2880" t="s">
        <v>23</v>
      </c>
      <c r="F2880" s="5">
        <v>42370</v>
      </c>
      <c r="G2880">
        <v>2</v>
      </c>
    </row>
    <row r="2881" spans="1:7" x14ac:dyDescent="0.25">
      <c r="A2881" t="s">
        <v>116</v>
      </c>
      <c r="B2881" t="s">
        <v>118</v>
      </c>
      <c r="C2881">
        <v>6000</v>
      </c>
      <c r="D2881" t="s">
        <v>20</v>
      </c>
      <c r="E2881" t="s">
        <v>23</v>
      </c>
      <c r="F2881" s="5">
        <v>42736</v>
      </c>
      <c r="G2881">
        <v>3</v>
      </c>
    </row>
    <row r="2882" spans="1:7" x14ac:dyDescent="0.25">
      <c r="A2882" t="s">
        <v>116</v>
      </c>
      <c r="B2882" t="s">
        <v>118</v>
      </c>
      <c r="C2882">
        <v>6000</v>
      </c>
      <c r="D2882" t="s">
        <v>20</v>
      </c>
      <c r="E2882" t="s">
        <v>24</v>
      </c>
      <c r="F2882" s="5">
        <v>42370</v>
      </c>
      <c r="G2882">
        <v>0</v>
      </c>
    </row>
    <row r="2883" spans="1:7" x14ac:dyDescent="0.25">
      <c r="A2883" t="s">
        <v>116</v>
      </c>
      <c r="B2883" t="s">
        <v>118</v>
      </c>
      <c r="C2883">
        <v>6000</v>
      </c>
      <c r="D2883" t="s">
        <v>20</v>
      </c>
      <c r="E2883" t="s">
        <v>24</v>
      </c>
      <c r="F2883" s="5">
        <v>42736</v>
      </c>
      <c r="G2883">
        <v>1</v>
      </c>
    </row>
    <row r="2884" spans="1:7" x14ac:dyDescent="0.25">
      <c r="A2884" t="s">
        <v>116</v>
      </c>
      <c r="B2884" t="s">
        <v>118</v>
      </c>
      <c r="C2884">
        <v>6000</v>
      </c>
      <c r="D2884" t="s">
        <v>20</v>
      </c>
      <c r="E2884" t="s">
        <v>25</v>
      </c>
      <c r="F2884" s="5">
        <v>42370</v>
      </c>
      <c r="G2884">
        <v>0</v>
      </c>
    </row>
    <row r="2885" spans="1:7" x14ac:dyDescent="0.25">
      <c r="A2885" t="s">
        <v>116</v>
      </c>
      <c r="B2885" t="s">
        <v>118</v>
      </c>
      <c r="C2885">
        <v>6000</v>
      </c>
      <c r="D2885" t="s">
        <v>20</v>
      </c>
      <c r="E2885" t="s">
        <v>25</v>
      </c>
      <c r="F2885" s="5">
        <v>42736</v>
      </c>
      <c r="G2885">
        <v>1</v>
      </c>
    </row>
    <row r="2886" spans="1:7" x14ac:dyDescent="0.25">
      <c r="A2886" t="s">
        <v>116</v>
      </c>
      <c r="B2886" t="s">
        <v>118</v>
      </c>
      <c r="C2886">
        <v>6000</v>
      </c>
      <c r="D2886" t="s">
        <v>20</v>
      </c>
      <c r="E2886" t="s">
        <v>26</v>
      </c>
      <c r="F2886" s="5">
        <v>42370</v>
      </c>
      <c r="G2886">
        <v>151</v>
      </c>
    </row>
    <row r="2887" spans="1:7" x14ac:dyDescent="0.25">
      <c r="A2887" t="s">
        <v>116</v>
      </c>
      <c r="B2887" t="s">
        <v>118</v>
      </c>
      <c r="C2887">
        <v>6000</v>
      </c>
      <c r="D2887" t="s">
        <v>20</v>
      </c>
      <c r="E2887" t="s">
        <v>26</v>
      </c>
      <c r="F2887" s="5">
        <v>42736</v>
      </c>
      <c r="G2887">
        <v>214</v>
      </c>
    </row>
    <row r="2888" spans="1:7" x14ac:dyDescent="0.25">
      <c r="A2888" t="s">
        <v>116</v>
      </c>
      <c r="B2888" t="s">
        <v>118</v>
      </c>
      <c r="C2888">
        <v>6000</v>
      </c>
      <c r="D2888" t="s">
        <v>20</v>
      </c>
      <c r="E2888" t="s">
        <v>27</v>
      </c>
      <c r="F2888" s="5">
        <v>42370</v>
      </c>
      <c r="G2888">
        <v>2</v>
      </c>
    </row>
    <row r="2889" spans="1:7" x14ac:dyDescent="0.25">
      <c r="A2889" t="s">
        <v>116</v>
      </c>
      <c r="B2889" t="s">
        <v>118</v>
      </c>
      <c r="C2889">
        <v>6000</v>
      </c>
      <c r="D2889" t="s">
        <v>20</v>
      </c>
      <c r="E2889" t="s">
        <v>27</v>
      </c>
      <c r="F2889" s="5">
        <v>42736</v>
      </c>
      <c r="G2889">
        <v>2</v>
      </c>
    </row>
    <row r="2890" spans="1:7" x14ac:dyDescent="0.25">
      <c r="A2890" t="s">
        <v>116</v>
      </c>
      <c r="B2890" t="s">
        <v>118</v>
      </c>
      <c r="C2890">
        <v>6000</v>
      </c>
      <c r="D2890" t="s">
        <v>20</v>
      </c>
      <c r="E2890" t="s">
        <v>28</v>
      </c>
      <c r="F2890" s="5">
        <v>42370</v>
      </c>
      <c r="G2890">
        <v>0</v>
      </c>
    </row>
    <row r="2891" spans="1:7" x14ac:dyDescent="0.25">
      <c r="A2891" t="s">
        <v>116</v>
      </c>
      <c r="B2891" t="s">
        <v>118</v>
      </c>
      <c r="C2891">
        <v>6000</v>
      </c>
      <c r="D2891" t="s">
        <v>20</v>
      </c>
      <c r="E2891" t="s">
        <v>28</v>
      </c>
      <c r="F2891" s="5">
        <v>42736</v>
      </c>
      <c r="G2891">
        <v>1</v>
      </c>
    </row>
    <row r="2892" spans="1:7" x14ac:dyDescent="0.25">
      <c r="A2892" t="s">
        <v>116</v>
      </c>
      <c r="B2892" t="s">
        <v>118</v>
      </c>
      <c r="C2892">
        <v>6000</v>
      </c>
      <c r="D2892" t="s">
        <v>20</v>
      </c>
      <c r="E2892" t="s">
        <v>29</v>
      </c>
      <c r="F2892" s="5">
        <v>42370</v>
      </c>
      <c r="G2892">
        <v>152</v>
      </c>
    </row>
    <row r="2893" spans="1:7" x14ac:dyDescent="0.25">
      <c r="A2893" t="s">
        <v>116</v>
      </c>
      <c r="B2893" t="s">
        <v>118</v>
      </c>
      <c r="C2893">
        <v>6000</v>
      </c>
      <c r="D2893" t="s">
        <v>20</v>
      </c>
      <c r="E2893" t="s">
        <v>29</v>
      </c>
      <c r="F2893" s="5">
        <v>42736</v>
      </c>
      <c r="G2893">
        <v>217</v>
      </c>
    </row>
    <row r="2894" spans="1:7" x14ac:dyDescent="0.25">
      <c r="A2894" t="s">
        <v>116</v>
      </c>
      <c r="B2894" t="s">
        <v>118</v>
      </c>
      <c r="C2894">
        <v>6000</v>
      </c>
      <c r="D2894" t="s">
        <v>20</v>
      </c>
      <c r="E2894" t="s">
        <v>30</v>
      </c>
      <c r="F2894" s="5">
        <v>42370</v>
      </c>
      <c r="G2894">
        <v>154</v>
      </c>
    </row>
    <row r="2895" spans="1:7" x14ac:dyDescent="0.25">
      <c r="A2895" t="s">
        <v>116</v>
      </c>
      <c r="B2895" t="s">
        <v>118</v>
      </c>
      <c r="C2895">
        <v>6000</v>
      </c>
      <c r="D2895" t="s">
        <v>20</v>
      </c>
      <c r="E2895" t="s">
        <v>30</v>
      </c>
      <c r="F2895" s="5">
        <v>42736</v>
      </c>
      <c r="G2895">
        <v>218</v>
      </c>
    </row>
    <row r="2896" spans="1:7" x14ac:dyDescent="0.25">
      <c r="A2896" t="s">
        <v>116</v>
      </c>
      <c r="B2896" t="s">
        <v>118</v>
      </c>
      <c r="C2896">
        <v>6000</v>
      </c>
      <c r="D2896" t="s">
        <v>20</v>
      </c>
      <c r="E2896" t="s">
        <v>31</v>
      </c>
      <c r="F2896" s="5">
        <v>42370</v>
      </c>
      <c r="G2896">
        <v>364</v>
      </c>
    </row>
    <row r="2897" spans="1:7" x14ac:dyDescent="0.25">
      <c r="A2897" t="s">
        <v>116</v>
      </c>
      <c r="B2897" t="s">
        <v>118</v>
      </c>
      <c r="C2897">
        <v>6000</v>
      </c>
      <c r="D2897" t="s">
        <v>20</v>
      </c>
      <c r="E2897" t="s">
        <v>31</v>
      </c>
      <c r="F2897" s="5">
        <v>42736</v>
      </c>
      <c r="G2897">
        <v>434</v>
      </c>
    </row>
    <row r="2898" spans="1:7" x14ac:dyDescent="0.25">
      <c r="A2898" t="s">
        <v>116</v>
      </c>
      <c r="B2898" t="s">
        <v>118</v>
      </c>
      <c r="C2898">
        <v>6000</v>
      </c>
      <c r="D2898" t="s">
        <v>20</v>
      </c>
      <c r="E2898" t="s">
        <v>32</v>
      </c>
      <c r="F2898" s="5">
        <v>42370</v>
      </c>
      <c r="G2898">
        <v>155</v>
      </c>
    </row>
    <row r="2899" spans="1:7" x14ac:dyDescent="0.25">
      <c r="A2899" t="s">
        <v>116</v>
      </c>
      <c r="B2899" t="s">
        <v>118</v>
      </c>
      <c r="C2899">
        <v>6000</v>
      </c>
      <c r="D2899" t="s">
        <v>20</v>
      </c>
      <c r="E2899" t="s">
        <v>32</v>
      </c>
      <c r="F2899" s="5">
        <v>42736</v>
      </c>
      <c r="G2899">
        <v>215</v>
      </c>
    </row>
    <row r="2900" spans="1:7" x14ac:dyDescent="0.25">
      <c r="A2900" t="s">
        <v>116</v>
      </c>
      <c r="B2900" t="s">
        <v>118</v>
      </c>
      <c r="C2900">
        <v>6000</v>
      </c>
      <c r="D2900" t="s">
        <v>33</v>
      </c>
      <c r="E2900" t="s">
        <v>9</v>
      </c>
      <c r="F2900" s="5">
        <v>42370</v>
      </c>
      <c r="G2900">
        <v>0</v>
      </c>
    </row>
    <row r="2901" spans="1:7" x14ac:dyDescent="0.25">
      <c r="A2901" t="s">
        <v>116</v>
      </c>
      <c r="B2901" t="s">
        <v>118</v>
      </c>
      <c r="C2901">
        <v>6000</v>
      </c>
      <c r="D2901" t="s">
        <v>33</v>
      </c>
      <c r="E2901" t="s">
        <v>9</v>
      </c>
      <c r="F2901" s="5">
        <v>42736</v>
      </c>
      <c r="G2901">
        <v>0</v>
      </c>
    </row>
    <row r="2902" spans="1:7" x14ac:dyDescent="0.25">
      <c r="A2902" t="s">
        <v>116</v>
      </c>
      <c r="B2902" t="s">
        <v>118</v>
      </c>
      <c r="C2902">
        <v>6000</v>
      </c>
      <c r="D2902" t="s">
        <v>33</v>
      </c>
      <c r="E2902" t="s">
        <v>34</v>
      </c>
      <c r="F2902" s="5">
        <v>42370</v>
      </c>
      <c r="G2902">
        <v>0</v>
      </c>
    </row>
    <row r="2903" spans="1:7" x14ac:dyDescent="0.25">
      <c r="A2903" t="s">
        <v>116</v>
      </c>
      <c r="B2903" t="s">
        <v>118</v>
      </c>
      <c r="C2903">
        <v>6000</v>
      </c>
      <c r="D2903" t="s">
        <v>33</v>
      </c>
      <c r="E2903" t="s">
        <v>34</v>
      </c>
      <c r="F2903" s="5">
        <v>42736</v>
      </c>
      <c r="G2903">
        <v>0</v>
      </c>
    </row>
    <row r="2904" spans="1:7" x14ac:dyDescent="0.25">
      <c r="A2904" t="s">
        <v>116</v>
      </c>
      <c r="B2904" t="s">
        <v>118</v>
      </c>
      <c r="C2904">
        <v>6000</v>
      </c>
      <c r="D2904" t="s">
        <v>35</v>
      </c>
      <c r="E2904" t="s">
        <v>36</v>
      </c>
      <c r="F2904" s="5">
        <v>42370</v>
      </c>
      <c r="G2904">
        <v>0</v>
      </c>
    </row>
    <row r="2905" spans="1:7" x14ac:dyDescent="0.25">
      <c r="A2905" t="s">
        <v>116</v>
      </c>
      <c r="B2905" t="s">
        <v>118</v>
      </c>
      <c r="C2905">
        <v>6000</v>
      </c>
      <c r="D2905" t="s">
        <v>35</v>
      </c>
      <c r="E2905" t="s">
        <v>36</v>
      </c>
      <c r="F2905" s="5">
        <v>42736</v>
      </c>
      <c r="G2905">
        <v>0</v>
      </c>
    </row>
    <row r="2906" spans="1:7" x14ac:dyDescent="0.25">
      <c r="A2906" t="s">
        <v>116</v>
      </c>
      <c r="B2906" t="s">
        <v>118</v>
      </c>
      <c r="C2906">
        <v>6000</v>
      </c>
      <c r="D2906" t="s">
        <v>35</v>
      </c>
      <c r="E2906" t="s">
        <v>37</v>
      </c>
      <c r="F2906" s="5">
        <v>42370</v>
      </c>
      <c r="G2906">
        <v>0</v>
      </c>
    </row>
    <row r="2907" spans="1:7" x14ac:dyDescent="0.25">
      <c r="A2907" t="s">
        <v>116</v>
      </c>
      <c r="B2907" t="s">
        <v>118</v>
      </c>
      <c r="C2907">
        <v>6000</v>
      </c>
      <c r="D2907" t="s">
        <v>35</v>
      </c>
      <c r="E2907" t="s">
        <v>37</v>
      </c>
      <c r="F2907" s="5">
        <v>42736</v>
      </c>
      <c r="G2907">
        <v>0</v>
      </c>
    </row>
    <row r="2908" spans="1:7" x14ac:dyDescent="0.25">
      <c r="A2908" t="s">
        <v>116</v>
      </c>
      <c r="B2908" t="s">
        <v>118</v>
      </c>
      <c r="C2908">
        <v>6000</v>
      </c>
      <c r="D2908" t="s">
        <v>35</v>
      </c>
      <c r="E2908" t="s">
        <v>38</v>
      </c>
      <c r="F2908" s="5">
        <v>42370</v>
      </c>
      <c r="G2908">
        <v>0</v>
      </c>
    </row>
    <row r="2909" spans="1:7" x14ac:dyDescent="0.25">
      <c r="A2909" t="s">
        <v>116</v>
      </c>
      <c r="B2909" t="s">
        <v>118</v>
      </c>
      <c r="C2909">
        <v>6000</v>
      </c>
      <c r="D2909" t="s">
        <v>35</v>
      </c>
      <c r="E2909" t="s">
        <v>38</v>
      </c>
      <c r="F2909" s="5">
        <v>42736</v>
      </c>
      <c r="G2909">
        <v>0</v>
      </c>
    </row>
    <row r="2910" spans="1:7" x14ac:dyDescent="0.25">
      <c r="A2910" t="s">
        <v>116</v>
      </c>
      <c r="B2910" t="s">
        <v>118</v>
      </c>
      <c r="C2910">
        <v>6000</v>
      </c>
      <c r="D2910" t="s">
        <v>35</v>
      </c>
      <c r="E2910" t="s">
        <v>39</v>
      </c>
      <c r="F2910" s="5">
        <v>42370</v>
      </c>
      <c r="G2910">
        <v>0</v>
      </c>
    </row>
    <row r="2911" spans="1:7" x14ac:dyDescent="0.25">
      <c r="A2911" t="s">
        <v>116</v>
      </c>
      <c r="B2911" t="s">
        <v>118</v>
      </c>
      <c r="C2911">
        <v>6000</v>
      </c>
      <c r="D2911" t="s">
        <v>35</v>
      </c>
      <c r="E2911" t="s">
        <v>39</v>
      </c>
      <c r="F2911" s="5">
        <v>42736</v>
      </c>
      <c r="G2911">
        <v>0</v>
      </c>
    </row>
    <row r="2912" spans="1:7" x14ac:dyDescent="0.25">
      <c r="A2912" t="s">
        <v>116</v>
      </c>
      <c r="B2912" t="s">
        <v>118</v>
      </c>
      <c r="C2912">
        <v>6000</v>
      </c>
      <c r="D2912" t="s">
        <v>35</v>
      </c>
      <c r="E2912" t="s">
        <v>40</v>
      </c>
      <c r="F2912" s="5">
        <v>42370</v>
      </c>
      <c r="G2912">
        <v>7</v>
      </c>
    </row>
    <row r="2913" spans="1:7" x14ac:dyDescent="0.25">
      <c r="A2913" t="s">
        <v>116</v>
      </c>
      <c r="B2913" t="s">
        <v>118</v>
      </c>
      <c r="C2913">
        <v>6000</v>
      </c>
      <c r="D2913" t="s">
        <v>35</v>
      </c>
      <c r="E2913" t="s">
        <v>40</v>
      </c>
      <c r="F2913" s="5">
        <v>42736</v>
      </c>
      <c r="G2913">
        <v>11</v>
      </c>
    </row>
    <row r="2914" spans="1:7" x14ac:dyDescent="0.25">
      <c r="A2914" t="s">
        <v>116</v>
      </c>
      <c r="B2914" t="s">
        <v>118</v>
      </c>
      <c r="C2914">
        <v>6000</v>
      </c>
      <c r="D2914" t="s">
        <v>35</v>
      </c>
      <c r="E2914" t="s">
        <v>41</v>
      </c>
      <c r="F2914" s="5">
        <v>42370</v>
      </c>
      <c r="G2914">
        <v>15</v>
      </c>
    </row>
    <row r="2915" spans="1:7" x14ac:dyDescent="0.25">
      <c r="A2915" t="s">
        <v>116</v>
      </c>
      <c r="B2915" t="s">
        <v>118</v>
      </c>
      <c r="C2915">
        <v>6000</v>
      </c>
      <c r="D2915" t="s">
        <v>35</v>
      </c>
      <c r="E2915" t="s">
        <v>41</v>
      </c>
      <c r="F2915" s="5">
        <v>42736</v>
      </c>
      <c r="G2915">
        <v>26</v>
      </c>
    </row>
    <row r="2916" spans="1:7" x14ac:dyDescent="0.25">
      <c r="A2916" t="s">
        <v>116</v>
      </c>
      <c r="B2916" t="s">
        <v>118</v>
      </c>
      <c r="C2916">
        <v>6000</v>
      </c>
      <c r="D2916" t="s">
        <v>35</v>
      </c>
      <c r="E2916" t="s">
        <v>42</v>
      </c>
      <c r="F2916" s="5">
        <v>42370</v>
      </c>
      <c r="G2916">
        <v>1</v>
      </c>
    </row>
    <row r="2917" spans="1:7" x14ac:dyDescent="0.25">
      <c r="A2917" t="s">
        <v>116</v>
      </c>
      <c r="B2917" t="s">
        <v>118</v>
      </c>
      <c r="C2917">
        <v>6000</v>
      </c>
      <c r="D2917" t="s">
        <v>35</v>
      </c>
      <c r="E2917" t="s">
        <v>42</v>
      </c>
      <c r="F2917" s="5">
        <v>42736</v>
      </c>
      <c r="G2917">
        <v>4</v>
      </c>
    </row>
    <row r="2918" spans="1:7" x14ac:dyDescent="0.25">
      <c r="A2918" t="s">
        <v>116</v>
      </c>
      <c r="B2918" t="s">
        <v>118</v>
      </c>
      <c r="C2918">
        <v>6000</v>
      </c>
      <c r="D2918" t="s">
        <v>35</v>
      </c>
      <c r="E2918" t="s">
        <v>43</v>
      </c>
      <c r="F2918" s="5">
        <v>42370</v>
      </c>
      <c r="G2918">
        <v>3</v>
      </c>
    </row>
    <row r="2919" spans="1:7" x14ac:dyDescent="0.25">
      <c r="A2919" t="s">
        <v>116</v>
      </c>
      <c r="B2919" t="s">
        <v>118</v>
      </c>
      <c r="C2919">
        <v>6000</v>
      </c>
      <c r="D2919" t="s">
        <v>35</v>
      </c>
      <c r="E2919" t="s">
        <v>43</v>
      </c>
      <c r="F2919" s="5">
        <v>42736</v>
      </c>
      <c r="G2919">
        <v>9</v>
      </c>
    </row>
    <row r="2920" spans="1:7" x14ac:dyDescent="0.25">
      <c r="A2920" t="s">
        <v>116</v>
      </c>
      <c r="B2920" t="s">
        <v>118</v>
      </c>
      <c r="C2920">
        <v>6000</v>
      </c>
      <c r="D2920" t="s">
        <v>44</v>
      </c>
      <c r="E2920" t="s">
        <v>36</v>
      </c>
      <c r="F2920" s="5">
        <v>42370</v>
      </c>
      <c r="G2920">
        <v>0</v>
      </c>
    </row>
    <row r="2921" spans="1:7" x14ac:dyDescent="0.25">
      <c r="A2921" t="s">
        <v>116</v>
      </c>
      <c r="B2921" t="s">
        <v>118</v>
      </c>
      <c r="C2921">
        <v>6000</v>
      </c>
      <c r="D2921" t="s">
        <v>44</v>
      </c>
      <c r="E2921" t="s">
        <v>36</v>
      </c>
      <c r="F2921" s="5">
        <v>42736</v>
      </c>
      <c r="G2921">
        <v>0</v>
      </c>
    </row>
    <row r="2922" spans="1:7" x14ac:dyDescent="0.25">
      <c r="A2922" t="s">
        <v>116</v>
      </c>
      <c r="B2922" t="s">
        <v>118</v>
      </c>
      <c r="C2922">
        <v>6000</v>
      </c>
      <c r="D2922" t="s">
        <v>44</v>
      </c>
      <c r="E2922" t="s">
        <v>37</v>
      </c>
      <c r="F2922" s="5">
        <v>42370</v>
      </c>
      <c r="G2922">
        <v>0</v>
      </c>
    </row>
    <row r="2923" spans="1:7" x14ac:dyDescent="0.25">
      <c r="A2923" t="s">
        <v>116</v>
      </c>
      <c r="B2923" t="s">
        <v>118</v>
      </c>
      <c r="C2923">
        <v>6000</v>
      </c>
      <c r="D2923" t="s">
        <v>44</v>
      </c>
      <c r="E2923" t="s">
        <v>37</v>
      </c>
      <c r="F2923" s="5">
        <v>42736</v>
      </c>
      <c r="G2923">
        <v>0</v>
      </c>
    </row>
    <row r="2924" spans="1:7" x14ac:dyDescent="0.25">
      <c r="A2924" t="s">
        <v>116</v>
      </c>
      <c r="B2924" t="s">
        <v>118</v>
      </c>
      <c r="C2924">
        <v>6000</v>
      </c>
      <c r="D2924" t="s">
        <v>44</v>
      </c>
      <c r="E2924" t="s">
        <v>38</v>
      </c>
      <c r="F2924" s="5">
        <v>42370</v>
      </c>
      <c r="G2924">
        <v>0</v>
      </c>
    </row>
    <row r="2925" spans="1:7" x14ac:dyDescent="0.25">
      <c r="A2925" t="s">
        <v>116</v>
      </c>
      <c r="B2925" t="s">
        <v>118</v>
      </c>
      <c r="C2925">
        <v>6000</v>
      </c>
      <c r="D2925" t="s">
        <v>44</v>
      </c>
      <c r="E2925" t="s">
        <v>38</v>
      </c>
      <c r="F2925" s="5">
        <v>42736</v>
      </c>
      <c r="G2925">
        <v>0</v>
      </c>
    </row>
    <row r="2926" spans="1:7" x14ac:dyDescent="0.25">
      <c r="A2926" t="s">
        <v>116</v>
      </c>
      <c r="B2926" t="s">
        <v>118</v>
      </c>
      <c r="C2926">
        <v>6000</v>
      </c>
      <c r="D2926" t="s">
        <v>44</v>
      </c>
      <c r="E2926" t="s">
        <v>39</v>
      </c>
      <c r="F2926" s="5">
        <v>42370</v>
      </c>
      <c r="G2926">
        <v>0</v>
      </c>
    </row>
    <row r="2927" spans="1:7" x14ac:dyDescent="0.25">
      <c r="A2927" t="s">
        <v>116</v>
      </c>
      <c r="B2927" t="s">
        <v>118</v>
      </c>
      <c r="C2927">
        <v>6000</v>
      </c>
      <c r="D2927" t="s">
        <v>44</v>
      </c>
      <c r="E2927" t="s">
        <v>39</v>
      </c>
      <c r="F2927" s="5">
        <v>42736</v>
      </c>
      <c r="G2927">
        <v>0</v>
      </c>
    </row>
    <row r="2928" spans="1:7" x14ac:dyDescent="0.25">
      <c r="A2928" t="s">
        <v>116</v>
      </c>
      <c r="B2928" t="s">
        <v>118</v>
      </c>
      <c r="C2928">
        <v>6000</v>
      </c>
      <c r="D2928" t="s">
        <v>44</v>
      </c>
      <c r="E2928" t="s">
        <v>40</v>
      </c>
      <c r="F2928" s="5">
        <v>42370</v>
      </c>
      <c r="G2928">
        <v>0</v>
      </c>
    </row>
    <row r="2929" spans="1:7" x14ac:dyDescent="0.25">
      <c r="A2929" t="s">
        <v>116</v>
      </c>
      <c r="B2929" t="s">
        <v>118</v>
      </c>
      <c r="C2929">
        <v>6000</v>
      </c>
      <c r="D2929" t="s">
        <v>44</v>
      </c>
      <c r="E2929" t="s">
        <v>40</v>
      </c>
      <c r="F2929" s="5">
        <v>42736</v>
      </c>
      <c r="G2929">
        <v>0</v>
      </c>
    </row>
    <row r="2930" spans="1:7" x14ac:dyDescent="0.25">
      <c r="A2930" t="s">
        <v>116</v>
      </c>
      <c r="B2930" t="s">
        <v>118</v>
      </c>
      <c r="C2930">
        <v>6000</v>
      </c>
      <c r="D2930" t="s">
        <v>44</v>
      </c>
      <c r="E2930" t="s">
        <v>41</v>
      </c>
      <c r="F2930" s="5">
        <v>42370</v>
      </c>
      <c r="G2930">
        <v>0</v>
      </c>
    </row>
    <row r="2931" spans="1:7" x14ac:dyDescent="0.25">
      <c r="A2931" t="s">
        <v>116</v>
      </c>
      <c r="B2931" t="s">
        <v>118</v>
      </c>
      <c r="C2931">
        <v>6000</v>
      </c>
      <c r="D2931" t="s">
        <v>44</v>
      </c>
      <c r="E2931" t="s">
        <v>41</v>
      </c>
      <c r="F2931" s="5">
        <v>42736</v>
      </c>
      <c r="G2931">
        <v>0</v>
      </c>
    </row>
    <row r="2932" spans="1:7" x14ac:dyDescent="0.25">
      <c r="A2932" t="s">
        <v>116</v>
      </c>
      <c r="B2932" t="s">
        <v>118</v>
      </c>
      <c r="C2932">
        <v>6000</v>
      </c>
      <c r="D2932" t="s">
        <v>44</v>
      </c>
      <c r="E2932" t="s">
        <v>42</v>
      </c>
      <c r="F2932" s="5">
        <v>42370</v>
      </c>
      <c r="G2932">
        <v>0</v>
      </c>
    </row>
    <row r="2933" spans="1:7" x14ac:dyDescent="0.25">
      <c r="A2933" t="s">
        <v>116</v>
      </c>
      <c r="B2933" t="s">
        <v>118</v>
      </c>
      <c r="C2933">
        <v>6000</v>
      </c>
      <c r="D2933" t="s">
        <v>44</v>
      </c>
      <c r="E2933" t="s">
        <v>42</v>
      </c>
      <c r="F2933" s="5">
        <v>42736</v>
      </c>
      <c r="G2933">
        <v>0</v>
      </c>
    </row>
    <row r="2934" spans="1:7" x14ac:dyDescent="0.25">
      <c r="A2934" t="s">
        <v>116</v>
      </c>
      <c r="B2934" t="s">
        <v>118</v>
      </c>
      <c r="C2934">
        <v>6000</v>
      </c>
      <c r="D2934" t="s">
        <v>44</v>
      </c>
      <c r="E2934" t="s">
        <v>43</v>
      </c>
      <c r="F2934" s="5">
        <v>42370</v>
      </c>
      <c r="G2934">
        <v>0</v>
      </c>
    </row>
    <row r="2935" spans="1:7" x14ac:dyDescent="0.25">
      <c r="A2935" t="s">
        <v>116</v>
      </c>
      <c r="B2935" t="s">
        <v>118</v>
      </c>
      <c r="C2935">
        <v>6000</v>
      </c>
      <c r="D2935" t="s">
        <v>44</v>
      </c>
      <c r="E2935" t="s">
        <v>43</v>
      </c>
      <c r="F2935" s="5">
        <v>42736</v>
      </c>
      <c r="G2935">
        <v>0</v>
      </c>
    </row>
    <row r="2936" spans="1:7" x14ac:dyDescent="0.25">
      <c r="A2936" t="s">
        <v>116</v>
      </c>
      <c r="B2936" t="s">
        <v>118</v>
      </c>
      <c r="C2936">
        <v>6000</v>
      </c>
      <c r="D2936" t="s">
        <v>45</v>
      </c>
      <c r="E2936" t="s">
        <v>46</v>
      </c>
      <c r="F2936" s="5">
        <v>42370</v>
      </c>
      <c r="G2936">
        <v>0</v>
      </c>
    </row>
    <row r="2937" spans="1:7" x14ac:dyDescent="0.25">
      <c r="A2937" t="s">
        <v>116</v>
      </c>
      <c r="B2937" t="s">
        <v>118</v>
      </c>
      <c r="C2937">
        <v>6000</v>
      </c>
      <c r="D2937" t="s">
        <v>45</v>
      </c>
      <c r="E2937" t="s">
        <v>46</v>
      </c>
      <c r="F2937" s="5">
        <v>42736</v>
      </c>
      <c r="G2937">
        <v>0</v>
      </c>
    </row>
    <row r="2938" spans="1:7" x14ac:dyDescent="0.25">
      <c r="A2938" t="s">
        <v>116</v>
      </c>
      <c r="B2938" t="s">
        <v>118</v>
      </c>
      <c r="C2938">
        <v>6000</v>
      </c>
      <c r="D2938" t="s">
        <v>45</v>
      </c>
      <c r="E2938" t="s">
        <v>47</v>
      </c>
      <c r="F2938" s="5">
        <v>42370</v>
      </c>
      <c r="G2938">
        <v>5</v>
      </c>
    </row>
    <row r="2939" spans="1:7" x14ac:dyDescent="0.25">
      <c r="A2939" t="s">
        <v>116</v>
      </c>
      <c r="B2939" t="s">
        <v>118</v>
      </c>
      <c r="C2939">
        <v>6000</v>
      </c>
      <c r="D2939" t="s">
        <v>45</v>
      </c>
      <c r="E2939" t="s">
        <v>47</v>
      </c>
      <c r="F2939" s="5">
        <v>42736</v>
      </c>
      <c r="G2939">
        <v>5</v>
      </c>
    </row>
    <row r="2940" spans="1:7" x14ac:dyDescent="0.25">
      <c r="A2940" t="s">
        <v>116</v>
      </c>
      <c r="B2940" t="s">
        <v>118</v>
      </c>
      <c r="C2940">
        <v>6000</v>
      </c>
      <c r="D2940" t="s">
        <v>45</v>
      </c>
      <c r="E2940" t="s">
        <v>48</v>
      </c>
      <c r="F2940" s="5">
        <v>42370</v>
      </c>
      <c r="G2940">
        <v>61</v>
      </c>
    </row>
    <row r="2941" spans="1:7" x14ac:dyDescent="0.25">
      <c r="A2941" t="s">
        <v>116</v>
      </c>
      <c r="B2941" t="s">
        <v>118</v>
      </c>
      <c r="C2941">
        <v>6000</v>
      </c>
      <c r="D2941" t="s">
        <v>45</v>
      </c>
      <c r="E2941" t="s">
        <v>48</v>
      </c>
      <c r="F2941" s="5">
        <v>42736</v>
      </c>
      <c r="G2941">
        <v>65</v>
      </c>
    </row>
    <row r="2942" spans="1:7" x14ac:dyDescent="0.25">
      <c r="A2942" t="s">
        <v>116</v>
      </c>
      <c r="B2942" t="s">
        <v>118</v>
      </c>
      <c r="C2942">
        <v>6000</v>
      </c>
      <c r="D2942" t="s">
        <v>45</v>
      </c>
      <c r="E2942" t="s">
        <v>49</v>
      </c>
      <c r="F2942" s="5">
        <v>42370</v>
      </c>
      <c r="G2942">
        <v>29</v>
      </c>
    </row>
    <row r="2943" spans="1:7" x14ac:dyDescent="0.25">
      <c r="A2943" t="s">
        <v>116</v>
      </c>
      <c r="B2943" t="s">
        <v>118</v>
      </c>
      <c r="C2943">
        <v>6000</v>
      </c>
      <c r="D2943" t="s">
        <v>45</v>
      </c>
      <c r="E2943" t="s">
        <v>49</v>
      </c>
      <c r="F2943" s="5">
        <v>42736</v>
      </c>
      <c r="G2943">
        <v>28</v>
      </c>
    </row>
    <row r="2944" spans="1:7" x14ac:dyDescent="0.25">
      <c r="A2944" t="s">
        <v>116</v>
      </c>
      <c r="B2944" t="s">
        <v>118</v>
      </c>
      <c r="C2944">
        <v>6000</v>
      </c>
      <c r="D2944" t="s">
        <v>45</v>
      </c>
      <c r="E2944" t="s">
        <v>50</v>
      </c>
      <c r="F2944" s="5">
        <v>42370</v>
      </c>
      <c r="G2944">
        <v>0</v>
      </c>
    </row>
    <row r="2945" spans="1:7" x14ac:dyDescent="0.25">
      <c r="A2945" t="s">
        <v>116</v>
      </c>
      <c r="B2945" t="s">
        <v>118</v>
      </c>
      <c r="C2945">
        <v>6000</v>
      </c>
      <c r="D2945" t="s">
        <v>45</v>
      </c>
      <c r="E2945" t="s">
        <v>50</v>
      </c>
      <c r="F2945" s="5">
        <v>42736</v>
      </c>
      <c r="G2945">
        <v>0</v>
      </c>
    </row>
    <row r="2946" spans="1:7" x14ac:dyDescent="0.25">
      <c r="A2946" t="s">
        <v>116</v>
      </c>
      <c r="B2946" t="s">
        <v>118</v>
      </c>
      <c r="C2946">
        <v>6000</v>
      </c>
      <c r="D2946" t="s">
        <v>45</v>
      </c>
      <c r="E2946" t="s">
        <v>51</v>
      </c>
      <c r="F2946" s="5">
        <v>42370</v>
      </c>
      <c r="G2946">
        <v>0</v>
      </c>
    </row>
    <row r="2947" spans="1:7" x14ac:dyDescent="0.25">
      <c r="A2947" t="s">
        <v>116</v>
      </c>
      <c r="B2947" t="s">
        <v>118</v>
      </c>
      <c r="C2947">
        <v>6000</v>
      </c>
      <c r="D2947" t="s">
        <v>45</v>
      </c>
      <c r="E2947" t="s">
        <v>51</v>
      </c>
      <c r="F2947" s="5">
        <v>42736</v>
      </c>
      <c r="G2947">
        <v>0</v>
      </c>
    </row>
    <row r="2948" spans="1:7" x14ac:dyDescent="0.25">
      <c r="A2948" t="s">
        <v>116</v>
      </c>
      <c r="B2948" t="s">
        <v>118</v>
      </c>
      <c r="C2948">
        <v>6000</v>
      </c>
      <c r="D2948" t="s">
        <v>45</v>
      </c>
      <c r="E2948" t="s">
        <v>52</v>
      </c>
      <c r="F2948" s="5">
        <v>42370</v>
      </c>
      <c r="G2948">
        <v>0</v>
      </c>
    </row>
    <row r="2949" spans="1:7" x14ac:dyDescent="0.25">
      <c r="A2949" t="s">
        <v>116</v>
      </c>
      <c r="B2949" t="s">
        <v>118</v>
      </c>
      <c r="C2949">
        <v>6000</v>
      </c>
      <c r="D2949" t="s">
        <v>45</v>
      </c>
      <c r="E2949" t="s">
        <v>52</v>
      </c>
      <c r="F2949" s="5">
        <v>42736</v>
      </c>
      <c r="G2949">
        <v>0</v>
      </c>
    </row>
    <row r="2950" spans="1:7" x14ac:dyDescent="0.25">
      <c r="A2950" t="s">
        <v>116</v>
      </c>
      <c r="B2950" t="s">
        <v>118</v>
      </c>
      <c r="C2950">
        <v>6000</v>
      </c>
      <c r="D2950" t="s">
        <v>45</v>
      </c>
      <c r="E2950" t="s">
        <v>53</v>
      </c>
      <c r="F2950" s="5">
        <v>42370</v>
      </c>
      <c r="G2950">
        <v>36</v>
      </c>
    </row>
    <row r="2951" spans="1:7" x14ac:dyDescent="0.25">
      <c r="A2951" t="s">
        <v>116</v>
      </c>
      <c r="B2951" t="s">
        <v>118</v>
      </c>
      <c r="C2951">
        <v>6000</v>
      </c>
      <c r="D2951" t="s">
        <v>45</v>
      </c>
      <c r="E2951" t="s">
        <v>53</v>
      </c>
      <c r="F2951" s="5">
        <v>42736</v>
      </c>
      <c r="G2951">
        <v>75</v>
      </c>
    </row>
    <row r="2952" spans="1:7" x14ac:dyDescent="0.25">
      <c r="A2952" t="s">
        <v>116</v>
      </c>
      <c r="B2952" t="s">
        <v>118</v>
      </c>
      <c r="C2952">
        <v>6000</v>
      </c>
      <c r="D2952" t="s">
        <v>45</v>
      </c>
      <c r="E2952" t="s">
        <v>54</v>
      </c>
      <c r="F2952" s="5">
        <v>42370</v>
      </c>
      <c r="G2952">
        <v>4</v>
      </c>
    </row>
    <row r="2953" spans="1:7" x14ac:dyDescent="0.25">
      <c r="A2953" t="s">
        <v>116</v>
      </c>
      <c r="B2953" t="s">
        <v>118</v>
      </c>
      <c r="C2953">
        <v>6000</v>
      </c>
      <c r="D2953" t="s">
        <v>45</v>
      </c>
      <c r="E2953" t="s">
        <v>54</v>
      </c>
      <c r="F2953" s="5">
        <v>42736</v>
      </c>
      <c r="G2953">
        <v>6</v>
      </c>
    </row>
    <row r="2954" spans="1:7" x14ac:dyDescent="0.25">
      <c r="A2954" t="s">
        <v>116</v>
      </c>
      <c r="B2954" t="s">
        <v>118</v>
      </c>
      <c r="C2954">
        <v>6000</v>
      </c>
      <c r="D2954" t="s">
        <v>45</v>
      </c>
      <c r="E2954" t="s">
        <v>55</v>
      </c>
      <c r="F2954" s="5">
        <v>42370</v>
      </c>
      <c r="G2954">
        <v>1</v>
      </c>
    </row>
    <row r="2955" spans="1:7" x14ac:dyDescent="0.25">
      <c r="A2955" t="s">
        <v>116</v>
      </c>
      <c r="B2955" t="s">
        <v>118</v>
      </c>
      <c r="C2955">
        <v>6000</v>
      </c>
      <c r="D2955" t="s">
        <v>45</v>
      </c>
      <c r="E2955" t="s">
        <v>55</v>
      </c>
      <c r="F2955" s="5">
        <v>42736</v>
      </c>
      <c r="G2955">
        <v>0</v>
      </c>
    </row>
    <row r="2956" spans="1:7" x14ac:dyDescent="0.25">
      <c r="A2956" t="s">
        <v>116</v>
      </c>
      <c r="B2956" t="s">
        <v>118</v>
      </c>
      <c r="C2956">
        <v>6000</v>
      </c>
      <c r="D2956" t="s">
        <v>45</v>
      </c>
      <c r="E2956" t="s">
        <v>56</v>
      </c>
      <c r="F2956" s="5">
        <v>42370</v>
      </c>
      <c r="G2956">
        <v>0</v>
      </c>
    </row>
    <row r="2957" spans="1:7" x14ac:dyDescent="0.25">
      <c r="A2957" t="s">
        <v>116</v>
      </c>
      <c r="B2957" t="s">
        <v>118</v>
      </c>
      <c r="C2957">
        <v>6000</v>
      </c>
      <c r="D2957" t="s">
        <v>45</v>
      </c>
      <c r="E2957" t="s">
        <v>56</v>
      </c>
      <c r="F2957" s="5">
        <v>42736</v>
      </c>
      <c r="G2957">
        <v>2</v>
      </c>
    </row>
    <row r="2958" spans="1:7" x14ac:dyDescent="0.25">
      <c r="A2958" t="s">
        <v>116</v>
      </c>
      <c r="B2958" t="s">
        <v>118</v>
      </c>
      <c r="C2958">
        <v>6000</v>
      </c>
      <c r="D2958" t="s">
        <v>45</v>
      </c>
      <c r="E2958" t="s">
        <v>57</v>
      </c>
      <c r="F2958" s="5">
        <v>42370</v>
      </c>
      <c r="G2958">
        <v>1</v>
      </c>
    </row>
    <row r="2959" spans="1:7" x14ac:dyDescent="0.25">
      <c r="A2959" t="s">
        <v>116</v>
      </c>
      <c r="B2959" t="s">
        <v>118</v>
      </c>
      <c r="C2959">
        <v>6000</v>
      </c>
      <c r="D2959" t="s">
        <v>45</v>
      </c>
      <c r="E2959" t="s">
        <v>57</v>
      </c>
      <c r="F2959" s="5">
        <v>42736</v>
      </c>
      <c r="G2959">
        <v>5</v>
      </c>
    </row>
    <row r="2960" spans="1:7" x14ac:dyDescent="0.25">
      <c r="A2960" t="s">
        <v>116</v>
      </c>
      <c r="B2960" t="s">
        <v>118</v>
      </c>
      <c r="C2960">
        <v>6000</v>
      </c>
      <c r="D2960" t="s">
        <v>45</v>
      </c>
      <c r="E2960" t="s">
        <v>58</v>
      </c>
      <c r="F2960" s="5">
        <v>42370</v>
      </c>
      <c r="G2960">
        <v>0</v>
      </c>
    </row>
    <row r="2961" spans="1:7" x14ac:dyDescent="0.25">
      <c r="A2961" t="s">
        <v>116</v>
      </c>
      <c r="B2961" t="s">
        <v>118</v>
      </c>
      <c r="C2961">
        <v>6000</v>
      </c>
      <c r="D2961" t="s">
        <v>45</v>
      </c>
      <c r="E2961" t="s">
        <v>58</v>
      </c>
      <c r="F2961" s="5">
        <v>42736</v>
      </c>
      <c r="G2961">
        <v>0</v>
      </c>
    </row>
    <row r="2962" spans="1:7" x14ac:dyDescent="0.25">
      <c r="A2962" t="s">
        <v>116</v>
      </c>
      <c r="B2962" t="s">
        <v>118</v>
      </c>
      <c r="C2962">
        <v>6000</v>
      </c>
      <c r="D2962" t="s">
        <v>45</v>
      </c>
      <c r="E2962" t="s">
        <v>59</v>
      </c>
      <c r="F2962" s="5">
        <v>42370</v>
      </c>
      <c r="G2962">
        <v>1</v>
      </c>
    </row>
    <row r="2963" spans="1:7" x14ac:dyDescent="0.25">
      <c r="A2963" t="s">
        <v>116</v>
      </c>
      <c r="B2963" t="s">
        <v>118</v>
      </c>
      <c r="C2963">
        <v>6000</v>
      </c>
      <c r="D2963" t="s">
        <v>45</v>
      </c>
      <c r="E2963" t="s">
        <v>59</v>
      </c>
      <c r="F2963" s="5">
        <v>42736</v>
      </c>
      <c r="G2963">
        <v>0</v>
      </c>
    </row>
    <row r="2964" spans="1:7" x14ac:dyDescent="0.25">
      <c r="A2964" t="s">
        <v>116</v>
      </c>
      <c r="B2964" t="s">
        <v>118</v>
      </c>
      <c r="C2964">
        <v>6000</v>
      </c>
      <c r="D2964" t="s">
        <v>45</v>
      </c>
      <c r="E2964" t="s">
        <v>60</v>
      </c>
      <c r="F2964" s="5">
        <v>42370</v>
      </c>
      <c r="G2964">
        <v>4</v>
      </c>
    </row>
    <row r="2965" spans="1:7" x14ac:dyDescent="0.25">
      <c r="A2965" t="s">
        <v>116</v>
      </c>
      <c r="B2965" t="s">
        <v>118</v>
      </c>
      <c r="C2965">
        <v>6000</v>
      </c>
      <c r="D2965" t="s">
        <v>45</v>
      </c>
      <c r="E2965" t="s">
        <v>60</v>
      </c>
      <c r="F2965" s="5">
        <v>42736</v>
      </c>
      <c r="G2965">
        <v>4</v>
      </c>
    </row>
    <row r="2966" spans="1:7" x14ac:dyDescent="0.25">
      <c r="A2966" t="s">
        <v>116</v>
      </c>
      <c r="B2966" t="s">
        <v>118</v>
      </c>
      <c r="C2966">
        <v>6000</v>
      </c>
      <c r="D2966" t="s">
        <v>45</v>
      </c>
      <c r="E2966" t="s">
        <v>61</v>
      </c>
      <c r="F2966" s="5">
        <v>42370</v>
      </c>
      <c r="G2966">
        <v>2</v>
      </c>
    </row>
    <row r="2967" spans="1:7" x14ac:dyDescent="0.25">
      <c r="A2967" t="s">
        <v>116</v>
      </c>
      <c r="B2967" t="s">
        <v>118</v>
      </c>
      <c r="C2967">
        <v>6000</v>
      </c>
      <c r="D2967" t="s">
        <v>45</v>
      </c>
      <c r="E2967" t="s">
        <v>61</v>
      </c>
      <c r="F2967" s="5">
        <v>42736</v>
      </c>
      <c r="G2967">
        <v>2</v>
      </c>
    </row>
    <row r="2968" spans="1:7" x14ac:dyDescent="0.25">
      <c r="A2968" t="s">
        <v>116</v>
      </c>
      <c r="B2968" t="s">
        <v>118</v>
      </c>
      <c r="C2968">
        <v>6000</v>
      </c>
      <c r="D2968" t="s">
        <v>62</v>
      </c>
      <c r="E2968" t="s">
        <v>63</v>
      </c>
      <c r="F2968" s="5">
        <v>42370</v>
      </c>
      <c r="G2968">
        <v>0</v>
      </c>
    </row>
    <row r="2969" spans="1:7" x14ac:dyDescent="0.25">
      <c r="A2969" t="s">
        <v>116</v>
      </c>
      <c r="B2969" t="s">
        <v>118</v>
      </c>
      <c r="C2969">
        <v>6000</v>
      </c>
      <c r="D2969" t="s">
        <v>62</v>
      </c>
      <c r="E2969" t="s">
        <v>63</v>
      </c>
      <c r="F2969" s="5">
        <v>42736</v>
      </c>
      <c r="G2969">
        <v>0</v>
      </c>
    </row>
    <row r="2970" spans="1:7" x14ac:dyDescent="0.25">
      <c r="A2970" t="s">
        <v>116</v>
      </c>
      <c r="B2970" t="s">
        <v>118</v>
      </c>
      <c r="C2970">
        <v>6000</v>
      </c>
      <c r="D2970" t="s">
        <v>62</v>
      </c>
      <c r="E2970" t="s">
        <v>64</v>
      </c>
      <c r="F2970" s="5">
        <v>42370</v>
      </c>
      <c r="G2970">
        <v>0</v>
      </c>
    </row>
    <row r="2971" spans="1:7" x14ac:dyDescent="0.25">
      <c r="A2971" t="s">
        <v>116</v>
      </c>
      <c r="B2971" t="s">
        <v>118</v>
      </c>
      <c r="C2971">
        <v>6000</v>
      </c>
      <c r="D2971" t="s">
        <v>62</v>
      </c>
      <c r="E2971" t="s">
        <v>64</v>
      </c>
      <c r="F2971" s="5">
        <v>42736</v>
      </c>
      <c r="G2971">
        <v>0</v>
      </c>
    </row>
    <row r="2972" spans="1:7" x14ac:dyDescent="0.25">
      <c r="A2972" t="s">
        <v>116</v>
      </c>
      <c r="B2972" t="s">
        <v>118</v>
      </c>
      <c r="C2972">
        <v>6000</v>
      </c>
      <c r="D2972" t="s">
        <v>62</v>
      </c>
      <c r="E2972" t="s">
        <v>9</v>
      </c>
      <c r="F2972" s="5">
        <v>42370</v>
      </c>
      <c r="G2972">
        <v>0</v>
      </c>
    </row>
    <row r="2973" spans="1:7" x14ac:dyDescent="0.25">
      <c r="A2973" t="s">
        <v>116</v>
      </c>
      <c r="B2973" t="s">
        <v>118</v>
      </c>
      <c r="C2973">
        <v>6000</v>
      </c>
      <c r="D2973" t="s">
        <v>62</v>
      </c>
      <c r="E2973" t="s">
        <v>9</v>
      </c>
      <c r="F2973" s="5">
        <v>42736</v>
      </c>
      <c r="G2973">
        <v>0</v>
      </c>
    </row>
    <row r="2974" spans="1:7" x14ac:dyDescent="0.25">
      <c r="A2974" t="s">
        <v>116</v>
      </c>
      <c r="B2974" t="s">
        <v>118</v>
      </c>
      <c r="C2974">
        <v>6000</v>
      </c>
      <c r="D2974" t="s">
        <v>62</v>
      </c>
      <c r="E2974" t="s">
        <v>65</v>
      </c>
      <c r="F2974" s="5">
        <v>42370</v>
      </c>
      <c r="G2974">
        <v>0</v>
      </c>
    </row>
    <row r="2975" spans="1:7" x14ac:dyDescent="0.25">
      <c r="A2975" t="s">
        <v>116</v>
      </c>
      <c r="B2975" t="s">
        <v>118</v>
      </c>
      <c r="C2975">
        <v>6000</v>
      </c>
      <c r="D2975" t="s">
        <v>62</v>
      </c>
      <c r="E2975" t="s">
        <v>65</v>
      </c>
      <c r="F2975" s="5">
        <v>42736</v>
      </c>
      <c r="G2975">
        <v>0</v>
      </c>
    </row>
    <row r="2976" spans="1:7" x14ac:dyDescent="0.25">
      <c r="A2976" t="s">
        <v>116</v>
      </c>
      <c r="B2976" t="s">
        <v>118</v>
      </c>
      <c r="C2976">
        <v>6000</v>
      </c>
      <c r="D2976" t="s">
        <v>62</v>
      </c>
      <c r="E2976" t="s">
        <v>66</v>
      </c>
      <c r="F2976" s="5">
        <v>42370</v>
      </c>
      <c r="G2976">
        <v>0</v>
      </c>
    </row>
    <row r="2977" spans="1:7" x14ac:dyDescent="0.25">
      <c r="A2977" t="s">
        <v>116</v>
      </c>
      <c r="B2977" t="s">
        <v>118</v>
      </c>
      <c r="C2977">
        <v>6000</v>
      </c>
      <c r="D2977" t="s">
        <v>62</v>
      </c>
      <c r="E2977" t="s">
        <v>66</v>
      </c>
      <c r="F2977" s="5">
        <v>42736</v>
      </c>
      <c r="G2977">
        <v>0</v>
      </c>
    </row>
    <row r="2978" spans="1:7" x14ac:dyDescent="0.25">
      <c r="A2978" t="s">
        <v>116</v>
      </c>
      <c r="B2978" t="s">
        <v>118</v>
      </c>
      <c r="C2978">
        <v>6000</v>
      </c>
      <c r="D2978" t="s">
        <v>62</v>
      </c>
      <c r="E2978" t="s">
        <v>67</v>
      </c>
      <c r="F2978" s="5">
        <v>42370</v>
      </c>
      <c r="G2978">
        <v>0</v>
      </c>
    </row>
    <row r="2979" spans="1:7" x14ac:dyDescent="0.25">
      <c r="A2979" t="s">
        <v>116</v>
      </c>
      <c r="B2979" t="s">
        <v>118</v>
      </c>
      <c r="C2979">
        <v>6000</v>
      </c>
      <c r="D2979" t="s">
        <v>62</v>
      </c>
      <c r="E2979" t="s">
        <v>67</v>
      </c>
      <c r="F2979" s="5">
        <v>42736</v>
      </c>
      <c r="G2979">
        <v>0</v>
      </c>
    </row>
    <row r="2980" spans="1:7" x14ac:dyDescent="0.25">
      <c r="A2980" t="s">
        <v>116</v>
      </c>
      <c r="B2980" t="s">
        <v>118</v>
      </c>
      <c r="C2980">
        <v>6000</v>
      </c>
      <c r="D2980" t="s">
        <v>62</v>
      </c>
      <c r="E2980" t="s">
        <v>68</v>
      </c>
      <c r="F2980" s="5">
        <v>42370</v>
      </c>
      <c r="G2980">
        <v>0</v>
      </c>
    </row>
    <row r="2981" spans="1:7" x14ac:dyDescent="0.25">
      <c r="A2981" t="s">
        <v>116</v>
      </c>
      <c r="B2981" t="s">
        <v>118</v>
      </c>
      <c r="C2981">
        <v>6000</v>
      </c>
      <c r="D2981" t="s">
        <v>62</v>
      </c>
      <c r="E2981" t="s">
        <v>68</v>
      </c>
      <c r="F2981" s="5">
        <v>42736</v>
      </c>
      <c r="G2981">
        <v>0</v>
      </c>
    </row>
    <row r="2982" spans="1:7" x14ac:dyDescent="0.25">
      <c r="A2982" t="s">
        <v>116</v>
      </c>
      <c r="B2982" t="s">
        <v>118</v>
      </c>
      <c r="C2982">
        <v>6000</v>
      </c>
      <c r="D2982" t="s">
        <v>62</v>
      </c>
      <c r="E2982" t="s">
        <v>69</v>
      </c>
      <c r="F2982" s="5">
        <v>42370</v>
      </c>
      <c r="G2982">
        <v>1</v>
      </c>
    </row>
    <row r="2983" spans="1:7" x14ac:dyDescent="0.25">
      <c r="A2983" t="s">
        <v>116</v>
      </c>
      <c r="B2983" t="s">
        <v>118</v>
      </c>
      <c r="C2983">
        <v>6000</v>
      </c>
      <c r="D2983" t="s">
        <v>62</v>
      </c>
      <c r="E2983" t="s">
        <v>69</v>
      </c>
      <c r="F2983" s="5">
        <v>42736</v>
      </c>
      <c r="G2983">
        <v>0</v>
      </c>
    </row>
    <row r="2984" spans="1:7" x14ac:dyDescent="0.25">
      <c r="A2984" t="s">
        <v>116</v>
      </c>
      <c r="B2984" t="s">
        <v>118</v>
      </c>
      <c r="C2984">
        <v>6000</v>
      </c>
      <c r="D2984" t="s">
        <v>62</v>
      </c>
      <c r="E2984" t="s">
        <v>70</v>
      </c>
      <c r="F2984" s="5">
        <v>42370</v>
      </c>
      <c r="G2984">
        <v>0</v>
      </c>
    </row>
    <row r="2985" spans="1:7" x14ac:dyDescent="0.25">
      <c r="A2985" t="s">
        <v>116</v>
      </c>
      <c r="B2985" t="s">
        <v>118</v>
      </c>
      <c r="C2985">
        <v>6000</v>
      </c>
      <c r="D2985" t="s">
        <v>62</v>
      </c>
      <c r="E2985" t="s">
        <v>70</v>
      </c>
      <c r="F2985" s="5">
        <v>42736</v>
      </c>
      <c r="G2985">
        <v>1</v>
      </c>
    </row>
    <row r="2986" spans="1:7" x14ac:dyDescent="0.25">
      <c r="A2986" t="s">
        <v>116</v>
      </c>
      <c r="B2986" t="s">
        <v>118</v>
      </c>
      <c r="C2986">
        <v>6000</v>
      </c>
      <c r="D2986" t="s">
        <v>62</v>
      </c>
      <c r="E2986" t="s">
        <v>71</v>
      </c>
      <c r="F2986" s="5">
        <v>42370</v>
      </c>
      <c r="G2986">
        <v>0</v>
      </c>
    </row>
    <row r="2987" spans="1:7" x14ac:dyDescent="0.25">
      <c r="A2987" t="s">
        <v>116</v>
      </c>
      <c r="B2987" t="s">
        <v>118</v>
      </c>
      <c r="C2987">
        <v>6000</v>
      </c>
      <c r="D2987" t="s">
        <v>62</v>
      </c>
      <c r="E2987" t="s">
        <v>71</v>
      </c>
      <c r="F2987" s="5">
        <v>42736</v>
      </c>
      <c r="G2987">
        <v>0</v>
      </c>
    </row>
    <row r="2988" spans="1:7" x14ac:dyDescent="0.25">
      <c r="A2988" t="s">
        <v>116</v>
      </c>
      <c r="B2988" t="s">
        <v>118</v>
      </c>
      <c r="C2988">
        <v>6000</v>
      </c>
      <c r="D2988" t="s">
        <v>72</v>
      </c>
      <c r="E2988" t="s">
        <v>73</v>
      </c>
      <c r="F2988" s="5">
        <v>42370</v>
      </c>
      <c r="G2988">
        <v>0</v>
      </c>
    </row>
    <row r="2989" spans="1:7" x14ac:dyDescent="0.25">
      <c r="A2989" t="s">
        <v>116</v>
      </c>
      <c r="B2989" t="s">
        <v>118</v>
      </c>
      <c r="C2989">
        <v>6000</v>
      </c>
      <c r="D2989" t="s">
        <v>72</v>
      </c>
      <c r="E2989" t="s">
        <v>73</v>
      </c>
      <c r="F2989" s="5">
        <v>42736</v>
      </c>
      <c r="G2989">
        <v>0</v>
      </c>
    </row>
    <row r="2990" spans="1:7" x14ac:dyDescent="0.25">
      <c r="A2990" t="s">
        <v>116</v>
      </c>
      <c r="B2990" t="s">
        <v>118</v>
      </c>
      <c r="C2990">
        <v>6000</v>
      </c>
      <c r="D2990" t="s">
        <v>72</v>
      </c>
      <c r="E2990" t="s">
        <v>9</v>
      </c>
      <c r="F2990" s="5">
        <v>42370</v>
      </c>
      <c r="G2990">
        <v>0</v>
      </c>
    </row>
    <row r="2991" spans="1:7" x14ac:dyDescent="0.25">
      <c r="A2991" t="s">
        <v>116</v>
      </c>
      <c r="B2991" t="s">
        <v>118</v>
      </c>
      <c r="C2991">
        <v>6000</v>
      </c>
      <c r="D2991" t="s">
        <v>72</v>
      </c>
      <c r="E2991" t="s">
        <v>9</v>
      </c>
      <c r="F2991" s="5">
        <v>42736</v>
      </c>
      <c r="G2991">
        <v>0</v>
      </c>
    </row>
    <row r="2992" spans="1:7" x14ac:dyDescent="0.25">
      <c r="A2992" t="s">
        <v>116</v>
      </c>
      <c r="B2992" t="s">
        <v>118</v>
      </c>
      <c r="C2992">
        <v>6000</v>
      </c>
      <c r="D2992" t="s">
        <v>72</v>
      </c>
      <c r="E2992" t="s">
        <v>34</v>
      </c>
      <c r="F2992" s="5">
        <v>42370</v>
      </c>
      <c r="G2992">
        <v>0</v>
      </c>
    </row>
    <row r="2993" spans="1:7" x14ac:dyDescent="0.25">
      <c r="A2993" t="s">
        <v>116</v>
      </c>
      <c r="B2993" t="s">
        <v>118</v>
      </c>
      <c r="C2993">
        <v>6000</v>
      </c>
      <c r="D2993" t="s">
        <v>72</v>
      </c>
      <c r="E2993" t="s">
        <v>34</v>
      </c>
      <c r="F2993" s="5">
        <v>42736</v>
      </c>
      <c r="G2993">
        <v>0</v>
      </c>
    </row>
    <row r="2994" spans="1:7" x14ac:dyDescent="0.25">
      <c r="A2994" t="s">
        <v>116</v>
      </c>
      <c r="B2994" t="s">
        <v>118</v>
      </c>
      <c r="C2994">
        <v>6000</v>
      </c>
      <c r="D2994" t="s">
        <v>72</v>
      </c>
      <c r="E2994" t="s">
        <v>74</v>
      </c>
      <c r="F2994" s="5">
        <v>42370</v>
      </c>
      <c r="G2994">
        <v>0</v>
      </c>
    </row>
    <row r="2995" spans="1:7" x14ac:dyDescent="0.25">
      <c r="A2995" t="s">
        <v>116</v>
      </c>
      <c r="B2995" t="s">
        <v>118</v>
      </c>
      <c r="C2995">
        <v>6000</v>
      </c>
      <c r="D2995" t="s">
        <v>72</v>
      </c>
      <c r="E2995" t="s">
        <v>74</v>
      </c>
      <c r="F2995" s="5">
        <v>42736</v>
      </c>
      <c r="G2995">
        <v>0</v>
      </c>
    </row>
    <row r="2996" spans="1:7" x14ac:dyDescent="0.25">
      <c r="A2996" t="s">
        <v>116</v>
      </c>
      <c r="B2996" t="s">
        <v>118</v>
      </c>
      <c r="C2996">
        <v>6000</v>
      </c>
      <c r="D2996" t="s">
        <v>72</v>
      </c>
      <c r="E2996" t="s">
        <v>75</v>
      </c>
      <c r="F2996" s="5">
        <v>42370</v>
      </c>
      <c r="G2996">
        <v>1</v>
      </c>
    </row>
    <row r="2997" spans="1:7" x14ac:dyDescent="0.25">
      <c r="A2997" t="s">
        <v>116</v>
      </c>
      <c r="B2997" t="s">
        <v>118</v>
      </c>
      <c r="C2997">
        <v>6000</v>
      </c>
      <c r="D2997" t="s">
        <v>72</v>
      </c>
      <c r="E2997" t="s">
        <v>75</v>
      </c>
      <c r="F2997" s="5">
        <v>42736</v>
      </c>
      <c r="G2997">
        <v>15</v>
      </c>
    </row>
    <row r="2998" spans="1:7" x14ac:dyDescent="0.25">
      <c r="A2998" t="s">
        <v>116</v>
      </c>
      <c r="B2998" t="s">
        <v>118</v>
      </c>
      <c r="C2998">
        <v>6000</v>
      </c>
      <c r="D2998" t="s">
        <v>76</v>
      </c>
      <c r="E2998" t="s">
        <v>9</v>
      </c>
      <c r="F2998" s="5">
        <v>42370</v>
      </c>
      <c r="G2998">
        <v>0</v>
      </c>
    </row>
    <row r="2999" spans="1:7" x14ac:dyDescent="0.25">
      <c r="A2999" t="s">
        <v>116</v>
      </c>
      <c r="B2999" t="s">
        <v>118</v>
      </c>
      <c r="C2999">
        <v>6000</v>
      </c>
      <c r="D2999" t="s">
        <v>76</v>
      </c>
      <c r="E2999" t="s">
        <v>9</v>
      </c>
      <c r="F2999" s="5">
        <v>42736</v>
      </c>
      <c r="G2999">
        <v>0</v>
      </c>
    </row>
    <row r="3000" spans="1:7" x14ac:dyDescent="0.25">
      <c r="A3000" t="s">
        <v>116</v>
      </c>
      <c r="B3000" t="s">
        <v>118</v>
      </c>
      <c r="C3000">
        <v>6000</v>
      </c>
      <c r="D3000" t="s">
        <v>76</v>
      </c>
      <c r="E3000" t="s">
        <v>77</v>
      </c>
      <c r="F3000" s="5">
        <v>42370</v>
      </c>
      <c r="G3000">
        <v>0</v>
      </c>
    </row>
    <row r="3001" spans="1:7" x14ac:dyDescent="0.25">
      <c r="A3001" t="s">
        <v>116</v>
      </c>
      <c r="B3001" t="s">
        <v>118</v>
      </c>
      <c r="C3001">
        <v>6000</v>
      </c>
      <c r="D3001" t="s">
        <v>76</v>
      </c>
      <c r="E3001" t="s">
        <v>77</v>
      </c>
      <c r="F3001" s="5">
        <v>42736</v>
      </c>
      <c r="G3001">
        <v>0</v>
      </c>
    </row>
    <row r="3002" spans="1:7" x14ac:dyDescent="0.25">
      <c r="A3002" t="s">
        <v>116</v>
      </c>
      <c r="B3002" t="s">
        <v>118</v>
      </c>
      <c r="C3002">
        <v>6000</v>
      </c>
      <c r="D3002" t="s">
        <v>78</v>
      </c>
      <c r="E3002" t="s">
        <v>79</v>
      </c>
      <c r="F3002" s="5">
        <v>42370</v>
      </c>
      <c r="G3002">
        <v>121</v>
      </c>
    </row>
    <row r="3003" spans="1:7" x14ac:dyDescent="0.25">
      <c r="A3003" t="s">
        <v>116</v>
      </c>
      <c r="B3003" t="s">
        <v>118</v>
      </c>
      <c r="C3003">
        <v>6000</v>
      </c>
      <c r="D3003" t="s">
        <v>78</v>
      </c>
      <c r="E3003" t="s">
        <v>79</v>
      </c>
      <c r="F3003" s="5">
        <v>42736</v>
      </c>
      <c r="G3003">
        <v>94</v>
      </c>
    </row>
    <row r="3004" spans="1:7" x14ac:dyDescent="0.25">
      <c r="A3004" t="s">
        <v>116</v>
      </c>
      <c r="B3004" t="s">
        <v>118</v>
      </c>
      <c r="C3004">
        <v>6000</v>
      </c>
      <c r="D3004" t="s">
        <v>78</v>
      </c>
      <c r="E3004" t="s">
        <v>80</v>
      </c>
      <c r="F3004" s="5">
        <v>42370</v>
      </c>
      <c r="G3004">
        <v>5</v>
      </c>
    </row>
    <row r="3005" spans="1:7" x14ac:dyDescent="0.25">
      <c r="A3005" t="s">
        <v>116</v>
      </c>
      <c r="B3005" t="s">
        <v>118</v>
      </c>
      <c r="C3005">
        <v>6000</v>
      </c>
      <c r="D3005" t="s">
        <v>78</v>
      </c>
      <c r="E3005" t="s">
        <v>80</v>
      </c>
      <c r="F3005" s="5">
        <v>42736</v>
      </c>
      <c r="G3005">
        <v>14</v>
      </c>
    </row>
    <row r="3006" spans="1:7" x14ac:dyDescent="0.25">
      <c r="A3006" t="s">
        <v>116</v>
      </c>
      <c r="B3006" t="s">
        <v>118</v>
      </c>
      <c r="C3006">
        <v>6000</v>
      </c>
      <c r="D3006" t="s">
        <v>78</v>
      </c>
      <c r="E3006" t="s">
        <v>81</v>
      </c>
      <c r="F3006" s="5">
        <v>42370</v>
      </c>
      <c r="G3006">
        <v>1182</v>
      </c>
    </row>
    <row r="3007" spans="1:7" x14ac:dyDescent="0.25">
      <c r="A3007" t="s">
        <v>116</v>
      </c>
      <c r="B3007" t="s">
        <v>118</v>
      </c>
      <c r="C3007">
        <v>6000</v>
      </c>
      <c r="D3007" t="s">
        <v>78</v>
      </c>
      <c r="E3007" t="s">
        <v>81</v>
      </c>
      <c r="F3007" s="5">
        <v>42736</v>
      </c>
      <c r="G3007">
        <v>1412</v>
      </c>
    </row>
    <row r="3008" spans="1:7" x14ac:dyDescent="0.25">
      <c r="A3008" t="s">
        <v>116</v>
      </c>
      <c r="B3008" t="s">
        <v>118</v>
      </c>
      <c r="C3008">
        <v>6000</v>
      </c>
      <c r="D3008" t="s">
        <v>78</v>
      </c>
      <c r="E3008" t="s">
        <v>82</v>
      </c>
      <c r="F3008" s="5">
        <v>42370</v>
      </c>
      <c r="G3008">
        <v>28</v>
      </c>
    </row>
    <row r="3009" spans="1:7" x14ac:dyDescent="0.25">
      <c r="A3009" t="s">
        <v>116</v>
      </c>
      <c r="B3009" t="s">
        <v>118</v>
      </c>
      <c r="C3009">
        <v>6000</v>
      </c>
      <c r="D3009" t="s">
        <v>78</v>
      </c>
      <c r="E3009" t="s">
        <v>82</v>
      </c>
      <c r="F3009" s="5">
        <v>42736</v>
      </c>
      <c r="G3009">
        <v>41</v>
      </c>
    </row>
    <row r="3010" spans="1:7" x14ac:dyDescent="0.25">
      <c r="A3010" t="s">
        <v>116</v>
      </c>
      <c r="B3010" t="s">
        <v>118</v>
      </c>
      <c r="C3010">
        <v>6000</v>
      </c>
      <c r="D3010" t="s">
        <v>78</v>
      </c>
      <c r="E3010" t="s">
        <v>83</v>
      </c>
      <c r="F3010" s="5">
        <v>42370</v>
      </c>
      <c r="G3010">
        <v>28</v>
      </c>
    </row>
    <row r="3011" spans="1:7" x14ac:dyDescent="0.25">
      <c r="A3011" t="s">
        <v>116</v>
      </c>
      <c r="B3011" t="s">
        <v>118</v>
      </c>
      <c r="C3011">
        <v>6000</v>
      </c>
      <c r="D3011" t="s">
        <v>78</v>
      </c>
      <c r="E3011" t="s">
        <v>83</v>
      </c>
      <c r="F3011" s="5">
        <v>42736</v>
      </c>
      <c r="G3011">
        <v>33</v>
      </c>
    </row>
    <row r="3012" spans="1:7" x14ac:dyDescent="0.25">
      <c r="A3012" t="s">
        <v>116</v>
      </c>
      <c r="B3012" t="s">
        <v>118</v>
      </c>
      <c r="C3012">
        <v>6000</v>
      </c>
      <c r="D3012" t="s">
        <v>78</v>
      </c>
      <c r="E3012" t="s">
        <v>84</v>
      </c>
      <c r="F3012" s="5">
        <v>42370</v>
      </c>
      <c r="G3012">
        <v>1</v>
      </c>
    </row>
    <row r="3013" spans="1:7" x14ac:dyDescent="0.25">
      <c r="A3013" t="s">
        <v>116</v>
      </c>
      <c r="B3013" t="s">
        <v>118</v>
      </c>
      <c r="C3013">
        <v>6000</v>
      </c>
      <c r="D3013" t="s">
        <v>78</v>
      </c>
      <c r="E3013" t="s">
        <v>84</v>
      </c>
      <c r="F3013" s="5">
        <v>42736</v>
      </c>
      <c r="G3013">
        <v>3</v>
      </c>
    </row>
    <row r="3014" spans="1:7" x14ac:dyDescent="0.25">
      <c r="A3014" t="s">
        <v>116</v>
      </c>
      <c r="B3014" t="s">
        <v>118</v>
      </c>
      <c r="C3014">
        <v>6000</v>
      </c>
      <c r="D3014" t="s">
        <v>78</v>
      </c>
      <c r="E3014" t="s">
        <v>85</v>
      </c>
      <c r="F3014" s="5">
        <v>42370</v>
      </c>
      <c r="G3014">
        <v>0</v>
      </c>
    </row>
    <row r="3015" spans="1:7" x14ac:dyDescent="0.25">
      <c r="A3015" t="s">
        <v>116</v>
      </c>
      <c r="B3015" t="s">
        <v>118</v>
      </c>
      <c r="C3015">
        <v>6000</v>
      </c>
      <c r="D3015" t="s">
        <v>78</v>
      </c>
      <c r="E3015" t="s">
        <v>85</v>
      </c>
      <c r="F3015" s="5">
        <v>42736</v>
      </c>
      <c r="G3015">
        <v>1</v>
      </c>
    </row>
    <row r="3016" spans="1:7" x14ac:dyDescent="0.25">
      <c r="A3016" t="s">
        <v>116</v>
      </c>
      <c r="B3016" t="s">
        <v>118</v>
      </c>
      <c r="C3016">
        <v>6000</v>
      </c>
      <c r="D3016" t="s">
        <v>78</v>
      </c>
      <c r="E3016" t="s">
        <v>86</v>
      </c>
      <c r="F3016" s="5">
        <v>42370</v>
      </c>
      <c r="G3016">
        <v>0</v>
      </c>
    </row>
    <row r="3017" spans="1:7" x14ac:dyDescent="0.25">
      <c r="A3017" t="s">
        <v>116</v>
      </c>
      <c r="B3017" t="s">
        <v>118</v>
      </c>
      <c r="C3017">
        <v>6000</v>
      </c>
      <c r="D3017" t="s">
        <v>78</v>
      </c>
      <c r="E3017" t="s">
        <v>86</v>
      </c>
      <c r="F3017" s="5">
        <v>42736</v>
      </c>
      <c r="G3017">
        <v>0</v>
      </c>
    </row>
    <row r="3018" spans="1:7" x14ac:dyDescent="0.25">
      <c r="A3018" t="s">
        <v>116</v>
      </c>
      <c r="B3018" t="s">
        <v>118</v>
      </c>
      <c r="C3018">
        <v>6000</v>
      </c>
      <c r="D3018" t="s">
        <v>78</v>
      </c>
      <c r="E3018" t="s">
        <v>87</v>
      </c>
      <c r="F3018" s="5">
        <v>42370</v>
      </c>
      <c r="G3018">
        <v>61</v>
      </c>
    </row>
    <row r="3019" spans="1:7" x14ac:dyDescent="0.25">
      <c r="A3019" t="s">
        <v>116</v>
      </c>
      <c r="B3019" t="s">
        <v>118</v>
      </c>
      <c r="C3019">
        <v>6000</v>
      </c>
      <c r="D3019" t="s">
        <v>78</v>
      </c>
      <c r="E3019" t="s">
        <v>87</v>
      </c>
      <c r="F3019" s="5">
        <v>42736</v>
      </c>
      <c r="G3019">
        <v>52</v>
      </c>
    </row>
    <row r="3020" spans="1:7" x14ac:dyDescent="0.25">
      <c r="A3020" t="s">
        <v>116</v>
      </c>
      <c r="B3020" t="s">
        <v>118</v>
      </c>
      <c r="C3020">
        <v>6000</v>
      </c>
      <c r="D3020" t="s">
        <v>78</v>
      </c>
      <c r="E3020" t="s">
        <v>88</v>
      </c>
      <c r="F3020" s="5">
        <v>42370</v>
      </c>
      <c r="G3020">
        <v>229</v>
      </c>
    </row>
    <row r="3021" spans="1:7" x14ac:dyDescent="0.25">
      <c r="A3021" t="s">
        <v>116</v>
      </c>
      <c r="B3021" t="s">
        <v>118</v>
      </c>
      <c r="C3021">
        <v>6000</v>
      </c>
      <c r="D3021" t="s">
        <v>78</v>
      </c>
      <c r="E3021" t="s">
        <v>88</v>
      </c>
      <c r="F3021" s="5">
        <v>42736</v>
      </c>
      <c r="G3021">
        <v>309</v>
      </c>
    </row>
    <row r="3022" spans="1:7" x14ac:dyDescent="0.25">
      <c r="A3022" t="s">
        <v>116</v>
      </c>
      <c r="B3022" t="s">
        <v>118</v>
      </c>
      <c r="C3022">
        <v>6000</v>
      </c>
      <c r="D3022" t="s">
        <v>78</v>
      </c>
      <c r="E3022" t="s">
        <v>89</v>
      </c>
      <c r="F3022" s="5">
        <v>42370</v>
      </c>
      <c r="G3022">
        <v>3445</v>
      </c>
    </row>
    <row r="3023" spans="1:7" x14ac:dyDescent="0.25">
      <c r="A3023" t="s">
        <v>116</v>
      </c>
      <c r="B3023" t="s">
        <v>118</v>
      </c>
      <c r="C3023">
        <v>6000</v>
      </c>
      <c r="D3023" t="s">
        <v>78</v>
      </c>
      <c r="E3023" t="s">
        <v>89</v>
      </c>
      <c r="F3023" s="5">
        <v>42736</v>
      </c>
      <c r="G3023">
        <v>4462</v>
      </c>
    </row>
    <row r="3024" spans="1:7" x14ac:dyDescent="0.25">
      <c r="A3024" t="s">
        <v>116</v>
      </c>
      <c r="B3024" t="s">
        <v>118</v>
      </c>
      <c r="C3024">
        <v>6000</v>
      </c>
      <c r="D3024" t="s">
        <v>78</v>
      </c>
      <c r="E3024" t="s">
        <v>90</v>
      </c>
      <c r="F3024" s="5">
        <v>42370</v>
      </c>
      <c r="G3024">
        <v>0</v>
      </c>
    </row>
    <row r="3025" spans="1:7" x14ac:dyDescent="0.25">
      <c r="A3025" t="s">
        <v>116</v>
      </c>
      <c r="B3025" t="s">
        <v>118</v>
      </c>
      <c r="C3025">
        <v>6000</v>
      </c>
      <c r="D3025" t="s">
        <v>78</v>
      </c>
      <c r="E3025" t="s">
        <v>90</v>
      </c>
      <c r="F3025" s="5">
        <v>42736</v>
      </c>
      <c r="G3025">
        <v>0</v>
      </c>
    </row>
    <row r="3026" spans="1:7" x14ac:dyDescent="0.25">
      <c r="A3026" t="s">
        <v>116</v>
      </c>
      <c r="B3026" t="s">
        <v>118</v>
      </c>
      <c r="C3026">
        <v>6000</v>
      </c>
      <c r="D3026" t="s">
        <v>78</v>
      </c>
      <c r="E3026" t="s">
        <v>91</v>
      </c>
      <c r="F3026" s="5">
        <v>42370</v>
      </c>
      <c r="G3026">
        <v>139</v>
      </c>
    </row>
    <row r="3027" spans="1:7" x14ac:dyDescent="0.25">
      <c r="A3027" t="s">
        <v>116</v>
      </c>
      <c r="B3027" t="s">
        <v>118</v>
      </c>
      <c r="C3027">
        <v>6000</v>
      </c>
      <c r="D3027" t="s">
        <v>78</v>
      </c>
      <c r="E3027" t="s">
        <v>91</v>
      </c>
      <c r="F3027" s="5">
        <v>42736</v>
      </c>
      <c r="G3027">
        <v>205</v>
      </c>
    </row>
    <row r="3028" spans="1:7" x14ac:dyDescent="0.25">
      <c r="A3028" t="s">
        <v>116</v>
      </c>
      <c r="B3028" t="s">
        <v>118</v>
      </c>
      <c r="C3028">
        <v>6000</v>
      </c>
      <c r="D3028" t="s">
        <v>78</v>
      </c>
      <c r="E3028" t="s">
        <v>92</v>
      </c>
      <c r="F3028" s="5">
        <v>42370</v>
      </c>
      <c r="G3028">
        <v>3</v>
      </c>
    </row>
    <row r="3029" spans="1:7" x14ac:dyDescent="0.25">
      <c r="A3029" t="s">
        <v>116</v>
      </c>
      <c r="B3029" t="s">
        <v>118</v>
      </c>
      <c r="C3029">
        <v>6000</v>
      </c>
      <c r="D3029" t="s">
        <v>78</v>
      </c>
      <c r="E3029" t="s">
        <v>92</v>
      </c>
      <c r="F3029" s="5">
        <v>42736</v>
      </c>
      <c r="G3029">
        <v>8</v>
      </c>
    </row>
    <row r="3030" spans="1:7" x14ac:dyDescent="0.25">
      <c r="A3030" t="s">
        <v>116</v>
      </c>
      <c r="B3030" t="s">
        <v>118</v>
      </c>
      <c r="C3030">
        <v>6000</v>
      </c>
      <c r="D3030" t="s">
        <v>78</v>
      </c>
      <c r="E3030" t="s">
        <v>93</v>
      </c>
      <c r="F3030" s="5">
        <v>42370</v>
      </c>
      <c r="G3030">
        <v>53</v>
      </c>
    </row>
    <row r="3031" spans="1:7" x14ac:dyDescent="0.25">
      <c r="A3031" t="s">
        <v>116</v>
      </c>
      <c r="B3031" t="s">
        <v>118</v>
      </c>
      <c r="C3031">
        <v>6000</v>
      </c>
      <c r="D3031" t="s">
        <v>78</v>
      </c>
      <c r="E3031" t="s">
        <v>93</v>
      </c>
      <c r="F3031" s="5">
        <v>42736</v>
      </c>
      <c r="G3031">
        <v>93</v>
      </c>
    </row>
    <row r="3032" spans="1:7" x14ac:dyDescent="0.25">
      <c r="A3032" t="s">
        <v>116</v>
      </c>
      <c r="B3032" t="s">
        <v>118</v>
      </c>
      <c r="C3032">
        <v>6000</v>
      </c>
      <c r="D3032" t="s">
        <v>78</v>
      </c>
      <c r="E3032" t="s">
        <v>94</v>
      </c>
      <c r="F3032" s="5">
        <v>42370</v>
      </c>
      <c r="G3032">
        <v>63</v>
      </c>
    </row>
    <row r="3033" spans="1:7" x14ac:dyDescent="0.25">
      <c r="A3033" t="s">
        <v>116</v>
      </c>
      <c r="B3033" t="s">
        <v>118</v>
      </c>
      <c r="C3033">
        <v>6000</v>
      </c>
      <c r="D3033" t="s">
        <v>78</v>
      </c>
      <c r="E3033" t="s">
        <v>94</v>
      </c>
      <c r="F3033" s="5">
        <v>42736</v>
      </c>
      <c r="G3033">
        <v>225</v>
      </c>
    </row>
    <row r="3034" spans="1:7" x14ac:dyDescent="0.25">
      <c r="A3034" t="s">
        <v>116</v>
      </c>
      <c r="B3034" t="s">
        <v>118</v>
      </c>
      <c r="C3034">
        <v>6000</v>
      </c>
      <c r="D3034" t="s">
        <v>78</v>
      </c>
      <c r="E3034" t="s">
        <v>95</v>
      </c>
      <c r="F3034" s="5">
        <v>42370</v>
      </c>
      <c r="G3034">
        <v>28</v>
      </c>
    </row>
    <row r="3035" spans="1:7" x14ac:dyDescent="0.25">
      <c r="A3035" t="s">
        <v>116</v>
      </c>
      <c r="B3035" t="s">
        <v>118</v>
      </c>
      <c r="C3035">
        <v>6000</v>
      </c>
      <c r="D3035" t="s">
        <v>78</v>
      </c>
      <c r="E3035" t="s">
        <v>95</v>
      </c>
      <c r="F3035" s="5">
        <v>42736</v>
      </c>
      <c r="G3035">
        <v>48</v>
      </c>
    </row>
    <row r="3036" spans="1:7" x14ac:dyDescent="0.25">
      <c r="A3036" t="s">
        <v>116</v>
      </c>
      <c r="B3036" t="s">
        <v>118</v>
      </c>
      <c r="C3036">
        <v>6000</v>
      </c>
      <c r="D3036" t="s">
        <v>78</v>
      </c>
      <c r="E3036" t="s">
        <v>96</v>
      </c>
      <c r="F3036" s="5">
        <v>42370</v>
      </c>
      <c r="G3036">
        <v>30</v>
      </c>
    </row>
    <row r="3037" spans="1:7" x14ac:dyDescent="0.25">
      <c r="A3037" t="s">
        <v>116</v>
      </c>
      <c r="B3037" t="s">
        <v>118</v>
      </c>
      <c r="C3037">
        <v>6000</v>
      </c>
      <c r="D3037" t="s">
        <v>78</v>
      </c>
      <c r="E3037" t="s">
        <v>96</v>
      </c>
      <c r="F3037" s="5">
        <v>42736</v>
      </c>
      <c r="G3037">
        <v>35</v>
      </c>
    </row>
    <row r="3038" spans="1:7" x14ac:dyDescent="0.25">
      <c r="A3038" t="s">
        <v>116</v>
      </c>
      <c r="B3038" t="s">
        <v>118</v>
      </c>
      <c r="C3038">
        <v>6000</v>
      </c>
      <c r="D3038" t="s">
        <v>78</v>
      </c>
      <c r="E3038" t="s">
        <v>97</v>
      </c>
      <c r="F3038" s="5">
        <v>42370</v>
      </c>
      <c r="G3038">
        <v>224</v>
      </c>
    </row>
    <row r="3039" spans="1:7" x14ac:dyDescent="0.25">
      <c r="A3039" t="s">
        <v>116</v>
      </c>
      <c r="B3039" t="s">
        <v>118</v>
      </c>
      <c r="C3039">
        <v>6000</v>
      </c>
      <c r="D3039" t="s">
        <v>78</v>
      </c>
      <c r="E3039" t="s">
        <v>97</v>
      </c>
      <c r="F3039" s="5">
        <v>42736</v>
      </c>
      <c r="G3039">
        <v>535</v>
      </c>
    </row>
    <row r="3040" spans="1:7" x14ac:dyDescent="0.25">
      <c r="A3040" t="s">
        <v>116</v>
      </c>
      <c r="B3040" t="s">
        <v>118</v>
      </c>
      <c r="C3040">
        <v>6000</v>
      </c>
      <c r="D3040" t="s">
        <v>78</v>
      </c>
      <c r="E3040" t="s">
        <v>98</v>
      </c>
      <c r="F3040" s="5">
        <v>42370</v>
      </c>
      <c r="G3040">
        <v>75</v>
      </c>
    </row>
    <row r="3041" spans="1:7" x14ac:dyDescent="0.25">
      <c r="A3041" t="s">
        <v>116</v>
      </c>
      <c r="B3041" t="s">
        <v>118</v>
      </c>
      <c r="C3041">
        <v>6000</v>
      </c>
      <c r="D3041" t="s">
        <v>78</v>
      </c>
      <c r="E3041" t="s">
        <v>98</v>
      </c>
      <c r="F3041" s="5">
        <v>42736</v>
      </c>
      <c r="G3041">
        <v>140</v>
      </c>
    </row>
    <row r="3042" spans="1:7" x14ac:dyDescent="0.25">
      <c r="A3042" t="s">
        <v>116</v>
      </c>
      <c r="B3042" t="s">
        <v>119</v>
      </c>
      <c r="C3042">
        <v>6330</v>
      </c>
      <c r="D3042" t="s">
        <v>8</v>
      </c>
      <c r="E3042" t="s">
        <v>9</v>
      </c>
      <c r="F3042" s="5">
        <v>42370</v>
      </c>
      <c r="G3042">
        <v>0</v>
      </c>
    </row>
    <row r="3043" spans="1:7" x14ac:dyDescent="0.25">
      <c r="A3043" t="s">
        <v>116</v>
      </c>
      <c r="B3043" t="s">
        <v>119</v>
      </c>
      <c r="C3043">
        <v>6330</v>
      </c>
      <c r="D3043" t="s">
        <v>8</v>
      </c>
      <c r="E3043" t="s">
        <v>9</v>
      </c>
      <c r="F3043" s="5">
        <v>42736</v>
      </c>
      <c r="G3043">
        <v>0</v>
      </c>
    </row>
    <row r="3044" spans="1:7" x14ac:dyDescent="0.25">
      <c r="A3044" t="s">
        <v>116</v>
      </c>
      <c r="B3044" t="s">
        <v>119</v>
      </c>
      <c r="C3044">
        <v>6330</v>
      </c>
      <c r="D3044" t="s">
        <v>8</v>
      </c>
      <c r="E3044" t="s">
        <v>10</v>
      </c>
      <c r="F3044" s="5">
        <v>42370</v>
      </c>
      <c r="G3044">
        <v>38</v>
      </c>
    </row>
    <row r="3045" spans="1:7" x14ac:dyDescent="0.25">
      <c r="A3045" t="s">
        <v>116</v>
      </c>
      <c r="B3045" t="s">
        <v>119</v>
      </c>
      <c r="C3045">
        <v>6330</v>
      </c>
      <c r="D3045" t="s">
        <v>8</v>
      </c>
      <c r="E3045" t="s">
        <v>10</v>
      </c>
      <c r="F3045" s="5">
        <v>42736</v>
      </c>
      <c r="G3045">
        <v>73</v>
      </c>
    </row>
    <row r="3046" spans="1:7" x14ac:dyDescent="0.25">
      <c r="A3046" t="s">
        <v>116</v>
      </c>
      <c r="B3046" t="s">
        <v>119</v>
      </c>
      <c r="C3046">
        <v>6330</v>
      </c>
      <c r="D3046" t="s">
        <v>8</v>
      </c>
      <c r="E3046" t="s">
        <v>11</v>
      </c>
      <c r="F3046" s="5">
        <v>42370</v>
      </c>
      <c r="G3046">
        <v>14</v>
      </c>
    </row>
    <row r="3047" spans="1:7" x14ac:dyDescent="0.25">
      <c r="A3047" t="s">
        <v>116</v>
      </c>
      <c r="B3047" t="s">
        <v>119</v>
      </c>
      <c r="C3047">
        <v>6330</v>
      </c>
      <c r="D3047" t="s">
        <v>8</v>
      </c>
      <c r="E3047" t="s">
        <v>11</v>
      </c>
      <c r="F3047" s="5">
        <v>42736</v>
      </c>
      <c r="G3047">
        <v>22</v>
      </c>
    </row>
    <row r="3048" spans="1:7" x14ac:dyDescent="0.25">
      <c r="A3048" t="s">
        <v>116</v>
      </c>
      <c r="B3048" t="s">
        <v>119</v>
      </c>
      <c r="C3048">
        <v>6330</v>
      </c>
      <c r="D3048" t="s">
        <v>8</v>
      </c>
      <c r="E3048" t="s">
        <v>12</v>
      </c>
      <c r="F3048" s="5">
        <v>42370</v>
      </c>
      <c r="G3048">
        <v>0</v>
      </c>
    </row>
    <row r="3049" spans="1:7" x14ac:dyDescent="0.25">
      <c r="A3049" t="s">
        <v>116</v>
      </c>
      <c r="B3049" t="s">
        <v>119</v>
      </c>
      <c r="C3049">
        <v>6330</v>
      </c>
      <c r="D3049" t="s">
        <v>8</v>
      </c>
      <c r="E3049" t="s">
        <v>12</v>
      </c>
      <c r="F3049" s="5">
        <v>42736</v>
      </c>
      <c r="G3049">
        <v>0</v>
      </c>
    </row>
    <row r="3050" spans="1:7" x14ac:dyDescent="0.25">
      <c r="A3050" t="s">
        <v>116</v>
      </c>
      <c r="B3050" t="s">
        <v>119</v>
      </c>
      <c r="C3050">
        <v>6330</v>
      </c>
      <c r="D3050" t="s">
        <v>8</v>
      </c>
      <c r="E3050" t="s">
        <v>13</v>
      </c>
      <c r="F3050" s="5">
        <v>42370</v>
      </c>
      <c r="G3050">
        <v>0</v>
      </c>
    </row>
    <row r="3051" spans="1:7" x14ac:dyDescent="0.25">
      <c r="A3051" t="s">
        <v>116</v>
      </c>
      <c r="B3051" t="s">
        <v>119</v>
      </c>
      <c r="C3051">
        <v>6330</v>
      </c>
      <c r="D3051" t="s">
        <v>8</v>
      </c>
      <c r="E3051" t="s">
        <v>13</v>
      </c>
      <c r="F3051" s="5">
        <v>42736</v>
      </c>
      <c r="G3051">
        <v>0</v>
      </c>
    </row>
    <row r="3052" spans="1:7" x14ac:dyDescent="0.25">
      <c r="A3052" t="s">
        <v>116</v>
      </c>
      <c r="B3052" t="s">
        <v>119</v>
      </c>
      <c r="C3052">
        <v>6330</v>
      </c>
      <c r="D3052" t="s">
        <v>8</v>
      </c>
      <c r="E3052" t="s">
        <v>14</v>
      </c>
      <c r="F3052" s="5">
        <v>42370</v>
      </c>
      <c r="G3052">
        <v>0</v>
      </c>
    </row>
    <row r="3053" spans="1:7" x14ac:dyDescent="0.25">
      <c r="A3053" t="s">
        <v>116</v>
      </c>
      <c r="B3053" t="s">
        <v>119</v>
      </c>
      <c r="C3053">
        <v>6330</v>
      </c>
      <c r="D3053" t="s">
        <v>8</v>
      </c>
      <c r="E3053" t="s">
        <v>14</v>
      </c>
      <c r="F3053" s="5">
        <v>42736</v>
      </c>
      <c r="G3053">
        <v>0</v>
      </c>
    </row>
    <row r="3054" spans="1:7" x14ac:dyDescent="0.25">
      <c r="A3054" t="s">
        <v>116</v>
      </c>
      <c r="B3054" t="s">
        <v>119</v>
      </c>
      <c r="C3054">
        <v>6330</v>
      </c>
      <c r="D3054" t="s">
        <v>8</v>
      </c>
      <c r="E3054" t="s">
        <v>15</v>
      </c>
      <c r="F3054" s="5">
        <v>42370</v>
      </c>
      <c r="G3054">
        <v>0</v>
      </c>
    </row>
    <row r="3055" spans="1:7" x14ac:dyDescent="0.25">
      <c r="A3055" t="s">
        <v>116</v>
      </c>
      <c r="B3055" t="s">
        <v>119</v>
      </c>
      <c r="C3055">
        <v>6330</v>
      </c>
      <c r="D3055" t="s">
        <v>8</v>
      </c>
      <c r="E3055" t="s">
        <v>15</v>
      </c>
      <c r="F3055" s="5">
        <v>42736</v>
      </c>
      <c r="G3055">
        <v>0</v>
      </c>
    </row>
    <row r="3056" spans="1:7" x14ac:dyDescent="0.25">
      <c r="A3056" t="s">
        <v>116</v>
      </c>
      <c r="B3056" t="s">
        <v>119</v>
      </c>
      <c r="C3056">
        <v>6330</v>
      </c>
      <c r="D3056" t="s">
        <v>8</v>
      </c>
      <c r="E3056" t="s">
        <v>16</v>
      </c>
      <c r="F3056" s="5">
        <v>42370</v>
      </c>
      <c r="G3056">
        <v>16</v>
      </c>
    </row>
    <row r="3057" spans="1:7" x14ac:dyDescent="0.25">
      <c r="A3057" t="s">
        <v>116</v>
      </c>
      <c r="B3057" t="s">
        <v>119</v>
      </c>
      <c r="C3057">
        <v>6330</v>
      </c>
      <c r="D3057" t="s">
        <v>8</v>
      </c>
      <c r="E3057" t="s">
        <v>16</v>
      </c>
      <c r="F3057" s="5">
        <v>42736</v>
      </c>
      <c r="G3057">
        <v>9</v>
      </c>
    </row>
    <row r="3058" spans="1:7" x14ac:dyDescent="0.25">
      <c r="A3058" t="s">
        <v>116</v>
      </c>
      <c r="B3058" t="s">
        <v>119</v>
      </c>
      <c r="C3058">
        <v>6330</v>
      </c>
      <c r="D3058" t="s">
        <v>8</v>
      </c>
      <c r="E3058" t="s">
        <v>17</v>
      </c>
      <c r="F3058" s="5">
        <v>42370</v>
      </c>
      <c r="G3058">
        <v>0</v>
      </c>
    </row>
    <row r="3059" spans="1:7" x14ac:dyDescent="0.25">
      <c r="A3059" t="s">
        <v>116</v>
      </c>
      <c r="B3059" t="s">
        <v>119</v>
      </c>
      <c r="C3059">
        <v>6330</v>
      </c>
      <c r="D3059" t="s">
        <v>8</v>
      </c>
      <c r="E3059" t="s">
        <v>17</v>
      </c>
      <c r="F3059" s="5">
        <v>42736</v>
      </c>
      <c r="G3059">
        <v>0</v>
      </c>
    </row>
    <row r="3060" spans="1:7" x14ac:dyDescent="0.25">
      <c r="A3060" t="s">
        <v>116</v>
      </c>
      <c r="B3060" t="s">
        <v>119</v>
      </c>
      <c r="C3060">
        <v>6330</v>
      </c>
      <c r="D3060" t="s">
        <v>8</v>
      </c>
      <c r="E3060" t="s">
        <v>18</v>
      </c>
      <c r="F3060" s="5">
        <v>42370</v>
      </c>
      <c r="G3060">
        <v>2</v>
      </c>
    </row>
    <row r="3061" spans="1:7" x14ac:dyDescent="0.25">
      <c r="A3061" t="s">
        <v>116</v>
      </c>
      <c r="B3061" t="s">
        <v>119</v>
      </c>
      <c r="C3061">
        <v>6330</v>
      </c>
      <c r="D3061" t="s">
        <v>8</v>
      </c>
      <c r="E3061" t="s">
        <v>18</v>
      </c>
      <c r="F3061" s="5">
        <v>42736</v>
      </c>
      <c r="G3061">
        <v>0</v>
      </c>
    </row>
    <row r="3062" spans="1:7" x14ac:dyDescent="0.25">
      <c r="A3062" t="s">
        <v>116</v>
      </c>
      <c r="B3062" t="s">
        <v>119</v>
      </c>
      <c r="C3062">
        <v>6330</v>
      </c>
      <c r="D3062" t="s">
        <v>8</v>
      </c>
      <c r="E3062" t="s">
        <v>19</v>
      </c>
      <c r="F3062" s="5">
        <v>42370</v>
      </c>
      <c r="G3062">
        <v>0</v>
      </c>
    </row>
    <row r="3063" spans="1:7" x14ac:dyDescent="0.25">
      <c r="A3063" t="s">
        <v>116</v>
      </c>
      <c r="B3063" t="s">
        <v>119</v>
      </c>
      <c r="C3063">
        <v>6330</v>
      </c>
      <c r="D3063" t="s">
        <v>8</v>
      </c>
      <c r="E3063" t="s">
        <v>19</v>
      </c>
      <c r="F3063" s="5">
        <v>42736</v>
      </c>
      <c r="G3063">
        <v>0</v>
      </c>
    </row>
    <row r="3064" spans="1:7" x14ac:dyDescent="0.25">
      <c r="A3064" t="s">
        <v>116</v>
      </c>
      <c r="B3064" t="s">
        <v>119</v>
      </c>
      <c r="C3064">
        <v>6330</v>
      </c>
      <c r="D3064" t="s">
        <v>20</v>
      </c>
      <c r="E3064" t="s">
        <v>9</v>
      </c>
      <c r="F3064" s="5">
        <v>42370</v>
      </c>
      <c r="G3064">
        <v>0</v>
      </c>
    </row>
    <row r="3065" spans="1:7" x14ac:dyDescent="0.25">
      <c r="A3065" t="s">
        <v>116</v>
      </c>
      <c r="B3065" t="s">
        <v>119</v>
      </c>
      <c r="C3065">
        <v>6330</v>
      </c>
      <c r="D3065" t="s">
        <v>20</v>
      </c>
      <c r="E3065" t="s">
        <v>9</v>
      </c>
      <c r="F3065" s="5">
        <v>42736</v>
      </c>
      <c r="G3065">
        <v>6</v>
      </c>
    </row>
    <row r="3066" spans="1:7" x14ac:dyDescent="0.25">
      <c r="A3066" t="s">
        <v>116</v>
      </c>
      <c r="B3066" t="s">
        <v>119</v>
      </c>
      <c r="C3066">
        <v>6330</v>
      </c>
      <c r="D3066" t="s">
        <v>20</v>
      </c>
      <c r="E3066" t="s">
        <v>21</v>
      </c>
      <c r="F3066" s="5">
        <v>42370</v>
      </c>
      <c r="G3066">
        <v>0</v>
      </c>
    </row>
    <row r="3067" spans="1:7" x14ac:dyDescent="0.25">
      <c r="A3067" t="s">
        <v>116</v>
      </c>
      <c r="B3067" t="s">
        <v>119</v>
      </c>
      <c r="C3067">
        <v>6330</v>
      </c>
      <c r="D3067" t="s">
        <v>20</v>
      </c>
      <c r="E3067" t="s">
        <v>21</v>
      </c>
      <c r="F3067" s="5">
        <v>42736</v>
      </c>
      <c r="G3067">
        <v>0</v>
      </c>
    </row>
    <row r="3068" spans="1:7" x14ac:dyDescent="0.25">
      <c r="A3068" t="s">
        <v>116</v>
      </c>
      <c r="B3068" t="s">
        <v>119</v>
      </c>
      <c r="C3068">
        <v>6330</v>
      </c>
      <c r="D3068" t="s">
        <v>20</v>
      </c>
      <c r="E3068" t="s">
        <v>22</v>
      </c>
      <c r="F3068" s="5">
        <v>42370</v>
      </c>
      <c r="G3068">
        <v>0</v>
      </c>
    </row>
    <row r="3069" spans="1:7" x14ac:dyDescent="0.25">
      <c r="A3069" t="s">
        <v>116</v>
      </c>
      <c r="B3069" t="s">
        <v>119</v>
      </c>
      <c r="C3069">
        <v>6330</v>
      </c>
      <c r="D3069" t="s">
        <v>20</v>
      </c>
      <c r="E3069" t="s">
        <v>22</v>
      </c>
      <c r="F3069" s="5">
        <v>42736</v>
      </c>
      <c r="G3069">
        <v>0</v>
      </c>
    </row>
    <row r="3070" spans="1:7" x14ac:dyDescent="0.25">
      <c r="A3070" t="s">
        <v>116</v>
      </c>
      <c r="B3070" t="s">
        <v>119</v>
      </c>
      <c r="C3070">
        <v>6330</v>
      </c>
      <c r="D3070" t="s">
        <v>20</v>
      </c>
      <c r="E3070" t="s">
        <v>23</v>
      </c>
      <c r="F3070" s="5">
        <v>42370</v>
      </c>
      <c r="G3070">
        <v>0</v>
      </c>
    </row>
    <row r="3071" spans="1:7" x14ac:dyDescent="0.25">
      <c r="A3071" t="s">
        <v>116</v>
      </c>
      <c r="B3071" t="s">
        <v>119</v>
      </c>
      <c r="C3071">
        <v>6330</v>
      </c>
      <c r="D3071" t="s">
        <v>20</v>
      </c>
      <c r="E3071" t="s">
        <v>23</v>
      </c>
      <c r="F3071" s="5">
        <v>42736</v>
      </c>
      <c r="G3071">
        <v>0</v>
      </c>
    </row>
    <row r="3072" spans="1:7" x14ac:dyDescent="0.25">
      <c r="A3072" t="s">
        <v>116</v>
      </c>
      <c r="B3072" t="s">
        <v>119</v>
      </c>
      <c r="C3072">
        <v>6330</v>
      </c>
      <c r="D3072" t="s">
        <v>20</v>
      </c>
      <c r="E3072" t="s">
        <v>24</v>
      </c>
      <c r="F3072" s="5">
        <v>42370</v>
      </c>
      <c r="G3072">
        <v>0</v>
      </c>
    </row>
    <row r="3073" spans="1:7" x14ac:dyDescent="0.25">
      <c r="A3073" t="s">
        <v>116</v>
      </c>
      <c r="B3073" t="s">
        <v>119</v>
      </c>
      <c r="C3073">
        <v>6330</v>
      </c>
      <c r="D3073" t="s">
        <v>20</v>
      </c>
      <c r="E3073" t="s">
        <v>24</v>
      </c>
      <c r="F3073" s="5">
        <v>42736</v>
      </c>
      <c r="G3073">
        <v>0</v>
      </c>
    </row>
    <row r="3074" spans="1:7" x14ac:dyDescent="0.25">
      <c r="A3074" t="s">
        <v>116</v>
      </c>
      <c r="B3074" t="s">
        <v>119</v>
      </c>
      <c r="C3074">
        <v>6330</v>
      </c>
      <c r="D3074" t="s">
        <v>20</v>
      </c>
      <c r="E3074" t="s">
        <v>25</v>
      </c>
      <c r="F3074" s="5">
        <v>42370</v>
      </c>
      <c r="G3074">
        <v>0</v>
      </c>
    </row>
    <row r="3075" spans="1:7" x14ac:dyDescent="0.25">
      <c r="A3075" t="s">
        <v>116</v>
      </c>
      <c r="B3075" t="s">
        <v>119</v>
      </c>
      <c r="C3075">
        <v>6330</v>
      </c>
      <c r="D3075" t="s">
        <v>20</v>
      </c>
      <c r="E3075" t="s">
        <v>25</v>
      </c>
      <c r="F3075" s="5">
        <v>42736</v>
      </c>
      <c r="G3075">
        <v>0</v>
      </c>
    </row>
    <row r="3076" spans="1:7" x14ac:dyDescent="0.25">
      <c r="A3076" t="s">
        <v>116</v>
      </c>
      <c r="B3076" t="s">
        <v>119</v>
      </c>
      <c r="C3076">
        <v>6330</v>
      </c>
      <c r="D3076" t="s">
        <v>20</v>
      </c>
      <c r="E3076" t="s">
        <v>26</v>
      </c>
      <c r="F3076" s="5">
        <v>42370</v>
      </c>
      <c r="G3076">
        <v>119</v>
      </c>
    </row>
    <row r="3077" spans="1:7" x14ac:dyDescent="0.25">
      <c r="A3077" t="s">
        <v>116</v>
      </c>
      <c r="B3077" t="s">
        <v>119</v>
      </c>
      <c r="C3077">
        <v>6330</v>
      </c>
      <c r="D3077" t="s">
        <v>20</v>
      </c>
      <c r="E3077" t="s">
        <v>26</v>
      </c>
      <c r="F3077" s="5">
        <v>42736</v>
      </c>
      <c r="G3077">
        <v>169</v>
      </c>
    </row>
    <row r="3078" spans="1:7" x14ac:dyDescent="0.25">
      <c r="A3078" t="s">
        <v>116</v>
      </c>
      <c r="B3078" t="s">
        <v>119</v>
      </c>
      <c r="C3078">
        <v>6330</v>
      </c>
      <c r="D3078" t="s">
        <v>20</v>
      </c>
      <c r="E3078" t="s">
        <v>27</v>
      </c>
      <c r="F3078" s="5">
        <v>42370</v>
      </c>
      <c r="G3078">
        <v>0</v>
      </c>
    </row>
    <row r="3079" spans="1:7" x14ac:dyDescent="0.25">
      <c r="A3079" t="s">
        <v>116</v>
      </c>
      <c r="B3079" t="s">
        <v>119</v>
      </c>
      <c r="C3079">
        <v>6330</v>
      </c>
      <c r="D3079" t="s">
        <v>20</v>
      </c>
      <c r="E3079" t="s">
        <v>27</v>
      </c>
      <c r="F3079" s="5">
        <v>42736</v>
      </c>
      <c r="G3079">
        <v>0</v>
      </c>
    </row>
    <row r="3080" spans="1:7" x14ac:dyDescent="0.25">
      <c r="A3080" t="s">
        <v>116</v>
      </c>
      <c r="B3080" t="s">
        <v>119</v>
      </c>
      <c r="C3080">
        <v>6330</v>
      </c>
      <c r="D3080" t="s">
        <v>20</v>
      </c>
      <c r="E3080" t="s">
        <v>28</v>
      </c>
      <c r="F3080" s="5">
        <v>42370</v>
      </c>
      <c r="G3080">
        <v>0</v>
      </c>
    </row>
    <row r="3081" spans="1:7" x14ac:dyDescent="0.25">
      <c r="A3081" t="s">
        <v>116</v>
      </c>
      <c r="B3081" t="s">
        <v>119</v>
      </c>
      <c r="C3081">
        <v>6330</v>
      </c>
      <c r="D3081" t="s">
        <v>20</v>
      </c>
      <c r="E3081" t="s">
        <v>28</v>
      </c>
      <c r="F3081" s="5">
        <v>42736</v>
      </c>
      <c r="G3081">
        <v>0</v>
      </c>
    </row>
    <row r="3082" spans="1:7" x14ac:dyDescent="0.25">
      <c r="A3082" t="s">
        <v>116</v>
      </c>
      <c r="B3082" t="s">
        <v>119</v>
      </c>
      <c r="C3082">
        <v>6330</v>
      </c>
      <c r="D3082" t="s">
        <v>20</v>
      </c>
      <c r="E3082" t="s">
        <v>29</v>
      </c>
      <c r="F3082" s="5">
        <v>42370</v>
      </c>
      <c r="G3082">
        <v>117</v>
      </c>
    </row>
    <row r="3083" spans="1:7" x14ac:dyDescent="0.25">
      <c r="A3083" t="s">
        <v>116</v>
      </c>
      <c r="B3083" t="s">
        <v>119</v>
      </c>
      <c r="C3083">
        <v>6330</v>
      </c>
      <c r="D3083" t="s">
        <v>20</v>
      </c>
      <c r="E3083" t="s">
        <v>29</v>
      </c>
      <c r="F3083" s="5">
        <v>42736</v>
      </c>
      <c r="G3083">
        <v>168</v>
      </c>
    </row>
    <row r="3084" spans="1:7" x14ac:dyDescent="0.25">
      <c r="A3084" t="s">
        <v>116</v>
      </c>
      <c r="B3084" t="s">
        <v>119</v>
      </c>
      <c r="C3084">
        <v>6330</v>
      </c>
      <c r="D3084" t="s">
        <v>20</v>
      </c>
      <c r="E3084" t="s">
        <v>30</v>
      </c>
      <c r="F3084" s="5">
        <v>42370</v>
      </c>
      <c r="G3084">
        <v>121</v>
      </c>
    </row>
    <row r="3085" spans="1:7" x14ac:dyDescent="0.25">
      <c r="A3085" t="s">
        <v>116</v>
      </c>
      <c r="B3085" t="s">
        <v>119</v>
      </c>
      <c r="C3085">
        <v>6330</v>
      </c>
      <c r="D3085" t="s">
        <v>20</v>
      </c>
      <c r="E3085" t="s">
        <v>30</v>
      </c>
      <c r="F3085" s="5">
        <v>42736</v>
      </c>
      <c r="G3085">
        <v>168</v>
      </c>
    </row>
    <row r="3086" spans="1:7" x14ac:dyDescent="0.25">
      <c r="A3086" t="s">
        <v>116</v>
      </c>
      <c r="B3086" t="s">
        <v>119</v>
      </c>
      <c r="C3086">
        <v>6330</v>
      </c>
      <c r="D3086" t="s">
        <v>20</v>
      </c>
      <c r="E3086" t="s">
        <v>31</v>
      </c>
      <c r="F3086" s="5">
        <v>42370</v>
      </c>
      <c r="G3086">
        <v>223</v>
      </c>
    </row>
    <row r="3087" spans="1:7" x14ac:dyDescent="0.25">
      <c r="A3087" t="s">
        <v>116</v>
      </c>
      <c r="B3087" t="s">
        <v>119</v>
      </c>
      <c r="C3087">
        <v>6330</v>
      </c>
      <c r="D3087" t="s">
        <v>20</v>
      </c>
      <c r="E3087" t="s">
        <v>31</v>
      </c>
      <c r="F3087" s="5">
        <v>42736</v>
      </c>
      <c r="G3087">
        <v>337</v>
      </c>
    </row>
    <row r="3088" spans="1:7" x14ac:dyDescent="0.25">
      <c r="A3088" t="s">
        <v>116</v>
      </c>
      <c r="B3088" t="s">
        <v>119</v>
      </c>
      <c r="C3088">
        <v>6330</v>
      </c>
      <c r="D3088" t="s">
        <v>20</v>
      </c>
      <c r="E3088" t="s">
        <v>32</v>
      </c>
      <c r="F3088" s="5">
        <v>42370</v>
      </c>
      <c r="G3088">
        <v>120</v>
      </c>
    </row>
    <row r="3089" spans="1:7" x14ac:dyDescent="0.25">
      <c r="A3089" t="s">
        <v>116</v>
      </c>
      <c r="B3089" t="s">
        <v>119</v>
      </c>
      <c r="C3089">
        <v>6330</v>
      </c>
      <c r="D3089" t="s">
        <v>20</v>
      </c>
      <c r="E3089" t="s">
        <v>32</v>
      </c>
      <c r="F3089" s="5">
        <v>42736</v>
      </c>
      <c r="G3089">
        <v>173</v>
      </c>
    </row>
    <row r="3090" spans="1:7" x14ac:dyDescent="0.25">
      <c r="A3090" t="s">
        <v>116</v>
      </c>
      <c r="B3090" t="s">
        <v>119</v>
      </c>
      <c r="C3090">
        <v>6330</v>
      </c>
      <c r="D3090" t="s">
        <v>33</v>
      </c>
      <c r="E3090" t="s">
        <v>9</v>
      </c>
      <c r="F3090" s="5">
        <v>42370</v>
      </c>
      <c r="G3090">
        <v>0</v>
      </c>
    </row>
    <row r="3091" spans="1:7" x14ac:dyDescent="0.25">
      <c r="A3091" t="s">
        <v>116</v>
      </c>
      <c r="B3091" t="s">
        <v>119</v>
      </c>
      <c r="C3091">
        <v>6330</v>
      </c>
      <c r="D3091" t="s">
        <v>33</v>
      </c>
      <c r="E3091" t="s">
        <v>9</v>
      </c>
      <c r="F3091" s="5">
        <v>42736</v>
      </c>
      <c r="G3091">
        <v>0</v>
      </c>
    </row>
    <row r="3092" spans="1:7" x14ac:dyDescent="0.25">
      <c r="A3092" t="s">
        <v>116</v>
      </c>
      <c r="B3092" t="s">
        <v>119</v>
      </c>
      <c r="C3092">
        <v>6330</v>
      </c>
      <c r="D3092" t="s">
        <v>33</v>
      </c>
      <c r="E3092" t="s">
        <v>34</v>
      </c>
      <c r="F3092" s="5">
        <v>42370</v>
      </c>
      <c r="G3092">
        <v>0</v>
      </c>
    </row>
    <row r="3093" spans="1:7" x14ac:dyDescent="0.25">
      <c r="A3093" t="s">
        <v>116</v>
      </c>
      <c r="B3093" t="s">
        <v>119</v>
      </c>
      <c r="C3093">
        <v>6330</v>
      </c>
      <c r="D3093" t="s">
        <v>33</v>
      </c>
      <c r="E3093" t="s">
        <v>34</v>
      </c>
      <c r="F3093" s="5">
        <v>42736</v>
      </c>
      <c r="G3093">
        <v>0</v>
      </c>
    </row>
    <row r="3094" spans="1:7" x14ac:dyDescent="0.25">
      <c r="A3094" t="s">
        <v>116</v>
      </c>
      <c r="B3094" t="s">
        <v>119</v>
      </c>
      <c r="C3094">
        <v>6330</v>
      </c>
      <c r="D3094" t="s">
        <v>35</v>
      </c>
      <c r="E3094" t="s">
        <v>36</v>
      </c>
      <c r="F3094" s="5">
        <v>42370</v>
      </c>
      <c r="G3094">
        <v>0</v>
      </c>
    </row>
    <row r="3095" spans="1:7" x14ac:dyDescent="0.25">
      <c r="A3095" t="s">
        <v>116</v>
      </c>
      <c r="B3095" t="s">
        <v>119</v>
      </c>
      <c r="C3095">
        <v>6330</v>
      </c>
      <c r="D3095" t="s">
        <v>35</v>
      </c>
      <c r="E3095" t="s">
        <v>36</v>
      </c>
      <c r="F3095" s="5">
        <v>42736</v>
      </c>
      <c r="G3095">
        <v>0</v>
      </c>
    </row>
    <row r="3096" spans="1:7" x14ac:dyDescent="0.25">
      <c r="A3096" t="s">
        <v>116</v>
      </c>
      <c r="B3096" t="s">
        <v>119</v>
      </c>
      <c r="C3096">
        <v>6330</v>
      </c>
      <c r="D3096" t="s">
        <v>35</v>
      </c>
      <c r="E3096" t="s">
        <v>37</v>
      </c>
      <c r="F3096" s="5">
        <v>42370</v>
      </c>
      <c r="G3096">
        <v>0</v>
      </c>
    </row>
    <row r="3097" spans="1:7" x14ac:dyDescent="0.25">
      <c r="A3097" t="s">
        <v>116</v>
      </c>
      <c r="B3097" t="s">
        <v>119</v>
      </c>
      <c r="C3097">
        <v>6330</v>
      </c>
      <c r="D3097" t="s">
        <v>35</v>
      </c>
      <c r="E3097" t="s">
        <v>37</v>
      </c>
      <c r="F3097" s="5">
        <v>42736</v>
      </c>
      <c r="G3097">
        <v>0</v>
      </c>
    </row>
    <row r="3098" spans="1:7" x14ac:dyDescent="0.25">
      <c r="A3098" t="s">
        <v>116</v>
      </c>
      <c r="B3098" t="s">
        <v>119</v>
      </c>
      <c r="C3098">
        <v>6330</v>
      </c>
      <c r="D3098" t="s">
        <v>35</v>
      </c>
      <c r="E3098" t="s">
        <v>38</v>
      </c>
      <c r="F3098" s="5">
        <v>42370</v>
      </c>
      <c r="G3098">
        <v>0</v>
      </c>
    </row>
    <row r="3099" spans="1:7" x14ac:dyDescent="0.25">
      <c r="A3099" t="s">
        <v>116</v>
      </c>
      <c r="B3099" t="s">
        <v>119</v>
      </c>
      <c r="C3099">
        <v>6330</v>
      </c>
      <c r="D3099" t="s">
        <v>35</v>
      </c>
      <c r="E3099" t="s">
        <v>38</v>
      </c>
      <c r="F3099" s="5">
        <v>42736</v>
      </c>
      <c r="G3099">
        <v>0</v>
      </c>
    </row>
    <row r="3100" spans="1:7" x14ac:dyDescent="0.25">
      <c r="A3100" t="s">
        <v>116</v>
      </c>
      <c r="B3100" t="s">
        <v>119</v>
      </c>
      <c r="C3100">
        <v>6330</v>
      </c>
      <c r="D3100" t="s">
        <v>35</v>
      </c>
      <c r="E3100" t="s">
        <v>39</v>
      </c>
      <c r="F3100" s="5">
        <v>42370</v>
      </c>
      <c r="G3100">
        <v>0</v>
      </c>
    </row>
    <row r="3101" spans="1:7" x14ac:dyDescent="0.25">
      <c r="A3101" t="s">
        <v>116</v>
      </c>
      <c r="B3101" t="s">
        <v>119</v>
      </c>
      <c r="C3101">
        <v>6330</v>
      </c>
      <c r="D3101" t="s">
        <v>35</v>
      </c>
      <c r="E3101" t="s">
        <v>39</v>
      </c>
      <c r="F3101" s="5">
        <v>42736</v>
      </c>
      <c r="G3101">
        <v>0</v>
      </c>
    </row>
    <row r="3102" spans="1:7" x14ac:dyDescent="0.25">
      <c r="A3102" t="s">
        <v>116</v>
      </c>
      <c r="B3102" t="s">
        <v>119</v>
      </c>
      <c r="C3102">
        <v>6330</v>
      </c>
      <c r="D3102" t="s">
        <v>35</v>
      </c>
      <c r="E3102" t="s">
        <v>40</v>
      </c>
      <c r="F3102" s="5">
        <v>42370</v>
      </c>
      <c r="G3102">
        <v>0</v>
      </c>
    </row>
    <row r="3103" spans="1:7" x14ac:dyDescent="0.25">
      <c r="A3103" t="s">
        <v>116</v>
      </c>
      <c r="B3103" t="s">
        <v>119</v>
      </c>
      <c r="C3103">
        <v>6330</v>
      </c>
      <c r="D3103" t="s">
        <v>35</v>
      </c>
      <c r="E3103" t="s">
        <v>40</v>
      </c>
      <c r="F3103" s="5">
        <v>42736</v>
      </c>
      <c r="G3103">
        <v>0</v>
      </c>
    </row>
    <row r="3104" spans="1:7" x14ac:dyDescent="0.25">
      <c r="A3104" t="s">
        <v>116</v>
      </c>
      <c r="B3104" t="s">
        <v>119</v>
      </c>
      <c r="C3104">
        <v>6330</v>
      </c>
      <c r="D3104" t="s">
        <v>35</v>
      </c>
      <c r="E3104" t="s">
        <v>41</v>
      </c>
      <c r="F3104" s="5">
        <v>42370</v>
      </c>
      <c r="G3104">
        <v>0</v>
      </c>
    </row>
    <row r="3105" spans="1:7" x14ac:dyDescent="0.25">
      <c r="A3105" t="s">
        <v>116</v>
      </c>
      <c r="B3105" t="s">
        <v>119</v>
      </c>
      <c r="C3105">
        <v>6330</v>
      </c>
      <c r="D3105" t="s">
        <v>35</v>
      </c>
      <c r="E3105" t="s">
        <v>41</v>
      </c>
      <c r="F3105" s="5">
        <v>42736</v>
      </c>
      <c r="G3105">
        <v>0</v>
      </c>
    </row>
    <row r="3106" spans="1:7" x14ac:dyDescent="0.25">
      <c r="A3106" t="s">
        <v>116</v>
      </c>
      <c r="B3106" t="s">
        <v>119</v>
      </c>
      <c r="C3106">
        <v>6330</v>
      </c>
      <c r="D3106" t="s">
        <v>35</v>
      </c>
      <c r="E3106" t="s">
        <v>42</v>
      </c>
      <c r="F3106" s="5">
        <v>42370</v>
      </c>
      <c r="G3106">
        <v>0</v>
      </c>
    </row>
    <row r="3107" spans="1:7" x14ac:dyDescent="0.25">
      <c r="A3107" t="s">
        <v>116</v>
      </c>
      <c r="B3107" t="s">
        <v>119</v>
      </c>
      <c r="C3107">
        <v>6330</v>
      </c>
      <c r="D3107" t="s">
        <v>35</v>
      </c>
      <c r="E3107" t="s">
        <v>42</v>
      </c>
      <c r="F3107" s="5">
        <v>42736</v>
      </c>
      <c r="G3107">
        <v>0</v>
      </c>
    </row>
    <row r="3108" spans="1:7" x14ac:dyDescent="0.25">
      <c r="A3108" t="s">
        <v>116</v>
      </c>
      <c r="B3108" t="s">
        <v>119</v>
      </c>
      <c r="C3108">
        <v>6330</v>
      </c>
      <c r="D3108" t="s">
        <v>35</v>
      </c>
      <c r="E3108" t="s">
        <v>43</v>
      </c>
      <c r="F3108" s="5">
        <v>42370</v>
      </c>
      <c r="G3108">
        <v>0</v>
      </c>
    </row>
    <row r="3109" spans="1:7" x14ac:dyDescent="0.25">
      <c r="A3109" t="s">
        <v>116</v>
      </c>
      <c r="B3109" t="s">
        <v>119</v>
      </c>
      <c r="C3109">
        <v>6330</v>
      </c>
      <c r="D3109" t="s">
        <v>35</v>
      </c>
      <c r="E3109" t="s">
        <v>43</v>
      </c>
      <c r="F3109" s="5">
        <v>42736</v>
      </c>
      <c r="G3109">
        <v>0</v>
      </c>
    </row>
    <row r="3110" spans="1:7" x14ac:dyDescent="0.25">
      <c r="A3110" t="s">
        <v>116</v>
      </c>
      <c r="B3110" t="s">
        <v>119</v>
      </c>
      <c r="C3110">
        <v>6330</v>
      </c>
      <c r="D3110" t="s">
        <v>44</v>
      </c>
      <c r="E3110" t="s">
        <v>36</v>
      </c>
      <c r="F3110" s="5">
        <v>42370</v>
      </c>
      <c r="G3110">
        <v>0</v>
      </c>
    </row>
    <row r="3111" spans="1:7" x14ac:dyDescent="0.25">
      <c r="A3111" t="s">
        <v>116</v>
      </c>
      <c r="B3111" t="s">
        <v>119</v>
      </c>
      <c r="C3111">
        <v>6330</v>
      </c>
      <c r="D3111" t="s">
        <v>44</v>
      </c>
      <c r="E3111" t="s">
        <v>36</v>
      </c>
      <c r="F3111" s="5">
        <v>42736</v>
      </c>
      <c r="G3111">
        <v>0</v>
      </c>
    </row>
    <row r="3112" spans="1:7" x14ac:dyDescent="0.25">
      <c r="A3112" t="s">
        <v>116</v>
      </c>
      <c r="B3112" t="s">
        <v>119</v>
      </c>
      <c r="C3112">
        <v>6330</v>
      </c>
      <c r="D3112" t="s">
        <v>44</v>
      </c>
      <c r="E3112" t="s">
        <v>37</v>
      </c>
      <c r="F3112" s="5">
        <v>42370</v>
      </c>
      <c r="G3112">
        <v>0</v>
      </c>
    </row>
    <row r="3113" spans="1:7" x14ac:dyDescent="0.25">
      <c r="A3113" t="s">
        <v>116</v>
      </c>
      <c r="B3113" t="s">
        <v>119</v>
      </c>
      <c r="C3113">
        <v>6330</v>
      </c>
      <c r="D3113" t="s">
        <v>44</v>
      </c>
      <c r="E3113" t="s">
        <v>37</v>
      </c>
      <c r="F3113" s="5">
        <v>42736</v>
      </c>
      <c r="G3113">
        <v>0</v>
      </c>
    </row>
    <row r="3114" spans="1:7" x14ac:dyDescent="0.25">
      <c r="A3114" t="s">
        <v>116</v>
      </c>
      <c r="B3114" t="s">
        <v>119</v>
      </c>
      <c r="C3114">
        <v>6330</v>
      </c>
      <c r="D3114" t="s">
        <v>44</v>
      </c>
      <c r="E3114" t="s">
        <v>38</v>
      </c>
      <c r="F3114" s="5">
        <v>42370</v>
      </c>
      <c r="G3114">
        <v>0</v>
      </c>
    </row>
    <row r="3115" spans="1:7" x14ac:dyDescent="0.25">
      <c r="A3115" t="s">
        <v>116</v>
      </c>
      <c r="B3115" t="s">
        <v>119</v>
      </c>
      <c r="C3115">
        <v>6330</v>
      </c>
      <c r="D3115" t="s">
        <v>44</v>
      </c>
      <c r="E3115" t="s">
        <v>38</v>
      </c>
      <c r="F3115" s="5">
        <v>42736</v>
      </c>
      <c r="G3115">
        <v>0</v>
      </c>
    </row>
    <row r="3116" spans="1:7" x14ac:dyDescent="0.25">
      <c r="A3116" t="s">
        <v>116</v>
      </c>
      <c r="B3116" t="s">
        <v>119</v>
      </c>
      <c r="C3116">
        <v>6330</v>
      </c>
      <c r="D3116" t="s">
        <v>44</v>
      </c>
      <c r="E3116" t="s">
        <v>39</v>
      </c>
      <c r="F3116" s="5">
        <v>42370</v>
      </c>
      <c r="G3116">
        <v>0</v>
      </c>
    </row>
    <row r="3117" spans="1:7" x14ac:dyDescent="0.25">
      <c r="A3117" t="s">
        <v>116</v>
      </c>
      <c r="B3117" t="s">
        <v>119</v>
      </c>
      <c r="C3117">
        <v>6330</v>
      </c>
      <c r="D3117" t="s">
        <v>44</v>
      </c>
      <c r="E3117" t="s">
        <v>39</v>
      </c>
      <c r="F3117" s="5">
        <v>42736</v>
      </c>
      <c r="G3117">
        <v>0</v>
      </c>
    </row>
    <row r="3118" spans="1:7" x14ac:dyDescent="0.25">
      <c r="A3118" t="s">
        <v>116</v>
      </c>
      <c r="B3118" t="s">
        <v>119</v>
      </c>
      <c r="C3118">
        <v>6330</v>
      </c>
      <c r="D3118" t="s">
        <v>44</v>
      </c>
      <c r="E3118" t="s">
        <v>40</v>
      </c>
      <c r="F3118" s="5">
        <v>42370</v>
      </c>
      <c r="G3118">
        <v>0</v>
      </c>
    </row>
    <row r="3119" spans="1:7" x14ac:dyDescent="0.25">
      <c r="A3119" t="s">
        <v>116</v>
      </c>
      <c r="B3119" t="s">
        <v>119</v>
      </c>
      <c r="C3119">
        <v>6330</v>
      </c>
      <c r="D3119" t="s">
        <v>44</v>
      </c>
      <c r="E3119" t="s">
        <v>40</v>
      </c>
      <c r="F3119" s="5">
        <v>42736</v>
      </c>
      <c r="G3119">
        <v>0</v>
      </c>
    </row>
    <row r="3120" spans="1:7" x14ac:dyDescent="0.25">
      <c r="A3120" t="s">
        <v>116</v>
      </c>
      <c r="B3120" t="s">
        <v>119</v>
      </c>
      <c r="C3120">
        <v>6330</v>
      </c>
      <c r="D3120" t="s">
        <v>44</v>
      </c>
      <c r="E3120" t="s">
        <v>41</v>
      </c>
      <c r="F3120" s="5">
        <v>42370</v>
      </c>
      <c r="G3120">
        <v>0</v>
      </c>
    </row>
    <row r="3121" spans="1:7" x14ac:dyDescent="0.25">
      <c r="A3121" t="s">
        <v>116</v>
      </c>
      <c r="B3121" t="s">
        <v>119</v>
      </c>
      <c r="C3121">
        <v>6330</v>
      </c>
      <c r="D3121" t="s">
        <v>44</v>
      </c>
      <c r="E3121" t="s">
        <v>41</v>
      </c>
      <c r="F3121" s="5">
        <v>42736</v>
      </c>
      <c r="G3121">
        <v>0</v>
      </c>
    </row>
    <row r="3122" spans="1:7" x14ac:dyDescent="0.25">
      <c r="A3122" t="s">
        <v>116</v>
      </c>
      <c r="B3122" t="s">
        <v>119</v>
      </c>
      <c r="C3122">
        <v>6330</v>
      </c>
      <c r="D3122" t="s">
        <v>44</v>
      </c>
      <c r="E3122" t="s">
        <v>42</v>
      </c>
      <c r="F3122" s="5">
        <v>42370</v>
      </c>
      <c r="G3122">
        <v>0</v>
      </c>
    </row>
    <row r="3123" spans="1:7" x14ac:dyDescent="0.25">
      <c r="A3123" t="s">
        <v>116</v>
      </c>
      <c r="B3123" t="s">
        <v>119</v>
      </c>
      <c r="C3123">
        <v>6330</v>
      </c>
      <c r="D3123" t="s">
        <v>44</v>
      </c>
      <c r="E3123" t="s">
        <v>42</v>
      </c>
      <c r="F3123" s="5">
        <v>42736</v>
      </c>
      <c r="G3123">
        <v>0</v>
      </c>
    </row>
    <row r="3124" spans="1:7" x14ac:dyDescent="0.25">
      <c r="A3124" t="s">
        <v>116</v>
      </c>
      <c r="B3124" t="s">
        <v>119</v>
      </c>
      <c r="C3124">
        <v>6330</v>
      </c>
      <c r="D3124" t="s">
        <v>44</v>
      </c>
      <c r="E3124" t="s">
        <v>43</v>
      </c>
      <c r="F3124" s="5">
        <v>42370</v>
      </c>
      <c r="G3124">
        <v>0</v>
      </c>
    </row>
    <row r="3125" spans="1:7" x14ac:dyDescent="0.25">
      <c r="A3125" t="s">
        <v>116</v>
      </c>
      <c r="B3125" t="s">
        <v>119</v>
      </c>
      <c r="C3125">
        <v>6330</v>
      </c>
      <c r="D3125" t="s">
        <v>44</v>
      </c>
      <c r="E3125" t="s">
        <v>43</v>
      </c>
      <c r="F3125" s="5">
        <v>42736</v>
      </c>
      <c r="G3125">
        <v>0</v>
      </c>
    </row>
    <row r="3126" spans="1:7" x14ac:dyDescent="0.25">
      <c r="A3126" t="s">
        <v>116</v>
      </c>
      <c r="B3126" t="s">
        <v>119</v>
      </c>
      <c r="C3126">
        <v>6330</v>
      </c>
      <c r="D3126" t="s">
        <v>45</v>
      </c>
      <c r="E3126" t="s">
        <v>46</v>
      </c>
      <c r="F3126" s="5">
        <v>42370</v>
      </c>
      <c r="G3126">
        <v>0</v>
      </c>
    </row>
    <row r="3127" spans="1:7" x14ac:dyDescent="0.25">
      <c r="A3127" t="s">
        <v>116</v>
      </c>
      <c r="B3127" t="s">
        <v>119</v>
      </c>
      <c r="C3127">
        <v>6330</v>
      </c>
      <c r="D3127" t="s">
        <v>45</v>
      </c>
      <c r="E3127" t="s">
        <v>46</v>
      </c>
      <c r="F3127" s="5">
        <v>42736</v>
      </c>
      <c r="G3127">
        <v>0</v>
      </c>
    </row>
    <row r="3128" spans="1:7" x14ac:dyDescent="0.25">
      <c r="A3128" t="s">
        <v>116</v>
      </c>
      <c r="B3128" t="s">
        <v>119</v>
      </c>
      <c r="C3128">
        <v>6330</v>
      </c>
      <c r="D3128" t="s">
        <v>45</v>
      </c>
      <c r="E3128" t="s">
        <v>47</v>
      </c>
      <c r="F3128" s="5">
        <v>42370</v>
      </c>
      <c r="G3128">
        <v>6</v>
      </c>
    </row>
    <row r="3129" spans="1:7" x14ac:dyDescent="0.25">
      <c r="A3129" t="s">
        <v>116</v>
      </c>
      <c r="B3129" t="s">
        <v>119</v>
      </c>
      <c r="C3129">
        <v>6330</v>
      </c>
      <c r="D3129" t="s">
        <v>45</v>
      </c>
      <c r="E3129" t="s">
        <v>47</v>
      </c>
      <c r="F3129" s="5">
        <v>42736</v>
      </c>
      <c r="G3129">
        <v>12</v>
      </c>
    </row>
    <row r="3130" spans="1:7" x14ac:dyDescent="0.25">
      <c r="A3130" t="s">
        <v>116</v>
      </c>
      <c r="B3130" t="s">
        <v>119</v>
      </c>
      <c r="C3130">
        <v>6330</v>
      </c>
      <c r="D3130" t="s">
        <v>45</v>
      </c>
      <c r="E3130" t="s">
        <v>48</v>
      </c>
      <c r="F3130" s="5">
        <v>42370</v>
      </c>
      <c r="G3130">
        <v>32</v>
      </c>
    </row>
    <row r="3131" spans="1:7" x14ac:dyDescent="0.25">
      <c r="A3131" t="s">
        <v>116</v>
      </c>
      <c r="B3131" t="s">
        <v>119</v>
      </c>
      <c r="C3131">
        <v>6330</v>
      </c>
      <c r="D3131" t="s">
        <v>45</v>
      </c>
      <c r="E3131" t="s">
        <v>48</v>
      </c>
      <c r="F3131" s="5">
        <v>42736</v>
      </c>
      <c r="G3131">
        <v>43</v>
      </c>
    </row>
    <row r="3132" spans="1:7" x14ac:dyDescent="0.25">
      <c r="A3132" t="s">
        <v>116</v>
      </c>
      <c r="B3132" t="s">
        <v>119</v>
      </c>
      <c r="C3132">
        <v>6330</v>
      </c>
      <c r="D3132" t="s">
        <v>45</v>
      </c>
      <c r="E3132" t="s">
        <v>49</v>
      </c>
      <c r="F3132" s="5">
        <v>42370</v>
      </c>
      <c r="G3132">
        <v>17</v>
      </c>
    </row>
    <row r="3133" spans="1:7" x14ac:dyDescent="0.25">
      <c r="A3133" t="s">
        <v>116</v>
      </c>
      <c r="B3133" t="s">
        <v>119</v>
      </c>
      <c r="C3133">
        <v>6330</v>
      </c>
      <c r="D3133" t="s">
        <v>45</v>
      </c>
      <c r="E3133" t="s">
        <v>49</v>
      </c>
      <c r="F3133" s="5">
        <v>42736</v>
      </c>
      <c r="G3133">
        <v>14</v>
      </c>
    </row>
    <row r="3134" spans="1:7" x14ac:dyDescent="0.25">
      <c r="A3134" t="s">
        <v>116</v>
      </c>
      <c r="B3134" t="s">
        <v>119</v>
      </c>
      <c r="C3134">
        <v>6330</v>
      </c>
      <c r="D3134" t="s">
        <v>45</v>
      </c>
      <c r="E3134" t="s">
        <v>50</v>
      </c>
      <c r="F3134" s="5">
        <v>42370</v>
      </c>
      <c r="G3134">
        <v>0</v>
      </c>
    </row>
    <row r="3135" spans="1:7" x14ac:dyDescent="0.25">
      <c r="A3135" t="s">
        <v>116</v>
      </c>
      <c r="B3135" t="s">
        <v>119</v>
      </c>
      <c r="C3135">
        <v>6330</v>
      </c>
      <c r="D3135" t="s">
        <v>45</v>
      </c>
      <c r="E3135" t="s">
        <v>50</v>
      </c>
      <c r="F3135" s="5">
        <v>42736</v>
      </c>
      <c r="G3135">
        <v>0</v>
      </c>
    </row>
    <row r="3136" spans="1:7" x14ac:dyDescent="0.25">
      <c r="A3136" t="s">
        <v>116</v>
      </c>
      <c r="B3136" t="s">
        <v>119</v>
      </c>
      <c r="C3136">
        <v>6330</v>
      </c>
      <c r="D3136" t="s">
        <v>45</v>
      </c>
      <c r="E3136" t="s">
        <v>51</v>
      </c>
      <c r="F3136" s="5">
        <v>42370</v>
      </c>
      <c r="G3136">
        <v>0</v>
      </c>
    </row>
    <row r="3137" spans="1:7" x14ac:dyDescent="0.25">
      <c r="A3137" t="s">
        <v>116</v>
      </c>
      <c r="B3137" t="s">
        <v>119</v>
      </c>
      <c r="C3137">
        <v>6330</v>
      </c>
      <c r="D3137" t="s">
        <v>45</v>
      </c>
      <c r="E3137" t="s">
        <v>51</v>
      </c>
      <c r="F3137" s="5">
        <v>42736</v>
      </c>
      <c r="G3137">
        <v>0</v>
      </c>
    </row>
    <row r="3138" spans="1:7" x14ac:dyDescent="0.25">
      <c r="A3138" t="s">
        <v>116</v>
      </c>
      <c r="B3138" t="s">
        <v>119</v>
      </c>
      <c r="C3138">
        <v>6330</v>
      </c>
      <c r="D3138" t="s">
        <v>45</v>
      </c>
      <c r="E3138" t="s">
        <v>52</v>
      </c>
      <c r="F3138" s="5">
        <v>42370</v>
      </c>
      <c r="G3138">
        <v>0</v>
      </c>
    </row>
    <row r="3139" spans="1:7" x14ac:dyDescent="0.25">
      <c r="A3139" t="s">
        <v>116</v>
      </c>
      <c r="B3139" t="s">
        <v>119</v>
      </c>
      <c r="C3139">
        <v>6330</v>
      </c>
      <c r="D3139" t="s">
        <v>45</v>
      </c>
      <c r="E3139" t="s">
        <v>52</v>
      </c>
      <c r="F3139" s="5">
        <v>42736</v>
      </c>
      <c r="G3139">
        <v>0</v>
      </c>
    </row>
    <row r="3140" spans="1:7" x14ac:dyDescent="0.25">
      <c r="A3140" t="s">
        <v>116</v>
      </c>
      <c r="B3140" t="s">
        <v>119</v>
      </c>
      <c r="C3140">
        <v>6330</v>
      </c>
      <c r="D3140" t="s">
        <v>45</v>
      </c>
      <c r="E3140" t="s">
        <v>53</v>
      </c>
      <c r="F3140" s="5">
        <v>42370</v>
      </c>
      <c r="G3140">
        <v>14</v>
      </c>
    </row>
    <row r="3141" spans="1:7" x14ac:dyDescent="0.25">
      <c r="A3141" t="s">
        <v>116</v>
      </c>
      <c r="B3141" t="s">
        <v>119</v>
      </c>
      <c r="C3141">
        <v>6330</v>
      </c>
      <c r="D3141" t="s">
        <v>45</v>
      </c>
      <c r="E3141" t="s">
        <v>53</v>
      </c>
      <c r="F3141" s="5">
        <v>42736</v>
      </c>
      <c r="G3141">
        <v>11</v>
      </c>
    </row>
    <row r="3142" spans="1:7" x14ac:dyDescent="0.25">
      <c r="A3142" t="s">
        <v>116</v>
      </c>
      <c r="B3142" t="s">
        <v>119</v>
      </c>
      <c r="C3142">
        <v>6330</v>
      </c>
      <c r="D3142" t="s">
        <v>45</v>
      </c>
      <c r="E3142" t="s">
        <v>54</v>
      </c>
      <c r="F3142" s="5">
        <v>42370</v>
      </c>
      <c r="G3142">
        <v>2</v>
      </c>
    </row>
    <row r="3143" spans="1:7" x14ac:dyDescent="0.25">
      <c r="A3143" t="s">
        <v>116</v>
      </c>
      <c r="B3143" t="s">
        <v>119</v>
      </c>
      <c r="C3143">
        <v>6330</v>
      </c>
      <c r="D3143" t="s">
        <v>45</v>
      </c>
      <c r="E3143" t="s">
        <v>54</v>
      </c>
      <c r="F3143" s="5">
        <v>42736</v>
      </c>
      <c r="G3143">
        <v>3</v>
      </c>
    </row>
    <row r="3144" spans="1:7" x14ac:dyDescent="0.25">
      <c r="A3144" t="s">
        <v>116</v>
      </c>
      <c r="B3144" t="s">
        <v>119</v>
      </c>
      <c r="C3144">
        <v>6330</v>
      </c>
      <c r="D3144" t="s">
        <v>45</v>
      </c>
      <c r="E3144" t="s">
        <v>55</v>
      </c>
      <c r="F3144" s="5">
        <v>42370</v>
      </c>
      <c r="G3144">
        <v>0</v>
      </c>
    </row>
    <row r="3145" spans="1:7" x14ac:dyDescent="0.25">
      <c r="A3145" t="s">
        <v>116</v>
      </c>
      <c r="B3145" t="s">
        <v>119</v>
      </c>
      <c r="C3145">
        <v>6330</v>
      </c>
      <c r="D3145" t="s">
        <v>45</v>
      </c>
      <c r="E3145" t="s">
        <v>55</v>
      </c>
      <c r="F3145" s="5">
        <v>42736</v>
      </c>
      <c r="G3145">
        <v>0</v>
      </c>
    </row>
    <row r="3146" spans="1:7" x14ac:dyDescent="0.25">
      <c r="A3146" t="s">
        <v>116</v>
      </c>
      <c r="B3146" t="s">
        <v>119</v>
      </c>
      <c r="C3146">
        <v>6330</v>
      </c>
      <c r="D3146" t="s">
        <v>45</v>
      </c>
      <c r="E3146" t="s">
        <v>56</v>
      </c>
      <c r="F3146" s="5">
        <v>42370</v>
      </c>
      <c r="G3146">
        <v>0</v>
      </c>
    </row>
    <row r="3147" spans="1:7" x14ac:dyDescent="0.25">
      <c r="A3147" t="s">
        <v>116</v>
      </c>
      <c r="B3147" t="s">
        <v>119</v>
      </c>
      <c r="C3147">
        <v>6330</v>
      </c>
      <c r="D3147" t="s">
        <v>45</v>
      </c>
      <c r="E3147" t="s">
        <v>56</v>
      </c>
      <c r="F3147" s="5">
        <v>42736</v>
      </c>
      <c r="G3147">
        <v>1</v>
      </c>
    </row>
    <row r="3148" spans="1:7" x14ac:dyDescent="0.25">
      <c r="A3148" t="s">
        <v>116</v>
      </c>
      <c r="B3148" t="s">
        <v>119</v>
      </c>
      <c r="C3148">
        <v>6330</v>
      </c>
      <c r="D3148" t="s">
        <v>45</v>
      </c>
      <c r="E3148" t="s">
        <v>57</v>
      </c>
      <c r="F3148" s="5">
        <v>42370</v>
      </c>
      <c r="G3148">
        <v>0</v>
      </c>
    </row>
    <row r="3149" spans="1:7" x14ac:dyDescent="0.25">
      <c r="A3149" t="s">
        <v>116</v>
      </c>
      <c r="B3149" t="s">
        <v>119</v>
      </c>
      <c r="C3149">
        <v>6330</v>
      </c>
      <c r="D3149" t="s">
        <v>45</v>
      </c>
      <c r="E3149" t="s">
        <v>57</v>
      </c>
      <c r="F3149" s="5">
        <v>42736</v>
      </c>
      <c r="G3149">
        <v>2</v>
      </c>
    </row>
    <row r="3150" spans="1:7" x14ac:dyDescent="0.25">
      <c r="A3150" t="s">
        <v>116</v>
      </c>
      <c r="B3150" t="s">
        <v>119</v>
      </c>
      <c r="C3150">
        <v>6330</v>
      </c>
      <c r="D3150" t="s">
        <v>45</v>
      </c>
      <c r="E3150" t="s">
        <v>58</v>
      </c>
      <c r="F3150" s="5">
        <v>42370</v>
      </c>
      <c r="G3150">
        <v>0</v>
      </c>
    </row>
    <row r="3151" spans="1:7" x14ac:dyDescent="0.25">
      <c r="A3151" t="s">
        <v>116</v>
      </c>
      <c r="B3151" t="s">
        <v>119</v>
      </c>
      <c r="C3151">
        <v>6330</v>
      </c>
      <c r="D3151" t="s">
        <v>45</v>
      </c>
      <c r="E3151" t="s">
        <v>58</v>
      </c>
      <c r="F3151" s="5">
        <v>42736</v>
      </c>
      <c r="G3151">
        <v>0</v>
      </c>
    </row>
    <row r="3152" spans="1:7" x14ac:dyDescent="0.25">
      <c r="A3152" t="s">
        <v>116</v>
      </c>
      <c r="B3152" t="s">
        <v>119</v>
      </c>
      <c r="C3152">
        <v>6330</v>
      </c>
      <c r="D3152" t="s">
        <v>45</v>
      </c>
      <c r="E3152" t="s">
        <v>59</v>
      </c>
      <c r="F3152" s="5">
        <v>42370</v>
      </c>
      <c r="G3152">
        <v>0</v>
      </c>
    </row>
    <row r="3153" spans="1:7" x14ac:dyDescent="0.25">
      <c r="A3153" t="s">
        <v>116</v>
      </c>
      <c r="B3153" t="s">
        <v>119</v>
      </c>
      <c r="C3153">
        <v>6330</v>
      </c>
      <c r="D3153" t="s">
        <v>45</v>
      </c>
      <c r="E3153" t="s">
        <v>59</v>
      </c>
      <c r="F3153" s="5">
        <v>42736</v>
      </c>
      <c r="G3153">
        <v>0</v>
      </c>
    </row>
    <row r="3154" spans="1:7" x14ac:dyDescent="0.25">
      <c r="A3154" t="s">
        <v>116</v>
      </c>
      <c r="B3154" t="s">
        <v>119</v>
      </c>
      <c r="C3154">
        <v>6330</v>
      </c>
      <c r="D3154" t="s">
        <v>45</v>
      </c>
      <c r="E3154" t="s">
        <v>60</v>
      </c>
      <c r="F3154" s="5">
        <v>42370</v>
      </c>
      <c r="G3154">
        <v>2</v>
      </c>
    </row>
    <row r="3155" spans="1:7" x14ac:dyDescent="0.25">
      <c r="A3155" t="s">
        <v>116</v>
      </c>
      <c r="B3155" t="s">
        <v>119</v>
      </c>
      <c r="C3155">
        <v>6330</v>
      </c>
      <c r="D3155" t="s">
        <v>45</v>
      </c>
      <c r="E3155" t="s">
        <v>60</v>
      </c>
      <c r="F3155" s="5">
        <v>42736</v>
      </c>
      <c r="G3155">
        <v>3</v>
      </c>
    </row>
    <row r="3156" spans="1:7" x14ac:dyDescent="0.25">
      <c r="A3156" t="s">
        <v>116</v>
      </c>
      <c r="B3156" t="s">
        <v>119</v>
      </c>
      <c r="C3156">
        <v>6330</v>
      </c>
      <c r="D3156" t="s">
        <v>45</v>
      </c>
      <c r="E3156" t="s">
        <v>61</v>
      </c>
      <c r="F3156" s="5">
        <v>42370</v>
      </c>
      <c r="G3156">
        <v>4</v>
      </c>
    </row>
    <row r="3157" spans="1:7" x14ac:dyDescent="0.25">
      <c r="A3157" t="s">
        <v>116</v>
      </c>
      <c r="B3157" t="s">
        <v>119</v>
      </c>
      <c r="C3157">
        <v>6330</v>
      </c>
      <c r="D3157" t="s">
        <v>45</v>
      </c>
      <c r="E3157" t="s">
        <v>61</v>
      </c>
      <c r="F3157" s="5">
        <v>42736</v>
      </c>
      <c r="G3157">
        <v>6</v>
      </c>
    </row>
    <row r="3158" spans="1:7" x14ac:dyDescent="0.25">
      <c r="A3158" t="s">
        <v>116</v>
      </c>
      <c r="B3158" t="s">
        <v>119</v>
      </c>
      <c r="C3158">
        <v>6330</v>
      </c>
      <c r="D3158" t="s">
        <v>62</v>
      </c>
      <c r="E3158" t="s">
        <v>63</v>
      </c>
      <c r="F3158" s="5">
        <v>42370</v>
      </c>
      <c r="G3158">
        <v>0</v>
      </c>
    </row>
    <row r="3159" spans="1:7" x14ac:dyDescent="0.25">
      <c r="A3159" t="s">
        <v>116</v>
      </c>
      <c r="B3159" t="s">
        <v>119</v>
      </c>
      <c r="C3159">
        <v>6330</v>
      </c>
      <c r="D3159" t="s">
        <v>62</v>
      </c>
      <c r="E3159" t="s">
        <v>63</v>
      </c>
      <c r="F3159" s="5">
        <v>42736</v>
      </c>
      <c r="G3159">
        <v>0</v>
      </c>
    </row>
    <row r="3160" spans="1:7" x14ac:dyDescent="0.25">
      <c r="A3160" t="s">
        <v>116</v>
      </c>
      <c r="B3160" t="s">
        <v>119</v>
      </c>
      <c r="C3160">
        <v>6330</v>
      </c>
      <c r="D3160" t="s">
        <v>62</v>
      </c>
      <c r="E3160" t="s">
        <v>64</v>
      </c>
      <c r="F3160" s="5">
        <v>42370</v>
      </c>
      <c r="G3160">
        <v>0</v>
      </c>
    </row>
    <row r="3161" spans="1:7" x14ac:dyDescent="0.25">
      <c r="A3161" t="s">
        <v>116</v>
      </c>
      <c r="B3161" t="s">
        <v>119</v>
      </c>
      <c r="C3161">
        <v>6330</v>
      </c>
      <c r="D3161" t="s">
        <v>62</v>
      </c>
      <c r="E3161" t="s">
        <v>64</v>
      </c>
      <c r="F3161" s="5">
        <v>42736</v>
      </c>
      <c r="G3161">
        <v>0</v>
      </c>
    </row>
    <row r="3162" spans="1:7" x14ac:dyDescent="0.25">
      <c r="A3162" t="s">
        <v>116</v>
      </c>
      <c r="B3162" t="s">
        <v>119</v>
      </c>
      <c r="C3162">
        <v>6330</v>
      </c>
      <c r="D3162" t="s">
        <v>62</v>
      </c>
      <c r="E3162" t="s">
        <v>9</v>
      </c>
      <c r="F3162" s="5">
        <v>42370</v>
      </c>
      <c r="G3162">
        <v>0</v>
      </c>
    </row>
    <row r="3163" spans="1:7" x14ac:dyDescent="0.25">
      <c r="A3163" t="s">
        <v>116</v>
      </c>
      <c r="B3163" t="s">
        <v>119</v>
      </c>
      <c r="C3163">
        <v>6330</v>
      </c>
      <c r="D3163" t="s">
        <v>62</v>
      </c>
      <c r="E3163" t="s">
        <v>9</v>
      </c>
      <c r="F3163" s="5">
        <v>42736</v>
      </c>
      <c r="G3163">
        <v>0</v>
      </c>
    </row>
    <row r="3164" spans="1:7" x14ac:dyDescent="0.25">
      <c r="A3164" t="s">
        <v>116</v>
      </c>
      <c r="B3164" t="s">
        <v>119</v>
      </c>
      <c r="C3164">
        <v>6330</v>
      </c>
      <c r="D3164" t="s">
        <v>62</v>
      </c>
      <c r="E3164" t="s">
        <v>65</v>
      </c>
      <c r="F3164" s="5">
        <v>42370</v>
      </c>
      <c r="G3164">
        <v>0</v>
      </c>
    </row>
    <row r="3165" spans="1:7" x14ac:dyDescent="0.25">
      <c r="A3165" t="s">
        <v>116</v>
      </c>
      <c r="B3165" t="s">
        <v>119</v>
      </c>
      <c r="C3165">
        <v>6330</v>
      </c>
      <c r="D3165" t="s">
        <v>62</v>
      </c>
      <c r="E3165" t="s">
        <v>65</v>
      </c>
      <c r="F3165" s="5">
        <v>42736</v>
      </c>
      <c r="G3165">
        <v>0</v>
      </c>
    </row>
    <row r="3166" spans="1:7" x14ac:dyDescent="0.25">
      <c r="A3166" t="s">
        <v>116</v>
      </c>
      <c r="B3166" t="s">
        <v>119</v>
      </c>
      <c r="C3166">
        <v>6330</v>
      </c>
      <c r="D3166" t="s">
        <v>62</v>
      </c>
      <c r="E3166" t="s">
        <v>66</v>
      </c>
      <c r="F3166" s="5">
        <v>42370</v>
      </c>
      <c r="G3166">
        <v>0</v>
      </c>
    </row>
    <row r="3167" spans="1:7" x14ac:dyDescent="0.25">
      <c r="A3167" t="s">
        <v>116</v>
      </c>
      <c r="B3167" t="s">
        <v>119</v>
      </c>
      <c r="C3167">
        <v>6330</v>
      </c>
      <c r="D3167" t="s">
        <v>62</v>
      </c>
      <c r="E3167" t="s">
        <v>66</v>
      </c>
      <c r="F3167" s="5">
        <v>42736</v>
      </c>
      <c r="G3167">
        <v>0</v>
      </c>
    </row>
    <row r="3168" spans="1:7" x14ac:dyDescent="0.25">
      <c r="A3168" t="s">
        <v>116</v>
      </c>
      <c r="B3168" t="s">
        <v>119</v>
      </c>
      <c r="C3168">
        <v>6330</v>
      </c>
      <c r="D3168" t="s">
        <v>62</v>
      </c>
      <c r="E3168" t="s">
        <v>67</v>
      </c>
      <c r="F3168" s="5">
        <v>42370</v>
      </c>
      <c r="G3168">
        <v>0</v>
      </c>
    </row>
    <row r="3169" spans="1:7" x14ac:dyDescent="0.25">
      <c r="A3169" t="s">
        <v>116</v>
      </c>
      <c r="B3169" t="s">
        <v>119</v>
      </c>
      <c r="C3169">
        <v>6330</v>
      </c>
      <c r="D3169" t="s">
        <v>62</v>
      </c>
      <c r="E3169" t="s">
        <v>67</v>
      </c>
      <c r="F3169" s="5">
        <v>42736</v>
      </c>
      <c r="G3169">
        <v>0</v>
      </c>
    </row>
    <row r="3170" spans="1:7" x14ac:dyDescent="0.25">
      <c r="A3170" t="s">
        <v>116</v>
      </c>
      <c r="B3170" t="s">
        <v>119</v>
      </c>
      <c r="C3170">
        <v>6330</v>
      </c>
      <c r="D3170" t="s">
        <v>62</v>
      </c>
      <c r="E3170" t="s">
        <v>68</v>
      </c>
      <c r="F3170" s="5">
        <v>42370</v>
      </c>
      <c r="G3170">
        <v>0</v>
      </c>
    </row>
    <row r="3171" spans="1:7" x14ac:dyDescent="0.25">
      <c r="A3171" t="s">
        <v>116</v>
      </c>
      <c r="B3171" t="s">
        <v>119</v>
      </c>
      <c r="C3171">
        <v>6330</v>
      </c>
      <c r="D3171" t="s">
        <v>62</v>
      </c>
      <c r="E3171" t="s">
        <v>68</v>
      </c>
      <c r="F3171" s="5">
        <v>42736</v>
      </c>
      <c r="G3171">
        <v>0</v>
      </c>
    </row>
    <row r="3172" spans="1:7" x14ac:dyDescent="0.25">
      <c r="A3172" t="s">
        <v>116</v>
      </c>
      <c r="B3172" t="s">
        <v>119</v>
      </c>
      <c r="C3172">
        <v>6330</v>
      </c>
      <c r="D3172" t="s">
        <v>62</v>
      </c>
      <c r="E3172" t="s">
        <v>69</v>
      </c>
      <c r="F3172" s="5">
        <v>42370</v>
      </c>
      <c r="G3172">
        <v>0</v>
      </c>
    </row>
    <row r="3173" spans="1:7" x14ac:dyDescent="0.25">
      <c r="A3173" t="s">
        <v>116</v>
      </c>
      <c r="B3173" t="s">
        <v>119</v>
      </c>
      <c r="C3173">
        <v>6330</v>
      </c>
      <c r="D3173" t="s">
        <v>62</v>
      </c>
      <c r="E3173" t="s">
        <v>69</v>
      </c>
      <c r="F3173" s="5">
        <v>42736</v>
      </c>
      <c r="G3173">
        <v>0</v>
      </c>
    </row>
    <row r="3174" spans="1:7" x14ac:dyDescent="0.25">
      <c r="A3174" t="s">
        <v>116</v>
      </c>
      <c r="B3174" t="s">
        <v>119</v>
      </c>
      <c r="C3174">
        <v>6330</v>
      </c>
      <c r="D3174" t="s">
        <v>62</v>
      </c>
      <c r="E3174" t="s">
        <v>70</v>
      </c>
      <c r="F3174" s="5">
        <v>42370</v>
      </c>
      <c r="G3174">
        <v>0</v>
      </c>
    </row>
    <row r="3175" spans="1:7" x14ac:dyDescent="0.25">
      <c r="A3175" t="s">
        <v>116</v>
      </c>
      <c r="B3175" t="s">
        <v>119</v>
      </c>
      <c r="C3175">
        <v>6330</v>
      </c>
      <c r="D3175" t="s">
        <v>62</v>
      </c>
      <c r="E3175" t="s">
        <v>70</v>
      </c>
      <c r="F3175" s="5">
        <v>42736</v>
      </c>
      <c r="G3175">
        <v>0</v>
      </c>
    </row>
    <row r="3176" spans="1:7" x14ac:dyDescent="0.25">
      <c r="A3176" t="s">
        <v>116</v>
      </c>
      <c r="B3176" t="s">
        <v>119</v>
      </c>
      <c r="C3176">
        <v>6330</v>
      </c>
      <c r="D3176" t="s">
        <v>62</v>
      </c>
      <c r="E3176" t="s">
        <v>71</v>
      </c>
      <c r="F3176" s="5">
        <v>42370</v>
      </c>
      <c r="G3176">
        <v>0</v>
      </c>
    </row>
    <row r="3177" spans="1:7" x14ac:dyDescent="0.25">
      <c r="A3177" t="s">
        <v>116</v>
      </c>
      <c r="B3177" t="s">
        <v>119</v>
      </c>
      <c r="C3177">
        <v>6330</v>
      </c>
      <c r="D3177" t="s">
        <v>62</v>
      </c>
      <c r="E3177" t="s">
        <v>71</v>
      </c>
      <c r="F3177" s="5">
        <v>42736</v>
      </c>
      <c r="G3177">
        <v>0</v>
      </c>
    </row>
    <row r="3178" spans="1:7" x14ac:dyDescent="0.25">
      <c r="A3178" t="s">
        <v>116</v>
      </c>
      <c r="B3178" t="s">
        <v>119</v>
      </c>
      <c r="C3178">
        <v>6330</v>
      </c>
      <c r="D3178" t="s">
        <v>72</v>
      </c>
      <c r="E3178" t="s">
        <v>73</v>
      </c>
      <c r="F3178" s="5">
        <v>42370</v>
      </c>
      <c r="G3178">
        <v>0</v>
      </c>
    </row>
    <row r="3179" spans="1:7" x14ac:dyDescent="0.25">
      <c r="A3179" t="s">
        <v>116</v>
      </c>
      <c r="B3179" t="s">
        <v>119</v>
      </c>
      <c r="C3179">
        <v>6330</v>
      </c>
      <c r="D3179" t="s">
        <v>72</v>
      </c>
      <c r="E3179" t="s">
        <v>73</v>
      </c>
      <c r="F3179" s="5">
        <v>42736</v>
      </c>
      <c r="G3179">
        <v>0</v>
      </c>
    </row>
    <row r="3180" spans="1:7" x14ac:dyDescent="0.25">
      <c r="A3180" t="s">
        <v>116</v>
      </c>
      <c r="B3180" t="s">
        <v>119</v>
      </c>
      <c r="C3180">
        <v>6330</v>
      </c>
      <c r="D3180" t="s">
        <v>72</v>
      </c>
      <c r="E3180" t="s">
        <v>9</v>
      </c>
      <c r="F3180" s="5">
        <v>42370</v>
      </c>
      <c r="G3180">
        <v>0</v>
      </c>
    </row>
    <row r="3181" spans="1:7" x14ac:dyDescent="0.25">
      <c r="A3181" t="s">
        <v>116</v>
      </c>
      <c r="B3181" t="s">
        <v>119</v>
      </c>
      <c r="C3181">
        <v>6330</v>
      </c>
      <c r="D3181" t="s">
        <v>72</v>
      </c>
      <c r="E3181" t="s">
        <v>9</v>
      </c>
      <c r="F3181" s="5">
        <v>42736</v>
      </c>
      <c r="G3181">
        <v>0</v>
      </c>
    </row>
    <row r="3182" spans="1:7" x14ac:dyDescent="0.25">
      <c r="A3182" t="s">
        <v>116</v>
      </c>
      <c r="B3182" t="s">
        <v>119</v>
      </c>
      <c r="C3182">
        <v>6330</v>
      </c>
      <c r="D3182" t="s">
        <v>72</v>
      </c>
      <c r="E3182" t="s">
        <v>34</v>
      </c>
      <c r="F3182" s="5">
        <v>42370</v>
      </c>
      <c r="G3182">
        <v>0</v>
      </c>
    </row>
    <row r="3183" spans="1:7" x14ac:dyDescent="0.25">
      <c r="A3183" t="s">
        <v>116</v>
      </c>
      <c r="B3183" t="s">
        <v>119</v>
      </c>
      <c r="C3183">
        <v>6330</v>
      </c>
      <c r="D3183" t="s">
        <v>72</v>
      </c>
      <c r="E3183" t="s">
        <v>34</v>
      </c>
      <c r="F3183" s="5">
        <v>42736</v>
      </c>
      <c r="G3183">
        <v>0</v>
      </c>
    </row>
    <row r="3184" spans="1:7" x14ac:dyDescent="0.25">
      <c r="A3184" t="s">
        <v>116</v>
      </c>
      <c r="B3184" t="s">
        <v>119</v>
      </c>
      <c r="C3184">
        <v>6330</v>
      </c>
      <c r="D3184" t="s">
        <v>72</v>
      </c>
      <c r="E3184" t="s">
        <v>74</v>
      </c>
      <c r="F3184" s="5">
        <v>42370</v>
      </c>
      <c r="G3184">
        <v>0</v>
      </c>
    </row>
    <row r="3185" spans="1:7" x14ac:dyDescent="0.25">
      <c r="A3185" t="s">
        <v>116</v>
      </c>
      <c r="B3185" t="s">
        <v>119</v>
      </c>
      <c r="C3185">
        <v>6330</v>
      </c>
      <c r="D3185" t="s">
        <v>72</v>
      </c>
      <c r="E3185" t="s">
        <v>74</v>
      </c>
      <c r="F3185" s="5">
        <v>42736</v>
      </c>
      <c r="G3185">
        <v>0</v>
      </c>
    </row>
    <row r="3186" spans="1:7" x14ac:dyDescent="0.25">
      <c r="A3186" t="s">
        <v>116</v>
      </c>
      <c r="B3186" t="s">
        <v>119</v>
      </c>
      <c r="C3186">
        <v>6330</v>
      </c>
      <c r="D3186" t="s">
        <v>72</v>
      </c>
      <c r="E3186" t="s">
        <v>75</v>
      </c>
      <c r="F3186" s="5">
        <v>42370</v>
      </c>
      <c r="G3186">
        <v>0</v>
      </c>
    </row>
    <row r="3187" spans="1:7" x14ac:dyDescent="0.25">
      <c r="A3187" t="s">
        <v>116</v>
      </c>
      <c r="B3187" t="s">
        <v>119</v>
      </c>
      <c r="C3187">
        <v>6330</v>
      </c>
      <c r="D3187" t="s">
        <v>72</v>
      </c>
      <c r="E3187" t="s">
        <v>75</v>
      </c>
      <c r="F3187" s="5">
        <v>42736</v>
      </c>
      <c r="G3187">
        <v>0</v>
      </c>
    </row>
    <row r="3188" spans="1:7" x14ac:dyDescent="0.25">
      <c r="A3188" t="s">
        <v>116</v>
      </c>
      <c r="B3188" t="s">
        <v>119</v>
      </c>
      <c r="C3188">
        <v>6330</v>
      </c>
      <c r="D3188" t="s">
        <v>76</v>
      </c>
      <c r="E3188" t="s">
        <v>9</v>
      </c>
      <c r="F3188" s="5">
        <v>42370</v>
      </c>
      <c r="G3188">
        <v>0</v>
      </c>
    </row>
    <row r="3189" spans="1:7" x14ac:dyDescent="0.25">
      <c r="A3189" t="s">
        <v>116</v>
      </c>
      <c r="B3189" t="s">
        <v>119</v>
      </c>
      <c r="C3189">
        <v>6330</v>
      </c>
      <c r="D3189" t="s">
        <v>76</v>
      </c>
      <c r="E3189" t="s">
        <v>9</v>
      </c>
      <c r="F3189" s="5">
        <v>42736</v>
      </c>
      <c r="G3189">
        <v>0</v>
      </c>
    </row>
    <row r="3190" spans="1:7" x14ac:dyDescent="0.25">
      <c r="A3190" t="s">
        <v>116</v>
      </c>
      <c r="B3190" t="s">
        <v>119</v>
      </c>
      <c r="C3190">
        <v>6330</v>
      </c>
      <c r="D3190" t="s">
        <v>76</v>
      </c>
      <c r="E3190" t="s">
        <v>77</v>
      </c>
      <c r="F3190" s="5">
        <v>42370</v>
      </c>
      <c r="G3190">
        <v>0</v>
      </c>
    </row>
    <row r="3191" spans="1:7" x14ac:dyDescent="0.25">
      <c r="A3191" t="s">
        <v>116</v>
      </c>
      <c r="B3191" t="s">
        <v>119</v>
      </c>
      <c r="C3191">
        <v>6330</v>
      </c>
      <c r="D3191" t="s">
        <v>76</v>
      </c>
      <c r="E3191" t="s">
        <v>77</v>
      </c>
      <c r="F3191" s="5">
        <v>42736</v>
      </c>
      <c r="G3191">
        <v>0</v>
      </c>
    </row>
    <row r="3192" spans="1:7" x14ac:dyDescent="0.25">
      <c r="A3192" t="s">
        <v>116</v>
      </c>
      <c r="B3192" t="s">
        <v>119</v>
      </c>
      <c r="C3192">
        <v>6330</v>
      </c>
      <c r="D3192" t="s">
        <v>78</v>
      </c>
      <c r="E3192" t="s">
        <v>79</v>
      </c>
      <c r="F3192" s="5">
        <v>42370</v>
      </c>
      <c r="G3192">
        <v>12</v>
      </c>
    </row>
    <row r="3193" spans="1:7" x14ac:dyDescent="0.25">
      <c r="A3193" t="s">
        <v>116</v>
      </c>
      <c r="B3193" t="s">
        <v>119</v>
      </c>
      <c r="C3193">
        <v>6330</v>
      </c>
      <c r="D3193" t="s">
        <v>78</v>
      </c>
      <c r="E3193" t="s">
        <v>79</v>
      </c>
      <c r="F3193" s="5">
        <v>42736</v>
      </c>
      <c r="G3193">
        <v>4</v>
      </c>
    </row>
    <row r="3194" spans="1:7" x14ac:dyDescent="0.25">
      <c r="A3194" t="s">
        <v>116</v>
      </c>
      <c r="B3194" t="s">
        <v>119</v>
      </c>
      <c r="C3194">
        <v>6330</v>
      </c>
      <c r="D3194" t="s">
        <v>78</v>
      </c>
      <c r="E3194" t="s">
        <v>80</v>
      </c>
      <c r="F3194" s="5">
        <v>42370</v>
      </c>
      <c r="G3194">
        <v>0</v>
      </c>
    </row>
    <row r="3195" spans="1:7" x14ac:dyDescent="0.25">
      <c r="A3195" t="s">
        <v>116</v>
      </c>
      <c r="B3195" t="s">
        <v>119</v>
      </c>
      <c r="C3195">
        <v>6330</v>
      </c>
      <c r="D3195" t="s">
        <v>78</v>
      </c>
      <c r="E3195" t="s">
        <v>80</v>
      </c>
      <c r="F3195" s="5">
        <v>42736</v>
      </c>
      <c r="G3195">
        <v>0</v>
      </c>
    </row>
    <row r="3196" spans="1:7" x14ac:dyDescent="0.25">
      <c r="A3196" t="s">
        <v>116</v>
      </c>
      <c r="B3196" t="s">
        <v>119</v>
      </c>
      <c r="C3196">
        <v>6330</v>
      </c>
      <c r="D3196" t="s">
        <v>78</v>
      </c>
      <c r="E3196" t="s">
        <v>81</v>
      </c>
      <c r="F3196" s="5">
        <v>42370</v>
      </c>
      <c r="G3196">
        <v>556</v>
      </c>
    </row>
    <row r="3197" spans="1:7" x14ac:dyDescent="0.25">
      <c r="A3197" t="s">
        <v>116</v>
      </c>
      <c r="B3197" t="s">
        <v>119</v>
      </c>
      <c r="C3197">
        <v>6330</v>
      </c>
      <c r="D3197" t="s">
        <v>78</v>
      </c>
      <c r="E3197" t="s">
        <v>81</v>
      </c>
      <c r="F3197" s="5">
        <v>42736</v>
      </c>
      <c r="G3197">
        <v>846</v>
      </c>
    </row>
    <row r="3198" spans="1:7" x14ac:dyDescent="0.25">
      <c r="A3198" t="s">
        <v>116</v>
      </c>
      <c r="B3198" t="s">
        <v>119</v>
      </c>
      <c r="C3198">
        <v>6330</v>
      </c>
      <c r="D3198" t="s">
        <v>78</v>
      </c>
      <c r="E3198" t="s">
        <v>82</v>
      </c>
      <c r="F3198" s="5">
        <v>42370</v>
      </c>
      <c r="G3198">
        <v>0</v>
      </c>
    </row>
    <row r="3199" spans="1:7" x14ac:dyDescent="0.25">
      <c r="A3199" t="s">
        <v>116</v>
      </c>
      <c r="B3199" t="s">
        <v>119</v>
      </c>
      <c r="C3199">
        <v>6330</v>
      </c>
      <c r="D3199" t="s">
        <v>78</v>
      </c>
      <c r="E3199" t="s">
        <v>82</v>
      </c>
      <c r="F3199" s="5">
        <v>42736</v>
      </c>
      <c r="G3199">
        <v>0</v>
      </c>
    </row>
    <row r="3200" spans="1:7" x14ac:dyDescent="0.25">
      <c r="A3200" t="s">
        <v>116</v>
      </c>
      <c r="B3200" t="s">
        <v>119</v>
      </c>
      <c r="C3200">
        <v>6330</v>
      </c>
      <c r="D3200" t="s">
        <v>78</v>
      </c>
      <c r="E3200" t="s">
        <v>83</v>
      </c>
      <c r="F3200" s="5">
        <v>42370</v>
      </c>
      <c r="G3200">
        <v>0</v>
      </c>
    </row>
    <row r="3201" spans="1:7" x14ac:dyDescent="0.25">
      <c r="A3201" t="s">
        <v>116</v>
      </c>
      <c r="B3201" t="s">
        <v>119</v>
      </c>
      <c r="C3201">
        <v>6330</v>
      </c>
      <c r="D3201" t="s">
        <v>78</v>
      </c>
      <c r="E3201" t="s">
        <v>83</v>
      </c>
      <c r="F3201" s="5">
        <v>42736</v>
      </c>
      <c r="G3201">
        <v>0</v>
      </c>
    </row>
    <row r="3202" spans="1:7" x14ac:dyDescent="0.25">
      <c r="A3202" t="s">
        <v>116</v>
      </c>
      <c r="B3202" t="s">
        <v>119</v>
      </c>
      <c r="C3202">
        <v>6330</v>
      </c>
      <c r="D3202" t="s">
        <v>78</v>
      </c>
      <c r="E3202" t="s">
        <v>84</v>
      </c>
      <c r="F3202" s="5">
        <v>42370</v>
      </c>
      <c r="G3202">
        <v>0</v>
      </c>
    </row>
    <row r="3203" spans="1:7" x14ac:dyDescent="0.25">
      <c r="A3203" t="s">
        <v>116</v>
      </c>
      <c r="B3203" t="s">
        <v>119</v>
      </c>
      <c r="C3203">
        <v>6330</v>
      </c>
      <c r="D3203" t="s">
        <v>78</v>
      </c>
      <c r="E3203" t="s">
        <v>84</v>
      </c>
      <c r="F3203" s="5">
        <v>42736</v>
      </c>
      <c r="G3203">
        <v>0</v>
      </c>
    </row>
    <row r="3204" spans="1:7" x14ac:dyDescent="0.25">
      <c r="A3204" t="s">
        <v>116</v>
      </c>
      <c r="B3204" t="s">
        <v>119</v>
      </c>
      <c r="C3204">
        <v>6330</v>
      </c>
      <c r="D3204" t="s">
        <v>78</v>
      </c>
      <c r="E3204" t="s">
        <v>85</v>
      </c>
      <c r="F3204" s="5">
        <v>42370</v>
      </c>
      <c r="G3204">
        <v>0</v>
      </c>
    </row>
    <row r="3205" spans="1:7" x14ac:dyDescent="0.25">
      <c r="A3205" t="s">
        <v>116</v>
      </c>
      <c r="B3205" t="s">
        <v>119</v>
      </c>
      <c r="C3205">
        <v>6330</v>
      </c>
      <c r="D3205" t="s">
        <v>78</v>
      </c>
      <c r="E3205" t="s">
        <v>85</v>
      </c>
      <c r="F3205" s="5">
        <v>42736</v>
      </c>
      <c r="G3205">
        <v>0</v>
      </c>
    </row>
    <row r="3206" spans="1:7" x14ac:dyDescent="0.25">
      <c r="A3206" t="s">
        <v>116</v>
      </c>
      <c r="B3206" t="s">
        <v>119</v>
      </c>
      <c r="C3206">
        <v>6330</v>
      </c>
      <c r="D3206" t="s">
        <v>78</v>
      </c>
      <c r="E3206" t="s">
        <v>86</v>
      </c>
      <c r="F3206" s="5">
        <v>42370</v>
      </c>
      <c r="G3206">
        <v>32</v>
      </c>
    </row>
    <row r="3207" spans="1:7" x14ac:dyDescent="0.25">
      <c r="A3207" t="s">
        <v>116</v>
      </c>
      <c r="B3207" t="s">
        <v>119</v>
      </c>
      <c r="C3207">
        <v>6330</v>
      </c>
      <c r="D3207" t="s">
        <v>78</v>
      </c>
      <c r="E3207" t="s">
        <v>86</v>
      </c>
      <c r="F3207" s="5">
        <v>42736</v>
      </c>
      <c r="G3207">
        <v>34</v>
      </c>
    </row>
    <row r="3208" spans="1:7" x14ac:dyDescent="0.25">
      <c r="A3208" t="s">
        <v>116</v>
      </c>
      <c r="B3208" t="s">
        <v>119</v>
      </c>
      <c r="C3208">
        <v>6330</v>
      </c>
      <c r="D3208" t="s">
        <v>78</v>
      </c>
      <c r="E3208" t="s">
        <v>87</v>
      </c>
      <c r="F3208" s="5">
        <v>42370</v>
      </c>
      <c r="G3208">
        <v>5</v>
      </c>
    </row>
    <row r="3209" spans="1:7" x14ac:dyDescent="0.25">
      <c r="A3209" t="s">
        <v>116</v>
      </c>
      <c r="B3209" t="s">
        <v>119</v>
      </c>
      <c r="C3209">
        <v>6330</v>
      </c>
      <c r="D3209" t="s">
        <v>78</v>
      </c>
      <c r="E3209" t="s">
        <v>87</v>
      </c>
      <c r="F3209" s="5">
        <v>42736</v>
      </c>
      <c r="G3209">
        <v>17</v>
      </c>
    </row>
    <row r="3210" spans="1:7" x14ac:dyDescent="0.25">
      <c r="A3210" t="s">
        <v>116</v>
      </c>
      <c r="B3210" t="s">
        <v>119</v>
      </c>
      <c r="C3210">
        <v>6330</v>
      </c>
      <c r="D3210" t="s">
        <v>78</v>
      </c>
      <c r="E3210" t="s">
        <v>88</v>
      </c>
      <c r="F3210" s="5">
        <v>42370</v>
      </c>
      <c r="G3210">
        <v>146</v>
      </c>
    </row>
    <row r="3211" spans="1:7" x14ac:dyDescent="0.25">
      <c r="A3211" t="s">
        <v>116</v>
      </c>
      <c r="B3211" t="s">
        <v>119</v>
      </c>
      <c r="C3211">
        <v>6330</v>
      </c>
      <c r="D3211" t="s">
        <v>78</v>
      </c>
      <c r="E3211" t="s">
        <v>88</v>
      </c>
      <c r="F3211" s="5">
        <v>42736</v>
      </c>
      <c r="G3211">
        <v>230</v>
      </c>
    </row>
    <row r="3212" spans="1:7" x14ac:dyDescent="0.25">
      <c r="A3212" t="s">
        <v>116</v>
      </c>
      <c r="B3212" t="s">
        <v>119</v>
      </c>
      <c r="C3212">
        <v>6330</v>
      </c>
      <c r="D3212" t="s">
        <v>78</v>
      </c>
      <c r="E3212" t="s">
        <v>89</v>
      </c>
      <c r="F3212" s="5">
        <v>42370</v>
      </c>
      <c r="G3212">
        <v>1804</v>
      </c>
    </row>
    <row r="3213" spans="1:7" x14ac:dyDescent="0.25">
      <c r="A3213" t="s">
        <v>116</v>
      </c>
      <c r="B3213" t="s">
        <v>119</v>
      </c>
      <c r="C3213">
        <v>6330</v>
      </c>
      <c r="D3213" t="s">
        <v>78</v>
      </c>
      <c r="E3213" t="s">
        <v>89</v>
      </c>
      <c r="F3213" s="5">
        <v>42736</v>
      </c>
      <c r="G3213">
        <v>2241</v>
      </c>
    </row>
    <row r="3214" spans="1:7" x14ac:dyDescent="0.25">
      <c r="A3214" t="s">
        <v>116</v>
      </c>
      <c r="B3214" t="s">
        <v>119</v>
      </c>
      <c r="C3214">
        <v>6330</v>
      </c>
      <c r="D3214" t="s">
        <v>78</v>
      </c>
      <c r="E3214" t="s">
        <v>90</v>
      </c>
      <c r="F3214" s="5">
        <v>42370</v>
      </c>
      <c r="G3214">
        <v>0</v>
      </c>
    </row>
    <row r="3215" spans="1:7" x14ac:dyDescent="0.25">
      <c r="A3215" t="s">
        <v>116</v>
      </c>
      <c r="B3215" t="s">
        <v>119</v>
      </c>
      <c r="C3215">
        <v>6330</v>
      </c>
      <c r="D3215" t="s">
        <v>78</v>
      </c>
      <c r="E3215" t="s">
        <v>90</v>
      </c>
      <c r="F3215" s="5">
        <v>42736</v>
      </c>
      <c r="G3215">
        <v>0</v>
      </c>
    </row>
    <row r="3216" spans="1:7" x14ac:dyDescent="0.25">
      <c r="A3216" t="s">
        <v>116</v>
      </c>
      <c r="B3216" t="s">
        <v>119</v>
      </c>
      <c r="C3216">
        <v>6330</v>
      </c>
      <c r="D3216" t="s">
        <v>78</v>
      </c>
      <c r="E3216" t="s">
        <v>91</v>
      </c>
      <c r="F3216" s="5">
        <v>42370</v>
      </c>
      <c r="G3216">
        <v>0</v>
      </c>
    </row>
    <row r="3217" spans="1:7" x14ac:dyDescent="0.25">
      <c r="A3217" t="s">
        <v>116</v>
      </c>
      <c r="B3217" t="s">
        <v>119</v>
      </c>
      <c r="C3217">
        <v>6330</v>
      </c>
      <c r="D3217" t="s">
        <v>78</v>
      </c>
      <c r="E3217" t="s">
        <v>91</v>
      </c>
      <c r="F3217" s="5">
        <v>42736</v>
      </c>
      <c r="G3217">
        <v>0</v>
      </c>
    </row>
    <row r="3218" spans="1:7" x14ac:dyDescent="0.25">
      <c r="A3218" t="s">
        <v>116</v>
      </c>
      <c r="B3218" t="s">
        <v>119</v>
      </c>
      <c r="C3218">
        <v>6330</v>
      </c>
      <c r="D3218" t="s">
        <v>78</v>
      </c>
      <c r="E3218" t="s">
        <v>92</v>
      </c>
      <c r="F3218" s="5">
        <v>42370</v>
      </c>
      <c r="G3218">
        <v>0</v>
      </c>
    </row>
    <row r="3219" spans="1:7" x14ac:dyDescent="0.25">
      <c r="A3219" t="s">
        <v>116</v>
      </c>
      <c r="B3219" t="s">
        <v>119</v>
      </c>
      <c r="C3219">
        <v>6330</v>
      </c>
      <c r="D3219" t="s">
        <v>78</v>
      </c>
      <c r="E3219" t="s">
        <v>92</v>
      </c>
      <c r="F3219" s="5">
        <v>42736</v>
      </c>
      <c r="G3219">
        <v>0</v>
      </c>
    </row>
    <row r="3220" spans="1:7" x14ac:dyDescent="0.25">
      <c r="A3220" t="s">
        <v>116</v>
      </c>
      <c r="B3220" t="s">
        <v>119</v>
      </c>
      <c r="C3220">
        <v>6330</v>
      </c>
      <c r="D3220" t="s">
        <v>78</v>
      </c>
      <c r="E3220" t="s">
        <v>93</v>
      </c>
      <c r="F3220" s="5">
        <v>42370</v>
      </c>
      <c r="G3220">
        <v>0</v>
      </c>
    </row>
    <row r="3221" spans="1:7" x14ac:dyDescent="0.25">
      <c r="A3221" t="s">
        <v>116</v>
      </c>
      <c r="B3221" t="s">
        <v>119</v>
      </c>
      <c r="C3221">
        <v>6330</v>
      </c>
      <c r="D3221" t="s">
        <v>78</v>
      </c>
      <c r="E3221" t="s">
        <v>93</v>
      </c>
      <c r="F3221" s="5">
        <v>42736</v>
      </c>
      <c r="G3221">
        <v>0</v>
      </c>
    </row>
    <row r="3222" spans="1:7" x14ac:dyDescent="0.25">
      <c r="A3222" t="s">
        <v>116</v>
      </c>
      <c r="B3222" t="s">
        <v>119</v>
      </c>
      <c r="C3222">
        <v>6330</v>
      </c>
      <c r="D3222" t="s">
        <v>78</v>
      </c>
      <c r="E3222" t="s">
        <v>94</v>
      </c>
      <c r="F3222" s="5">
        <v>42370</v>
      </c>
      <c r="G3222">
        <v>0</v>
      </c>
    </row>
    <row r="3223" spans="1:7" x14ac:dyDescent="0.25">
      <c r="A3223" t="s">
        <v>116</v>
      </c>
      <c r="B3223" t="s">
        <v>119</v>
      </c>
      <c r="C3223">
        <v>6330</v>
      </c>
      <c r="D3223" t="s">
        <v>78</v>
      </c>
      <c r="E3223" t="s">
        <v>94</v>
      </c>
      <c r="F3223" s="5">
        <v>42736</v>
      </c>
      <c r="G3223">
        <v>0</v>
      </c>
    </row>
    <row r="3224" spans="1:7" x14ac:dyDescent="0.25">
      <c r="A3224" t="s">
        <v>116</v>
      </c>
      <c r="B3224" t="s">
        <v>119</v>
      </c>
      <c r="C3224">
        <v>6330</v>
      </c>
      <c r="D3224" t="s">
        <v>78</v>
      </c>
      <c r="E3224" t="s">
        <v>95</v>
      </c>
      <c r="F3224" s="5">
        <v>42370</v>
      </c>
      <c r="G3224">
        <v>0</v>
      </c>
    </row>
    <row r="3225" spans="1:7" x14ac:dyDescent="0.25">
      <c r="A3225" t="s">
        <v>116</v>
      </c>
      <c r="B3225" t="s">
        <v>119</v>
      </c>
      <c r="C3225">
        <v>6330</v>
      </c>
      <c r="D3225" t="s">
        <v>78</v>
      </c>
      <c r="E3225" t="s">
        <v>95</v>
      </c>
      <c r="F3225" s="5">
        <v>42736</v>
      </c>
      <c r="G3225">
        <v>0</v>
      </c>
    </row>
    <row r="3226" spans="1:7" x14ac:dyDescent="0.25">
      <c r="A3226" t="s">
        <v>116</v>
      </c>
      <c r="B3226" t="s">
        <v>119</v>
      </c>
      <c r="C3226">
        <v>6330</v>
      </c>
      <c r="D3226" t="s">
        <v>78</v>
      </c>
      <c r="E3226" t="s">
        <v>96</v>
      </c>
      <c r="F3226" s="5">
        <v>42370</v>
      </c>
      <c r="G3226">
        <v>0</v>
      </c>
    </row>
    <row r="3227" spans="1:7" x14ac:dyDescent="0.25">
      <c r="A3227" t="s">
        <v>116</v>
      </c>
      <c r="B3227" t="s">
        <v>119</v>
      </c>
      <c r="C3227">
        <v>6330</v>
      </c>
      <c r="D3227" t="s">
        <v>78</v>
      </c>
      <c r="E3227" t="s">
        <v>96</v>
      </c>
      <c r="F3227" s="5">
        <v>42736</v>
      </c>
      <c r="G3227">
        <v>0</v>
      </c>
    </row>
    <row r="3228" spans="1:7" x14ac:dyDescent="0.25">
      <c r="A3228" t="s">
        <v>116</v>
      </c>
      <c r="B3228" t="s">
        <v>119</v>
      </c>
      <c r="C3228">
        <v>6330</v>
      </c>
      <c r="D3228" t="s">
        <v>78</v>
      </c>
      <c r="E3228" t="s">
        <v>97</v>
      </c>
      <c r="F3228" s="5">
        <v>42370</v>
      </c>
      <c r="G3228">
        <v>0</v>
      </c>
    </row>
    <row r="3229" spans="1:7" x14ac:dyDescent="0.25">
      <c r="A3229" t="s">
        <v>116</v>
      </c>
      <c r="B3229" t="s">
        <v>119</v>
      </c>
      <c r="C3229">
        <v>6330</v>
      </c>
      <c r="D3229" t="s">
        <v>78</v>
      </c>
      <c r="E3229" t="s">
        <v>97</v>
      </c>
      <c r="F3229" s="5">
        <v>42736</v>
      </c>
      <c r="G3229">
        <v>0</v>
      </c>
    </row>
    <row r="3230" spans="1:7" x14ac:dyDescent="0.25">
      <c r="A3230" t="s">
        <v>116</v>
      </c>
      <c r="B3230" t="s">
        <v>119</v>
      </c>
      <c r="C3230">
        <v>6330</v>
      </c>
      <c r="D3230" t="s">
        <v>78</v>
      </c>
      <c r="E3230" t="s">
        <v>98</v>
      </c>
      <c r="F3230" s="5">
        <v>42370</v>
      </c>
      <c r="G3230">
        <v>1</v>
      </c>
    </row>
    <row r="3231" spans="1:7" x14ac:dyDescent="0.25">
      <c r="A3231" t="s">
        <v>116</v>
      </c>
      <c r="B3231" t="s">
        <v>119</v>
      </c>
      <c r="C3231">
        <v>6330</v>
      </c>
      <c r="D3231" t="s">
        <v>78</v>
      </c>
      <c r="E3231" t="s">
        <v>98</v>
      </c>
      <c r="F3231" s="5">
        <v>42736</v>
      </c>
      <c r="G3231">
        <v>0</v>
      </c>
    </row>
    <row r="3232" spans="1:7" x14ac:dyDescent="0.25">
      <c r="A3232" t="s">
        <v>120</v>
      </c>
      <c r="B3232" t="s">
        <v>121</v>
      </c>
      <c r="C3232">
        <v>6530</v>
      </c>
      <c r="D3232" t="s">
        <v>8</v>
      </c>
      <c r="E3232" t="s">
        <v>9</v>
      </c>
      <c r="F3232" s="5">
        <v>42370</v>
      </c>
      <c r="G3232">
        <v>0</v>
      </c>
    </row>
    <row r="3233" spans="1:7" x14ac:dyDescent="0.25">
      <c r="A3233" t="s">
        <v>120</v>
      </c>
      <c r="B3233" t="s">
        <v>121</v>
      </c>
      <c r="C3233">
        <v>6530</v>
      </c>
      <c r="D3233" t="s">
        <v>8</v>
      </c>
      <c r="E3233" t="s">
        <v>9</v>
      </c>
      <c r="F3233" s="5">
        <v>42736</v>
      </c>
      <c r="G3233">
        <v>0</v>
      </c>
    </row>
    <row r="3234" spans="1:7" x14ac:dyDescent="0.25">
      <c r="A3234" t="s">
        <v>120</v>
      </c>
      <c r="B3234" t="s">
        <v>121</v>
      </c>
      <c r="C3234">
        <v>6530</v>
      </c>
      <c r="D3234" t="s">
        <v>8</v>
      </c>
      <c r="E3234" t="s">
        <v>10</v>
      </c>
      <c r="F3234" s="5">
        <v>42370</v>
      </c>
      <c r="G3234">
        <v>0</v>
      </c>
    </row>
    <row r="3235" spans="1:7" x14ac:dyDescent="0.25">
      <c r="A3235" t="s">
        <v>120</v>
      </c>
      <c r="B3235" t="s">
        <v>121</v>
      </c>
      <c r="C3235">
        <v>6530</v>
      </c>
      <c r="D3235" t="s">
        <v>8</v>
      </c>
      <c r="E3235" t="s">
        <v>10</v>
      </c>
      <c r="F3235" s="5">
        <v>42736</v>
      </c>
      <c r="G3235">
        <v>0</v>
      </c>
    </row>
    <row r="3236" spans="1:7" x14ac:dyDescent="0.25">
      <c r="A3236" t="s">
        <v>120</v>
      </c>
      <c r="B3236" t="s">
        <v>121</v>
      </c>
      <c r="C3236">
        <v>6530</v>
      </c>
      <c r="D3236" t="s">
        <v>8</v>
      </c>
      <c r="E3236" t="s">
        <v>11</v>
      </c>
      <c r="F3236" s="5">
        <v>42370</v>
      </c>
      <c r="G3236">
        <v>0</v>
      </c>
    </row>
    <row r="3237" spans="1:7" x14ac:dyDescent="0.25">
      <c r="A3237" t="s">
        <v>120</v>
      </c>
      <c r="B3237" t="s">
        <v>121</v>
      </c>
      <c r="C3237">
        <v>6530</v>
      </c>
      <c r="D3237" t="s">
        <v>8</v>
      </c>
      <c r="E3237" t="s">
        <v>11</v>
      </c>
      <c r="F3237" s="5">
        <v>42736</v>
      </c>
      <c r="G3237">
        <v>0</v>
      </c>
    </row>
    <row r="3238" spans="1:7" x14ac:dyDescent="0.25">
      <c r="A3238" t="s">
        <v>120</v>
      </c>
      <c r="B3238" t="s">
        <v>121</v>
      </c>
      <c r="C3238">
        <v>6530</v>
      </c>
      <c r="D3238" t="s">
        <v>8</v>
      </c>
      <c r="E3238" t="s">
        <v>12</v>
      </c>
      <c r="F3238" s="5">
        <v>42370</v>
      </c>
      <c r="G3238">
        <v>0</v>
      </c>
    </row>
    <row r="3239" spans="1:7" x14ac:dyDescent="0.25">
      <c r="A3239" t="s">
        <v>120</v>
      </c>
      <c r="B3239" t="s">
        <v>121</v>
      </c>
      <c r="C3239">
        <v>6530</v>
      </c>
      <c r="D3239" t="s">
        <v>8</v>
      </c>
      <c r="E3239" t="s">
        <v>12</v>
      </c>
      <c r="F3239" s="5">
        <v>42736</v>
      </c>
      <c r="G3239">
        <v>0</v>
      </c>
    </row>
    <row r="3240" spans="1:7" x14ac:dyDescent="0.25">
      <c r="A3240" t="s">
        <v>120</v>
      </c>
      <c r="B3240" t="s">
        <v>121</v>
      </c>
      <c r="C3240">
        <v>6530</v>
      </c>
      <c r="D3240" t="s">
        <v>8</v>
      </c>
      <c r="E3240" t="s">
        <v>13</v>
      </c>
      <c r="F3240" s="5">
        <v>42370</v>
      </c>
      <c r="G3240">
        <v>0</v>
      </c>
    </row>
    <row r="3241" spans="1:7" x14ac:dyDescent="0.25">
      <c r="A3241" t="s">
        <v>120</v>
      </c>
      <c r="B3241" t="s">
        <v>121</v>
      </c>
      <c r="C3241">
        <v>6530</v>
      </c>
      <c r="D3241" t="s">
        <v>8</v>
      </c>
      <c r="E3241" t="s">
        <v>13</v>
      </c>
      <c r="F3241" s="5">
        <v>42736</v>
      </c>
      <c r="G3241">
        <v>0</v>
      </c>
    </row>
    <row r="3242" spans="1:7" x14ac:dyDescent="0.25">
      <c r="A3242" t="s">
        <v>120</v>
      </c>
      <c r="B3242" t="s">
        <v>121</v>
      </c>
      <c r="C3242">
        <v>6530</v>
      </c>
      <c r="D3242" t="s">
        <v>8</v>
      </c>
      <c r="E3242" t="s">
        <v>14</v>
      </c>
      <c r="F3242" s="5">
        <v>42370</v>
      </c>
      <c r="G3242">
        <v>0</v>
      </c>
    </row>
    <row r="3243" spans="1:7" x14ac:dyDescent="0.25">
      <c r="A3243" t="s">
        <v>120</v>
      </c>
      <c r="B3243" t="s">
        <v>121</v>
      </c>
      <c r="C3243">
        <v>6530</v>
      </c>
      <c r="D3243" t="s">
        <v>8</v>
      </c>
      <c r="E3243" t="s">
        <v>14</v>
      </c>
      <c r="F3243" s="5">
        <v>42736</v>
      </c>
      <c r="G3243">
        <v>0</v>
      </c>
    </row>
    <row r="3244" spans="1:7" x14ac:dyDescent="0.25">
      <c r="A3244" t="s">
        <v>120</v>
      </c>
      <c r="B3244" t="s">
        <v>121</v>
      </c>
      <c r="C3244">
        <v>6530</v>
      </c>
      <c r="D3244" t="s">
        <v>8</v>
      </c>
      <c r="E3244" t="s">
        <v>15</v>
      </c>
      <c r="F3244" s="5">
        <v>42370</v>
      </c>
      <c r="G3244">
        <v>0</v>
      </c>
    </row>
    <row r="3245" spans="1:7" x14ac:dyDescent="0.25">
      <c r="A3245" t="s">
        <v>120</v>
      </c>
      <c r="B3245" t="s">
        <v>121</v>
      </c>
      <c r="C3245">
        <v>6530</v>
      </c>
      <c r="D3245" t="s">
        <v>8</v>
      </c>
      <c r="E3245" t="s">
        <v>15</v>
      </c>
      <c r="F3245" s="5">
        <v>42736</v>
      </c>
      <c r="G3245">
        <v>0</v>
      </c>
    </row>
    <row r="3246" spans="1:7" x14ac:dyDescent="0.25">
      <c r="A3246" t="s">
        <v>120</v>
      </c>
      <c r="B3246" t="s">
        <v>121</v>
      </c>
      <c r="C3246">
        <v>6530</v>
      </c>
      <c r="D3246" t="s">
        <v>8</v>
      </c>
      <c r="E3246" t="s">
        <v>16</v>
      </c>
      <c r="F3246" s="5">
        <v>42370</v>
      </c>
      <c r="G3246">
        <v>0</v>
      </c>
    </row>
    <row r="3247" spans="1:7" x14ac:dyDescent="0.25">
      <c r="A3247" t="s">
        <v>120</v>
      </c>
      <c r="B3247" t="s">
        <v>121</v>
      </c>
      <c r="C3247">
        <v>6530</v>
      </c>
      <c r="D3247" t="s">
        <v>8</v>
      </c>
      <c r="E3247" t="s">
        <v>16</v>
      </c>
      <c r="F3247" s="5">
        <v>42736</v>
      </c>
      <c r="G3247">
        <v>0</v>
      </c>
    </row>
    <row r="3248" spans="1:7" x14ac:dyDescent="0.25">
      <c r="A3248" t="s">
        <v>120</v>
      </c>
      <c r="B3248" t="s">
        <v>121</v>
      </c>
      <c r="C3248">
        <v>6530</v>
      </c>
      <c r="D3248" t="s">
        <v>8</v>
      </c>
      <c r="E3248" t="s">
        <v>17</v>
      </c>
      <c r="F3248" s="5">
        <v>42370</v>
      </c>
      <c r="G3248">
        <v>0</v>
      </c>
    </row>
    <row r="3249" spans="1:7" x14ac:dyDescent="0.25">
      <c r="A3249" t="s">
        <v>120</v>
      </c>
      <c r="B3249" t="s">
        <v>121</v>
      </c>
      <c r="C3249">
        <v>6530</v>
      </c>
      <c r="D3249" t="s">
        <v>8</v>
      </c>
      <c r="E3249" t="s">
        <v>17</v>
      </c>
      <c r="F3249" s="5">
        <v>42736</v>
      </c>
      <c r="G3249">
        <v>0</v>
      </c>
    </row>
    <row r="3250" spans="1:7" x14ac:dyDescent="0.25">
      <c r="A3250" t="s">
        <v>120</v>
      </c>
      <c r="B3250" t="s">
        <v>121</v>
      </c>
      <c r="C3250">
        <v>6530</v>
      </c>
      <c r="D3250" t="s">
        <v>8</v>
      </c>
      <c r="E3250" t="s">
        <v>18</v>
      </c>
      <c r="F3250" s="5">
        <v>42370</v>
      </c>
      <c r="G3250">
        <v>0</v>
      </c>
    </row>
    <row r="3251" spans="1:7" x14ac:dyDescent="0.25">
      <c r="A3251" t="s">
        <v>120</v>
      </c>
      <c r="B3251" t="s">
        <v>121</v>
      </c>
      <c r="C3251">
        <v>6530</v>
      </c>
      <c r="D3251" t="s">
        <v>8</v>
      </c>
      <c r="E3251" t="s">
        <v>18</v>
      </c>
      <c r="F3251" s="5">
        <v>42736</v>
      </c>
      <c r="G3251">
        <v>0</v>
      </c>
    </row>
    <row r="3252" spans="1:7" x14ac:dyDescent="0.25">
      <c r="A3252" t="s">
        <v>120</v>
      </c>
      <c r="B3252" t="s">
        <v>121</v>
      </c>
      <c r="C3252">
        <v>6530</v>
      </c>
      <c r="D3252" t="s">
        <v>8</v>
      </c>
      <c r="E3252" t="s">
        <v>19</v>
      </c>
      <c r="F3252" s="5">
        <v>42370</v>
      </c>
      <c r="G3252">
        <v>0</v>
      </c>
    </row>
    <row r="3253" spans="1:7" x14ac:dyDescent="0.25">
      <c r="A3253" t="s">
        <v>120</v>
      </c>
      <c r="B3253" t="s">
        <v>121</v>
      </c>
      <c r="C3253">
        <v>6530</v>
      </c>
      <c r="D3253" t="s">
        <v>8</v>
      </c>
      <c r="E3253" t="s">
        <v>19</v>
      </c>
      <c r="F3253" s="5">
        <v>42736</v>
      </c>
      <c r="G3253">
        <v>0</v>
      </c>
    </row>
    <row r="3254" spans="1:7" x14ac:dyDescent="0.25">
      <c r="A3254" t="s">
        <v>120</v>
      </c>
      <c r="B3254" t="s">
        <v>121</v>
      </c>
      <c r="C3254">
        <v>6530</v>
      </c>
      <c r="D3254" t="s">
        <v>20</v>
      </c>
      <c r="E3254" t="s">
        <v>9</v>
      </c>
      <c r="F3254" s="5">
        <v>42370</v>
      </c>
      <c r="G3254">
        <v>0</v>
      </c>
    </row>
    <row r="3255" spans="1:7" x14ac:dyDescent="0.25">
      <c r="A3255" t="s">
        <v>120</v>
      </c>
      <c r="B3255" t="s">
        <v>121</v>
      </c>
      <c r="C3255">
        <v>6530</v>
      </c>
      <c r="D3255" t="s">
        <v>20</v>
      </c>
      <c r="E3255" t="s">
        <v>9</v>
      </c>
      <c r="F3255" s="5">
        <v>42736</v>
      </c>
      <c r="G3255">
        <v>1</v>
      </c>
    </row>
    <row r="3256" spans="1:7" x14ac:dyDescent="0.25">
      <c r="A3256" t="s">
        <v>120</v>
      </c>
      <c r="B3256" t="s">
        <v>121</v>
      </c>
      <c r="C3256">
        <v>6530</v>
      </c>
      <c r="D3256" t="s">
        <v>20</v>
      </c>
      <c r="E3256" t="s">
        <v>21</v>
      </c>
      <c r="F3256" s="5">
        <v>42370</v>
      </c>
      <c r="G3256">
        <v>0</v>
      </c>
    </row>
    <row r="3257" spans="1:7" x14ac:dyDescent="0.25">
      <c r="A3257" t="s">
        <v>120</v>
      </c>
      <c r="B3257" t="s">
        <v>121</v>
      </c>
      <c r="C3257">
        <v>6530</v>
      </c>
      <c r="D3257" t="s">
        <v>20</v>
      </c>
      <c r="E3257" t="s">
        <v>21</v>
      </c>
      <c r="F3257" s="5">
        <v>42736</v>
      </c>
      <c r="G3257">
        <v>0</v>
      </c>
    </row>
    <row r="3258" spans="1:7" x14ac:dyDescent="0.25">
      <c r="A3258" t="s">
        <v>120</v>
      </c>
      <c r="B3258" t="s">
        <v>121</v>
      </c>
      <c r="C3258">
        <v>6530</v>
      </c>
      <c r="D3258" t="s">
        <v>20</v>
      </c>
      <c r="E3258" t="s">
        <v>22</v>
      </c>
      <c r="F3258" s="5">
        <v>42370</v>
      </c>
      <c r="G3258">
        <v>0</v>
      </c>
    </row>
    <row r="3259" spans="1:7" x14ac:dyDescent="0.25">
      <c r="A3259" t="s">
        <v>120</v>
      </c>
      <c r="B3259" t="s">
        <v>121</v>
      </c>
      <c r="C3259">
        <v>6530</v>
      </c>
      <c r="D3259" t="s">
        <v>20</v>
      </c>
      <c r="E3259" t="s">
        <v>22</v>
      </c>
      <c r="F3259" s="5">
        <v>42736</v>
      </c>
      <c r="G3259">
        <v>0</v>
      </c>
    </row>
    <row r="3260" spans="1:7" x14ac:dyDescent="0.25">
      <c r="A3260" t="s">
        <v>120</v>
      </c>
      <c r="B3260" t="s">
        <v>121</v>
      </c>
      <c r="C3260">
        <v>6530</v>
      </c>
      <c r="D3260" t="s">
        <v>20</v>
      </c>
      <c r="E3260" t="s">
        <v>23</v>
      </c>
      <c r="F3260" s="5">
        <v>42370</v>
      </c>
      <c r="G3260">
        <v>0</v>
      </c>
    </row>
    <row r="3261" spans="1:7" x14ac:dyDescent="0.25">
      <c r="A3261" t="s">
        <v>120</v>
      </c>
      <c r="B3261" t="s">
        <v>121</v>
      </c>
      <c r="C3261">
        <v>6530</v>
      </c>
      <c r="D3261" t="s">
        <v>20</v>
      </c>
      <c r="E3261" t="s">
        <v>23</v>
      </c>
      <c r="F3261" s="5">
        <v>42736</v>
      </c>
      <c r="G3261">
        <v>0</v>
      </c>
    </row>
    <row r="3262" spans="1:7" x14ac:dyDescent="0.25">
      <c r="A3262" t="s">
        <v>120</v>
      </c>
      <c r="B3262" t="s">
        <v>121</v>
      </c>
      <c r="C3262">
        <v>6530</v>
      </c>
      <c r="D3262" t="s">
        <v>20</v>
      </c>
      <c r="E3262" t="s">
        <v>24</v>
      </c>
      <c r="F3262" s="5">
        <v>42370</v>
      </c>
      <c r="G3262">
        <v>0</v>
      </c>
    </row>
    <row r="3263" spans="1:7" x14ac:dyDescent="0.25">
      <c r="A3263" t="s">
        <v>120</v>
      </c>
      <c r="B3263" t="s">
        <v>121</v>
      </c>
      <c r="C3263">
        <v>6530</v>
      </c>
      <c r="D3263" t="s">
        <v>20</v>
      </c>
      <c r="E3263" t="s">
        <v>24</v>
      </c>
      <c r="F3263" s="5">
        <v>42736</v>
      </c>
      <c r="G3263">
        <v>0</v>
      </c>
    </row>
    <row r="3264" spans="1:7" x14ac:dyDescent="0.25">
      <c r="A3264" t="s">
        <v>120</v>
      </c>
      <c r="B3264" t="s">
        <v>121</v>
      </c>
      <c r="C3264">
        <v>6530</v>
      </c>
      <c r="D3264" t="s">
        <v>20</v>
      </c>
      <c r="E3264" t="s">
        <v>25</v>
      </c>
      <c r="F3264" s="5">
        <v>42370</v>
      </c>
      <c r="G3264">
        <v>0</v>
      </c>
    </row>
    <row r="3265" spans="1:7" x14ac:dyDescent="0.25">
      <c r="A3265" t="s">
        <v>120</v>
      </c>
      <c r="B3265" t="s">
        <v>121</v>
      </c>
      <c r="C3265">
        <v>6530</v>
      </c>
      <c r="D3265" t="s">
        <v>20</v>
      </c>
      <c r="E3265" t="s">
        <v>25</v>
      </c>
      <c r="F3265" s="5">
        <v>42736</v>
      </c>
      <c r="G3265">
        <v>0</v>
      </c>
    </row>
    <row r="3266" spans="1:7" x14ac:dyDescent="0.25">
      <c r="A3266" t="s">
        <v>120</v>
      </c>
      <c r="B3266" t="s">
        <v>121</v>
      </c>
      <c r="C3266">
        <v>6530</v>
      </c>
      <c r="D3266" t="s">
        <v>20</v>
      </c>
      <c r="E3266" t="s">
        <v>26</v>
      </c>
      <c r="F3266" s="5">
        <v>42370</v>
      </c>
      <c r="G3266">
        <v>15</v>
      </c>
    </row>
    <row r="3267" spans="1:7" x14ac:dyDescent="0.25">
      <c r="A3267" t="s">
        <v>120</v>
      </c>
      <c r="B3267" t="s">
        <v>121</v>
      </c>
      <c r="C3267">
        <v>6530</v>
      </c>
      <c r="D3267" t="s">
        <v>20</v>
      </c>
      <c r="E3267" t="s">
        <v>26</v>
      </c>
      <c r="F3267" s="5">
        <v>42736</v>
      </c>
      <c r="G3267">
        <v>15</v>
      </c>
    </row>
    <row r="3268" spans="1:7" x14ac:dyDescent="0.25">
      <c r="A3268" t="s">
        <v>120</v>
      </c>
      <c r="B3268" t="s">
        <v>121</v>
      </c>
      <c r="C3268">
        <v>6530</v>
      </c>
      <c r="D3268" t="s">
        <v>20</v>
      </c>
      <c r="E3268" t="s">
        <v>27</v>
      </c>
      <c r="F3268" s="5">
        <v>42370</v>
      </c>
      <c r="G3268">
        <v>0</v>
      </c>
    </row>
    <row r="3269" spans="1:7" x14ac:dyDescent="0.25">
      <c r="A3269" t="s">
        <v>120</v>
      </c>
      <c r="B3269" t="s">
        <v>121</v>
      </c>
      <c r="C3269">
        <v>6530</v>
      </c>
      <c r="D3269" t="s">
        <v>20</v>
      </c>
      <c r="E3269" t="s">
        <v>27</v>
      </c>
      <c r="F3269" s="5">
        <v>42736</v>
      </c>
      <c r="G3269">
        <v>0</v>
      </c>
    </row>
    <row r="3270" spans="1:7" x14ac:dyDescent="0.25">
      <c r="A3270" t="s">
        <v>120</v>
      </c>
      <c r="B3270" t="s">
        <v>121</v>
      </c>
      <c r="C3270">
        <v>6530</v>
      </c>
      <c r="D3270" t="s">
        <v>20</v>
      </c>
      <c r="E3270" t="s">
        <v>28</v>
      </c>
      <c r="F3270" s="5">
        <v>42370</v>
      </c>
      <c r="G3270">
        <v>0</v>
      </c>
    </row>
    <row r="3271" spans="1:7" x14ac:dyDescent="0.25">
      <c r="A3271" t="s">
        <v>120</v>
      </c>
      <c r="B3271" t="s">
        <v>121</v>
      </c>
      <c r="C3271">
        <v>6530</v>
      </c>
      <c r="D3271" t="s">
        <v>20</v>
      </c>
      <c r="E3271" t="s">
        <v>28</v>
      </c>
      <c r="F3271" s="5">
        <v>42736</v>
      </c>
      <c r="G3271">
        <v>0</v>
      </c>
    </row>
    <row r="3272" spans="1:7" x14ac:dyDescent="0.25">
      <c r="A3272" t="s">
        <v>120</v>
      </c>
      <c r="B3272" t="s">
        <v>121</v>
      </c>
      <c r="C3272">
        <v>6530</v>
      </c>
      <c r="D3272" t="s">
        <v>20</v>
      </c>
      <c r="E3272" t="s">
        <v>29</v>
      </c>
      <c r="F3272" s="5">
        <v>42370</v>
      </c>
      <c r="G3272">
        <v>15</v>
      </c>
    </row>
    <row r="3273" spans="1:7" x14ac:dyDescent="0.25">
      <c r="A3273" t="s">
        <v>120</v>
      </c>
      <c r="B3273" t="s">
        <v>121</v>
      </c>
      <c r="C3273">
        <v>6530</v>
      </c>
      <c r="D3273" t="s">
        <v>20</v>
      </c>
      <c r="E3273" t="s">
        <v>29</v>
      </c>
      <c r="F3273" s="5">
        <v>42736</v>
      </c>
      <c r="G3273">
        <v>15</v>
      </c>
    </row>
    <row r="3274" spans="1:7" x14ac:dyDescent="0.25">
      <c r="A3274" t="s">
        <v>120</v>
      </c>
      <c r="B3274" t="s">
        <v>121</v>
      </c>
      <c r="C3274">
        <v>6530</v>
      </c>
      <c r="D3274" t="s">
        <v>20</v>
      </c>
      <c r="E3274" t="s">
        <v>30</v>
      </c>
      <c r="F3274" s="5">
        <v>42370</v>
      </c>
      <c r="G3274">
        <v>26</v>
      </c>
    </row>
    <row r="3275" spans="1:7" x14ac:dyDescent="0.25">
      <c r="A3275" t="s">
        <v>120</v>
      </c>
      <c r="B3275" t="s">
        <v>121</v>
      </c>
      <c r="C3275">
        <v>6530</v>
      </c>
      <c r="D3275" t="s">
        <v>20</v>
      </c>
      <c r="E3275" t="s">
        <v>30</v>
      </c>
      <c r="F3275" s="5">
        <v>42736</v>
      </c>
      <c r="G3275">
        <v>15</v>
      </c>
    </row>
    <row r="3276" spans="1:7" x14ac:dyDescent="0.25">
      <c r="A3276" t="s">
        <v>120</v>
      </c>
      <c r="B3276" t="s">
        <v>121</v>
      </c>
      <c r="C3276">
        <v>6530</v>
      </c>
      <c r="D3276" t="s">
        <v>20</v>
      </c>
      <c r="E3276" t="s">
        <v>31</v>
      </c>
      <c r="F3276" s="5">
        <v>42370</v>
      </c>
      <c r="G3276">
        <v>75</v>
      </c>
    </row>
    <row r="3277" spans="1:7" x14ac:dyDescent="0.25">
      <c r="A3277" t="s">
        <v>120</v>
      </c>
      <c r="B3277" t="s">
        <v>121</v>
      </c>
      <c r="C3277">
        <v>6530</v>
      </c>
      <c r="D3277" t="s">
        <v>20</v>
      </c>
      <c r="E3277" t="s">
        <v>31</v>
      </c>
      <c r="F3277" s="5">
        <v>42736</v>
      </c>
      <c r="G3277">
        <v>33</v>
      </c>
    </row>
    <row r="3278" spans="1:7" x14ac:dyDescent="0.25">
      <c r="A3278" t="s">
        <v>120</v>
      </c>
      <c r="B3278" t="s">
        <v>121</v>
      </c>
      <c r="C3278">
        <v>6530</v>
      </c>
      <c r="D3278" t="s">
        <v>20</v>
      </c>
      <c r="E3278" t="s">
        <v>32</v>
      </c>
      <c r="F3278" s="5">
        <v>42370</v>
      </c>
      <c r="G3278">
        <v>15</v>
      </c>
    </row>
    <row r="3279" spans="1:7" x14ac:dyDescent="0.25">
      <c r="A3279" t="s">
        <v>120</v>
      </c>
      <c r="B3279" t="s">
        <v>121</v>
      </c>
      <c r="C3279">
        <v>6530</v>
      </c>
      <c r="D3279" t="s">
        <v>20</v>
      </c>
      <c r="E3279" t="s">
        <v>32</v>
      </c>
      <c r="F3279" s="5">
        <v>42736</v>
      </c>
      <c r="G3279">
        <v>16</v>
      </c>
    </row>
    <row r="3280" spans="1:7" x14ac:dyDescent="0.25">
      <c r="A3280" t="s">
        <v>120</v>
      </c>
      <c r="B3280" t="s">
        <v>121</v>
      </c>
      <c r="C3280">
        <v>6530</v>
      </c>
      <c r="D3280" t="s">
        <v>33</v>
      </c>
      <c r="E3280" t="s">
        <v>9</v>
      </c>
      <c r="F3280" s="5">
        <v>42370</v>
      </c>
      <c r="G3280">
        <v>0</v>
      </c>
    </row>
    <row r="3281" spans="1:7" x14ac:dyDescent="0.25">
      <c r="A3281" t="s">
        <v>120</v>
      </c>
      <c r="B3281" t="s">
        <v>121</v>
      </c>
      <c r="C3281">
        <v>6530</v>
      </c>
      <c r="D3281" t="s">
        <v>33</v>
      </c>
      <c r="E3281" t="s">
        <v>9</v>
      </c>
      <c r="F3281" s="5">
        <v>42736</v>
      </c>
      <c r="G3281">
        <v>0</v>
      </c>
    </row>
    <row r="3282" spans="1:7" x14ac:dyDescent="0.25">
      <c r="A3282" t="s">
        <v>120</v>
      </c>
      <c r="B3282" t="s">
        <v>121</v>
      </c>
      <c r="C3282">
        <v>6530</v>
      </c>
      <c r="D3282" t="s">
        <v>33</v>
      </c>
      <c r="E3282" t="s">
        <v>34</v>
      </c>
      <c r="F3282" s="5">
        <v>42370</v>
      </c>
      <c r="G3282">
        <v>0</v>
      </c>
    </row>
    <row r="3283" spans="1:7" x14ac:dyDescent="0.25">
      <c r="A3283" t="s">
        <v>120</v>
      </c>
      <c r="B3283" t="s">
        <v>121</v>
      </c>
      <c r="C3283">
        <v>6530</v>
      </c>
      <c r="D3283" t="s">
        <v>33</v>
      </c>
      <c r="E3283" t="s">
        <v>34</v>
      </c>
      <c r="F3283" s="5">
        <v>42736</v>
      </c>
      <c r="G3283">
        <v>0</v>
      </c>
    </row>
    <row r="3284" spans="1:7" x14ac:dyDescent="0.25">
      <c r="A3284" t="s">
        <v>120</v>
      </c>
      <c r="B3284" t="s">
        <v>121</v>
      </c>
      <c r="C3284">
        <v>6530</v>
      </c>
      <c r="D3284" t="s">
        <v>35</v>
      </c>
      <c r="E3284" t="s">
        <v>36</v>
      </c>
      <c r="F3284" s="5">
        <v>42370</v>
      </c>
      <c r="G3284">
        <v>0</v>
      </c>
    </row>
    <row r="3285" spans="1:7" x14ac:dyDescent="0.25">
      <c r="A3285" t="s">
        <v>120</v>
      </c>
      <c r="B3285" t="s">
        <v>121</v>
      </c>
      <c r="C3285">
        <v>6530</v>
      </c>
      <c r="D3285" t="s">
        <v>35</v>
      </c>
      <c r="E3285" t="s">
        <v>36</v>
      </c>
      <c r="F3285" s="5">
        <v>42736</v>
      </c>
      <c r="G3285">
        <v>0</v>
      </c>
    </row>
    <row r="3286" spans="1:7" x14ac:dyDescent="0.25">
      <c r="A3286" t="s">
        <v>120</v>
      </c>
      <c r="B3286" t="s">
        <v>121</v>
      </c>
      <c r="C3286">
        <v>6530</v>
      </c>
      <c r="D3286" t="s">
        <v>35</v>
      </c>
      <c r="E3286" t="s">
        <v>37</v>
      </c>
      <c r="F3286" s="5">
        <v>42370</v>
      </c>
      <c r="G3286">
        <v>0</v>
      </c>
    </row>
    <row r="3287" spans="1:7" x14ac:dyDescent="0.25">
      <c r="A3287" t="s">
        <v>120</v>
      </c>
      <c r="B3287" t="s">
        <v>121</v>
      </c>
      <c r="C3287">
        <v>6530</v>
      </c>
      <c r="D3287" t="s">
        <v>35</v>
      </c>
      <c r="E3287" t="s">
        <v>37</v>
      </c>
      <c r="F3287" s="5">
        <v>42736</v>
      </c>
      <c r="G3287">
        <v>0</v>
      </c>
    </row>
    <row r="3288" spans="1:7" x14ac:dyDescent="0.25">
      <c r="A3288" t="s">
        <v>120</v>
      </c>
      <c r="B3288" t="s">
        <v>121</v>
      </c>
      <c r="C3288">
        <v>6530</v>
      </c>
      <c r="D3288" t="s">
        <v>35</v>
      </c>
      <c r="E3288" t="s">
        <v>38</v>
      </c>
      <c r="F3288" s="5">
        <v>42370</v>
      </c>
      <c r="G3288">
        <v>0</v>
      </c>
    </row>
    <row r="3289" spans="1:7" x14ac:dyDescent="0.25">
      <c r="A3289" t="s">
        <v>120</v>
      </c>
      <c r="B3289" t="s">
        <v>121</v>
      </c>
      <c r="C3289">
        <v>6530</v>
      </c>
      <c r="D3289" t="s">
        <v>35</v>
      </c>
      <c r="E3289" t="s">
        <v>38</v>
      </c>
      <c r="F3289" s="5">
        <v>42736</v>
      </c>
      <c r="G3289">
        <v>0</v>
      </c>
    </row>
    <row r="3290" spans="1:7" x14ac:dyDescent="0.25">
      <c r="A3290" t="s">
        <v>120</v>
      </c>
      <c r="B3290" t="s">
        <v>121</v>
      </c>
      <c r="C3290">
        <v>6530</v>
      </c>
      <c r="D3290" t="s">
        <v>35</v>
      </c>
      <c r="E3290" t="s">
        <v>39</v>
      </c>
      <c r="F3290" s="5">
        <v>42370</v>
      </c>
      <c r="G3290">
        <v>0</v>
      </c>
    </row>
    <row r="3291" spans="1:7" x14ac:dyDescent="0.25">
      <c r="A3291" t="s">
        <v>120</v>
      </c>
      <c r="B3291" t="s">
        <v>121</v>
      </c>
      <c r="C3291">
        <v>6530</v>
      </c>
      <c r="D3291" t="s">
        <v>35</v>
      </c>
      <c r="E3291" t="s">
        <v>39</v>
      </c>
      <c r="F3291" s="5">
        <v>42736</v>
      </c>
      <c r="G3291">
        <v>0</v>
      </c>
    </row>
    <row r="3292" spans="1:7" x14ac:dyDescent="0.25">
      <c r="A3292" t="s">
        <v>120</v>
      </c>
      <c r="B3292" t="s">
        <v>121</v>
      </c>
      <c r="C3292">
        <v>6530</v>
      </c>
      <c r="D3292" t="s">
        <v>35</v>
      </c>
      <c r="E3292" t="s">
        <v>40</v>
      </c>
      <c r="F3292" s="5">
        <v>42370</v>
      </c>
      <c r="G3292">
        <v>0</v>
      </c>
    </row>
    <row r="3293" spans="1:7" x14ac:dyDescent="0.25">
      <c r="A3293" t="s">
        <v>120</v>
      </c>
      <c r="B3293" t="s">
        <v>121</v>
      </c>
      <c r="C3293">
        <v>6530</v>
      </c>
      <c r="D3293" t="s">
        <v>35</v>
      </c>
      <c r="E3293" t="s">
        <v>40</v>
      </c>
      <c r="F3293" s="5">
        <v>42736</v>
      </c>
      <c r="G3293">
        <v>0</v>
      </c>
    </row>
    <row r="3294" spans="1:7" x14ac:dyDescent="0.25">
      <c r="A3294" t="s">
        <v>120</v>
      </c>
      <c r="B3294" t="s">
        <v>121</v>
      </c>
      <c r="C3294">
        <v>6530</v>
      </c>
      <c r="D3294" t="s">
        <v>35</v>
      </c>
      <c r="E3294" t="s">
        <v>41</v>
      </c>
      <c r="F3294" s="5">
        <v>42370</v>
      </c>
      <c r="G3294">
        <v>0</v>
      </c>
    </row>
    <row r="3295" spans="1:7" x14ac:dyDescent="0.25">
      <c r="A3295" t="s">
        <v>120</v>
      </c>
      <c r="B3295" t="s">
        <v>121</v>
      </c>
      <c r="C3295">
        <v>6530</v>
      </c>
      <c r="D3295" t="s">
        <v>35</v>
      </c>
      <c r="E3295" t="s">
        <v>41</v>
      </c>
      <c r="F3295" s="5">
        <v>42736</v>
      </c>
      <c r="G3295">
        <v>0</v>
      </c>
    </row>
    <row r="3296" spans="1:7" x14ac:dyDescent="0.25">
      <c r="A3296" t="s">
        <v>120</v>
      </c>
      <c r="B3296" t="s">
        <v>121</v>
      </c>
      <c r="C3296">
        <v>6530</v>
      </c>
      <c r="D3296" t="s">
        <v>35</v>
      </c>
      <c r="E3296" t="s">
        <v>42</v>
      </c>
      <c r="F3296" s="5">
        <v>42370</v>
      </c>
      <c r="G3296">
        <v>0</v>
      </c>
    </row>
    <row r="3297" spans="1:7" x14ac:dyDescent="0.25">
      <c r="A3297" t="s">
        <v>120</v>
      </c>
      <c r="B3297" t="s">
        <v>121</v>
      </c>
      <c r="C3297">
        <v>6530</v>
      </c>
      <c r="D3297" t="s">
        <v>35</v>
      </c>
      <c r="E3297" t="s">
        <v>42</v>
      </c>
      <c r="F3297" s="5">
        <v>42736</v>
      </c>
      <c r="G3297">
        <v>0</v>
      </c>
    </row>
    <row r="3298" spans="1:7" x14ac:dyDescent="0.25">
      <c r="A3298" t="s">
        <v>120</v>
      </c>
      <c r="B3298" t="s">
        <v>121</v>
      </c>
      <c r="C3298">
        <v>6530</v>
      </c>
      <c r="D3298" t="s">
        <v>35</v>
      </c>
      <c r="E3298" t="s">
        <v>43</v>
      </c>
      <c r="F3298" s="5">
        <v>42370</v>
      </c>
      <c r="G3298">
        <v>0</v>
      </c>
    </row>
    <row r="3299" spans="1:7" x14ac:dyDescent="0.25">
      <c r="A3299" t="s">
        <v>120</v>
      </c>
      <c r="B3299" t="s">
        <v>121</v>
      </c>
      <c r="C3299">
        <v>6530</v>
      </c>
      <c r="D3299" t="s">
        <v>35</v>
      </c>
      <c r="E3299" t="s">
        <v>43</v>
      </c>
      <c r="F3299" s="5">
        <v>42736</v>
      </c>
      <c r="G3299">
        <v>0</v>
      </c>
    </row>
    <row r="3300" spans="1:7" x14ac:dyDescent="0.25">
      <c r="A3300" t="s">
        <v>120</v>
      </c>
      <c r="B3300" t="s">
        <v>121</v>
      </c>
      <c r="C3300">
        <v>6530</v>
      </c>
      <c r="D3300" t="s">
        <v>44</v>
      </c>
      <c r="E3300" t="s">
        <v>36</v>
      </c>
      <c r="F3300" s="5">
        <v>42370</v>
      </c>
      <c r="G3300">
        <v>0</v>
      </c>
    </row>
    <row r="3301" spans="1:7" x14ac:dyDescent="0.25">
      <c r="A3301" t="s">
        <v>120</v>
      </c>
      <c r="B3301" t="s">
        <v>121</v>
      </c>
      <c r="C3301">
        <v>6530</v>
      </c>
      <c r="D3301" t="s">
        <v>44</v>
      </c>
      <c r="E3301" t="s">
        <v>36</v>
      </c>
      <c r="F3301" s="5">
        <v>42736</v>
      </c>
      <c r="G3301">
        <v>0</v>
      </c>
    </row>
    <row r="3302" spans="1:7" x14ac:dyDescent="0.25">
      <c r="A3302" t="s">
        <v>120</v>
      </c>
      <c r="B3302" t="s">
        <v>121</v>
      </c>
      <c r="C3302">
        <v>6530</v>
      </c>
      <c r="D3302" t="s">
        <v>44</v>
      </c>
      <c r="E3302" t="s">
        <v>37</v>
      </c>
      <c r="F3302" s="5">
        <v>42370</v>
      </c>
      <c r="G3302">
        <v>0</v>
      </c>
    </row>
    <row r="3303" spans="1:7" x14ac:dyDescent="0.25">
      <c r="A3303" t="s">
        <v>120</v>
      </c>
      <c r="B3303" t="s">
        <v>121</v>
      </c>
      <c r="C3303">
        <v>6530</v>
      </c>
      <c r="D3303" t="s">
        <v>44</v>
      </c>
      <c r="E3303" t="s">
        <v>37</v>
      </c>
      <c r="F3303" s="5">
        <v>42736</v>
      </c>
      <c r="G3303">
        <v>0</v>
      </c>
    </row>
    <row r="3304" spans="1:7" x14ac:dyDescent="0.25">
      <c r="A3304" t="s">
        <v>120</v>
      </c>
      <c r="B3304" t="s">
        <v>121</v>
      </c>
      <c r="C3304">
        <v>6530</v>
      </c>
      <c r="D3304" t="s">
        <v>44</v>
      </c>
      <c r="E3304" t="s">
        <v>38</v>
      </c>
      <c r="F3304" s="5">
        <v>42370</v>
      </c>
      <c r="G3304">
        <v>0</v>
      </c>
    </row>
    <row r="3305" spans="1:7" x14ac:dyDescent="0.25">
      <c r="A3305" t="s">
        <v>120</v>
      </c>
      <c r="B3305" t="s">
        <v>121</v>
      </c>
      <c r="C3305">
        <v>6530</v>
      </c>
      <c r="D3305" t="s">
        <v>44</v>
      </c>
      <c r="E3305" t="s">
        <v>38</v>
      </c>
      <c r="F3305" s="5">
        <v>42736</v>
      </c>
      <c r="G3305">
        <v>0</v>
      </c>
    </row>
    <row r="3306" spans="1:7" x14ac:dyDescent="0.25">
      <c r="A3306" t="s">
        <v>120</v>
      </c>
      <c r="B3306" t="s">
        <v>121</v>
      </c>
      <c r="C3306">
        <v>6530</v>
      </c>
      <c r="D3306" t="s">
        <v>44</v>
      </c>
      <c r="E3306" t="s">
        <v>39</v>
      </c>
      <c r="F3306" s="5">
        <v>42370</v>
      </c>
      <c r="G3306">
        <v>0</v>
      </c>
    </row>
    <row r="3307" spans="1:7" x14ac:dyDescent="0.25">
      <c r="A3307" t="s">
        <v>120</v>
      </c>
      <c r="B3307" t="s">
        <v>121</v>
      </c>
      <c r="C3307">
        <v>6530</v>
      </c>
      <c r="D3307" t="s">
        <v>44</v>
      </c>
      <c r="E3307" t="s">
        <v>39</v>
      </c>
      <c r="F3307" s="5">
        <v>42736</v>
      </c>
      <c r="G3307">
        <v>0</v>
      </c>
    </row>
    <row r="3308" spans="1:7" x14ac:dyDescent="0.25">
      <c r="A3308" t="s">
        <v>120</v>
      </c>
      <c r="B3308" t="s">
        <v>121</v>
      </c>
      <c r="C3308">
        <v>6530</v>
      </c>
      <c r="D3308" t="s">
        <v>44</v>
      </c>
      <c r="E3308" t="s">
        <v>40</v>
      </c>
      <c r="F3308" s="5">
        <v>42370</v>
      </c>
      <c r="G3308">
        <v>0</v>
      </c>
    </row>
    <row r="3309" spans="1:7" x14ac:dyDescent="0.25">
      <c r="A3309" t="s">
        <v>120</v>
      </c>
      <c r="B3309" t="s">
        <v>121</v>
      </c>
      <c r="C3309">
        <v>6530</v>
      </c>
      <c r="D3309" t="s">
        <v>44</v>
      </c>
      <c r="E3309" t="s">
        <v>40</v>
      </c>
      <c r="F3309" s="5">
        <v>42736</v>
      </c>
      <c r="G3309">
        <v>0</v>
      </c>
    </row>
    <row r="3310" spans="1:7" x14ac:dyDescent="0.25">
      <c r="A3310" t="s">
        <v>120</v>
      </c>
      <c r="B3310" t="s">
        <v>121</v>
      </c>
      <c r="C3310">
        <v>6530</v>
      </c>
      <c r="D3310" t="s">
        <v>44</v>
      </c>
      <c r="E3310" t="s">
        <v>41</v>
      </c>
      <c r="F3310" s="5">
        <v>42370</v>
      </c>
      <c r="G3310">
        <v>0</v>
      </c>
    </row>
    <row r="3311" spans="1:7" x14ac:dyDescent="0.25">
      <c r="A3311" t="s">
        <v>120</v>
      </c>
      <c r="B3311" t="s">
        <v>121</v>
      </c>
      <c r="C3311">
        <v>6530</v>
      </c>
      <c r="D3311" t="s">
        <v>44</v>
      </c>
      <c r="E3311" t="s">
        <v>41</v>
      </c>
      <c r="F3311" s="5">
        <v>42736</v>
      </c>
      <c r="G3311">
        <v>0</v>
      </c>
    </row>
    <row r="3312" spans="1:7" x14ac:dyDescent="0.25">
      <c r="A3312" t="s">
        <v>120</v>
      </c>
      <c r="B3312" t="s">
        <v>121</v>
      </c>
      <c r="C3312">
        <v>6530</v>
      </c>
      <c r="D3312" t="s">
        <v>44</v>
      </c>
      <c r="E3312" t="s">
        <v>42</v>
      </c>
      <c r="F3312" s="5">
        <v>42370</v>
      </c>
      <c r="G3312">
        <v>0</v>
      </c>
    </row>
    <row r="3313" spans="1:7" x14ac:dyDescent="0.25">
      <c r="A3313" t="s">
        <v>120</v>
      </c>
      <c r="B3313" t="s">
        <v>121</v>
      </c>
      <c r="C3313">
        <v>6530</v>
      </c>
      <c r="D3313" t="s">
        <v>44</v>
      </c>
      <c r="E3313" t="s">
        <v>42</v>
      </c>
      <c r="F3313" s="5">
        <v>42736</v>
      </c>
      <c r="G3313">
        <v>0</v>
      </c>
    </row>
    <row r="3314" spans="1:7" x14ac:dyDescent="0.25">
      <c r="A3314" t="s">
        <v>120</v>
      </c>
      <c r="B3314" t="s">
        <v>121</v>
      </c>
      <c r="C3314">
        <v>6530</v>
      </c>
      <c r="D3314" t="s">
        <v>44</v>
      </c>
      <c r="E3314" t="s">
        <v>43</v>
      </c>
      <c r="F3314" s="5">
        <v>42370</v>
      </c>
      <c r="G3314">
        <v>0</v>
      </c>
    </row>
    <row r="3315" spans="1:7" x14ac:dyDescent="0.25">
      <c r="A3315" t="s">
        <v>120</v>
      </c>
      <c r="B3315" t="s">
        <v>121</v>
      </c>
      <c r="C3315">
        <v>6530</v>
      </c>
      <c r="D3315" t="s">
        <v>44</v>
      </c>
      <c r="E3315" t="s">
        <v>43</v>
      </c>
      <c r="F3315" s="5">
        <v>42736</v>
      </c>
      <c r="G3315">
        <v>0</v>
      </c>
    </row>
    <row r="3316" spans="1:7" x14ac:dyDescent="0.25">
      <c r="A3316" t="s">
        <v>120</v>
      </c>
      <c r="B3316" t="s">
        <v>121</v>
      </c>
      <c r="C3316">
        <v>6530</v>
      </c>
      <c r="D3316" t="s">
        <v>45</v>
      </c>
      <c r="E3316" t="s">
        <v>46</v>
      </c>
      <c r="F3316" s="5">
        <v>42370</v>
      </c>
      <c r="G3316">
        <v>0</v>
      </c>
    </row>
    <row r="3317" spans="1:7" x14ac:dyDescent="0.25">
      <c r="A3317" t="s">
        <v>120</v>
      </c>
      <c r="B3317" t="s">
        <v>121</v>
      </c>
      <c r="C3317">
        <v>6530</v>
      </c>
      <c r="D3317" t="s">
        <v>45</v>
      </c>
      <c r="E3317" t="s">
        <v>46</v>
      </c>
      <c r="F3317" s="5">
        <v>42736</v>
      </c>
      <c r="G3317">
        <v>0</v>
      </c>
    </row>
    <row r="3318" spans="1:7" x14ac:dyDescent="0.25">
      <c r="A3318" t="s">
        <v>120</v>
      </c>
      <c r="B3318" t="s">
        <v>121</v>
      </c>
      <c r="C3318">
        <v>6530</v>
      </c>
      <c r="D3318" t="s">
        <v>45</v>
      </c>
      <c r="E3318" t="s">
        <v>47</v>
      </c>
      <c r="F3318" s="5">
        <v>42370</v>
      </c>
      <c r="G3318">
        <v>0</v>
      </c>
    </row>
    <row r="3319" spans="1:7" x14ac:dyDescent="0.25">
      <c r="A3319" t="s">
        <v>120</v>
      </c>
      <c r="B3319" t="s">
        <v>121</v>
      </c>
      <c r="C3319">
        <v>6530</v>
      </c>
      <c r="D3319" t="s">
        <v>45</v>
      </c>
      <c r="E3319" t="s">
        <v>47</v>
      </c>
      <c r="F3319" s="5">
        <v>42736</v>
      </c>
      <c r="G3319">
        <v>0</v>
      </c>
    </row>
    <row r="3320" spans="1:7" x14ac:dyDescent="0.25">
      <c r="A3320" t="s">
        <v>120</v>
      </c>
      <c r="B3320" t="s">
        <v>121</v>
      </c>
      <c r="C3320">
        <v>6530</v>
      </c>
      <c r="D3320" t="s">
        <v>45</v>
      </c>
      <c r="E3320" t="s">
        <v>48</v>
      </c>
      <c r="F3320" s="5">
        <v>42370</v>
      </c>
      <c r="G3320">
        <v>0</v>
      </c>
    </row>
    <row r="3321" spans="1:7" x14ac:dyDescent="0.25">
      <c r="A3321" t="s">
        <v>120</v>
      </c>
      <c r="B3321" t="s">
        <v>121</v>
      </c>
      <c r="C3321">
        <v>6530</v>
      </c>
      <c r="D3321" t="s">
        <v>45</v>
      </c>
      <c r="E3321" t="s">
        <v>48</v>
      </c>
      <c r="F3321" s="5">
        <v>42736</v>
      </c>
      <c r="G3321">
        <v>0</v>
      </c>
    </row>
    <row r="3322" spans="1:7" x14ac:dyDescent="0.25">
      <c r="A3322" t="s">
        <v>120</v>
      </c>
      <c r="B3322" t="s">
        <v>121</v>
      </c>
      <c r="C3322">
        <v>6530</v>
      </c>
      <c r="D3322" t="s">
        <v>45</v>
      </c>
      <c r="E3322" t="s">
        <v>49</v>
      </c>
      <c r="F3322" s="5">
        <v>42370</v>
      </c>
      <c r="G3322">
        <v>0</v>
      </c>
    </row>
    <row r="3323" spans="1:7" x14ac:dyDescent="0.25">
      <c r="A3323" t="s">
        <v>120</v>
      </c>
      <c r="B3323" t="s">
        <v>121</v>
      </c>
      <c r="C3323">
        <v>6530</v>
      </c>
      <c r="D3323" t="s">
        <v>45</v>
      </c>
      <c r="E3323" t="s">
        <v>49</v>
      </c>
      <c r="F3323" s="5">
        <v>42736</v>
      </c>
      <c r="G3323">
        <v>0</v>
      </c>
    </row>
    <row r="3324" spans="1:7" x14ac:dyDescent="0.25">
      <c r="A3324" t="s">
        <v>120</v>
      </c>
      <c r="B3324" t="s">
        <v>121</v>
      </c>
      <c r="C3324">
        <v>6530</v>
      </c>
      <c r="D3324" t="s">
        <v>45</v>
      </c>
      <c r="E3324" t="s">
        <v>50</v>
      </c>
      <c r="F3324" s="5">
        <v>42370</v>
      </c>
      <c r="G3324">
        <v>0</v>
      </c>
    </row>
    <row r="3325" spans="1:7" x14ac:dyDescent="0.25">
      <c r="A3325" t="s">
        <v>120</v>
      </c>
      <c r="B3325" t="s">
        <v>121</v>
      </c>
      <c r="C3325">
        <v>6530</v>
      </c>
      <c r="D3325" t="s">
        <v>45</v>
      </c>
      <c r="E3325" t="s">
        <v>50</v>
      </c>
      <c r="F3325" s="5">
        <v>42736</v>
      </c>
      <c r="G3325">
        <v>0</v>
      </c>
    </row>
    <row r="3326" spans="1:7" x14ac:dyDescent="0.25">
      <c r="A3326" t="s">
        <v>120</v>
      </c>
      <c r="B3326" t="s">
        <v>121</v>
      </c>
      <c r="C3326">
        <v>6530</v>
      </c>
      <c r="D3326" t="s">
        <v>45</v>
      </c>
      <c r="E3326" t="s">
        <v>51</v>
      </c>
      <c r="F3326" s="5">
        <v>42370</v>
      </c>
      <c r="G3326">
        <v>0</v>
      </c>
    </row>
    <row r="3327" spans="1:7" x14ac:dyDescent="0.25">
      <c r="A3327" t="s">
        <v>120</v>
      </c>
      <c r="B3327" t="s">
        <v>121</v>
      </c>
      <c r="C3327">
        <v>6530</v>
      </c>
      <c r="D3327" t="s">
        <v>45</v>
      </c>
      <c r="E3327" t="s">
        <v>51</v>
      </c>
      <c r="F3327" s="5">
        <v>42736</v>
      </c>
      <c r="G3327">
        <v>0</v>
      </c>
    </row>
    <row r="3328" spans="1:7" x14ac:dyDescent="0.25">
      <c r="A3328" t="s">
        <v>120</v>
      </c>
      <c r="B3328" t="s">
        <v>121</v>
      </c>
      <c r="C3328">
        <v>6530</v>
      </c>
      <c r="D3328" t="s">
        <v>45</v>
      </c>
      <c r="E3328" t="s">
        <v>52</v>
      </c>
      <c r="F3328" s="5">
        <v>42370</v>
      </c>
      <c r="G3328">
        <v>0</v>
      </c>
    </row>
    <row r="3329" spans="1:7" x14ac:dyDescent="0.25">
      <c r="A3329" t="s">
        <v>120</v>
      </c>
      <c r="B3329" t="s">
        <v>121</v>
      </c>
      <c r="C3329">
        <v>6530</v>
      </c>
      <c r="D3329" t="s">
        <v>45</v>
      </c>
      <c r="E3329" t="s">
        <v>52</v>
      </c>
      <c r="F3329" s="5">
        <v>42736</v>
      </c>
      <c r="G3329">
        <v>0</v>
      </c>
    </row>
    <row r="3330" spans="1:7" x14ac:dyDescent="0.25">
      <c r="A3330" t="s">
        <v>120</v>
      </c>
      <c r="B3330" t="s">
        <v>121</v>
      </c>
      <c r="C3330">
        <v>6530</v>
      </c>
      <c r="D3330" t="s">
        <v>45</v>
      </c>
      <c r="E3330" t="s">
        <v>53</v>
      </c>
      <c r="F3330" s="5">
        <v>42370</v>
      </c>
      <c r="G3330">
        <v>0</v>
      </c>
    </row>
    <row r="3331" spans="1:7" x14ac:dyDescent="0.25">
      <c r="A3331" t="s">
        <v>120</v>
      </c>
      <c r="B3331" t="s">
        <v>121</v>
      </c>
      <c r="C3331">
        <v>6530</v>
      </c>
      <c r="D3331" t="s">
        <v>45</v>
      </c>
      <c r="E3331" t="s">
        <v>53</v>
      </c>
      <c r="F3331" s="5">
        <v>42736</v>
      </c>
      <c r="G3331">
        <v>0</v>
      </c>
    </row>
    <row r="3332" spans="1:7" x14ac:dyDescent="0.25">
      <c r="A3332" t="s">
        <v>120</v>
      </c>
      <c r="B3332" t="s">
        <v>121</v>
      </c>
      <c r="C3332">
        <v>6530</v>
      </c>
      <c r="D3332" t="s">
        <v>45</v>
      </c>
      <c r="E3332" t="s">
        <v>54</v>
      </c>
      <c r="F3332" s="5">
        <v>42370</v>
      </c>
      <c r="G3332">
        <v>0</v>
      </c>
    </row>
    <row r="3333" spans="1:7" x14ac:dyDescent="0.25">
      <c r="A3333" t="s">
        <v>120</v>
      </c>
      <c r="B3333" t="s">
        <v>121</v>
      </c>
      <c r="C3333">
        <v>6530</v>
      </c>
      <c r="D3333" t="s">
        <v>45</v>
      </c>
      <c r="E3333" t="s">
        <v>54</v>
      </c>
      <c r="F3333" s="5">
        <v>42736</v>
      </c>
      <c r="G3333">
        <v>0</v>
      </c>
    </row>
    <row r="3334" spans="1:7" x14ac:dyDescent="0.25">
      <c r="A3334" t="s">
        <v>120</v>
      </c>
      <c r="B3334" t="s">
        <v>121</v>
      </c>
      <c r="C3334">
        <v>6530</v>
      </c>
      <c r="D3334" t="s">
        <v>45</v>
      </c>
      <c r="E3334" t="s">
        <v>55</v>
      </c>
      <c r="F3334" s="5">
        <v>42370</v>
      </c>
      <c r="G3334">
        <v>0</v>
      </c>
    </row>
    <row r="3335" spans="1:7" x14ac:dyDescent="0.25">
      <c r="A3335" t="s">
        <v>120</v>
      </c>
      <c r="B3335" t="s">
        <v>121</v>
      </c>
      <c r="C3335">
        <v>6530</v>
      </c>
      <c r="D3335" t="s">
        <v>45</v>
      </c>
      <c r="E3335" t="s">
        <v>55</v>
      </c>
      <c r="F3335" s="5">
        <v>42736</v>
      </c>
      <c r="G3335">
        <v>0</v>
      </c>
    </row>
    <row r="3336" spans="1:7" x14ac:dyDescent="0.25">
      <c r="A3336" t="s">
        <v>120</v>
      </c>
      <c r="B3336" t="s">
        <v>121</v>
      </c>
      <c r="C3336">
        <v>6530</v>
      </c>
      <c r="D3336" t="s">
        <v>45</v>
      </c>
      <c r="E3336" t="s">
        <v>56</v>
      </c>
      <c r="F3336" s="5">
        <v>42370</v>
      </c>
      <c r="G3336">
        <v>0</v>
      </c>
    </row>
    <row r="3337" spans="1:7" x14ac:dyDescent="0.25">
      <c r="A3337" t="s">
        <v>120</v>
      </c>
      <c r="B3337" t="s">
        <v>121</v>
      </c>
      <c r="C3337">
        <v>6530</v>
      </c>
      <c r="D3337" t="s">
        <v>45</v>
      </c>
      <c r="E3337" t="s">
        <v>56</v>
      </c>
      <c r="F3337" s="5">
        <v>42736</v>
      </c>
      <c r="G3337">
        <v>0</v>
      </c>
    </row>
    <row r="3338" spans="1:7" x14ac:dyDescent="0.25">
      <c r="A3338" t="s">
        <v>120</v>
      </c>
      <c r="B3338" t="s">
        <v>121</v>
      </c>
      <c r="C3338">
        <v>6530</v>
      </c>
      <c r="D3338" t="s">
        <v>45</v>
      </c>
      <c r="E3338" t="s">
        <v>57</v>
      </c>
      <c r="F3338" s="5">
        <v>42370</v>
      </c>
      <c r="G3338">
        <v>0</v>
      </c>
    </row>
    <row r="3339" spans="1:7" x14ac:dyDescent="0.25">
      <c r="A3339" t="s">
        <v>120</v>
      </c>
      <c r="B3339" t="s">
        <v>121</v>
      </c>
      <c r="C3339">
        <v>6530</v>
      </c>
      <c r="D3339" t="s">
        <v>45</v>
      </c>
      <c r="E3339" t="s">
        <v>57</v>
      </c>
      <c r="F3339" s="5">
        <v>42736</v>
      </c>
      <c r="G3339">
        <v>0</v>
      </c>
    </row>
    <row r="3340" spans="1:7" x14ac:dyDescent="0.25">
      <c r="A3340" t="s">
        <v>120</v>
      </c>
      <c r="B3340" t="s">
        <v>121</v>
      </c>
      <c r="C3340">
        <v>6530</v>
      </c>
      <c r="D3340" t="s">
        <v>45</v>
      </c>
      <c r="E3340" t="s">
        <v>58</v>
      </c>
      <c r="F3340" s="5">
        <v>42370</v>
      </c>
      <c r="G3340">
        <v>0</v>
      </c>
    </row>
    <row r="3341" spans="1:7" x14ac:dyDescent="0.25">
      <c r="A3341" t="s">
        <v>120</v>
      </c>
      <c r="B3341" t="s">
        <v>121</v>
      </c>
      <c r="C3341">
        <v>6530</v>
      </c>
      <c r="D3341" t="s">
        <v>45</v>
      </c>
      <c r="E3341" t="s">
        <v>58</v>
      </c>
      <c r="F3341" s="5">
        <v>42736</v>
      </c>
      <c r="G3341">
        <v>0</v>
      </c>
    </row>
    <row r="3342" spans="1:7" x14ac:dyDescent="0.25">
      <c r="A3342" t="s">
        <v>120</v>
      </c>
      <c r="B3342" t="s">
        <v>121</v>
      </c>
      <c r="C3342">
        <v>6530</v>
      </c>
      <c r="D3342" t="s">
        <v>45</v>
      </c>
      <c r="E3342" t="s">
        <v>59</v>
      </c>
      <c r="F3342" s="5">
        <v>42370</v>
      </c>
      <c r="G3342">
        <v>0</v>
      </c>
    </row>
    <row r="3343" spans="1:7" x14ac:dyDescent="0.25">
      <c r="A3343" t="s">
        <v>120</v>
      </c>
      <c r="B3343" t="s">
        <v>121</v>
      </c>
      <c r="C3343">
        <v>6530</v>
      </c>
      <c r="D3343" t="s">
        <v>45</v>
      </c>
      <c r="E3343" t="s">
        <v>59</v>
      </c>
      <c r="F3343" s="5">
        <v>42736</v>
      </c>
      <c r="G3343">
        <v>0</v>
      </c>
    </row>
    <row r="3344" spans="1:7" x14ac:dyDescent="0.25">
      <c r="A3344" t="s">
        <v>120</v>
      </c>
      <c r="B3344" t="s">
        <v>121</v>
      </c>
      <c r="C3344">
        <v>6530</v>
      </c>
      <c r="D3344" t="s">
        <v>45</v>
      </c>
      <c r="E3344" t="s">
        <v>60</v>
      </c>
      <c r="F3344" s="5">
        <v>42370</v>
      </c>
      <c r="G3344">
        <v>0</v>
      </c>
    </row>
    <row r="3345" spans="1:7" x14ac:dyDescent="0.25">
      <c r="A3345" t="s">
        <v>120</v>
      </c>
      <c r="B3345" t="s">
        <v>121</v>
      </c>
      <c r="C3345">
        <v>6530</v>
      </c>
      <c r="D3345" t="s">
        <v>45</v>
      </c>
      <c r="E3345" t="s">
        <v>60</v>
      </c>
      <c r="F3345" s="5">
        <v>42736</v>
      </c>
      <c r="G3345">
        <v>0</v>
      </c>
    </row>
    <row r="3346" spans="1:7" x14ac:dyDescent="0.25">
      <c r="A3346" t="s">
        <v>120</v>
      </c>
      <c r="B3346" t="s">
        <v>121</v>
      </c>
      <c r="C3346">
        <v>6530</v>
      </c>
      <c r="D3346" t="s">
        <v>45</v>
      </c>
      <c r="E3346" t="s">
        <v>61</v>
      </c>
      <c r="F3346" s="5">
        <v>42370</v>
      </c>
      <c r="G3346">
        <v>0</v>
      </c>
    </row>
    <row r="3347" spans="1:7" x14ac:dyDescent="0.25">
      <c r="A3347" t="s">
        <v>120</v>
      </c>
      <c r="B3347" t="s">
        <v>121</v>
      </c>
      <c r="C3347">
        <v>6530</v>
      </c>
      <c r="D3347" t="s">
        <v>45</v>
      </c>
      <c r="E3347" t="s">
        <v>61</v>
      </c>
      <c r="F3347" s="5">
        <v>42736</v>
      </c>
      <c r="G3347">
        <v>0</v>
      </c>
    </row>
    <row r="3348" spans="1:7" x14ac:dyDescent="0.25">
      <c r="A3348" t="s">
        <v>120</v>
      </c>
      <c r="B3348" t="s">
        <v>121</v>
      </c>
      <c r="C3348">
        <v>6530</v>
      </c>
      <c r="D3348" t="s">
        <v>62</v>
      </c>
      <c r="E3348" t="s">
        <v>63</v>
      </c>
      <c r="F3348" s="5">
        <v>42370</v>
      </c>
      <c r="G3348">
        <v>0</v>
      </c>
    </row>
    <row r="3349" spans="1:7" x14ac:dyDescent="0.25">
      <c r="A3349" t="s">
        <v>120</v>
      </c>
      <c r="B3349" t="s">
        <v>121</v>
      </c>
      <c r="C3349">
        <v>6530</v>
      </c>
      <c r="D3349" t="s">
        <v>62</v>
      </c>
      <c r="E3349" t="s">
        <v>63</v>
      </c>
      <c r="F3349" s="5">
        <v>42736</v>
      </c>
      <c r="G3349">
        <v>0</v>
      </c>
    </row>
    <row r="3350" spans="1:7" x14ac:dyDescent="0.25">
      <c r="A3350" t="s">
        <v>120</v>
      </c>
      <c r="B3350" t="s">
        <v>121</v>
      </c>
      <c r="C3350">
        <v>6530</v>
      </c>
      <c r="D3350" t="s">
        <v>62</v>
      </c>
      <c r="E3350" t="s">
        <v>64</v>
      </c>
      <c r="F3350" s="5">
        <v>42370</v>
      </c>
      <c r="G3350">
        <v>0</v>
      </c>
    </row>
    <row r="3351" spans="1:7" x14ac:dyDescent="0.25">
      <c r="A3351" t="s">
        <v>120</v>
      </c>
      <c r="B3351" t="s">
        <v>121</v>
      </c>
      <c r="C3351">
        <v>6530</v>
      </c>
      <c r="D3351" t="s">
        <v>62</v>
      </c>
      <c r="E3351" t="s">
        <v>64</v>
      </c>
      <c r="F3351" s="5">
        <v>42736</v>
      </c>
      <c r="G3351">
        <v>0</v>
      </c>
    </row>
    <row r="3352" spans="1:7" x14ac:dyDescent="0.25">
      <c r="A3352" t="s">
        <v>120</v>
      </c>
      <c r="B3352" t="s">
        <v>121</v>
      </c>
      <c r="C3352">
        <v>6530</v>
      </c>
      <c r="D3352" t="s">
        <v>62</v>
      </c>
      <c r="E3352" t="s">
        <v>9</v>
      </c>
      <c r="F3352" s="5">
        <v>42370</v>
      </c>
      <c r="G3352">
        <v>0</v>
      </c>
    </row>
    <row r="3353" spans="1:7" x14ac:dyDescent="0.25">
      <c r="A3353" t="s">
        <v>120</v>
      </c>
      <c r="B3353" t="s">
        <v>121</v>
      </c>
      <c r="C3353">
        <v>6530</v>
      </c>
      <c r="D3353" t="s">
        <v>62</v>
      </c>
      <c r="E3353" t="s">
        <v>9</v>
      </c>
      <c r="F3353" s="5">
        <v>42736</v>
      </c>
      <c r="G3353">
        <v>0</v>
      </c>
    </row>
    <row r="3354" spans="1:7" x14ac:dyDescent="0.25">
      <c r="A3354" t="s">
        <v>120</v>
      </c>
      <c r="B3354" t="s">
        <v>121</v>
      </c>
      <c r="C3354">
        <v>6530</v>
      </c>
      <c r="D3354" t="s">
        <v>62</v>
      </c>
      <c r="E3354" t="s">
        <v>65</v>
      </c>
      <c r="F3354" s="5">
        <v>42370</v>
      </c>
      <c r="G3354">
        <v>0</v>
      </c>
    </row>
    <row r="3355" spans="1:7" x14ac:dyDescent="0.25">
      <c r="A3355" t="s">
        <v>120</v>
      </c>
      <c r="B3355" t="s">
        <v>121</v>
      </c>
      <c r="C3355">
        <v>6530</v>
      </c>
      <c r="D3355" t="s">
        <v>62</v>
      </c>
      <c r="E3355" t="s">
        <v>65</v>
      </c>
      <c r="F3355" s="5">
        <v>42736</v>
      </c>
      <c r="G3355">
        <v>0</v>
      </c>
    </row>
    <row r="3356" spans="1:7" x14ac:dyDescent="0.25">
      <c r="A3356" t="s">
        <v>120</v>
      </c>
      <c r="B3356" t="s">
        <v>121</v>
      </c>
      <c r="C3356">
        <v>6530</v>
      </c>
      <c r="D3356" t="s">
        <v>62</v>
      </c>
      <c r="E3356" t="s">
        <v>66</v>
      </c>
      <c r="F3356" s="5">
        <v>42370</v>
      </c>
      <c r="G3356">
        <v>0</v>
      </c>
    </row>
    <row r="3357" spans="1:7" x14ac:dyDescent="0.25">
      <c r="A3357" t="s">
        <v>120</v>
      </c>
      <c r="B3357" t="s">
        <v>121</v>
      </c>
      <c r="C3357">
        <v>6530</v>
      </c>
      <c r="D3357" t="s">
        <v>62</v>
      </c>
      <c r="E3357" t="s">
        <v>66</v>
      </c>
      <c r="F3357" s="5">
        <v>42736</v>
      </c>
      <c r="G3357">
        <v>0</v>
      </c>
    </row>
    <row r="3358" spans="1:7" x14ac:dyDescent="0.25">
      <c r="A3358" t="s">
        <v>120</v>
      </c>
      <c r="B3358" t="s">
        <v>121</v>
      </c>
      <c r="C3358">
        <v>6530</v>
      </c>
      <c r="D3358" t="s">
        <v>62</v>
      </c>
      <c r="E3358" t="s">
        <v>67</v>
      </c>
      <c r="F3358" s="5">
        <v>42370</v>
      </c>
      <c r="G3358">
        <v>0</v>
      </c>
    </row>
    <row r="3359" spans="1:7" x14ac:dyDescent="0.25">
      <c r="A3359" t="s">
        <v>120</v>
      </c>
      <c r="B3359" t="s">
        <v>121</v>
      </c>
      <c r="C3359">
        <v>6530</v>
      </c>
      <c r="D3359" t="s">
        <v>62</v>
      </c>
      <c r="E3359" t="s">
        <v>67</v>
      </c>
      <c r="F3359" s="5">
        <v>42736</v>
      </c>
      <c r="G3359">
        <v>0</v>
      </c>
    </row>
    <row r="3360" spans="1:7" x14ac:dyDescent="0.25">
      <c r="A3360" t="s">
        <v>120</v>
      </c>
      <c r="B3360" t="s">
        <v>121</v>
      </c>
      <c r="C3360">
        <v>6530</v>
      </c>
      <c r="D3360" t="s">
        <v>62</v>
      </c>
      <c r="E3360" t="s">
        <v>68</v>
      </c>
      <c r="F3360" s="5">
        <v>42370</v>
      </c>
      <c r="G3360">
        <v>0</v>
      </c>
    </row>
    <row r="3361" spans="1:7" x14ac:dyDescent="0.25">
      <c r="A3361" t="s">
        <v>120</v>
      </c>
      <c r="B3361" t="s">
        <v>121</v>
      </c>
      <c r="C3361">
        <v>6530</v>
      </c>
      <c r="D3361" t="s">
        <v>62</v>
      </c>
      <c r="E3361" t="s">
        <v>68</v>
      </c>
      <c r="F3361" s="5">
        <v>42736</v>
      </c>
      <c r="G3361">
        <v>0</v>
      </c>
    </row>
    <row r="3362" spans="1:7" x14ac:dyDescent="0.25">
      <c r="A3362" t="s">
        <v>120</v>
      </c>
      <c r="B3362" t="s">
        <v>121</v>
      </c>
      <c r="C3362">
        <v>6530</v>
      </c>
      <c r="D3362" t="s">
        <v>62</v>
      </c>
      <c r="E3362" t="s">
        <v>69</v>
      </c>
      <c r="F3362" s="5">
        <v>42370</v>
      </c>
      <c r="G3362">
        <v>0</v>
      </c>
    </row>
    <row r="3363" spans="1:7" x14ac:dyDescent="0.25">
      <c r="A3363" t="s">
        <v>120</v>
      </c>
      <c r="B3363" t="s">
        <v>121</v>
      </c>
      <c r="C3363">
        <v>6530</v>
      </c>
      <c r="D3363" t="s">
        <v>62</v>
      </c>
      <c r="E3363" t="s">
        <v>69</v>
      </c>
      <c r="F3363" s="5">
        <v>42736</v>
      </c>
      <c r="G3363">
        <v>0</v>
      </c>
    </row>
    <row r="3364" spans="1:7" x14ac:dyDescent="0.25">
      <c r="A3364" t="s">
        <v>120</v>
      </c>
      <c r="B3364" t="s">
        <v>121</v>
      </c>
      <c r="C3364">
        <v>6530</v>
      </c>
      <c r="D3364" t="s">
        <v>62</v>
      </c>
      <c r="E3364" t="s">
        <v>70</v>
      </c>
      <c r="F3364" s="5">
        <v>42370</v>
      </c>
      <c r="G3364">
        <v>0</v>
      </c>
    </row>
    <row r="3365" spans="1:7" x14ac:dyDescent="0.25">
      <c r="A3365" t="s">
        <v>120</v>
      </c>
      <c r="B3365" t="s">
        <v>121</v>
      </c>
      <c r="C3365">
        <v>6530</v>
      </c>
      <c r="D3365" t="s">
        <v>62</v>
      </c>
      <c r="E3365" t="s">
        <v>70</v>
      </c>
      <c r="F3365" s="5">
        <v>42736</v>
      </c>
      <c r="G3365">
        <v>0</v>
      </c>
    </row>
    <row r="3366" spans="1:7" x14ac:dyDescent="0.25">
      <c r="A3366" t="s">
        <v>120</v>
      </c>
      <c r="B3366" t="s">
        <v>121</v>
      </c>
      <c r="C3366">
        <v>6530</v>
      </c>
      <c r="D3366" t="s">
        <v>62</v>
      </c>
      <c r="E3366" t="s">
        <v>71</v>
      </c>
      <c r="F3366" s="5">
        <v>42370</v>
      </c>
      <c r="G3366">
        <v>0</v>
      </c>
    </row>
    <row r="3367" spans="1:7" x14ac:dyDescent="0.25">
      <c r="A3367" t="s">
        <v>120</v>
      </c>
      <c r="B3367" t="s">
        <v>121</v>
      </c>
      <c r="C3367">
        <v>6530</v>
      </c>
      <c r="D3367" t="s">
        <v>62</v>
      </c>
      <c r="E3367" t="s">
        <v>71</v>
      </c>
      <c r="F3367" s="5">
        <v>42736</v>
      </c>
      <c r="G3367">
        <v>0</v>
      </c>
    </row>
    <row r="3368" spans="1:7" x14ac:dyDescent="0.25">
      <c r="A3368" t="s">
        <v>120</v>
      </c>
      <c r="B3368" t="s">
        <v>121</v>
      </c>
      <c r="C3368">
        <v>6530</v>
      </c>
      <c r="D3368" t="s">
        <v>72</v>
      </c>
      <c r="E3368" t="s">
        <v>73</v>
      </c>
      <c r="F3368" s="5">
        <v>42370</v>
      </c>
      <c r="G3368">
        <v>0</v>
      </c>
    </row>
    <row r="3369" spans="1:7" x14ac:dyDescent="0.25">
      <c r="A3369" t="s">
        <v>120</v>
      </c>
      <c r="B3369" t="s">
        <v>121</v>
      </c>
      <c r="C3369">
        <v>6530</v>
      </c>
      <c r="D3369" t="s">
        <v>72</v>
      </c>
      <c r="E3369" t="s">
        <v>73</v>
      </c>
      <c r="F3369" s="5">
        <v>42736</v>
      </c>
      <c r="G3369">
        <v>0</v>
      </c>
    </row>
    <row r="3370" spans="1:7" x14ac:dyDescent="0.25">
      <c r="A3370" t="s">
        <v>120</v>
      </c>
      <c r="B3370" t="s">
        <v>121</v>
      </c>
      <c r="C3370">
        <v>6530</v>
      </c>
      <c r="D3370" t="s">
        <v>72</v>
      </c>
      <c r="E3370" t="s">
        <v>9</v>
      </c>
      <c r="F3370" s="5">
        <v>42370</v>
      </c>
      <c r="G3370">
        <v>0</v>
      </c>
    </row>
    <row r="3371" spans="1:7" x14ac:dyDescent="0.25">
      <c r="A3371" t="s">
        <v>120</v>
      </c>
      <c r="B3371" t="s">
        <v>121</v>
      </c>
      <c r="C3371">
        <v>6530</v>
      </c>
      <c r="D3371" t="s">
        <v>72</v>
      </c>
      <c r="E3371" t="s">
        <v>9</v>
      </c>
      <c r="F3371" s="5">
        <v>42736</v>
      </c>
      <c r="G3371">
        <v>0</v>
      </c>
    </row>
    <row r="3372" spans="1:7" x14ac:dyDescent="0.25">
      <c r="A3372" t="s">
        <v>120</v>
      </c>
      <c r="B3372" t="s">
        <v>121</v>
      </c>
      <c r="C3372">
        <v>6530</v>
      </c>
      <c r="D3372" t="s">
        <v>72</v>
      </c>
      <c r="E3372" t="s">
        <v>34</v>
      </c>
      <c r="F3372" s="5">
        <v>42370</v>
      </c>
      <c r="G3372">
        <v>0</v>
      </c>
    </row>
    <row r="3373" spans="1:7" x14ac:dyDescent="0.25">
      <c r="A3373" t="s">
        <v>120</v>
      </c>
      <c r="B3373" t="s">
        <v>121</v>
      </c>
      <c r="C3373">
        <v>6530</v>
      </c>
      <c r="D3373" t="s">
        <v>72</v>
      </c>
      <c r="E3373" t="s">
        <v>34</v>
      </c>
      <c r="F3373" s="5">
        <v>42736</v>
      </c>
      <c r="G3373">
        <v>0</v>
      </c>
    </row>
    <row r="3374" spans="1:7" x14ac:dyDescent="0.25">
      <c r="A3374" t="s">
        <v>120</v>
      </c>
      <c r="B3374" t="s">
        <v>121</v>
      </c>
      <c r="C3374">
        <v>6530</v>
      </c>
      <c r="D3374" t="s">
        <v>72</v>
      </c>
      <c r="E3374" t="s">
        <v>74</v>
      </c>
      <c r="F3374" s="5">
        <v>42370</v>
      </c>
      <c r="G3374">
        <v>0</v>
      </c>
    </row>
    <row r="3375" spans="1:7" x14ac:dyDescent="0.25">
      <c r="A3375" t="s">
        <v>120</v>
      </c>
      <c r="B3375" t="s">
        <v>121</v>
      </c>
      <c r="C3375">
        <v>6530</v>
      </c>
      <c r="D3375" t="s">
        <v>72</v>
      </c>
      <c r="E3375" t="s">
        <v>74</v>
      </c>
      <c r="F3375" s="5">
        <v>42736</v>
      </c>
      <c r="G3375">
        <v>0</v>
      </c>
    </row>
    <row r="3376" spans="1:7" x14ac:dyDescent="0.25">
      <c r="A3376" t="s">
        <v>120</v>
      </c>
      <c r="B3376" t="s">
        <v>121</v>
      </c>
      <c r="C3376">
        <v>6530</v>
      </c>
      <c r="D3376" t="s">
        <v>72</v>
      </c>
      <c r="E3376" t="s">
        <v>75</v>
      </c>
      <c r="F3376" s="5">
        <v>42370</v>
      </c>
      <c r="G3376">
        <v>0</v>
      </c>
    </row>
    <row r="3377" spans="1:7" x14ac:dyDescent="0.25">
      <c r="A3377" t="s">
        <v>120</v>
      </c>
      <c r="B3377" t="s">
        <v>121</v>
      </c>
      <c r="C3377">
        <v>6530</v>
      </c>
      <c r="D3377" t="s">
        <v>72</v>
      </c>
      <c r="E3377" t="s">
        <v>75</v>
      </c>
      <c r="F3377" s="5">
        <v>42736</v>
      </c>
      <c r="G3377">
        <v>0</v>
      </c>
    </row>
    <row r="3378" spans="1:7" x14ac:dyDescent="0.25">
      <c r="A3378" t="s">
        <v>120</v>
      </c>
      <c r="B3378" t="s">
        <v>121</v>
      </c>
      <c r="C3378">
        <v>6530</v>
      </c>
      <c r="D3378" t="s">
        <v>76</v>
      </c>
      <c r="E3378" t="s">
        <v>9</v>
      </c>
      <c r="F3378" s="5">
        <v>42370</v>
      </c>
      <c r="G3378">
        <v>0</v>
      </c>
    </row>
    <row r="3379" spans="1:7" x14ac:dyDescent="0.25">
      <c r="A3379" t="s">
        <v>120</v>
      </c>
      <c r="B3379" t="s">
        <v>121</v>
      </c>
      <c r="C3379">
        <v>6530</v>
      </c>
      <c r="D3379" t="s">
        <v>76</v>
      </c>
      <c r="E3379" t="s">
        <v>9</v>
      </c>
      <c r="F3379" s="5">
        <v>42736</v>
      </c>
      <c r="G3379">
        <v>0</v>
      </c>
    </row>
    <row r="3380" spans="1:7" x14ac:dyDescent="0.25">
      <c r="A3380" t="s">
        <v>120</v>
      </c>
      <c r="B3380" t="s">
        <v>121</v>
      </c>
      <c r="C3380">
        <v>6530</v>
      </c>
      <c r="D3380" t="s">
        <v>76</v>
      </c>
      <c r="E3380" t="s">
        <v>77</v>
      </c>
      <c r="F3380" s="5">
        <v>42370</v>
      </c>
      <c r="G3380">
        <v>0</v>
      </c>
    </row>
    <row r="3381" spans="1:7" x14ac:dyDescent="0.25">
      <c r="A3381" t="s">
        <v>120</v>
      </c>
      <c r="B3381" t="s">
        <v>121</v>
      </c>
      <c r="C3381">
        <v>6530</v>
      </c>
      <c r="D3381" t="s">
        <v>76</v>
      </c>
      <c r="E3381" t="s">
        <v>77</v>
      </c>
      <c r="F3381" s="5">
        <v>42736</v>
      </c>
      <c r="G3381">
        <v>0</v>
      </c>
    </row>
    <row r="3382" spans="1:7" x14ac:dyDescent="0.25">
      <c r="A3382" t="s">
        <v>120</v>
      </c>
      <c r="B3382" t="s">
        <v>121</v>
      </c>
      <c r="C3382">
        <v>6530</v>
      </c>
      <c r="D3382" t="s">
        <v>78</v>
      </c>
      <c r="E3382" t="s">
        <v>79</v>
      </c>
      <c r="F3382" s="5">
        <v>42370</v>
      </c>
      <c r="G3382">
        <v>15</v>
      </c>
    </row>
    <row r="3383" spans="1:7" x14ac:dyDescent="0.25">
      <c r="A3383" t="s">
        <v>120</v>
      </c>
      <c r="B3383" t="s">
        <v>121</v>
      </c>
      <c r="C3383">
        <v>6530</v>
      </c>
      <c r="D3383" t="s">
        <v>78</v>
      </c>
      <c r="E3383" t="s">
        <v>79</v>
      </c>
      <c r="F3383" s="5">
        <v>42736</v>
      </c>
      <c r="G3383">
        <v>155</v>
      </c>
    </row>
    <row r="3384" spans="1:7" x14ac:dyDescent="0.25">
      <c r="A3384" t="s">
        <v>120</v>
      </c>
      <c r="B3384" t="s">
        <v>121</v>
      </c>
      <c r="C3384">
        <v>6530</v>
      </c>
      <c r="D3384" t="s">
        <v>78</v>
      </c>
      <c r="E3384" t="s">
        <v>80</v>
      </c>
      <c r="F3384" s="5">
        <v>42370</v>
      </c>
      <c r="G3384">
        <v>0</v>
      </c>
    </row>
    <row r="3385" spans="1:7" x14ac:dyDescent="0.25">
      <c r="A3385" t="s">
        <v>120</v>
      </c>
      <c r="B3385" t="s">
        <v>121</v>
      </c>
      <c r="C3385">
        <v>6530</v>
      </c>
      <c r="D3385" t="s">
        <v>78</v>
      </c>
      <c r="E3385" t="s">
        <v>80</v>
      </c>
      <c r="F3385" s="5">
        <v>42736</v>
      </c>
      <c r="G3385">
        <v>1</v>
      </c>
    </row>
    <row r="3386" spans="1:7" x14ac:dyDescent="0.25">
      <c r="A3386" t="s">
        <v>120</v>
      </c>
      <c r="B3386" t="s">
        <v>121</v>
      </c>
      <c r="C3386">
        <v>6530</v>
      </c>
      <c r="D3386" t="s">
        <v>78</v>
      </c>
      <c r="E3386" t="s">
        <v>81</v>
      </c>
      <c r="F3386" s="5">
        <v>42370</v>
      </c>
      <c r="G3386">
        <v>41</v>
      </c>
    </row>
    <row r="3387" spans="1:7" x14ac:dyDescent="0.25">
      <c r="A3387" t="s">
        <v>120</v>
      </c>
      <c r="B3387" t="s">
        <v>121</v>
      </c>
      <c r="C3387">
        <v>6530</v>
      </c>
      <c r="D3387" t="s">
        <v>78</v>
      </c>
      <c r="E3387" t="s">
        <v>81</v>
      </c>
      <c r="F3387" s="5">
        <v>42736</v>
      </c>
      <c r="G3387">
        <v>50</v>
      </c>
    </row>
    <row r="3388" spans="1:7" x14ac:dyDescent="0.25">
      <c r="A3388" t="s">
        <v>120</v>
      </c>
      <c r="B3388" t="s">
        <v>121</v>
      </c>
      <c r="C3388">
        <v>6530</v>
      </c>
      <c r="D3388" t="s">
        <v>78</v>
      </c>
      <c r="E3388" t="s">
        <v>82</v>
      </c>
      <c r="F3388" s="5">
        <v>42370</v>
      </c>
      <c r="G3388">
        <v>1</v>
      </c>
    </row>
    <row r="3389" spans="1:7" x14ac:dyDescent="0.25">
      <c r="A3389" t="s">
        <v>120</v>
      </c>
      <c r="B3389" t="s">
        <v>121</v>
      </c>
      <c r="C3389">
        <v>6530</v>
      </c>
      <c r="D3389" t="s">
        <v>78</v>
      </c>
      <c r="E3389" t="s">
        <v>82</v>
      </c>
      <c r="F3389" s="5">
        <v>42736</v>
      </c>
      <c r="G3389">
        <v>5</v>
      </c>
    </row>
    <row r="3390" spans="1:7" x14ac:dyDescent="0.25">
      <c r="A3390" t="s">
        <v>120</v>
      </c>
      <c r="B3390" t="s">
        <v>121</v>
      </c>
      <c r="C3390">
        <v>6530</v>
      </c>
      <c r="D3390" t="s">
        <v>78</v>
      </c>
      <c r="E3390" t="s">
        <v>83</v>
      </c>
      <c r="F3390" s="5">
        <v>42370</v>
      </c>
      <c r="G3390">
        <v>0</v>
      </c>
    </row>
    <row r="3391" spans="1:7" x14ac:dyDescent="0.25">
      <c r="A3391" t="s">
        <v>120</v>
      </c>
      <c r="B3391" t="s">
        <v>121</v>
      </c>
      <c r="C3391">
        <v>6530</v>
      </c>
      <c r="D3391" t="s">
        <v>78</v>
      </c>
      <c r="E3391" t="s">
        <v>83</v>
      </c>
      <c r="F3391" s="5">
        <v>42736</v>
      </c>
      <c r="G3391">
        <v>0</v>
      </c>
    </row>
    <row r="3392" spans="1:7" x14ac:dyDescent="0.25">
      <c r="A3392" t="s">
        <v>120</v>
      </c>
      <c r="B3392" t="s">
        <v>121</v>
      </c>
      <c r="C3392">
        <v>6530</v>
      </c>
      <c r="D3392" t="s">
        <v>78</v>
      </c>
      <c r="E3392" t="s">
        <v>84</v>
      </c>
      <c r="F3392" s="5">
        <v>42370</v>
      </c>
      <c r="G3392">
        <v>0</v>
      </c>
    </row>
    <row r="3393" spans="1:7" x14ac:dyDescent="0.25">
      <c r="A3393" t="s">
        <v>120</v>
      </c>
      <c r="B3393" t="s">
        <v>121</v>
      </c>
      <c r="C3393">
        <v>6530</v>
      </c>
      <c r="D3393" t="s">
        <v>78</v>
      </c>
      <c r="E3393" t="s">
        <v>84</v>
      </c>
      <c r="F3393" s="5">
        <v>42736</v>
      </c>
      <c r="G3393">
        <v>0</v>
      </c>
    </row>
    <row r="3394" spans="1:7" x14ac:dyDescent="0.25">
      <c r="A3394" t="s">
        <v>120</v>
      </c>
      <c r="B3394" t="s">
        <v>121</v>
      </c>
      <c r="C3394">
        <v>6530</v>
      </c>
      <c r="D3394" t="s">
        <v>78</v>
      </c>
      <c r="E3394" t="s">
        <v>85</v>
      </c>
      <c r="F3394" s="5">
        <v>42370</v>
      </c>
      <c r="G3394">
        <v>0</v>
      </c>
    </row>
    <row r="3395" spans="1:7" x14ac:dyDescent="0.25">
      <c r="A3395" t="s">
        <v>120</v>
      </c>
      <c r="B3395" t="s">
        <v>121</v>
      </c>
      <c r="C3395">
        <v>6530</v>
      </c>
      <c r="D3395" t="s">
        <v>78</v>
      </c>
      <c r="E3395" t="s">
        <v>85</v>
      </c>
      <c r="F3395" s="5">
        <v>42736</v>
      </c>
      <c r="G3395">
        <v>0</v>
      </c>
    </row>
    <row r="3396" spans="1:7" x14ac:dyDescent="0.25">
      <c r="A3396" t="s">
        <v>120</v>
      </c>
      <c r="B3396" t="s">
        <v>121</v>
      </c>
      <c r="C3396">
        <v>6530</v>
      </c>
      <c r="D3396" t="s">
        <v>78</v>
      </c>
      <c r="E3396" t="s">
        <v>86</v>
      </c>
      <c r="F3396" s="5">
        <v>42370</v>
      </c>
      <c r="G3396">
        <v>0</v>
      </c>
    </row>
    <row r="3397" spans="1:7" x14ac:dyDescent="0.25">
      <c r="A3397" t="s">
        <v>120</v>
      </c>
      <c r="B3397" t="s">
        <v>121</v>
      </c>
      <c r="C3397">
        <v>6530</v>
      </c>
      <c r="D3397" t="s">
        <v>78</v>
      </c>
      <c r="E3397" t="s">
        <v>86</v>
      </c>
      <c r="F3397" s="5">
        <v>42736</v>
      </c>
      <c r="G3397">
        <v>0</v>
      </c>
    </row>
    <row r="3398" spans="1:7" x14ac:dyDescent="0.25">
      <c r="A3398" t="s">
        <v>120</v>
      </c>
      <c r="B3398" t="s">
        <v>121</v>
      </c>
      <c r="C3398">
        <v>6530</v>
      </c>
      <c r="D3398" t="s">
        <v>78</v>
      </c>
      <c r="E3398" t="s">
        <v>87</v>
      </c>
      <c r="F3398" s="5">
        <v>42370</v>
      </c>
      <c r="G3398">
        <v>1</v>
      </c>
    </row>
    <row r="3399" spans="1:7" x14ac:dyDescent="0.25">
      <c r="A3399" t="s">
        <v>120</v>
      </c>
      <c r="B3399" t="s">
        <v>121</v>
      </c>
      <c r="C3399">
        <v>6530</v>
      </c>
      <c r="D3399" t="s">
        <v>78</v>
      </c>
      <c r="E3399" t="s">
        <v>87</v>
      </c>
      <c r="F3399" s="5">
        <v>42736</v>
      </c>
      <c r="G3399">
        <v>4</v>
      </c>
    </row>
    <row r="3400" spans="1:7" x14ac:dyDescent="0.25">
      <c r="A3400" t="s">
        <v>120</v>
      </c>
      <c r="B3400" t="s">
        <v>121</v>
      </c>
      <c r="C3400">
        <v>6530</v>
      </c>
      <c r="D3400" t="s">
        <v>78</v>
      </c>
      <c r="E3400" t="s">
        <v>88</v>
      </c>
      <c r="F3400" s="5">
        <v>42370</v>
      </c>
      <c r="G3400">
        <v>13</v>
      </c>
    </row>
    <row r="3401" spans="1:7" x14ac:dyDescent="0.25">
      <c r="A3401" t="s">
        <v>120</v>
      </c>
      <c r="B3401" t="s">
        <v>121</v>
      </c>
      <c r="C3401">
        <v>6530</v>
      </c>
      <c r="D3401" t="s">
        <v>78</v>
      </c>
      <c r="E3401" t="s">
        <v>88</v>
      </c>
      <c r="F3401" s="5">
        <v>42736</v>
      </c>
      <c r="G3401">
        <v>20</v>
      </c>
    </row>
    <row r="3402" spans="1:7" x14ac:dyDescent="0.25">
      <c r="A3402" t="s">
        <v>120</v>
      </c>
      <c r="B3402" t="s">
        <v>121</v>
      </c>
      <c r="C3402">
        <v>6530</v>
      </c>
      <c r="D3402" t="s">
        <v>78</v>
      </c>
      <c r="E3402" t="s">
        <v>89</v>
      </c>
      <c r="F3402" s="5">
        <v>42370</v>
      </c>
      <c r="G3402">
        <v>98</v>
      </c>
    </row>
    <row r="3403" spans="1:7" x14ac:dyDescent="0.25">
      <c r="A3403" t="s">
        <v>120</v>
      </c>
      <c r="B3403" t="s">
        <v>121</v>
      </c>
      <c r="C3403">
        <v>6530</v>
      </c>
      <c r="D3403" t="s">
        <v>78</v>
      </c>
      <c r="E3403" t="s">
        <v>89</v>
      </c>
      <c r="F3403" s="5">
        <v>42736</v>
      </c>
      <c r="G3403">
        <v>216</v>
      </c>
    </row>
    <row r="3404" spans="1:7" x14ac:dyDescent="0.25">
      <c r="A3404" t="s">
        <v>120</v>
      </c>
      <c r="B3404" t="s">
        <v>121</v>
      </c>
      <c r="C3404">
        <v>6530</v>
      </c>
      <c r="D3404" t="s">
        <v>78</v>
      </c>
      <c r="E3404" t="s">
        <v>90</v>
      </c>
      <c r="F3404" s="5">
        <v>42370</v>
      </c>
      <c r="G3404">
        <v>0</v>
      </c>
    </row>
    <row r="3405" spans="1:7" x14ac:dyDescent="0.25">
      <c r="A3405" t="s">
        <v>120</v>
      </c>
      <c r="B3405" t="s">
        <v>121</v>
      </c>
      <c r="C3405">
        <v>6530</v>
      </c>
      <c r="D3405" t="s">
        <v>78</v>
      </c>
      <c r="E3405" t="s">
        <v>90</v>
      </c>
      <c r="F3405" s="5">
        <v>42736</v>
      </c>
      <c r="G3405">
        <v>0</v>
      </c>
    </row>
    <row r="3406" spans="1:7" x14ac:dyDescent="0.25">
      <c r="A3406" t="s">
        <v>120</v>
      </c>
      <c r="B3406" t="s">
        <v>121</v>
      </c>
      <c r="C3406">
        <v>6530</v>
      </c>
      <c r="D3406" t="s">
        <v>78</v>
      </c>
      <c r="E3406" t="s">
        <v>91</v>
      </c>
      <c r="F3406" s="5">
        <v>42370</v>
      </c>
      <c r="G3406">
        <v>0</v>
      </c>
    </row>
    <row r="3407" spans="1:7" x14ac:dyDescent="0.25">
      <c r="A3407" t="s">
        <v>120</v>
      </c>
      <c r="B3407" t="s">
        <v>121</v>
      </c>
      <c r="C3407">
        <v>6530</v>
      </c>
      <c r="D3407" t="s">
        <v>78</v>
      </c>
      <c r="E3407" t="s">
        <v>91</v>
      </c>
      <c r="F3407" s="5">
        <v>42736</v>
      </c>
      <c r="G3407">
        <v>0</v>
      </c>
    </row>
    <row r="3408" spans="1:7" x14ac:dyDescent="0.25">
      <c r="A3408" t="s">
        <v>120</v>
      </c>
      <c r="B3408" t="s">
        <v>121</v>
      </c>
      <c r="C3408">
        <v>6530</v>
      </c>
      <c r="D3408" t="s">
        <v>78</v>
      </c>
      <c r="E3408" t="s">
        <v>92</v>
      </c>
      <c r="F3408" s="5">
        <v>42370</v>
      </c>
      <c r="G3408">
        <v>0</v>
      </c>
    </row>
    <row r="3409" spans="1:7" x14ac:dyDescent="0.25">
      <c r="A3409" t="s">
        <v>120</v>
      </c>
      <c r="B3409" t="s">
        <v>121</v>
      </c>
      <c r="C3409">
        <v>6530</v>
      </c>
      <c r="D3409" t="s">
        <v>78</v>
      </c>
      <c r="E3409" t="s">
        <v>92</v>
      </c>
      <c r="F3409" s="5">
        <v>42736</v>
      </c>
      <c r="G3409">
        <v>0</v>
      </c>
    </row>
    <row r="3410" spans="1:7" x14ac:dyDescent="0.25">
      <c r="A3410" t="s">
        <v>120</v>
      </c>
      <c r="B3410" t="s">
        <v>121</v>
      </c>
      <c r="C3410">
        <v>6530</v>
      </c>
      <c r="D3410" t="s">
        <v>78</v>
      </c>
      <c r="E3410" t="s">
        <v>93</v>
      </c>
      <c r="F3410" s="5">
        <v>42370</v>
      </c>
      <c r="G3410">
        <v>0</v>
      </c>
    </row>
    <row r="3411" spans="1:7" x14ac:dyDescent="0.25">
      <c r="A3411" t="s">
        <v>120</v>
      </c>
      <c r="B3411" t="s">
        <v>121</v>
      </c>
      <c r="C3411">
        <v>6530</v>
      </c>
      <c r="D3411" t="s">
        <v>78</v>
      </c>
      <c r="E3411" t="s">
        <v>93</v>
      </c>
      <c r="F3411" s="5">
        <v>42736</v>
      </c>
      <c r="G3411">
        <v>0</v>
      </c>
    </row>
    <row r="3412" spans="1:7" x14ac:dyDescent="0.25">
      <c r="A3412" t="s">
        <v>120</v>
      </c>
      <c r="B3412" t="s">
        <v>121</v>
      </c>
      <c r="C3412">
        <v>6530</v>
      </c>
      <c r="D3412" t="s">
        <v>78</v>
      </c>
      <c r="E3412" t="s">
        <v>94</v>
      </c>
      <c r="F3412" s="5">
        <v>42370</v>
      </c>
      <c r="G3412">
        <v>0</v>
      </c>
    </row>
    <row r="3413" spans="1:7" x14ac:dyDescent="0.25">
      <c r="A3413" t="s">
        <v>120</v>
      </c>
      <c r="B3413" t="s">
        <v>121</v>
      </c>
      <c r="C3413">
        <v>6530</v>
      </c>
      <c r="D3413" t="s">
        <v>78</v>
      </c>
      <c r="E3413" t="s">
        <v>94</v>
      </c>
      <c r="F3413" s="5">
        <v>42736</v>
      </c>
      <c r="G3413">
        <v>0</v>
      </c>
    </row>
    <row r="3414" spans="1:7" x14ac:dyDescent="0.25">
      <c r="A3414" t="s">
        <v>120</v>
      </c>
      <c r="B3414" t="s">
        <v>121</v>
      </c>
      <c r="C3414">
        <v>6530</v>
      </c>
      <c r="D3414" t="s">
        <v>78</v>
      </c>
      <c r="E3414" t="s">
        <v>95</v>
      </c>
      <c r="F3414" s="5">
        <v>42370</v>
      </c>
      <c r="G3414">
        <v>0</v>
      </c>
    </row>
    <row r="3415" spans="1:7" x14ac:dyDescent="0.25">
      <c r="A3415" t="s">
        <v>120</v>
      </c>
      <c r="B3415" t="s">
        <v>121</v>
      </c>
      <c r="C3415">
        <v>6530</v>
      </c>
      <c r="D3415" t="s">
        <v>78</v>
      </c>
      <c r="E3415" t="s">
        <v>95</v>
      </c>
      <c r="F3415" s="5">
        <v>42736</v>
      </c>
      <c r="G3415">
        <v>0</v>
      </c>
    </row>
    <row r="3416" spans="1:7" x14ac:dyDescent="0.25">
      <c r="A3416" t="s">
        <v>120</v>
      </c>
      <c r="B3416" t="s">
        <v>121</v>
      </c>
      <c r="C3416">
        <v>6530</v>
      </c>
      <c r="D3416" t="s">
        <v>78</v>
      </c>
      <c r="E3416" t="s">
        <v>96</v>
      </c>
      <c r="F3416" s="5">
        <v>42370</v>
      </c>
      <c r="G3416">
        <v>0</v>
      </c>
    </row>
    <row r="3417" spans="1:7" x14ac:dyDescent="0.25">
      <c r="A3417" t="s">
        <v>120</v>
      </c>
      <c r="B3417" t="s">
        <v>121</v>
      </c>
      <c r="C3417">
        <v>6530</v>
      </c>
      <c r="D3417" t="s">
        <v>78</v>
      </c>
      <c r="E3417" t="s">
        <v>96</v>
      </c>
      <c r="F3417" s="5">
        <v>42736</v>
      </c>
      <c r="G3417">
        <v>0</v>
      </c>
    </row>
    <row r="3418" spans="1:7" x14ac:dyDescent="0.25">
      <c r="A3418" t="s">
        <v>120</v>
      </c>
      <c r="B3418" t="s">
        <v>121</v>
      </c>
      <c r="C3418">
        <v>6530</v>
      </c>
      <c r="D3418" t="s">
        <v>78</v>
      </c>
      <c r="E3418" t="s">
        <v>97</v>
      </c>
      <c r="F3418" s="5">
        <v>42370</v>
      </c>
      <c r="G3418">
        <v>0</v>
      </c>
    </row>
    <row r="3419" spans="1:7" x14ac:dyDescent="0.25">
      <c r="A3419" t="s">
        <v>120</v>
      </c>
      <c r="B3419" t="s">
        <v>121</v>
      </c>
      <c r="C3419">
        <v>6530</v>
      </c>
      <c r="D3419" t="s">
        <v>78</v>
      </c>
      <c r="E3419" t="s">
        <v>97</v>
      </c>
      <c r="F3419" s="5">
        <v>42736</v>
      </c>
      <c r="G3419">
        <v>0</v>
      </c>
    </row>
    <row r="3420" spans="1:7" x14ac:dyDescent="0.25">
      <c r="A3420" t="s">
        <v>120</v>
      </c>
      <c r="B3420" t="s">
        <v>121</v>
      </c>
      <c r="C3420">
        <v>6530</v>
      </c>
      <c r="D3420" t="s">
        <v>78</v>
      </c>
      <c r="E3420" t="s">
        <v>98</v>
      </c>
      <c r="F3420" s="5">
        <v>42370</v>
      </c>
      <c r="G3420">
        <v>0</v>
      </c>
    </row>
    <row r="3421" spans="1:7" x14ac:dyDescent="0.25">
      <c r="A3421" t="s">
        <v>120</v>
      </c>
      <c r="B3421" t="s">
        <v>121</v>
      </c>
      <c r="C3421">
        <v>6530</v>
      </c>
      <c r="D3421" t="s">
        <v>78</v>
      </c>
      <c r="E3421" t="s">
        <v>98</v>
      </c>
      <c r="F3421" s="5">
        <v>42736</v>
      </c>
      <c r="G3421">
        <v>2</v>
      </c>
    </row>
    <row r="3422" spans="1:7" x14ac:dyDescent="0.25">
      <c r="A3422" t="s">
        <v>120</v>
      </c>
      <c r="B3422" t="s">
        <v>122</v>
      </c>
      <c r="C3422">
        <v>7500</v>
      </c>
      <c r="D3422" t="s">
        <v>8</v>
      </c>
      <c r="E3422" t="s">
        <v>9</v>
      </c>
      <c r="F3422" s="5">
        <v>42370</v>
      </c>
      <c r="G3422">
        <v>0</v>
      </c>
    </row>
    <row r="3423" spans="1:7" x14ac:dyDescent="0.25">
      <c r="A3423" t="s">
        <v>120</v>
      </c>
      <c r="B3423" t="s">
        <v>122</v>
      </c>
      <c r="C3423">
        <v>7500</v>
      </c>
      <c r="D3423" t="s">
        <v>8</v>
      </c>
      <c r="E3423" t="s">
        <v>9</v>
      </c>
      <c r="F3423" s="5">
        <v>42736</v>
      </c>
      <c r="G3423">
        <v>0</v>
      </c>
    </row>
    <row r="3424" spans="1:7" x14ac:dyDescent="0.25">
      <c r="A3424" t="s">
        <v>120</v>
      </c>
      <c r="B3424" t="s">
        <v>122</v>
      </c>
      <c r="C3424">
        <v>7500</v>
      </c>
      <c r="D3424" t="s">
        <v>8</v>
      </c>
      <c r="E3424" t="s">
        <v>10</v>
      </c>
      <c r="F3424" s="5">
        <v>42370</v>
      </c>
      <c r="G3424">
        <v>127</v>
      </c>
    </row>
    <row r="3425" spans="1:7" x14ac:dyDescent="0.25">
      <c r="A3425" t="s">
        <v>120</v>
      </c>
      <c r="B3425" t="s">
        <v>122</v>
      </c>
      <c r="C3425">
        <v>7500</v>
      </c>
      <c r="D3425" t="s">
        <v>8</v>
      </c>
      <c r="E3425" t="s">
        <v>10</v>
      </c>
      <c r="F3425" s="5">
        <v>42736</v>
      </c>
      <c r="G3425">
        <v>164</v>
      </c>
    </row>
    <row r="3426" spans="1:7" x14ac:dyDescent="0.25">
      <c r="A3426" t="s">
        <v>120</v>
      </c>
      <c r="B3426" t="s">
        <v>122</v>
      </c>
      <c r="C3426">
        <v>7500</v>
      </c>
      <c r="D3426" t="s">
        <v>8</v>
      </c>
      <c r="E3426" t="s">
        <v>11</v>
      </c>
      <c r="F3426" s="5">
        <v>42370</v>
      </c>
      <c r="G3426">
        <v>35</v>
      </c>
    </row>
    <row r="3427" spans="1:7" x14ac:dyDescent="0.25">
      <c r="A3427" t="s">
        <v>120</v>
      </c>
      <c r="B3427" t="s">
        <v>122</v>
      </c>
      <c r="C3427">
        <v>7500</v>
      </c>
      <c r="D3427" t="s">
        <v>8</v>
      </c>
      <c r="E3427" t="s">
        <v>11</v>
      </c>
      <c r="F3427" s="5">
        <v>42736</v>
      </c>
      <c r="G3427">
        <v>132</v>
      </c>
    </row>
    <row r="3428" spans="1:7" x14ac:dyDescent="0.25">
      <c r="A3428" t="s">
        <v>120</v>
      </c>
      <c r="B3428" t="s">
        <v>122</v>
      </c>
      <c r="C3428">
        <v>7500</v>
      </c>
      <c r="D3428" t="s">
        <v>8</v>
      </c>
      <c r="E3428" t="s">
        <v>12</v>
      </c>
      <c r="F3428" s="5">
        <v>42370</v>
      </c>
      <c r="G3428">
        <v>0</v>
      </c>
    </row>
    <row r="3429" spans="1:7" x14ac:dyDescent="0.25">
      <c r="A3429" t="s">
        <v>120</v>
      </c>
      <c r="B3429" t="s">
        <v>122</v>
      </c>
      <c r="C3429">
        <v>7500</v>
      </c>
      <c r="D3429" t="s">
        <v>8</v>
      </c>
      <c r="E3429" t="s">
        <v>12</v>
      </c>
      <c r="F3429" s="5">
        <v>42736</v>
      </c>
      <c r="G3429">
        <v>0</v>
      </c>
    </row>
    <row r="3430" spans="1:7" x14ac:dyDescent="0.25">
      <c r="A3430" t="s">
        <v>120</v>
      </c>
      <c r="B3430" t="s">
        <v>122</v>
      </c>
      <c r="C3430">
        <v>7500</v>
      </c>
      <c r="D3430" t="s">
        <v>8</v>
      </c>
      <c r="E3430" t="s">
        <v>13</v>
      </c>
      <c r="F3430" s="5">
        <v>42370</v>
      </c>
      <c r="G3430">
        <v>0</v>
      </c>
    </row>
    <row r="3431" spans="1:7" x14ac:dyDescent="0.25">
      <c r="A3431" t="s">
        <v>120</v>
      </c>
      <c r="B3431" t="s">
        <v>122</v>
      </c>
      <c r="C3431">
        <v>7500</v>
      </c>
      <c r="D3431" t="s">
        <v>8</v>
      </c>
      <c r="E3431" t="s">
        <v>13</v>
      </c>
      <c r="F3431" s="5">
        <v>42736</v>
      </c>
      <c r="G3431">
        <v>0</v>
      </c>
    </row>
    <row r="3432" spans="1:7" x14ac:dyDescent="0.25">
      <c r="A3432" t="s">
        <v>120</v>
      </c>
      <c r="B3432" t="s">
        <v>122</v>
      </c>
      <c r="C3432">
        <v>7500</v>
      </c>
      <c r="D3432" t="s">
        <v>8</v>
      </c>
      <c r="E3432" t="s">
        <v>14</v>
      </c>
      <c r="F3432" s="5">
        <v>42370</v>
      </c>
      <c r="G3432">
        <v>0</v>
      </c>
    </row>
    <row r="3433" spans="1:7" x14ac:dyDescent="0.25">
      <c r="A3433" t="s">
        <v>120</v>
      </c>
      <c r="B3433" t="s">
        <v>122</v>
      </c>
      <c r="C3433">
        <v>7500</v>
      </c>
      <c r="D3433" t="s">
        <v>8</v>
      </c>
      <c r="E3433" t="s">
        <v>14</v>
      </c>
      <c r="F3433" s="5">
        <v>42736</v>
      </c>
      <c r="G3433">
        <v>0</v>
      </c>
    </row>
    <row r="3434" spans="1:7" x14ac:dyDescent="0.25">
      <c r="A3434" t="s">
        <v>120</v>
      </c>
      <c r="B3434" t="s">
        <v>122</v>
      </c>
      <c r="C3434">
        <v>7500</v>
      </c>
      <c r="D3434" t="s">
        <v>8</v>
      </c>
      <c r="E3434" t="s">
        <v>15</v>
      </c>
      <c r="F3434" s="5">
        <v>42370</v>
      </c>
      <c r="G3434">
        <v>0</v>
      </c>
    </row>
    <row r="3435" spans="1:7" x14ac:dyDescent="0.25">
      <c r="A3435" t="s">
        <v>120</v>
      </c>
      <c r="B3435" t="s">
        <v>122</v>
      </c>
      <c r="C3435">
        <v>7500</v>
      </c>
      <c r="D3435" t="s">
        <v>8</v>
      </c>
      <c r="E3435" t="s">
        <v>15</v>
      </c>
      <c r="F3435" s="5">
        <v>42736</v>
      </c>
      <c r="G3435">
        <v>0</v>
      </c>
    </row>
    <row r="3436" spans="1:7" x14ac:dyDescent="0.25">
      <c r="A3436" t="s">
        <v>120</v>
      </c>
      <c r="B3436" t="s">
        <v>122</v>
      </c>
      <c r="C3436">
        <v>7500</v>
      </c>
      <c r="D3436" t="s">
        <v>8</v>
      </c>
      <c r="E3436" t="s">
        <v>16</v>
      </c>
      <c r="F3436" s="5">
        <v>42370</v>
      </c>
      <c r="G3436">
        <v>33</v>
      </c>
    </row>
    <row r="3437" spans="1:7" x14ac:dyDescent="0.25">
      <c r="A3437" t="s">
        <v>120</v>
      </c>
      <c r="B3437" t="s">
        <v>122</v>
      </c>
      <c r="C3437">
        <v>7500</v>
      </c>
      <c r="D3437" t="s">
        <v>8</v>
      </c>
      <c r="E3437" t="s">
        <v>16</v>
      </c>
      <c r="F3437" s="5">
        <v>42736</v>
      </c>
      <c r="G3437">
        <v>62</v>
      </c>
    </row>
    <row r="3438" spans="1:7" x14ac:dyDescent="0.25">
      <c r="A3438" t="s">
        <v>120</v>
      </c>
      <c r="B3438" t="s">
        <v>122</v>
      </c>
      <c r="C3438">
        <v>7500</v>
      </c>
      <c r="D3438" t="s">
        <v>8</v>
      </c>
      <c r="E3438" t="s">
        <v>17</v>
      </c>
      <c r="F3438" s="5">
        <v>42370</v>
      </c>
      <c r="G3438">
        <v>0</v>
      </c>
    </row>
    <row r="3439" spans="1:7" x14ac:dyDescent="0.25">
      <c r="A3439" t="s">
        <v>120</v>
      </c>
      <c r="B3439" t="s">
        <v>122</v>
      </c>
      <c r="C3439">
        <v>7500</v>
      </c>
      <c r="D3439" t="s">
        <v>8</v>
      </c>
      <c r="E3439" t="s">
        <v>17</v>
      </c>
      <c r="F3439" s="5">
        <v>42736</v>
      </c>
      <c r="G3439">
        <v>0</v>
      </c>
    </row>
    <row r="3440" spans="1:7" x14ac:dyDescent="0.25">
      <c r="A3440" t="s">
        <v>120</v>
      </c>
      <c r="B3440" t="s">
        <v>122</v>
      </c>
      <c r="C3440">
        <v>7500</v>
      </c>
      <c r="D3440" t="s">
        <v>8</v>
      </c>
      <c r="E3440" t="s">
        <v>18</v>
      </c>
      <c r="F3440" s="5">
        <v>42370</v>
      </c>
      <c r="G3440">
        <v>28</v>
      </c>
    </row>
    <row r="3441" spans="1:7" x14ac:dyDescent="0.25">
      <c r="A3441" t="s">
        <v>120</v>
      </c>
      <c r="B3441" t="s">
        <v>122</v>
      </c>
      <c r="C3441">
        <v>7500</v>
      </c>
      <c r="D3441" t="s">
        <v>8</v>
      </c>
      <c r="E3441" t="s">
        <v>18</v>
      </c>
      <c r="F3441" s="5">
        <v>42736</v>
      </c>
      <c r="G3441">
        <v>33</v>
      </c>
    </row>
    <row r="3442" spans="1:7" x14ac:dyDescent="0.25">
      <c r="A3442" t="s">
        <v>120</v>
      </c>
      <c r="B3442" t="s">
        <v>122</v>
      </c>
      <c r="C3442">
        <v>7500</v>
      </c>
      <c r="D3442" t="s">
        <v>8</v>
      </c>
      <c r="E3442" t="s">
        <v>19</v>
      </c>
      <c r="F3442" s="5">
        <v>42370</v>
      </c>
      <c r="G3442">
        <v>0</v>
      </c>
    </row>
    <row r="3443" spans="1:7" x14ac:dyDescent="0.25">
      <c r="A3443" t="s">
        <v>120</v>
      </c>
      <c r="B3443" t="s">
        <v>122</v>
      </c>
      <c r="C3443">
        <v>7500</v>
      </c>
      <c r="D3443" t="s">
        <v>8</v>
      </c>
      <c r="E3443" t="s">
        <v>19</v>
      </c>
      <c r="F3443" s="5">
        <v>42736</v>
      </c>
      <c r="G3443">
        <v>0</v>
      </c>
    </row>
    <row r="3444" spans="1:7" x14ac:dyDescent="0.25">
      <c r="A3444" t="s">
        <v>120</v>
      </c>
      <c r="B3444" t="s">
        <v>122</v>
      </c>
      <c r="C3444">
        <v>7500</v>
      </c>
      <c r="D3444" t="s">
        <v>20</v>
      </c>
      <c r="E3444" t="s">
        <v>9</v>
      </c>
      <c r="F3444" s="5">
        <v>42370</v>
      </c>
      <c r="G3444">
        <v>9</v>
      </c>
    </row>
    <row r="3445" spans="1:7" x14ac:dyDescent="0.25">
      <c r="A3445" t="s">
        <v>120</v>
      </c>
      <c r="B3445" t="s">
        <v>122</v>
      </c>
      <c r="C3445">
        <v>7500</v>
      </c>
      <c r="D3445" t="s">
        <v>20</v>
      </c>
      <c r="E3445" t="s">
        <v>9</v>
      </c>
      <c r="F3445" s="5">
        <v>42736</v>
      </c>
      <c r="G3445">
        <v>55</v>
      </c>
    </row>
    <row r="3446" spans="1:7" x14ac:dyDescent="0.25">
      <c r="A3446" t="s">
        <v>120</v>
      </c>
      <c r="B3446" t="s">
        <v>122</v>
      </c>
      <c r="C3446">
        <v>7500</v>
      </c>
      <c r="D3446" t="s">
        <v>20</v>
      </c>
      <c r="E3446" t="s">
        <v>21</v>
      </c>
      <c r="F3446" s="5">
        <v>42370</v>
      </c>
      <c r="G3446">
        <v>2</v>
      </c>
    </row>
    <row r="3447" spans="1:7" x14ac:dyDescent="0.25">
      <c r="A3447" t="s">
        <v>120</v>
      </c>
      <c r="B3447" t="s">
        <v>122</v>
      </c>
      <c r="C3447">
        <v>7500</v>
      </c>
      <c r="D3447" t="s">
        <v>20</v>
      </c>
      <c r="E3447" t="s">
        <v>21</v>
      </c>
      <c r="F3447" s="5">
        <v>42736</v>
      </c>
      <c r="G3447">
        <v>6</v>
      </c>
    </row>
    <row r="3448" spans="1:7" x14ac:dyDescent="0.25">
      <c r="A3448" t="s">
        <v>120</v>
      </c>
      <c r="B3448" t="s">
        <v>122</v>
      </c>
      <c r="C3448">
        <v>7500</v>
      </c>
      <c r="D3448" t="s">
        <v>20</v>
      </c>
      <c r="E3448" t="s">
        <v>22</v>
      </c>
      <c r="F3448" s="5">
        <v>42370</v>
      </c>
      <c r="G3448">
        <v>4</v>
      </c>
    </row>
    <row r="3449" spans="1:7" x14ac:dyDescent="0.25">
      <c r="A3449" t="s">
        <v>120</v>
      </c>
      <c r="B3449" t="s">
        <v>122</v>
      </c>
      <c r="C3449">
        <v>7500</v>
      </c>
      <c r="D3449" t="s">
        <v>20</v>
      </c>
      <c r="E3449" t="s">
        <v>22</v>
      </c>
      <c r="F3449" s="5">
        <v>42736</v>
      </c>
      <c r="G3449">
        <v>6</v>
      </c>
    </row>
    <row r="3450" spans="1:7" x14ac:dyDescent="0.25">
      <c r="A3450" t="s">
        <v>120</v>
      </c>
      <c r="B3450" t="s">
        <v>122</v>
      </c>
      <c r="C3450">
        <v>7500</v>
      </c>
      <c r="D3450" t="s">
        <v>20</v>
      </c>
      <c r="E3450" t="s">
        <v>23</v>
      </c>
      <c r="F3450" s="5">
        <v>42370</v>
      </c>
      <c r="G3450">
        <v>1</v>
      </c>
    </row>
    <row r="3451" spans="1:7" x14ac:dyDescent="0.25">
      <c r="A3451" t="s">
        <v>120</v>
      </c>
      <c r="B3451" t="s">
        <v>122</v>
      </c>
      <c r="C3451">
        <v>7500</v>
      </c>
      <c r="D3451" t="s">
        <v>20</v>
      </c>
      <c r="E3451" t="s">
        <v>23</v>
      </c>
      <c r="F3451" s="5">
        <v>42736</v>
      </c>
      <c r="G3451">
        <v>3</v>
      </c>
    </row>
    <row r="3452" spans="1:7" x14ac:dyDescent="0.25">
      <c r="A3452" t="s">
        <v>120</v>
      </c>
      <c r="B3452" t="s">
        <v>122</v>
      </c>
      <c r="C3452">
        <v>7500</v>
      </c>
      <c r="D3452" t="s">
        <v>20</v>
      </c>
      <c r="E3452" t="s">
        <v>24</v>
      </c>
      <c r="F3452" s="5">
        <v>42370</v>
      </c>
      <c r="G3452">
        <v>0</v>
      </c>
    </row>
    <row r="3453" spans="1:7" x14ac:dyDescent="0.25">
      <c r="A3453" t="s">
        <v>120</v>
      </c>
      <c r="B3453" t="s">
        <v>122</v>
      </c>
      <c r="C3453">
        <v>7500</v>
      </c>
      <c r="D3453" t="s">
        <v>20</v>
      </c>
      <c r="E3453" t="s">
        <v>24</v>
      </c>
      <c r="F3453" s="5">
        <v>42736</v>
      </c>
      <c r="G3453">
        <v>0</v>
      </c>
    </row>
    <row r="3454" spans="1:7" x14ac:dyDescent="0.25">
      <c r="A3454" t="s">
        <v>120</v>
      </c>
      <c r="B3454" t="s">
        <v>122</v>
      </c>
      <c r="C3454">
        <v>7500</v>
      </c>
      <c r="D3454" t="s">
        <v>20</v>
      </c>
      <c r="E3454" t="s">
        <v>25</v>
      </c>
      <c r="F3454" s="5">
        <v>42370</v>
      </c>
      <c r="G3454">
        <v>0</v>
      </c>
    </row>
    <row r="3455" spans="1:7" x14ac:dyDescent="0.25">
      <c r="A3455" t="s">
        <v>120</v>
      </c>
      <c r="B3455" t="s">
        <v>122</v>
      </c>
      <c r="C3455">
        <v>7500</v>
      </c>
      <c r="D3455" t="s">
        <v>20</v>
      </c>
      <c r="E3455" t="s">
        <v>25</v>
      </c>
      <c r="F3455" s="5">
        <v>42736</v>
      </c>
      <c r="G3455">
        <v>0</v>
      </c>
    </row>
    <row r="3456" spans="1:7" x14ac:dyDescent="0.25">
      <c r="A3456" t="s">
        <v>120</v>
      </c>
      <c r="B3456" t="s">
        <v>122</v>
      </c>
      <c r="C3456">
        <v>7500</v>
      </c>
      <c r="D3456" t="s">
        <v>20</v>
      </c>
      <c r="E3456" t="s">
        <v>26</v>
      </c>
      <c r="F3456" s="5">
        <v>42370</v>
      </c>
      <c r="G3456">
        <v>178</v>
      </c>
    </row>
    <row r="3457" spans="1:7" x14ac:dyDescent="0.25">
      <c r="A3457" t="s">
        <v>120</v>
      </c>
      <c r="B3457" t="s">
        <v>122</v>
      </c>
      <c r="C3457">
        <v>7500</v>
      </c>
      <c r="D3457" t="s">
        <v>20</v>
      </c>
      <c r="E3457" t="s">
        <v>26</v>
      </c>
      <c r="F3457" s="5">
        <v>42736</v>
      </c>
      <c r="G3457">
        <v>255</v>
      </c>
    </row>
    <row r="3458" spans="1:7" x14ac:dyDescent="0.25">
      <c r="A3458" t="s">
        <v>120</v>
      </c>
      <c r="B3458" t="s">
        <v>122</v>
      </c>
      <c r="C3458">
        <v>7500</v>
      </c>
      <c r="D3458" t="s">
        <v>20</v>
      </c>
      <c r="E3458" t="s">
        <v>27</v>
      </c>
      <c r="F3458" s="5">
        <v>42370</v>
      </c>
      <c r="G3458">
        <v>1</v>
      </c>
    </row>
    <row r="3459" spans="1:7" x14ac:dyDescent="0.25">
      <c r="A3459" t="s">
        <v>120</v>
      </c>
      <c r="B3459" t="s">
        <v>122</v>
      </c>
      <c r="C3459">
        <v>7500</v>
      </c>
      <c r="D3459" t="s">
        <v>20</v>
      </c>
      <c r="E3459" t="s">
        <v>27</v>
      </c>
      <c r="F3459" s="5">
        <v>42736</v>
      </c>
      <c r="G3459">
        <v>2</v>
      </c>
    </row>
    <row r="3460" spans="1:7" x14ac:dyDescent="0.25">
      <c r="A3460" t="s">
        <v>120</v>
      </c>
      <c r="B3460" t="s">
        <v>122</v>
      </c>
      <c r="C3460">
        <v>7500</v>
      </c>
      <c r="D3460" t="s">
        <v>20</v>
      </c>
      <c r="E3460" t="s">
        <v>28</v>
      </c>
      <c r="F3460" s="5">
        <v>42370</v>
      </c>
      <c r="G3460">
        <v>0</v>
      </c>
    </row>
    <row r="3461" spans="1:7" x14ac:dyDescent="0.25">
      <c r="A3461" t="s">
        <v>120</v>
      </c>
      <c r="B3461" t="s">
        <v>122</v>
      </c>
      <c r="C3461">
        <v>7500</v>
      </c>
      <c r="D3461" t="s">
        <v>20</v>
      </c>
      <c r="E3461" t="s">
        <v>28</v>
      </c>
      <c r="F3461" s="5">
        <v>42736</v>
      </c>
      <c r="G3461">
        <v>0</v>
      </c>
    </row>
    <row r="3462" spans="1:7" x14ac:dyDescent="0.25">
      <c r="A3462" t="s">
        <v>120</v>
      </c>
      <c r="B3462" t="s">
        <v>122</v>
      </c>
      <c r="C3462">
        <v>7500</v>
      </c>
      <c r="D3462" t="s">
        <v>20</v>
      </c>
      <c r="E3462" t="s">
        <v>29</v>
      </c>
      <c r="F3462" s="5">
        <v>42370</v>
      </c>
      <c r="G3462">
        <v>179</v>
      </c>
    </row>
    <row r="3463" spans="1:7" x14ac:dyDescent="0.25">
      <c r="A3463" t="s">
        <v>120</v>
      </c>
      <c r="B3463" t="s">
        <v>122</v>
      </c>
      <c r="C3463">
        <v>7500</v>
      </c>
      <c r="D3463" t="s">
        <v>20</v>
      </c>
      <c r="E3463" t="s">
        <v>29</v>
      </c>
      <c r="F3463" s="5">
        <v>42736</v>
      </c>
      <c r="G3463">
        <v>263</v>
      </c>
    </row>
    <row r="3464" spans="1:7" x14ac:dyDescent="0.25">
      <c r="A3464" t="s">
        <v>120</v>
      </c>
      <c r="B3464" t="s">
        <v>122</v>
      </c>
      <c r="C3464">
        <v>7500</v>
      </c>
      <c r="D3464" t="s">
        <v>20</v>
      </c>
      <c r="E3464" t="s">
        <v>30</v>
      </c>
      <c r="F3464" s="5">
        <v>42370</v>
      </c>
      <c r="G3464">
        <v>178</v>
      </c>
    </row>
    <row r="3465" spans="1:7" x14ac:dyDescent="0.25">
      <c r="A3465" t="s">
        <v>120</v>
      </c>
      <c r="B3465" t="s">
        <v>122</v>
      </c>
      <c r="C3465">
        <v>7500</v>
      </c>
      <c r="D3465" t="s">
        <v>20</v>
      </c>
      <c r="E3465" t="s">
        <v>30</v>
      </c>
      <c r="F3465" s="5">
        <v>42736</v>
      </c>
      <c r="G3465">
        <v>259</v>
      </c>
    </row>
    <row r="3466" spans="1:7" x14ac:dyDescent="0.25">
      <c r="A3466" t="s">
        <v>120</v>
      </c>
      <c r="B3466" t="s">
        <v>122</v>
      </c>
      <c r="C3466">
        <v>7500</v>
      </c>
      <c r="D3466" t="s">
        <v>20</v>
      </c>
      <c r="E3466" t="s">
        <v>31</v>
      </c>
      <c r="F3466" s="5">
        <v>42370</v>
      </c>
      <c r="G3466">
        <v>306</v>
      </c>
    </row>
    <row r="3467" spans="1:7" x14ac:dyDescent="0.25">
      <c r="A3467" t="s">
        <v>120</v>
      </c>
      <c r="B3467" t="s">
        <v>122</v>
      </c>
      <c r="C3467">
        <v>7500</v>
      </c>
      <c r="D3467" t="s">
        <v>20</v>
      </c>
      <c r="E3467" t="s">
        <v>31</v>
      </c>
      <c r="F3467" s="5">
        <v>42736</v>
      </c>
      <c r="G3467">
        <v>545</v>
      </c>
    </row>
    <row r="3468" spans="1:7" x14ac:dyDescent="0.25">
      <c r="A3468" t="s">
        <v>120</v>
      </c>
      <c r="B3468" t="s">
        <v>122</v>
      </c>
      <c r="C3468">
        <v>7500</v>
      </c>
      <c r="D3468" t="s">
        <v>20</v>
      </c>
      <c r="E3468" t="s">
        <v>32</v>
      </c>
      <c r="F3468" s="5">
        <v>42370</v>
      </c>
      <c r="G3468">
        <v>178</v>
      </c>
    </row>
    <row r="3469" spans="1:7" x14ac:dyDescent="0.25">
      <c r="A3469" t="s">
        <v>120</v>
      </c>
      <c r="B3469" t="s">
        <v>122</v>
      </c>
      <c r="C3469">
        <v>7500</v>
      </c>
      <c r="D3469" t="s">
        <v>20</v>
      </c>
      <c r="E3469" t="s">
        <v>32</v>
      </c>
      <c r="F3469" s="5">
        <v>42736</v>
      </c>
      <c r="G3469">
        <v>258</v>
      </c>
    </row>
    <row r="3470" spans="1:7" x14ac:dyDescent="0.25">
      <c r="A3470" t="s">
        <v>120</v>
      </c>
      <c r="B3470" t="s">
        <v>122</v>
      </c>
      <c r="C3470">
        <v>7500</v>
      </c>
      <c r="D3470" t="s">
        <v>33</v>
      </c>
      <c r="E3470" t="s">
        <v>9</v>
      </c>
      <c r="F3470" s="5">
        <v>42370</v>
      </c>
      <c r="G3470">
        <v>0</v>
      </c>
    </row>
    <row r="3471" spans="1:7" x14ac:dyDescent="0.25">
      <c r="A3471" t="s">
        <v>120</v>
      </c>
      <c r="B3471" t="s">
        <v>122</v>
      </c>
      <c r="C3471">
        <v>7500</v>
      </c>
      <c r="D3471" t="s">
        <v>33</v>
      </c>
      <c r="E3471" t="s">
        <v>9</v>
      </c>
      <c r="F3471" s="5">
        <v>42736</v>
      </c>
      <c r="G3471">
        <v>0</v>
      </c>
    </row>
    <row r="3472" spans="1:7" x14ac:dyDescent="0.25">
      <c r="A3472" t="s">
        <v>120</v>
      </c>
      <c r="B3472" t="s">
        <v>122</v>
      </c>
      <c r="C3472">
        <v>7500</v>
      </c>
      <c r="D3472" t="s">
        <v>33</v>
      </c>
      <c r="E3472" t="s">
        <v>34</v>
      </c>
      <c r="F3472" s="5">
        <v>42370</v>
      </c>
      <c r="G3472">
        <v>0</v>
      </c>
    </row>
    <row r="3473" spans="1:7" x14ac:dyDescent="0.25">
      <c r="A3473" t="s">
        <v>120</v>
      </c>
      <c r="B3473" t="s">
        <v>122</v>
      </c>
      <c r="C3473">
        <v>7500</v>
      </c>
      <c r="D3473" t="s">
        <v>33</v>
      </c>
      <c r="E3473" t="s">
        <v>34</v>
      </c>
      <c r="F3473" s="5">
        <v>42736</v>
      </c>
      <c r="G3473">
        <v>0</v>
      </c>
    </row>
    <row r="3474" spans="1:7" x14ac:dyDescent="0.25">
      <c r="A3474" t="s">
        <v>120</v>
      </c>
      <c r="B3474" t="s">
        <v>122</v>
      </c>
      <c r="C3474">
        <v>7500</v>
      </c>
      <c r="D3474" t="s">
        <v>35</v>
      </c>
      <c r="E3474" t="s">
        <v>36</v>
      </c>
      <c r="F3474" s="5">
        <v>42370</v>
      </c>
      <c r="G3474">
        <v>0</v>
      </c>
    </row>
    <row r="3475" spans="1:7" x14ac:dyDescent="0.25">
      <c r="A3475" t="s">
        <v>120</v>
      </c>
      <c r="B3475" t="s">
        <v>122</v>
      </c>
      <c r="C3475">
        <v>7500</v>
      </c>
      <c r="D3475" t="s">
        <v>35</v>
      </c>
      <c r="E3475" t="s">
        <v>36</v>
      </c>
      <c r="F3475" s="5">
        <v>42736</v>
      </c>
      <c r="G3475">
        <v>0</v>
      </c>
    </row>
    <row r="3476" spans="1:7" x14ac:dyDescent="0.25">
      <c r="A3476" t="s">
        <v>120</v>
      </c>
      <c r="B3476" t="s">
        <v>122</v>
      </c>
      <c r="C3476">
        <v>7500</v>
      </c>
      <c r="D3476" t="s">
        <v>35</v>
      </c>
      <c r="E3476" t="s">
        <v>37</v>
      </c>
      <c r="F3476" s="5">
        <v>42370</v>
      </c>
      <c r="G3476">
        <v>0</v>
      </c>
    </row>
    <row r="3477" spans="1:7" x14ac:dyDescent="0.25">
      <c r="A3477" t="s">
        <v>120</v>
      </c>
      <c r="B3477" t="s">
        <v>122</v>
      </c>
      <c r="C3477">
        <v>7500</v>
      </c>
      <c r="D3477" t="s">
        <v>35</v>
      </c>
      <c r="E3477" t="s">
        <v>37</v>
      </c>
      <c r="F3477" s="5">
        <v>42736</v>
      </c>
      <c r="G3477">
        <v>0</v>
      </c>
    </row>
    <row r="3478" spans="1:7" x14ac:dyDescent="0.25">
      <c r="A3478" t="s">
        <v>120</v>
      </c>
      <c r="B3478" t="s">
        <v>122</v>
      </c>
      <c r="C3478">
        <v>7500</v>
      </c>
      <c r="D3478" t="s">
        <v>35</v>
      </c>
      <c r="E3478" t="s">
        <v>38</v>
      </c>
      <c r="F3478" s="5">
        <v>42370</v>
      </c>
      <c r="G3478">
        <v>0</v>
      </c>
    </row>
    <row r="3479" spans="1:7" x14ac:dyDescent="0.25">
      <c r="A3479" t="s">
        <v>120</v>
      </c>
      <c r="B3479" t="s">
        <v>122</v>
      </c>
      <c r="C3479">
        <v>7500</v>
      </c>
      <c r="D3479" t="s">
        <v>35</v>
      </c>
      <c r="E3479" t="s">
        <v>38</v>
      </c>
      <c r="F3479" s="5">
        <v>42736</v>
      </c>
      <c r="G3479">
        <v>0</v>
      </c>
    </row>
    <row r="3480" spans="1:7" x14ac:dyDescent="0.25">
      <c r="A3480" t="s">
        <v>120</v>
      </c>
      <c r="B3480" t="s">
        <v>122</v>
      </c>
      <c r="C3480">
        <v>7500</v>
      </c>
      <c r="D3480" t="s">
        <v>35</v>
      </c>
      <c r="E3480" t="s">
        <v>39</v>
      </c>
      <c r="F3480" s="5">
        <v>42370</v>
      </c>
      <c r="G3480">
        <v>0</v>
      </c>
    </row>
    <row r="3481" spans="1:7" x14ac:dyDescent="0.25">
      <c r="A3481" t="s">
        <v>120</v>
      </c>
      <c r="B3481" t="s">
        <v>122</v>
      </c>
      <c r="C3481">
        <v>7500</v>
      </c>
      <c r="D3481" t="s">
        <v>35</v>
      </c>
      <c r="E3481" t="s">
        <v>39</v>
      </c>
      <c r="F3481" s="5">
        <v>42736</v>
      </c>
      <c r="G3481">
        <v>0</v>
      </c>
    </row>
    <row r="3482" spans="1:7" x14ac:dyDescent="0.25">
      <c r="A3482" t="s">
        <v>120</v>
      </c>
      <c r="B3482" t="s">
        <v>122</v>
      </c>
      <c r="C3482">
        <v>7500</v>
      </c>
      <c r="D3482" t="s">
        <v>35</v>
      </c>
      <c r="E3482" t="s">
        <v>40</v>
      </c>
      <c r="F3482" s="5">
        <v>42370</v>
      </c>
      <c r="G3482">
        <v>7</v>
      </c>
    </row>
    <row r="3483" spans="1:7" x14ac:dyDescent="0.25">
      <c r="A3483" t="s">
        <v>120</v>
      </c>
      <c r="B3483" t="s">
        <v>122</v>
      </c>
      <c r="C3483">
        <v>7500</v>
      </c>
      <c r="D3483" t="s">
        <v>35</v>
      </c>
      <c r="E3483" t="s">
        <v>40</v>
      </c>
      <c r="F3483" s="5">
        <v>42736</v>
      </c>
      <c r="G3483">
        <v>5</v>
      </c>
    </row>
    <row r="3484" spans="1:7" x14ac:dyDescent="0.25">
      <c r="A3484" t="s">
        <v>120</v>
      </c>
      <c r="B3484" t="s">
        <v>122</v>
      </c>
      <c r="C3484">
        <v>7500</v>
      </c>
      <c r="D3484" t="s">
        <v>35</v>
      </c>
      <c r="E3484" t="s">
        <v>41</v>
      </c>
      <c r="F3484" s="5">
        <v>42370</v>
      </c>
      <c r="G3484">
        <v>0</v>
      </c>
    </row>
    <row r="3485" spans="1:7" x14ac:dyDescent="0.25">
      <c r="A3485" t="s">
        <v>120</v>
      </c>
      <c r="B3485" t="s">
        <v>122</v>
      </c>
      <c r="C3485">
        <v>7500</v>
      </c>
      <c r="D3485" t="s">
        <v>35</v>
      </c>
      <c r="E3485" t="s">
        <v>41</v>
      </c>
      <c r="F3485" s="5">
        <v>42736</v>
      </c>
      <c r="G3485">
        <v>4</v>
      </c>
    </row>
    <row r="3486" spans="1:7" x14ac:dyDescent="0.25">
      <c r="A3486" t="s">
        <v>120</v>
      </c>
      <c r="B3486" t="s">
        <v>122</v>
      </c>
      <c r="C3486">
        <v>7500</v>
      </c>
      <c r="D3486" t="s">
        <v>35</v>
      </c>
      <c r="E3486" t="s">
        <v>42</v>
      </c>
      <c r="F3486" s="5">
        <v>42370</v>
      </c>
      <c r="G3486">
        <v>5</v>
      </c>
    </row>
    <row r="3487" spans="1:7" x14ac:dyDescent="0.25">
      <c r="A3487" t="s">
        <v>120</v>
      </c>
      <c r="B3487" t="s">
        <v>122</v>
      </c>
      <c r="C3487">
        <v>7500</v>
      </c>
      <c r="D3487" t="s">
        <v>35</v>
      </c>
      <c r="E3487" t="s">
        <v>42</v>
      </c>
      <c r="F3487" s="5">
        <v>42736</v>
      </c>
      <c r="G3487">
        <v>3</v>
      </c>
    </row>
    <row r="3488" spans="1:7" x14ac:dyDescent="0.25">
      <c r="A3488" t="s">
        <v>120</v>
      </c>
      <c r="B3488" t="s">
        <v>122</v>
      </c>
      <c r="C3488">
        <v>7500</v>
      </c>
      <c r="D3488" t="s">
        <v>35</v>
      </c>
      <c r="E3488" t="s">
        <v>43</v>
      </c>
      <c r="F3488" s="5">
        <v>42370</v>
      </c>
      <c r="G3488">
        <v>0</v>
      </c>
    </row>
    <row r="3489" spans="1:7" x14ac:dyDescent="0.25">
      <c r="A3489" t="s">
        <v>120</v>
      </c>
      <c r="B3489" t="s">
        <v>122</v>
      </c>
      <c r="C3489">
        <v>7500</v>
      </c>
      <c r="D3489" t="s">
        <v>35</v>
      </c>
      <c r="E3489" t="s">
        <v>43</v>
      </c>
      <c r="F3489" s="5">
        <v>42736</v>
      </c>
      <c r="G3489">
        <v>0</v>
      </c>
    </row>
    <row r="3490" spans="1:7" x14ac:dyDescent="0.25">
      <c r="A3490" t="s">
        <v>120</v>
      </c>
      <c r="B3490" t="s">
        <v>122</v>
      </c>
      <c r="C3490">
        <v>7500</v>
      </c>
      <c r="D3490" t="s">
        <v>44</v>
      </c>
      <c r="E3490" t="s">
        <v>36</v>
      </c>
      <c r="F3490" s="5">
        <v>42370</v>
      </c>
      <c r="G3490">
        <v>0</v>
      </c>
    </row>
    <row r="3491" spans="1:7" x14ac:dyDescent="0.25">
      <c r="A3491" t="s">
        <v>120</v>
      </c>
      <c r="B3491" t="s">
        <v>122</v>
      </c>
      <c r="C3491">
        <v>7500</v>
      </c>
      <c r="D3491" t="s">
        <v>44</v>
      </c>
      <c r="E3491" t="s">
        <v>36</v>
      </c>
      <c r="F3491" s="5">
        <v>42736</v>
      </c>
      <c r="G3491">
        <v>0</v>
      </c>
    </row>
    <row r="3492" spans="1:7" x14ac:dyDescent="0.25">
      <c r="A3492" t="s">
        <v>120</v>
      </c>
      <c r="B3492" t="s">
        <v>122</v>
      </c>
      <c r="C3492">
        <v>7500</v>
      </c>
      <c r="D3492" t="s">
        <v>44</v>
      </c>
      <c r="E3492" t="s">
        <v>37</v>
      </c>
      <c r="F3492" s="5">
        <v>42370</v>
      </c>
      <c r="G3492">
        <v>0</v>
      </c>
    </row>
    <row r="3493" spans="1:7" x14ac:dyDescent="0.25">
      <c r="A3493" t="s">
        <v>120</v>
      </c>
      <c r="B3493" t="s">
        <v>122</v>
      </c>
      <c r="C3493">
        <v>7500</v>
      </c>
      <c r="D3493" t="s">
        <v>44</v>
      </c>
      <c r="E3493" t="s">
        <v>37</v>
      </c>
      <c r="F3493" s="5">
        <v>42736</v>
      </c>
      <c r="G3493">
        <v>0</v>
      </c>
    </row>
    <row r="3494" spans="1:7" x14ac:dyDescent="0.25">
      <c r="A3494" t="s">
        <v>120</v>
      </c>
      <c r="B3494" t="s">
        <v>122</v>
      </c>
      <c r="C3494">
        <v>7500</v>
      </c>
      <c r="D3494" t="s">
        <v>44</v>
      </c>
      <c r="E3494" t="s">
        <v>38</v>
      </c>
      <c r="F3494" s="5">
        <v>42370</v>
      </c>
      <c r="G3494">
        <v>0</v>
      </c>
    </row>
    <row r="3495" spans="1:7" x14ac:dyDescent="0.25">
      <c r="A3495" t="s">
        <v>120</v>
      </c>
      <c r="B3495" t="s">
        <v>122</v>
      </c>
      <c r="C3495">
        <v>7500</v>
      </c>
      <c r="D3495" t="s">
        <v>44</v>
      </c>
      <c r="E3495" t="s">
        <v>38</v>
      </c>
      <c r="F3495" s="5">
        <v>42736</v>
      </c>
      <c r="G3495">
        <v>0</v>
      </c>
    </row>
    <row r="3496" spans="1:7" x14ac:dyDescent="0.25">
      <c r="A3496" t="s">
        <v>120</v>
      </c>
      <c r="B3496" t="s">
        <v>122</v>
      </c>
      <c r="C3496">
        <v>7500</v>
      </c>
      <c r="D3496" t="s">
        <v>44</v>
      </c>
      <c r="E3496" t="s">
        <v>39</v>
      </c>
      <c r="F3496" s="5">
        <v>42370</v>
      </c>
      <c r="G3496">
        <v>0</v>
      </c>
    </row>
    <row r="3497" spans="1:7" x14ac:dyDescent="0.25">
      <c r="A3497" t="s">
        <v>120</v>
      </c>
      <c r="B3497" t="s">
        <v>122</v>
      </c>
      <c r="C3497">
        <v>7500</v>
      </c>
      <c r="D3497" t="s">
        <v>44</v>
      </c>
      <c r="E3497" t="s">
        <v>39</v>
      </c>
      <c r="F3497" s="5">
        <v>42736</v>
      </c>
      <c r="G3497">
        <v>0</v>
      </c>
    </row>
    <row r="3498" spans="1:7" x14ac:dyDescent="0.25">
      <c r="A3498" t="s">
        <v>120</v>
      </c>
      <c r="B3498" t="s">
        <v>122</v>
      </c>
      <c r="C3498">
        <v>7500</v>
      </c>
      <c r="D3498" t="s">
        <v>44</v>
      </c>
      <c r="E3498" t="s">
        <v>40</v>
      </c>
      <c r="F3498" s="5">
        <v>42370</v>
      </c>
      <c r="G3498">
        <v>0</v>
      </c>
    </row>
    <row r="3499" spans="1:7" x14ac:dyDescent="0.25">
      <c r="A3499" t="s">
        <v>120</v>
      </c>
      <c r="B3499" t="s">
        <v>122</v>
      </c>
      <c r="C3499">
        <v>7500</v>
      </c>
      <c r="D3499" t="s">
        <v>44</v>
      </c>
      <c r="E3499" t="s">
        <v>40</v>
      </c>
      <c r="F3499" s="5">
        <v>42736</v>
      </c>
      <c r="G3499">
        <v>0</v>
      </c>
    </row>
    <row r="3500" spans="1:7" x14ac:dyDescent="0.25">
      <c r="A3500" t="s">
        <v>120</v>
      </c>
      <c r="B3500" t="s">
        <v>122</v>
      </c>
      <c r="C3500">
        <v>7500</v>
      </c>
      <c r="D3500" t="s">
        <v>44</v>
      </c>
      <c r="E3500" t="s">
        <v>41</v>
      </c>
      <c r="F3500" s="5">
        <v>42370</v>
      </c>
      <c r="G3500">
        <v>0</v>
      </c>
    </row>
    <row r="3501" spans="1:7" x14ac:dyDescent="0.25">
      <c r="A3501" t="s">
        <v>120</v>
      </c>
      <c r="B3501" t="s">
        <v>122</v>
      </c>
      <c r="C3501">
        <v>7500</v>
      </c>
      <c r="D3501" t="s">
        <v>44</v>
      </c>
      <c r="E3501" t="s">
        <v>41</v>
      </c>
      <c r="F3501" s="5">
        <v>42736</v>
      </c>
      <c r="G3501">
        <v>1</v>
      </c>
    </row>
    <row r="3502" spans="1:7" x14ac:dyDescent="0.25">
      <c r="A3502" t="s">
        <v>120</v>
      </c>
      <c r="B3502" t="s">
        <v>122</v>
      </c>
      <c r="C3502">
        <v>7500</v>
      </c>
      <c r="D3502" t="s">
        <v>44</v>
      </c>
      <c r="E3502" t="s">
        <v>42</v>
      </c>
      <c r="F3502" s="5">
        <v>42370</v>
      </c>
      <c r="G3502">
        <v>0</v>
      </c>
    </row>
    <row r="3503" spans="1:7" x14ac:dyDescent="0.25">
      <c r="A3503" t="s">
        <v>120</v>
      </c>
      <c r="B3503" t="s">
        <v>122</v>
      </c>
      <c r="C3503">
        <v>7500</v>
      </c>
      <c r="D3503" t="s">
        <v>44</v>
      </c>
      <c r="E3503" t="s">
        <v>42</v>
      </c>
      <c r="F3503" s="5">
        <v>42736</v>
      </c>
      <c r="G3503">
        <v>0</v>
      </c>
    </row>
    <row r="3504" spans="1:7" x14ac:dyDescent="0.25">
      <c r="A3504" t="s">
        <v>120</v>
      </c>
      <c r="B3504" t="s">
        <v>122</v>
      </c>
      <c r="C3504">
        <v>7500</v>
      </c>
      <c r="D3504" t="s">
        <v>44</v>
      </c>
      <c r="E3504" t="s">
        <v>43</v>
      </c>
      <c r="F3504" s="5">
        <v>42370</v>
      </c>
      <c r="G3504">
        <v>0</v>
      </c>
    </row>
    <row r="3505" spans="1:7" x14ac:dyDescent="0.25">
      <c r="A3505" t="s">
        <v>120</v>
      </c>
      <c r="B3505" t="s">
        <v>122</v>
      </c>
      <c r="C3505">
        <v>7500</v>
      </c>
      <c r="D3505" t="s">
        <v>44</v>
      </c>
      <c r="E3505" t="s">
        <v>43</v>
      </c>
      <c r="F3505" s="5">
        <v>42736</v>
      </c>
      <c r="G3505">
        <v>1</v>
      </c>
    </row>
    <row r="3506" spans="1:7" x14ac:dyDescent="0.25">
      <c r="A3506" t="s">
        <v>120</v>
      </c>
      <c r="B3506" t="s">
        <v>122</v>
      </c>
      <c r="C3506">
        <v>7500</v>
      </c>
      <c r="D3506" t="s">
        <v>45</v>
      </c>
      <c r="E3506" t="s">
        <v>46</v>
      </c>
      <c r="F3506" s="5">
        <v>42370</v>
      </c>
      <c r="G3506">
        <v>0</v>
      </c>
    </row>
    <row r="3507" spans="1:7" x14ac:dyDescent="0.25">
      <c r="A3507" t="s">
        <v>120</v>
      </c>
      <c r="B3507" t="s">
        <v>122</v>
      </c>
      <c r="C3507">
        <v>7500</v>
      </c>
      <c r="D3507" t="s">
        <v>45</v>
      </c>
      <c r="E3507" t="s">
        <v>46</v>
      </c>
      <c r="F3507" s="5">
        <v>42736</v>
      </c>
      <c r="G3507">
        <v>0</v>
      </c>
    </row>
    <row r="3508" spans="1:7" x14ac:dyDescent="0.25">
      <c r="A3508" t="s">
        <v>120</v>
      </c>
      <c r="B3508" t="s">
        <v>122</v>
      </c>
      <c r="C3508">
        <v>7500</v>
      </c>
      <c r="D3508" t="s">
        <v>45</v>
      </c>
      <c r="E3508" t="s">
        <v>47</v>
      </c>
      <c r="F3508" s="5">
        <v>42370</v>
      </c>
      <c r="G3508">
        <v>4</v>
      </c>
    </row>
    <row r="3509" spans="1:7" x14ac:dyDescent="0.25">
      <c r="A3509" t="s">
        <v>120</v>
      </c>
      <c r="B3509" t="s">
        <v>122</v>
      </c>
      <c r="C3509">
        <v>7500</v>
      </c>
      <c r="D3509" t="s">
        <v>45</v>
      </c>
      <c r="E3509" t="s">
        <v>47</v>
      </c>
      <c r="F3509" s="5">
        <v>42736</v>
      </c>
      <c r="G3509">
        <v>50</v>
      </c>
    </row>
    <row r="3510" spans="1:7" x14ac:dyDescent="0.25">
      <c r="A3510" t="s">
        <v>120</v>
      </c>
      <c r="B3510" t="s">
        <v>122</v>
      </c>
      <c r="C3510">
        <v>7500</v>
      </c>
      <c r="D3510" t="s">
        <v>45</v>
      </c>
      <c r="E3510" t="s">
        <v>48</v>
      </c>
      <c r="F3510" s="5">
        <v>42370</v>
      </c>
      <c r="G3510">
        <v>81</v>
      </c>
    </row>
    <row r="3511" spans="1:7" x14ac:dyDescent="0.25">
      <c r="A3511" t="s">
        <v>120</v>
      </c>
      <c r="B3511" t="s">
        <v>122</v>
      </c>
      <c r="C3511">
        <v>7500</v>
      </c>
      <c r="D3511" t="s">
        <v>45</v>
      </c>
      <c r="E3511" t="s">
        <v>48</v>
      </c>
      <c r="F3511" s="5">
        <v>42736</v>
      </c>
      <c r="G3511">
        <v>91</v>
      </c>
    </row>
    <row r="3512" spans="1:7" x14ac:dyDescent="0.25">
      <c r="A3512" t="s">
        <v>120</v>
      </c>
      <c r="B3512" t="s">
        <v>122</v>
      </c>
      <c r="C3512">
        <v>7500</v>
      </c>
      <c r="D3512" t="s">
        <v>45</v>
      </c>
      <c r="E3512" t="s">
        <v>49</v>
      </c>
      <c r="F3512" s="5">
        <v>42370</v>
      </c>
      <c r="G3512">
        <v>69</v>
      </c>
    </row>
    <row r="3513" spans="1:7" x14ac:dyDescent="0.25">
      <c r="A3513" t="s">
        <v>120</v>
      </c>
      <c r="B3513" t="s">
        <v>122</v>
      </c>
      <c r="C3513">
        <v>7500</v>
      </c>
      <c r="D3513" t="s">
        <v>45</v>
      </c>
      <c r="E3513" t="s">
        <v>49</v>
      </c>
      <c r="F3513" s="5">
        <v>42736</v>
      </c>
      <c r="G3513">
        <v>82</v>
      </c>
    </row>
    <row r="3514" spans="1:7" x14ac:dyDescent="0.25">
      <c r="A3514" t="s">
        <v>120</v>
      </c>
      <c r="B3514" t="s">
        <v>122</v>
      </c>
      <c r="C3514">
        <v>7500</v>
      </c>
      <c r="D3514" t="s">
        <v>45</v>
      </c>
      <c r="E3514" t="s">
        <v>50</v>
      </c>
      <c r="F3514" s="5">
        <v>42370</v>
      </c>
      <c r="G3514">
        <v>1</v>
      </c>
    </row>
    <row r="3515" spans="1:7" x14ac:dyDescent="0.25">
      <c r="A3515" t="s">
        <v>120</v>
      </c>
      <c r="B3515" t="s">
        <v>122</v>
      </c>
      <c r="C3515">
        <v>7500</v>
      </c>
      <c r="D3515" t="s">
        <v>45</v>
      </c>
      <c r="E3515" t="s">
        <v>50</v>
      </c>
      <c r="F3515" s="5">
        <v>42736</v>
      </c>
      <c r="G3515">
        <v>31</v>
      </c>
    </row>
    <row r="3516" spans="1:7" x14ac:dyDescent="0.25">
      <c r="A3516" t="s">
        <v>120</v>
      </c>
      <c r="B3516" t="s">
        <v>122</v>
      </c>
      <c r="C3516">
        <v>7500</v>
      </c>
      <c r="D3516" t="s">
        <v>45</v>
      </c>
      <c r="E3516" t="s">
        <v>51</v>
      </c>
      <c r="F3516" s="5">
        <v>42370</v>
      </c>
      <c r="G3516">
        <v>0</v>
      </c>
    </row>
    <row r="3517" spans="1:7" x14ac:dyDescent="0.25">
      <c r="A3517" t="s">
        <v>120</v>
      </c>
      <c r="B3517" t="s">
        <v>122</v>
      </c>
      <c r="C3517">
        <v>7500</v>
      </c>
      <c r="D3517" t="s">
        <v>45</v>
      </c>
      <c r="E3517" t="s">
        <v>51</v>
      </c>
      <c r="F3517" s="5">
        <v>42736</v>
      </c>
      <c r="G3517">
        <v>0</v>
      </c>
    </row>
    <row r="3518" spans="1:7" x14ac:dyDescent="0.25">
      <c r="A3518" t="s">
        <v>120</v>
      </c>
      <c r="B3518" t="s">
        <v>122</v>
      </c>
      <c r="C3518">
        <v>7500</v>
      </c>
      <c r="D3518" t="s">
        <v>45</v>
      </c>
      <c r="E3518" t="s">
        <v>52</v>
      </c>
      <c r="F3518" s="5">
        <v>42370</v>
      </c>
      <c r="G3518">
        <v>0</v>
      </c>
    </row>
    <row r="3519" spans="1:7" x14ac:dyDescent="0.25">
      <c r="A3519" t="s">
        <v>120</v>
      </c>
      <c r="B3519" t="s">
        <v>122</v>
      </c>
      <c r="C3519">
        <v>7500</v>
      </c>
      <c r="D3519" t="s">
        <v>45</v>
      </c>
      <c r="E3519" t="s">
        <v>52</v>
      </c>
      <c r="F3519" s="5">
        <v>42736</v>
      </c>
      <c r="G3519">
        <v>0</v>
      </c>
    </row>
    <row r="3520" spans="1:7" x14ac:dyDescent="0.25">
      <c r="A3520" t="s">
        <v>120</v>
      </c>
      <c r="B3520" t="s">
        <v>122</v>
      </c>
      <c r="C3520">
        <v>7500</v>
      </c>
      <c r="D3520" t="s">
        <v>45</v>
      </c>
      <c r="E3520" t="s">
        <v>53</v>
      </c>
      <c r="F3520" s="5">
        <v>42370</v>
      </c>
      <c r="G3520">
        <v>30</v>
      </c>
    </row>
    <row r="3521" spans="1:7" x14ac:dyDescent="0.25">
      <c r="A3521" t="s">
        <v>120</v>
      </c>
      <c r="B3521" t="s">
        <v>122</v>
      </c>
      <c r="C3521">
        <v>7500</v>
      </c>
      <c r="D3521" t="s">
        <v>45</v>
      </c>
      <c r="E3521" t="s">
        <v>53</v>
      </c>
      <c r="F3521" s="5">
        <v>42736</v>
      </c>
      <c r="G3521">
        <v>108</v>
      </c>
    </row>
    <row r="3522" spans="1:7" x14ac:dyDescent="0.25">
      <c r="A3522" t="s">
        <v>120</v>
      </c>
      <c r="B3522" t="s">
        <v>122</v>
      </c>
      <c r="C3522">
        <v>7500</v>
      </c>
      <c r="D3522" t="s">
        <v>45</v>
      </c>
      <c r="E3522" t="s">
        <v>54</v>
      </c>
      <c r="F3522" s="5">
        <v>42370</v>
      </c>
      <c r="G3522">
        <v>0</v>
      </c>
    </row>
    <row r="3523" spans="1:7" x14ac:dyDescent="0.25">
      <c r="A3523" t="s">
        <v>120</v>
      </c>
      <c r="B3523" t="s">
        <v>122</v>
      </c>
      <c r="C3523">
        <v>7500</v>
      </c>
      <c r="D3523" t="s">
        <v>45</v>
      </c>
      <c r="E3523" t="s">
        <v>54</v>
      </c>
      <c r="F3523" s="5">
        <v>42736</v>
      </c>
      <c r="G3523">
        <v>1</v>
      </c>
    </row>
    <row r="3524" spans="1:7" x14ac:dyDescent="0.25">
      <c r="A3524" t="s">
        <v>120</v>
      </c>
      <c r="B3524" t="s">
        <v>122</v>
      </c>
      <c r="C3524">
        <v>7500</v>
      </c>
      <c r="D3524" t="s">
        <v>45</v>
      </c>
      <c r="E3524" t="s">
        <v>55</v>
      </c>
      <c r="F3524" s="5">
        <v>42370</v>
      </c>
      <c r="G3524">
        <v>4</v>
      </c>
    </row>
    <row r="3525" spans="1:7" x14ac:dyDescent="0.25">
      <c r="A3525" t="s">
        <v>120</v>
      </c>
      <c r="B3525" t="s">
        <v>122</v>
      </c>
      <c r="C3525">
        <v>7500</v>
      </c>
      <c r="D3525" t="s">
        <v>45</v>
      </c>
      <c r="E3525" t="s">
        <v>55</v>
      </c>
      <c r="F3525" s="5">
        <v>42736</v>
      </c>
      <c r="G3525">
        <v>0</v>
      </c>
    </row>
    <row r="3526" spans="1:7" x14ac:dyDescent="0.25">
      <c r="A3526" t="s">
        <v>120</v>
      </c>
      <c r="B3526" t="s">
        <v>122</v>
      </c>
      <c r="C3526">
        <v>7500</v>
      </c>
      <c r="D3526" t="s">
        <v>45</v>
      </c>
      <c r="E3526" t="s">
        <v>56</v>
      </c>
      <c r="F3526" s="5">
        <v>42370</v>
      </c>
      <c r="G3526">
        <v>0</v>
      </c>
    </row>
    <row r="3527" spans="1:7" x14ac:dyDescent="0.25">
      <c r="A3527" t="s">
        <v>120</v>
      </c>
      <c r="B3527" t="s">
        <v>122</v>
      </c>
      <c r="C3527">
        <v>7500</v>
      </c>
      <c r="D3527" t="s">
        <v>45</v>
      </c>
      <c r="E3527" t="s">
        <v>56</v>
      </c>
      <c r="F3527" s="5">
        <v>42736</v>
      </c>
      <c r="G3527">
        <v>1</v>
      </c>
    </row>
    <row r="3528" spans="1:7" x14ac:dyDescent="0.25">
      <c r="A3528" t="s">
        <v>120</v>
      </c>
      <c r="B3528" t="s">
        <v>122</v>
      </c>
      <c r="C3528">
        <v>7500</v>
      </c>
      <c r="D3528" t="s">
        <v>45</v>
      </c>
      <c r="E3528" t="s">
        <v>57</v>
      </c>
      <c r="F3528" s="5">
        <v>42370</v>
      </c>
      <c r="G3528">
        <v>0</v>
      </c>
    </row>
    <row r="3529" spans="1:7" x14ac:dyDescent="0.25">
      <c r="A3529" t="s">
        <v>120</v>
      </c>
      <c r="B3529" t="s">
        <v>122</v>
      </c>
      <c r="C3529">
        <v>7500</v>
      </c>
      <c r="D3529" t="s">
        <v>45</v>
      </c>
      <c r="E3529" t="s">
        <v>57</v>
      </c>
      <c r="F3529" s="5">
        <v>42736</v>
      </c>
      <c r="G3529">
        <v>7</v>
      </c>
    </row>
    <row r="3530" spans="1:7" x14ac:dyDescent="0.25">
      <c r="A3530" t="s">
        <v>120</v>
      </c>
      <c r="B3530" t="s">
        <v>122</v>
      </c>
      <c r="C3530">
        <v>7500</v>
      </c>
      <c r="D3530" t="s">
        <v>45</v>
      </c>
      <c r="E3530" t="s">
        <v>58</v>
      </c>
      <c r="F3530" s="5">
        <v>42370</v>
      </c>
      <c r="G3530">
        <v>0</v>
      </c>
    </row>
    <row r="3531" spans="1:7" x14ac:dyDescent="0.25">
      <c r="A3531" t="s">
        <v>120</v>
      </c>
      <c r="B3531" t="s">
        <v>122</v>
      </c>
      <c r="C3531">
        <v>7500</v>
      </c>
      <c r="D3531" t="s">
        <v>45</v>
      </c>
      <c r="E3531" t="s">
        <v>58</v>
      </c>
      <c r="F3531" s="5">
        <v>42736</v>
      </c>
      <c r="G3531">
        <v>0</v>
      </c>
    </row>
    <row r="3532" spans="1:7" x14ac:dyDescent="0.25">
      <c r="A3532" t="s">
        <v>120</v>
      </c>
      <c r="B3532" t="s">
        <v>122</v>
      </c>
      <c r="C3532">
        <v>7500</v>
      </c>
      <c r="D3532" t="s">
        <v>45</v>
      </c>
      <c r="E3532" t="s">
        <v>59</v>
      </c>
      <c r="F3532" s="5">
        <v>42370</v>
      </c>
      <c r="G3532">
        <v>29</v>
      </c>
    </row>
    <row r="3533" spans="1:7" x14ac:dyDescent="0.25">
      <c r="A3533" t="s">
        <v>120</v>
      </c>
      <c r="B3533" t="s">
        <v>122</v>
      </c>
      <c r="C3533">
        <v>7500</v>
      </c>
      <c r="D3533" t="s">
        <v>45</v>
      </c>
      <c r="E3533" t="s">
        <v>59</v>
      </c>
      <c r="F3533" s="5">
        <v>42736</v>
      </c>
      <c r="G3533">
        <v>16</v>
      </c>
    </row>
    <row r="3534" spans="1:7" x14ac:dyDescent="0.25">
      <c r="A3534" t="s">
        <v>120</v>
      </c>
      <c r="B3534" t="s">
        <v>122</v>
      </c>
      <c r="C3534">
        <v>7500</v>
      </c>
      <c r="D3534" t="s">
        <v>45</v>
      </c>
      <c r="E3534" t="s">
        <v>60</v>
      </c>
      <c r="F3534" s="5">
        <v>42370</v>
      </c>
      <c r="G3534">
        <v>5</v>
      </c>
    </row>
    <row r="3535" spans="1:7" x14ac:dyDescent="0.25">
      <c r="A3535" t="s">
        <v>120</v>
      </c>
      <c r="B3535" t="s">
        <v>122</v>
      </c>
      <c r="C3535">
        <v>7500</v>
      </c>
      <c r="D3535" t="s">
        <v>45</v>
      </c>
      <c r="E3535" t="s">
        <v>60</v>
      </c>
      <c r="F3535" s="5">
        <v>42736</v>
      </c>
      <c r="G3535">
        <v>1</v>
      </c>
    </row>
    <row r="3536" spans="1:7" x14ac:dyDescent="0.25">
      <c r="A3536" t="s">
        <v>120</v>
      </c>
      <c r="B3536" t="s">
        <v>122</v>
      </c>
      <c r="C3536">
        <v>7500</v>
      </c>
      <c r="D3536" t="s">
        <v>45</v>
      </c>
      <c r="E3536" t="s">
        <v>61</v>
      </c>
      <c r="F3536" s="5">
        <v>42370</v>
      </c>
      <c r="G3536">
        <v>51</v>
      </c>
    </row>
    <row r="3537" spans="1:7" x14ac:dyDescent="0.25">
      <c r="A3537" t="s">
        <v>120</v>
      </c>
      <c r="B3537" t="s">
        <v>122</v>
      </c>
      <c r="C3537">
        <v>7500</v>
      </c>
      <c r="D3537" t="s">
        <v>45</v>
      </c>
      <c r="E3537" t="s">
        <v>61</v>
      </c>
      <c r="F3537" s="5">
        <v>42736</v>
      </c>
      <c r="G3537">
        <v>32</v>
      </c>
    </row>
    <row r="3538" spans="1:7" x14ac:dyDescent="0.25">
      <c r="A3538" t="s">
        <v>120</v>
      </c>
      <c r="B3538" t="s">
        <v>122</v>
      </c>
      <c r="C3538">
        <v>7500</v>
      </c>
      <c r="D3538" t="s">
        <v>62</v>
      </c>
      <c r="E3538" t="s">
        <v>63</v>
      </c>
      <c r="F3538" s="5">
        <v>42370</v>
      </c>
      <c r="G3538">
        <v>0</v>
      </c>
    </row>
    <row r="3539" spans="1:7" x14ac:dyDescent="0.25">
      <c r="A3539" t="s">
        <v>120</v>
      </c>
      <c r="B3539" t="s">
        <v>122</v>
      </c>
      <c r="C3539">
        <v>7500</v>
      </c>
      <c r="D3539" t="s">
        <v>62</v>
      </c>
      <c r="E3539" t="s">
        <v>63</v>
      </c>
      <c r="F3539" s="5">
        <v>42736</v>
      </c>
      <c r="G3539">
        <v>0</v>
      </c>
    </row>
    <row r="3540" spans="1:7" x14ac:dyDescent="0.25">
      <c r="A3540" t="s">
        <v>120</v>
      </c>
      <c r="B3540" t="s">
        <v>122</v>
      </c>
      <c r="C3540">
        <v>7500</v>
      </c>
      <c r="D3540" t="s">
        <v>62</v>
      </c>
      <c r="E3540" t="s">
        <v>64</v>
      </c>
      <c r="F3540" s="5">
        <v>42370</v>
      </c>
      <c r="G3540">
        <v>0</v>
      </c>
    </row>
    <row r="3541" spans="1:7" x14ac:dyDescent="0.25">
      <c r="A3541" t="s">
        <v>120</v>
      </c>
      <c r="B3541" t="s">
        <v>122</v>
      </c>
      <c r="C3541">
        <v>7500</v>
      </c>
      <c r="D3541" t="s">
        <v>62</v>
      </c>
      <c r="E3541" t="s">
        <v>64</v>
      </c>
      <c r="F3541" s="5">
        <v>42736</v>
      </c>
      <c r="G3541">
        <v>0</v>
      </c>
    </row>
    <row r="3542" spans="1:7" x14ac:dyDescent="0.25">
      <c r="A3542" t="s">
        <v>120</v>
      </c>
      <c r="B3542" t="s">
        <v>122</v>
      </c>
      <c r="C3542">
        <v>7500</v>
      </c>
      <c r="D3542" t="s">
        <v>62</v>
      </c>
      <c r="E3542" t="s">
        <v>9</v>
      </c>
      <c r="F3542" s="5">
        <v>42370</v>
      </c>
      <c r="G3542">
        <v>0</v>
      </c>
    </row>
    <row r="3543" spans="1:7" x14ac:dyDescent="0.25">
      <c r="A3543" t="s">
        <v>120</v>
      </c>
      <c r="B3543" t="s">
        <v>122</v>
      </c>
      <c r="C3543">
        <v>7500</v>
      </c>
      <c r="D3543" t="s">
        <v>62</v>
      </c>
      <c r="E3543" t="s">
        <v>9</v>
      </c>
      <c r="F3543" s="5">
        <v>42736</v>
      </c>
      <c r="G3543">
        <v>0</v>
      </c>
    </row>
    <row r="3544" spans="1:7" x14ac:dyDescent="0.25">
      <c r="A3544" t="s">
        <v>120</v>
      </c>
      <c r="B3544" t="s">
        <v>122</v>
      </c>
      <c r="C3544">
        <v>7500</v>
      </c>
      <c r="D3544" t="s">
        <v>62</v>
      </c>
      <c r="E3544" t="s">
        <v>65</v>
      </c>
      <c r="F3544" s="5">
        <v>42370</v>
      </c>
      <c r="G3544">
        <v>0</v>
      </c>
    </row>
    <row r="3545" spans="1:7" x14ac:dyDescent="0.25">
      <c r="A3545" t="s">
        <v>120</v>
      </c>
      <c r="B3545" t="s">
        <v>122</v>
      </c>
      <c r="C3545">
        <v>7500</v>
      </c>
      <c r="D3545" t="s">
        <v>62</v>
      </c>
      <c r="E3545" t="s">
        <v>65</v>
      </c>
      <c r="F3545" s="5">
        <v>42736</v>
      </c>
      <c r="G3545">
        <v>0</v>
      </c>
    </row>
    <row r="3546" spans="1:7" x14ac:dyDescent="0.25">
      <c r="A3546" t="s">
        <v>120</v>
      </c>
      <c r="B3546" t="s">
        <v>122</v>
      </c>
      <c r="C3546">
        <v>7500</v>
      </c>
      <c r="D3546" t="s">
        <v>62</v>
      </c>
      <c r="E3546" t="s">
        <v>66</v>
      </c>
      <c r="F3546" s="5">
        <v>42370</v>
      </c>
      <c r="G3546">
        <v>0</v>
      </c>
    </row>
    <row r="3547" spans="1:7" x14ac:dyDescent="0.25">
      <c r="A3547" t="s">
        <v>120</v>
      </c>
      <c r="B3547" t="s">
        <v>122</v>
      </c>
      <c r="C3547">
        <v>7500</v>
      </c>
      <c r="D3547" t="s">
        <v>62</v>
      </c>
      <c r="E3547" t="s">
        <v>66</v>
      </c>
      <c r="F3547" s="5">
        <v>42736</v>
      </c>
      <c r="G3547">
        <v>0</v>
      </c>
    </row>
    <row r="3548" spans="1:7" x14ac:dyDescent="0.25">
      <c r="A3548" t="s">
        <v>120</v>
      </c>
      <c r="B3548" t="s">
        <v>122</v>
      </c>
      <c r="C3548">
        <v>7500</v>
      </c>
      <c r="D3548" t="s">
        <v>62</v>
      </c>
      <c r="E3548" t="s">
        <v>67</v>
      </c>
      <c r="F3548" s="5">
        <v>42370</v>
      </c>
      <c r="G3548">
        <v>0</v>
      </c>
    </row>
    <row r="3549" spans="1:7" x14ac:dyDescent="0.25">
      <c r="A3549" t="s">
        <v>120</v>
      </c>
      <c r="B3549" t="s">
        <v>122</v>
      </c>
      <c r="C3549">
        <v>7500</v>
      </c>
      <c r="D3549" t="s">
        <v>62</v>
      </c>
      <c r="E3549" t="s">
        <v>67</v>
      </c>
      <c r="F3549" s="5">
        <v>42736</v>
      </c>
      <c r="G3549">
        <v>0</v>
      </c>
    </row>
    <row r="3550" spans="1:7" x14ac:dyDescent="0.25">
      <c r="A3550" t="s">
        <v>120</v>
      </c>
      <c r="B3550" t="s">
        <v>122</v>
      </c>
      <c r="C3550">
        <v>7500</v>
      </c>
      <c r="D3550" t="s">
        <v>62</v>
      </c>
      <c r="E3550" t="s">
        <v>68</v>
      </c>
      <c r="F3550" s="5">
        <v>42370</v>
      </c>
      <c r="G3550">
        <v>0</v>
      </c>
    </row>
    <row r="3551" spans="1:7" x14ac:dyDescent="0.25">
      <c r="A3551" t="s">
        <v>120</v>
      </c>
      <c r="B3551" t="s">
        <v>122</v>
      </c>
      <c r="C3551">
        <v>7500</v>
      </c>
      <c r="D3551" t="s">
        <v>62</v>
      </c>
      <c r="E3551" t="s">
        <v>68</v>
      </c>
      <c r="F3551" s="5">
        <v>42736</v>
      </c>
      <c r="G3551">
        <v>0</v>
      </c>
    </row>
    <row r="3552" spans="1:7" x14ac:dyDescent="0.25">
      <c r="A3552" t="s">
        <v>120</v>
      </c>
      <c r="B3552" t="s">
        <v>122</v>
      </c>
      <c r="C3552">
        <v>7500</v>
      </c>
      <c r="D3552" t="s">
        <v>62</v>
      </c>
      <c r="E3552" t="s">
        <v>69</v>
      </c>
      <c r="F3552" s="5">
        <v>42370</v>
      </c>
      <c r="G3552">
        <v>0</v>
      </c>
    </row>
    <row r="3553" spans="1:7" x14ac:dyDescent="0.25">
      <c r="A3553" t="s">
        <v>120</v>
      </c>
      <c r="B3553" t="s">
        <v>122</v>
      </c>
      <c r="C3553">
        <v>7500</v>
      </c>
      <c r="D3553" t="s">
        <v>62</v>
      </c>
      <c r="E3553" t="s">
        <v>69</v>
      </c>
      <c r="F3553" s="5">
        <v>42736</v>
      </c>
      <c r="G3553">
        <v>0</v>
      </c>
    </row>
    <row r="3554" spans="1:7" x14ac:dyDescent="0.25">
      <c r="A3554" t="s">
        <v>120</v>
      </c>
      <c r="B3554" t="s">
        <v>122</v>
      </c>
      <c r="C3554">
        <v>7500</v>
      </c>
      <c r="D3554" t="s">
        <v>62</v>
      </c>
      <c r="E3554" t="s">
        <v>70</v>
      </c>
      <c r="F3554" s="5">
        <v>42370</v>
      </c>
      <c r="G3554">
        <v>0</v>
      </c>
    </row>
    <row r="3555" spans="1:7" x14ac:dyDescent="0.25">
      <c r="A3555" t="s">
        <v>120</v>
      </c>
      <c r="B3555" t="s">
        <v>122</v>
      </c>
      <c r="C3555">
        <v>7500</v>
      </c>
      <c r="D3555" t="s">
        <v>62</v>
      </c>
      <c r="E3555" t="s">
        <v>70</v>
      </c>
      <c r="F3555" s="5">
        <v>42736</v>
      </c>
      <c r="G3555">
        <v>0</v>
      </c>
    </row>
    <row r="3556" spans="1:7" x14ac:dyDescent="0.25">
      <c r="A3556" t="s">
        <v>120</v>
      </c>
      <c r="B3556" t="s">
        <v>122</v>
      </c>
      <c r="C3556">
        <v>7500</v>
      </c>
      <c r="D3556" t="s">
        <v>62</v>
      </c>
      <c r="E3556" t="s">
        <v>71</v>
      </c>
      <c r="F3556" s="5">
        <v>42370</v>
      </c>
      <c r="G3556">
        <v>0</v>
      </c>
    </row>
    <row r="3557" spans="1:7" x14ac:dyDescent="0.25">
      <c r="A3557" t="s">
        <v>120</v>
      </c>
      <c r="B3557" t="s">
        <v>122</v>
      </c>
      <c r="C3557">
        <v>7500</v>
      </c>
      <c r="D3557" t="s">
        <v>62</v>
      </c>
      <c r="E3557" t="s">
        <v>71</v>
      </c>
      <c r="F3557" s="5">
        <v>42736</v>
      </c>
      <c r="G3557">
        <v>0</v>
      </c>
    </row>
    <row r="3558" spans="1:7" x14ac:dyDescent="0.25">
      <c r="A3558" t="s">
        <v>120</v>
      </c>
      <c r="B3558" t="s">
        <v>122</v>
      </c>
      <c r="C3558">
        <v>7500</v>
      </c>
      <c r="D3558" t="s">
        <v>72</v>
      </c>
      <c r="E3558" t="s">
        <v>73</v>
      </c>
      <c r="F3558" s="5">
        <v>42370</v>
      </c>
      <c r="G3558">
        <v>0</v>
      </c>
    </row>
    <row r="3559" spans="1:7" x14ac:dyDescent="0.25">
      <c r="A3559" t="s">
        <v>120</v>
      </c>
      <c r="B3559" t="s">
        <v>122</v>
      </c>
      <c r="C3559">
        <v>7500</v>
      </c>
      <c r="D3559" t="s">
        <v>72</v>
      </c>
      <c r="E3559" t="s">
        <v>73</v>
      </c>
      <c r="F3559" s="5">
        <v>42736</v>
      </c>
      <c r="G3559">
        <v>0</v>
      </c>
    </row>
    <row r="3560" spans="1:7" x14ac:dyDescent="0.25">
      <c r="A3560" t="s">
        <v>120</v>
      </c>
      <c r="B3560" t="s">
        <v>122</v>
      </c>
      <c r="C3560">
        <v>7500</v>
      </c>
      <c r="D3560" t="s">
        <v>72</v>
      </c>
      <c r="E3560" t="s">
        <v>9</v>
      </c>
      <c r="F3560" s="5">
        <v>42370</v>
      </c>
      <c r="G3560">
        <v>0</v>
      </c>
    </row>
    <row r="3561" spans="1:7" x14ac:dyDescent="0.25">
      <c r="A3561" t="s">
        <v>120</v>
      </c>
      <c r="B3561" t="s">
        <v>122</v>
      </c>
      <c r="C3561">
        <v>7500</v>
      </c>
      <c r="D3561" t="s">
        <v>72</v>
      </c>
      <c r="E3561" t="s">
        <v>9</v>
      </c>
      <c r="F3561" s="5">
        <v>42736</v>
      </c>
      <c r="G3561">
        <v>0</v>
      </c>
    </row>
    <row r="3562" spans="1:7" x14ac:dyDescent="0.25">
      <c r="A3562" t="s">
        <v>120</v>
      </c>
      <c r="B3562" t="s">
        <v>122</v>
      </c>
      <c r="C3562">
        <v>7500</v>
      </c>
      <c r="D3562" t="s">
        <v>72</v>
      </c>
      <c r="E3562" t="s">
        <v>34</v>
      </c>
      <c r="F3562" s="5">
        <v>42370</v>
      </c>
      <c r="G3562">
        <v>0</v>
      </c>
    </row>
    <row r="3563" spans="1:7" x14ac:dyDescent="0.25">
      <c r="A3563" t="s">
        <v>120</v>
      </c>
      <c r="B3563" t="s">
        <v>122</v>
      </c>
      <c r="C3563">
        <v>7500</v>
      </c>
      <c r="D3563" t="s">
        <v>72</v>
      </c>
      <c r="E3563" t="s">
        <v>34</v>
      </c>
      <c r="F3563" s="5">
        <v>42736</v>
      </c>
      <c r="G3563">
        <v>0</v>
      </c>
    </row>
    <row r="3564" spans="1:7" x14ac:dyDescent="0.25">
      <c r="A3564" t="s">
        <v>120</v>
      </c>
      <c r="B3564" t="s">
        <v>122</v>
      </c>
      <c r="C3564">
        <v>7500</v>
      </c>
      <c r="D3564" t="s">
        <v>72</v>
      </c>
      <c r="E3564" t="s">
        <v>74</v>
      </c>
      <c r="F3564" s="5">
        <v>42370</v>
      </c>
      <c r="G3564">
        <v>0</v>
      </c>
    </row>
    <row r="3565" spans="1:7" x14ac:dyDescent="0.25">
      <c r="A3565" t="s">
        <v>120</v>
      </c>
      <c r="B3565" t="s">
        <v>122</v>
      </c>
      <c r="C3565">
        <v>7500</v>
      </c>
      <c r="D3565" t="s">
        <v>72</v>
      </c>
      <c r="E3565" t="s">
        <v>74</v>
      </c>
      <c r="F3565" s="5">
        <v>42736</v>
      </c>
      <c r="G3565">
        <v>0</v>
      </c>
    </row>
    <row r="3566" spans="1:7" x14ac:dyDescent="0.25">
      <c r="A3566" t="s">
        <v>120</v>
      </c>
      <c r="B3566" t="s">
        <v>122</v>
      </c>
      <c r="C3566">
        <v>7500</v>
      </c>
      <c r="D3566" t="s">
        <v>72</v>
      </c>
      <c r="E3566" t="s">
        <v>75</v>
      </c>
      <c r="F3566" s="5">
        <v>42370</v>
      </c>
      <c r="G3566">
        <v>0</v>
      </c>
    </row>
    <row r="3567" spans="1:7" x14ac:dyDescent="0.25">
      <c r="A3567" t="s">
        <v>120</v>
      </c>
      <c r="B3567" t="s">
        <v>122</v>
      </c>
      <c r="C3567">
        <v>7500</v>
      </c>
      <c r="D3567" t="s">
        <v>72</v>
      </c>
      <c r="E3567" t="s">
        <v>75</v>
      </c>
      <c r="F3567" s="5">
        <v>42736</v>
      </c>
      <c r="G3567">
        <v>0</v>
      </c>
    </row>
    <row r="3568" spans="1:7" x14ac:dyDescent="0.25">
      <c r="A3568" t="s">
        <v>120</v>
      </c>
      <c r="B3568" t="s">
        <v>122</v>
      </c>
      <c r="C3568">
        <v>7500</v>
      </c>
      <c r="D3568" t="s">
        <v>76</v>
      </c>
      <c r="E3568" t="s">
        <v>9</v>
      </c>
      <c r="F3568" s="5">
        <v>42370</v>
      </c>
      <c r="G3568">
        <v>0</v>
      </c>
    </row>
    <row r="3569" spans="1:7" x14ac:dyDescent="0.25">
      <c r="A3569" t="s">
        <v>120</v>
      </c>
      <c r="B3569" t="s">
        <v>122</v>
      </c>
      <c r="C3569">
        <v>7500</v>
      </c>
      <c r="D3569" t="s">
        <v>76</v>
      </c>
      <c r="E3569" t="s">
        <v>9</v>
      </c>
      <c r="F3569" s="5">
        <v>42736</v>
      </c>
      <c r="G3569">
        <v>0</v>
      </c>
    </row>
    <row r="3570" spans="1:7" x14ac:dyDescent="0.25">
      <c r="A3570" t="s">
        <v>120</v>
      </c>
      <c r="B3570" t="s">
        <v>122</v>
      </c>
      <c r="C3570">
        <v>7500</v>
      </c>
      <c r="D3570" t="s">
        <v>76</v>
      </c>
      <c r="E3570" t="s">
        <v>77</v>
      </c>
      <c r="F3570" s="5">
        <v>42370</v>
      </c>
      <c r="G3570">
        <v>0</v>
      </c>
    </row>
    <row r="3571" spans="1:7" x14ac:dyDescent="0.25">
      <c r="A3571" t="s">
        <v>120</v>
      </c>
      <c r="B3571" t="s">
        <v>122</v>
      </c>
      <c r="C3571">
        <v>7500</v>
      </c>
      <c r="D3571" t="s">
        <v>76</v>
      </c>
      <c r="E3571" t="s">
        <v>77</v>
      </c>
      <c r="F3571" s="5">
        <v>42736</v>
      </c>
      <c r="G3571">
        <v>0</v>
      </c>
    </row>
    <row r="3572" spans="1:7" x14ac:dyDescent="0.25">
      <c r="A3572" t="s">
        <v>120</v>
      </c>
      <c r="B3572" t="s">
        <v>122</v>
      </c>
      <c r="C3572">
        <v>7500</v>
      </c>
      <c r="D3572" t="s">
        <v>78</v>
      </c>
      <c r="E3572" t="s">
        <v>79</v>
      </c>
      <c r="F3572" s="5">
        <v>42370</v>
      </c>
      <c r="G3572">
        <v>175</v>
      </c>
    </row>
    <row r="3573" spans="1:7" x14ac:dyDescent="0.25">
      <c r="A3573" t="s">
        <v>120</v>
      </c>
      <c r="B3573" t="s">
        <v>122</v>
      </c>
      <c r="C3573">
        <v>7500</v>
      </c>
      <c r="D3573" t="s">
        <v>78</v>
      </c>
      <c r="E3573" t="s">
        <v>79</v>
      </c>
      <c r="F3573" s="5">
        <v>42736</v>
      </c>
      <c r="G3573">
        <v>197</v>
      </c>
    </row>
    <row r="3574" spans="1:7" x14ac:dyDescent="0.25">
      <c r="A3574" t="s">
        <v>120</v>
      </c>
      <c r="B3574" t="s">
        <v>122</v>
      </c>
      <c r="C3574">
        <v>7500</v>
      </c>
      <c r="D3574" t="s">
        <v>78</v>
      </c>
      <c r="E3574" t="s">
        <v>80</v>
      </c>
      <c r="F3574" s="5">
        <v>42370</v>
      </c>
      <c r="G3574">
        <v>1</v>
      </c>
    </row>
    <row r="3575" spans="1:7" x14ac:dyDescent="0.25">
      <c r="A3575" t="s">
        <v>120</v>
      </c>
      <c r="B3575" t="s">
        <v>122</v>
      </c>
      <c r="C3575">
        <v>7500</v>
      </c>
      <c r="D3575" t="s">
        <v>78</v>
      </c>
      <c r="E3575" t="s">
        <v>80</v>
      </c>
      <c r="F3575" s="5">
        <v>42736</v>
      </c>
      <c r="G3575">
        <v>2</v>
      </c>
    </row>
    <row r="3576" spans="1:7" x14ac:dyDescent="0.25">
      <c r="A3576" t="s">
        <v>120</v>
      </c>
      <c r="B3576" t="s">
        <v>122</v>
      </c>
      <c r="C3576">
        <v>7500</v>
      </c>
      <c r="D3576" t="s">
        <v>78</v>
      </c>
      <c r="E3576" t="s">
        <v>81</v>
      </c>
      <c r="F3576" s="5">
        <v>42370</v>
      </c>
      <c r="G3576">
        <v>1096</v>
      </c>
    </row>
    <row r="3577" spans="1:7" x14ac:dyDescent="0.25">
      <c r="A3577" t="s">
        <v>120</v>
      </c>
      <c r="B3577" t="s">
        <v>122</v>
      </c>
      <c r="C3577">
        <v>7500</v>
      </c>
      <c r="D3577" t="s">
        <v>78</v>
      </c>
      <c r="E3577" t="s">
        <v>81</v>
      </c>
      <c r="F3577" s="5">
        <v>42736</v>
      </c>
      <c r="G3577">
        <v>1379</v>
      </c>
    </row>
    <row r="3578" spans="1:7" x14ac:dyDescent="0.25">
      <c r="A3578" t="s">
        <v>120</v>
      </c>
      <c r="B3578" t="s">
        <v>122</v>
      </c>
      <c r="C3578">
        <v>7500</v>
      </c>
      <c r="D3578" t="s">
        <v>78</v>
      </c>
      <c r="E3578" t="s">
        <v>82</v>
      </c>
      <c r="F3578" s="5">
        <v>42370</v>
      </c>
      <c r="G3578">
        <v>62</v>
      </c>
    </row>
    <row r="3579" spans="1:7" x14ac:dyDescent="0.25">
      <c r="A3579" t="s">
        <v>120</v>
      </c>
      <c r="B3579" t="s">
        <v>122</v>
      </c>
      <c r="C3579">
        <v>7500</v>
      </c>
      <c r="D3579" t="s">
        <v>78</v>
      </c>
      <c r="E3579" t="s">
        <v>82</v>
      </c>
      <c r="F3579" s="5">
        <v>42736</v>
      </c>
      <c r="G3579">
        <v>39</v>
      </c>
    </row>
    <row r="3580" spans="1:7" x14ac:dyDescent="0.25">
      <c r="A3580" t="s">
        <v>120</v>
      </c>
      <c r="B3580" t="s">
        <v>122</v>
      </c>
      <c r="C3580">
        <v>7500</v>
      </c>
      <c r="D3580" t="s">
        <v>78</v>
      </c>
      <c r="E3580" t="s">
        <v>83</v>
      </c>
      <c r="F3580" s="5">
        <v>42370</v>
      </c>
      <c r="G3580">
        <v>7</v>
      </c>
    </row>
    <row r="3581" spans="1:7" x14ac:dyDescent="0.25">
      <c r="A3581" t="s">
        <v>120</v>
      </c>
      <c r="B3581" t="s">
        <v>122</v>
      </c>
      <c r="C3581">
        <v>7500</v>
      </c>
      <c r="D3581" t="s">
        <v>78</v>
      </c>
      <c r="E3581" t="s">
        <v>83</v>
      </c>
      <c r="F3581" s="5">
        <v>42736</v>
      </c>
      <c r="G3581">
        <v>3</v>
      </c>
    </row>
    <row r="3582" spans="1:7" x14ac:dyDescent="0.25">
      <c r="A3582" t="s">
        <v>120</v>
      </c>
      <c r="B3582" t="s">
        <v>122</v>
      </c>
      <c r="C3582">
        <v>7500</v>
      </c>
      <c r="D3582" t="s">
        <v>78</v>
      </c>
      <c r="E3582" t="s">
        <v>84</v>
      </c>
      <c r="F3582" s="5">
        <v>42370</v>
      </c>
      <c r="G3582">
        <v>5</v>
      </c>
    </row>
    <row r="3583" spans="1:7" x14ac:dyDescent="0.25">
      <c r="A3583" t="s">
        <v>120</v>
      </c>
      <c r="B3583" t="s">
        <v>122</v>
      </c>
      <c r="C3583">
        <v>7500</v>
      </c>
      <c r="D3583" t="s">
        <v>78</v>
      </c>
      <c r="E3583" t="s">
        <v>84</v>
      </c>
      <c r="F3583" s="5">
        <v>42736</v>
      </c>
      <c r="G3583">
        <v>5</v>
      </c>
    </row>
    <row r="3584" spans="1:7" x14ac:dyDescent="0.25">
      <c r="A3584" t="s">
        <v>120</v>
      </c>
      <c r="B3584" t="s">
        <v>122</v>
      </c>
      <c r="C3584">
        <v>7500</v>
      </c>
      <c r="D3584" t="s">
        <v>78</v>
      </c>
      <c r="E3584" t="s">
        <v>85</v>
      </c>
      <c r="F3584" s="5">
        <v>42370</v>
      </c>
      <c r="G3584">
        <v>6</v>
      </c>
    </row>
    <row r="3585" spans="1:7" x14ac:dyDescent="0.25">
      <c r="A3585" t="s">
        <v>120</v>
      </c>
      <c r="B3585" t="s">
        <v>122</v>
      </c>
      <c r="C3585">
        <v>7500</v>
      </c>
      <c r="D3585" t="s">
        <v>78</v>
      </c>
      <c r="E3585" t="s">
        <v>85</v>
      </c>
      <c r="F3585" s="5">
        <v>42736</v>
      </c>
      <c r="G3585">
        <v>7</v>
      </c>
    </row>
    <row r="3586" spans="1:7" x14ac:dyDescent="0.25">
      <c r="A3586" t="s">
        <v>120</v>
      </c>
      <c r="B3586" t="s">
        <v>122</v>
      </c>
      <c r="C3586">
        <v>7500</v>
      </c>
      <c r="D3586" t="s">
        <v>78</v>
      </c>
      <c r="E3586" t="s">
        <v>86</v>
      </c>
      <c r="F3586" s="5">
        <v>42370</v>
      </c>
      <c r="G3586">
        <v>1</v>
      </c>
    </row>
    <row r="3587" spans="1:7" x14ac:dyDescent="0.25">
      <c r="A3587" t="s">
        <v>120</v>
      </c>
      <c r="B3587" t="s">
        <v>122</v>
      </c>
      <c r="C3587">
        <v>7500</v>
      </c>
      <c r="D3587" t="s">
        <v>78</v>
      </c>
      <c r="E3587" t="s">
        <v>86</v>
      </c>
      <c r="F3587" s="5">
        <v>42736</v>
      </c>
      <c r="G3587">
        <v>0</v>
      </c>
    </row>
    <row r="3588" spans="1:7" x14ac:dyDescent="0.25">
      <c r="A3588" t="s">
        <v>120</v>
      </c>
      <c r="B3588" t="s">
        <v>122</v>
      </c>
      <c r="C3588">
        <v>7500</v>
      </c>
      <c r="D3588" t="s">
        <v>78</v>
      </c>
      <c r="E3588" t="s">
        <v>87</v>
      </c>
      <c r="F3588" s="5">
        <v>42370</v>
      </c>
      <c r="G3588">
        <v>71</v>
      </c>
    </row>
    <row r="3589" spans="1:7" x14ac:dyDescent="0.25">
      <c r="A3589" t="s">
        <v>120</v>
      </c>
      <c r="B3589" t="s">
        <v>122</v>
      </c>
      <c r="C3589">
        <v>7500</v>
      </c>
      <c r="D3589" t="s">
        <v>78</v>
      </c>
      <c r="E3589" t="s">
        <v>87</v>
      </c>
      <c r="F3589" s="5">
        <v>42736</v>
      </c>
      <c r="G3589">
        <v>50</v>
      </c>
    </row>
    <row r="3590" spans="1:7" x14ac:dyDescent="0.25">
      <c r="A3590" t="s">
        <v>120</v>
      </c>
      <c r="B3590" t="s">
        <v>122</v>
      </c>
      <c r="C3590">
        <v>7500</v>
      </c>
      <c r="D3590" t="s">
        <v>78</v>
      </c>
      <c r="E3590" t="s">
        <v>88</v>
      </c>
      <c r="F3590" s="5">
        <v>42370</v>
      </c>
      <c r="G3590">
        <v>234</v>
      </c>
    </row>
    <row r="3591" spans="1:7" x14ac:dyDescent="0.25">
      <c r="A3591" t="s">
        <v>120</v>
      </c>
      <c r="B3591" t="s">
        <v>122</v>
      </c>
      <c r="C3591">
        <v>7500</v>
      </c>
      <c r="D3591" t="s">
        <v>78</v>
      </c>
      <c r="E3591" t="s">
        <v>88</v>
      </c>
      <c r="F3591" s="5">
        <v>42736</v>
      </c>
      <c r="G3591">
        <v>347</v>
      </c>
    </row>
    <row r="3592" spans="1:7" x14ac:dyDescent="0.25">
      <c r="A3592" t="s">
        <v>120</v>
      </c>
      <c r="B3592" t="s">
        <v>122</v>
      </c>
      <c r="C3592">
        <v>7500</v>
      </c>
      <c r="D3592" t="s">
        <v>78</v>
      </c>
      <c r="E3592" t="s">
        <v>89</v>
      </c>
      <c r="F3592" s="5">
        <v>42370</v>
      </c>
      <c r="G3592">
        <v>2883</v>
      </c>
    </row>
    <row r="3593" spans="1:7" x14ac:dyDescent="0.25">
      <c r="A3593" t="s">
        <v>120</v>
      </c>
      <c r="B3593" t="s">
        <v>122</v>
      </c>
      <c r="C3593">
        <v>7500</v>
      </c>
      <c r="D3593" t="s">
        <v>78</v>
      </c>
      <c r="E3593" t="s">
        <v>89</v>
      </c>
      <c r="F3593" s="5">
        <v>42736</v>
      </c>
      <c r="G3593">
        <v>3677</v>
      </c>
    </row>
    <row r="3594" spans="1:7" x14ac:dyDescent="0.25">
      <c r="A3594" t="s">
        <v>120</v>
      </c>
      <c r="B3594" t="s">
        <v>122</v>
      </c>
      <c r="C3594">
        <v>7500</v>
      </c>
      <c r="D3594" t="s">
        <v>78</v>
      </c>
      <c r="E3594" t="s">
        <v>90</v>
      </c>
      <c r="F3594" s="5">
        <v>42370</v>
      </c>
      <c r="G3594">
        <v>0</v>
      </c>
    </row>
    <row r="3595" spans="1:7" x14ac:dyDescent="0.25">
      <c r="A3595" t="s">
        <v>120</v>
      </c>
      <c r="B3595" t="s">
        <v>122</v>
      </c>
      <c r="C3595">
        <v>7500</v>
      </c>
      <c r="D3595" t="s">
        <v>78</v>
      </c>
      <c r="E3595" t="s">
        <v>90</v>
      </c>
      <c r="F3595" s="5">
        <v>42736</v>
      </c>
      <c r="G3595">
        <v>0</v>
      </c>
    </row>
    <row r="3596" spans="1:7" x14ac:dyDescent="0.25">
      <c r="A3596" t="s">
        <v>120</v>
      </c>
      <c r="B3596" t="s">
        <v>122</v>
      </c>
      <c r="C3596">
        <v>7500</v>
      </c>
      <c r="D3596" t="s">
        <v>78</v>
      </c>
      <c r="E3596" t="s">
        <v>91</v>
      </c>
      <c r="F3596" s="5">
        <v>42370</v>
      </c>
      <c r="G3596">
        <v>125</v>
      </c>
    </row>
    <row r="3597" spans="1:7" x14ac:dyDescent="0.25">
      <c r="A3597" t="s">
        <v>120</v>
      </c>
      <c r="B3597" t="s">
        <v>122</v>
      </c>
      <c r="C3597">
        <v>7500</v>
      </c>
      <c r="D3597" t="s">
        <v>78</v>
      </c>
      <c r="E3597" t="s">
        <v>91</v>
      </c>
      <c r="F3597" s="5">
        <v>42736</v>
      </c>
      <c r="G3597">
        <v>190</v>
      </c>
    </row>
    <row r="3598" spans="1:7" x14ac:dyDescent="0.25">
      <c r="A3598" t="s">
        <v>120</v>
      </c>
      <c r="B3598" t="s">
        <v>122</v>
      </c>
      <c r="C3598">
        <v>7500</v>
      </c>
      <c r="D3598" t="s">
        <v>78</v>
      </c>
      <c r="E3598" t="s">
        <v>92</v>
      </c>
      <c r="F3598" s="5">
        <v>42370</v>
      </c>
      <c r="G3598">
        <v>10</v>
      </c>
    </row>
    <row r="3599" spans="1:7" x14ac:dyDescent="0.25">
      <c r="A3599" t="s">
        <v>120</v>
      </c>
      <c r="B3599" t="s">
        <v>122</v>
      </c>
      <c r="C3599">
        <v>7500</v>
      </c>
      <c r="D3599" t="s">
        <v>78</v>
      </c>
      <c r="E3599" t="s">
        <v>92</v>
      </c>
      <c r="F3599" s="5">
        <v>42736</v>
      </c>
      <c r="G3599">
        <v>8</v>
      </c>
    </row>
    <row r="3600" spans="1:7" x14ac:dyDescent="0.25">
      <c r="A3600" t="s">
        <v>120</v>
      </c>
      <c r="B3600" t="s">
        <v>122</v>
      </c>
      <c r="C3600">
        <v>7500</v>
      </c>
      <c r="D3600" t="s">
        <v>78</v>
      </c>
      <c r="E3600" t="s">
        <v>93</v>
      </c>
      <c r="F3600" s="5">
        <v>42370</v>
      </c>
      <c r="G3600">
        <v>60</v>
      </c>
    </row>
    <row r="3601" spans="1:7" x14ac:dyDescent="0.25">
      <c r="A3601" t="s">
        <v>120</v>
      </c>
      <c r="B3601" t="s">
        <v>122</v>
      </c>
      <c r="C3601">
        <v>7500</v>
      </c>
      <c r="D3601" t="s">
        <v>78</v>
      </c>
      <c r="E3601" t="s">
        <v>93</v>
      </c>
      <c r="F3601" s="5">
        <v>42736</v>
      </c>
      <c r="G3601">
        <v>109</v>
      </c>
    </row>
    <row r="3602" spans="1:7" x14ac:dyDescent="0.25">
      <c r="A3602" t="s">
        <v>120</v>
      </c>
      <c r="B3602" t="s">
        <v>122</v>
      </c>
      <c r="C3602">
        <v>7500</v>
      </c>
      <c r="D3602" t="s">
        <v>78</v>
      </c>
      <c r="E3602" t="s">
        <v>94</v>
      </c>
      <c r="F3602" s="5">
        <v>42370</v>
      </c>
      <c r="G3602">
        <v>60</v>
      </c>
    </row>
    <row r="3603" spans="1:7" x14ac:dyDescent="0.25">
      <c r="A3603" t="s">
        <v>120</v>
      </c>
      <c r="B3603" t="s">
        <v>122</v>
      </c>
      <c r="C3603">
        <v>7500</v>
      </c>
      <c r="D3603" t="s">
        <v>78</v>
      </c>
      <c r="E3603" t="s">
        <v>94</v>
      </c>
      <c r="F3603" s="5">
        <v>42736</v>
      </c>
      <c r="G3603">
        <v>243</v>
      </c>
    </row>
    <row r="3604" spans="1:7" x14ac:dyDescent="0.25">
      <c r="A3604" t="s">
        <v>120</v>
      </c>
      <c r="B3604" t="s">
        <v>122</v>
      </c>
      <c r="C3604">
        <v>7500</v>
      </c>
      <c r="D3604" t="s">
        <v>78</v>
      </c>
      <c r="E3604" t="s">
        <v>95</v>
      </c>
      <c r="F3604" s="5">
        <v>42370</v>
      </c>
      <c r="G3604">
        <v>7</v>
      </c>
    </row>
    <row r="3605" spans="1:7" x14ac:dyDescent="0.25">
      <c r="A3605" t="s">
        <v>120</v>
      </c>
      <c r="B3605" t="s">
        <v>122</v>
      </c>
      <c r="C3605">
        <v>7500</v>
      </c>
      <c r="D3605" t="s">
        <v>78</v>
      </c>
      <c r="E3605" t="s">
        <v>95</v>
      </c>
      <c r="F3605" s="5">
        <v>42736</v>
      </c>
      <c r="G3605">
        <v>33</v>
      </c>
    </row>
    <row r="3606" spans="1:7" x14ac:dyDescent="0.25">
      <c r="A3606" t="s">
        <v>120</v>
      </c>
      <c r="B3606" t="s">
        <v>122</v>
      </c>
      <c r="C3606">
        <v>7500</v>
      </c>
      <c r="D3606" t="s">
        <v>78</v>
      </c>
      <c r="E3606" t="s">
        <v>96</v>
      </c>
      <c r="F3606" s="5">
        <v>42370</v>
      </c>
      <c r="G3606">
        <v>9</v>
      </c>
    </row>
    <row r="3607" spans="1:7" x14ac:dyDescent="0.25">
      <c r="A3607" t="s">
        <v>120</v>
      </c>
      <c r="B3607" t="s">
        <v>122</v>
      </c>
      <c r="C3607">
        <v>7500</v>
      </c>
      <c r="D3607" t="s">
        <v>78</v>
      </c>
      <c r="E3607" t="s">
        <v>96</v>
      </c>
      <c r="F3607" s="5">
        <v>42736</v>
      </c>
      <c r="G3607">
        <v>3</v>
      </c>
    </row>
    <row r="3608" spans="1:7" x14ac:dyDescent="0.25">
      <c r="A3608" t="s">
        <v>120</v>
      </c>
      <c r="B3608" t="s">
        <v>122</v>
      </c>
      <c r="C3608">
        <v>7500</v>
      </c>
      <c r="D3608" t="s">
        <v>78</v>
      </c>
      <c r="E3608" t="s">
        <v>97</v>
      </c>
      <c r="F3608" s="5">
        <v>42370</v>
      </c>
      <c r="G3608">
        <v>180</v>
      </c>
    </row>
    <row r="3609" spans="1:7" x14ac:dyDescent="0.25">
      <c r="A3609" t="s">
        <v>120</v>
      </c>
      <c r="B3609" t="s">
        <v>122</v>
      </c>
      <c r="C3609">
        <v>7500</v>
      </c>
      <c r="D3609" t="s">
        <v>78</v>
      </c>
      <c r="E3609" t="s">
        <v>97</v>
      </c>
      <c r="F3609" s="5">
        <v>42736</v>
      </c>
      <c r="G3609">
        <v>351</v>
      </c>
    </row>
    <row r="3610" spans="1:7" x14ac:dyDescent="0.25">
      <c r="A3610" t="s">
        <v>120</v>
      </c>
      <c r="B3610" t="s">
        <v>122</v>
      </c>
      <c r="C3610">
        <v>7500</v>
      </c>
      <c r="D3610" t="s">
        <v>78</v>
      </c>
      <c r="E3610" t="s">
        <v>98</v>
      </c>
      <c r="F3610" s="5">
        <v>42370</v>
      </c>
      <c r="G3610">
        <v>108</v>
      </c>
    </row>
    <row r="3611" spans="1:7" x14ac:dyDescent="0.25">
      <c r="A3611" t="s">
        <v>120</v>
      </c>
      <c r="B3611" t="s">
        <v>122</v>
      </c>
      <c r="C3611">
        <v>7500</v>
      </c>
      <c r="D3611" t="s">
        <v>78</v>
      </c>
      <c r="E3611" t="s">
        <v>98</v>
      </c>
      <c r="F3611" s="5">
        <v>42736</v>
      </c>
      <c r="G3611">
        <v>170</v>
      </c>
    </row>
    <row r="3612" spans="1:7" x14ac:dyDescent="0.25">
      <c r="A3612" t="s">
        <v>123</v>
      </c>
      <c r="B3612" t="s">
        <v>124</v>
      </c>
      <c r="C3612">
        <v>2460</v>
      </c>
      <c r="D3612" t="s">
        <v>8</v>
      </c>
      <c r="E3612" t="s">
        <v>9</v>
      </c>
      <c r="F3612" s="5">
        <v>42370</v>
      </c>
      <c r="G3612">
        <v>0</v>
      </c>
    </row>
    <row r="3613" spans="1:7" x14ac:dyDescent="0.25">
      <c r="A3613" t="s">
        <v>123</v>
      </c>
      <c r="B3613" t="s">
        <v>124</v>
      </c>
      <c r="C3613">
        <v>2460</v>
      </c>
      <c r="D3613" t="s">
        <v>8</v>
      </c>
      <c r="E3613" t="s">
        <v>9</v>
      </c>
      <c r="F3613" s="5">
        <v>42736</v>
      </c>
      <c r="G3613">
        <v>0</v>
      </c>
    </row>
    <row r="3614" spans="1:7" x14ac:dyDescent="0.25">
      <c r="A3614" t="s">
        <v>123</v>
      </c>
      <c r="B3614" t="s">
        <v>124</v>
      </c>
      <c r="C3614">
        <v>2460</v>
      </c>
      <c r="D3614" t="s">
        <v>8</v>
      </c>
      <c r="E3614" t="s">
        <v>10</v>
      </c>
      <c r="F3614" s="5">
        <v>42370</v>
      </c>
      <c r="G3614">
        <v>0</v>
      </c>
    </row>
    <row r="3615" spans="1:7" x14ac:dyDescent="0.25">
      <c r="A3615" t="s">
        <v>123</v>
      </c>
      <c r="B3615" t="s">
        <v>124</v>
      </c>
      <c r="C3615">
        <v>2460</v>
      </c>
      <c r="D3615" t="s">
        <v>8</v>
      </c>
      <c r="E3615" t="s">
        <v>10</v>
      </c>
      <c r="F3615" s="5">
        <v>42736</v>
      </c>
      <c r="G3615">
        <v>0</v>
      </c>
    </row>
    <row r="3616" spans="1:7" x14ac:dyDescent="0.25">
      <c r="A3616" t="s">
        <v>123</v>
      </c>
      <c r="B3616" t="s">
        <v>124</v>
      </c>
      <c r="C3616">
        <v>2460</v>
      </c>
      <c r="D3616" t="s">
        <v>8</v>
      </c>
      <c r="E3616" t="s">
        <v>11</v>
      </c>
      <c r="F3616" s="5">
        <v>42370</v>
      </c>
      <c r="G3616">
        <v>0</v>
      </c>
    </row>
    <row r="3617" spans="1:7" x14ac:dyDescent="0.25">
      <c r="A3617" t="s">
        <v>123</v>
      </c>
      <c r="B3617" t="s">
        <v>124</v>
      </c>
      <c r="C3617">
        <v>2460</v>
      </c>
      <c r="D3617" t="s">
        <v>8</v>
      </c>
      <c r="E3617" t="s">
        <v>11</v>
      </c>
      <c r="F3617" s="5">
        <v>42736</v>
      </c>
      <c r="G3617">
        <v>0</v>
      </c>
    </row>
    <row r="3618" spans="1:7" x14ac:dyDescent="0.25">
      <c r="A3618" t="s">
        <v>123</v>
      </c>
      <c r="B3618" t="s">
        <v>124</v>
      </c>
      <c r="C3618">
        <v>2460</v>
      </c>
      <c r="D3618" t="s">
        <v>8</v>
      </c>
      <c r="E3618" t="s">
        <v>12</v>
      </c>
      <c r="F3618" s="5">
        <v>42370</v>
      </c>
      <c r="G3618">
        <v>0</v>
      </c>
    </row>
    <row r="3619" spans="1:7" x14ac:dyDescent="0.25">
      <c r="A3619" t="s">
        <v>123</v>
      </c>
      <c r="B3619" t="s">
        <v>124</v>
      </c>
      <c r="C3619">
        <v>2460</v>
      </c>
      <c r="D3619" t="s">
        <v>8</v>
      </c>
      <c r="E3619" t="s">
        <v>12</v>
      </c>
      <c r="F3619" s="5">
        <v>42736</v>
      </c>
      <c r="G3619">
        <v>0</v>
      </c>
    </row>
    <row r="3620" spans="1:7" x14ac:dyDescent="0.25">
      <c r="A3620" t="s">
        <v>123</v>
      </c>
      <c r="B3620" t="s">
        <v>124</v>
      </c>
      <c r="C3620">
        <v>2460</v>
      </c>
      <c r="D3620" t="s">
        <v>8</v>
      </c>
      <c r="E3620" t="s">
        <v>13</v>
      </c>
      <c r="F3620" s="5">
        <v>42370</v>
      </c>
      <c r="G3620">
        <v>0</v>
      </c>
    </row>
    <row r="3621" spans="1:7" x14ac:dyDescent="0.25">
      <c r="A3621" t="s">
        <v>123</v>
      </c>
      <c r="B3621" t="s">
        <v>124</v>
      </c>
      <c r="C3621">
        <v>2460</v>
      </c>
      <c r="D3621" t="s">
        <v>8</v>
      </c>
      <c r="E3621" t="s">
        <v>13</v>
      </c>
      <c r="F3621" s="5">
        <v>42736</v>
      </c>
      <c r="G3621">
        <v>0</v>
      </c>
    </row>
    <row r="3622" spans="1:7" x14ac:dyDescent="0.25">
      <c r="A3622" t="s">
        <v>123</v>
      </c>
      <c r="B3622" t="s">
        <v>124</v>
      </c>
      <c r="C3622">
        <v>2460</v>
      </c>
      <c r="D3622" t="s">
        <v>8</v>
      </c>
      <c r="E3622" t="s">
        <v>14</v>
      </c>
      <c r="F3622" s="5">
        <v>42370</v>
      </c>
      <c r="G3622">
        <v>0</v>
      </c>
    </row>
    <row r="3623" spans="1:7" x14ac:dyDescent="0.25">
      <c r="A3623" t="s">
        <v>123</v>
      </c>
      <c r="B3623" t="s">
        <v>124</v>
      </c>
      <c r="C3623">
        <v>2460</v>
      </c>
      <c r="D3623" t="s">
        <v>8</v>
      </c>
      <c r="E3623" t="s">
        <v>14</v>
      </c>
      <c r="F3623" s="5">
        <v>42736</v>
      </c>
      <c r="G3623">
        <v>0</v>
      </c>
    </row>
    <row r="3624" spans="1:7" x14ac:dyDescent="0.25">
      <c r="A3624" t="s">
        <v>123</v>
      </c>
      <c r="B3624" t="s">
        <v>124</v>
      </c>
      <c r="C3624">
        <v>2460</v>
      </c>
      <c r="D3624" t="s">
        <v>8</v>
      </c>
      <c r="E3624" t="s">
        <v>15</v>
      </c>
      <c r="F3624" s="5">
        <v>42370</v>
      </c>
      <c r="G3624">
        <v>0</v>
      </c>
    </row>
    <row r="3625" spans="1:7" x14ac:dyDescent="0.25">
      <c r="A3625" t="s">
        <v>123</v>
      </c>
      <c r="B3625" t="s">
        <v>124</v>
      </c>
      <c r="C3625">
        <v>2460</v>
      </c>
      <c r="D3625" t="s">
        <v>8</v>
      </c>
      <c r="E3625" t="s">
        <v>15</v>
      </c>
      <c r="F3625" s="5">
        <v>42736</v>
      </c>
      <c r="G3625">
        <v>0</v>
      </c>
    </row>
    <row r="3626" spans="1:7" x14ac:dyDescent="0.25">
      <c r="A3626" t="s">
        <v>123</v>
      </c>
      <c r="B3626" t="s">
        <v>124</v>
      </c>
      <c r="C3626">
        <v>2460</v>
      </c>
      <c r="D3626" t="s">
        <v>8</v>
      </c>
      <c r="E3626" t="s">
        <v>16</v>
      </c>
      <c r="F3626" s="5">
        <v>42370</v>
      </c>
      <c r="G3626">
        <v>0</v>
      </c>
    </row>
    <row r="3627" spans="1:7" x14ac:dyDescent="0.25">
      <c r="A3627" t="s">
        <v>123</v>
      </c>
      <c r="B3627" t="s">
        <v>124</v>
      </c>
      <c r="C3627">
        <v>2460</v>
      </c>
      <c r="D3627" t="s">
        <v>8</v>
      </c>
      <c r="E3627" t="s">
        <v>16</v>
      </c>
      <c r="F3627" s="5">
        <v>42736</v>
      </c>
      <c r="G3627">
        <v>0</v>
      </c>
    </row>
    <row r="3628" spans="1:7" x14ac:dyDescent="0.25">
      <c r="A3628" t="s">
        <v>123</v>
      </c>
      <c r="B3628" t="s">
        <v>124</v>
      </c>
      <c r="C3628">
        <v>2460</v>
      </c>
      <c r="D3628" t="s">
        <v>8</v>
      </c>
      <c r="E3628" t="s">
        <v>17</v>
      </c>
      <c r="F3628" s="5">
        <v>42370</v>
      </c>
      <c r="G3628">
        <v>0</v>
      </c>
    </row>
    <row r="3629" spans="1:7" x14ac:dyDescent="0.25">
      <c r="A3629" t="s">
        <v>123</v>
      </c>
      <c r="B3629" t="s">
        <v>124</v>
      </c>
      <c r="C3629">
        <v>2460</v>
      </c>
      <c r="D3629" t="s">
        <v>8</v>
      </c>
      <c r="E3629" t="s">
        <v>17</v>
      </c>
      <c r="F3629" s="5">
        <v>42736</v>
      </c>
      <c r="G3629">
        <v>0</v>
      </c>
    </row>
    <row r="3630" spans="1:7" x14ac:dyDescent="0.25">
      <c r="A3630" t="s">
        <v>123</v>
      </c>
      <c r="B3630" t="s">
        <v>124</v>
      </c>
      <c r="C3630">
        <v>2460</v>
      </c>
      <c r="D3630" t="s">
        <v>8</v>
      </c>
      <c r="E3630" t="s">
        <v>18</v>
      </c>
      <c r="F3630" s="5">
        <v>42370</v>
      </c>
      <c r="G3630">
        <v>0</v>
      </c>
    </row>
    <row r="3631" spans="1:7" x14ac:dyDescent="0.25">
      <c r="A3631" t="s">
        <v>123</v>
      </c>
      <c r="B3631" t="s">
        <v>124</v>
      </c>
      <c r="C3631">
        <v>2460</v>
      </c>
      <c r="D3631" t="s">
        <v>8</v>
      </c>
      <c r="E3631" t="s">
        <v>18</v>
      </c>
      <c r="F3631" s="5">
        <v>42736</v>
      </c>
      <c r="G3631">
        <v>0</v>
      </c>
    </row>
    <row r="3632" spans="1:7" x14ac:dyDescent="0.25">
      <c r="A3632" t="s">
        <v>123</v>
      </c>
      <c r="B3632" t="s">
        <v>124</v>
      </c>
      <c r="C3632">
        <v>2460</v>
      </c>
      <c r="D3632" t="s">
        <v>8</v>
      </c>
      <c r="E3632" t="s">
        <v>19</v>
      </c>
      <c r="F3632" s="5">
        <v>42370</v>
      </c>
      <c r="G3632">
        <v>0</v>
      </c>
    </row>
    <row r="3633" spans="1:7" x14ac:dyDescent="0.25">
      <c r="A3633" t="s">
        <v>123</v>
      </c>
      <c r="B3633" t="s">
        <v>124</v>
      </c>
      <c r="C3633">
        <v>2460</v>
      </c>
      <c r="D3633" t="s">
        <v>8</v>
      </c>
      <c r="E3633" t="s">
        <v>19</v>
      </c>
      <c r="F3633" s="5">
        <v>42736</v>
      </c>
      <c r="G3633">
        <v>0</v>
      </c>
    </row>
    <row r="3634" spans="1:7" x14ac:dyDescent="0.25">
      <c r="A3634" t="s">
        <v>123</v>
      </c>
      <c r="B3634" t="s">
        <v>124</v>
      </c>
      <c r="C3634">
        <v>2460</v>
      </c>
      <c r="D3634" t="s">
        <v>20</v>
      </c>
      <c r="E3634" t="s">
        <v>9</v>
      </c>
      <c r="F3634" s="5">
        <v>42370</v>
      </c>
      <c r="G3634">
        <v>0</v>
      </c>
    </row>
    <row r="3635" spans="1:7" x14ac:dyDescent="0.25">
      <c r="A3635" t="s">
        <v>123</v>
      </c>
      <c r="B3635" t="s">
        <v>124</v>
      </c>
      <c r="C3635">
        <v>2460</v>
      </c>
      <c r="D3635" t="s">
        <v>20</v>
      </c>
      <c r="E3635" t="s">
        <v>9</v>
      </c>
      <c r="F3635" s="5">
        <v>42736</v>
      </c>
      <c r="G3635">
        <v>0</v>
      </c>
    </row>
    <row r="3636" spans="1:7" x14ac:dyDescent="0.25">
      <c r="A3636" t="s">
        <v>123</v>
      </c>
      <c r="B3636" t="s">
        <v>124</v>
      </c>
      <c r="C3636">
        <v>2460</v>
      </c>
      <c r="D3636" t="s">
        <v>20</v>
      </c>
      <c r="E3636" t="s">
        <v>21</v>
      </c>
      <c r="F3636" s="5">
        <v>42370</v>
      </c>
      <c r="G3636">
        <v>0</v>
      </c>
    </row>
    <row r="3637" spans="1:7" x14ac:dyDescent="0.25">
      <c r="A3637" t="s">
        <v>123</v>
      </c>
      <c r="B3637" t="s">
        <v>124</v>
      </c>
      <c r="C3637">
        <v>2460</v>
      </c>
      <c r="D3637" t="s">
        <v>20</v>
      </c>
      <c r="E3637" t="s">
        <v>21</v>
      </c>
      <c r="F3637" s="5">
        <v>42736</v>
      </c>
      <c r="G3637">
        <v>0</v>
      </c>
    </row>
    <row r="3638" spans="1:7" x14ac:dyDescent="0.25">
      <c r="A3638" t="s">
        <v>123</v>
      </c>
      <c r="B3638" t="s">
        <v>124</v>
      </c>
      <c r="C3638">
        <v>2460</v>
      </c>
      <c r="D3638" t="s">
        <v>20</v>
      </c>
      <c r="E3638" t="s">
        <v>22</v>
      </c>
      <c r="F3638" s="5">
        <v>42370</v>
      </c>
      <c r="G3638">
        <v>2</v>
      </c>
    </row>
    <row r="3639" spans="1:7" x14ac:dyDescent="0.25">
      <c r="A3639" t="s">
        <v>123</v>
      </c>
      <c r="B3639" t="s">
        <v>124</v>
      </c>
      <c r="C3639">
        <v>2460</v>
      </c>
      <c r="D3639" t="s">
        <v>20</v>
      </c>
      <c r="E3639" t="s">
        <v>22</v>
      </c>
      <c r="F3639" s="5">
        <v>42736</v>
      </c>
      <c r="G3639">
        <v>0</v>
      </c>
    </row>
    <row r="3640" spans="1:7" x14ac:dyDescent="0.25">
      <c r="A3640" t="s">
        <v>123</v>
      </c>
      <c r="B3640" t="s">
        <v>124</v>
      </c>
      <c r="C3640">
        <v>2460</v>
      </c>
      <c r="D3640" t="s">
        <v>20</v>
      </c>
      <c r="E3640" t="s">
        <v>23</v>
      </c>
      <c r="F3640" s="5">
        <v>42370</v>
      </c>
      <c r="G3640">
        <v>0</v>
      </c>
    </row>
    <row r="3641" spans="1:7" x14ac:dyDescent="0.25">
      <c r="A3641" t="s">
        <v>123</v>
      </c>
      <c r="B3641" t="s">
        <v>124</v>
      </c>
      <c r="C3641">
        <v>2460</v>
      </c>
      <c r="D3641" t="s">
        <v>20</v>
      </c>
      <c r="E3641" t="s">
        <v>23</v>
      </c>
      <c r="F3641" s="5">
        <v>42736</v>
      </c>
      <c r="G3641">
        <v>0</v>
      </c>
    </row>
    <row r="3642" spans="1:7" x14ac:dyDescent="0.25">
      <c r="A3642" t="s">
        <v>123</v>
      </c>
      <c r="B3642" t="s">
        <v>124</v>
      </c>
      <c r="C3642">
        <v>2460</v>
      </c>
      <c r="D3642" t="s">
        <v>20</v>
      </c>
      <c r="E3642" t="s">
        <v>24</v>
      </c>
      <c r="F3642" s="5">
        <v>42370</v>
      </c>
      <c r="G3642">
        <v>0</v>
      </c>
    </row>
    <row r="3643" spans="1:7" x14ac:dyDescent="0.25">
      <c r="A3643" t="s">
        <v>123</v>
      </c>
      <c r="B3643" t="s">
        <v>124</v>
      </c>
      <c r="C3643">
        <v>2460</v>
      </c>
      <c r="D3643" t="s">
        <v>20</v>
      </c>
      <c r="E3643" t="s">
        <v>24</v>
      </c>
      <c r="F3643" s="5">
        <v>42736</v>
      </c>
      <c r="G3643">
        <v>0</v>
      </c>
    </row>
    <row r="3644" spans="1:7" x14ac:dyDescent="0.25">
      <c r="A3644" t="s">
        <v>123</v>
      </c>
      <c r="B3644" t="s">
        <v>124</v>
      </c>
      <c r="C3644">
        <v>2460</v>
      </c>
      <c r="D3644" t="s">
        <v>20</v>
      </c>
      <c r="E3644" t="s">
        <v>25</v>
      </c>
      <c r="F3644" s="5">
        <v>42370</v>
      </c>
      <c r="G3644">
        <v>0</v>
      </c>
    </row>
    <row r="3645" spans="1:7" x14ac:dyDescent="0.25">
      <c r="A3645" t="s">
        <v>123</v>
      </c>
      <c r="B3645" t="s">
        <v>124</v>
      </c>
      <c r="C3645">
        <v>2460</v>
      </c>
      <c r="D3645" t="s">
        <v>20</v>
      </c>
      <c r="E3645" t="s">
        <v>25</v>
      </c>
      <c r="F3645" s="5">
        <v>42736</v>
      </c>
      <c r="G3645">
        <v>0</v>
      </c>
    </row>
    <row r="3646" spans="1:7" x14ac:dyDescent="0.25">
      <c r="A3646" t="s">
        <v>123</v>
      </c>
      <c r="B3646" t="s">
        <v>124</v>
      </c>
      <c r="C3646">
        <v>2460</v>
      </c>
      <c r="D3646" t="s">
        <v>20</v>
      </c>
      <c r="E3646" t="s">
        <v>26</v>
      </c>
      <c r="F3646" s="5">
        <v>42370</v>
      </c>
      <c r="G3646">
        <v>5</v>
      </c>
    </row>
    <row r="3647" spans="1:7" x14ac:dyDescent="0.25">
      <c r="A3647" t="s">
        <v>123</v>
      </c>
      <c r="B3647" t="s">
        <v>124</v>
      </c>
      <c r="C3647">
        <v>2460</v>
      </c>
      <c r="D3647" t="s">
        <v>20</v>
      </c>
      <c r="E3647" t="s">
        <v>26</v>
      </c>
      <c r="F3647" s="5">
        <v>42736</v>
      </c>
      <c r="G3647">
        <v>18</v>
      </c>
    </row>
    <row r="3648" spans="1:7" x14ac:dyDescent="0.25">
      <c r="A3648" t="s">
        <v>123</v>
      </c>
      <c r="B3648" t="s">
        <v>124</v>
      </c>
      <c r="C3648">
        <v>2460</v>
      </c>
      <c r="D3648" t="s">
        <v>20</v>
      </c>
      <c r="E3648" t="s">
        <v>27</v>
      </c>
      <c r="F3648" s="5">
        <v>42370</v>
      </c>
      <c r="G3648">
        <v>0</v>
      </c>
    </row>
    <row r="3649" spans="1:7" x14ac:dyDescent="0.25">
      <c r="A3649" t="s">
        <v>123</v>
      </c>
      <c r="B3649" t="s">
        <v>124</v>
      </c>
      <c r="C3649">
        <v>2460</v>
      </c>
      <c r="D3649" t="s">
        <v>20</v>
      </c>
      <c r="E3649" t="s">
        <v>27</v>
      </c>
      <c r="F3649" s="5">
        <v>42736</v>
      </c>
      <c r="G3649">
        <v>0</v>
      </c>
    </row>
    <row r="3650" spans="1:7" x14ac:dyDescent="0.25">
      <c r="A3650" t="s">
        <v>123</v>
      </c>
      <c r="B3650" t="s">
        <v>124</v>
      </c>
      <c r="C3650">
        <v>2460</v>
      </c>
      <c r="D3650" t="s">
        <v>20</v>
      </c>
      <c r="E3650" t="s">
        <v>28</v>
      </c>
      <c r="F3650" s="5">
        <v>42370</v>
      </c>
      <c r="G3650">
        <v>0</v>
      </c>
    </row>
    <row r="3651" spans="1:7" x14ac:dyDescent="0.25">
      <c r="A3651" t="s">
        <v>123</v>
      </c>
      <c r="B3651" t="s">
        <v>124</v>
      </c>
      <c r="C3651">
        <v>2460</v>
      </c>
      <c r="D3651" t="s">
        <v>20</v>
      </c>
      <c r="E3651" t="s">
        <v>28</v>
      </c>
      <c r="F3651" s="5">
        <v>42736</v>
      </c>
      <c r="G3651">
        <v>0</v>
      </c>
    </row>
    <row r="3652" spans="1:7" x14ac:dyDescent="0.25">
      <c r="A3652" t="s">
        <v>123</v>
      </c>
      <c r="B3652" t="s">
        <v>124</v>
      </c>
      <c r="C3652">
        <v>2460</v>
      </c>
      <c r="D3652" t="s">
        <v>20</v>
      </c>
      <c r="E3652" t="s">
        <v>29</v>
      </c>
      <c r="F3652" s="5">
        <v>42370</v>
      </c>
      <c r="G3652">
        <v>5</v>
      </c>
    </row>
    <row r="3653" spans="1:7" x14ac:dyDescent="0.25">
      <c r="A3653" t="s">
        <v>123</v>
      </c>
      <c r="B3653" t="s">
        <v>124</v>
      </c>
      <c r="C3653">
        <v>2460</v>
      </c>
      <c r="D3653" t="s">
        <v>20</v>
      </c>
      <c r="E3653" t="s">
        <v>29</v>
      </c>
      <c r="F3653" s="5">
        <v>42736</v>
      </c>
      <c r="G3653">
        <v>19</v>
      </c>
    </row>
    <row r="3654" spans="1:7" x14ac:dyDescent="0.25">
      <c r="A3654" t="s">
        <v>123</v>
      </c>
      <c r="B3654" t="s">
        <v>124</v>
      </c>
      <c r="C3654">
        <v>2460</v>
      </c>
      <c r="D3654" t="s">
        <v>20</v>
      </c>
      <c r="E3654" t="s">
        <v>30</v>
      </c>
      <c r="F3654" s="5">
        <v>42370</v>
      </c>
      <c r="G3654">
        <v>5</v>
      </c>
    </row>
    <row r="3655" spans="1:7" x14ac:dyDescent="0.25">
      <c r="A3655" t="s">
        <v>123</v>
      </c>
      <c r="B3655" t="s">
        <v>124</v>
      </c>
      <c r="C3655">
        <v>2460</v>
      </c>
      <c r="D3655" t="s">
        <v>20</v>
      </c>
      <c r="E3655" t="s">
        <v>30</v>
      </c>
      <c r="F3655" s="5">
        <v>42736</v>
      </c>
      <c r="G3655">
        <v>17</v>
      </c>
    </row>
    <row r="3656" spans="1:7" x14ac:dyDescent="0.25">
      <c r="A3656" t="s">
        <v>123</v>
      </c>
      <c r="B3656" t="s">
        <v>124</v>
      </c>
      <c r="C3656">
        <v>2460</v>
      </c>
      <c r="D3656" t="s">
        <v>20</v>
      </c>
      <c r="E3656" t="s">
        <v>31</v>
      </c>
      <c r="F3656" s="5">
        <v>42370</v>
      </c>
      <c r="G3656">
        <v>20</v>
      </c>
    </row>
    <row r="3657" spans="1:7" x14ac:dyDescent="0.25">
      <c r="A3657" t="s">
        <v>123</v>
      </c>
      <c r="B3657" t="s">
        <v>124</v>
      </c>
      <c r="C3657">
        <v>2460</v>
      </c>
      <c r="D3657" t="s">
        <v>20</v>
      </c>
      <c r="E3657" t="s">
        <v>31</v>
      </c>
      <c r="F3657" s="5">
        <v>42736</v>
      </c>
      <c r="G3657">
        <v>60</v>
      </c>
    </row>
    <row r="3658" spans="1:7" x14ac:dyDescent="0.25">
      <c r="A3658" t="s">
        <v>123</v>
      </c>
      <c r="B3658" t="s">
        <v>124</v>
      </c>
      <c r="C3658">
        <v>2460</v>
      </c>
      <c r="D3658" t="s">
        <v>20</v>
      </c>
      <c r="E3658" t="s">
        <v>32</v>
      </c>
      <c r="F3658" s="5">
        <v>42370</v>
      </c>
      <c r="G3658">
        <v>5</v>
      </c>
    </row>
    <row r="3659" spans="1:7" x14ac:dyDescent="0.25">
      <c r="A3659" t="s">
        <v>123</v>
      </c>
      <c r="B3659" t="s">
        <v>124</v>
      </c>
      <c r="C3659">
        <v>2460</v>
      </c>
      <c r="D3659" t="s">
        <v>20</v>
      </c>
      <c r="E3659" t="s">
        <v>32</v>
      </c>
      <c r="F3659" s="5">
        <v>42736</v>
      </c>
      <c r="G3659">
        <v>16</v>
      </c>
    </row>
    <row r="3660" spans="1:7" x14ac:dyDescent="0.25">
      <c r="A3660" t="s">
        <v>123</v>
      </c>
      <c r="B3660" t="s">
        <v>124</v>
      </c>
      <c r="C3660">
        <v>2460</v>
      </c>
      <c r="D3660" t="s">
        <v>33</v>
      </c>
      <c r="E3660" t="s">
        <v>9</v>
      </c>
      <c r="F3660" s="5">
        <v>42370</v>
      </c>
      <c r="G3660">
        <v>0</v>
      </c>
    </row>
    <row r="3661" spans="1:7" x14ac:dyDescent="0.25">
      <c r="A3661" t="s">
        <v>123</v>
      </c>
      <c r="B3661" t="s">
        <v>124</v>
      </c>
      <c r="C3661">
        <v>2460</v>
      </c>
      <c r="D3661" t="s">
        <v>33</v>
      </c>
      <c r="E3661" t="s">
        <v>9</v>
      </c>
      <c r="F3661" s="5">
        <v>42736</v>
      </c>
      <c r="G3661">
        <v>0</v>
      </c>
    </row>
    <row r="3662" spans="1:7" x14ac:dyDescent="0.25">
      <c r="A3662" t="s">
        <v>123</v>
      </c>
      <c r="B3662" t="s">
        <v>124</v>
      </c>
      <c r="C3662">
        <v>2460</v>
      </c>
      <c r="D3662" t="s">
        <v>33</v>
      </c>
      <c r="E3662" t="s">
        <v>34</v>
      </c>
      <c r="F3662" s="5">
        <v>42370</v>
      </c>
      <c r="G3662">
        <v>0</v>
      </c>
    </row>
    <row r="3663" spans="1:7" x14ac:dyDescent="0.25">
      <c r="A3663" t="s">
        <v>123</v>
      </c>
      <c r="B3663" t="s">
        <v>124</v>
      </c>
      <c r="C3663">
        <v>2460</v>
      </c>
      <c r="D3663" t="s">
        <v>33</v>
      </c>
      <c r="E3663" t="s">
        <v>34</v>
      </c>
      <c r="F3663" s="5">
        <v>42736</v>
      </c>
      <c r="G3663">
        <v>0</v>
      </c>
    </row>
    <row r="3664" spans="1:7" x14ac:dyDescent="0.25">
      <c r="A3664" t="s">
        <v>123</v>
      </c>
      <c r="B3664" t="s">
        <v>124</v>
      </c>
      <c r="C3664">
        <v>2460</v>
      </c>
      <c r="D3664" t="s">
        <v>35</v>
      </c>
      <c r="E3664" t="s">
        <v>36</v>
      </c>
      <c r="F3664" s="5">
        <v>42370</v>
      </c>
      <c r="G3664">
        <v>0</v>
      </c>
    </row>
    <row r="3665" spans="1:7" x14ac:dyDescent="0.25">
      <c r="A3665" t="s">
        <v>123</v>
      </c>
      <c r="B3665" t="s">
        <v>124</v>
      </c>
      <c r="C3665">
        <v>2460</v>
      </c>
      <c r="D3665" t="s">
        <v>35</v>
      </c>
      <c r="E3665" t="s">
        <v>36</v>
      </c>
      <c r="F3665" s="5">
        <v>42736</v>
      </c>
      <c r="G3665">
        <v>0</v>
      </c>
    </row>
    <row r="3666" spans="1:7" x14ac:dyDescent="0.25">
      <c r="A3666" t="s">
        <v>123</v>
      </c>
      <c r="B3666" t="s">
        <v>124</v>
      </c>
      <c r="C3666">
        <v>2460</v>
      </c>
      <c r="D3666" t="s">
        <v>35</v>
      </c>
      <c r="E3666" t="s">
        <v>37</v>
      </c>
      <c r="F3666" s="5">
        <v>42370</v>
      </c>
      <c r="G3666">
        <v>0</v>
      </c>
    </row>
    <row r="3667" spans="1:7" x14ac:dyDescent="0.25">
      <c r="A3667" t="s">
        <v>123</v>
      </c>
      <c r="B3667" t="s">
        <v>124</v>
      </c>
      <c r="C3667">
        <v>2460</v>
      </c>
      <c r="D3667" t="s">
        <v>35</v>
      </c>
      <c r="E3667" t="s">
        <v>37</v>
      </c>
      <c r="F3667" s="5">
        <v>42736</v>
      </c>
      <c r="G3667">
        <v>0</v>
      </c>
    </row>
    <row r="3668" spans="1:7" x14ac:dyDescent="0.25">
      <c r="A3668" t="s">
        <v>123</v>
      </c>
      <c r="B3668" t="s">
        <v>124</v>
      </c>
      <c r="C3668">
        <v>2460</v>
      </c>
      <c r="D3668" t="s">
        <v>35</v>
      </c>
      <c r="E3668" t="s">
        <v>38</v>
      </c>
      <c r="F3668" s="5">
        <v>42370</v>
      </c>
      <c r="G3668">
        <v>0</v>
      </c>
    </row>
    <row r="3669" spans="1:7" x14ac:dyDescent="0.25">
      <c r="A3669" t="s">
        <v>123</v>
      </c>
      <c r="B3669" t="s">
        <v>124</v>
      </c>
      <c r="C3669">
        <v>2460</v>
      </c>
      <c r="D3669" t="s">
        <v>35</v>
      </c>
      <c r="E3669" t="s">
        <v>38</v>
      </c>
      <c r="F3669" s="5">
        <v>42736</v>
      </c>
      <c r="G3669">
        <v>0</v>
      </c>
    </row>
    <row r="3670" spans="1:7" x14ac:dyDescent="0.25">
      <c r="A3670" t="s">
        <v>123</v>
      </c>
      <c r="B3670" t="s">
        <v>124</v>
      </c>
      <c r="C3670">
        <v>2460</v>
      </c>
      <c r="D3670" t="s">
        <v>35</v>
      </c>
      <c r="E3670" t="s">
        <v>39</v>
      </c>
      <c r="F3670" s="5">
        <v>42370</v>
      </c>
      <c r="G3670">
        <v>0</v>
      </c>
    </row>
    <row r="3671" spans="1:7" x14ac:dyDescent="0.25">
      <c r="A3671" t="s">
        <v>123</v>
      </c>
      <c r="B3671" t="s">
        <v>124</v>
      </c>
      <c r="C3671">
        <v>2460</v>
      </c>
      <c r="D3671" t="s">
        <v>35</v>
      </c>
      <c r="E3671" t="s">
        <v>39</v>
      </c>
      <c r="F3671" s="5">
        <v>42736</v>
      </c>
      <c r="G3671">
        <v>0</v>
      </c>
    </row>
    <row r="3672" spans="1:7" x14ac:dyDescent="0.25">
      <c r="A3672" t="s">
        <v>123</v>
      </c>
      <c r="B3672" t="s">
        <v>124</v>
      </c>
      <c r="C3672">
        <v>2460</v>
      </c>
      <c r="D3672" t="s">
        <v>35</v>
      </c>
      <c r="E3672" t="s">
        <v>40</v>
      </c>
      <c r="F3672" s="5">
        <v>42370</v>
      </c>
      <c r="G3672">
        <v>0</v>
      </c>
    </row>
    <row r="3673" spans="1:7" x14ac:dyDescent="0.25">
      <c r="A3673" t="s">
        <v>123</v>
      </c>
      <c r="B3673" t="s">
        <v>124</v>
      </c>
      <c r="C3673">
        <v>2460</v>
      </c>
      <c r="D3673" t="s">
        <v>35</v>
      </c>
      <c r="E3673" t="s">
        <v>40</v>
      </c>
      <c r="F3673" s="5">
        <v>42736</v>
      </c>
      <c r="G3673">
        <v>0</v>
      </c>
    </row>
    <row r="3674" spans="1:7" x14ac:dyDescent="0.25">
      <c r="A3674" t="s">
        <v>123</v>
      </c>
      <c r="B3674" t="s">
        <v>124</v>
      </c>
      <c r="C3674">
        <v>2460</v>
      </c>
      <c r="D3674" t="s">
        <v>35</v>
      </c>
      <c r="E3674" t="s">
        <v>41</v>
      </c>
      <c r="F3674" s="5">
        <v>42370</v>
      </c>
      <c r="G3674">
        <v>0</v>
      </c>
    </row>
    <row r="3675" spans="1:7" x14ac:dyDescent="0.25">
      <c r="A3675" t="s">
        <v>123</v>
      </c>
      <c r="B3675" t="s">
        <v>124</v>
      </c>
      <c r="C3675">
        <v>2460</v>
      </c>
      <c r="D3675" t="s">
        <v>35</v>
      </c>
      <c r="E3675" t="s">
        <v>41</v>
      </c>
      <c r="F3675" s="5">
        <v>42736</v>
      </c>
      <c r="G3675">
        <v>0</v>
      </c>
    </row>
    <row r="3676" spans="1:7" x14ac:dyDescent="0.25">
      <c r="A3676" t="s">
        <v>123</v>
      </c>
      <c r="B3676" t="s">
        <v>124</v>
      </c>
      <c r="C3676">
        <v>2460</v>
      </c>
      <c r="D3676" t="s">
        <v>35</v>
      </c>
      <c r="E3676" t="s">
        <v>42</v>
      </c>
      <c r="F3676" s="5">
        <v>42370</v>
      </c>
      <c r="G3676">
        <v>0</v>
      </c>
    </row>
    <row r="3677" spans="1:7" x14ac:dyDescent="0.25">
      <c r="A3677" t="s">
        <v>123</v>
      </c>
      <c r="B3677" t="s">
        <v>124</v>
      </c>
      <c r="C3677">
        <v>2460</v>
      </c>
      <c r="D3677" t="s">
        <v>35</v>
      </c>
      <c r="E3677" t="s">
        <v>42</v>
      </c>
      <c r="F3677" s="5">
        <v>42736</v>
      </c>
      <c r="G3677">
        <v>0</v>
      </c>
    </row>
    <row r="3678" spans="1:7" x14ac:dyDescent="0.25">
      <c r="A3678" t="s">
        <v>123</v>
      </c>
      <c r="B3678" t="s">
        <v>124</v>
      </c>
      <c r="C3678">
        <v>2460</v>
      </c>
      <c r="D3678" t="s">
        <v>35</v>
      </c>
      <c r="E3678" t="s">
        <v>43</v>
      </c>
      <c r="F3678" s="5">
        <v>42370</v>
      </c>
      <c r="G3678">
        <v>0</v>
      </c>
    </row>
    <row r="3679" spans="1:7" x14ac:dyDescent="0.25">
      <c r="A3679" t="s">
        <v>123</v>
      </c>
      <c r="B3679" t="s">
        <v>124</v>
      </c>
      <c r="C3679">
        <v>2460</v>
      </c>
      <c r="D3679" t="s">
        <v>35</v>
      </c>
      <c r="E3679" t="s">
        <v>43</v>
      </c>
      <c r="F3679" s="5">
        <v>42736</v>
      </c>
      <c r="G3679">
        <v>0</v>
      </c>
    </row>
    <row r="3680" spans="1:7" x14ac:dyDescent="0.25">
      <c r="A3680" t="s">
        <v>123</v>
      </c>
      <c r="B3680" t="s">
        <v>124</v>
      </c>
      <c r="C3680">
        <v>2460</v>
      </c>
      <c r="D3680" t="s">
        <v>44</v>
      </c>
      <c r="E3680" t="s">
        <v>36</v>
      </c>
      <c r="F3680" s="5">
        <v>42370</v>
      </c>
      <c r="G3680">
        <v>0</v>
      </c>
    </row>
    <row r="3681" spans="1:7" x14ac:dyDescent="0.25">
      <c r="A3681" t="s">
        <v>123</v>
      </c>
      <c r="B3681" t="s">
        <v>124</v>
      </c>
      <c r="C3681">
        <v>2460</v>
      </c>
      <c r="D3681" t="s">
        <v>44</v>
      </c>
      <c r="E3681" t="s">
        <v>36</v>
      </c>
      <c r="F3681" s="5">
        <v>42736</v>
      </c>
      <c r="G3681">
        <v>0</v>
      </c>
    </row>
    <row r="3682" spans="1:7" x14ac:dyDescent="0.25">
      <c r="A3682" t="s">
        <v>123</v>
      </c>
      <c r="B3682" t="s">
        <v>124</v>
      </c>
      <c r="C3682">
        <v>2460</v>
      </c>
      <c r="D3682" t="s">
        <v>44</v>
      </c>
      <c r="E3682" t="s">
        <v>37</v>
      </c>
      <c r="F3682" s="5">
        <v>42370</v>
      </c>
      <c r="G3682">
        <v>0</v>
      </c>
    </row>
    <row r="3683" spans="1:7" x14ac:dyDescent="0.25">
      <c r="A3683" t="s">
        <v>123</v>
      </c>
      <c r="B3683" t="s">
        <v>124</v>
      </c>
      <c r="C3683">
        <v>2460</v>
      </c>
      <c r="D3683" t="s">
        <v>44</v>
      </c>
      <c r="E3683" t="s">
        <v>37</v>
      </c>
      <c r="F3683" s="5">
        <v>42736</v>
      </c>
      <c r="G3683">
        <v>0</v>
      </c>
    </row>
    <row r="3684" spans="1:7" x14ac:dyDescent="0.25">
      <c r="A3684" t="s">
        <v>123</v>
      </c>
      <c r="B3684" t="s">
        <v>124</v>
      </c>
      <c r="C3684">
        <v>2460</v>
      </c>
      <c r="D3684" t="s">
        <v>44</v>
      </c>
      <c r="E3684" t="s">
        <v>38</v>
      </c>
      <c r="F3684" s="5">
        <v>42370</v>
      </c>
      <c r="G3684">
        <v>0</v>
      </c>
    </row>
    <row r="3685" spans="1:7" x14ac:dyDescent="0.25">
      <c r="A3685" t="s">
        <v>123</v>
      </c>
      <c r="B3685" t="s">
        <v>124</v>
      </c>
      <c r="C3685">
        <v>2460</v>
      </c>
      <c r="D3685" t="s">
        <v>44</v>
      </c>
      <c r="E3685" t="s">
        <v>38</v>
      </c>
      <c r="F3685" s="5">
        <v>42736</v>
      </c>
      <c r="G3685">
        <v>0</v>
      </c>
    </row>
    <row r="3686" spans="1:7" x14ac:dyDescent="0.25">
      <c r="A3686" t="s">
        <v>123</v>
      </c>
      <c r="B3686" t="s">
        <v>124</v>
      </c>
      <c r="C3686">
        <v>2460</v>
      </c>
      <c r="D3686" t="s">
        <v>44</v>
      </c>
      <c r="E3686" t="s">
        <v>39</v>
      </c>
      <c r="F3686" s="5">
        <v>42370</v>
      </c>
      <c r="G3686">
        <v>0</v>
      </c>
    </row>
    <row r="3687" spans="1:7" x14ac:dyDescent="0.25">
      <c r="A3687" t="s">
        <v>123</v>
      </c>
      <c r="B3687" t="s">
        <v>124</v>
      </c>
      <c r="C3687">
        <v>2460</v>
      </c>
      <c r="D3687" t="s">
        <v>44</v>
      </c>
      <c r="E3687" t="s">
        <v>39</v>
      </c>
      <c r="F3687" s="5">
        <v>42736</v>
      </c>
      <c r="G3687">
        <v>0</v>
      </c>
    </row>
    <row r="3688" spans="1:7" x14ac:dyDescent="0.25">
      <c r="A3688" t="s">
        <v>123</v>
      </c>
      <c r="B3688" t="s">
        <v>124</v>
      </c>
      <c r="C3688">
        <v>2460</v>
      </c>
      <c r="D3688" t="s">
        <v>44</v>
      </c>
      <c r="E3688" t="s">
        <v>40</v>
      </c>
      <c r="F3688" s="5">
        <v>42370</v>
      </c>
      <c r="G3688">
        <v>0</v>
      </c>
    </row>
    <row r="3689" spans="1:7" x14ac:dyDescent="0.25">
      <c r="A3689" t="s">
        <v>123</v>
      </c>
      <c r="B3689" t="s">
        <v>124</v>
      </c>
      <c r="C3689">
        <v>2460</v>
      </c>
      <c r="D3689" t="s">
        <v>44</v>
      </c>
      <c r="E3689" t="s">
        <v>40</v>
      </c>
      <c r="F3689" s="5">
        <v>42736</v>
      </c>
      <c r="G3689">
        <v>0</v>
      </c>
    </row>
    <row r="3690" spans="1:7" x14ac:dyDescent="0.25">
      <c r="A3690" t="s">
        <v>123</v>
      </c>
      <c r="B3690" t="s">
        <v>124</v>
      </c>
      <c r="C3690">
        <v>2460</v>
      </c>
      <c r="D3690" t="s">
        <v>44</v>
      </c>
      <c r="E3690" t="s">
        <v>41</v>
      </c>
      <c r="F3690" s="5">
        <v>42370</v>
      </c>
      <c r="G3690">
        <v>0</v>
      </c>
    </row>
    <row r="3691" spans="1:7" x14ac:dyDescent="0.25">
      <c r="A3691" t="s">
        <v>123</v>
      </c>
      <c r="B3691" t="s">
        <v>124</v>
      </c>
      <c r="C3691">
        <v>2460</v>
      </c>
      <c r="D3691" t="s">
        <v>44</v>
      </c>
      <c r="E3691" t="s">
        <v>41</v>
      </c>
      <c r="F3691" s="5">
        <v>42736</v>
      </c>
      <c r="G3691">
        <v>0</v>
      </c>
    </row>
    <row r="3692" spans="1:7" x14ac:dyDescent="0.25">
      <c r="A3692" t="s">
        <v>123</v>
      </c>
      <c r="B3692" t="s">
        <v>124</v>
      </c>
      <c r="C3692">
        <v>2460</v>
      </c>
      <c r="D3692" t="s">
        <v>44</v>
      </c>
      <c r="E3692" t="s">
        <v>42</v>
      </c>
      <c r="F3692" s="5">
        <v>42370</v>
      </c>
      <c r="G3692">
        <v>0</v>
      </c>
    </row>
    <row r="3693" spans="1:7" x14ac:dyDescent="0.25">
      <c r="A3693" t="s">
        <v>123</v>
      </c>
      <c r="B3693" t="s">
        <v>124</v>
      </c>
      <c r="C3693">
        <v>2460</v>
      </c>
      <c r="D3693" t="s">
        <v>44</v>
      </c>
      <c r="E3693" t="s">
        <v>42</v>
      </c>
      <c r="F3693" s="5">
        <v>42736</v>
      </c>
      <c r="G3693">
        <v>0</v>
      </c>
    </row>
    <row r="3694" spans="1:7" x14ac:dyDescent="0.25">
      <c r="A3694" t="s">
        <v>123</v>
      </c>
      <c r="B3694" t="s">
        <v>124</v>
      </c>
      <c r="C3694">
        <v>2460</v>
      </c>
      <c r="D3694" t="s">
        <v>44</v>
      </c>
      <c r="E3694" t="s">
        <v>43</v>
      </c>
      <c r="F3694" s="5">
        <v>42370</v>
      </c>
      <c r="G3694">
        <v>0</v>
      </c>
    </row>
    <row r="3695" spans="1:7" x14ac:dyDescent="0.25">
      <c r="A3695" t="s">
        <v>123</v>
      </c>
      <c r="B3695" t="s">
        <v>124</v>
      </c>
      <c r="C3695">
        <v>2460</v>
      </c>
      <c r="D3695" t="s">
        <v>44</v>
      </c>
      <c r="E3695" t="s">
        <v>43</v>
      </c>
      <c r="F3695" s="5">
        <v>42736</v>
      </c>
      <c r="G3695">
        <v>0</v>
      </c>
    </row>
    <row r="3696" spans="1:7" x14ac:dyDescent="0.25">
      <c r="A3696" t="s">
        <v>123</v>
      </c>
      <c r="B3696" t="s">
        <v>124</v>
      </c>
      <c r="C3696">
        <v>2460</v>
      </c>
      <c r="D3696" t="s">
        <v>45</v>
      </c>
      <c r="E3696" t="s">
        <v>46</v>
      </c>
      <c r="F3696" s="5">
        <v>42370</v>
      </c>
      <c r="G3696">
        <v>0</v>
      </c>
    </row>
    <row r="3697" spans="1:7" x14ac:dyDescent="0.25">
      <c r="A3697" t="s">
        <v>123</v>
      </c>
      <c r="B3697" t="s">
        <v>124</v>
      </c>
      <c r="C3697">
        <v>2460</v>
      </c>
      <c r="D3697" t="s">
        <v>45</v>
      </c>
      <c r="E3697" t="s">
        <v>46</v>
      </c>
      <c r="F3697" s="5">
        <v>42736</v>
      </c>
      <c r="G3697">
        <v>0</v>
      </c>
    </row>
    <row r="3698" spans="1:7" x14ac:dyDescent="0.25">
      <c r="A3698" t="s">
        <v>123</v>
      </c>
      <c r="B3698" t="s">
        <v>124</v>
      </c>
      <c r="C3698">
        <v>2460</v>
      </c>
      <c r="D3698" t="s">
        <v>45</v>
      </c>
      <c r="E3698" t="s">
        <v>47</v>
      </c>
      <c r="F3698" s="5">
        <v>42370</v>
      </c>
      <c r="G3698">
        <v>0</v>
      </c>
    </row>
    <row r="3699" spans="1:7" x14ac:dyDescent="0.25">
      <c r="A3699" t="s">
        <v>123</v>
      </c>
      <c r="B3699" t="s">
        <v>124</v>
      </c>
      <c r="C3699">
        <v>2460</v>
      </c>
      <c r="D3699" t="s">
        <v>45</v>
      </c>
      <c r="E3699" t="s">
        <v>47</v>
      </c>
      <c r="F3699" s="5">
        <v>42736</v>
      </c>
      <c r="G3699">
        <v>0</v>
      </c>
    </row>
    <row r="3700" spans="1:7" x14ac:dyDescent="0.25">
      <c r="A3700" t="s">
        <v>123</v>
      </c>
      <c r="B3700" t="s">
        <v>124</v>
      </c>
      <c r="C3700">
        <v>2460</v>
      </c>
      <c r="D3700" t="s">
        <v>45</v>
      </c>
      <c r="E3700" t="s">
        <v>48</v>
      </c>
      <c r="F3700" s="5">
        <v>42370</v>
      </c>
      <c r="G3700">
        <v>6</v>
      </c>
    </row>
    <row r="3701" spans="1:7" x14ac:dyDescent="0.25">
      <c r="A3701" t="s">
        <v>123</v>
      </c>
      <c r="B3701" t="s">
        <v>124</v>
      </c>
      <c r="C3701">
        <v>2460</v>
      </c>
      <c r="D3701" t="s">
        <v>45</v>
      </c>
      <c r="E3701" t="s">
        <v>48</v>
      </c>
      <c r="F3701" s="5">
        <v>42736</v>
      </c>
      <c r="G3701">
        <v>6</v>
      </c>
    </row>
    <row r="3702" spans="1:7" x14ac:dyDescent="0.25">
      <c r="A3702" t="s">
        <v>123</v>
      </c>
      <c r="B3702" t="s">
        <v>124</v>
      </c>
      <c r="C3702">
        <v>2460</v>
      </c>
      <c r="D3702" t="s">
        <v>45</v>
      </c>
      <c r="E3702" t="s">
        <v>49</v>
      </c>
      <c r="F3702" s="5">
        <v>42370</v>
      </c>
      <c r="G3702">
        <v>0</v>
      </c>
    </row>
    <row r="3703" spans="1:7" x14ac:dyDescent="0.25">
      <c r="A3703" t="s">
        <v>123</v>
      </c>
      <c r="B3703" t="s">
        <v>124</v>
      </c>
      <c r="C3703">
        <v>2460</v>
      </c>
      <c r="D3703" t="s">
        <v>45</v>
      </c>
      <c r="E3703" t="s">
        <v>49</v>
      </c>
      <c r="F3703" s="5">
        <v>42736</v>
      </c>
      <c r="G3703">
        <v>0</v>
      </c>
    </row>
    <row r="3704" spans="1:7" x14ac:dyDescent="0.25">
      <c r="A3704" t="s">
        <v>123</v>
      </c>
      <c r="B3704" t="s">
        <v>124</v>
      </c>
      <c r="C3704">
        <v>2460</v>
      </c>
      <c r="D3704" t="s">
        <v>45</v>
      </c>
      <c r="E3704" t="s">
        <v>50</v>
      </c>
      <c r="F3704" s="5">
        <v>42370</v>
      </c>
      <c r="G3704">
        <v>0</v>
      </c>
    </row>
    <row r="3705" spans="1:7" x14ac:dyDescent="0.25">
      <c r="A3705" t="s">
        <v>123</v>
      </c>
      <c r="B3705" t="s">
        <v>124</v>
      </c>
      <c r="C3705">
        <v>2460</v>
      </c>
      <c r="D3705" t="s">
        <v>45</v>
      </c>
      <c r="E3705" t="s">
        <v>50</v>
      </c>
      <c r="F3705" s="5">
        <v>42736</v>
      </c>
      <c r="G3705">
        <v>0</v>
      </c>
    </row>
    <row r="3706" spans="1:7" x14ac:dyDescent="0.25">
      <c r="A3706" t="s">
        <v>123</v>
      </c>
      <c r="B3706" t="s">
        <v>124</v>
      </c>
      <c r="C3706">
        <v>2460</v>
      </c>
      <c r="D3706" t="s">
        <v>45</v>
      </c>
      <c r="E3706" t="s">
        <v>51</v>
      </c>
      <c r="F3706" s="5">
        <v>42370</v>
      </c>
      <c r="G3706">
        <v>0</v>
      </c>
    </row>
    <row r="3707" spans="1:7" x14ac:dyDescent="0.25">
      <c r="A3707" t="s">
        <v>123</v>
      </c>
      <c r="B3707" t="s">
        <v>124</v>
      </c>
      <c r="C3707">
        <v>2460</v>
      </c>
      <c r="D3707" t="s">
        <v>45</v>
      </c>
      <c r="E3707" t="s">
        <v>51</v>
      </c>
      <c r="F3707" s="5">
        <v>42736</v>
      </c>
      <c r="G3707">
        <v>0</v>
      </c>
    </row>
    <row r="3708" spans="1:7" x14ac:dyDescent="0.25">
      <c r="A3708" t="s">
        <v>123</v>
      </c>
      <c r="B3708" t="s">
        <v>124</v>
      </c>
      <c r="C3708">
        <v>2460</v>
      </c>
      <c r="D3708" t="s">
        <v>45</v>
      </c>
      <c r="E3708" t="s">
        <v>52</v>
      </c>
      <c r="F3708" s="5">
        <v>42370</v>
      </c>
      <c r="G3708">
        <v>0</v>
      </c>
    </row>
    <row r="3709" spans="1:7" x14ac:dyDescent="0.25">
      <c r="A3709" t="s">
        <v>123</v>
      </c>
      <c r="B3709" t="s">
        <v>124</v>
      </c>
      <c r="C3709">
        <v>2460</v>
      </c>
      <c r="D3709" t="s">
        <v>45</v>
      </c>
      <c r="E3709" t="s">
        <v>52</v>
      </c>
      <c r="F3709" s="5">
        <v>42736</v>
      </c>
      <c r="G3709">
        <v>0</v>
      </c>
    </row>
    <row r="3710" spans="1:7" x14ac:dyDescent="0.25">
      <c r="A3710" t="s">
        <v>123</v>
      </c>
      <c r="B3710" t="s">
        <v>124</v>
      </c>
      <c r="C3710">
        <v>2460</v>
      </c>
      <c r="D3710" t="s">
        <v>45</v>
      </c>
      <c r="E3710" t="s">
        <v>53</v>
      </c>
      <c r="F3710" s="5">
        <v>42370</v>
      </c>
      <c r="G3710">
        <v>2</v>
      </c>
    </row>
    <row r="3711" spans="1:7" x14ac:dyDescent="0.25">
      <c r="A3711" t="s">
        <v>123</v>
      </c>
      <c r="B3711" t="s">
        <v>124</v>
      </c>
      <c r="C3711">
        <v>2460</v>
      </c>
      <c r="D3711" t="s">
        <v>45</v>
      </c>
      <c r="E3711" t="s">
        <v>53</v>
      </c>
      <c r="F3711" s="5">
        <v>42736</v>
      </c>
      <c r="G3711">
        <v>5</v>
      </c>
    </row>
    <row r="3712" spans="1:7" x14ac:dyDescent="0.25">
      <c r="A3712" t="s">
        <v>123</v>
      </c>
      <c r="B3712" t="s">
        <v>124</v>
      </c>
      <c r="C3712">
        <v>2460</v>
      </c>
      <c r="D3712" t="s">
        <v>45</v>
      </c>
      <c r="E3712" t="s">
        <v>54</v>
      </c>
      <c r="F3712" s="5">
        <v>42370</v>
      </c>
      <c r="G3712">
        <v>0</v>
      </c>
    </row>
    <row r="3713" spans="1:7" x14ac:dyDescent="0.25">
      <c r="A3713" t="s">
        <v>123</v>
      </c>
      <c r="B3713" t="s">
        <v>124</v>
      </c>
      <c r="C3713">
        <v>2460</v>
      </c>
      <c r="D3713" t="s">
        <v>45</v>
      </c>
      <c r="E3713" t="s">
        <v>54</v>
      </c>
      <c r="F3713" s="5">
        <v>42736</v>
      </c>
      <c r="G3713">
        <v>0</v>
      </c>
    </row>
    <row r="3714" spans="1:7" x14ac:dyDescent="0.25">
      <c r="A3714" t="s">
        <v>123</v>
      </c>
      <c r="B3714" t="s">
        <v>124</v>
      </c>
      <c r="C3714">
        <v>2460</v>
      </c>
      <c r="D3714" t="s">
        <v>45</v>
      </c>
      <c r="E3714" t="s">
        <v>55</v>
      </c>
      <c r="F3714" s="5">
        <v>42370</v>
      </c>
      <c r="G3714">
        <v>0</v>
      </c>
    </row>
    <row r="3715" spans="1:7" x14ac:dyDescent="0.25">
      <c r="A3715" t="s">
        <v>123</v>
      </c>
      <c r="B3715" t="s">
        <v>124</v>
      </c>
      <c r="C3715">
        <v>2460</v>
      </c>
      <c r="D3715" t="s">
        <v>45</v>
      </c>
      <c r="E3715" t="s">
        <v>55</v>
      </c>
      <c r="F3715" s="5">
        <v>42736</v>
      </c>
      <c r="G3715">
        <v>0</v>
      </c>
    </row>
    <row r="3716" spans="1:7" x14ac:dyDescent="0.25">
      <c r="A3716" t="s">
        <v>123</v>
      </c>
      <c r="B3716" t="s">
        <v>124</v>
      </c>
      <c r="C3716">
        <v>2460</v>
      </c>
      <c r="D3716" t="s">
        <v>45</v>
      </c>
      <c r="E3716" t="s">
        <v>56</v>
      </c>
      <c r="F3716" s="5">
        <v>42370</v>
      </c>
      <c r="G3716">
        <v>0</v>
      </c>
    </row>
    <row r="3717" spans="1:7" x14ac:dyDescent="0.25">
      <c r="A3717" t="s">
        <v>123</v>
      </c>
      <c r="B3717" t="s">
        <v>124</v>
      </c>
      <c r="C3717">
        <v>2460</v>
      </c>
      <c r="D3717" t="s">
        <v>45</v>
      </c>
      <c r="E3717" t="s">
        <v>56</v>
      </c>
      <c r="F3717" s="5">
        <v>42736</v>
      </c>
      <c r="G3717">
        <v>0</v>
      </c>
    </row>
    <row r="3718" spans="1:7" x14ac:dyDescent="0.25">
      <c r="A3718" t="s">
        <v>123</v>
      </c>
      <c r="B3718" t="s">
        <v>124</v>
      </c>
      <c r="C3718">
        <v>2460</v>
      </c>
      <c r="D3718" t="s">
        <v>45</v>
      </c>
      <c r="E3718" t="s">
        <v>57</v>
      </c>
      <c r="F3718" s="5">
        <v>42370</v>
      </c>
      <c r="G3718">
        <v>0</v>
      </c>
    </row>
    <row r="3719" spans="1:7" x14ac:dyDescent="0.25">
      <c r="A3719" t="s">
        <v>123</v>
      </c>
      <c r="B3719" t="s">
        <v>124</v>
      </c>
      <c r="C3719">
        <v>2460</v>
      </c>
      <c r="D3719" t="s">
        <v>45</v>
      </c>
      <c r="E3719" t="s">
        <v>57</v>
      </c>
      <c r="F3719" s="5">
        <v>42736</v>
      </c>
      <c r="G3719">
        <v>0</v>
      </c>
    </row>
    <row r="3720" spans="1:7" x14ac:dyDescent="0.25">
      <c r="A3720" t="s">
        <v>123</v>
      </c>
      <c r="B3720" t="s">
        <v>124</v>
      </c>
      <c r="C3720">
        <v>2460</v>
      </c>
      <c r="D3720" t="s">
        <v>45</v>
      </c>
      <c r="E3720" t="s">
        <v>58</v>
      </c>
      <c r="F3720" s="5">
        <v>42370</v>
      </c>
      <c r="G3720">
        <v>0</v>
      </c>
    </row>
    <row r="3721" spans="1:7" x14ac:dyDescent="0.25">
      <c r="A3721" t="s">
        <v>123</v>
      </c>
      <c r="B3721" t="s">
        <v>124</v>
      </c>
      <c r="C3721">
        <v>2460</v>
      </c>
      <c r="D3721" t="s">
        <v>45</v>
      </c>
      <c r="E3721" t="s">
        <v>58</v>
      </c>
      <c r="F3721" s="5">
        <v>42736</v>
      </c>
      <c r="G3721">
        <v>0</v>
      </c>
    </row>
    <row r="3722" spans="1:7" x14ac:dyDescent="0.25">
      <c r="A3722" t="s">
        <v>123</v>
      </c>
      <c r="B3722" t="s">
        <v>124</v>
      </c>
      <c r="C3722">
        <v>2460</v>
      </c>
      <c r="D3722" t="s">
        <v>45</v>
      </c>
      <c r="E3722" t="s">
        <v>59</v>
      </c>
      <c r="F3722" s="5">
        <v>42370</v>
      </c>
      <c r="G3722">
        <v>0</v>
      </c>
    </row>
    <row r="3723" spans="1:7" x14ac:dyDescent="0.25">
      <c r="A3723" t="s">
        <v>123</v>
      </c>
      <c r="B3723" t="s">
        <v>124</v>
      </c>
      <c r="C3723">
        <v>2460</v>
      </c>
      <c r="D3723" t="s">
        <v>45</v>
      </c>
      <c r="E3723" t="s">
        <v>59</v>
      </c>
      <c r="F3723" s="5">
        <v>42736</v>
      </c>
      <c r="G3723">
        <v>0</v>
      </c>
    </row>
    <row r="3724" spans="1:7" x14ac:dyDescent="0.25">
      <c r="A3724" t="s">
        <v>123</v>
      </c>
      <c r="B3724" t="s">
        <v>124</v>
      </c>
      <c r="C3724">
        <v>2460</v>
      </c>
      <c r="D3724" t="s">
        <v>45</v>
      </c>
      <c r="E3724" t="s">
        <v>60</v>
      </c>
      <c r="F3724" s="5">
        <v>42370</v>
      </c>
      <c r="G3724">
        <v>0</v>
      </c>
    </row>
    <row r="3725" spans="1:7" x14ac:dyDescent="0.25">
      <c r="A3725" t="s">
        <v>123</v>
      </c>
      <c r="B3725" t="s">
        <v>124</v>
      </c>
      <c r="C3725">
        <v>2460</v>
      </c>
      <c r="D3725" t="s">
        <v>45</v>
      </c>
      <c r="E3725" t="s">
        <v>60</v>
      </c>
      <c r="F3725" s="5">
        <v>42736</v>
      </c>
      <c r="G3725">
        <v>0</v>
      </c>
    </row>
    <row r="3726" spans="1:7" x14ac:dyDescent="0.25">
      <c r="A3726" t="s">
        <v>123</v>
      </c>
      <c r="B3726" t="s">
        <v>124</v>
      </c>
      <c r="C3726">
        <v>2460</v>
      </c>
      <c r="D3726" t="s">
        <v>45</v>
      </c>
      <c r="E3726" t="s">
        <v>61</v>
      </c>
      <c r="F3726" s="5">
        <v>42370</v>
      </c>
      <c r="G3726">
        <v>1</v>
      </c>
    </row>
    <row r="3727" spans="1:7" x14ac:dyDescent="0.25">
      <c r="A3727" t="s">
        <v>123</v>
      </c>
      <c r="B3727" t="s">
        <v>124</v>
      </c>
      <c r="C3727">
        <v>2460</v>
      </c>
      <c r="D3727" t="s">
        <v>45</v>
      </c>
      <c r="E3727" t="s">
        <v>61</v>
      </c>
      <c r="F3727" s="5">
        <v>42736</v>
      </c>
      <c r="G3727">
        <v>1</v>
      </c>
    </row>
    <row r="3728" spans="1:7" x14ac:dyDescent="0.25">
      <c r="A3728" t="s">
        <v>123</v>
      </c>
      <c r="B3728" t="s">
        <v>124</v>
      </c>
      <c r="C3728">
        <v>2460</v>
      </c>
      <c r="D3728" t="s">
        <v>62</v>
      </c>
      <c r="E3728" t="s">
        <v>63</v>
      </c>
      <c r="F3728" s="5">
        <v>42370</v>
      </c>
      <c r="G3728">
        <v>0</v>
      </c>
    </row>
    <row r="3729" spans="1:7" x14ac:dyDescent="0.25">
      <c r="A3729" t="s">
        <v>123</v>
      </c>
      <c r="B3729" t="s">
        <v>124</v>
      </c>
      <c r="C3729">
        <v>2460</v>
      </c>
      <c r="D3729" t="s">
        <v>62</v>
      </c>
      <c r="E3729" t="s">
        <v>63</v>
      </c>
      <c r="F3729" s="5">
        <v>42736</v>
      </c>
      <c r="G3729">
        <v>0</v>
      </c>
    </row>
    <row r="3730" spans="1:7" x14ac:dyDescent="0.25">
      <c r="A3730" t="s">
        <v>123</v>
      </c>
      <c r="B3730" t="s">
        <v>124</v>
      </c>
      <c r="C3730">
        <v>2460</v>
      </c>
      <c r="D3730" t="s">
        <v>62</v>
      </c>
      <c r="E3730" t="s">
        <v>64</v>
      </c>
      <c r="F3730" s="5">
        <v>42370</v>
      </c>
      <c r="G3730">
        <v>0</v>
      </c>
    </row>
    <row r="3731" spans="1:7" x14ac:dyDescent="0.25">
      <c r="A3731" t="s">
        <v>123</v>
      </c>
      <c r="B3731" t="s">
        <v>124</v>
      </c>
      <c r="C3731">
        <v>2460</v>
      </c>
      <c r="D3731" t="s">
        <v>62</v>
      </c>
      <c r="E3731" t="s">
        <v>64</v>
      </c>
      <c r="F3731" s="5">
        <v>42736</v>
      </c>
      <c r="G3731">
        <v>0</v>
      </c>
    </row>
    <row r="3732" spans="1:7" x14ac:dyDescent="0.25">
      <c r="A3732" t="s">
        <v>123</v>
      </c>
      <c r="B3732" t="s">
        <v>124</v>
      </c>
      <c r="C3732">
        <v>2460</v>
      </c>
      <c r="D3732" t="s">
        <v>62</v>
      </c>
      <c r="E3732" t="s">
        <v>9</v>
      </c>
      <c r="F3732" s="5">
        <v>42370</v>
      </c>
      <c r="G3732">
        <v>0</v>
      </c>
    </row>
    <row r="3733" spans="1:7" x14ac:dyDescent="0.25">
      <c r="A3733" t="s">
        <v>123</v>
      </c>
      <c r="B3733" t="s">
        <v>124</v>
      </c>
      <c r="C3733">
        <v>2460</v>
      </c>
      <c r="D3733" t="s">
        <v>62</v>
      </c>
      <c r="E3733" t="s">
        <v>9</v>
      </c>
      <c r="F3733" s="5">
        <v>42736</v>
      </c>
      <c r="G3733">
        <v>0</v>
      </c>
    </row>
    <row r="3734" spans="1:7" x14ac:dyDescent="0.25">
      <c r="A3734" t="s">
        <v>123</v>
      </c>
      <c r="B3734" t="s">
        <v>124</v>
      </c>
      <c r="C3734">
        <v>2460</v>
      </c>
      <c r="D3734" t="s">
        <v>62</v>
      </c>
      <c r="E3734" t="s">
        <v>65</v>
      </c>
      <c r="F3734" s="5">
        <v>42370</v>
      </c>
      <c r="G3734">
        <v>0</v>
      </c>
    </row>
    <row r="3735" spans="1:7" x14ac:dyDescent="0.25">
      <c r="A3735" t="s">
        <v>123</v>
      </c>
      <c r="B3735" t="s">
        <v>124</v>
      </c>
      <c r="C3735">
        <v>2460</v>
      </c>
      <c r="D3735" t="s">
        <v>62</v>
      </c>
      <c r="E3735" t="s">
        <v>65</v>
      </c>
      <c r="F3735" s="5">
        <v>42736</v>
      </c>
      <c r="G3735">
        <v>0</v>
      </c>
    </row>
    <row r="3736" spans="1:7" x14ac:dyDescent="0.25">
      <c r="A3736" t="s">
        <v>123</v>
      </c>
      <c r="B3736" t="s">
        <v>124</v>
      </c>
      <c r="C3736">
        <v>2460</v>
      </c>
      <c r="D3736" t="s">
        <v>62</v>
      </c>
      <c r="E3736" t="s">
        <v>66</v>
      </c>
      <c r="F3736" s="5">
        <v>42370</v>
      </c>
      <c r="G3736">
        <v>0</v>
      </c>
    </row>
    <row r="3737" spans="1:7" x14ac:dyDescent="0.25">
      <c r="A3737" t="s">
        <v>123</v>
      </c>
      <c r="B3737" t="s">
        <v>124</v>
      </c>
      <c r="C3737">
        <v>2460</v>
      </c>
      <c r="D3737" t="s">
        <v>62</v>
      </c>
      <c r="E3737" t="s">
        <v>66</v>
      </c>
      <c r="F3737" s="5">
        <v>42736</v>
      </c>
      <c r="G3737">
        <v>0</v>
      </c>
    </row>
    <row r="3738" spans="1:7" x14ac:dyDescent="0.25">
      <c r="A3738" t="s">
        <v>123</v>
      </c>
      <c r="B3738" t="s">
        <v>124</v>
      </c>
      <c r="C3738">
        <v>2460</v>
      </c>
      <c r="D3738" t="s">
        <v>62</v>
      </c>
      <c r="E3738" t="s">
        <v>67</v>
      </c>
      <c r="F3738" s="5">
        <v>42370</v>
      </c>
      <c r="G3738">
        <v>0</v>
      </c>
    </row>
    <row r="3739" spans="1:7" x14ac:dyDescent="0.25">
      <c r="A3739" t="s">
        <v>123</v>
      </c>
      <c r="B3739" t="s">
        <v>124</v>
      </c>
      <c r="C3739">
        <v>2460</v>
      </c>
      <c r="D3739" t="s">
        <v>62</v>
      </c>
      <c r="E3739" t="s">
        <v>67</v>
      </c>
      <c r="F3739" s="5">
        <v>42736</v>
      </c>
      <c r="G3739">
        <v>0</v>
      </c>
    </row>
    <row r="3740" spans="1:7" x14ac:dyDescent="0.25">
      <c r="A3740" t="s">
        <v>123</v>
      </c>
      <c r="B3740" t="s">
        <v>124</v>
      </c>
      <c r="C3740">
        <v>2460</v>
      </c>
      <c r="D3740" t="s">
        <v>62</v>
      </c>
      <c r="E3740" t="s">
        <v>68</v>
      </c>
      <c r="F3740" s="5">
        <v>42370</v>
      </c>
      <c r="G3740">
        <v>0</v>
      </c>
    </row>
    <row r="3741" spans="1:7" x14ac:dyDescent="0.25">
      <c r="A3741" t="s">
        <v>123</v>
      </c>
      <c r="B3741" t="s">
        <v>124</v>
      </c>
      <c r="C3741">
        <v>2460</v>
      </c>
      <c r="D3741" t="s">
        <v>62</v>
      </c>
      <c r="E3741" t="s">
        <v>68</v>
      </c>
      <c r="F3741" s="5">
        <v>42736</v>
      </c>
      <c r="G3741">
        <v>0</v>
      </c>
    </row>
    <row r="3742" spans="1:7" x14ac:dyDescent="0.25">
      <c r="A3742" t="s">
        <v>123</v>
      </c>
      <c r="B3742" t="s">
        <v>124</v>
      </c>
      <c r="C3742">
        <v>2460</v>
      </c>
      <c r="D3742" t="s">
        <v>62</v>
      </c>
      <c r="E3742" t="s">
        <v>69</v>
      </c>
      <c r="F3742" s="5">
        <v>42370</v>
      </c>
      <c r="G3742">
        <v>0</v>
      </c>
    </row>
    <row r="3743" spans="1:7" x14ac:dyDescent="0.25">
      <c r="A3743" t="s">
        <v>123</v>
      </c>
      <c r="B3743" t="s">
        <v>124</v>
      </c>
      <c r="C3743">
        <v>2460</v>
      </c>
      <c r="D3743" t="s">
        <v>62</v>
      </c>
      <c r="E3743" t="s">
        <v>69</v>
      </c>
      <c r="F3743" s="5">
        <v>42736</v>
      </c>
      <c r="G3743">
        <v>0</v>
      </c>
    </row>
    <row r="3744" spans="1:7" x14ac:dyDescent="0.25">
      <c r="A3744" t="s">
        <v>123</v>
      </c>
      <c r="B3744" t="s">
        <v>124</v>
      </c>
      <c r="C3744">
        <v>2460</v>
      </c>
      <c r="D3744" t="s">
        <v>62</v>
      </c>
      <c r="E3744" t="s">
        <v>70</v>
      </c>
      <c r="F3744" s="5">
        <v>42370</v>
      </c>
      <c r="G3744">
        <v>0</v>
      </c>
    </row>
    <row r="3745" spans="1:7" x14ac:dyDescent="0.25">
      <c r="A3745" t="s">
        <v>123</v>
      </c>
      <c r="B3745" t="s">
        <v>124</v>
      </c>
      <c r="C3745">
        <v>2460</v>
      </c>
      <c r="D3745" t="s">
        <v>62</v>
      </c>
      <c r="E3745" t="s">
        <v>70</v>
      </c>
      <c r="F3745" s="5">
        <v>42736</v>
      </c>
      <c r="G3745">
        <v>0</v>
      </c>
    </row>
    <row r="3746" spans="1:7" x14ac:dyDescent="0.25">
      <c r="A3746" t="s">
        <v>123</v>
      </c>
      <c r="B3746" t="s">
        <v>124</v>
      </c>
      <c r="C3746">
        <v>2460</v>
      </c>
      <c r="D3746" t="s">
        <v>62</v>
      </c>
      <c r="E3746" t="s">
        <v>71</v>
      </c>
      <c r="F3746" s="5">
        <v>42370</v>
      </c>
      <c r="G3746">
        <v>0</v>
      </c>
    </row>
    <row r="3747" spans="1:7" x14ac:dyDescent="0.25">
      <c r="A3747" t="s">
        <v>123</v>
      </c>
      <c r="B3747" t="s">
        <v>124</v>
      </c>
      <c r="C3747">
        <v>2460</v>
      </c>
      <c r="D3747" t="s">
        <v>62</v>
      </c>
      <c r="E3747" t="s">
        <v>71</v>
      </c>
      <c r="F3747" s="5">
        <v>42736</v>
      </c>
      <c r="G3747">
        <v>0</v>
      </c>
    </row>
    <row r="3748" spans="1:7" x14ac:dyDescent="0.25">
      <c r="A3748" t="s">
        <v>123</v>
      </c>
      <c r="B3748" t="s">
        <v>124</v>
      </c>
      <c r="C3748">
        <v>2460</v>
      </c>
      <c r="D3748" t="s">
        <v>72</v>
      </c>
      <c r="E3748" t="s">
        <v>73</v>
      </c>
      <c r="F3748" s="5">
        <v>42370</v>
      </c>
      <c r="G3748">
        <v>0</v>
      </c>
    </row>
    <row r="3749" spans="1:7" x14ac:dyDescent="0.25">
      <c r="A3749" t="s">
        <v>123</v>
      </c>
      <c r="B3749" t="s">
        <v>124</v>
      </c>
      <c r="C3749">
        <v>2460</v>
      </c>
      <c r="D3749" t="s">
        <v>72</v>
      </c>
      <c r="E3749" t="s">
        <v>73</v>
      </c>
      <c r="F3749" s="5">
        <v>42736</v>
      </c>
      <c r="G3749">
        <v>0</v>
      </c>
    </row>
    <row r="3750" spans="1:7" x14ac:dyDescent="0.25">
      <c r="A3750" t="s">
        <v>123</v>
      </c>
      <c r="B3750" t="s">
        <v>124</v>
      </c>
      <c r="C3750">
        <v>2460</v>
      </c>
      <c r="D3750" t="s">
        <v>72</v>
      </c>
      <c r="E3750" t="s">
        <v>9</v>
      </c>
      <c r="F3750" s="5">
        <v>42370</v>
      </c>
      <c r="G3750">
        <v>0</v>
      </c>
    </row>
    <row r="3751" spans="1:7" x14ac:dyDescent="0.25">
      <c r="A3751" t="s">
        <v>123</v>
      </c>
      <c r="B3751" t="s">
        <v>124</v>
      </c>
      <c r="C3751">
        <v>2460</v>
      </c>
      <c r="D3751" t="s">
        <v>72</v>
      </c>
      <c r="E3751" t="s">
        <v>9</v>
      </c>
      <c r="F3751" s="5">
        <v>42736</v>
      </c>
      <c r="G3751">
        <v>0</v>
      </c>
    </row>
    <row r="3752" spans="1:7" x14ac:dyDescent="0.25">
      <c r="A3752" t="s">
        <v>123</v>
      </c>
      <c r="B3752" t="s">
        <v>124</v>
      </c>
      <c r="C3752">
        <v>2460</v>
      </c>
      <c r="D3752" t="s">
        <v>72</v>
      </c>
      <c r="E3752" t="s">
        <v>34</v>
      </c>
      <c r="F3752" s="5">
        <v>42370</v>
      </c>
      <c r="G3752">
        <v>0</v>
      </c>
    </row>
    <row r="3753" spans="1:7" x14ac:dyDescent="0.25">
      <c r="A3753" t="s">
        <v>123</v>
      </c>
      <c r="B3753" t="s">
        <v>124</v>
      </c>
      <c r="C3753">
        <v>2460</v>
      </c>
      <c r="D3753" t="s">
        <v>72</v>
      </c>
      <c r="E3753" t="s">
        <v>34</v>
      </c>
      <c r="F3753" s="5">
        <v>42736</v>
      </c>
      <c r="G3753">
        <v>0</v>
      </c>
    </row>
    <row r="3754" spans="1:7" x14ac:dyDescent="0.25">
      <c r="A3754" t="s">
        <v>123</v>
      </c>
      <c r="B3754" t="s">
        <v>124</v>
      </c>
      <c r="C3754">
        <v>2460</v>
      </c>
      <c r="D3754" t="s">
        <v>72</v>
      </c>
      <c r="E3754" t="s">
        <v>74</v>
      </c>
      <c r="F3754" s="5">
        <v>42370</v>
      </c>
      <c r="G3754">
        <v>0</v>
      </c>
    </row>
    <row r="3755" spans="1:7" x14ac:dyDescent="0.25">
      <c r="A3755" t="s">
        <v>123</v>
      </c>
      <c r="B3755" t="s">
        <v>124</v>
      </c>
      <c r="C3755">
        <v>2460</v>
      </c>
      <c r="D3755" t="s">
        <v>72</v>
      </c>
      <c r="E3755" t="s">
        <v>74</v>
      </c>
      <c r="F3755" s="5">
        <v>42736</v>
      </c>
      <c r="G3755">
        <v>0</v>
      </c>
    </row>
    <row r="3756" spans="1:7" x14ac:dyDescent="0.25">
      <c r="A3756" t="s">
        <v>123</v>
      </c>
      <c r="B3756" t="s">
        <v>124</v>
      </c>
      <c r="C3756">
        <v>2460</v>
      </c>
      <c r="D3756" t="s">
        <v>72</v>
      </c>
      <c r="E3756" t="s">
        <v>75</v>
      </c>
      <c r="F3756" s="5">
        <v>42370</v>
      </c>
      <c r="G3756">
        <v>0</v>
      </c>
    </row>
    <row r="3757" spans="1:7" x14ac:dyDescent="0.25">
      <c r="A3757" t="s">
        <v>123</v>
      </c>
      <c r="B3757" t="s">
        <v>124</v>
      </c>
      <c r="C3757">
        <v>2460</v>
      </c>
      <c r="D3757" t="s">
        <v>72</v>
      </c>
      <c r="E3757" t="s">
        <v>75</v>
      </c>
      <c r="F3757" s="5">
        <v>42736</v>
      </c>
      <c r="G3757">
        <v>0</v>
      </c>
    </row>
    <row r="3758" spans="1:7" x14ac:dyDescent="0.25">
      <c r="A3758" t="s">
        <v>123</v>
      </c>
      <c r="B3758" t="s">
        <v>124</v>
      </c>
      <c r="C3758">
        <v>2460</v>
      </c>
      <c r="D3758" t="s">
        <v>76</v>
      </c>
      <c r="E3758" t="s">
        <v>9</v>
      </c>
      <c r="F3758" s="5">
        <v>42370</v>
      </c>
      <c r="G3758">
        <v>0</v>
      </c>
    </row>
    <row r="3759" spans="1:7" x14ac:dyDescent="0.25">
      <c r="A3759" t="s">
        <v>123</v>
      </c>
      <c r="B3759" t="s">
        <v>124</v>
      </c>
      <c r="C3759">
        <v>2460</v>
      </c>
      <c r="D3759" t="s">
        <v>76</v>
      </c>
      <c r="E3759" t="s">
        <v>9</v>
      </c>
      <c r="F3759" s="5">
        <v>42736</v>
      </c>
      <c r="G3759">
        <v>0</v>
      </c>
    </row>
    <row r="3760" spans="1:7" x14ac:dyDescent="0.25">
      <c r="A3760" t="s">
        <v>123</v>
      </c>
      <c r="B3760" t="s">
        <v>124</v>
      </c>
      <c r="C3760">
        <v>2460</v>
      </c>
      <c r="D3760" t="s">
        <v>76</v>
      </c>
      <c r="E3760" t="s">
        <v>77</v>
      </c>
      <c r="F3760" s="5">
        <v>42370</v>
      </c>
      <c r="G3760">
        <v>0</v>
      </c>
    </row>
    <row r="3761" spans="1:7" x14ac:dyDescent="0.25">
      <c r="A3761" t="s">
        <v>123</v>
      </c>
      <c r="B3761" t="s">
        <v>124</v>
      </c>
      <c r="C3761">
        <v>2460</v>
      </c>
      <c r="D3761" t="s">
        <v>76</v>
      </c>
      <c r="E3761" t="s">
        <v>77</v>
      </c>
      <c r="F3761" s="5">
        <v>42736</v>
      </c>
      <c r="G3761">
        <v>0</v>
      </c>
    </row>
    <row r="3762" spans="1:7" x14ac:dyDescent="0.25">
      <c r="A3762" t="s">
        <v>123</v>
      </c>
      <c r="B3762" t="s">
        <v>124</v>
      </c>
      <c r="C3762">
        <v>2460</v>
      </c>
      <c r="D3762" t="s">
        <v>78</v>
      </c>
      <c r="E3762" t="s">
        <v>79</v>
      </c>
      <c r="F3762" s="5">
        <v>42370</v>
      </c>
      <c r="G3762">
        <v>0</v>
      </c>
    </row>
    <row r="3763" spans="1:7" x14ac:dyDescent="0.25">
      <c r="A3763" t="s">
        <v>123</v>
      </c>
      <c r="B3763" t="s">
        <v>124</v>
      </c>
      <c r="C3763">
        <v>2460</v>
      </c>
      <c r="D3763" t="s">
        <v>78</v>
      </c>
      <c r="E3763" t="s">
        <v>79</v>
      </c>
      <c r="F3763" s="5">
        <v>42736</v>
      </c>
      <c r="G3763">
        <v>0</v>
      </c>
    </row>
    <row r="3764" spans="1:7" x14ac:dyDescent="0.25">
      <c r="A3764" t="s">
        <v>123</v>
      </c>
      <c r="B3764" t="s">
        <v>124</v>
      </c>
      <c r="C3764">
        <v>2460</v>
      </c>
      <c r="D3764" t="s">
        <v>78</v>
      </c>
      <c r="E3764" t="s">
        <v>80</v>
      </c>
      <c r="F3764" s="5">
        <v>42370</v>
      </c>
      <c r="G3764">
        <v>0</v>
      </c>
    </row>
    <row r="3765" spans="1:7" x14ac:dyDescent="0.25">
      <c r="A3765" t="s">
        <v>123</v>
      </c>
      <c r="B3765" t="s">
        <v>124</v>
      </c>
      <c r="C3765">
        <v>2460</v>
      </c>
      <c r="D3765" t="s">
        <v>78</v>
      </c>
      <c r="E3765" t="s">
        <v>80</v>
      </c>
      <c r="F3765" s="5">
        <v>42736</v>
      </c>
      <c r="G3765">
        <v>0</v>
      </c>
    </row>
    <row r="3766" spans="1:7" x14ac:dyDescent="0.25">
      <c r="A3766" t="s">
        <v>123</v>
      </c>
      <c r="B3766" t="s">
        <v>124</v>
      </c>
      <c r="C3766">
        <v>2460</v>
      </c>
      <c r="D3766" t="s">
        <v>78</v>
      </c>
      <c r="E3766" t="s">
        <v>81</v>
      </c>
      <c r="F3766" s="5">
        <v>42370</v>
      </c>
      <c r="G3766">
        <v>30</v>
      </c>
    </row>
    <row r="3767" spans="1:7" x14ac:dyDescent="0.25">
      <c r="A3767" t="s">
        <v>123</v>
      </c>
      <c r="B3767" t="s">
        <v>124</v>
      </c>
      <c r="C3767">
        <v>2460</v>
      </c>
      <c r="D3767" t="s">
        <v>78</v>
      </c>
      <c r="E3767" t="s">
        <v>81</v>
      </c>
      <c r="F3767" s="5">
        <v>42736</v>
      </c>
      <c r="G3767">
        <v>81</v>
      </c>
    </row>
    <row r="3768" spans="1:7" x14ac:dyDescent="0.25">
      <c r="A3768" t="s">
        <v>123</v>
      </c>
      <c r="B3768" t="s">
        <v>124</v>
      </c>
      <c r="C3768">
        <v>2460</v>
      </c>
      <c r="D3768" t="s">
        <v>78</v>
      </c>
      <c r="E3768" t="s">
        <v>82</v>
      </c>
      <c r="F3768" s="5">
        <v>42370</v>
      </c>
      <c r="G3768">
        <v>0</v>
      </c>
    </row>
    <row r="3769" spans="1:7" x14ac:dyDescent="0.25">
      <c r="A3769" t="s">
        <v>123</v>
      </c>
      <c r="B3769" t="s">
        <v>124</v>
      </c>
      <c r="C3769">
        <v>2460</v>
      </c>
      <c r="D3769" t="s">
        <v>78</v>
      </c>
      <c r="E3769" t="s">
        <v>82</v>
      </c>
      <c r="F3769" s="5">
        <v>42736</v>
      </c>
      <c r="G3769">
        <v>0</v>
      </c>
    </row>
    <row r="3770" spans="1:7" x14ac:dyDescent="0.25">
      <c r="A3770" t="s">
        <v>123</v>
      </c>
      <c r="B3770" t="s">
        <v>124</v>
      </c>
      <c r="C3770">
        <v>2460</v>
      </c>
      <c r="D3770" t="s">
        <v>78</v>
      </c>
      <c r="E3770" t="s">
        <v>83</v>
      </c>
      <c r="F3770" s="5">
        <v>42370</v>
      </c>
      <c r="G3770">
        <v>0</v>
      </c>
    </row>
    <row r="3771" spans="1:7" x14ac:dyDescent="0.25">
      <c r="A3771" t="s">
        <v>123</v>
      </c>
      <c r="B3771" t="s">
        <v>124</v>
      </c>
      <c r="C3771">
        <v>2460</v>
      </c>
      <c r="D3771" t="s">
        <v>78</v>
      </c>
      <c r="E3771" t="s">
        <v>83</v>
      </c>
      <c r="F3771" s="5">
        <v>42736</v>
      </c>
      <c r="G3771">
        <v>0</v>
      </c>
    </row>
    <row r="3772" spans="1:7" x14ac:dyDescent="0.25">
      <c r="A3772" t="s">
        <v>123</v>
      </c>
      <c r="B3772" t="s">
        <v>124</v>
      </c>
      <c r="C3772">
        <v>2460</v>
      </c>
      <c r="D3772" t="s">
        <v>78</v>
      </c>
      <c r="E3772" t="s">
        <v>84</v>
      </c>
      <c r="F3772" s="5">
        <v>42370</v>
      </c>
      <c r="G3772">
        <v>0</v>
      </c>
    </row>
    <row r="3773" spans="1:7" x14ac:dyDescent="0.25">
      <c r="A3773" t="s">
        <v>123</v>
      </c>
      <c r="B3773" t="s">
        <v>124</v>
      </c>
      <c r="C3773">
        <v>2460</v>
      </c>
      <c r="D3773" t="s">
        <v>78</v>
      </c>
      <c r="E3773" t="s">
        <v>84</v>
      </c>
      <c r="F3773" s="5">
        <v>42736</v>
      </c>
      <c r="G3773">
        <v>0</v>
      </c>
    </row>
    <row r="3774" spans="1:7" x14ac:dyDescent="0.25">
      <c r="A3774" t="s">
        <v>123</v>
      </c>
      <c r="B3774" t="s">
        <v>124</v>
      </c>
      <c r="C3774">
        <v>2460</v>
      </c>
      <c r="D3774" t="s">
        <v>78</v>
      </c>
      <c r="E3774" t="s">
        <v>85</v>
      </c>
      <c r="F3774" s="5">
        <v>42370</v>
      </c>
      <c r="G3774">
        <v>0</v>
      </c>
    </row>
    <row r="3775" spans="1:7" x14ac:dyDescent="0.25">
      <c r="A3775" t="s">
        <v>123</v>
      </c>
      <c r="B3775" t="s">
        <v>124</v>
      </c>
      <c r="C3775">
        <v>2460</v>
      </c>
      <c r="D3775" t="s">
        <v>78</v>
      </c>
      <c r="E3775" t="s">
        <v>85</v>
      </c>
      <c r="F3775" s="5">
        <v>42736</v>
      </c>
      <c r="G3775">
        <v>0</v>
      </c>
    </row>
    <row r="3776" spans="1:7" x14ac:dyDescent="0.25">
      <c r="A3776" t="s">
        <v>123</v>
      </c>
      <c r="B3776" t="s">
        <v>124</v>
      </c>
      <c r="C3776">
        <v>2460</v>
      </c>
      <c r="D3776" t="s">
        <v>78</v>
      </c>
      <c r="E3776" t="s">
        <v>86</v>
      </c>
      <c r="F3776" s="5">
        <v>42370</v>
      </c>
      <c r="G3776">
        <v>0</v>
      </c>
    </row>
    <row r="3777" spans="1:7" x14ac:dyDescent="0.25">
      <c r="A3777" t="s">
        <v>123</v>
      </c>
      <c r="B3777" t="s">
        <v>124</v>
      </c>
      <c r="C3777">
        <v>2460</v>
      </c>
      <c r="D3777" t="s">
        <v>78</v>
      </c>
      <c r="E3777" t="s">
        <v>86</v>
      </c>
      <c r="F3777" s="5">
        <v>42736</v>
      </c>
      <c r="G3777">
        <v>0</v>
      </c>
    </row>
    <row r="3778" spans="1:7" x14ac:dyDescent="0.25">
      <c r="A3778" t="s">
        <v>123</v>
      </c>
      <c r="B3778" t="s">
        <v>124</v>
      </c>
      <c r="C3778">
        <v>2460</v>
      </c>
      <c r="D3778" t="s">
        <v>78</v>
      </c>
      <c r="E3778" t="s">
        <v>87</v>
      </c>
      <c r="F3778" s="5">
        <v>42370</v>
      </c>
      <c r="G3778">
        <v>0</v>
      </c>
    </row>
    <row r="3779" spans="1:7" x14ac:dyDescent="0.25">
      <c r="A3779" t="s">
        <v>123</v>
      </c>
      <c r="B3779" t="s">
        <v>124</v>
      </c>
      <c r="C3779">
        <v>2460</v>
      </c>
      <c r="D3779" t="s">
        <v>78</v>
      </c>
      <c r="E3779" t="s">
        <v>87</v>
      </c>
      <c r="F3779" s="5">
        <v>42736</v>
      </c>
      <c r="G3779">
        <v>0</v>
      </c>
    </row>
    <row r="3780" spans="1:7" x14ac:dyDescent="0.25">
      <c r="A3780" t="s">
        <v>123</v>
      </c>
      <c r="B3780" t="s">
        <v>124</v>
      </c>
      <c r="C3780">
        <v>2460</v>
      </c>
      <c r="D3780" t="s">
        <v>78</v>
      </c>
      <c r="E3780" t="s">
        <v>88</v>
      </c>
      <c r="F3780" s="5">
        <v>42370</v>
      </c>
      <c r="G3780">
        <v>7</v>
      </c>
    </row>
    <row r="3781" spans="1:7" x14ac:dyDescent="0.25">
      <c r="A3781" t="s">
        <v>123</v>
      </c>
      <c r="B3781" t="s">
        <v>124</v>
      </c>
      <c r="C3781">
        <v>2460</v>
      </c>
      <c r="D3781" t="s">
        <v>78</v>
      </c>
      <c r="E3781" t="s">
        <v>88</v>
      </c>
      <c r="F3781" s="5">
        <v>42736</v>
      </c>
      <c r="G3781">
        <v>23</v>
      </c>
    </row>
    <row r="3782" spans="1:7" x14ac:dyDescent="0.25">
      <c r="A3782" t="s">
        <v>123</v>
      </c>
      <c r="B3782" t="s">
        <v>124</v>
      </c>
      <c r="C3782">
        <v>2460</v>
      </c>
      <c r="D3782" t="s">
        <v>78</v>
      </c>
      <c r="E3782" t="s">
        <v>89</v>
      </c>
      <c r="F3782" s="5">
        <v>42370</v>
      </c>
      <c r="G3782">
        <v>224</v>
      </c>
    </row>
    <row r="3783" spans="1:7" x14ac:dyDescent="0.25">
      <c r="A3783" t="s">
        <v>123</v>
      </c>
      <c r="B3783" t="s">
        <v>124</v>
      </c>
      <c r="C3783">
        <v>2460</v>
      </c>
      <c r="D3783" t="s">
        <v>78</v>
      </c>
      <c r="E3783" t="s">
        <v>89</v>
      </c>
      <c r="F3783" s="5">
        <v>42736</v>
      </c>
      <c r="G3783">
        <v>296</v>
      </c>
    </row>
    <row r="3784" spans="1:7" x14ac:dyDescent="0.25">
      <c r="A3784" t="s">
        <v>123</v>
      </c>
      <c r="B3784" t="s">
        <v>124</v>
      </c>
      <c r="C3784">
        <v>2460</v>
      </c>
      <c r="D3784" t="s">
        <v>78</v>
      </c>
      <c r="E3784" t="s">
        <v>90</v>
      </c>
      <c r="F3784" s="5">
        <v>42370</v>
      </c>
      <c r="G3784">
        <v>0</v>
      </c>
    </row>
    <row r="3785" spans="1:7" x14ac:dyDescent="0.25">
      <c r="A3785" t="s">
        <v>123</v>
      </c>
      <c r="B3785" t="s">
        <v>124</v>
      </c>
      <c r="C3785">
        <v>2460</v>
      </c>
      <c r="D3785" t="s">
        <v>78</v>
      </c>
      <c r="E3785" t="s">
        <v>90</v>
      </c>
      <c r="F3785" s="5">
        <v>42736</v>
      </c>
      <c r="G3785">
        <v>0</v>
      </c>
    </row>
    <row r="3786" spans="1:7" x14ac:dyDescent="0.25">
      <c r="A3786" t="s">
        <v>123</v>
      </c>
      <c r="B3786" t="s">
        <v>124</v>
      </c>
      <c r="C3786">
        <v>2460</v>
      </c>
      <c r="D3786" t="s">
        <v>78</v>
      </c>
      <c r="E3786" t="s">
        <v>91</v>
      </c>
      <c r="F3786" s="5">
        <v>42370</v>
      </c>
      <c r="G3786">
        <v>0</v>
      </c>
    </row>
    <row r="3787" spans="1:7" x14ac:dyDescent="0.25">
      <c r="A3787" t="s">
        <v>123</v>
      </c>
      <c r="B3787" t="s">
        <v>124</v>
      </c>
      <c r="C3787">
        <v>2460</v>
      </c>
      <c r="D3787" t="s">
        <v>78</v>
      </c>
      <c r="E3787" t="s">
        <v>91</v>
      </c>
      <c r="F3787" s="5">
        <v>42736</v>
      </c>
      <c r="G3787">
        <v>0</v>
      </c>
    </row>
    <row r="3788" spans="1:7" x14ac:dyDescent="0.25">
      <c r="A3788" t="s">
        <v>123</v>
      </c>
      <c r="B3788" t="s">
        <v>124</v>
      </c>
      <c r="C3788">
        <v>2460</v>
      </c>
      <c r="D3788" t="s">
        <v>78</v>
      </c>
      <c r="E3788" t="s">
        <v>92</v>
      </c>
      <c r="F3788" s="5">
        <v>42370</v>
      </c>
      <c r="G3788">
        <v>0</v>
      </c>
    </row>
    <row r="3789" spans="1:7" x14ac:dyDescent="0.25">
      <c r="A3789" t="s">
        <v>123</v>
      </c>
      <c r="B3789" t="s">
        <v>124</v>
      </c>
      <c r="C3789">
        <v>2460</v>
      </c>
      <c r="D3789" t="s">
        <v>78</v>
      </c>
      <c r="E3789" t="s">
        <v>92</v>
      </c>
      <c r="F3789" s="5">
        <v>42736</v>
      </c>
      <c r="G3789">
        <v>0</v>
      </c>
    </row>
    <row r="3790" spans="1:7" x14ac:dyDescent="0.25">
      <c r="A3790" t="s">
        <v>123</v>
      </c>
      <c r="B3790" t="s">
        <v>124</v>
      </c>
      <c r="C3790">
        <v>2460</v>
      </c>
      <c r="D3790" t="s">
        <v>78</v>
      </c>
      <c r="E3790" t="s">
        <v>93</v>
      </c>
      <c r="F3790" s="5">
        <v>42370</v>
      </c>
      <c r="G3790">
        <v>0</v>
      </c>
    </row>
    <row r="3791" spans="1:7" x14ac:dyDescent="0.25">
      <c r="A3791" t="s">
        <v>123</v>
      </c>
      <c r="B3791" t="s">
        <v>124</v>
      </c>
      <c r="C3791">
        <v>2460</v>
      </c>
      <c r="D3791" t="s">
        <v>78</v>
      </c>
      <c r="E3791" t="s">
        <v>93</v>
      </c>
      <c r="F3791" s="5">
        <v>42736</v>
      </c>
      <c r="G3791">
        <v>0</v>
      </c>
    </row>
    <row r="3792" spans="1:7" x14ac:dyDescent="0.25">
      <c r="A3792" t="s">
        <v>123</v>
      </c>
      <c r="B3792" t="s">
        <v>124</v>
      </c>
      <c r="C3792">
        <v>2460</v>
      </c>
      <c r="D3792" t="s">
        <v>78</v>
      </c>
      <c r="E3792" t="s">
        <v>94</v>
      </c>
      <c r="F3792" s="5">
        <v>42370</v>
      </c>
      <c r="G3792">
        <v>0</v>
      </c>
    </row>
    <row r="3793" spans="1:7" x14ac:dyDescent="0.25">
      <c r="A3793" t="s">
        <v>123</v>
      </c>
      <c r="B3793" t="s">
        <v>124</v>
      </c>
      <c r="C3793">
        <v>2460</v>
      </c>
      <c r="D3793" t="s">
        <v>78</v>
      </c>
      <c r="E3793" t="s">
        <v>94</v>
      </c>
      <c r="F3793" s="5">
        <v>42736</v>
      </c>
      <c r="G3793">
        <v>0</v>
      </c>
    </row>
    <row r="3794" spans="1:7" x14ac:dyDescent="0.25">
      <c r="A3794" t="s">
        <v>123</v>
      </c>
      <c r="B3794" t="s">
        <v>124</v>
      </c>
      <c r="C3794">
        <v>2460</v>
      </c>
      <c r="D3794" t="s">
        <v>78</v>
      </c>
      <c r="E3794" t="s">
        <v>95</v>
      </c>
      <c r="F3794" s="5">
        <v>42370</v>
      </c>
      <c r="G3794">
        <v>0</v>
      </c>
    </row>
    <row r="3795" spans="1:7" x14ac:dyDescent="0.25">
      <c r="A3795" t="s">
        <v>123</v>
      </c>
      <c r="B3795" t="s">
        <v>124</v>
      </c>
      <c r="C3795">
        <v>2460</v>
      </c>
      <c r="D3795" t="s">
        <v>78</v>
      </c>
      <c r="E3795" t="s">
        <v>95</v>
      </c>
      <c r="F3795" s="5">
        <v>42736</v>
      </c>
      <c r="G3795">
        <v>0</v>
      </c>
    </row>
    <row r="3796" spans="1:7" x14ac:dyDescent="0.25">
      <c r="A3796" t="s">
        <v>123</v>
      </c>
      <c r="B3796" t="s">
        <v>124</v>
      </c>
      <c r="C3796">
        <v>2460</v>
      </c>
      <c r="D3796" t="s">
        <v>78</v>
      </c>
      <c r="E3796" t="s">
        <v>96</v>
      </c>
      <c r="F3796" s="5">
        <v>42370</v>
      </c>
      <c r="G3796">
        <v>0</v>
      </c>
    </row>
    <row r="3797" spans="1:7" x14ac:dyDescent="0.25">
      <c r="A3797" t="s">
        <v>123</v>
      </c>
      <c r="B3797" t="s">
        <v>124</v>
      </c>
      <c r="C3797">
        <v>2460</v>
      </c>
      <c r="D3797" t="s">
        <v>78</v>
      </c>
      <c r="E3797" t="s">
        <v>96</v>
      </c>
      <c r="F3797" s="5">
        <v>42736</v>
      </c>
      <c r="G3797">
        <v>0</v>
      </c>
    </row>
    <row r="3798" spans="1:7" x14ac:dyDescent="0.25">
      <c r="A3798" t="s">
        <v>123</v>
      </c>
      <c r="B3798" t="s">
        <v>124</v>
      </c>
      <c r="C3798">
        <v>2460</v>
      </c>
      <c r="D3798" t="s">
        <v>78</v>
      </c>
      <c r="E3798" t="s">
        <v>97</v>
      </c>
      <c r="F3798" s="5">
        <v>42370</v>
      </c>
      <c r="G3798">
        <v>0</v>
      </c>
    </row>
    <row r="3799" spans="1:7" x14ac:dyDescent="0.25">
      <c r="A3799" t="s">
        <v>123</v>
      </c>
      <c r="B3799" t="s">
        <v>124</v>
      </c>
      <c r="C3799">
        <v>2460</v>
      </c>
      <c r="D3799" t="s">
        <v>78</v>
      </c>
      <c r="E3799" t="s">
        <v>97</v>
      </c>
      <c r="F3799" s="5">
        <v>42736</v>
      </c>
      <c r="G3799">
        <v>0</v>
      </c>
    </row>
    <row r="3800" spans="1:7" x14ac:dyDescent="0.25">
      <c r="A3800" t="s">
        <v>123</v>
      </c>
      <c r="B3800" t="s">
        <v>124</v>
      </c>
      <c r="C3800">
        <v>2460</v>
      </c>
      <c r="D3800" t="s">
        <v>78</v>
      </c>
      <c r="E3800" t="s">
        <v>98</v>
      </c>
      <c r="F3800" s="5">
        <v>42370</v>
      </c>
      <c r="G3800">
        <v>0</v>
      </c>
    </row>
    <row r="3801" spans="1:7" x14ac:dyDescent="0.25">
      <c r="A3801" t="s">
        <v>123</v>
      </c>
      <c r="B3801" t="s">
        <v>124</v>
      </c>
      <c r="C3801">
        <v>2460</v>
      </c>
      <c r="D3801" t="s">
        <v>78</v>
      </c>
      <c r="E3801" t="s">
        <v>98</v>
      </c>
      <c r="F3801" s="5">
        <v>42736</v>
      </c>
      <c r="G3801">
        <v>0</v>
      </c>
    </row>
    <row r="3802" spans="1:7" x14ac:dyDescent="0.25">
      <c r="A3802" t="s">
        <v>123</v>
      </c>
      <c r="B3802" t="s">
        <v>125</v>
      </c>
      <c r="C3802">
        <v>2420</v>
      </c>
      <c r="D3802" t="s">
        <v>8</v>
      </c>
      <c r="E3802" t="s">
        <v>9</v>
      </c>
      <c r="F3802" s="5">
        <v>42370</v>
      </c>
      <c r="G3802">
        <v>0</v>
      </c>
    </row>
    <row r="3803" spans="1:7" x14ac:dyDescent="0.25">
      <c r="A3803" t="s">
        <v>123</v>
      </c>
      <c r="B3803" t="s">
        <v>125</v>
      </c>
      <c r="C3803">
        <v>2420</v>
      </c>
      <c r="D3803" t="s">
        <v>8</v>
      </c>
      <c r="E3803" t="s">
        <v>9</v>
      </c>
      <c r="F3803" s="5">
        <v>42736</v>
      </c>
      <c r="G3803">
        <v>0</v>
      </c>
    </row>
    <row r="3804" spans="1:7" x14ac:dyDescent="0.25">
      <c r="A3804" t="s">
        <v>123</v>
      </c>
      <c r="B3804" t="s">
        <v>125</v>
      </c>
      <c r="C3804">
        <v>2420</v>
      </c>
      <c r="D3804" t="s">
        <v>8</v>
      </c>
      <c r="E3804" t="s">
        <v>10</v>
      </c>
      <c r="F3804" s="5">
        <v>42370</v>
      </c>
      <c r="G3804">
        <v>0</v>
      </c>
    </row>
    <row r="3805" spans="1:7" x14ac:dyDescent="0.25">
      <c r="A3805" t="s">
        <v>123</v>
      </c>
      <c r="B3805" t="s">
        <v>125</v>
      </c>
      <c r="C3805">
        <v>2420</v>
      </c>
      <c r="D3805" t="s">
        <v>8</v>
      </c>
      <c r="E3805" t="s">
        <v>10</v>
      </c>
      <c r="F3805" s="5">
        <v>42736</v>
      </c>
      <c r="G3805">
        <v>0</v>
      </c>
    </row>
    <row r="3806" spans="1:7" x14ac:dyDescent="0.25">
      <c r="A3806" t="s">
        <v>123</v>
      </c>
      <c r="B3806" t="s">
        <v>125</v>
      </c>
      <c r="C3806">
        <v>2420</v>
      </c>
      <c r="D3806" t="s">
        <v>8</v>
      </c>
      <c r="E3806" t="s">
        <v>11</v>
      </c>
      <c r="F3806" s="5">
        <v>42370</v>
      </c>
      <c r="G3806">
        <v>0</v>
      </c>
    </row>
    <row r="3807" spans="1:7" x14ac:dyDescent="0.25">
      <c r="A3807" t="s">
        <v>123</v>
      </c>
      <c r="B3807" t="s">
        <v>125</v>
      </c>
      <c r="C3807">
        <v>2420</v>
      </c>
      <c r="D3807" t="s">
        <v>8</v>
      </c>
      <c r="E3807" t="s">
        <v>11</v>
      </c>
      <c r="F3807" s="5">
        <v>42736</v>
      </c>
      <c r="G3807">
        <v>0</v>
      </c>
    </row>
    <row r="3808" spans="1:7" x14ac:dyDescent="0.25">
      <c r="A3808" t="s">
        <v>123</v>
      </c>
      <c r="B3808" t="s">
        <v>125</v>
      </c>
      <c r="C3808">
        <v>2420</v>
      </c>
      <c r="D3808" t="s">
        <v>8</v>
      </c>
      <c r="E3808" t="s">
        <v>12</v>
      </c>
      <c r="F3808" s="5">
        <v>42370</v>
      </c>
      <c r="G3808">
        <v>0</v>
      </c>
    </row>
    <row r="3809" spans="1:7" x14ac:dyDescent="0.25">
      <c r="A3809" t="s">
        <v>123</v>
      </c>
      <c r="B3809" t="s">
        <v>125</v>
      </c>
      <c r="C3809">
        <v>2420</v>
      </c>
      <c r="D3809" t="s">
        <v>8</v>
      </c>
      <c r="E3809" t="s">
        <v>12</v>
      </c>
      <c r="F3809" s="5">
        <v>42736</v>
      </c>
      <c r="G3809">
        <v>0</v>
      </c>
    </row>
    <row r="3810" spans="1:7" x14ac:dyDescent="0.25">
      <c r="A3810" t="s">
        <v>123</v>
      </c>
      <c r="B3810" t="s">
        <v>125</v>
      </c>
      <c r="C3810">
        <v>2420</v>
      </c>
      <c r="D3810" t="s">
        <v>8</v>
      </c>
      <c r="E3810" t="s">
        <v>13</v>
      </c>
      <c r="F3810" s="5">
        <v>42370</v>
      </c>
      <c r="G3810">
        <v>0</v>
      </c>
    </row>
    <row r="3811" spans="1:7" x14ac:dyDescent="0.25">
      <c r="A3811" t="s">
        <v>123</v>
      </c>
      <c r="B3811" t="s">
        <v>125</v>
      </c>
      <c r="C3811">
        <v>2420</v>
      </c>
      <c r="D3811" t="s">
        <v>8</v>
      </c>
      <c r="E3811" t="s">
        <v>13</v>
      </c>
      <c r="F3811" s="5">
        <v>42736</v>
      </c>
      <c r="G3811">
        <v>0</v>
      </c>
    </row>
    <row r="3812" spans="1:7" x14ac:dyDescent="0.25">
      <c r="A3812" t="s">
        <v>123</v>
      </c>
      <c r="B3812" t="s">
        <v>125</v>
      </c>
      <c r="C3812">
        <v>2420</v>
      </c>
      <c r="D3812" t="s">
        <v>8</v>
      </c>
      <c r="E3812" t="s">
        <v>14</v>
      </c>
      <c r="F3812" s="5">
        <v>42370</v>
      </c>
      <c r="G3812">
        <v>0</v>
      </c>
    </row>
    <row r="3813" spans="1:7" x14ac:dyDescent="0.25">
      <c r="A3813" t="s">
        <v>123</v>
      </c>
      <c r="B3813" t="s">
        <v>125</v>
      </c>
      <c r="C3813">
        <v>2420</v>
      </c>
      <c r="D3813" t="s">
        <v>8</v>
      </c>
      <c r="E3813" t="s">
        <v>14</v>
      </c>
      <c r="F3813" s="5">
        <v>42736</v>
      </c>
      <c r="G3813">
        <v>0</v>
      </c>
    </row>
    <row r="3814" spans="1:7" x14ac:dyDescent="0.25">
      <c r="A3814" t="s">
        <v>123</v>
      </c>
      <c r="B3814" t="s">
        <v>125</v>
      </c>
      <c r="C3814">
        <v>2420</v>
      </c>
      <c r="D3814" t="s">
        <v>8</v>
      </c>
      <c r="E3814" t="s">
        <v>15</v>
      </c>
      <c r="F3814" s="5">
        <v>42370</v>
      </c>
      <c r="G3814">
        <v>0</v>
      </c>
    </row>
    <row r="3815" spans="1:7" x14ac:dyDescent="0.25">
      <c r="A3815" t="s">
        <v>123</v>
      </c>
      <c r="B3815" t="s">
        <v>125</v>
      </c>
      <c r="C3815">
        <v>2420</v>
      </c>
      <c r="D3815" t="s">
        <v>8</v>
      </c>
      <c r="E3815" t="s">
        <v>15</v>
      </c>
      <c r="F3815" s="5">
        <v>42736</v>
      </c>
      <c r="G3815">
        <v>0</v>
      </c>
    </row>
    <row r="3816" spans="1:7" x14ac:dyDescent="0.25">
      <c r="A3816" t="s">
        <v>123</v>
      </c>
      <c r="B3816" t="s">
        <v>125</v>
      </c>
      <c r="C3816">
        <v>2420</v>
      </c>
      <c r="D3816" t="s">
        <v>8</v>
      </c>
      <c r="E3816" t="s">
        <v>16</v>
      </c>
      <c r="F3816" s="5">
        <v>42370</v>
      </c>
      <c r="G3816">
        <v>0</v>
      </c>
    </row>
    <row r="3817" spans="1:7" x14ac:dyDescent="0.25">
      <c r="A3817" t="s">
        <v>123</v>
      </c>
      <c r="B3817" t="s">
        <v>125</v>
      </c>
      <c r="C3817">
        <v>2420</v>
      </c>
      <c r="D3817" t="s">
        <v>8</v>
      </c>
      <c r="E3817" t="s">
        <v>16</v>
      </c>
      <c r="F3817" s="5">
        <v>42736</v>
      </c>
      <c r="G3817">
        <v>0</v>
      </c>
    </row>
    <row r="3818" spans="1:7" x14ac:dyDescent="0.25">
      <c r="A3818" t="s">
        <v>123</v>
      </c>
      <c r="B3818" t="s">
        <v>125</v>
      </c>
      <c r="C3818">
        <v>2420</v>
      </c>
      <c r="D3818" t="s">
        <v>8</v>
      </c>
      <c r="E3818" t="s">
        <v>17</v>
      </c>
      <c r="F3818" s="5">
        <v>42370</v>
      </c>
      <c r="G3818">
        <v>0</v>
      </c>
    </row>
    <row r="3819" spans="1:7" x14ac:dyDescent="0.25">
      <c r="A3819" t="s">
        <v>123</v>
      </c>
      <c r="B3819" t="s">
        <v>125</v>
      </c>
      <c r="C3819">
        <v>2420</v>
      </c>
      <c r="D3819" t="s">
        <v>8</v>
      </c>
      <c r="E3819" t="s">
        <v>17</v>
      </c>
      <c r="F3819" s="5">
        <v>42736</v>
      </c>
      <c r="G3819">
        <v>0</v>
      </c>
    </row>
    <row r="3820" spans="1:7" x14ac:dyDescent="0.25">
      <c r="A3820" t="s">
        <v>123</v>
      </c>
      <c r="B3820" t="s">
        <v>125</v>
      </c>
      <c r="C3820">
        <v>2420</v>
      </c>
      <c r="D3820" t="s">
        <v>8</v>
      </c>
      <c r="E3820" t="s">
        <v>18</v>
      </c>
      <c r="F3820" s="5">
        <v>42370</v>
      </c>
      <c r="G3820">
        <v>0</v>
      </c>
    </row>
    <row r="3821" spans="1:7" x14ac:dyDescent="0.25">
      <c r="A3821" t="s">
        <v>123</v>
      </c>
      <c r="B3821" t="s">
        <v>125</v>
      </c>
      <c r="C3821">
        <v>2420</v>
      </c>
      <c r="D3821" t="s">
        <v>8</v>
      </c>
      <c r="E3821" t="s">
        <v>18</v>
      </c>
      <c r="F3821" s="5">
        <v>42736</v>
      </c>
      <c r="G3821">
        <v>0</v>
      </c>
    </row>
    <row r="3822" spans="1:7" x14ac:dyDescent="0.25">
      <c r="A3822" t="s">
        <v>123</v>
      </c>
      <c r="B3822" t="s">
        <v>125</v>
      </c>
      <c r="C3822">
        <v>2420</v>
      </c>
      <c r="D3822" t="s">
        <v>8</v>
      </c>
      <c r="E3822" t="s">
        <v>19</v>
      </c>
      <c r="F3822" s="5">
        <v>42370</v>
      </c>
      <c r="G3822">
        <v>0</v>
      </c>
    </row>
    <row r="3823" spans="1:7" x14ac:dyDescent="0.25">
      <c r="A3823" t="s">
        <v>123</v>
      </c>
      <c r="B3823" t="s">
        <v>125</v>
      </c>
      <c r="C3823">
        <v>2420</v>
      </c>
      <c r="D3823" t="s">
        <v>8</v>
      </c>
      <c r="E3823" t="s">
        <v>19</v>
      </c>
      <c r="F3823" s="5">
        <v>42736</v>
      </c>
      <c r="G3823">
        <v>0</v>
      </c>
    </row>
    <row r="3824" spans="1:7" x14ac:dyDescent="0.25">
      <c r="A3824" t="s">
        <v>123</v>
      </c>
      <c r="B3824" t="s">
        <v>125</v>
      </c>
      <c r="C3824">
        <v>2420</v>
      </c>
      <c r="D3824" t="s">
        <v>20</v>
      </c>
      <c r="E3824" t="s">
        <v>9</v>
      </c>
      <c r="F3824" s="5">
        <v>42370</v>
      </c>
      <c r="G3824">
        <v>0</v>
      </c>
    </row>
    <row r="3825" spans="1:7" x14ac:dyDescent="0.25">
      <c r="A3825" t="s">
        <v>123</v>
      </c>
      <c r="B3825" t="s">
        <v>125</v>
      </c>
      <c r="C3825">
        <v>2420</v>
      </c>
      <c r="D3825" t="s">
        <v>20</v>
      </c>
      <c r="E3825" t="s">
        <v>9</v>
      </c>
      <c r="F3825" s="5">
        <v>42736</v>
      </c>
      <c r="G3825">
        <v>1</v>
      </c>
    </row>
    <row r="3826" spans="1:7" x14ac:dyDescent="0.25">
      <c r="A3826" t="s">
        <v>123</v>
      </c>
      <c r="B3826" t="s">
        <v>125</v>
      </c>
      <c r="C3826">
        <v>2420</v>
      </c>
      <c r="D3826" t="s">
        <v>20</v>
      </c>
      <c r="E3826" t="s">
        <v>21</v>
      </c>
      <c r="F3826" s="5">
        <v>42370</v>
      </c>
      <c r="G3826">
        <v>0</v>
      </c>
    </row>
    <row r="3827" spans="1:7" x14ac:dyDescent="0.25">
      <c r="A3827" t="s">
        <v>123</v>
      </c>
      <c r="B3827" t="s">
        <v>125</v>
      </c>
      <c r="C3827">
        <v>2420</v>
      </c>
      <c r="D3827" t="s">
        <v>20</v>
      </c>
      <c r="E3827" t="s">
        <v>21</v>
      </c>
      <c r="F3827" s="5">
        <v>42736</v>
      </c>
      <c r="G3827">
        <v>0</v>
      </c>
    </row>
    <row r="3828" spans="1:7" x14ac:dyDescent="0.25">
      <c r="A3828" t="s">
        <v>123</v>
      </c>
      <c r="B3828" t="s">
        <v>125</v>
      </c>
      <c r="C3828">
        <v>2420</v>
      </c>
      <c r="D3828" t="s">
        <v>20</v>
      </c>
      <c r="E3828" t="s">
        <v>22</v>
      </c>
      <c r="F3828" s="5">
        <v>42370</v>
      </c>
      <c r="G3828">
        <v>0</v>
      </c>
    </row>
    <row r="3829" spans="1:7" x14ac:dyDescent="0.25">
      <c r="A3829" t="s">
        <v>123</v>
      </c>
      <c r="B3829" t="s">
        <v>125</v>
      </c>
      <c r="C3829">
        <v>2420</v>
      </c>
      <c r="D3829" t="s">
        <v>20</v>
      </c>
      <c r="E3829" t="s">
        <v>22</v>
      </c>
      <c r="F3829" s="5">
        <v>42736</v>
      </c>
      <c r="G3829">
        <v>0</v>
      </c>
    </row>
    <row r="3830" spans="1:7" x14ac:dyDescent="0.25">
      <c r="A3830" t="s">
        <v>123</v>
      </c>
      <c r="B3830" t="s">
        <v>125</v>
      </c>
      <c r="C3830">
        <v>2420</v>
      </c>
      <c r="D3830" t="s">
        <v>20</v>
      </c>
      <c r="E3830" t="s">
        <v>23</v>
      </c>
      <c r="F3830" s="5">
        <v>42370</v>
      </c>
      <c r="G3830">
        <v>0</v>
      </c>
    </row>
    <row r="3831" spans="1:7" x14ac:dyDescent="0.25">
      <c r="A3831" t="s">
        <v>123</v>
      </c>
      <c r="B3831" t="s">
        <v>125</v>
      </c>
      <c r="C3831">
        <v>2420</v>
      </c>
      <c r="D3831" t="s">
        <v>20</v>
      </c>
      <c r="E3831" t="s">
        <v>23</v>
      </c>
      <c r="F3831" s="5">
        <v>42736</v>
      </c>
      <c r="G3831">
        <v>0</v>
      </c>
    </row>
    <row r="3832" spans="1:7" x14ac:dyDescent="0.25">
      <c r="A3832" t="s">
        <v>123</v>
      </c>
      <c r="B3832" t="s">
        <v>125</v>
      </c>
      <c r="C3832">
        <v>2420</v>
      </c>
      <c r="D3832" t="s">
        <v>20</v>
      </c>
      <c r="E3832" t="s">
        <v>24</v>
      </c>
      <c r="F3832" s="5">
        <v>42370</v>
      </c>
      <c r="G3832">
        <v>0</v>
      </c>
    </row>
    <row r="3833" spans="1:7" x14ac:dyDescent="0.25">
      <c r="A3833" t="s">
        <v>123</v>
      </c>
      <c r="B3833" t="s">
        <v>125</v>
      </c>
      <c r="C3833">
        <v>2420</v>
      </c>
      <c r="D3833" t="s">
        <v>20</v>
      </c>
      <c r="E3833" t="s">
        <v>24</v>
      </c>
      <c r="F3833" s="5">
        <v>42736</v>
      </c>
      <c r="G3833">
        <v>0</v>
      </c>
    </row>
    <row r="3834" spans="1:7" x14ac:dyDescent="0.25">
      <c r="A3834" t="s">
        <v>123</v>
      </c>
      <c r="B3834" t="s">
        <v>125</v>
      </c>
      <c r="C3834">
        <v>2420</v>
      </c>
      <c r="D3834" t="s">
        <v>20</v>
      </c>
      <c r="E3834" t="s">
        <v>25</v>
      </c>
      <c r="F3834" s="5">
        <v>42370</v>
      </c>
      <c r="G3834">
        <v>0</v>
      </c>
    </row>
    <row r="3835" spans="1:7" x14ac:dyDescent="0.25">
      <c r="A3835" t="s">
        <v>123</v>
      </c>
      <c r="B3835" t="s">
        <v>125</v>
      </c>
      <c r="C3835">
        <v>2420</v>
      </c>
      <c r="D3835" t="s">
        <v>20</v>
      </c>
      <c r="E3835" t="s">
        <v>25</v>
      </c>
      <c r="F3835" s="5">
        <v>42736</v>
      </c>
      <c r="G3835">
        <v>0</v>
      </c>
    </row>
    <row r="3836" spans="1:7" x14ac:dyDescent="0.25">
      <c r="A3836" t="s">
        <v>123</v>
      </c>
      <c r="B3836" t="s">
        <v>125</v>
      </c>
      <c r="C3836">
        <v>2420</v>
      </c>
      <c r="D3836" t="s">
        <v>20</v>
      </c>
      <c r="E3836" t="s">
        <v>26</v>
      </c>
      <c r="F3836" s="5">
        <v>42370</v>
      </c>
      <c r="G3836">
        <v>76</v>
      </c>
    </row>
    <row r="3837" spans="1:7" x14ac:dyDescent="0.25">
      <c r="A3837" t="s">
        <v>123</v>
      </c>
      <c r="B3837" t="s">
        <v>125</v>
      </c>
      <c r="C3837">
        <v>2420</v>
      </c>
      <c r="D3837" t="s">
        <v>20</v>
      </c>
      <c r="E3837" t="s">
        <v>26</v>
      </c>
      <c r="F3837" s="5">
        <v>42736</v>
      </c>
      <c r="G3837">
        <v>108</v>
      </c>
    </row>
    <row r="3838" spans="1:7" x14ac:dyDescent="0.25">
      <c r="A3838" t="s">
        <v>123</v>
      </c>
      <c r="B3838" t="s">
        <v>125</v>
      </c>
      <c r="C3838">
        <v>2420</v>
      </c>
      <c r="D3838" t="s">
        <v>20</v>
      </c>
      <c r="E3838" t="s">
        <v>27</v>
      </c>
      <c r="F3838" s="5">
        <v>42370</v>
      </c>
      <c r="G3838">
        <v>0</v>
      </c>
    </row>
    <row r="3839" spans="1:7" x14ac:dyDescent="0.25">
      <c r="A3839" t="s">
        <v>123</v>
      </c>
      <c r="B3839" t="s">
        <v>125</v>
      </c>
      <c r="C3839">
        <v>2420</v>
      </c>
      <c r="D3839" t="s">
        <v>20</v>
      </c>
      <c r="E3839" t="s">
        <v>27</v>
      </c>
      <c r="F3839" s="5">
        <v>42736</v>
      </c>
      <c r="G3839">
        <v>0</v>
      </c>
    </row>
    <row r="3840" spans="1:7" x14ac:dyDescent="0.25">
      <c r="A3840" t="s">
        <v>123</v>
      </c>
      <c r="B3840" t="s">
        <v>125</v>
      </c>
      <c r="C3840">
        <v>2420</v>
      </c>
      <c r="D3840" t="s">
        <v>20</v>
      </c>
      <c r="E3840" t="s">
        <v>28</v>
      </c>
      <c r="F3840" s="5">
        <v>42370</v>
      </c>
      <c r="G3840">
        <v>0</v>
      </c>
    </row>
    <row r="3841" spans="1:7" x14ac:dyDescent="0.25">
      <c r="A3841" t="s">
        <v>123</v>
      </c>
      <c r="B3841" t="s">
        <v>125</v>
      </c>
      <c r="C3841">
        <v>2420</v>
      </c>
      <c r="D3841" t="s">
        <v>20</v>
      </c>
      <c r="E3841" t="s">
        <v>28</v>
      </c>
      <c r="F3841" s="5">
        <v>42736</v>
      </c>
      <c r="G3841">
        <v>0</v>
      </c>
    </row>
    <row r="3842" spans="1:7" x14ac:dyDescent="0.25">
      <c r="A3842" t="s">
        <v>123</v>
      </c>
      <c r="B3842" t="s">
        <v>125</v>
      </c>
      <c r="C3842">
        <v>2420</v>
      </c>
      <c r="D3842" t="s">
        <v>20</v>
      </c>
      <c r="E3842" t="s">
        <v>29</v>
      </c>
      <c r="F3842" s="5">
        <v>42370</v>
      </c>
      <c r="G3842">
        <v>77</v>
      </c>
    </row>
    <row r="3843" spans="1:7" x14ac:dyDescent="0.25">
      <c r="A3843" t="s">
        <v>123</v>
      </c>
      <c r="B3843" t="s">
        <v>125</v>
      </c>
      <c r="C3843">
        <v>2420</v>
      </c>
      <c r="D3843" t="s">
        <v>20</v>
      </c>
      <c r="E3843" t="s">
        <v>29</v>
      </c>
      <c r="F3843" s="5">
        <v>42736</v>
      </c>
      <c r="G3843">
        <v>110</v>
      </c>
    </row>
    <row r="3844" spans="1:7" x14ac:dyDescent="0.25">
      <c r="A3844" t="s">
        <v>123</v>
      </c>
      <c r="B3844" t="s">
        <v>125</v>
      </c>
      <c r="C3844">
        <v>2420</v>
      </c>
      <c r="D3844" t="s">
        <v>20</v>
      </c>
      <c r="E3844" t="s">
        <v>30</v>
      </c>
      <c r="F3844" s="5">
        <v>42370</v>
      </c>
      <c r="G3844">
        <v>77</v>
      </c>
    </row>
    <row r="3845" spans="1:7" x14ac:dyDescent="0.25">
      <c r="A3845" t="s">
        <v>123</v>
      </c>
      <c r="B3845" t="s">
        <v>125</v>
      </c>
      <c r="C3845">
        <v>2420</v>
      </c>
      <c r="D3845" t="s">
        <v>20</v>
      </c>
      <c r="E3845" t="s">
        <v>30</v>
      </c>
      <c r="F3845" s="5">
        <v>42736</v>
      </c>
      <c r="G3845">
        <v>108</v>
      </c>
    </row>
    <row r="3846" spans="1:7" x14ac:dyDescent="0.25">
      <c r="A3846" t="s">
        <v>123</v>
      </c>
      <c r="B3846" t="s">
        <v>125</v>
      </c>
      <c r="C3846">
        <v>2420</v>
      </c>
      <c r="D3846" t="s">
        <v>20</v>
      </c>
      <c r="E3846" t="s">
        <v>31</v>
      </c>
      <c r="F3846" s="5">
        <v>42370</v>
      </c>
      <c r="G3846">
        <v>124</v>
      </c>
    </row>
    <row r="3847" spans="1:7" x14ac:dyDescent="0.25">
      <c r="A3847" t="s">
        <v>123</v>
      </c>
      <c r="B3847" t="s">
        <v>125</v>
      </c>
      <c r="C3847">
        <v>2420</v>
      </c>
      <c r="D3847" t="s">
        <v>20</v>
      </c>
      <c r="E3847" t="s">
        <v>31</v>
      </c>
      <c r="F3847" s="5">
        <v>42736</v>
      </c>
      <c r="G3847">
        <v>225</v>
      </c>
    </row>
    <row r="3848" spans="1:7" x14ac:dyDescent="0.25">
      <c r="A3848" t="s">
        <v>123</v>
      </c>
      <c r="B3848" t="s">
        <v>125</v>
      </c>
      <c r="C3848">
        <v>2420</v>
      </c>
      <c r="D3848" t="s">
        <v>20</v>
      </c>
      <c r="E3848" t="s">
        <v>32</v>
      </c>
      <c r="F3848" s="5">
        <v>42370</v>
      </c>
      <c r="G3848">
        <v>77</v>
      </c>
    </row>
    <row r="3849" spans="1:7" x14ac:dyDescent="0.25">
      <c r="A3849" t="s">
        <v>123</v>
      </c>
      <c r="B3849" t="s">
        <v>125</v>
      </c>
      <c r="C3849">
        <v>2420</v>
      </c>
      <c r="D3849" t="s">
        <v>20</v>
      </c>
      <c r="E3849" t="s">
        <v>32</v>
      </c>
      <c r="F3849" s="5">
        <v>42736</v>
      </c>
      <c r="G3849">
        <v>114</v>
      </c>
    </row>
    <row r="3850" spans="1:7" x14ac:dyDescent="0.25">
      <c r="A3850" t="s">
        <v>123</v>
      </c>
      <c r="B3850" t="s">
        <v>125</v>
      </c>
      <c r="C3850">
        <v>2420</v>
      </c>
      <c r="D3850" t="s">
        <v>33</v>
      </c>
      <c r="E3850" t="s">
        <v>9</v>
      </c>
      <c r="F3850" s="5">
        <v>42370</v>
      </c>
      <c r="G3850">
        <v>0</v>
      </c>
    </row>
    <row r="3851" spans="1:7" x14ac:dyDescent="0.25">
      <c r="A3851" t="s">
        <v>123</v>
      </c>
      <c r="B3851" t="s">
        <v>125</v>
      </c>
      <c r="C3851">
        <v>2420</v>
      </c>
      <c r="D3851" t="s">
        <v>33</v>
      </c>
      <c r="E3851" t="s">
        <v>9</v>
      </c>
      <c r="F3851" s="5">
        <v>42736</v>
      </c>
      <c r="G3851">
        <v>0</v>
      </c>
    </row>
    <row r="3852" spans="1:7" x14ac:dyDescent="0.25">
      <c r="A3852" t="s">
        <v>123</v>
      </c>
      <c r="B3852" t="s">
        <v>125</v>
      </c>
      <c r="C3852">
        <v>2420</v>
      </c>
      <c r="D3852" t="s">
        <v>33</v>
      </c>
      <c r="E3852" t="s">
        <v>34</v>
      </c>
      <c r="F3852" s="5">
        <v>42370</v>
      </c>
      <c r="G3852">
        <v>0</v>
      </c>
    </row>
    <row r="3853" spans="1:7" x14ac:dyDescent="0.25">
      <c r="A3853" t="s">
        <v>123</v>
      </c>
      <c r="B3853" t="s">
        <v>125</v>
      </c>
      <c r="C3853">
        <v>2420</v>
      </c>
      <c r="D3853" t="s">
        <v>33</v>
      </c>
      <c r="E3853" t="s">
        <v>34</v>
      </c>
      <c r="F3853" s="5">
        <v>42736</v>
      </c>
      <c r="G3853">
        <v>0</v>
      </c>
    </row>
    <row r="3854" spans="1:7" x14ac:dyDescent="0.25">
      <c r="A3854" t="s">
        <v>123</v>
      </c>
      <c r="B3854" t="s">
        <v>125</v>
      </c>
      <c r="C3854">
        <v>2420</v>
      </c>
      <c r="D3854" t="s">
        <v>35</v>
      </c>
      <c r="E3854" t="s">
        <v>36</v>
      </c>
      <c r="F3854" s="5">
        <v>42370</v>
      </c>
      <c r="G3854">
        <v>0</v>
      </c>
    </row>
    <row r="3855" spans="1:7" x14ac:dyDescent="0.25">
      <c r="A3855" t="s">
        <v>123</v>
      </c>
      <c r="B3855" t="s">
        <v>125</v>
      </c>
      <c r="C3855">
        <v>2420</v>
      </c>
      <c r="D3855" t="s">
        <v>35</v>
      </c>
      <c r="E3855" t="s">
        <v>36</v>
      </c>
      <c r="F3855" s="5">
        <v>42736</v>
      </c>
      <c r="G3855">
        <v>0</v>
      </c>
    </row>
    <row r="3856" spans="1:7" x14ac:dyDescent="0.25">
      <c r="A3856" t="s">
        <v>123</v>
      </c>
      <c r="B3856" t="s">
        <v>125</v>
      </c>
      <c r="C3856">
        <v>2420</v>
      </c>
      <c r="D3856" t="s">
        <v>35</v>
      </c>
      <c r="E3856" t="s">
        <v>37</v>
      </c>
      <c r="F3856" s="5">
        <v>42370</v>
      </c>
      <c r="G3856">
        <v>0</v>
      </c>
    </row>
    <row r="3857" spans="1:7" x14ac:dyDescent="0.25">
      <c r="A3857" t="s">
        <v>123</v>
      </c>
      <c r="B3857" t="s">
        <v>125</v>
      </c>
      <c r="C3857">
        <v>2420</v>
      </c>
      <c r="D3857" t="s">
        <v>35</v>
      </c>
      <c r="E3857" t="s">
        <v>37</v>
      </c>
      <c r="F3857" s="5">
        <v>42736</v>
      </c>
      <c r="G3857">
        <v>0</v>
      </c>
    </row>
    <row r="3858" spans="1:7" x14ac:dyDescent="0.25">
      <c r="A3858" t="s">
        <v>123</v>
      </c>
      <c r="B3858" t="s">
        <v>125</v>
      </c>
      <c r="C3858">
        <v>2420</v>
      </c>
      <c r="D3858" t="s">
        <v>35</v>
      </c>
      <c r="E3858" t="s">
        <v>38</v>
      </c>
      <c r="F3858" s="5">
        <v>42370</v>
      </c>
      <c r="G3858">
        <v>0</v>
      </c>
    </row>
    <row r="3859" spans="1:7" x14ac:dyDescent="0.25">
      <c r="A3859" t="s">
        <v>123</v>
      </c>
      <c r="B3859" t="s">
        <v>125</v>
      </c>
      <c r="C3859">
        <v>2420</v>
      </c>
      <c r="D3859" t="s">
        <v>35</v>
      </c>
      <c r="E3859" t="s">
        <v>38</v>
      </c>
      <c r="F3859" s="5">
        <v>42736</v>
      </c>
      <c r="G3859">
        <v>0</v>
      </c>
    </row>
    <row r="3860" spans="1:7" x14ac:dyDescent="0.25">
      <c r="A3860" t="s">
        <v>123</v>
      </c>
      <c r="B3860" t="s">
        <v>125</v>
      </c>
      <c r="C3860">
        <v>2420</v>
      </c>
      <c r="D3860" t="s">
        <v>35</v>
      </c>
      <c r="E3860" t="s">
        <v>39</v>
      </c>
      <c r="F3860" s="5">
        <v>42370</v>
      </c>
      <c r="G3860">
        <v>0</v>
      </c>
    </row>
    <row r="3861" spans="1:7" x14ac:dyDescent="0.25">
      <c r="A3861" t="s">
        <v>123</v>
      </c>
      <c r="B3861" t="s">
        <v>125</v>
      </c>
      <c r="C3861">
        <v>2420</v>
      </c>
      <c r="D3861" t="s">
        <v>35</v>
      </c>
      <c r="E3861" t="s">
        <v>39</v>
      </c>
      <c r="F3861" s="5">
        <v>42736</v>
      </c>
      <c r="G3861">
        <v>0</v>
      </c>
    </row>
    <row r="3862" spans="1:7" x14ac:dyDescent="0.25">
      <c r="A3862" t="s">
        <v>123</v>
      </c>
      <c r="B3862" t="s">
        <v>125</v>
      </c>
      <c r="C3862">
        <v>2420</v>
      </c>
      <c r="D3862" t="s">
        <v>35</v>
      </c>
      <c r="E3862" t="s">
        <v>40</v>
      </c>
      <c r="F3862" s="5">
        <v>42370</v>
      </c>
      <c r="G3862">
        <v>0</v>
      </c>
    </row>
    <row r="3863" spans="1:7" x14ac:dyDescent="0.25">
      <c r="A3863" t="s">
        <v>123</v>
      </c>
      <c r="B3863" t="s">
        <v>125</v>
      </c>
      <c r="C3863">
        <v>2420</v>
      </c>
      <c r="D3863" t="s">
        <v>35</v>
      </c>
      <c r="E3863" t="s">
        <v>40</v>
      </c>
      <c r="F3863" s="5">
        <v>42736</v>
      </c>
      <c r="G3863">
        <v>0</v>
      </c>
    </row>
    <row r="3864" spans="1:7" x14ac:dyDescent="0.25">
      <c r="A3864" t="s">
        <v>123</v>
      </c>
      <c r="B3864" t="s">
        <v>125</v>
      </c>
      <c r="C3864">
        <v>2420</v>
      </c>
      <c r="D3864" t="s">
        <v>35</v>
      </c>
      <c r="E3864" t="s">
        <v>41</v>
      </c>
      <c r="F3864" s="5">
        <v>42370</v>
      </c>
      <c r="G3864">
        <v>0</v>
      </c>
    </row>
    <row r="3865" spans="1:7" x14ac:dyDescent="0.25">
      <c r="A3865" t="s">
        <v>123</v>
      </c>
      <c r="B3865" t="s">
        <v>125</v>
      </c>
      <c r="C3865">
        <v>2420</v>
      </c>
      <c r="D3865" t="s">
        <v>35</v>
      </c>
      <c r="E3865" t="s">
        <v>41</v>
      </c>
      <c r="F3865" s="5">
        <v>42736</v>
      </c>
      <c r="G3865">
        <v>0</v>
      </c>
    </row>
    <row r="3866" spans="1:7" x14ac:dyDescent="0.25">
      <c r="A3866" t="s">
        <v>123</v>
      </c>
      <c r="B3866" t="s">
        <v>125</v>
      </c>
      <c r="C3866">
        <v>2420</v>
      </c>
      <c r="D3866" t="s">
        <v>35</v>
      </c>
      <c r="E3866" t="s">
        <v>42</v>
      </c>
      <c r="F3866" s="5">
        <v>42370</v>
      </c>
      <c r="G3866">
        <v>0</v>
      </c>
    </row>
    <row r="3867" spans="1:7" x14ac:dyDescent="0.25">
      <c r="A3867" t="s">
        <v>123</v>
      </c>
      <c r="B3867" t="s">
        <v>125</v>
      </c>
      <c r="C3867">
        <v>2420</v>
      </c>
      <c r="D3867" t="s">
        <v>35</v>
      </c>
      <c r="E3867" t="s">
        <v>42</v>
      </c>
      <c r="F3867" s="5">
        <v>42736</v>
      </c>
      <c r="G3867">
        <v>0</v>
      </c>
    </row>
    <row r="3868" spans="1:7" x14ac:dyDescent="0.25">
      <c r="A3868" t="s">
        <v>123</v>
      </c>
      <c r="B3868" t="s">
        <v>125</v>
      </c>
      <c r="C3868">
        <v>2420</v>
      </c>
      <c r="D3868" t="s">
        <v>35</v>
      </c>
      <c r="E3868" t="s">
        <v>43</v>
      </c>
      <c r="F3868" s="5">
        <v>42370</v>
      </c>
      <c r="G3868">
        <v>0</v>
      </c>
    </row>
    <row r="3869" spans="1:7" x14ac:dyDescent="0.25">
      <c r="A3869" t="s">
        <v>123</v>
      </c>
      <c r="B3869" t="s">
        <v>125</v>
      </c>
      <c r="C3869">
        <v>2420</v>
      </c>
      <c r="D3869" t="s">
        <v>35</v>
      </c>
      <c r="E3869" t="s">
        <v>43</v>
      </c>
      <c r="F3869" s="5">
        <v>42736</v>
      </c>
      <c r="G3869">
        <v>0</v>
      </c>
    </row>
    <row r="3870" spans="1:7" x14ac:dyDescent="0.25">
      <c r="A3870" t="s">
        <v>123</v>
      </c>
      <c r="B3870" t="s">
        <v>125</v>
      </c>
      <c r="C3870">
        <v>2420</v>
      </c>
      <c r="D3870" t="s">
        <v>44</v>
      </c>
      <c r="E3870" t="s">
        <v>36</v>
      </c>
      <c r="F3870" s="5">
        <v>42370</v>
      </c>
      <c r="G3870">
        <v>0</v>
      </c>
    </row>
    <row r="3871" spans="1:7" x14ac:dyDescent="0.25">
      <c r="A3871" t="s">
        <v>123</v>
      </c>
      <c r="B3871" t="s">
        <v>125</v>
      </c>
      <c r="C3871">
        <v>2420</v>
      </c>
      <c r="D3871" t="s">
        <v>44</v>
      </c>
      <c r="E3871" t="s">
        <v>36</v>
      </c>
      <c r="F3871" s="5">
        <v>42736</v>
      </c>
      <c r="G3871">
        <v>0</v>
      </c>
    </row>
    <row r="3872" spans="1:7" x14ac:dyDescent="0.25">
      <c r="A3872" t="s">
        <v>123</v>
      </c>
      <c r="B3872" t="s">
        <v>125</v>
      </c>
      <c r="C3872">
        <v>2420</v>
      </c>
      <c r="D3872" t="s">
        <v>44</v>
      </c>
      <c r="E3872" t="s">
        <v>37</v>
      </c>
      <c r="F3872" s="5">
        <v>42370</v>
      </c>
      <c r="G3872">
        <v>0</v>
      </c>
    </row>
    <row r="3873" spans="1:7" x14ac:dyDescent="0.25">
      <c r="A3873" t="s">
        <v>123</v>
      </c>
      <c r="B3873" t="s">
        <v>125</v>
      </c>
      <c r="C3873">
        <v>2420</v>
      </c>
      <c r="D3873" t="s">
        <v>44</v>
      </c>
      <c r="E3873" t="s">
        <v>37</v>
      </c>
      <c r="F3873" s="5">
        <v>42736</v>
      </c>
      <c r="G3873">
        <v>0</v>
      </c>
    </row>
    <row r="3874" spans="1:7" x14ac:dyDescent="0.25">
      <c r="A3874" t="s">
        <v>123</v>
      </c>
      <c r="B3874" t="s">
        <v>125</v>
      </c>
      <c r="C3874">
        <v>2420</v>
      </c>
      <c r="D3874" t="s">
        <v>44</v>
      </c>
      <c r="E3874" t="s">
        <v>38</v>
      </c>
      <c r="F3874" s="5">
        <v>42370</v>
      </c>
      <c r="G3874">
        <v>0</v>
      </c>
    </row>
    <row r="3875" spans="1:7" x14ac:dyDescent="0.25">
      <c r="A3875" t="s">
        <v>123</v>
      </c>
      <c r="B3875" t="s">
        <v>125</v>
      </c>
      <c r="C3875">
        <v>2420</v>
      </c>
      <c r="D3875" t="s">
        <v>44</v>
      </c>
      <c r="E3875" t="s">
        <v>38</v>
      </c>
      <c r="F3875" s="5">
        <v>42736</v>
      </c>
      <c r="G3875">
        <v>0</v>
      </c>
    </row>
    <row r="3876" spans="1:7" x14ac:dyDescent="0.25">
      <c r="A3876" t="s">
        <v>123</v>
      </c>
      <c r="B3876" t="s">
        <v>125</v>
      </c>
      <c r="C3876">
        <v>2420</v>
      </c>
      <c r="D3876" t="s">
        <v>44</v>
      </c>
      <c r="E3876" t="s">
        <v>39</v>
      </c>
      <c r="F3876" s="5">
        <v>42370</v>
      </c>
      <c r="G3876">
        <v>0</v>
      </c>
    </row>
    <row r="3877" spans="1:7" x14ac:dyDescent="0.25">
      <c r="A3877" t="s">
        <v>123</v>
      </c>
      <c r="B3877" t="s">
        <v>125</v>
      </c>
      <c r="C3877">
        <v>2420</v>
      </c>
      <c r="D3877" t="s">
        <v>44</v>
      </c>
      <c r="E3877" t="s">
        <v>39</v>
      </c>
      <c r="F3877" s="5">
        <v>42736</v>
      </c>
      <c r="G3877">
        <v>0</v>
      </c>
    </row>
    <row r="3878" spans="1:7" x14ac:dyDescent="0.25">
      <c r="A3878" t="s">
        <v>123</v>
      </c>
      <c r="B3878" t="s">
        <v>125</v>
      </c>
      <c r="C3878">
        <v>2420</v>
      </c>
      <c r="D3878" t="s">
        <v>44</v>
      </c>
      <c r="E3878" t="s">
        <v>40</v>
      </c>
      <c r="F3878" s="5">
        <v>42370</v>
      </c>
      <c r="G3878">
        <v>0</v>
      </c>
    </row>
    <row r="3879" spans="1:7" x14ac:dyDescent="0.25">
      <c r="A3879" t="s">
        <v>123</v>
      </c>
      <c r="B3879" t="s">
        <v>125</v>
      </c>
      <c r="C3879">
        <v>2420</v>
      </c>
      <c r="D3879" t="s">
        <v>44</v>
      </c>
      <c r="E3879" t="s">
        <v>40</v>
      </c>
      <c r="F3879" s="5">
        <v>42736</v>
      </c>
      <c r="G3879">
        <v>0</v>
      </c>
    </row>
    <row r="3880" spans="1:7" x14ac:dyDescent="0.25">
      <c r="A3880" t="s">
        <v>123</v>
      </c>
      <c r="B3880" t="s">
        <v>125</v>
      </c>
      <c r="C3880">
        <v>2420</v>
      </c>
      <c r="D3880" t="s">
        <v>44</v>
      </c>
      <c r="E3880" t="s">
        <v>41</v>
      </c>
      <c r="F3880" s="5">
        <v>42370</v>
      </c>
      <c r="G3880">
        <v>0</v>
      </c>
    </row>
    <row r="3881" spans="1:7" x14ac:dyDescent="0.25">
      <c r="A3881" t="s">
        <v>123</v>
      </c>
      <c r="B3881" t="s">
        <v>125</v>
      </c>
      <c r="C3881">
        <v>2420</v>
      </c>
      <c r="D3881" t="s">
        <v>44</v>
      </c>
      <c r="E3881" t="s">
        <v>41</v>
      </c>
      <c r="F3881" s="5">
        <v>42736</v>
      </c>
      <c r="G3881">
        <v>0</v>
      </c>
    </row>
    <row r="3882" spans="1:7" x14ac:dyDescent="0.25">
      <c r="A3882" t="s">
        <v>123</v>
      </c>
      <c r="B3882" t="s">
        <v>125</v>
      </c>
      <c r="C3882">
        <v>2420</v>
      </c>
      <c r="D3882" t="s">
        <v>44</v>
      </c>
      <c r="E3882" t="s">
        <v>42</v>
      </c>
      <c r="F3882" s="5">
        <v>42370</v>
      </c>
      <c r="G3882">
        <v>0</v>
      </c>
    </row>
    <row r="3883" spans="1:7" x14ac:dyDescent="0.25">
      <c r="A3883" t="s">
        <v>123</v>
      </c>
      <c r="B3883" t="s">
        <v>125</v>
      </c>
      <c r="C3883">
        <v>2420</v>
      </c>
      <c r="D3883" t="s">
        <v>44</v>
      </c>
      <c r="E3883" t="s">
        <v>42</v>
      </c>
      <c r="F3883" s="5">
        <v>42736</v>
      </c>
      <c r="G3883">
        <v>0</v>
      </c>
    </row>
    <row r="3884" spans="1:7" x14ac:dyDescent="0.25">
      <c r="A3884" t="s">
        <v>123</v>
      </c>
      <c r="B3884" t="s">
        <v>125</v>
      </c>
      <c r="C3884">
        <v>2420</v>
      </c>
      <c r="D3884" t="s">
        <v>44</v>
      </c>
      <c r="E3884" t="s">
        <v>43</v>
      </c>
      <c r="F3884" s="5">
        <v>42370</v>
      </c>
      <c r="G3884">
        <v>0</v>
      </c>
    </row>
    <row r="3885" spans="1:7" x14ac:dyDescent="0.25">
      <c r="A3885" t="s">
        <v>123</v>
      </c>
      <c r="B3885" t="s">
        <v>125</v>
      </c>
      <c r="C3885">
        <v>2420</v>
      </c>
      <c r="D3885" t="s">
        <v>44</v>
      </c>
      <c r="E3885" t="s">
        <v>43</v>
      </c>
      <c r="F3885" s="5">
        <v>42736</v>
      </c>
      <c r="G3885">
        <v>0</v>
      </c>
    </row>
    <row r="3886" spans="1:7" x14ac:dyDescent="0.25">
      <c r="A3886" t="s">
        <v>123</v>
      </c>
      <c r="B3886" t="s">
        <v>125</v>
      </c>
      <c r="C3886">
        <v>2420</v>
      </c>
      <c r="D3886" t="s">
        <v>45</v>
      </c>
      <c r="E3886" t="s">
        <v>46</v>
      </c>
      <c r="F3886" s="5">
        <v>42370</v>
      </c>
      <c r="G3886">
        <v>0</v>
      </c>
    </row>
    <row r="3887" spans="1:7" x14ac:dyDescent="0.25">
      <c r="A3887" t="s">
        <v>123</v>
      </c>
      <c r="B3887" t="s">
        <v>125</v>
      </c>
      <c r="C3887">
        <v>2420</v>
      </c>
      <c r="D3887" t="s">
        <v>45</v>
      </c>
      <c r="E3887" t="s">
        <v>46</v>
      </c>
      <c r="F3887" s="5">
        <v>42736</v>
      </c>
      <c r="G3887">
        <v>0</v>
      </c>
    </row>
    <row r="3888" spans="1:7" x14ac:dyDescent="0.25">
      <c r="A3888" t="s">
        <v>123</v>
      </c>
      <c r="B3888" t="s">
        <v>125</v>
      </c>
      <c r="C3888">
        <v>2420</v>
      </c>
      <c r="D3888" t="s">
        <v>45</v>
      </c>
      <c r="E3888" t="s">
        <v>47</v>
      </c>
      <c r="F3888" s="5">
        <v>42370</v>
      </c>
      <c r="G3888">
        <v>0</v>
      </c>
    </row>
    <row r="3889" spans="1:7" x14ac:dyDescent="0.25">
      <c r="A3889" t="s">
        <v>123</v>
      </c>
      <c r="B3889" t="s">
        <v>125</v>
      </c>
      <c r="C3889">
        <v>2420</v>
      </c>
      <c r="D3889" t="s">
        <v>45</v>
      </c>
      <c r="E3889" t="s">
        <v>47</v>
      </c>
      <c r="F3889" s="5">
        <v>42736</v>
      </c>
      <c r="G3889">
        <v>0</v>
      </c>
    </row>
    <row r="3890" spans="1:7" x14ac:dyDescent="0.25">
      <c r="A3890" t="s">
        <v>123</v>
      </c>
      <c r="B3890" t="s">
        <v>125</v>
      </c>
      <c r="C3890">
        <v>2420</v>
      </c>
      <c r="D3890" t="s">
        <v>45</v>
      </c>
      <c r="E3890" t="s">
        <v>48</v>
      </c>
      <c r="F3890" s="5">
        <v>42370</v>
      </c>
      <c r="G3890">
        <v>20</v>
      </c>
    </row>
    <row r="3891" spans="1:7" x14ac:dyDescent="0.25">
      <c r="A3891" t="s">
        <v>123</v>
      </c>
      <c r="B3891" t="s">
        <v>125</v>
      </c>
      <c r="C3891">
        <v>2420</v>
      </c>
      <c r="D3891" t="s">
        <v>45</v>
      </c>
      <c r="E3891" t="s">
        <v>48</v>
      </c>
      <c r="F3891" s="5">
        <v>42736</v>
      </c>
      <c r="G3891">
        <v>17</v>
      </c>
    </row>
    <row r="3892" spans="1:7" x14ac:dyDescent="0.25">
      <c r="A3892" t="s">
        <v>123</v>
      </c>
      <c r="B3892" t="s">
        <v>125</v>
      </c>
      <c r="C3892">
        <v>2420</v>
      </c>
      <c r="D3892" t="s">
        <v>45</v>
      </c>
      <c r="E3892" t="s">
        <v>49</v>
      </c>
      <c r="F3892" s="5">
        <v>42370</v>
      </c>
      <c r="G3892">
        <v>23</v>
      </c>
    </row>
    <row r="3893" spans="1:7" x14ac:dyDescent="0.25">
      <c r="A3893" t="s">
        <v>123</v>
      </c>
      <c r="B3893" t="s">
        <v>125</v>
      </c>
      <c r="C3893">
        <v>2420</v>
      </c>
      <c r="D3893" t="s">
        <v>45</v>
      </c>
      <c r="E3893" t="s">
        <v>49</v>
      </c>
      <c r="F3893" s="5">
        <v>42736</v>
      </c>
      <c r="G3893">
        <v>9</v>
      </c>
    </row>
    <row r="3894" spans="1:7" x14ac:dyDescent="0.25">
      <c r="A3894" t="s">
        <v>123</v>
      </c>
      <c r="B3894" t="s">
        <v>125</v>
      </c>
      <c r="C3894">
        <v>2420</v>
      </c>
      <c r="D3894" t="s">
        <v>45</v>
      </c>
      <c r="E3894" t="s">
        <v>50</v>
      </c>
      <c r="F3894" s="5">
        <v>42370</v>
      </c>
      <c r="G3894">
        <v>0</v>
      </c>
    </row>
    <row r="3895" spans="1:7" x14ac:dyDescent="0.25">
      <c r="A3895" t="s">
        <v>123</v>
      </c>
      <c r="B3895" t="s">
        <v>125</v>
      </c>
      <c r="C3895">
        <v>2420</v>
      </c>
      <c r="D3895" t="s">
        <v>45</v>
      </c>
      <c r="E3895" t="s">
        <v>50</v>
      </c>
      <c r="F3895" s="5">
        <v>42736</v>
      </c>
      <c r="G3895">
        <v>0</v>
      </c>
    </row>
    <row r="3896" spans="1:7" x14ac:dyDescent="0.25">
      <c r="A3896" t="s">
        <v>123</v>
      </c>
      <c r="B3896" t="s">
        <v>125</v>
      </c>
      <c r="C3896">
        <v>2420</v>
      </c>
      <c r="D3896" t="s">
        <v>45</v>
      </c>
      <c r="E3896" t="s">
        <v>51</v>
      </c>
      <c r="F3896" s="5">
        <v>42370</v>
      </c>
      <c r="G3896">
        <v>0</v>
      </c>
    </row>
    <row r="3897" spans="1:7" x14ac:dyDescent="0.25">
      <c r="A3897" t="s">
        <v>123</v>
      </c>
      <c r="B3897" t="s">
        <v>125</v>
      </c>
      <c r="C3897">
        <v>2420</v>
      </c>
      <c r="D3897" t="s">
        <v>45</v>
      </c>
      <c r="E3897" t="s">
        <v>51</v>
      </c>
      <c r="F3897" s="5">
        <v>42736</v>
      </c>
      <c r="G3897">
        <v>0</v>
      </c>
    </row>
    <row r="3898" spans="1:7" x14ac:dyDescent="0.25">
      <c r="A3898" t="s">
        <v>123</v>
      </c>
      <c r="B3898" t="s">
        <v>125</v>
      </c>
      <c r="C3898">
        <v>2420</v>
      </c>
      <c r="D3898" t="s">
        <v>45</v>
      </c>
      <c r="E3898" t="s">
        <v>52</v>
      </c>
      <c r="F3898" s="5">
        <v>42370</v>
      </c>
      <c r="G3898">
        <v>0</v>
      </c>
    </row>
    <row r="3899" spans="1:7" x14ac:dyDescent="0.25">
      <c r="A3899" t="s">
        <v>123</v>
      </c>
      <c r="B3899" t="s">
        <v>125</v>
      </c>
      <c r="C3899">
        <v>2420</v>
      </c>
      <c r="D3899" t="s">
        <v>45</v>
      </c>
      <c r="E3899" t="s">
        <v>52</v>
      </c>
      <c r="F3899" s="5">
        <v>42736</v>
      </c>
      <c r="G3899">
        <v>0</v>
      </c>
    </row>
    <row r="3900" spans="1:7" x14ac:dyDescent="0.25">
      <c r="A3900" t="s">
        <v>123</v>
      </c>
      <c r="B3900" t="s">
        <v>125</v>
      </c>
      <c r="C3900">
        <v>2420</v>
      </c>
      <c r="D3900" t="s">
        <v>45</v>
      </c>
      <c r="E3900" t="s">
        <v>53</v>
      </c>
      <c r="F3900" s="5">
        <v>42370</v>
      </c>
      <c r="G3900">
        <v>8</v>
      </c>
    </row>
    <row r="3901" spans="1:7" x14ac:dyDescent="0.25">
      <c r="A3901" t="s">
        <v>123</v>
      </c>
      <c r="B3901" t="s">
        <v>125</v>
      </c>
      <c r="C3901">
        <v>2420</v>
      </c>
      <c r="D3901" t="s">
        <v>45</v>
      </c>
      <c r="E3901" t="s">
        <v>53</v>
      </c>
      <c r="F3901" s="5">
        <v>42736</v>
      </c>
      <c r="G3901">
        <v>26</v>
      </c>
    </row>
    <row r="3902" spans="1:7" x14ac:dyDescent="0.25">
      <c r="A3902" t="s">
        <v>123</v>
      </c>
      <c r="B3902" t="s">
        <v>125</v>
      </c>
      <c r="C3902">
        <v>2420</v>
      </c>
      <c r="D3902" t="s">
        <v>45</v>
      </c>
      <c r="E3902" t="s">
        <v>54</v>
      </c>
      <c r="F3902" s="5">
        <v>42370</v>
      </c>
      <c r="G3902">
        <v>0</v>
      </c>
    </row>
    <row r="3903" spans="1:7" x14ac:dyDescent="0.25">
      <c r="A3903" t="s">
        <v>123</v>
      </c>
      <c r="B3903" t="s">
        <v>125</v>
      </c>
      <c r="C3903">
        <v>2420</v>
      </c>
      <c r="D3903" t="s">
        <v>45</v>
      </c>
      <c r="E3903" t="s">
        <v>54</v>
      </c>
      <c r="F3903" s="5">
        <v>42736</v>
      </c>
      <c r="G3903">
        <v>0</v>
      </c>
    </row>
    <row r="3904" spans="1:7" x14ac:dyDescent="0.25">
      <c r="A3904" t="s">
        <v>123</v>
      </c>
      <c r="B3904" t="s">
        <v>125</v>
      </c>
      <c r="C3904">
        <v>2420</v>
      </c>
      <c r="D3904" t="s">
        <v>45</v>
      </c>
      <c r="E3904" t="s">
        <v>55</v>
      </c>
      <c r="F3904" s="5">
        <v>42370</v>
      </c>
      <c r="G3904">
        <v>0</v>
      </c>
    </row>
    <row r="3905" spans="1:7" x14ac:dyDescent="0.25">
      <c r="A3905" t="s">
        <v>123</v>
      </c>
      <c r="B3905" t="s">
        <v>125</v>
      </c>
      <c r="C3905">
        <v>2420</v>
      </c>
      <c r="D3905" t="s">
        <v>45</v>
      </c>
      <c r="E3905" t="s">
        <v>55</v>
      </c>
      <c r="F3905" s="5">
        <v>42736</v>
      </c>
      <c r="G3905">
        <v>0</v>
      </c>
    </row>
    <row r="3906" spans="1:7" x14ac:dyDescent="0.25">
      <c r="A3906" t="s">
        <v>123</v>
      </c>
      <c r="B3906" t="s">
        <v>125</v>
      </c>
      <c r="C3906">
        <v>2420</v>
      </c>
      <c r="D3906" t="s">
        <v>45</v>
      </c>
      <c r="E3906" t="s">
        <v>56</v>
      </c>
      <c r="F3906" s="5">
        <v>42370</v>
      </c>
      <c r="G3906">
        <v>0</v>
      </c>
    </row>
    <row r="3907" spans="1:7" x14ac:dyDescent="0.25">
      <c r="A3907" t="s">
        <v>123</v>
      </c>
      <c r="B3907" t="s">
        <v>125</v>
      </c>
      <c r="C3907">
        <v>2420</v>
      </c>
      <c r="D3907" t="s">
        <v>45</v>
      </c>
      <c r="E3907" t="s">
        <v>56</v>
      </c>
      <c r="F3907" s="5">
        <v>42736</v>
      </c>
      <c r="G3907">
        <v>1</v>
      </c>
    </row>
    <row r="3908" spans="1:7" x14ac:dyDescent="0.25">
      <c r="A3908" t="s">
        <v>123</v>
      </c>
      <c r="B3908" t="s">
        <v>125</v>
      </c>
      <c r="C3908">
        <v>2420</v>
      </c>
      <c r="D3908" t="s">
        <v>45</v>
      </c>
      <c r="E3908" t="s">
        <v>57</v>
      </c>
      <c r="F3908" s="5">
        <v>42370</v>
      </c>
      <c r="G3908">
        <v>0</v>
      </c>
    </row>
    <row r="3909" spans="1:7" x14ac:dyDescent="0.25">
      <c r="A3909" t="s">
        <v>123</v>
      </c>
      <c r="B3909" t="s">
        <v>125</v>
      </c>
      <c r="C3909">
        <v>2420</v>
      </c>
      <c r="D3909" t="s">
        <v>45</v>
      </c>
      <c r="E3909" t="s">
        <v>57</v>
      </c>
      <c r="F3909" s="5">
        <v>42736</v>
      </c>
      <c r="G3909">
        <v>0</v>
      </c>
    </row>
    <row r="3910" spans="1:7" x14ac:dyDescent="0.25">
      <c r="A3910" t="s">
        <v>123</v>
      </c>
      <c r="B3910" t="s">
        <v>125</v>
      </c>
      <c r="C3910">
        <v>2420</v>
      </c>
      <c r="D3910" t="s">
        <v>45</v>
      </c>
      <c r="E3910" t="s">
        <v>58</v>
      </c>
      <c r="F3910" s="5">
        <v>42370</v>
      </c>
      <c r="G3910">
        <v>0</v>
      </c>
    </row>
    <row r="3911" spans="1:7" x14ac:dyDescent="0.25">
      <c r="A3911" t="s">
        <v>123</v>
      </c>
      <c r="B3911" t="s">
        <v>125</v>
      </c>
      <c r="C3911">
        <v>2420</v>
      </c>
      <c r="D3911" t="s">
        <v>45</v>
      </c>
      <c r="E3911" t="s">
        <v>58</v>
      </c>
      <c r="F3911" s="5">
        <v>42736</v>
      </c>
      <c r="G3911">
        <v>0</v>
      </c>
    </row>
    <row r="3912" spans="1:7" x14ac:dyDescent="0.25">
      <c r="A3912" t="s">
        <v>123</v>
      </c>
      <c r="B3912" t="s">
        <v>125</v>
      </c>
      <c r="C3912">
        <v>2420</v>
      </c>
      <c r="D3912" t="s">
        <v>45</v>
      </c>
      <c r="E3912" t="s">
        <v>59</v>
      </c>
      <c r="F3912" s="5">
        <v>42370</v>
      </c>
      <c r="G3912">
        <v>0</v>
      </c>
    </row>
    <row r="3913" spans="1:7" x14ac:dyDescent="0.25">
      <c r="A3913" t="s">
        <v>123</v>
      </c>
      <c r="B3913" t="s">
        <v>125</v>
      </c>
      <c r="C3913">
        <v>2420</v>
      </c>
      <c r="D3913" t="s">
        <v>45</v>
      </c>
      <c r="E3913" t="s">
        <v>59</v>
      </c>
      <c r="F3913" s="5">
        <v>42736</v>
      </c>
      <c r="G3913">
        <v>0</v>
      </c>
    </row>
    <row r="3914" spans="1:7" x14ac:dyDescent="0.25">
      <c r="A3914" t="s">
        <v>123</v>
      </c>
      <c r="B3914" t="s">
        <v>125</v>
      </c>
      <c r="C3914">
        <v>2420</v>
      </c>
      <c r="D3914" t="s">
        <v>45</v>
      </c>
      <c r="E3914" t="s">
        <v>60</v>
      </c>
      <c r="F3914" s="5">
        <v>42370</v>
      </c>
      <c r="G3914">
        <v>0</v>
      </c>
    </row>
    <row r="3915" spans="1:7" x14ac:dyDescent="0.25">
      <c r="A3915" t="s">
        <v>123</v>
      </c>
      <c r="B3915" t="s">
        <v>125</v>
      </c>
      <c r="C3915">
        <v>2420</v>
      </c>
      <c r="D3915" t="s">
        <v>45</v>
      </c>
      <c r="E3915" t="s">
        <v>60</v>
      </c>
      <c r="F3915" s="5">
        <v>42736</v>
      </c>
      <c r="G3915">
        <v>0</v>
      </c>
    </row>
    <row r="3916" spans="1:7" x14ac:dyDescent="0.25">
      <c r="A3916" t="s">
        <v>123</v>
      </c>
      <c r="B3916" t="s">
        <v>125</v>
      </c>
      <c r="C3916">
        <v>2420</v>
      </c>
      <c r="D3916" t="s">
        <v>45</v>
      </c>
      <c r="E3916" t="s">
        <v>61</v>
      </c>
      <c r="F3916" s="5">
        <v>42370</v>
      </c>
      <c r="G3916">
        <v>0</v>
      </c>
    </row>
    <row r="3917" spans="1:7" x14ac:dyDescent="0.25">
      <c r="A3917" t="s">
        <v>123</v>
      </c>
      <c r="B3917" t="s">
        <v>125</v>
      </c>
      <c r="C3917">
        <v>2420</v>
      </c>
      <c r="D3917" t="s">
        <v>45</v>
      </c>
      <c r="E3917" t="s">
        <v>61</v>
      </c>
      <c r="F3917" s="5">
        <v>42736</v>
      </c>
      <c r="G3917">
        <v>0</v>
      </c>
    </row>
    <row r="3918" spans="1:7" x14ac:dyDescent="0.25">
      <c r="A3918" t="s">
        <v>123</v>
      </c>
      <c r="B3918" t="s">
        <v>125</v>
      </c>
      <c r="C3918">
        <v>2420</v>
      </c>
      <c r="D3918" t="s">
        <v>62</v>
      </c>
      <c r="E3918" t="s">
        <v>63</v>
      </c>
      <c r="F3918" s="5">
        <v>42370</v>
      </c>
      <c r="G3918">
        <v>0</v>
      </c>
    </row>
    <row r="3919" spans="1:7" x14ac:dyDescent="0.25">
      <c r="A3919" t="s">
        <v>123</v>
      </c>
      <c r="B3919" t="s">
        <v>125</v>
      </c>
      <c r="C3919">
        <v>2420</v>
      </c>
      <c r="D3919" t="s">
        <v>62</v>
      </c>
      <c r="E3919" t="s">
        <v>63</v>
      </c>
      <c r="F3919" s="5">
        <v>42736</v>
      </c>
      <c r="G3919">
        <v>0</v>
      </c>
    </row>
    <row r="3920" spans="1:7" x14ac:dyDescent="0.25">
      <c r="A3920" t="s">
        <v>123</v>
      </c>
      <c r="B3920" t="s">
        <v>125</v>
      </c>
      <c r="C3920">
        <v>2420</v>
      </c>
      <c r="D3920" t="s">
        <v>62</v>
      </c>
      <c r="E3920" t="s">
        <v>64</v>
      </c>
      <c r="F3920" s="5">
        <v>42370</v>
      </c>
      <c r="G3920">
        <v>0</v>
      </c>
    </row>
    <row r="3921" spans="1:7" x14ac:dyDescent="0.25">
      <c r="A3921" t="s">
        <v>123</v>
      </c>
      <c r="B3921" t="s">
        <v>125</v>
      </c>
      <c r="C3921">
        <v>2420</v>
      </c>
      <c r="D3921" t="s">
        <v>62</v>
      </c>
      <c r="E3921" t="s">
        <v>64</v>
      </c>
      <c r="F3921" s="5">
        <v>42736</v>
      </c>
      <c r="G3921">
        <v>0</v>
      </c>
    </row>
    <row r="3922" spans="1:7" x14ac:dyDescent="0.25">
      <c r="A3922" t="s">
        <v>123</v>
      </c>
      <c r="B3922" t="s">
        <v>125</v>
      </c>
      <c r="C3922">
        <v>2420</v>
      </c>
      <c r="D3922" t="s">
        <v>62</v>
      </c>
      <c r="E3922" t="s">
        <v>9</v>
      </c>
      <c r="F3922" s="5">
        <v>42370</v>
      </c>
      <c r="G3922">
        <v>0</v>
      </c>
    </row>
    <row r="3923" spans="1:7" x14ac:dyDescent="0.25">
      <c r="A3923" t="s">
        <v>123</v>
      </c>
      <c r="B3923" t="s">
        <v>125</v>
      </c>
      <c r="C3923">
        <v>2420</v>
      </c>
      <c r="D3923" t="s">
        <v>62</v>
      </c>
      <c r="E3923" t="s">
        <v>9</v>
      </c>
      <c r="F3923" s="5">
        <v>42736</v>
      </c>
      <c r="G3923">
        <v>0</v>
      </c>
    </row>
    <row r="3924" spans="1:7" x14ac:dyDescent="0.25">
      <c r="A3924" t="s">
        <v>123</v>
      </c>
      <c r="B3924" t="s">
        <v>125</v>
      </c>
      <c r="C3924">
        <v>2420</v>
      </c>
      <c r="D3924" t="s">
        <v>62</v>
      </c>
      <c r="E3924" t="s">
        <v>65</v>
      </c>
      <c r="F3924" s="5">
        <v>42370</v>
      </c>
      <c r="G3924">
        <v>0</v>
      </c>
    </row>
    <row r="3925" spans="1:7" x14ac:dyDescent="0.25">
      <c r="A3925" t="s">
        <v>123</v>
      </c>
      <c r="B3925" t="s">
        <v>125</v>
      </c>
      <c r="C3925">
        <v>2420</v>
      </c>
      <c r="D3925" t="s">
        <v>62</v>
      </c>
      <c r="E3925" t="s">
        <v>65</v>
      </c>
      <c r="F3925" s="5">
        <v>42736</v>
      </c>
      <c r="G3925">
        <v>0</v>
      </c>
    </row>
    <row r="3926" spans="1:7" x14ac:dyDescent="0.25">
      <c r="A3926" t="s">
        <v>123</v>
      </c>
      <c r="B3926" t="s">
        <v>125</v>
      </c>
      <c r="C3926">
        <v>2420</v>
      </c>
      <c r="D3926" t="s">
        <v>62</v>
      </c>
      <c r="E3926" t="s">
        <v>66</v>
      </c>
      <c r="F3926" s="5">
        <v>42370</v>
      </c>
      <c r="G3926">
        <v>0</v>
      </c>
    </row>
    <row r="3927" spans="1:7" x14ac:dyDescent="0.25">
      <c r="A3927" t="s">
        <v>123</v>
      </c>
      <c r="B3927" t="s">
        <v>125</v>
      </c>
      <c r="C3927">
        <v>2420</v>
      </c>
      <c r="D3927" t="s">
        <v>62</v>
      </c>
      <c r="E3927" t="s">
        <v>66</v>
      </c>
      <c r="F3927" s="5">
        <v>42736</v>
      </c>
      <c r="G3927">
        <v>0</v>
      </c>
    </row>
    <row r="3928" spans="1:7" x14ac:dyDescent="0.25">
      <c r="A3928" t="s">
        <v>123</v>
      </c>
      <c r="B3928" t="s">
        <v>125</v>
      </c>
      <c r="C3928">
        <v>2420</v>
      </c>
      <c r="D3928" t="s">
        <v>62</v>
      </c>
      <c r="E3928" t="s">
        <v>67</v>
      </c>
      <c r="F3928" s="5">
        <v>42370</v>
      </c>
      <c r="G3928">
        <v>0</v>
      </c>
    </row>
    <row r="3929" spans="1:7" x14ac:dyDescent="0.25">
      <c r="A3929" t="s">
        <v>123</v>
      </c>
      <c r="B3929" t="s">
        <v>125</v>
      </c>
      <c r="C3929">
        <v>2420</v>
      </c>
      <c r="D3929" t="s">
        <v>62</v>
      </c>
      <c r="E3929" t="s">
        <v>67</v>
      </c>
      <c r="F3929" s="5">
        <v>42736</v>
      </c>
      <c r="G3929">
        <v>0</v>
      </c>
    </row>
    <row r="3930" spans="1:7" x14ac:dyDescent="0.25">
      <c r="A3930" t="s">
        <v>123</v>
      </c>
      <c r="B3930" t="s">
        <v>125</v>
      </c>
      <c r="C3930">
        <v>2420</v>
      </c>
      <c r="D3930" t="s">
        <v>62</v>
      </c>
      <c r="E3930" t="s">
        <v>68</v>
      </c>
      <c r="F3930" s="5">
        <v>42370</v>
      </c>
      <c r="G3930">
        <v>0</v>
      </c>
    </row>
    <row r="3931" spans="1:7" x14ac:dyDescent="0.25">
      <c r="A3931" t="s">
        <v>123</v>
      </c>
      <c r="B3931" t="s">
        <v>125</v>
      </c>
      <c r="C3931">
        <v>2420</v>
      </c>
      <c r="D3931" t="s">
        <v>62</v>
      </c>
      <c r="E3931" t="s">
        <v>68</v>
      </c>
      <c r="F3931" s="5">
        <v>42736</v>
      </c>
      <c r="G3931">
        <v>0</v>
      </c>
    </row>
    <row r="3932" spans="1:7" x14ac:dyDescent="0.25">
      <c r="A3932" t="s">
        <v>123</v>
      </c>
      <c r="B3932" t="s">
        <v>125</v>
      </c>
      <c r="C3932">
        <v>2420</v>
      </c>
      <c r="D3932" t="s">
        <v>62</v>
      </c>
      <c r="E3932" t="s">
        <v>69</v>
      </c>
      <c r="F3932" s="5">
        <v>42370</v>
      </c>
      <c r="G3932">
        <v>0</v>
      </c>
    </row>
    <row r="3933" spans="1:7" x14ac:dyDescent="0.25">
      <c r="A3933" t="s">
        <v>123</v>
      </c>
      <c r="B3933" t="s">
        <v>125</v>
      </c>
      <c r="C3933">
        <v>2420</v>
      </c>
      <c r="D3933" t="s">
        <v>62</v>
      </c>
      <c r="E3933" t="s">
        <v>69</v>
      </c>
      <c r="F3933" s="5">
        <v>42736</v>
      </c>
      <c r="G3933">
        <v>0</v>
      </c>
    </row>
    <row r="3934" spans="1:7" x14ac:dyDescent="0.25">
      <c r="A3934" t="s">
        <v>123</v>
      </c>
      <c r="B3934" t="s">
        <v>125</v>
      </c>
      <c r="C3934">
        <v>2420</v>
      </c>
      <c r="D3934" t="s">
        <v>62</v>
      </c>
      <c r="E3934" t="s">
        <v>70</v>
      </c>
      <c r="F3934" s="5">
        <v>42370</v>
      </c>
      <c r="G3934">
        <v>0</v>
      </c>
    </row>
    <row r="3935" spans="1:7" x14ac:dyDescent="0.25">
      <c r="A3935" t="s">
        <v>123</v>
      </c>
      <c r="B3935" t="s">
        <v>125</v>
      </c>
      <c r="C3935">
        <v>2420</v>
      </c>
      <c r="D3935" t="s">
        <v>62</v>
      </c>
      <c r="E3935" t="s">
        <v>70</v>
      </c>
      <c r="F3935" s="5">
        <v>42736</v>
      </c>
      <c r="G3935">
        <v>0</v>
      </c>
    </row>
    <row r="3936" spans="1:7" x14ac:dyDescent="0.25">
      <c r="A3936" t="s">
        <v>123</v>
      </c>
      <c r="B3936" t="s">
        <v>125</v>
      </c>
      <c r="C3936">
        <v>2420</v>
      </c>
      <c r="D3936" t="s">
        <v>62</v>
      </c>
      <c r="E3936" t="s">
        <v>71</v>
      </c>
      <c r="F3936" s="5">
        <v>42370</v>
      </c>
      <c r="G3936">
        <v>0</v>
      </c>
    </row>
    <row r="3937" spans="1:7" x14ac:dyDescent="0.25">
      <c r="A3937" t="s">
        <v>123</v>
      </c>
      <c r="B3937" t="s">
        <v>125</v>
      </c>
      <c r="C3937">
        <v>2420</v>
      </c>
      <c r="D3937" t="s">
        <v>62</v>
      </c>
      <c r="E3937" t="s">
        <v>71</v>
      </c>
      <c r="F3937" s="5">
        <v>42736</v>
      </c>
      <c r="G3937">
        <v>0</v>
      </c>
    </row>
    <row r="3938" spans="1:7" x14ac:dyDescent="0.25">
      <c r="A3938" t="s">
        <v>123</v>
      </c>
      <c r="B3938" t="s">
        <v>125</v>
      </c>
      <c r="C3938">
        <v>2420</v>
      </c>
      <c r="D3938" t="s">
        <v>72</v>
      </c>
      <c r="E3938" t="s">
        <v>73</v>
      </c>
      <c r="F3938" s="5">
        <v>42370</v>
      </c>
      <c r="G3938">
        <v>0</v>
      </c>
    </row>
    <row r="3939" spans="1:7" x14ac:dyDescent="0.25">
      <c r="A3939" t="s">
        <v>123</v>
      </c>
      <c r="B3939" t="s">
        <v>125</v>
      </c>
      <c r="C3939">
        <v>2420</v>
      </c>
      <c r="D3939" t="s">
        <v>72</v>
      </c>
      <c r="E3939" t="s">
        <v>73</v>
      </c>
      <c r="F3939" s="5">
        <v>42736</v>
      </c>
      <c r="G3939">
        <v>0</v>
      </c>
    </row>
    <row r="3940" spans="1:7" x14ac:dyDescent="0.25">
      <c r="A3940" t="s">
        <v>123</v>
      </c>
      <c r="B3940" t="s">
        <v>125</v>
      </c>
      <c r="C3940">
        <v>2420</v>
      </c>
      <c r="D3940" t="s">
        <v>72</v>
      </c>
      <c r="E3940" t="s">
        <v>9</v>
      </c>
      <c r="F3940" s="5">
        <v>42370</v>
      </c>
      <c r="G3940">
        <v>0</v>
      </c>
    </row>
    <row r="3941" spans="1:7" x14ac:dyDescent="0.25">
      <c r="A3941" t="s">
        <v>123</v>
      </c>
      <c r="B3941" t="s">
        <v>125</v>
      </c>
      <c r="C3941">
        <v>2420</v>
      </c>
      <c r="D3941" t="s">
        <v>72</v>
      </c>
      <c r="E3941" t="s">
        <v>9</v>
      </c>
      <c r="F3941" s="5">
        <v>42736</v>
      </c>
      <c r="G3941">
        <v>0</v>
      </c>
    </row>
    <row r="3942" spans="1:7" x14ac:dyDescent="0.25">
      <c r="A3942" t="s">
        <v>123</v>
      </c>
      <c r="B3942" t="s">
        <v>125</v>
      </c>
      <c r="C3942">
        <v>2420</v>
      </c>
      <c r="D3942" t="s">
        <v>72</v>
      </c>
      <c r="E3942" t="s">
        <v>34</v>
      </c>
      <c r="F3942" s="5">
        <v>42370</v>
      </c>
      <c r="G3942">
        <v>0</v>
      </c>
    </row>
    <row r="3943" spans="1:7" x14ac:dyDescent="0.25">
      <c r="A3943" t="s">
        <v>123</v>
      </c>
      <c r="B3943" t="s">
        <v>125</v>
      </c>
      <c r="C3943">
        <v>2420</v>
      </c>
      <c r="D3943" t="s">
        <v>72</v>
      </c>
      <c r="E3943" t="s">
        <v>34</v>
      </c>
      <c r="F3943" s="5">
        <v>42736</v>
      </c>
      <c r="G3943">
        <v>0</v>
      </c>
    </row>
    <row r="3944" spans="1:7" x14ac:dyDescent="0.25">
      <c r="A3944" t="s">
        <v>123</v>
      </c>
      <c r="B3944" t="s">
        <v>125</v>
      </c>
      <c r="C3944">
        <v>2420</v>
      </c>
      <c r="D3944" t="s">
        <v>72</v>
      </c>
      <c r="E3944" t="s">
        <v>74</v>
      </c>
      <c r="F3944" s="5">
        <v>42370</v>
      </c>
      <c r="G3944">
        <v>0</v>
      </c>
    </row>
    <row r="3945" spans="1:7" x14ac:dyDescent="0.25">
      <c r="A3945" t="s">
        <v>123</v>
      </c>
      <c r="B3945" t="s">
        <v>125</v>
      </c>
      <c r="C3945">
        <v>2420</v>
      </c>
      <c r="D3945" t="s">
        <v>72</v>
      </c>
      <c r="E3945" t="s">
        <v>74</v>
      </c>
      <c r="F3945" s="5">
        <v>42736</v>
      </c>
      <c r="G3945">
        <v>0</v>
      </c>
    </row>
    <row r="3946" spans="1:7" x14ac:dyDescent="0.25">
      <c r="A3946" t="s">
        <v>123</v>
      </c>
      <c r="B3946" t="s">
        <v>125</v>
      </c>
      <c r="C3946">
        <v>2420</v>
      </c>
      <c r="D3946" t="s">
        <v>72</v>
      </c>
      <c r="E3946" t="s">
        <v>75</v>
      </c>
      <c r="F3946" s="5">
        <v>42370</v>
      </c>
      <c r="G3946">
        <v>0</v>
      </c>
    </row>
    <row r="3947" spans="1:7" x14ac:dyDescent="0.25">
      <c r="A3947" t="s">
        <v>123</v>
      </c>
      <c r="B3947" t="s">
        <v>125</v>
      </c>
      <c r="C3947">
        <v>2420</v>
      </c>
      <c r="D3947" t="s">
        <v>72</v>
      </c>
      <c r="E3947" t="s">
        <v>75</v>
      </c>
      <c r="F3947" s="5">
        <v>42736</v>
      </c>
      <c r="G3947">
        <v>0</v>
      </c>
    </row>
    <row r="3948" spans="1:7" x14ac:dyDescent="0.25">
      <c r="A3948" t="s">
        <v>123</v>
      </c>
      <c r="B3948" t="s">
        <v>125</v>
      </c>
      <c r="C3948">
        <v>2420</v>
      </c>
      <c r="D3948" t="s">
        <v>76</v>
      </c>
      <c r="E3948" t="s">
        <v>9</v>
      </c>
      <c r="F3948" s="5">
        <v>42370</v>
      </c>
      <c r="G3948">
        <v>0</v>
      </c>
    </row>
    <row r="3949" spans="1:7" x14ac:dyDescent="0.25">
      <c r="A3949" t="s">
        <v>123</v>
      </c>
      <c r="B3949" t="s">
        <v>125</v>
      </c>
      <c r="C3949">
        <v>2420</v>
      </c>
      <c r="D3949" t="s">
        <v>76</v>
      </c>
      <c r="E3949" t="s">
        <v>9</v>
      </c>
      <c r="F3949" s="5">
        <v>42736</v>
      </c>
      <c r="G3949">
        <v>0</v>
      </c>
    </row>
    <row r="3950" spans="1:7" x14ac:dyDescent="0.25">
      <c r="A3950" t="s">
        <v>123</v>
      </c>
      <c r="B3950" t="s">
        <v>125</v>
      </c>
      <c r="C3950">
        <v>2420</v>
      </c>
      <c r="D3950" t="s">
        <v>76</v>
      </c>
      <c r="E3950" t="s">
        <v>77</v>
      </c>
      <c r="F3950" s="5">
        <v>42370</v>
      </c>
      <c r="G3950">
        <v>0</v>
      </c>
    </row>
    <row r="3951" spans="1:7" x14ac:dyDescent="0.25">
      <c r="A3951" t="s">
        <v>123</v>
      </c>
      <c r="B3951" t="s">
        <v>125</v>
      </c>
      <c r="C3951">
        <v>2420</v>
      </c>
      <c r="D3951" t="s">
        <v>76</v>
      </c>
      <c r="E3951" t="s">
        <v>77</v>
      </c>
      <c r="F3951" s="5">
        <v>42736</v>
      </c>
      <c r="G3951">
        <v>0</v>
      </c>
    </row>
    <row r="3952" spans="1:7" x14ac:dyDescent="0.25">
      <c r="A3952" t="s">
        <v>123</v>
      </c>
      <c r="B3952" t="s">
        <v>125</v>
      </c>
      <c r="C3952">
        <v>2420</v>
      </c>
      <c r="D3952" t="s">
        <v>78</v>
      </c>
      <c r="E3952" t="s">
        <v>79</v>
      </c>
      <c r="F3952" s="5">
        <v>42370</v>
      </c>
      <c r="G3952">
        <v>0</v>
      </c>
    </row>
    <row r="3953" spans="1:7" x14ac:dyDescent="0.25">
      <c r="A3953" t="s">
        <v>123</v>
      </c>
      <c r="B3953" t="s">
        <v>125</v>
      </c>
      <c r="C3953">
        <v>2420</v>
      </c>
      <c r="D3953" t="s">
        <v>78</v>
      </c>
      <c r="E3953" t="s">
        <v>79</v>
      </c>
      <c r="F3953" s="5">
        <v>42736</v>
      </c>
      <c r="G3953">
        <v>0</v>
      </c>
    </row>
    <row r="3954" spans="1:7" x14ac:dyDescent="0.25">
      <c r="A3954" t="s">
        <v>123</v>
      </c>
      <c r="B3954" t="s">
        <v>125</v>
      </c>
      <c r="C3954">
        <v>2420</v>
      </c>
      <c r="D3954" t="s">
        <v>78</v>
      </c>
      <c r="E3954" t="s">
        <v>80</v>
      </c>
      <c r="F3954" s="5">
        <v>42370</v>
      </c>
      <c r="G3954">
        <v>0</v>
      </c>
    </row>
    <row r="3955" spans="1:7" x14ac:dyDescent="0.25">
      <c r="A3955" t="s">
        <v>123</v>
      </c>
      <c r="B3955" t="s">
        <v>125</v>
      </c>
      <c r="C3955">
        <v>2420</v>
      </c>
      <c r="D3955" t="s">
        <v>78</v>
      </c>
      <c r="E3955" t="s">
        <v>80</v>
      </c>
      <c r="F3955" s="5">
        <v>42736</v>
      </c>
      <c r="G3955">
        <v>0</v>
      </c>
    </row>
    <row r="3956" spans="1:7" x14ac:dyDescent="0.25">
      <c r="A3956" t="s">
        <v>123</v>
      </c>
      <c r="B3956" t="s">
        <v>125</v>
      </c>
      <c r="C3956">
        <v>2420</v>
      </c>
      <c r="D3956" t="s">
        <v>78</v>
      </c>
      <c r="E3956" t="s">
        <v>81</v>
      </c>
      <c r="F3956" s="5">
        <v>42370</v>
      </c>
      <c r="G3956">
        <v>378</v>
      </c>
    </row>
    <row r="3957" spans="1:7" x14ac:dyDescent="0.25">
      <c r="A3957" t="s">
        <v>123</v>
      </c>
      <c r="B3957" t="s">
        <v>125</v>
      </c>
      <c r="C3957">
        <v>2420</v>
      </c>
      <c r="D3957" t="s">
        <v>78</v>
      </c>
      <c r="E3957" t="s">
        <v>81</v>
      </c>
      <c r="F3957" s="5">
        <v>42736</v>
      </c>
      <c r="G3957">
        <v>542</v>
      </c>
    </row>
    <row r="3958" spans="1:7" x14ac:dyDescent="0.25">
      <c r="A3958" t="s">
        <v>123</v>
      </c>
      <c r="B3958" t="s">
        <v>125</v>
      </c>
      <c r="C3958">
        <v>2420</v>
      </c>
      <c r="D3958" t="s">
        <v>78</v>
      </c>
      <c r="E3958" t="s">
        <v>82</v>
      </c>
      <c r="F3958" s="5">
        <v>42370</v>
      </c>
      <c r="G3958">
        <v>0</v>
      </c>
    </row>
    <row r="3959" spans="1:7" x14ac:dyDescent="0.25">
      <c r="A3959" t="s">
        <v>123</v>
      </c>
      <c r="B3959" t="s">
        <v>125</v>
      </c>
      <c r="C3959">
        <v>2420</v>
      </c>
      <c r="D3959" t="s">
        <v>78</v>
      </c>
      <c r="E3959" t="s">
        <v>82</v>
      </c>
      <c r="F3959" s="5">
        <v>42736</v>
      </c>
      <c r="G3959">
        <v>0</v>
      </c>
    </row>
    <row r="3960" spans="1:7" x14ac:dyDescent="0.25">
      <c r="A3960" t="s">
        <v>123</v>
      </c>
      <c r="B3960" t="s">
        <v>125</v>
      </c>
      <c r="C3960">
        <v>2420</v>
      </c>
      <c r="D3960" t="s">
        <v>78</v>
      </c>
      <c r="E3960" t="s">
        <v>83</v>
      </c>
      <c r="F3960" s="5">
        <v>42370</v>
      </c>
      <c r="G3960">
        <v>0</v>
      </c>
    </row>
    <row r="3961" spans="1:7" x14ac:dyDescent="0.25">
      <c r="A3961" t="s">
        <v>123</v>
      </c>
      <c r="B3961" t="s">
        <v>125</v>
      </c>
      <c r="C3961">
        <v>2420</v>
      </c>
      <c r="D3961" t="s">
        <v>78</v>
      </c>
      <c r="E3961" t="s">
        <v>83</v>
      </c>
      <c r="F3961" s="5">
        <v>42736</v>
      </c>
      <c r="G3961">
        <v>0</v>
      </c>
    </row>
    <row r="3962" spans="1:7" x14ac:dyDescent="0.25">
      <c r="A3962" t="s">
        <v>123</v>
      </c>
      <c r="B3962" t="s">
        <v>125</v>
      </c>
      <c r="C3962">
        <v>2420</v>
      </c>
      <c r="D3962" t="s">
        <v>78</v>
      </c>
      <c r="E3962" t="s">
        <v>84</v>
      </c>
      <c r="F3962" s="5">
        <v>42370</v>
      </c>
      <c r="G3962">
        <v>0</v>
      </c>
    </row>
    <row r="3963" spans="1:7" x14ac:dyDescent="0.25">
      <c r="A3963" t="s">
        <v>123</v>
      </c>
      <c r="B3963" t="s">
        <v>125</v>
      </c>
      <c r="C3963">
        <v>2420</v>
      </c>
      <c r="D3963" t="s">
        <v>78</v>
      </c>
      <c r="E3963" t="s">
        <v>84</v>
      </c>
      <c r="F3963" s="5">
        <v>42736</v>
      </c>
      <c r="G3963">
        <v>0</v>
      </c>
    </row>
    <row r="3964" spans="1:7" x14ac:dyDescent="0.25">
      <c r="A3964" t="s">
        <v>123</v>
      </c>
      <c r="B3964" t="s">
        <v>125</v>
      </c>
      <c r="C3964">
        <v>2420</v>
      </c>
      <c r="D3964" t="s">
        <v>78</v>
      </c>
      <c r="E3964" t="s">
        <v>85</v>
      </c>
      <c r="F3964" s="5">
        <v>42370</v>
      </c>
      <c r="G3964">
        <v>0</v>
      </c>
    </row>
    <row r="3965" spans="1:7" x14ac:dyDescent="0.25">
      <c r="A3965" t="s">
        <v>123</v>
      </c>
      <c r="B3965" t="s">
        <v>125</v>
      </c>
      <c r="C3965">
        <v>2420</v>
      </c>
      <c r="D3965" t="s">
        <v>78</v>
      </c>
      <c r="E3965" t="s">
        <v>85</v>
      </c>
      <c r="F3965" s="5">
        <v>42736</v>
      </c>
      <c r="G3965">
        <v>0</v>
      </c>
    </row>
    <row r="3966" spans="1:7" x14ac:dyDescent="0.25">
      <c r="A3966" t="s">
        <v>123</v>
      </c>
      <c r="B3966" t="s">
        <v>125</v>
      </c>
      <c r="C3966">
        <v>2420</v>
      </c>
      <c r="D3966" t="s">
        <v>78</v>
      </c>
      <c r="E3966" t="s">
        <v>86</v>
      </c>
      <c r="F3966" s="5">
        <v>42370</v>
      </c>
      <c r="G3966">
        <v>0</v>
      </c>
    </row>
    <row r="3967" spans="1:7" x14ac:dyDescent="0.25">
      <c r="A3967" t="s">
        <v>123</v>
      </c>
      <c r="B3967" t="s">
        <v>125</v>
      </c>
      <c r="C3967">
        <v>2420</v>
      </c>
      <c r="D3967" t="s">
        <v>78</v>
      </c>
      <c r="E3967" t="s">
        <v>86</v>
      </c>
      <c r="F3967" s="5">
        <v>42736</v>
      </c>
      <c r="G3967">
        <v>0</v>
      </c>
    </row>
    <row r="3968" spans="1:7" x14ac:dyDescent="0.25">
      <c r="A3968" t="s">
        <v>123</v>
      </c>
      <c r="B3968" t="s">
        <v>125</v>
      </c>
      <c r="C3968">
        <v>2420</v>
      </c>
      <c r="D3968" t="s">
        <v>78</v>
      </c>
      <c r="E3968" t="s">
        <v>87</v>
      </c>
      <c r="F3968" s="5">
        <v>42370</v>
      </c>
      <c r="G3968">
        <v>0</v>
      </c>
    </row>
    <row r="3969" spans="1:7" x14ac:dyDescent="0.25">
      <c r="A3969" t="s">
        <v>123</v>
      </c>
      <c r="B3969" t="s">
        <v>125</v>
      </c>
      <c r="C3969">
        <v>2420</v>
      </c>
      <c r="D3969" t="s">
        <v>78</v>
      </c>
      <c r="E3969" t="s">
        <v>87</v>
      </c>
      <c r="F3969" s="5">
        <v>42736</v>
      </c>
      <c r="G3969">
        <v>0</v>
      </c>
    </row>
    <row r="3970" spans="1:7" x14ac:dyDescent="0.25">
      <c r="A3970" t="s">
        <v>123</v>
      </c>
      <c r="B3970" t="s">
        <v>125</v>
      </c>
      <c r="C3970">
        <v>2420</v>
      </c>
      <c r="D3970" t="s">
        <v>78</v>
      </c>
      <c r="E3970" t="s">
        <v>88</v>
      </c>
      <c r="F3970" s="5">
        <v>42370</v>
      </c>
      <c r="G3970">
        <v>97</v>
      </c>
    </row>
    <row r="3971" spans="1:7" x14ac:dyDescent="0.25">
      <c r="A3971" t="s">
        <v>123</v>
      </c>
      <c r="B3971" t="s">
        <v>125</v>
      </c>
      <c r="C3971">
        <v>2420</v>
      </c>
      <c r="D3971" t="s">
        <v>78</v>
      </c>
      <c r="E3971" t="s">
        <v>88</v>
      </c>
      <c r="F3971" s="5">
        <v>42736</v>
      </c>
      <c r="G3971">
        <v>139</v>
      </c>
    </row>
    <row r="3972" spans="1:7" x14ac:dyDescent="0.25">
      <c r="A3972" t="s">
        <v>123</v>
      </c>
      <c r="B3972" t="s">
        <v>125</v>
      </c>
      <c r="C3972">
        <v>2420</v>
      </c>
      <c r="D3972" t="s">
        <v>78</v>
      </c>
      <c r="E3972" t="s">
        <v>89</v>
      </c>
      <c r="F3972" s="5">
        <v>42370</v>
      </c>
      <c r="G3972">
        <v>789</v>
      </c>
    </row>
    <row r="3973" spans="1:7" x14ac:dyDescent="0.25">
      <c r="A3973" t="s">
        <v>123</v>
      </c>
      <c r="B3973" t="s">
        <v>125</v>
      </c>
      <c r="C3973">
        <v>2420</v>
      </c>
      <c r="D3973" t="s">
        <v>78</v>
      </c>
      <c r="E3973" t="s">
        <v>89</v>
      </c>
      <c r="F3973" s="5">
        <v>42736</v>
      </c>
      <c r="G3973">
        <v>1089</v>
      </c>
    </row>
    <row r="3974" spans="1:7" x14ac:dyDescent="0.25">
      <c r="A3974" t="s">
        <v>123</v>
      </c>
      <c r="B3974" t="s">
        <v>125</v>
      </c>
      <c r="C3974">
        <v>2420</v>
      </c>
      <c r="D3974" t="s">
        <v>78</v>
      </c>
      <c r="E3974" t="s">
        <v>90</v>
      </c>
      <c r="F3974" s="5">
        <v>42370</v>
      </c>
      <c r="G3974">
        <v>0</v>
      </c>
    </row>
    <row r="3975" spans="1:7" x14ac:dyDescent="0.25">
      <c r="A3975" t="s">
        <v>123</v>
      </c>
      <c r="B3975" t="s">
        <v>125</v>
      </c>
      <c r="C3975">
        <v>2420</v>
      </c>
      <c r="D3975" t="s">
        <v>78</v>
      </c>
      <c r="E3975" t="s">
        <v>90</v>
      </c>
      <c r="F3975" s="5">
        <v>42736</v>
      </c>
      <c r="G3975">
        <v>0</v>
      </c>
    </row>
    <row r="3976" spans="1:7" x14ac:dyDescent="0.25">
      <c r="A3976" t="s">
        <v>123</v>
      </c>
      <c r="B3976" t="s">
        <v>125</v>
      </c>
      <c r="C3976">
        <v>2420</v>
      </c>
      <c r="D3976" t="s">
        <v>78</v>
      </c>
      <c r="E3976" t="s">
        <v>91</v>
      </c>
      <c r="F3976" s="5">
        <v>42370</v>
      </c>
      <c r="G3976">
        <v>0</v>
      </c>
    </row>
    <row r="3977" spans="1:7" x14ac:dyDescent="0.25">
      <c r="A3977" t="s">
        <v>123</v>
      </c>
      <c r="B3977" t="s">
        <v>125</v>
      </c>
      <c r="C3977">
        <v>2420</v>
      </c>
      <c r="D3977" t="s">
        <v>78</v>
      </c>
      <c r="E3977" t="s">
        <v>91</v>
      </c>
      <c r="F3977" s="5">
        <v>42736</v>
      </c>
      <c r="G3977">
        <v>0</v>
      </c>
    </row>
    <row r="3978" spans="1:7" x14ac:dyDescent="0.25">
      <c r="A3978" t="s">
        <v>123</v>
      </c>
      <c r="B3978" t="s">
        <v>125</v>
      </c>
      <c r="C3978">
        <v>2420</v>
      </c>
      <c r="D3978" t="s">
        <v>78</v>
      </c>
      <c r="E3978" t="s">
        <v>92</v>
      </c>
      <c r="F3978" s="5">
        <v>42370</v>
      </c>
      <c r="G3978">
        <v>0</v>
      </c>
    </row>
    <row r="3979" spans="1:7" x14ac:dyDescent="0.25">
      <c r="A3979" t="s">
        <v>123</v>
      </c>
      <c r="B3979" t="s">
        <v>125</v>
      </c>
      <c r="C3979">
        <v>2420</v>
      </c>
      <c r="D3979" t="s">
        <v>78</v>
      </c>
      <c r="E3979" t="s">
        <v>92</v>
      </c>
      <c r="F3979" s="5">
        <v>42736</v>
      </c>
      <c r="G3979">
        <v>0</v>
      </c>
    </row>
    <row r="3980" spans="1:7" x14ac:dyDescent="0.25">
      <c r="A3980" t="s">
        <v>123</v>
      </c>
      <c r="B3980" t="s">
        <v>125</v>
      </c>
      <c r="C3980">
        <v>2420</v>
      </c>
      <c r="D3980" t="s">
        <v>78</v>
      </c>
      <c r="E3980" t="s">
        <v>93</v>
      </c>
      <c r="F3980" s="5">
        <v>42370</v>
      </c>
      <c r="G3980">
        <v>0</v>
      </c>
    </row>
    <row r="3981" spans="1:7" x14ac:dyDescent="0.25">
      <c r="A3981" t="s">
        <v>123</v>
      </c>
      <c r="B3981" t="s">
        <v>125</v>
      </c>
      <c r="C3981">
        <v>2420</v>
      </c>
      <c r="D3981" t="s">
        <v>78</v>
      </c>
      <c r="E3981" t="s">
        <v>93</v>
      </c>
      <c r="F3981" s="5">
        <v>42736</v>
      </c>
      <c r="G3981">
        <v>0</v>
      </c>
    </row>
    <row r="3982" spans="1:7" x14ac:dyDescent="0.25">
      <c r="A3982" t="s">
        <v>123</v>
      </c>
      <c r="B3982" t="s">
        <v>125</v>
      </c>
      <c r="C3982">
        <v>2420</v>
      </c>
      <c r="D3982" t="s">
        <v>78</v>
      </c>
      <c r="E3982" t="s">
        <v>94</v>
      </c>
      <c r="F3982" s="5">
        <v>42370</v>
      </c>
      <c r="G3982">
        <v>0</v>
      </c>
    </row>
    <row r="3983" spans="1:7" x14ac:dyDescent="0.25">
      <c r="A3983" t="s">
        <v>123</v>
      </c>
      <c r="B3983" t="s">
        <v>125</v>
      </c>
      <c r="C3983">
        <v>2420</v>
      </c>
      <c r="D3983" t="s">
        <v>78</v>
      </c>
      <c r="E3983" t="s">
        <v>94</v>
      </c>
      <c r="F3983" s="5">
        <v>42736</v>
      </c>
      <c r="G3983">
        <v>0</v>
      </c>
    </row>
    <row r="3984" spans="1:7" x14ac:dyDescent="0.25">
      <c r="A3984" t="s">
        <v>123</v>
      </c>
      <c r="B3984" t="s">
        <v>125</v>
      </c>
      <c r="C3984">
        <v>2420</v>
      </c>
      <c r="D3984" t="s">
        <v>78</v>
      </c>
      <c r="E3984" t="s">
        <v>95</v>
      </c>
      <c r="F3984" s="5">
        <v>42370</v>
      </c>
      <c r="G3984">
        <v>0</v>
      </c>
    </row>
    <row r="3985" spans="1:7" x14ac:dyDescent="0.25">
      <c r="A3985" t="s">
        <v>123</v>
      </c>
      <c r="B3985" t="s">
        <v>125</v>
      </c>
      <c r="C3985">
        <v>2420</v>
      </c>
      <c r="D3985" t="s">
        <v>78</v>
      </c>
      <c r="E3985" t="s">
        <v>95</v>
      </c>
      <c r="F3985" s="5">
        <v>42736</v>
      </c>
      <c r="G3985">
        <v>0</v>
      </c>
    </row>
    <row r="3986" spans="1:7" x14ac:dyDescent="0.25">
      <c r="A3986" t="s">
        <v>123</v>
      </c>
      <c r="B3986" t="s">
        <v>125</v>
      </c>
      <c r="C3986">
        <v>2420</v>
      </c>
      <c r="D3986" t="s">
        <v>78</v>
      </c>
      <c r="E3986" t="s">
        <v>96</v>
      </c>
      <c r="F3986" s="5">
        <v>42370</v>
      </c>
      <c r="G3986">
        <v>0</v>
      </c>
    </row>
    <row r="3987" spans="1:7" x14ac:dyDescent="0.25">
      <c r="A3987" t="s">
        <v>123</v>
      </c>
      <c r="B3987" t="s">
        <v>125</v>
      </c>
      <c r="C3987">
        <v>2420</v>
      </c>
      <c r="D3987" t="s">
        <v>78</v>
      </c>
      <c r="E3987" t="s">
        <v>96</v>
      </c>
      <c r="F3987" s="5">
        <v>42736</v>
      </c>
      <c r="G3987">
        <v>0</v>
      </c>
    </row>
    <row r="3988" spans="1:7" x14ac:dyDescent="0.25">
      <c r="A3988" t="s">
        <v>123</v>
      </c>
      <c r="B3988" t="s">
        <v>125</v>
      </c>
      <c r="C3988">
        <v>2420</v>
      </c>
      <c r="D3988" t="s">
        <v>78</v>
      </c>
      <c r="E3988" t="s">
        <v>97</v>
      </c>
      <c r="F3988" s="5">
        <v>42370</v>
      </c>
      <c r="G3988">
        <v>0</v>
      </c>
    </row>
    <row r="3989" spans="1:7" x14ac:dyDescent="0.25">
      <c r="A3989" t="s">
        <v>123</v>
      </c>
      <c r="B3989" t="s">
        <v>125</v>
      </c>
      <c r="C3989">
        <v>2420</v>
      </c>
      <c r="D3989" t="s">
        <v>78</v>
      </c>
      <c r="E3989" t="s">
        <v>97</v>
      </c>
      <c r="F3989" s="5">
        <v>42736</v>
      </c>
      <c r="G3989">
        <v>0</v>
      </c>
    </row>
    <row r="3990" spans="1:7" x14ac:dyDescent="0.25">
      <c r="A3990" t="s">
        <v>123</v>
      </c>
      <c r="B3990" t="s">
        <v>125</v>
      </c>
      <c r="C3990">
        <v>2420</v>
      </c>
      <c r="D3990" t="s">
        <v>78</v>
      </c>
      <c r="E3990" t="s">
        <v>98</v>
      </c>
      <c r="F3990" s="5">
        <v>42370</v>
      </c>
      <c r="G3990">
        <v>0</v>
      </c>
    </row>
    <row r="3991" spans="1:7" x14ac:dyDescent="0.25">
      <c r="A3991" t="s">
        <v>123</v>
      </c>
      <c r="B3991" t="s">
        <v>125</v>
      </c>
      <c r="C3991">
        <v>2420</v>
      </c>
      <c r="D3991" t="s">
        <v>78</v>
      </c>
      <c r="E3991" t="s">
        <v>98</v>
      </c>
      <c r="F3991" s="5">
        <v>42736</v>
      </c>
      <c r="G3991">
        <v>0</v>
      </c>
    </row>
    <row r="3992" spans="1:7" x14ac:dyDescent="0.25">
      <c r="A3992" t="s">
        <v>123</v>
      </c>
      <c r="B3992" t="s">
        <v>126</v>
      </c>
      <c r="C3992">
        <v>2400</v>
      </c>
      <c r="D3992" t="s">
        <v>8</v>
      </c>
      <c r="E3992" t="s">
        <v>9</v>
      </c>
      <c r="F3992" s="5">
        <v>42370</v>
      </c>
      <c r="G3992">
        <v>0</v>
      </c>
    </row>
    <row r="3993" spans="1:7" x14ac:dyDescent="0.25">
      <c r="A3993" t="s">
        <v>123</v>
      </c>
      <c r="B3993" t="s">
        <v>126</v>
      </c>
      <c r="C3993">
        <v>2400</v>
      </c>
      <c r="D3993" t="s">
        <v>8</v>
      </c>
      <c r="E3993" t="s">
        <v>9</v>
      </c>
      <c r="F3993" s="5">
        <v>42736</v>
      </c>
      <c r="G3993">
        <v>0</v>
      </c>
    </row>
    <row r="3994" spans="1:7" x14ac:dyDescent="0.25">
      <c r="A3994" t="s">
        <v>123</v>
      </c>
      <c r="B3994" t="s">
        <v>126</v>
      </c>
      <c r="C3994">
        <v>2400</v>
      </c>
      <c r="D3994" t="s">
        <v>8</v>
      </c>
      <c r="E3994" t="s">
        <v>10</v>
      </c>
      <c r="F3994" s="5">
        <v>42370</v>
      </c>
      <c r="G3994">
        <v>264</v>
      </c>
    </row>
    <row r="3995" spans="1:7" x14ac:dyDescent="0.25">
      <c r="A3995" t="s">
        <v>123</v>
      </c>
      <c r="B3995" t="s">
        <v>126</v>
      </c>
      <c r="C3995">
        <v>2400</v>
      </c>
      <c r="D3995" t="s">
        <v>8</v>
      </c>
      <c r="E3995" t="s">
        <v>10</v>
      </c>
      <c r="F3995" s="5">
        <v>42736</v>
      </c>
      <c r="G3995">
        <v>409</v>
      </c>
    </row>
    <row r="3996" spans="1:7" x14ac:dyDescent="0.25">
      <c r="A3996" t="s">
        <v>123</v>
      </c>
      <c r="B3996" t="s">
        <v>126</v>
      </c>
      <c r="C3996">
        <v>2400</v>
      </c>
      <c r="D3996" t="s">
        <v>8</v>
      </c>
      <c r="E3996" t="s">
        <v>11</v>
      </c>
      <c r="F3996" s="5">
        <v>42370</v>
      </c>
      <c r="G3996">
        <v>26</v>
      </c>
    </row>
    <row r="3997" spans="1:7" x14ac:dyDescent="0.25">
      <c r="A3997" t="s">
        <v>123</v>
      </c>
      <c r="B3997" t="s">
        <v>126</v>
      </c>
      <c r="C3997">
        <v>2400</v>
      </c>
      <c r="D3997" t="s">
        <v>8</v>
      </c>
      <c r="E3997" t="s">
        <v>11</v>
      </c>
      <c r="F3997" s="5">
        <v>42736</v>
      </c>
      <c r="G3997">
        <v>230</v>
      </c>
    </row>
    <row r="3998" spans="1:7" x14ac:dyDescent="0.25">
      <c r="A3998" t="s">
        <v>123</v>
      </c>
      <c r="B3998" t="s">
        <v>126</v>
      </c>
      <c r="C3998">
        <v>2400</v>
      </c>
      <c r="D3998" t="s">
        <v>8</v>
      </c>
      <c r="E3998" t="s">
        <v>12</v>
      </c>
      <c r="F3998" s="5">
        <v>42370</v>
      </c>
      <c r="G3998">
        <v>0</v>
      </c>
    </row>
    <row r="3999" spans="1:7" x14ac:dyDescent="0.25">
      <c r="A3999" t="s">
        <v>123</v>
      </c>
      <c r="B3999" t="s">
        <v>126</v>
      </c>
      <c r="C3999">
        <v>2400</v>
      </c>
      <c r="D3999" t="s">
        <v>8</v>
      </c>
      <c r="E3999" t="s">
        <v>12</v>
      </c>
      <c r="F3999" s="5">
        <v>42736</v>
      </c>
      <c r="G3999">
        <v>0</v>
      </c>
    </row>
    <row r="4000" spans="1:7" x14ac:dyDescent="0.25">
      <c r="A4000" t="s">
        <v>123</v>
      </c>
      <c r="B4000" t="s">
        <v>126</v>
      </c>
      <c r="C4000">
        <v>2400</v>
      </c>
      <c r="D4000" t="s">
        <v>8</v>
      </c>
      <c r="E4000" t="s">
        <v>13</v>
      </c>
      <c r="F4000" s="5">
        <v>42370</v>
      </c>
      <c r="G4000">
        <v>0</v>
      </c>
    </row>
    <row r="4001" spans="1:7" x14ac:dyDescent="0.25">
      <c r="A4001" t="s">
        <v>123</v>
      </c>
      <c r="B4001" t="s">
        <v>126</v>
      </c>
      <c r="C4001">
        <v>2400</v>
      </c>
      <c r="D4001" t="s">
        <v>8</v>
      </c>
      <c r="E4001" t="s">
        <v>13</v>
      </c>
      <c r="F4001" s="5">
        <v>42736</v>
      </c>
      <c r="G4001">
        <v>0</v>
      </c>
    </row>
    <row r="4002" spans="1:7" x14ac:dyDescent="0.25">
      <c r="A4002" t="s">
        <v>123</v>
      </c>
      <c r="B4002" t="s">
        <v>126</v>
      </c>
      <c r="C4002">
        <v>2400</v>
      </c>
      <c r="D4002" t="s">
        <v>8</v>
      </c>
      <c r="E4002" t="s">
        <v>14</v>
      </c>
      <c r="F4002" s="5">
        <v>42370</v>
      </c>
      <c r="G4002">
        <v>0</v>
      </c>
    </row>
    <row r="4003" spans="1:7" x14ac:dyDescent="0.25">
      <c r="A4003" t="s">
        <v>123</v>
      </c>
      <c r="B4003" t="s">
        <v>126</v>
      </c>
      <c r="C4003">
        <v>2400</v>
      </c>
      <c r="D4003" t="s">
        <v>8</v>
      </c>
      <c r="E4003" t="s">
        <v>14</v>
      </c>
      <c r="F4003" s="5">
        <v>42736</v>
      </c>
      <c r="G4003">
        <v>0</v>
      </c>
    </row>
    <row r="4004" spans="1:7" x14ac:dyDescent="0.25">
      <c r="A4004" t="s">
        <v>123</v>
      </c>
      <c r="B4004" t="s">
        <v>126</v>
      </c>
      <c r="C4004">
        <v>2400</v>
      </c>
      <c r="D4004" t="s">
        <v>8</v>
      </c>
      <c r="E4004" t="s">
        <v>15</v>
      </c>
      <c r="F4004" s="5">
        <v>42370</v>
      </c>
      <c r="G4004">
        <v>0</v>
      </c>
    </row>
    <row r="4005" spans="1:7" x14ac:dyDescent="0.25">
      <c r="A4005" t="s">
        <v>123</v>
      </c>
      <c r="B4005" t="s">
        <v>126</v>
      </c>
      <c r="C4005">
        <v>2400</v>
      </c>
      <c r="D4005" t="s">
        <v>8</v>
      </c>
      <c r="E4005" t="s">
        <v>15</v>
      </c>
      <c r="F4005" s="5">
        <v>42736</v>
      </c>
      <c r="G4005">
        <v>0</v>
      </c>
    </row>
    <row r="4006" spans="1:7" x14ac:dyDescent="0.25">
      <c r="A4006" t="s">
        <v>123</v>
      </c>
      <c r="B4006" t="s">
        <v>126</v>
      </c>
      <c r="C4006">
        <v>2400</v>
      </c>
      <c r="D4006" t="s">
        <v>8</v>
      </c>
      <c r="E4006" t="s">
        <v>16</v>
      </c>
      <c r="F4006" s="5">
        <v>42370</v>
      </c>
      <c r="G4006">
        <v>54</v>
      </c>
    </row>
    <row r="4007" spans="1:7" x14ac:dyDescent="0.25">
      <c r="A4007" t="s">
        <v>123</v>
      </c>
      <c r="B4007" t="s">
        <v>126</v>
      </c>
      <c r="C4007">
        <v>2400</v>
      </c>
      <c r="D4007" t="s">
        <v>8</v>
      </c>
      <c r="E4007" t="s">
        <v>16</v>
      </c>
      <c r="F4007" s="5">
        <v>42736</v>
      </c>
      <c r="G4007">
        <v>92</v>
      </c>
    </row>
    <row r="4008" spans="1:7" x14ac:dyDescent="0.25">
      <c r="A4008" t="s">
        <v>123</v>
      </c>
      <c r="B4008" t="s">
        <v>126</v>
      </c>
      <c r="C4008">
        <v>2400</v>
      </c>
      <c r="D4008" t="s">
        <v>8</v>
      </c>
      <c r="E4008" t="s">
        <v>17</v>
      </c>
      <c r="F4008" s="5">
        <v>42370</v>
      </c>
      <c r="G4008">
        <v>0</v>
      </c>
    </row>
    <row r="4009" spans="1:7" x14ac:dyDescent="0.25">
      <c r="A4009" t="s">
        <v>123</v>
      </c>
      <c r="B4009" t="s">
        <v>126</v>
      </c>
      <c r="C4009">
        <v>2400</v>
      </c>
      <c r="D4009" t="s">
        <v>8</v>
      </c>
      <c r="E4009" t="s">
        <v>17</v>
      </c>
      <c r="F4009" s="5">
        <v>42736</v>
      </c>
      <c r="G4009">
        <v>0</v>
      </c>
    </row>
    <row r="4010" spans="1:7" x14ac:dyDescent="0.25">
      <c r="A4010" t="s">
        <v>123</v>
      </c>
      <c r="B4010" t="s">
        <v>126</v>
      </c>
      <c r="C4010">
        <v>2400</v>
      </c>
      <c r="D4010" t="s">
        <v>8</v>
      </c>
      <c r="E4010" t="s">
        <v>18</v>
      </c>
      <c r="F4010" s="5">
        <v>42370</v>
      </c>
      <c r="G4010">
        <v>15</v>
      </c>
    </row>
    <row r="4011" spans="1:7" x14ac:dyDescent="0.25">
      <c r="A4011" t="s">
        <v>123</v>
      </c>
      <c r="B4011" t="s">
        <v>126</v>
      </c>
      <c r="C4011">
        <v>2400</v>
      </c>
      <c r="D4011" t="s">
        <v>8</v>
      </c>
      <c r="E4011" t="s">
        <v>18</v>
      </c>
      <c r="F4011" s="5">
        <v>42736</v>
      </c>
      <c r="G4011">
        <v>36</v>
      </c>
    </row>
    <row r="4012" spans="1:7" x14ac:dyDescent="0.25">
      <c r="A4012" t="s">
        <v>123</v>
      </c>
      <c r="B4012" t="s">
        <v>126</v>
      </c>
      <c r="C4012">
        <v>2400</v>
      </c>
      <c r="D4012" t="s">
        <v>8</v>
      </c>
      <c r="E4012" t="s">
        <v>19</v>
      </c>
      <c r="F4012" s="5">
        <v>42370</v>
      </c>
      <c r="G4012">
        <v>0</v>
      </c>
    </row>
    <row r="4013" spans="1:7" x14ac:dyDescent="0.25">
      <c r="A4013" t="s">
        <v>123</v>
      </c>
      <c r="B4013" t="s">
        <v>126</v>
      </c>
      <c r="C4013">
        <v>2400</v>
      </c>
      <c r="D4013" t="s">
        <v>8</v>
      </c>
      <c r="E4013" t="s">
        <v>19</v>
      </c>
      <c r="F4013" s="5">
        <v>42736</v>
      </c>
      <c r="G4013">
        <v>0</v>
      </c>
    </row>
    <row r="4014" spans="1:7" x14ac:dyDescent="0.25">
      <c r="A4014" t="s">
        <v>123</v>
      </c>
      <c r="B4014" t="s">
        <v>126</v>
      </c>
      <c r="C4014">
        <v>2400</v>
      </c>
      <c r="D4014" t="s">
        <v>20</v>
      </c>
      <c r="E4014" t="s">
        <v>9</v>
      </c>
      <c r="F4014" s="5">
        <v>42370</v>
      </c>
      <c r="G4014">
        <v>3</v>
      </c>
    </row>
    <row r="4015" spans="1:7" x14ac:dyDescent="0.25">
      <c r="A4015" t="s">
        <v>123</v>
      </c>
      <c r="B4015" t="s">
        <v>126</v>
      </c>
      <c r="C4015">
        <v>2400</v>
      </c>
      <c r="D4015" t="s">
        <v>20</v>
      </c>
      <c r="E4015" t="s">
        <v>9</v>
      </c>
      <c r="F4015" s="5">
        <v>42736</v>
      </c>
      <c r="G4015">
        <v>36</v>
      </c>
    </row>
    <row r="4016" spans="1:7" x14ac:dyDescent="0.25">
      <c r="A4016" t="s">
        <v>123</v>
      </c>
      <c r="B4016" t="s">
        <v>126</v>
      </c>
      <c r="C4016">
        <v>2400</v>
      </c>
      <c r="D4016" t="s">
        <v>20</v>
      </c>
      <c r="E4016" t="s">
        <v>21</v>
      </c>
      <c r="F4016" s="5">
        <v>42370</v>
      </c>
      <c r="G4016">
        <v>0</v>
      </c>
    </row>
    <row r="4017" spans="1:7" x14ac:dyDescent="0.25">
      <c r="A4017" t="s">
        <v>123</v>
      </c>
      <c r="B4017" t="s">
        <v>126</v>
      </c>
      <c r="C4017">
        <v>2400</v>
      </c>
      <c r="D4017" t="s">
        <v>20</v>
      </c>
      <c r="E4017" t="s">
        <v>21</v>
      </c>
      <c r="F4017" s="5">
        <v>42736</v>
      </c>
      <c r="G4017">
        <v>0</v>
      </c>
    </row>
    <row r="4018" spans="1:7" x14ac:dyDescent="0.25">
      <c r="A4018" t="s">
        <v>123</v>
      </c>
      <c r="B4018" t="s">
        <v>126</v>
      </c>
      <c r="C4018">
        <v>2400</v>
      </c>
      <c r="D4018" t="s">
        <v>20</v>
      </c>
      <c r="E4018" t="s">
        <v>22</v>
      </c>
      <c r="F4018" s="5">
        <v>42370</v>
      </c>
      <c r="G4018">
        <v>1</v>
      </c>
    </row>
    <row r="4019" spans="1:7" x14ac:dyDescent="0.25">
      <c r="A4019" t="s">
        <v>123</v>
      </c>
      <c r="B4019" t="s">
        <v>126</v>
      </c>
      <c r="C4019">
        <v>2400</v>
      </c>
      <c r="D4019" t="s">
        <v>20</v>
      </c>
      <c r="E4019" t="s">
        <v>22</v>
      </c>
      <c r="F4019" s="5">
        <v>42736</v>
      </c>
      <c r="G4019">
        <v>5</v>
      </c>
    </row>
    <row r="4020" spans="1:7" x14ac:dyDescent="0.25">
      <c r="A4020" t="s">
        <v>123</v>
      </c>
      <c r="B4020" t="s">
        <v>126</v>
      </c>
      <c r="C4020">
        <v>2400</v>
      </c>
      <c r="D4020" t="s">
        <v>20</v>
      </c>
      <c r="E4020" t="s">
        <v>23</v>
      </c>
      <c r="F4020" s="5">
        <v>42370</v>
      </c>
      <c r="G4020">
        <v>3</v>
      </c>
    </row>
    <row r="4021" spans="1:7" x14ac:dyDescent="0.25">
      <c r="A4021" t="s">
        <v>123</v>
      </c>
      <c r="B4021" t="s">
        <v>126</v>
      </c>
      <c r="C4021">
        <v>2400</v>
      </c>
      <c r="D4021" t="s">
        <v>20</v>
      </c>
      <c r="E4021" t="s">
        <v>23</v>
      </c>
      <c r="F4021" s="5">
        <v>42736</v>
      </c>
      <c r="G4021">
        <v>8</v>
      </c>
    </row>
    <row r="4022" spans="1:7" x14ac:dyDescent="0.25">
      <c r="A4022" t="s">
        <v>123</v>
      </c>
      <c r="B4022" t="s">
        <v>126</v>
      </c>
      <c r="C4022">
        <v>2400</v>
      </c>
      <c r="D4022" t="s">
        <v>20</v>
      </c>
      <c r="E4022" t="s">
        <v>24</v>
      </c>
      <c r="F4022" s="5">
        <v>42370</v>
      </c>
      <c r="G4022">
        <v>0</v>
      </c>
    </row>
    <row r="4023" spans="1:7" x14ac:dyDescent="0.25">
      <c r="A4023" t="s">
        <v>123</v>
      </c>
      <c r="B4023" t="s">
        <v>126</v>
      </c>
      <c r="C4023">
        <v>2400</v>
      </c>
      <c r="D4023" t="s">
        <v>20</v>
      </c>
      <c r="E4023" t="s">
        <v>24</v>
      </c>
      <c r="F4023" s="5">
        <v>42736</v>
      </c>
      <c r="G4023">
        <v>0</v>
      </c>
    </row>
    <row r="4024" spans="1:7" x14ac:dyDescent="0.25">
      <c r="A4024" t="s">
        <v>123</v>
      </c>
      <c r="B4024" t="s">
        <v>126</v>
      </c>
      <c r="C4024">
        <v>2400</v>
      </c>
      <c r="D4024" t="s">
        <v>20</v>
      </c>
      <c r="E4024" t="s">
        <v>25</v>
      </c>
      <c r="F4024" s="5">
        <v>42370</v>
      </c>
      <c r="G4024">
        <v>0</v>
      </c>
    </row>
    <row r="4025" spans="1:7" x14ac:dyDescent="0.25">
      <c r="A4025" t="s">
        <v>123</v>
      </c>
      <c r="B4025" t="s">
        <v>126</v>
      </c>
      <c r="C4025">
        <v>2400</v>
      </c>
      <c r="D4025" t="s">
        <v>20</v>
      </c>
      <c r="E4025" t="s">
        <v>25</v>
      </c>
      <c r="F4025" s="5">
        <v>42736</v>
      </c>
      <c r="G4025">
        <v>0</v>
      </c>
    </row>
    <row r="4026" spans="1:7" x14ac:dyDescent="0.25">
      <c r="A4026" t="s">
        <v>123</v>
      </c>
      <c r="B4026" t="s">
        <v>126</v>
      </c>
      <c r="C4026">
        <v>2400</v>
      </c>
      <c r="D4026" t="s">
        <v>20</v>
      </c>
      <c r="E4026" t="s">
        <v>26</v>
      </c>
      <c r="F4026" s="5">
        <v>42370</v>
      </c>
      <c r="G4026">
        <v>160</v>
      </c>
    </row>
    <row r="4027" spans="1:7" x14ac:dyDescent="0.25">
      <c r="A4027" t="s">
        <v>123</v>
      </c>
      <c r="B4027" t="s">
        <v>126</v>
      </c>
      <c r="C4027">
        <v>2400</v>
      </c>
      <c r="D4027" t="s">
        <v>20</v>
      </c>
      <c r="E4027" t="s">
        <v>26</v>
      </c>
      <c r="F4027" s="5">
        <v>42736</v>
      </c>
      <c r="G4027">
        <v>246</v>
      </c>
    </row>
    <row r="4028" spans="1:7" x14ac:dyDescent="0.25">
      <c r="A4028" t="s">
        <v>123</v>
      </c>
      <c r="B4028" t="s">
        <v>126</v>
      </c>
      <c r="C4028">
        <v>2400</v>
      </c>
      <c r="D4028" t="s">
        <v>20</v>
      </c>
      <c r="E4028" t="s">
        <v>27</v>
      </c>
      <c r="F4028" s="5">
        <v>42370</v>
      </c>
      <c r="G4028">
        <v>2</v>
      </c>
    </row>
    <row r="4029" spans="1:7" x14ac:dyDescent="0.25">
      <c r="A4029" t="s">
        <v>123</v>
      </c>
      <c r="B4029" t="s">
        <v>126</v>
      </c>
      <c r="C4029">
        <v>2400</v>
      </c>
      <c r="D4029" t="s">
        <v>20</v>
      </c>
      <c r="E4029" t="s">
        <v>27</v>
      </c>
      <c r="F4029" s="5">
        <v>42736</v>
      </c>
      <c r="G4029">
        <v>7</v>
      </c>
    </row>
    <row r="4030" spans="1:7" x14ac:dyDescent="0.25">
      <c r="A4030" t="s">
        <v>123</v>
      </c>
      <c r="B4030" t="s">
        <v>126</v>
      </c>
      <c r="C4030">
        <v>2400</v>
      </c>
      <c r="D4030" t="s">
        <v>20</v>
      </c>
      <c r="E4030" t="s">
        <v>28</v>
      </c>
      <c r="F4030" s="5">
        <v>42370</v>
      </c>
      <c r="G4030">
        <v>0</v>
      </c>
    </row>
    <row r="4031" spans="1:7" x14ac:dyDescent="0.25">
      <c r="A4031" t="s">
        <v>123</v>
      </c>
      <c r="B4031" t="s">
        <v>126</v>
      </c>
      <c r="C4031">
        <v>2400</v>
      </c>
      <c r="D4031" t="s">
        <v>20</v>
      </c>
      <c r="E4031" t="s">
        <v>28</v>
      </c>
      <c r="F4031" s="5">
        <v>42736</v>
      </c>
      <c r="G4031">
        <v>0</v>
      </c>
    </row>
    <row r="4032" spans="1:7" x14ac:dyDescent="0.25">
      <c r="A4032" t="s">
        <v>123</v>
      </c>
      <c r="B4032" t="s">
        <v>126</v>
      </c>
      <c r="C4032">
        <v>2400</v>
      </c>
      <c r="D4032" t="s">
        <v>20</v>
      </c>
      <c r="E4032" t="s">
        <v>29</v>
      </c>
      <c r="F4032" s="5">
        <v>42370</v>
      </c>
      <c r="G4032">
        <v>162</v>
      </c>
    </row>
    <row r="4033" spans="1:7" x14ac:dyDescent="0.25">
      <c r="A4033" t="s">
        <v>123</v>
      </c>
      <c r="B4033" t="s">
        <v>126</v>
      </c>
      <c r="C4033">
        <v>2400</v>
      </c>
      <c r="D4033" t="s">
        <v>20</v>
      </c>
      <c r="E4033" t="s">
        <v>29</v>
      </c>
      <c r="F4033" s="5">
        <v>42736</v>
      </c>
      <c r="G4033">
        <v>257</v>
      </c>
    </row>
    <row r="4034" spans="1:7" x14ac:dyDescent="0.25">
      <c r="A4034" t="s">
        <v>123</v>
      </c>
      <c r="B4034" t="s">
        <v>126</v>
      </c>
      <c r="C4034">
        <v>2400</v>
      </c>
      <c r="D4034" t="s">
        <v>20</v>
      </c>
      <c r="E4034" t="s">
        <v>30</v>
      </c>
      <c r="F4034" s="5">
        <v>42370</v>
      </c>
      <c r="G4034">
        <v>159</v>
      </c>
    </row>
    <row r="4035" spans="1:7" x14ac:dyDescent="0.25">
      <c r="A4035" t="s">
        <v>123</v>
      </c>
      <c r="B4035" t="s">
        <v>126</v>
      </c>
      <c r="C4035">
        <v>2400</v>
      </c>
      <c r="D4035" t="s">
        <v>20</v>
      </c>
      <c r="E4035" t="s">
        <v>30</v>
      </c>
      <c r="F4035" s="5">
        <v>42736</v>
      </c>
      <c r="G4035">
        <v>252</v>
      </c>
    </row>
    <row r="4036" spans="1:7" x14ac:dyDescent="0.25">
      <c r="A4036" t="s">
        <v>123</v>
      </c>
      <c r="B4036" t="s">
        <v>126</v>
      </c>
      <c r="C4036">
        <v>2400</v>
      </c>
      <c r="D4036" t="s">
        <v>20</v>
      </c>
      <c r="E4036" t="s">
        <v>31</v>
      </c>
      <c r="F4036" s="5">
        <v>42370</v>
      </c>
      <c r="G4036">
        <v>276</v>
      </c>
    </row>
    <row r="4037" spans="1:7" x14ac:dyDescent="0.25">
      <c r="A4037" t="s">
        <v>123</v>
      </c>
      <c r="B4037" t="s">
        <v>126</v>
      </c>
      <c r="C4037">
        <v>2400</v>
      </c>
      <c r="D4037" t="s">
        <v>20</v>
      </c>
      <c r="E4037" t="s">
        <v>31</v>
      </c>
      <c r="F4037" s="5">
        <v>42736</v>
      </c>
      <c r="G4037">
        <v>434</v>
      </c>
    </row>
    <row r="4038" spans="1:7" x14ac:dyDescent="0.25">
      <c r="A4038" t="s">
        <v>123</v>
      </c>
      <c r="B4038" t="s">
        <v>126</v>
      </c>
      <c r="C4038">
        <v>2400</v>
      </c>
      <c r="D4038" t="s">
        <v>20</v>
      </c>
      <c r="E4038" t="s">
        <v>32</v>
      </c>
      <c r="F4038" s="5">
        <v>42370</v>
      </c>
      <c r="G4038">
        <v>159</v>
      </c>
    </row>
    <row r="4039" spans="1:7" x14ac:dyDescent="0.25">
      <c r="A4039" t="s">
        <v>123</v>
      </c>
      <c r="B4039" t="s">
        <v>126</v>
      </c>
      <c r="C4039">
        <v>2400</v>
      </c>
      <c r="D4039" t="s">
        <v>20</v>
      </c>
      <c r="E4039" t="s">
        <v>32</v>
      </c>
      <c r="F4039" s="5">
        <v>42736</v>
      </c>
      <c r="G4039">
        <v>259</v>
      </c>
    </row>
    <row r="4040" spans="1:7" x14ac:dyDescent="0.25">
      <c r="A4040" t="s">
        <v>123</v>
      </c>
      <c r="B4040" t="s">
        <v>126</v>
      </c>
      <c r="C4040">
        <v>2400</v>
      </c>
      <c r="D4040" t="s">
        <v>33</v>
      </c>
      <c r="E4040" t="s">
        <v>9</v>
      </c>
      <c r="F4040" s="5">
        <v>42370</v>
      </c>
      <c r="G4040">
        <v>0</v>
      </c>
    </row>
    <row r="4041" spans="1:7" x14ac:dyDescent="0.25">
      <c r="A4041" t="s">
        <v>123</v>
      </c>
      <c r="B4041" t="s">
        <v>126</v>
      </c>
      <c r="C4041">
        <v>2400</v>
      </c>
      <c r="D4041" t="s">
        <v>33</v>
      </c>
      <c r="E4041" t="s">
        <v>9</v>
      </c>
      <c r="F4041" s="5">
        <v>42736</v>
      </c>
      <c r="G4041">
        <v>0</v>
      </c>
    </row>
    <row r="4042" spans="1:7" x14ac:dyDescent="0.25">
      <c r="A4042" t="s">
        <v>123</v>
      </c>
      <c r="B4042" t="s">
        <v>126</v>
      </c>
      <c r="C4042">
        <v>2400</v>
      </c>
      <c r="D4042" t="s">
        <v>33</v>
      </c>
      <c r="E4042" t="s">
        <v>34</v>
      </c>
      <c r="F4042" s="5">
        <v>42370</v>
      </c>
      <c r="G4042">
        <v>0</v>
      </c>
    </row>
    <row r="4043" spans="1:7" x14ac:dyDescent="0.25">
      <c r="A4043" t="s">
        <v>123</v>
      </c>
      <c r="B4043" t="s">
        <v>126</v>
      </c>
      <c r="C4043">
        <v>2400</v>
      </c>
      <c r="D4043" t="s">
        <v>33</v>
      </c>
      <c r="E4043" t="s">
        <v>34</v>
      </c>
      <c r="F4043" s="5">
        <v>42736</v>
      </c>
      <c r="G4043">
        <v>0</v>
      </c>
    </row>
    <row r="4044" spans="1:7" x14ac:dyDescent="0.25">
      <c r="A4044" t="s">
        <v>123</v>
      </c>
      <c r="B4044" t="s">
        <v>126</v>
      </c>
      <c r="C4044">
        <v>2400</v>
      </c>
      <c r="D4044" t="s">
        <v>35</v>
      </c>
      <c r="E4044" t="s">
        <v>36</v>
      </c>
      <c r="F4044" s="5">
        <v>42370</v>
      </c>
      <c r="G4044">
        <v>0</v>
      </c>
    </row>
    <row r="4045" spans="1:7" x14ac:dyDescent="0.25">
      <c r="A4045" t="s">
        <v>123</v>
      </c>
      <c r="B4045" t="s">
        <v>126</v>
      </c>
      <c r="C4045">
        <v>2400</v>
      </c>
      <c r="D4045" t="s">
        <v>35</v>
      </c>
      <c r="E4045" t="s">
        <v>36</v>
      </c>
      <c r="F4045" s="5">
        <v>42736</v>
      </c>
      <c r="G4045">
        <v>0</v>
      </c>
    </row>
    <row r="4046" spans="1:7" x14ac:dyDescent="0.25">
      <c r="A4046" t="s">
        <v>123</v>
      </c>
      <c r="B4046" t="s">
        <v>126</v>
      </c>
      <c r="C4046">
        <v>2400</v>
      </c>
      <c r="D4046" t="s">
        <v>35</v>
      </c>
      <c r="E4046" t="s">
        <v>37</v>
      </c>
      <c r="F4046" s="5">
        <v>42370</v>
      </c>
      <c r="G4046">
        <v>0</v>
      </c>
    </row>
    <row r="4047" spans="1:7" x14ac:dyDescent="0.25">
      <c r="A4047" t="s">
        <v>123</v>
      </c>
      <c r="B4047" t="s">
        <v>126</v>
      </c>
      <c r="C4047">
        <v>2400</v>
      </c>
      <c r="D4047" t="s">
        <v>35</v>
      </c>
      <c r="E4047" t="s">
        <v>37</v>
      </c>
      <c r="F4047" s="5">
        <v>42736</v>
      </c>
      <c r="G4047">
        <v>0</v>
      </c>
    </row>
    <row r="4048" spans="1:7" x14ac:dyDescent="0.25">
      <c r="A4048" t="s">
        <v>123</v>
      </c>
      <c r="B4048" t="s">
        <v>126</v>
      </c>
      <c r="C4048">
        <v>2400</v>
      </c>
      <c r="D4048" t="s">
        <v>35</v>
      </c>
      <c r="E4048" t="s">
        <v>38</v>
      </c>
      <c r="F4048" s="5">
        <v>42370</v>
      </c>
      <c r="G4048">
        <v>0</v>
      </c>
    </row>
    <row r="4049" spans="1:7" x14ac:dyDescent="0.25">
      <c r="A4049" t="s">
        <v>123</v>
      </c>
      <c r="B4049" t="s">
        <v>126</v>
      </c>
      <c r="C4049">
        <v>2400</v>
      </c>
      <c r="D4049" t="s">
        <v>35</v>
      </c>
      <c r="E4049" t="s">
        <v>38</v>
      </c>
      <c r="F4049" s="5">
        <v>42736</v>
      </c>
      <c r="G4049">
        <v>0</v>
      </c>
    </row>
    <row r="4050" spans="1:7" x14ac:dyDescent="0.25">
      <c r="A4050" t="s">
        <v>123</v>
      </c>
      <c r="B4050" t="s">
        <v>126</v>
      </c>
      <c r="C4050">
        <v>2400</v>
      </c>
      <c r="D4050" t="s">
        <v>35</v>
      </c>
      <c r="E4050" t="s">
        <v>39</v>
      </c>
      <c r="F4050" s="5">
        <v>42370</v>
      </c>
      <c r="G4050">
        <v>0</v>
      </c>
    </row>
    <row r="4051" spans="1:7" x14ac:dyDescent="0.25">
      <c r="A4051" t="s">
        <v>123</v>
      </c>
      <c r="B4051" t="s">
        <v>126</v>
      </c>
      <c r="C4051">
        <v>2400</v>
      </c>
      <c r="D4051" t="s">
        <v>35</v>
      </c>
      <c r="E4051" t="s">
        <v>39</v>
      </c>
      <c r="F4051" s="5">
        <v>42736</v>
      </c>
      <c r="G4051">
        <v>0</v>
      </c>
    </row>
    <row r="4052" spans="1:7" x14ac:dyDescent="0.25">
      <c r="A4052" t="s">
        <v>123</v>
      </c>
      <c r="B4052" t="s">
        <v>126</v>
      </c>
      <c r="C4052">
        <v>2400</v>
      </c>
      <c r="D4052" t="s">
        <v>35</v>
      </c>
      <c r="E4052" t="s">
        <v>40</v>
      </c>
      <c r="F4052" s="5">
        <v>42370</v>
      </c>
      <c r="G4052">
        <v>0</v>
      </c>
    </row>
    <row r="4053" spans="1:7" x14ac:dyDescent="0.25">
      <c r="A4053" t="s">
        <v>123</v>
      </c>
      <c r="B4053" t="s">
        <v>126</v>
      </c>
      <c r="C4053">
        <v>2400</v>
      </c>
      <c r="D4053" t="s">
        <v>35</v>
      </c>
      <c r="E4053" t="s">
        <v>40</v>
      </c>
      <c r="F4053" s="5">
        <v>42736</v>
      </c>
      <c r="G4053">
        <v>0</v>
      </c>
    </row>
    <row r="4054" spans="1:7" x14ac:dyDescent="0.25">
      <c r="A4054" t="s">
        <v>123</v>
      </c>
      <c r="B4054" t="s">
        <v>126</v>
      </c>
      <c r="C4054">
        <v>2400</v>
      </c>
      <c r="D4054" t="s">
        <v>35</v>
      </c>
      <c r="E4054" t="s">
        <v>41</v>
      </c>
      <c r="F4054" s="5">
        <v>42370</v>
      </c>
      <c r="G4054">
        <v>1</v>
      </c>
    </row>
    <row r="4055" spans="1:7" x14ac:dyDescent="0.25">
      <c r="A4055" t="s">
        <v>123</v>
      </c>
      <c r="B4055" t="s">
        <v>126</v>
      </c>
      <c r="C4055">
        <v>2400</v>
      </c>
      <c r="D4055" t="s">
        <v>35</v>
      </c>
      <c r="E4055" t="s">
        <v>41</v>
      </c>
      <c r="F4055" s="5">
        <v>42736</v>
      </c>
      <c r="G4055">
        <v>0</v>
      </c>
    </row>
    <row r="4056" spans="1:7" x14ac:dyDescent="0.25">
      <c r="A4056" t="s">
        <v>123</v>
      </c>
      <c r="B4056" t="s">
        <v>126</v>
      </c>
      <c r="C4056">
        <v>2400</v>
      </c>
      <c r="D4056" t="s">
        <v>35</v>
      </c>
      <c r="E4056" t="s">
        <v>42</v>
      </c>
      <c r="F4056" s="5">
        <v>42370</v>
      </c>
      <c r="G4056">
        <v>0</v>
      </c>
    </row>
    <row r="4057" spans="1:7" x14ac:dyDescent="0.25">
      <c r="A4057" t="s">
        <v>123</v>
      </c>
      <c r="B4057" t="s">
        <v>126</v>
      </c>
      <c r="C4057">
        <v>2400</v>
      </c>
      <c r="D4057" t="s">
        <v>35</v>
      </c>
      <c r="E4057" t="s">
        <v>42</v>
      </c>
      <c r="F4057" s="5">
        <v>42736</v>
      </c>
      <c r="G4057">
        <v>0</v>
      </c>
    </row>
    <row r="4058" spans="1:7" x14ac:dyDescent="0.25">
      <c r="A4058" t="s">
        <v>123</v>
      </c>
      <c r="B4058" t="s">
        <v>126</v>
      </c>
      <c r="C4058">
        <v>2400</v>
      </c>
      <c r="D4058" t="s">
        <v>35</v>
      </c>
      <c r="E4058" t="s">
        <v>43</v>
      </c>
      <c r="F4058" s="5">
        <v>42370</v>
      </c>
      <c r="G4058">
        <v>1</v>
      </c>
    </row>
    <row r="4059" spans="1:7" x14ac:dyDescent="0.25">
      <c r="A4059" t="s">
        <v>123</v>
      </c>
      <c r="B4059" t="s">
        <v>126</v>
      </c>
      <c r="C4059">
        <v>2400</v>
      </c>
      <c r="D4059" t="s">
        <v>35</v>
      </c>
      <c r="E4059" t="s">
        <v>43</v>
      </c>
      <c r="F4059" s="5">
        <v>42736</v>
      </c>
      <c r="G4059">
        <v>0</v>
      </c>
    </row>
    <row r="4060" spans="1:7" x14ac:dyDescent="0.25">
      <c r="A4060" t="s">
        <v>123</v>
      </c>
      <c r="B4060" t="s">
        <v>126</v>
      </c>
      <c r="C4060">
        <v>2400</v>
      </c>
      <c r="D4060" t="s">
        <v>44</v>
      </c>
      <c r="E4060" t="s">
        <v>36</v>
      </c>
      <c r="F4060" s="5">
        <v>42370</v>
      </c>
      <c r="G4060">
        <v>0</v>
      </c>
    </row>
    <row r="4061" spans="1:7" x14ac:dyDescent="0.25">
      <c r="A4061" t="s">
        <v>123</v>
      </c>
      <c r="B4061" t="s">
        <v>126</v>
      </c>
      <c r="C4061">
        <v>2400</v>
      </c>
      <c r="D4061" t="s">
        <v>44</v>
      </c>
      <c r="E4061" t="s">
        <v>36</v>
      </c>
      <c r="F4061" s="5">
        <v>42736</v>
      </c>
      <c r="G4061">
        <v>0</v>
      </c>
    </row>
    <row r="4062" spans="1:7" x14ac:dyDescent="0.25">
      <c r="A4062" t="s">
        <v>123</v>
      </c>
      <c r="B4062" t="s">
        <v>126</v>
      </c>
      <c r="C4062">
        <v>2400</v>
      </c>
      <c r="D4062" t="s">
        <v>44</v>
      </c>
      <c r="E4062" t="s">
        <v>37</v>
      </c>
      <c r="F4062" s="5">
        <v>42370</v>
      </c>
      <c r="G4062">
        <v>0</v>
      </c>
    </row>
    <row r="4063" spans="1:7" x14ac:dyDescent="0.25">
      <c r="A4063" t="s">
        <v>123</v>
      </c>
      <c r="B4063" t="s">
        <v>126</v>
      </c>
      <c r="C4063">
        <v>2400</v>
      </c>
      <c r="D4063" t="s">
        <v>44</v>
      </c>
      <c r="E4063" t="s">
        <v>37</v>
      </c>
      <c r="F4063" s="5">
        <v>42736</v>
      </c>
      <c r="G4063">
        <v>0</v>
      </c>
    </row>
    <row r="4064" spans="1:7" x14ac:dyDescent="0.25">
      <c r="A4064" t="s">
        <v>123</v>
      </c>
      <c r="B4064" t="s">
        <v>126</v>
      </c>
      <c r="C4064">
        <v>2400</v>
      </c>
      <c r="D4064" t="s">
        <v>44</v>
      </c>
      <c r="E4064" t="s">
        <v>38</v>
      </c>
      <c r="F4064" s="5">
        <v>42370</v>
      </c>
      <c r="G4064">
        <v>0</v>
      </c>
    </row>
    <row r="4065" spans="1:7" x14ac:dyDescent="0.25">
      <c r="A4065" t="s">
        <v>123</v>
      </c>
      <c r="B4065" t="s">
        <v>126</v>
      </c>
      <c r="C4065">
        <v>2400</v>
      </c>
      <c r="D4065" t="s">
        <v>44</v>
      </c>
      <c r="E4065" t="s">
        <v>38</v>
      </c>
      <c r="F4065" s="5">
        <v>42736</v>
      </c>
      <c r="G4065">
        <v>0</v>
      </c>
    </row>
    <row r="4066" spans="1:7" x14ac:dyDescent="0.25">
      <c r="A4066" t="s">
        <v>123</v>
      </c>
      <c r="B4066" t="s">
        <v>126</v>
      </c>
      <c r="C4066">
        <v>2400</v>
      </c>
      <c r="D4066" t="s">
        <v>44</v>
      </c>
      <c r="E4066" t="s">
        <v>39</v>
      </c>
      <c r="F4066" s="5">
        <v>42370</v>
      </c>
      <c r="G4066">
        <v>0</v>
      </c>
    </row>
    <row r="4067" spans="1:7" x14ac:dyDescent="0.25">
      <c r="A4067" t="s">
        <v>123</v>
      </c>
      <c r="B4067" t="s">
        <v>126</v>
      </c>
      <c r="C4067">
        <v>2400</v>
      </c>
      <c r="D4067" t="s">
        <v>44</v>
      </c>
      <c r="E4067" t="s">
        <v>39</v>
      </c>
      <c r="F4067" s="5">
        <v>42736</v>
      </c>
      <c r="G4067">
        <v>0</v>
      </c>
    </row>
    <row r="4068" spans="1:7" x14ac:dyDescent="0.25">
      <c r="A4068" t="s">
        <v>123</v>
      </c>
      <c r="B4068" t="s">
        <v>126</v>
      </c>
      <c r="C4068">
        <v>2400</v>
      </c>
      <c r="D4068" t="s">
        <v>44</v>
      </c>
      <c r="E4068" t="s">
        <v>40</v>
      </c>
      <c r="F4068" s="5">
        <v>42370</v>
      </c>
      <c r="G4068">
        <v>0</v>
      </c>
    </row>
    <row r="4069" spans="1:7" x14ac:dyDescent="0.25">
      <c r="A4069" t="s">
        <v>123</v>
      </c>
      <c r="B4069" t="s">
        <v>126</v>
      </c>
      <c r="C4069">
        <v>2400</v>
      </c>
      <c r="D4069" t="s">
        <v>44</v>
      </c>
      <c r="E4069" t="s">
        <v>40</v>
      </c>
      <c r="F4069" s="5">
        <v>42736</v>
      </c>
      <c r="G4069">
        <v>0</v>
      </c>
    </row>
    <row r="4070" spans="1:7" x14ac:dyDescent="0.25">
      <c r="A4070" t="s">
        <v>123</v>
      </c>
      <c r="B4070" t="s">
        <v>126</v>
      </c>
      <c r="C4070">
        <v>2400</v>
      </c>
      <c r="D4070" t="s">
        <v>44</v>
      </c>
      <c r="E4070" t="s">
        <v>41</v>
      </c>
      <c r="F4070" s="5">
        <v>42370</v>
      </c>
      <c r="G4070">
        <v>0</v>
      </c>
    </row>
    <row r="4071" spans="1:7" x14ac:dyDescent="0.25">
      <c r="A4071" t="s">
        <v>123</v>
      </c>
      <c r="B4071" t="s">
        <v>126</v>
      </c>
      <c r="C4071">
        <v>2400</v>
      </c>
      <c r="D4071" t="s">
        <v>44</v>
      </c>
      <c r="E4071" t="s">
        <v>41</v>
      </c>
      <c r="F4071" s="5">
        <v>42736</v>
      </c>
      <c r="G4071">
        <v>0</v>
      </c>
    </row>
    <row r="4072" spans="1:7" x14ac:dyDescent="0.25">
      <c r="A4072" t="s">
        <v>123</v>
      </c>
      <c r="B4072" t="s">
        <v>126</v>
      </c>
      <c r="C4072">
        <v>2400</v>
      </c>
      <c r="D4072" t="s">
        <v>44</v>
      </c>
      <c r="E4072" t="s">
        <v>42</v>
      </c>
      <c r="F4072" s="5">
        <v>42370</v>
      </c>
      <c r="G4072">
        <v>0</v>
      </c>
    </row>
    <row r="4073" spans="1:7" x14ac:dyDescent="0.25">
      <c r="A4073" t="s">
        <v>123</v>
      </c>
      <c r="B4073" t="s">
        <v>126</v>
      </c>
      <c r="C4073">
        <v>2400</v>
      </c>
      <c r="D4073" t="s">
        <v>44</v>
      </c>
      <c r="E4073" t="s">
        <v>42</v>
      </c>
      <c r="F4073" s="5">
        <v>42736</v>
      </c>
      <c r="G4073">
        <v>0</v>
      </c>
    </row>
    <row r="4074" spans="1:7" x14ac:dyDescent="0.25">
      <c r="A4074" t="s">
        <v>123</v>
      </c>
      <c r="B4074" t="s">
        <v>126</v>
      </c>
      <c r="C4074">
        <v>2400</v>
      </c>
      <c r="D4074" t="s">
        <v>44</v>
      </c>
      <c r="E4074" t="s">
        <v>43</v>
      </c>
      <c r="F4074" s="5">
        <v>42370</v>
      </c>
      <c r="G4074">
        <v>0</v>
      </c>
    </row>
    <row r="4075" spans="1:7" x14ac:dyDescent="0.25">
      <c r="A4075" t="s">
        <v>123</v>
      </c>
      <c r="B4075" t="s">
        <v>126</v>
      </c>
      <c r="C4075">
        <v>2400</v>
      </c>
      <c r="D4075" t="s">
        <v>44</v>
      </c>
      <c r="E4075" t="s">
        <v>43</v>
      </c>
      <c r="F4075" s="5">
        <v>42736</v>
      </c>
      <c r="G4075">
        <v>0</v>
      </c>
    </row>
    <row r="4076" spans="1:7" x14ac:dyDescent="0.25">
      <c r="A4076" t="s">
        <v>123</v>
      </c>
      <c r="B4076" t="s">
        <v>126</v>
      </c>
      <c r="C4076">
        <v>2400</v>
      </c>
      <c r="D4076" t="s">
        <v>45</v>
      </c>
      <c r="E4076" t="s">
        <v>46</v>
      </c>
      <c r="F4076" s="5">
        <v>42370</v>
      </c>
      <c r="G4076">
        <v>0</v>
      </c>
    </row>
    <row r="4077" spans="1:7" x14ac:dyDescent="0.25">
      <c r="A4077" t="s">
        <v>123</v>
      </c>
      <c r="B4077" t="s">
        <v>126</v>
      </c>
      <c r="C4077">
        <v>2400</v>
      </c>
      <c r="D4077" t="s">
        <v>45</v>
      </c>
      <c r="E4077" t="s">
        <v>46</v>
      </c>
      <c r="F4077" s="5">
        <v>42736</v>
      </c>
      <c r="G4077">
        <v>0</v>
      </c>
    </row>
    <row r="4078" spans="1:7" x14ac:dyDescent="0.25">
      <c r="A4078" t="s">
        <v>123</v>
      </c>
      <c r="B4078" t="s">
        <v>126</v>
      </c>
      <c r="C4078">
        <v>2400</v>
      </c>
      <c r="D4078" t="s">
        <v>45</v>
      </c>
      <c r="E4078" t="s">
        <v>47</v>
      </c>
      <c r="F4078" s="5">
        <v>42370</v>
      </c>
      <c r="G4078">
        <v>0</v>
      </c>
    </row>
    <row r="4079" spans="1:7" x14ac:dyDescent="0.25">
      <c r="A4079" t="s">
        <v>123</v>
      </c>
      <c r="B4079" t="s">
        <v>126</v>
      </c>
      <c r="C4079">
        <v>2400</v>
      </c>
      <c r="D4079" t="s">
        <v>45</v>
      </c>
      <c r="E4079" t="s">
        <v>47</v>
      </c>
      <c r="F4079" s="5">
        <v>42736</v>
      </c>
      <c r="G4079">
        <v>6</v>
      </c>
    </row>
    <row r="4080" spans="1:7" x14ac:dyDescent="0.25">
      <c r="A4080" t="s">
        <v>123</v>
      </c>
      <c r="B4080" t="s">
        <v>126</v>
      </c>
      <c r="C4080">
        <v>2400</v>
      </c>
      <c r="D4080" t="s">
        <v>45</v>
      </c>
      <c r="E4080" t="s">
        <v>48</v>
      </c>
      <c r="F4080" s="5">
        <v>42370</v>
      </c>
      <c r="G4080">
        <v>85</v>
      </c>
    </row>
    <row r="4081" spans="1:7" x14ac:dyDescent="0.25">
      <c r="A4081" t="s">
        <v>123</v>
      </c>
      <c r="B4081" t="s">
        <v>126</v>
      </c>
      <c r="C4081">
        <v>2400</v>
      </c>
      <c r="D4081" t="s">
        <v>45</v>
      </c>
      <c r="E4081" t="s">
        <v>48</v>
      </c>
      <c r="F4081" s="5">
        <v>42736</v>
      </c>
      <c r="G4081">
        <v>81</v>
      </c>
    </row>
    <row r="4082" spans="1:7" x14ac:dyDescent="0.25">
      <c r="A4082" t="s">
        <v>123</v>
      </c>
      <c r="B4082" t="s">
        <v>126</v>
      </c>
      <c r="C4082">
        <v>2400</v>
      </c>
      <c r="D4082" t="s">
        <v>45</v>
      </c>
      <c r="E4082" t="s">
        <v>49</v>
      </c>
      <c r="F4082" s="5">
        <v>42370</v>
      </c>
      <c r="G4082">
        <v>85</v>
      </c>
    </row>
    <row r="4083" spans="1:7" x14ac:dyDescent="0.25">
      <c r="A4083" t="s">
        <v>123</v>
      </c>
      <c r="B4083" t="s">
        <v>126</v>
      </c>
      <c r="C4083">
        <v>2400</v>
      </c>
      <c r="D4083" t="s">
        <v>45</v>
      </c>
      <c r="E4083" t="s">
        <v>49</v>
      </c>
      <c r="F4083" s="5">
        <v>42736</v>
      </c>
      <c r="G4083">
        <v>125</v>
      </c>
    </row>
    <row r="4084" spans="1:7" x14ac:dyDescent="0.25">
      <c r="A4084" t="s">
        <v>123</v>
      </c>
      <c r="B4084" t="s">
        <v>126</v>
      </c>
      <c r="C4084">
        <v>2400</v>
      </c>
      <c r="D4084" t="s">
        <v>45</v>
      </c>
      <c r="E4084" t="s">
        <v>50</v>
      </c>
      <c r="F4084" s="5">
        <v>42370</v>
      </c>
      <c r="G4084">
        <v>0</v>
      </c>
    </row>
    <row r="4085" spans="1:7" x14ac:dyDescent="0.25">
      <c r="A4085" t="s">
        <v>123</v>
      </c>
      <c r="B4085" t="s">
        <v>126</v>
      </c>
      <c r="C4085">
        <v>2400</v>
      </c>
      <c r="D4085" t="s">
        <v>45</v>
      </c>
      <c r="E4085" t="s">
        <v>50</v>
      </c>
      <c r="F4085" s="5">
        <v>42736</v>
      </c>
      <c r="G4085">
        <v>0</v>
      </c>
    </row>
    <row r="4086" spans="1:7" x14ac:dyDescent="0.25">
      <c r="A4086" t="s">
        <v>123</v>
      </c>
      <c r="B4086" t="s">
        <v>126</v>
      </c>
      <c r="C4086">
        <v>2400</v>
      </c>
      <c r="D4086" t="s">
        <v>45</v>
      </c>
      <c r="E4086" t="s">
        <v>51</v>
      </c>
      <c r="F4086" s="5">
        <v>42370</v>
      </c>
      <c r="G4086">
        <v>0</v>
      </c>
    </row>
    <row r="4087" spans="1:7" x14ac:dyDescent="0.25">
      <c r="A4087" t="s">
        <v>123</v>
      </c>
      <c r="B4087" t="s">
        <v>126</v>
      </c>
      <c r="C4087">
        <v>2400</v>
      </c>
      <c r="D4087" t="s">
        <v>45</v>
      </c>
      <c r="E4087" t="s">
        <v>51</v>
      </c>
      <c r="F4087" s="5">
        <v>42736</v>
      </c>
      <c r="G4087">
        <v>0</v>
      </c>
    </row>
    <row r="4088" spans="1:7" x14ac:dyDescent="0.25">
      <c r="A4088" t="s">
        <v>123</v>
      </c>
      <c r="B4088" t="s">
        <v>126</v>
      </c>
      <c r="C4088">
        <v>2400</v>
      </c>
      <c r="D4088" t="s">
        <v>45</v>
      </c>
      <c r="E4088" t="s">
        <v>52</v>
      </c>
      <c r="F4088" s="5">
        <v>42370</v>
      </c>
      <c r="G4088">
        <v>0</v>
      </c>
    </row>
    <row r="4089" spans="1:7" x14ac:dyDescent="0.25">
      <c r="A4089" t="s">
        <v>123</v>
      </c>
      <c r="B4089" t="s">
        <v>126</v>
      </c>
      <c r="C4089">
        <v>2400</v>
      </c>
      <c r="D4089" t="s">
        <v>45</v>
      </c>
      <c r="E4089" t="s">
        <v>52</v>
      </c>
      <c r="F4089" s="5">
        <v>42736</v>
      </c>
      <c r="G4089">
        <v>0</v>
      </c>
    </row>
    <row r="4090" spans="1:7" x14ac:dyDescent="0.25">
      <c r="A4090" t="s">
        <v>123</v>
      </c>
      <c r="B4090" t="s">
        <v>126</v>
      </c>
      <c r="C4090">
        <v>2400</v>
      </c>
      <c r="D4090" t="s">
        <v>45</v>
      </c>
      <c r="E4090" t="s">
        <v>53</v>
      </c>
      <c r="F4090" s="5">
        <v>42370</v>
      </c>
      <c r="G4090">
        <v>36</v>
      </c>
    </row>
    <row r="4091" spans="1:7" x14ac:dyDescent="0.25">
      <c r="A4091" t="s">
        <v>123</v>
      </c>
      <c r="B4091" t="s">
        <v>126</v>
      </c>
      <c r="C4091">
        <v>2400</v>
      </c>
      <c r="D4091" t="s">
        <v>45</v>
      </c>
      <c r="E4091" t="s">
        <v>53</v>
      </c>
      <c r="F4091" s="5">
        <v>42736</v>
      </c>
      <c r="G4091">
        <v>76</v>
      </c>
    </row>
    <row r="4092" spans="1:7" x14ac:dyDescent="0.25">
      <c r="A4092" t="s">
        <v>123</v>
      </c>
      <c r="B4092" t="s">
        <v>126</v>
      </c>
      <c r="C4092">
        <v>2400</v>
      </c>
      <c r="D4092" t="s">
        <v>45</v>
      </c>
      <c r="E4092" t="s">
        <v>54</v>
      </c>
      <c r="F4092" s="5">
        <v>42370</v>
      </c>
      <c r="G4092">
        <v>2</v>
      </c>
    </row>
    <row r="4093" spans="1:7" x14ac:dyDescent="0.25">
      <c r="A4093" t="s">
        <v>123</v>
      </c>
      <c r="B4093" t="s">
        <v>126</v>
      </c>
      <c r="C4093">
        <v>2400</v>
      </c>
      <c r="D4093" t="s">
        <v>45</v>
      </c>
      <c r="E4093" t="s">
        <v>54</v>
      </c>
      <c r="F4093" s="5">
        <v>42736</v>
      </c>
      <c r="G4093">
        <v>2</v>
      </c>
    </row>
    <row r="4094" spans="1:7" x14ac:dyDescent="0.25">
      <c r="A4094" t="s">
        <v>123</v>
      </c>
      <c r="B4094" t="s">
        <v>126</v>
      </c>
      <c r="C4094">
        <v>2400</v>
      </c>
      <c r="D4094" t="s">
        <v>45</v>
      </c>
      <c r="E4094" t="s">
        <v>55</v>
      </c>
      <c r="F4094" s="5">
        <v>42370</v>
      </c>
      <c r="G4094">
        <v>0</v>
      </c>
    </row>
    <row r="4095" spans="1:7" x14ac:dyDescent="0.25">
      <c r="A4095" t="s">
        <v>123</v>
      </c>
      <c r="B4095" t="s">
        <v>126</v>
      </c>
      <c r="C4095">
        <v>2400</v>
      </c>
      <c r="D4095" t="s">
        <v>45</v>
      </c>
      <c r="E4095" t="s">
        <v>55</v>
      </c>
      <c r="F4095" s="5">
        <v>42736</v>
      </c>
      <c r="G4095">
        <v>0</v>
      </c>
    </row>
    <row r="4096" spans="1:7" x14ac:dyDescent="0.25">
      <c r="A4096" t="s">
        <v>123</v>
      </c>
      <c r="B4096" t="s">
        <v>126</v>
      </c>
      <c r="C4096">
        <v>2400</v>
      </c>
      <c r="D4096" t="s">
        <v>45</v>
      </c>
      <c r="E4096" t="s">
        <v>56</v>
      </c>
      <c r="F4096" s="5">
        <v>42370</v>
      </c>
      <c r="G4096">
        <v>6</v>
      </c>
    </row>
    <row r="4097" spans="1:7" x14ac:dyDescent="0.25">
      <c r="A4097" t="s">
        <v>123</v>
      </c>
      <c r="B4097" t="s">
        <v>126</v>
      </c>
      <c r="C4097">
        <v>2400</v>
      </c>
      <c r="D4097" t="s">
        <v>45</v>
      </c>
      <c r="E4097" t="s">
        <v>56</v>
      </c>
      <c r="F4097" s="5">
        <v>42736</v>
      </c>
      <c r="G4097">
        <v>0</v>
      </c>
    </row>
    <row r="4098" spans="1:7" x14ac:dyDescent="0.25">
      <c r="A4098" t="s">
        <v>123</v>
      </c>
      <c r="B4098" t="s">
        <v>126</v>
      </c>
      <c r="C4098">
        <v>2400</v>
      </c>
      <c r="D4098" t="s">
        <v>45</v>
      </c>
      <c r="E4098" t="s">
        <v>57</v>
      </c>
      <c r="F4098" s="5">
        <v>42370</v>
      </c>
      <c r="G4098">
        <v>0</v>
      </c>
    </row>
    <row r="4099" spans="1:7" x14ac:dyDescent="0.25">
      <c r="A4099" t="s">
        <v>123</v>
      </c>
      <c r="B4099" t="s">
        <v>126</v>
      </c>
      <c r="C4099">
        <v>2400</v>
      </c>
      <c r="D4099" t="s">
        <v>45</v>
      </c>
      <c r="E4099" t="s">
        <v>57</v>
      </c>
      <c r="F4099" s="5">
        <v>42736</v>
      </c>
      <c r="G4099">
        <v>0</v>
      </c>
    </row>
    <row r="4100" spans="1:7" x14ac:dyDescent="0.25">
      <c r="A4100" t="s">
        <v>123</v>
      </c>
      <c r="B4100" t="s">
        <v>126</v>
      </c>
      <c r="C4100">
        <v>2400</v>
      </c>
      <c r="D4100" t="s">
        <v>45</v>
      </c>
      <c r="E4100" t="s">
        <v>58</v>
      </c>
      <c r="F4100" s="5">
        <v>42370</v>
      </c>
      <c r="G4100">
        <v>0</v>
      </c>
    </row>
    <row r="4101" spans="1:7" x14ac:dyDescent="0.25">
      <c r="A4101" t="s">
        <v>123</v>
      </c>
      <c r="B4101" t="s">
        <v>126</v>
      </c>
      <c r="C4101">
        <v>2400</v>
      </c>
      <c r="D4101" t="s">
        <v>45</v>
      </c>
      <c r="E4101" t="s">
        <v>58</v>
      </c>
      <c r="F4101" s="5">
        <v>42736</v>
      </c>
      <c r="G4101">
        <v>0</v>
      </c>
    </row>
    <row r="4102" spans="1:7" x14ac:dyDescent="0.25">
      <c r="A4102" t="s">
        <v>123</v>
      </c>
      <c r="B4102" t="s">
        <v>126</v>
      </c>
      <c r="C4102">
        <v>2400</v>
      </c>
      <c r="D4102" t="s">
        <v>45</v>
      </c>
      <c r="E4102" t="s">
        <v>59</v>
      </c>
      <c r="F4102" s="5">
        <v>42370</v>
      </c>
      <c r="G4102">
        <v>0</v>
      </c>
    </row>
    <row r="4103" spans="1:7" x14ac:dyDescent="0.25">
      <c r="A4103" t="s">
        <v>123</v>
      </c>
      <c r="B4103" t="s">
        <v>126</v>
      </c>
      <c r="C4103">
        <v>2400</v>
      </c>
      <c r="D4103" t="s">
        <v>45</v>
      </c>
      <c r="E4103" t="s">
        <v>59</v>
      </c>
      <c r="F4103" s="5">
        <v>42736</v>
      </c>
      <c r="G4103">
        <v>0</v>
      </c>
    </row>
    <row r="4104" spans="1:7" x14ac:dyDescent="0.25">
      <c r="A4104" t="s">
        <v>123</v>
      </c>
      <c r="B4104" t="s">
        <v>126</v>
      </c>
      <c r="C4104">
        <v>2400</v>
      </c>
      <c r="D4104" t="s">
        <v>45</v>
      </c>
      <c r="E4104" t="s">
        <v>60</v>
      </c>
      <c r="F4104" s="5">
        <v>42370</v>
      </c>
      <c r="G4104">
        <v>4</v>
      </c>
    </row>
    <row r="4105" spans="1:7" x14ac:dyDescent="0.25">
      <c r="A4105" t="s">
        <v>123</v>
      </c>
      <c r="B4105" t="s">
        <v>126</v>
      </c>
      <c r="C4105">
        <v>2400</v>
      </c>
      <c r="D4105" t="s">
        <v>45</v>
      </c>
      <c r="E4105" t="s">
        <v>60</v>
      </c>
      <c r="F4105" s="5">
        <v>42736</v>
      </c>
      <c r="G4105">
        <v>2</v>
      </c>
    </row>
    <row r="4106" spans="1:7" x14ac:dyDescent="0.25">
      <c r="A4106" t="s">
        <v>123</v>
      </c>
      <c r="B4106" t="s">
        <v>126</v>
      </c>
      <c r="C4106">
        <v>2400</v>
      </c>
      <c r="D4106" t="s">
        <v>45</v>
      </c>
      <c r="E4106" t="s">
        <v>61</v>
      </c>
      <c r="F4106" s="5">
        <v>42370</v>
      </c>
      <c r="G4106">
        <v>1</v>
      </c>
    </row>
    <row r="4107" spans="1:7" x14ac:dyDescent="0.25">
      <c r="A4107" t="s">
        <v>123</v>
      </c>
      <c r="B4107" t="s">
        <v>126</v>
      </c>
      <c r="C4107">
        <v>2400</v>
      </c>
      <c r="D4107" t="s">
        <v>45</v>
      </c>
      <c r="E4107" t="s">
        <v>61</v>
      </c>
      <c r="F4107" s="5">
        <v>42736</v>
      </c>
      <c r="G4107">
        <v>0</v>
      </c>
    </row>
    <row r="4108" spans="1:7" x14ac:dyDescent="0.25">
      <c r="A4108" t="s">
        <v>123</v>
      </c>
      <c r="B4108" t="s">
        <v>126</v>
      </c>
      <c r="C4108">
        <v>2400</v>
      </c>
      <c r="D4108" t="s">
        <v>62</v>
      </c>
      <c r="E4108" t="s">
        <v>63</v>
      </c>
      <c r="F4108" s="5">
        <v>42370</v>
      </c>
      <c r="G4108">
        <v>0</v>
      </c>
    </row>
    <row r="4109" spans="1:7" x14ac:dyDescent="0.25">
      <c r="A4109" t="s">
        <v>123</v>
      </c>
      <c r="B4109" t="s">
        <v>126</v>
      </c>
      <c r="C4109">
        <v>2400</v>
      </c>
      <c r="D4109" t="s">
        <v>62</v>
      </c>
      <c r="E4109" t="s">
        <v>63</v>
      </c>
      <c r="F4109" s="5">
        <v>42736</v>
      </c>
      <c r="G4109">
        <v>0</v>
      </c>
    </row>
    <row r="4110" spans="1:7" x14ac:dyDescent="0.25">
      <c r="A4110" t="s">
        <v>123</v>
      </c>
      <c r="B4110" t="s">
        <v>126</v>
      </c>
      <c r="C4110">
        <v>2400</v>
      </c>
      <c r="D4110" t="s">
        <v>62</v>
      </c>
      <c r="E4110" t="s">
        <v>64</v>
      </c>
      <c r="F4110" s="5">
        <v>42370</v>
      </c>
      <c r="G4110">
        <v>0</v>
      </c>
    </row>
    <row r="4111" spans="1:7" x14ac:dyDescent="0.25">
      <c r="A4111" t="s">
        <v>123</v>
      </c>
      <c r="B4111" t="s">
        <v>126</v>
      </c>
      <c r="C4111">
        <v>2400</v>
      </c>
      <c r="D4111" t="s">
        <v>62</v>
      </c>
      <c r="E4111" t="s">
        <v>64</v>
      </c>
      <c r="F4111" s="5">
        <v>42736</v>
      </c>
      <c r="G4111">
        <v>0</v>
      </c>
    </row>
    <row r="4112" spans="1:7" x14ac:dyDescent="0.25">
      <c r="A4112" t="s">
        <v>123</v>
      </c>
      <c r="B4112" t="s">
        <v>126</v>
      </c>
      <c r="C4112">
        <v>2400</v>
      </c>
      <c r="D4112" t="s">
        <v>62</v>
      </c>
      <c r="E4112" t="s">
        <v>9</v>
      </c>
      <c r="F4112" s="5">
        <v>42370</v>
      </c>
      <c r="G4112">
        <v>0</v>
      </c>
    </row>
    <row r="4113" spans="1:7" x14ac:dyDescent="0.25">
      <c r="A4113" t="s">
        <v>123</v>
      </c>
      <c r="B4113" t="s">
        <v>126</v>
      </c>
      <c r="C4113">
        <v>2400</v>
      </c>
      <c r="D4113" t="s">
        <v>62</v>
      </c>
      <c r="E4113" t="s">
        <v>9</v>
      </c>
      <c r="F4113" s="5">
        <v>42736</v>
      </c>
      <c r="G4113">
        <v>0</v>
      </c>
    </row>
    <row r="4114" spans="1:7" x14ac:dyDescent="0.25">
      <c r="A4114" t="s">
        <v>123</v>
      </c>
      <c r="B4114" t="s">
        <v>126</v>
      </c>
      <c r="C4114">
        <v>2400</v>
      </c>
      <c r="D4114" t="s">
        <v>62</v>
      </c>
      <c r="E4114" t="s">
        <v>65</v>
      </c>
      <c r="F4114" s="5">
        <v>42370</v>
      </c>
      <c r="G4114">
        <v>0</v>
      </c>
    </row>
    <row r="4115" spans="1:7" x14ac:dyDescent="0.25">
      <c r="A4115" t="s">
        <v>123</v>
      </c>
      <c r="B4115" t="s">
        <v>126</v>
      </c>
      <c r="C4115">
        <v>2400</v>
      </c>
      <c r="D4115" t="s">
        <v>62</v>
      </c>
      <c r="E4115" t="s">
        <v>65</v>
      </c>
      <c r="F4115" s="5">
        <v>42736</v>
      </c>
      <c r="G4115">
        <v>0</v>
      </c>
    </row>
    <row r="4116" spans="1:7" x14ac:dyDescent="0.25">
      <c r="A4116" t="s">
        <v>123</v>
      </c>
      <c r="B4116" t="s">
        <v>126</v>
      </c>
      <c r="C4116">
        <v>2400</v>
      </c>
      <c r="D4116" t="s">
        <v>62</v>
      </c>
      <c r="E4116" t="s">
        <v>66</v>
      </c>
      <c r="F4116" s="5">
        <v>42370</v>
      </c>
      <c r="G4116">
        <v>0</v>
      </c>
    </row>
    <row r="4117" spans="1:7" x14ac:dyDescent="0.25">
      <c r="A4117" t="s">
        <v>123</v>
      </c>
      <c r="B4117" t="s">
        <v>126</v>
      </c>
      <c r="C4117">
        <v>2400</v>
      </c>
      <c r="D4117" t="s">
        <v>62</v>
      </c>
      <c r="E4117" t="s">
        <v>66</v>
      </c>
      <c r="F4117" s="5">
        <v>42736</v>
      </c>
      <c r="G4117">
        <v>0</v>
      </c>
    </row>
    <row r="4118" spans="1:7" x14ac:dyDescent="0.25">
      <c r="A4118" t="s">
        <v>123</v>
      </c>
      <c r="B4118" t="s">
        <v>126</v>
      </c>
      <c r="C4118">
        <v>2400</v>
      </c>
      <c r="D4118" t="s">
        <v>62</v>
      </c>
      <c r="E4118" t="s">
        <v>67</v>
      </c>
      <c r="F4118" s="5">
        <v>42370</v>
      </c>
      <c r="G4118">
        <v>0</v>
      </c>
    </row>
    <row r="4119" spans="1:7" x14ac:dyDescent="0.25">
      <c r="A4119" t="s">
        <v>123</v>
      </c>
      <c r="B4119" t="s">
        <v>126</v>
      </c>
      <c r="C4119">
        <v>2400</v>
      </c>
      <c r="D4119" t="s">
        <v>62</v>
      </c>
      <c r="E4119" t="s">
        <v>67</v>
      </c>
      <c r="F4119" s="5">
        <v>42736</v>
      </c>
      <c r="G4119">
        <v>0</v>
      </c>
    </row>
    <row r="4120" spans="1:7" x14ac:dyDescent="0.25">
      <c r="A4120" t="s">
        <v>123</v>
      </c>
      <c r="B4120" t="s">
        <v>126</v>
      </c>
      <c r="C4120">
        <v>2400</v>
      </c>
      <c r="D4120" t="s">
        <v>62</v>
      </c>
      <c r="E4120" t="s">
        <v>68</v>
      </c>
      <c r="F4120" s="5">
        <v>42370</v>
      </c>
      <c r="G4120">
        <v>0</v>
      </c>
    </row>
    <row r="4121" spans="1:7" x14ac:dyDescent="0.25">
      <c r="A4121" t="s">
        <v>123</v>
      </c>
      <c r="B4121" t="s">
        <v>126</v>
      </c>
      <c r="C4121">
        <v>2400</v>
      </c>
      <c r="D4121" t="s">
        <v>62</v>
      </c>
      <c r="E4121" t="s">
        <v>68</v>
      </c>
      <c r="F4121" s="5">
        <v>42736</v>
      </c>
      <c r="G4121">
        <v>0</v>
      </c>
    </row>
    <row r="4122" spans="1:7" x14ac:dyDescent="0.25">
      <c r="A4122" t="s">
        <v>123</v>
      </c>
      <c r="B4122" t="s">
        <v>126</v>
      </c>
      <c r="C4122">
        <v>2400</v>
      </c>
      <c r="D4122" t="s">
        <v>62</v>
      </c>
      <c r="E4122" t="s">
        <v>69</v>
      </c>
      <c r="F4122" s="5">
        <v>42370</v>
      </c>
      <c r="G4122">
        <v>0</v>
      </c>
    </row>
    <row r="4123" spans="1:7" x14ac:dyDescent="0.25">
      <c r="A4123" t="s">
        <v>123</v>
      </c>
      <c r="B4123" t="s">
        <v>126</v>
      </c>
      <c r="C4123">
        <v>2400</v>
      </c>
      <c r="D4123" t="s">
        <v>62</v>
      </c>
      <c r="E4123" t="s">
        <v>69</v>
      </c>
      <c r="F4123" s="5">
        <v>42736</v>
      </c>
      <c r="G4123">
        <v>0</v>
      </c>
    </row>
    <row r="4124" spans="1:7" x14ac:dyDescent="0.25">
      <c r="A4124" t="s">
        <v>123</v>
      </c>
      <c r="B4124" t="s">
        <v>126</v>
      </c>
      <c r="C4124">
        <v>2400</v>
      </c>
      <c r="D4124" t="s">
        <v>62</v>
      </c>
      <c r="E4124" t="s">
        <v>70</v>
      </c>
      <c r="F4124" s="5">
        <v>42370</v>
      </c>
      <c r="G4124">
        <v>0</v>
      </c>
    </row>
    <row r="4125" spans="1:7" x14ac:dyDescent="0.25">
      <c r="A4125" t="s">
        <v>123</v>
      </c>
      <c r="B4125" t="s">
        <v>126</v>
      </c>
      <c r="C4125">
        <v>2400</v>
      </c>
      <c r="D4125" t="s">
        <v>62</v>
      </c>
      <c r="E4125" t="s">
        <v>70</v>
      </c>
      <c r="F4125" s="5">
        <v>42736</v>
      </c>
      <c r="G4125">
        <v>0</v>
      </c>
    </row>
    <row r="4126" spans="1:7" x14ac:dyDescent="0.25">
      <c r="A4126" t="s">
        <v>123</v>
      </c>
      <c r="B4126" t="s">
        <v>126</v>
      </c>
      <c r="C4126">
        <v>2400</v>
      </c>
      <c r="D4126" t="s">
        <v>62</v>
      </c>
      <c r="E4126" t="s">
        <v>71</v>
      </c>
      <c r="F4126" s="5">
        <v>42370</v>
      </c>
      <c r="G4126">
        <v>0</v>
      </c>
    </row>
    <row r="4127" spans="1:7" x14ac:dyDescent="0.25">
      <c r="A4127" t="s">
        <v>123</v>
      </c>
      <c r="B4127" t="s">
        <v>126</v>
      </c>
      <c r="C4127">
        <v>2400</v>
      </c>
      <c r="D4127" t="s">
        <v>62</v>
      </c>
      <c r="E4127" t="s">
        <v>71</v>
      </c>
      <c r="F4127" s="5">
        <v>42736</v>
      </c>
      <c r="G4127">
        <v>0</v>
      </c>
    </row>
    <row r="4128" spans="1:7" x14ac:dyDescent="0.25">
      <c r="A4128" t="s">
        <v>123</v>
      </c>
      <c r="B4128" t="s">
        <v>126</v>
      </c>
      <c r="C4128">
        <v>2400</v>
      </c>
      <c r="D4128" t="s">
        <v>72</v>
      </c>
      <c r="E4128" t="s">
        <v>73</v>
      </c>
      <c r="F4128" s="5">
        <v>42370</v>
      </c>
      <c r="G4128">
        <v>0</v>
      </c>
    </row>
    <row r="4129" spans="1:7" x14ac:dyDescent="0.25">
      <c r="A4129" t="s">
        <v>123</v>
      </c>
      <c r="B4129" t="s">
        <v>126</v>
      </c>
      <c r="C4129">
        <v>2400</v>
      </c>
      <c r="D4129" t="s">
        <v>72</v>
      </c>
      <c r="E4129" t="s">
        <v>73</v>
      </c>
      <c r="F4129" s="5">
        <v>42736</v>
      </c>
      <c r="G4129">
        <v>0</v>
      </c>
    </row>
    <row r="4130" spans="1:7" x14ac:dyDescent="0.25">
      <c r="A4130" t="s">
        <v>123</v>
      </c>
      <c r="B4130" t="s">
        <v>126</v>
      </c>
      <c r="C4130">
        <v>2400</v>
      </c>
      <c r="D4130" t="s">
        <v>72</v>
      </c>
      <c r="E4130" t="s">
        <v>9</v>
      </c>
      <c r="F4130" s="5">
        <v>42370</v>
      </c>
      <c r="G4130">
        <v>0</v>
      </c>
    </row>
    <row r="4131" spans="1:7" x14ac:dyDescent="0.25">
      <c r="A4131" t="s">
        <v>123</v>
      </c>
      <c r="B4131" t="s">
        <v>126</v>
      </c>
      <c r="C4131">
        <v>2400</v>
      </c>
      <c r="D4131" t="s">
        <v>72</v>
      </c>
      <c r="E4131" t="s">
        <v>9</v>
      </c>
      <c r="F4131" s="5">
        <v>42736</v>
      </c>
      <c r="G4131">
        <v>0</v>
      </c>
    </row>
    <row r="4132" spans="1:7" x14ac:dyDescent="0.25">
      <c r="A4132" t="s">
        <v>123</v>
      </c>
      <c r="B4132" t="s">
        <v>126</v>
      </c>
      <c r="C4132">
        <v>2400</v>
      </c>
      <c r="D4132" t="s">
        <v>72</v>
      </c>
      <c r="E4132" t="s">
        <v>34</v>
      </c>
      <c r="F4132" s="5">
        <v>42370</v>
      </c>
      <c r="G4132">
        <v>0</v>
      </c>
    </row>
    <row r="4133" spans="1:7" x14ac:dyDescent="0.25">
      <c r="A4133" t="s">
        <v>123</v>
      </c>
      <c r="B4133" t="s">
        <v>126</v>
      </c>
      <c r="C4133">
        <v>2400</v>
      </c>
      <c r="D4133" t="s">
        <v>72</v>
      </c>
      <c r="E4133" t="s">
        <v>34</v>
      </c>
      <c r="F4133" s="5">
        <v>42736</v>
      </c>
      <c r="G4133">
        <v>0</v>
      </c>
    </row>
    <row r="4134" spans="1:7" x14ac:dyDescent="0.25">
      <c r="A4134" t="s">
        <v>123</v>
      </c>
      <c r="B4134" t="s">
        <v>126</v>
      </c>
      <c r="C4134">
        <v>2400</v>
      </c>
      <c r="D4134" t="s">
        <v>72</v>
      </c>
      <c r="E4134" t="s">
        <v>74</v>
      </c>
      <c r="F4134" s="5">
        <v>42370</v>
      </c>
      <c r="G4134">
        <v>0</v>
      </c>
    </row>
    <row r="4135" spans="1:7" x14ac:dyDescent="0.25">
      <c r="A4135" t="s">
        <v>123</v>
      </c>
      <c r="B4135" t="s">
        <v>126</v>
      </c>
      <c r="C4135">
        <v>2400</v>
      </c>
      <c r="D4135" t="s">
        <v>72</v>
      </c>
      <c r="E4135" t="s">
        <v>74</v>
      </c>
      <c r="F4135" s="5">
        <v>42736</v>
      </c>
      <c r="G4135">
        <v>0</v>
      </c>
    </row>
    <row r="4136" spans="1:7" x14ac:dyDescent="0.25">
      <c r="A4136" t="s">
        <v>123</v>
      </c>
      <c r="B4136" t="s">
        <v>126</v>
      </c>
      <c r="C4136">
        <v>2400</v>
      </c>
      <c r="D4136" t="s">
        <v>72</v>
      </c>
      <c r="E4136" t="s">
        <v>75</v>
      </c>
      <c r="F4136" s="5">
        <v>42370</v>
      </c>
      <c r="G4136">
        <v>0</v>
      </c>
    </row>
    <row r="4137" spans="1:7" x14ac:dyDescent="0.25">
      <c r="A4137" t="s">
        <v>123</v>
      </c>
      <c r="B4137" t="s">
        <v>126</v>
      </c>
      <c r="C4137">
        <v>2400</v>
      </c>
      <c r="D4137" t="s">
        <v>72</v>
      </c>
      <c r="E4137" t="s">
        <v>75</v>
      </c>
      <c r="F4137" s="5">
        <v>42736</v>
      </c>
      <c r="G4137">
        <v>0</v>
      </c>
    </row>
    <row r="4138" spans="1:7" x14ac:dyDescent="0.25">
      <c r="A4138" t="s">
        <v>123</v>
      </c>
      <c r="B4138" t="s">
        <v>126</v>
      </c>
      <c r="C4138">
        <v>2400</v>
      </c>
      <c r="D4138" t="s">
        <v>76</v>
      </c>
      <c r="E4138" t="s">
        <v>9</v>
      </c>
      <c r="F4138" s="5">
        <v>42370</v>
      </c>
      <c r="G4138">
        <v>0</v>
      </c>
    </row>
    <row r="4139" spans="1:7" x14ac:dyDescent="0.25">
      <c r="A4139" t="s">
        <v>123</v>
      </c>
      <c r="B4139" t="s">
        <v>126</v>
      </c>
      <c r="C4139">
        <v>2400</v>
      </c>
      <c r="D4139" t="s">
        <v>76</v>
      </c>
      <c r="E4139" t="s">
        <v>9</v>
      </c>
      <c r="F4139" s="5">
        <v>42736</v>
      </c>
      <c r="G4139">
        <v>0</v>
      </c>
    </row>
    <row r="4140" spans="1:7" x14ac:dyDescent="0.25">
      <c r="A4140" t="s">
        <v>123</v>
      </c>
      <c r="B4140" t="s">
        <v>126</v>
      </c>
      <c r="C4140">
        <v>2400</v>
      </c>
      <c r="D4140" t="s">
        <v>76</v>
      </c>
      <c r="E4140" t="s">
        <v>77</v>
      </c>
      <c r="F4140" s="5">
        <v>42370</v>
      </c>
      <c r="G4140">
        <v>0</v>
      </c>
    </row>
    <row r="4141" spans="1:7" x14ac:dyDescent="0.25">
      <c r="A4141" t="s">
        <v>123</v>
      </c>
      <c r="B4141" t="s">
        <v>126</v>
      </c>
      <c r="C4141">
        <v>2400</v>
      </c>
      <c r="D4141" t="s">
        <v>76</v>
      </c>
      <c r="E4141" t="s">
        <v>77</v>
      </c>
      <c r="F4141" s="5">
        <v>42736</v>
      </c>
      <c r="G4141">
        <v>0</v>
      </c>
    </row>
    <row r="4142" spans="1:7" x14ac:dyDescent="0.25">
      <c r="A4142" t="s">
        <v>123</v>
      </c>
      <c r="B4142" t="s">
        <v>126</v>
      </c>
      <c r="C4142">
        <v>2400</v>
      </c>
      <c r="D4142" t="s">
        <v>78</v>
      </c>
      <c r="E4142" t="s">
        <v>79</v>
      </c>
      <c r="F4142" s="5">
        <v>42370</v>
      </c>
      <c r="G4142">
        <v>37</v>
      </c>
    </row>
    <row r="4143" spans="1:7" x14ac:dyDescent="0.25">
      <c r="A4143" t="s">
        <v>123</v>
      </c>
      <c r="B4143" t="s">
        <v>126</v>
      </c>
      <c r="C4143">
        <v>2400</v>
      </c>
      <c r="D4143" t="s">
        <v>78</v>
      </c>
      <c r="E4143" t="s">
        <v>79</v>
      </c>
      <c r="F4143" s="5">
        <v>42736</v>
      </c>
      <c r="G4143">
        <v>49</v>
      </c>
    </row>
    <row r="4144" spans="1:7" x14ac:dyDescent="0.25">
      <c r="A4144" t="s">
        <v>123</v>
      </c>
      <c r="B4144" t="s">
        <v>126</v>
      </c>
      <c r="C4144">
        <v>2400</v>
      </c>
      <c r="D4144" t="s">
        <v>78</v>
      </c>
      <c r="E4144" t="s">
        <v>80</v>
      </c>
      <c r="F4144" s="5">
        <v>42370</v>
      </c>
      <c r="G4144">
        <v>3</v>
      </c>
    </row>
    <row r="4145" spans="1:7" x14ac:dyDescent="0.25">
      <c r="A4145" t="s">
        <v>123</v>
      </c>
      <c r="B4145" t="s">
        <v>126</v>
      </c>
      <c r="C4145">
        <v>2400</v>
      </c>
      <c r="D4145" t="s">
        <v>78</v>
      </c>
      <c r="E4145" t="s">
        <v>80</v>
      </c>
      <c r="F4145" s="5">
        <v>42736</v>
      </c>
      <c r="G4145">
        <v>0</v>
      </c>
    </row>
    <row r="4146" spans="1:7" x14ac:dyDescent="0.25">
      <c r="A4146" t="s">
        <v>123</v>
      </c>
      <c r="B4146" t="s">
        <v>126</v>
      </c>
      <c r="C4146">
        <v>2400</v>
      </c>
      <c r="D4146" t="s">
        <v>78</v>
      </c>
      <c r="E4146" t="s">
        <v>81</v>
      </c>
      <c r="F4146" s="5">
        <v>42370</v>
      </c>
      <c r="G4146">
        <v>1638</v>
      </c>
    </row>
    <row r="4147" spans="1:7" x14ac:dyDescent="0.25">
      <c r="A4147" t="s">
        <v>123</v>
      </c>
      <c r="B4147" t="s">
        <v>126</v>
      </c>
      <c r="C4147">
        <v>2400</v>
      </c>
      <c r="D4147" t="s">
        <v>78</v>
      </c>
      <c r="E4147" t="s">
        <v>81</v>
      </c>
      <c r="F4147" s="5">
        <v>42736</v>
      </c>
      <c r="G4147">
        <v>2375</v>
      </c>
    </row>
    <row r="4148" spans="1:7" x14ac:dyDescent="0.25">
      <c r="A4148" t="s">
        <v>123</v>
      </c>
      <c r="B4148" t="s">
        <v>126</v>
      </c>
      <c r="C4148">
        <v>2400</v>
      </c>
      <c r="D4148" t="s">
        <v>78</v>
      </c>
      <c r="E4148" t="s">
        <v>82</v>
      </c>
      <c r="F4148" s="5">
        <v>42370</v>
      </c>
      <c r="G4148">
        <v>19</v>
      </c>
    </row>
    <row r="4149" spans="1:7" x14ac:dyDescent="0.25">
      <c r="A4149" t="s">
        <v>123</v>
      </c>
      <c r="B4149" t="s">
        <v>126</v>
      </c>
      <c r="C4149">
        <v>2400</v>
      </c>
      <c r="D4149" t="s">
        <v>78</v>
      </c>
      <c r="E4149" t="s">
        <v>82</v>
      </c>
      <c r="F4149" s="5">
        <v>42736</v>
      </c>
      <c r="G4149">
        <v>26</v>
      </c>
    </row>
    <row r="4150" spans="1:7" x14ac:dyDescent="0.25">
      <c r="A4150" t="s">
        <v>123</v>
      </c>
      <c r="B4150" t="s">
        <v>126</v>
      </c>
      <c r="C4150">
        <v>2400</v>
      </c>
      <c r="D4150" t="s">
        <v>78</v>
      </c>
      <c r="E4150" t="s">
        <v>83</v>
      </c>
      <c r="F4150" s="5">
        <v>42370</v>
      </c>
      <c r="G4150">
        <v>12</v>
      </c>
    </row>
    <row r="4151" spans="1:7" x14ac:dyDescent="0.25">
      <c r="A4151" t="s">
        <v>123</v>
      </c>
      <c r="B4151" t="s">
        <v>126</v>
      </c>
      <c r="C4151">
        <v>2400</v>
      </c>
      <c r="D4151" t="s">
        <v>78</v>
      </c>
      <c r="E4151" t="s">
        <v>83</v>
      </c>
      <c r="F4151" s="5">
        <v>42736</v>
      </c>
      <c r="G4151">
        <v>7</v>
      </c>
    </row>
    <row r="4152" spans="1:7" x14ac:dyDescent="0.25">
      <c r="A4152" t="s">
        <v>123</v>
      </c>
      <c r="B4152" t="s">
        <v>126</v>
      </c>
      <c r="C4152">
        <v>2400</v>
      </c>
      <c r="D4152" t="s">
        <v>78</v>
      </c>
      <c r="E4152" t="s">
        <v>84</v>
      </c>
      <c r="F4152" s="5">
        <v>42370</v>
      </c>
      <c r="G4152">
        <v>10</v>
      </c>
    </row>
    <row r="4153" spans="1:7" x14ac:dyDescent="0.25">
      <c r="A4153" t="s">
        <v>123</v>
      </c>
      <c r="B4153" t="s">
        <v>126</v>
      </c>
      <c r="C4153">
        <v>2400</v>
      </c>
      <c r="D4153" t="s">
        <v>78</v>
      </c>
      <c r="E4153" t="s">
        <v>84</v>
      </c>
      <c r="F4153" s="5">
        <v>42736</v>
      </c>
      <c r="G4153">
        <v>7</v>
      </c>
    </row>
    <row r="4154" spans="1:7" x14ac:dyDescent="0.25">
      <c r="A4154" t="s">
        <v>123</v>
      </c>
      <c r="B4154" t="s">
        <v>126</v>
      </c>
      <c r="C4154">
        <v>2400</v>
      </c>
      <c r="D4154" t="s">
        <v>78</v>
      </c>
      <c r="E4154" t="s">
        <v>85</v>
      </c>
      <c r="F4154" s="5">
        <v>42370</v>
      </c>
      <c r="G4154">
        <v>0</v>
      </c>
    </row>
    <row r="4155" spans="1:7" x14ac:dyDescent="0.25">
      <c r="A4155" t="s">
        <v>123</v>
      </c>
      <c r="B4155" t="s">
        <v>126</v>
      </c>
      <c r="C4155">
        <v>2400</v>
      </c>
      <c r="D4155" t="s">
        <v>78</v>
      </c>
      <c r="E4155" t="s">
        <v>85</v>
      </c>
      <c r="F4155" s="5">
        <v>42736</v>
      </c>
      <c r="G4155">
        <v>3</v>
      </c>
    </row>
    <row r="4156" spans="1:7" x14ac:dyDescent="0.25">
      <c r="A4156" t="s">
        <v>123</v>
      </c>
      <c r="B4156" t="s">
        <v>126</v>
      </c>
      <c r="C4156">
        <v>2400</v>
      </c>
      <c r="D4156" t="s">
        <v>78</v>
      </c>
      <c r="E4156" t="s">
        <v>86</v>
      </c>
      <c r="F4156" s="5">
        <v>42370</v>
      </c>
      <c r="G4156">
        <v>25</v>
      </c>
    </row>
    <row r="4157" spans="1:7" x14ac:dyDescent="0.25">
      <c r="A4157" t="s">
        <v>123</v>
      </c>
      <c r="B4157" t="s">
        <v>126</v>
      </c>
      <c r="C4157">
        <v>2400</v>
      </c>
      <c r="D4157" t="s">
        <v>78</v>
      </c>
      <c r="E4157" t="s">
        <v>86</v>
      </c>
      <c r="F4157" s="5">
        <v>42736</v>
      </c>
      <c r="G4157">
        <v>43</v>
      </c>
    </row>
    <row r="4158" spans="1:7" x14ac:dyDescent="0.25">
      <c r="A4158" t="s">
        <v>123</v>
      </c>
      <c r="B4158" t="s">
        <v>126</v>
      </c>
      <c r="C4158">
        <v>2400</v>
      </c>
      <c r="D4158" t="s">
        <v>78</v>
      </c>
      <c r="E4158" t="s">
        <v>87</v>
      </c>
      <c r="F4158" s="5">
        <v>42370</v>
      </c>
      <c r="G4158">
        <v>59</v>
      </c>
    </row>
    <row r="4159" spans="1:7" x14ac:dyDescent="0.25">
      <c r="A4159" t="s">
        <v>123</v>
      </c>
      <c r="B4159" t="s">
        <v>126</v>
      </c>
      <c r="C4159">
        <v>2400</v>
      </c>
      <c r="D4159" t="s">
        <v>78</v>
      </c>
      <c r="E4159" t="s">
        <v>87</v>
      </c>
      <c r="F4159" s="5">
        <v>42736</v>
      </c>
      <c r="G4159">
        <v>98</v>
      </c>
    </row>
    <row r="4160" spans="1:7" x14ac:dyDescent="0.25">
      <c r="A4160" t="s">
        <v>123</v>
      </c>
      <c r="B4160" t="s">
        <v>126</v>
      </c>
      <c r="C4160">
        <v>2400</v>
      </c>
      <c r="D4160" t="s">
        <v>78</v>
      </c>
      <c r="E4160" t="s">
        <v>88</v>
      </c>
      <c r="F4160" s="5">
        <v>42370</v>
      </c>
      <c r="G4160">
        <v>206</v>
      </c>
    </row>
    <row r="4161" spans="1:7" x14ac:dyDescent="0.25">
      <c r="A4161" t="s">
        <v>123</v>
      </c>
      <c r="B4161" t="s">
        <v>126</v>
      </c>
      <c r="C4161">
        <v>2400</v>
      </c>
      <c r="D4161" t="s">
        <v>78</v>
      </c>
      <c r="E4161" t="s">
        <v>88</v>
      </c>
      <c r="F4161" s="5">
        <v>42736</v>
      </c>
      <c r="G4161">
        <v>324</v>
      </c>
    </row>
    <row r="4162" spans="1:7" x14ac:dyDescent="0.25">
      <c r="A4162" t="s">
        <v>123</v>
      </c>
      <c r="B4162" t="s">
        <v>126</v>
      </c>
      <c r="C4162">
        <v>2400</v>
      </c>
      <c r="D4162" t="s">
        <v>78</v>
      </c>
      <c r="E4162" t="s">
        <v>89</v>
      </c>
      <c r="F4162" s="5">
        <v>42370</v>
      </c>
      <c r="G4162">
        <v>4018</v>
      </c>
    </row>
    <row r="4163" spans="1:7" x14ac:dyDescent="0.25">
      <c r="A4163" t="s">
        <v>123</v>
      </c>
      <c r="B4163" t="s">
        <v>126</v>
      </c>
      <c r="C4163">
        <v>2400</v>
      </c>
      <c r="D4163" t="s">
        <v>78</v>
      </c>
      <c r="E4163" t="s">
        <v>89</v>
      </c>
      <c r="F4163" s="5">
        <v>42736</v>
      </c>
      <c r="G4163">
        <v>5197</v>
      </c>
    </row>
    <row r="4164" spans="1:7" x14ac:dyDescent="0.25">
      <c r="A4164" t="s">
        <v>123</v>
      </c>
      <c r="B4164" t="s">
        <v>126</v>
      </c>
      <c r="C4164">
        <v>2400</v>
      </c>
      <c r="D4164" t="s">
        <v>78</v>
      </c>
      <c r="E4164" t="s">
        <v>90</v>
      </c>
      <c r="F4164" s="5">
        <v>42370</v>
      </c>
      <c r="G4164">
        <v>0</v>
      </c>
    </row>
    <row r="4165" spans="1:7" x14ac:dyDescent="0.25">
      <c r="A4165" t="s">
        <v>123</v>
      </c>
      <c r="B4165" t="s">
        <v>126</v>
      </c>
      <c r="C4165">
        <v>2400</v>
      </c>
      <c r="D4165" t="s">
        <v>78</v>
      </c>
      <c r="E4165" t="s">
        <v>90</v>
      </c>
      <c r="F4165" s="5">
        <v>42736</v>
      </c>
      <c r="G4165">
        <v>0</v>
      </c>
    </row>
    <row r="4166" spans="1:7" x14ac:dyDescent="0.25">
      <c r="A4166" t="s">
        <v>123</v>
      </c>
      <c r="B4166" t="s">
        <v>126</v>
      </c>
      <c r="C4166">
        <v>2400</v>
      </c>
      <c r="D4166" t="s">
        <v>78</v>
      </c>
      <c r="E4166" t="s">
        <v>91</v>
      </c>
      <c r="F4166" s="5">
        <v>42370</v>
      </c>
      <c r="G4166">
        <v>85</v>
      </c>
    </row>
    <row r="4167" spans="1:7" x14ac:dyDescent="0.25">
      <c r="A4167" t="s">
        <v>123</v>
      </c>
      <c r="B4167" t="s">
        <v>126</v>
      </c>
      <c r="C4167">
        <v>2400</v>
      </c>
      <c r="D4167" t="s">
        <v>78</v>
      </c>
      <c r="E4167" t="s">
        <v>91</v>
      </c>
      <c r="F4167" s="5">
        <v>42736</v>
      </c>
      <c r="G4167">
        <v>134</v>
      </c>
    </row>
    <row r="4168" spans="1:7" x14ac:dyDescent="0.25">
      <c r="A4168" t="s">
        <v>123</v>
      </c>
      <c r="B4168" t="s">
        <v>126</v>
      </c>
      <c r="C4168">
        <v>2400</v>
      </c>
      <c r="D4168" t="s">
        <v>78</v>
      </c>
      <c r="E4168" t="s">
        <v>92</v>
      </c>
      <c r="F4168" s="5">
        <v>42370</v>
      </c>
      <c r="G4168">
        <v>13</v>
      </c>
    </row>
    <row r="4169" spans="1:7" x14ac:dyDescent="0.25">
      <c r="A4169" t="s">
        <v>123</v>
      </c>
      <c r="B4169" t="s">
        <v>126</v>
      </c>
      <c r="C4169">
        <v>2400</v>
      </c>
      <c r="D4169" t="s">
        <v>78</v>
      </c>
      <c r="E4169" t="s">
        <v>92</v>
      </c>
      <c r="F4169" s="5">
        <v>42736</v>
      </c>
      <c r="G4169">
        <v>12</v>
      </c>
    </row>
    <row r="4170" spans="1:7" x14ac:dyDescent="0.25">
      <c r="A4170" t="s">
        <v>123</v>
      </c>
      <c r="B4170" t="s">
        <v>126</v>
      </c>
      <c r="C4170">
        <v>2400</v>
      </c>
      <c r="D4170" t="s">
        <v>78</v>
      </c>
      <c r="E4170" t="s">
        <v>93</v>
      </c>
      <c r="F4170" s="5">
        <v>42370</v>
      </c>
      <c r="G4170">
        <v>58</v>
      </c>
    </row>
    <row r="4171" spans="1:7" x14ac:dyDescent="0.25">
      <c r="A4171" t="s">
        <v>123</v>
      </c>
      <c r="B4171" t="s">
        <v>126</v>
      </c>
      <c r="C4171">
        <v>2400</v>
      </c>
      <c r="D4171" t="s">
        <v>78</v>
      </c>
      <c r="E4171" t="s">
        <v>93</v>
      </c>
      <c r="F4171" s="5">
        <v>42736</v>
      </c>
      <c r="G4171">
        <v>90</v>
      </c>
    </row>
    <row r="4172" spans="1:7" x14ac:dyDescent="0.25">
      <c r="A4172" t="s">
        <v>123</v>
      </c>
      <c r="B4172" t="s">
        <v>126</v>
      </c>
      <c r="C4172">
        <v>2400</v>
      </c>
      <c r="D4172" t="s">
        <v>78</v>
      </c>
      <c r="E4172" t="s">
        <v>94</v>
      </c>
      <c r="F4172" s="5">
        <v>42370</v>
      </c>
      <c r="G4172">
        <v>63</v>
      </c>
    </row>
    <row r="4173" spans="1:7" x14ac:dyDescent="0.25">
      <c r="A4173" t="s">
        <v>123</v>
      </c>
      <c r="B4173" t="s">
        <v>126</v>
      </c>
      <c r="C4173">
        <v>2400</v>
      </c>
      <c r="D4173" t="s">
        <v>78</v>
      </c>
      <c r="E4173" t="s">
        <v>94</v>
      </c>
      <c r="F4173" s="5">
        <v>42736</v>
      </c>
      <c r="G4173">
        <v>110</v>
      </c>
    </row>
    <row r="4174" spans="1:7" x14ac:dyDescent="0.25">
      <c r="A4174" t="s">
        <v>123</v>
      </c>
      <c r="B4174" t="s">
        <v>126</v>
      </c>
      <c r="C4174">
        <v>2400</v>
      </c>
      <c r="D4174" t="s">
        <v>78</v>
      </c>
      <c r="E4174" t="s">
        <v>95</v>
      </c>
      <c r="F4174" s="5">
        <v>42370</v>
      </c>
      <c r="G4174">
        <v>3</v>
      </c>
    </row>
    <row r="4175" spans="1:7" x14ac:dyDescent="0.25">
      <c r="A4175" t="s">
        <v>123</v>
      </c>
      <c r="B4175" t="s">
        <v>126</v>
      </c>
      <c r="C4175">
        <v>2400</v>
      </c>
      <c r="D4175" t="s">
        <v>78</v>
      </c>
      <c r="E4175" t="s">
        <v>95</v>
      </c>
      <c r="F4175" s="5">
        <v>42736</v>
      </c>
      <c r="G4175">
        <v>10</v>
      </c>
    </row>
    <row r="4176" spans="1:7" x14ac:dyDescent="0.25">
      <c r="A4176" t="s">
        <v>123</v>
      </c>
      <c r="B4176" t="s">
        <v>126</v>
      </c>
      <c r="C4176">
        <v>2400</v>
      </c>
      <c r="D4176" t="s">
        <v>78</v>
      </c>
      <c r="E4176" t="s">
        <v>96</v>
      </c>
      <c r="F4176" s="5">
        <v>42370</v>
      </c>
      <c r="G4176">
        <v>7</v>
      </c>
    </row>
    <row r="4177" spans="1:7" x14ac:dyDescent="0.25">
      <c r="A4177" t="s">
        <v>123</v>
      </c>
      <c r="B4177" t="s">
        <v>126</v>
      </c>
      <c r="C4177">
        <v>2400</v>
      </c>
      <c r="D4177" t="s">
        <v>78</v>
      </c>
      <c r="E4177" t="s">
        <v>96</v>
      </c>
      <c r="F4177" s="5">
        <v>42736</v>
      </c>
      <c r="G4177">
        <v>7</v>
      </c>
    </row>
    <row r="4178" spans="1:7" x14ac:dyDescent="0.25">
      <c r="A4178" t="s">
        <v>123</v>
      </c>
      <c r="B4178" t="s">
        <v>126</v>
      </c>
      <c r="C4178">
        <v>2400</v>
      </c>
      <c r="D4178" t="s">
        <v>78</v>
      </c>
      <c r="E4178" t="s">
        <v>97</v>
      </c>
      <c r="F4178" s="5">
        <v>42370</v>
      </c>
      <c r="G4178">
        <v>113</v>
      </c>
    </row>
    <row r="4179" spans="1:7" x14ac:dyDescent="0.25">
      <c r="A4179" t="s">
        <v>123</v>
      </c>
      <c r="B4179" t="s">
        <v>126</v>
      </c>
      <c r="C4179">
        <v>2400</v>
      </c>
      <c r="D4179" t="s">
        <v>78</v>
      </c>
      <c r="E4179" t="s">
        <v>97</v>
      </c>
      <c r="F4179" s="5">
        <v>42736</v>
      </c>
      <c r="G4179">
        <v>258</v>
      </c>
    </row>
    <row r="4180" spans="1:7" x14ac:dyDescent="0.25">
      <c r="A4180" t="s">
        <v>123</v>
      </c>
      <c r="B4180" t="s">
        <v>126</v>
      </c>
      <c r="C4180">
        <v>2400</v>
      </c>
      <c r="D4180" t="s">
        <v>78</v>
      </c>
      <c r="E4180" t="s">
        <v>98</v>
      </c>
      <c r="F4180" s="5">
        <v>42370</v>
      </c>
      <c r="G4180">
        <v>11</v>
      </c>
    </row>
    <row r="4181" spans="1:7" x14ac:dyDescent="0.25">
      <c r="A4181" t="s">
        <v>123</v>
      </c>
      <c r="B4181" t="s">
        <v>126</v>
      </c>
      <c r="C4181">
        <v>2400</v>
      </c>
      <c r="D4181" t="s">
        <v>78</v>
      </c>
      <c r="E4181" t="s">
        <v>98</v>
      </c>
      <c r="F4181" s="5">
        <v>42736</v>
      </c>
      <c r="G4181">
        <v>12</v>
      </c>
    </row>
    <row r="4182" spans="1:7" x14ac:dyDescent="0.25">
      <c r="A4182" t="s">
        <v>127</v>
      </c>
      <c r="B4182" t="s">
        <v>128</v>
      </c>
      <c r="C4182">
        <v>1230</v>
      </c>
      <c r="D4182" t="s">
        <v>8</v>
      </c>
      <c r="E4182" t="s">
        <v>9</v>
      </c>
      <c r="F4182" s="5">
        <v>42370</v>
      </c>
      <c r="G4182">
        <v>0</v>
      </c>
    </row>
    <row r="4183" spans="1:7" x14ac:dyDescent="0.25">
      <c r="A4183" t="s">
        <v>127</v>
      </c>
      <c r="B4183" t="s">
        <v>128</v>
      </c>
      <c r="C4183">
        <v>1230</v>
      </c>
      <c r="D4183" t="s">
        <v>8</v>
      </c>
      <c r="E4183" t="s">
        <v>9</v>
      </c>
      <c r="F4183" s="5">
        <v>42736</v>
      </c>
      <c r="G4183">
        <v>0</v>
      </c>
    </row>
    <row r="4184" spans="1:7" x14ac:dyDescent="0.25">
      <c r="A4184" t="s">
        <v>127</v>
      </c>
      <c r="B4184" t="s">
        <v>128</v>
      </c>
      <c r="C4184">
        <v>1230</v>
      </c>
      <c r="D4184" t="s">
        <v>8</v>
      </c>
      <c r="E4184" t="s">
        <v>10</v>
      </c>
      <c r="F4184" s="5">
        <v>42370</v>
      </c>
      <c r="G4184">
        <v>97</v>
      </c>
    </row>
    <row r="4185" spans="1:7" x14ac:dyDescent="0.25">
      <c r="A4185" t="s">
        <v>127</v>
      </c>
      <c r="B4185" t="s">
        <v>128</v>
      </c>
      <c r="C4185">
        <v>1230</v>
      </c>
      <c r="D4185" t="s">
        <v>8</v>
      </c>
      <c r="E4185" t="s">
        <v>10</v>
      </c>
      <c r="F4185" s="5">
        <v>42736</v>
      </c>
      <c r="G4185">
        <v>401</v>
      </c>
    </row>
    <row r="4186" spans="1:7" x14ac:dyDescent="0.25">
      <c r="A4186" t="s">
        <v>127</v>
      </c>
      <c r="B4186" t="s">
        <v>128</v>
      </c>
      <c r="C4186">
        <v>1230</v>
      </c>
      <c r="D4186" t="s">
        <v>8</v>
      </c>
      <c r="E4186" t="s">
        <v>11</v>
      </c>
      <c r="F4186" s="5">
        <v>42370</v>
      </c>
      <c r="G4186">
        <v>11</v>
      </c>
    </row>
    <row r="4187" spans="1:7" x14ac:dyDescent="0.25">
      <c r="A4187" t="s">
        <v>127</v>
      </c>
      <c r="B4187" t="s">
        <v>128</v>
      </c>
      <c r="C4187">
        <v>1230</v>
      </c>
      <c r="D4187" t="s">
        <v>8</v>
      </c>
      <c r="E4187" t="s">
        <v>11</v>
      </c>
      <c r="F4187" s="5">
        <v>42736</v>
      </c>
      <c r="G4187">
        <v>24</v>
      </c>
    </row>
    <row r="4188" spans="1:7" x14ac:dyDescent="0.25">
      <c r="A4188" t="s">
        <v>127</v>
      </c>
      <c r="B4188" t="s">
        <v>128</v>
      </c>
      <c r="C4188">
        <v>1230</v>
      </c>
      <c r="D4188" t="s">
        <v>8</v>
      </c>
      <c r="E4188" t="s">
        <v>12</v>
      </c>
      <c r="F4188" s="5">
        <v>42370</v>
      </c>
      <c r="G4188">
        <v>0</v>
      </c>
    </row>
    <row r="4189" spans="1:7" x14ac:dyDescent="0.25">
      <c r="A4189" t="s">
        <v>127</v>
      </c>
      <c r="B4189" t="s">
        <v>128</v>
      </c>
      <c r="C4189">
        <v>1230</v>
      </c>
      <c r="D4189" t="s">
        <v>8</v>
      </c>
      <c r="E4189" t="s">
        <v>12</v>
      </c>
      <c r="F4189" s="5">
        <v>42736</v>
      </c>
      <c r="G4189">
        <v>0</v>
      </c>
    </row>
    <row r="4190" spans="1:7" x14ac:dyDescent="0.25">
      <c r="A4190" t="s">
        <v>127</v>
      </c>
      <c r="B4190" t="s">
        <v>128</v>
      </c>
      <c r="C4190">
        <v>1230</v>
      </c>
      <c r="D4190" t="s">
        <v>8</v>
      </c>
      <c r="E4190" t="s">
        <v>13</v>
      </c>
      <c r="F4190" s="5">
        <v>42370</v>
      </c>
      <c r="G4190">
        <v>0</v>
      </c>
    </row>
    <row r="4191" spans="1:7" x14ac:dyDescent="0.25">
      <c r="A4191" t="s">
        <v>127</v>
      </c>
      <c r="B4191" t="s">
        <v>128</v>
      </c>
      <c r="C4191">
        <v>1230</v>
      </c>
      <c r="D4191" t="s">
        <v>8</v>
      </c>
      <c r="E4191" t="s">
        <v>13</v>
      </c>
      <c r="F4191" s="5">
        <v>42736</v>
      </c>
      <c r="G4191">
        <v>0</v>
      </c>
    </row>
    <row r="4192" spans="1:7" x14ac:dyDescent="0.25">
      <c r="A4192" t="s">
        <v>127</v>
      </c>
      <c r="B4192" t="s">
        <v>128</v>
      </c>
      <c r="C4192">
        <v>1230</v>
      </c>
      <c r="D4192" t="s">
        <v>8</v>
      </c>
      <c r="E4192" t="s">
        <v>14</v>
      </c>
      <c r="F4192" s="5">
        <v>42370</v>
      </c>
      <c r="G4192">
        <v>0</v>
      </c>
    </row>
    <row r="4193" spans="1:7" x14ac:dyDescent="0.25">
      <c r="A4193" t="s">
        <v>127</v>
      </c>
      <c r="B4193" t="s">
        <v>128</v>
      </c>
      <c r="C4193">
        <v>1230</v>
      </c>
      <c r="D4193" t="s">
        <v>8</v>
      </c>
      <c r="E4193" t="s">
        <v>14</v>
      </c>
      <c r="F4193" s="5">
        <v>42736</v>
      </c>
      <c r="G4193">
        <v>0</v>
      </c>
    </row>
    <row r="4194" spans="1:7" x14ac:dyDescent="0.25">
      <c r="A4194" t="s">
        <v>127</v>
      </c>
      <c r="B4194" t="s">
        <v>128</v>
      </c>
      <c r="C4194">
        <v>1230</v>
      </c>
      <c r="D4194" t="s">
        <v>8</v>
      </c>
      <c r="E4194" t="s">
        <v>15</v>
      </c>
      <c r="F4194" s="5">
        <v>42370</v>
      </c>
      <c r="G4194">
        <v>0</v>
      </c>
    </row>
    <row r="4195" spans="1:7" x14ac:dyDescent="0.25">
      <c r="A4195" t="s">
        <v>127</v>
      </c>
      <c r="B4195" t="s">
        <v>128</v>
      </c>
      <c r="C4195">
        <v>1230</v>
      </c>
      <c r="D4195" t="s">
        <v>8</v>
      </c>
      <c r="E4195" t="s">
        <v>15</v>
      </c>
      <c r="F4195" s="5">
        <v>42736</v>
      </c>
      <c r="G4195">
        <v>0</v>
      </c>
    </row>
    <row r="4196" spans="1:7" x14ac:dyDescent="0.25">
      <c r="A4196" t="s">
        <v>127</v>
      </c>
      <c r="B4196" t="s">
        <v>128</v>
      </c>
      <c r="C4196">
        <v>1230</v>
      </c>
      <c r="D4196" t="s">
        <v>8</v>
      </c>
      <c r="E4196" t="s">
        <v>16</v>
      </c>
      <c r="F4196" s="5">
        <v>42370</v>
      </c>
      <c r="G4196">
        <v>28</v>
      </c>
    </row>
    <row r="4197" spans="1:7" x14ac:dyDescent="0.25">
      <c r="A4197" t="s">
        <v>127</v>
      </c>
      <c r="B4197" t="s">
        <v>128</v>
      </c>
      <c r="C4197">
        <v>1230</v>
      </c>
      <c r="D4197" t="s">
        <v>8</v>
      </c>
      <c r="E4197" t="s">
        <v>16</v>
      </c>
      <c r="F4197" s="5">
        <v>42736</v>
      </c>
      <c r="G4197">
        <v>22</v>
      </c>
    </row>
    <row r="4198" spans="1:7" x14ac:dyDescent="0.25">
      <c r="A4198" t="s">
        <v>127</v>
      </c>
      <c r="B4198" t="s">
        <v>128</v>
      </c>
      <c r="C4198">
        <v>1230</v>
      </c>
      <c r="D4198" t="s">
        <v>8</v>
      </c>
      <c r="E4198" t="s">
        <v>17</v>
      </c>
      <c r="F4198" s="5">
        <v>42370</v>
      </c>
      <c r="G4198">
        <v>0</v>
      </c>
    </row>
    <row r="4199" spans="1:7" x14ac:dyDescent="0.25">
      <c r="A4199" t="s">
        <v>127</v>
      </c>
      <c r="B4199" t="s">
        <v>128</v>
      </c>
      <c r="C4199">
        <v>1230</v>
      </c>
      <c r="D4199" t="s">
        <v>8</v>
      </c>
      <c r="E4199" t="s">
        <v>17</v>
      </c>
      <c r="F4199" s="5">
        <v>42736</v>
      </c>
      <c r="G4199">
        <v>0</v>
      </c>
    </row>
    <row r="4200" spans="1:7" x14ac:dyDescent="0.25">
      <c r="A4200" t="s">
        <v>127</v>
      </c>
      <c r="B4200" t="s">
        <v>128</v>
      </c>
      <c r="C4200">
        <v>1230</v>
      </c>
      <c r="D4200" t="s">
        <v>8</v>
      </c>
      <c r="E4200" t="s">
        <v>18</v>
      </c>
      <c r="F4200" s="5">
        <v>42370</v>
      </c>
      <c r="G4200">
        <v>8</v>
      </c>
    </row>
    <row r="4201" spans="1:7" x14ac:dyDescent="0.25">
      <c r="A4201" t="s">
        <v>127</v>
      </c>
      <c r="B4201" t="s">
        <v>128</v>
      </c>
      <c r="C4201">
        <v>1230</v>
      </c>
      <c r="D4201" t="s">
        <v>8</v>
      </c>
      <c r="E4201" t="s">
        <v>18</v>
      </c>
      <c r="F4201" s="5">
        <v>42736</v>
      </c>
      <c r="G4201">
        <v>9</v>
      </c>
    </row>
    <row r="4202" spans="1:7" x14ac:dyDescent="0.25">
      <c r="A4202" t="s">
        <v>127</v>
      </c>
      <c r="B4202" t="s">
        <v>128</v>
      </c>
      <c r="C4202">
        <v>1230</v>
      </c>
      <c r="D4202" t="s">
        <v>8</v>
      </c>
      <c r="E4202" t="s">
        <v>19</v>
      </c>
      <c r="F4202" s="5">
        <v>42370</v>
      </c>
      <c r="G4202">
        <v>0</v>
      </c>
    </row>
    <row r="4203" spans="1:7" x14ac:dyDescent="0.25">
      <c r="A4203" t="s">
        <v>127</v>
      </c>
      <c r="B4203" t="s">
        <v>128</v>
      </c>
      <c r="C4203">
        <v>1230</v>
      </c>
      <c r="D4203" t="s">
        <v>8</v>
      </c>
      <c r="E4203" t="s">
        <v>19</v>
      </c>
      <c r="F4203" s="5">
        <v>42736</v>
      </c>
      <c r="G4203">
        <v>0</v>
      </c>
    </row>
    <row r="4204" spans="1:7" x14ac:dyDescent="0.25">
      <c r="A4204" t="s">
        <v>127</v>
      </c>
      <c r="B4204" t="s">
        <v>128</v>
      </c>
      <c r="C4204">
        <v>1230</v>
      </c>
      <c r="D4204" t="s">
        <v>20</v>
      </c>
      <c r="E4204" t="s">
        <v>9</v>
      </c>
      <c r="F4204" s="5">
        <v>42370</v>
      </c>
      <c r="G4204">
        <v>7</v>
      </c>
    </row>
    <row r="4205" spans="1:7" x14ac:dyDescent="0.25">
      <c r="A4205" t="s">
        <v>127</v>
      </c>
      <c r="B4205" t="s">
        <v>128</v>
      </c>
      <c r="C4205">
        <v>1230</v>
      </c>
      <c r="D4205" t="s">
        <v>20</v>
      </c>
      <c r="E4205" t="s">
        <v>9</v>
      </c>
      <c r="F4205" s="5">
        <v>42736</v>
      </c>
      <c r="G4205">
        <v>10</v>
      </c>
    </row>
    <row r="4206" spans="1:7" x14ac:dyDescent="0.25">
      <c r="A4206" t="s">
        <v>127</v>
      </c>
      <c r="B4206" t="s">
        <v>128</v>
      </c>
      <c r="C4206">
        <v>1230</v>
      </c>
      <c r="D4206" t="s">
        <v>20</v>
      </c>
      <c r="E4206" t="s">
        <v>21</v>
      </c>
      <c r="F4206" s="5">
        <v>42370</v>
      </c>
      <c r="G4206">
        <v>4</v>
      </c>
    </row>
    <row r="4207" spans="1:7" x14ac:dyDescent="0.25">
      <c r="A4207" t="s">
        <v>127</v>
      </c>
      <c r="B4207" t="s">
        <v>128</v>
      </c>
      <c r="C4207">
        <v>1230</v>
      </c>
      <c r="D4207" t="s">
        <v>20</v>
      </c>
      <c r="E4207" t="s">
        <v>21</v>
      </c>
      <c r="F4207" s="5">
        <v>42736</v>
      </c>
      <c r="G4207">
        <v>9</v>
      </c>
    </row>
    <row r="4208" spans="1:7" x14ac:dyDescent="0.25">
      <c r="A4208" t="s">
        <v>127</v>
      </c>
      <c r="B4208" t="s">
        <v>128</v>
      </c>
      <c r="C4208">
        <v>1230</v>
      </c>
      <c r="D4208" t="s">
        <v>20</v>
      </c>
      <c r="E4208" t="s">
        <v>22</v>
      </c>
      <c r="F4208" s="5">
        <v>42370</v>
      </c>
      <c r="G4208">
        <v>0</v>
      </c>
    </row>
    <row r="4209" spans="1:7" x14ac:dyDescent="0.25">
      <c r="A4209" t="s">
        <v>127</v>
      </c>
      <c r="B4209" t="s">
        <v>128</v>
      </c>
      <c r="C4209">
        <v>1230</v>
      </c>
      <c r="D4209" t="s">
        <v>20</v>
      </c>
      <c r="E4209" t="s">
        <v>22</v>
      </c>
      <c r="F4209" s="5">
        <v>42736</v>
      </c>
      <c r="G4209">
        <v>2</v>
      </c>
    </row>
    <row r="4210" spans="1:7" x14ac:dyDescent="0.25">
      <c r="A4210" t="s">
        <v>127</v>
      </c>
      <c r="B4210" t="s">
        <v>128</v>
      </c>
      <c r="C4210">
        <v>1230</v>
      </c>
      <c r="D4210" t="s">
        <v>20</v>
      </c>
      <c r="E4210" t="s">
        <v>23</v>
      </c>
      <c r="F4210" s="5">
        <v>42370</v>
      </c>
      <c r="G4210">
        <v>0</v>
      </c>
    </row>
    <row r="4211" spans="1:7" x14ac:dyDescent="0.25">
      <c r="A4211" t="s">
        <v>127</v>
      </c>
      <c r="B4211" t="s">
        <v>128</v>
      </c>
      <c r="C4211">
        <v>1230</v>
      </c>
      <c r="D4211" t="s">
        <v>20</v>
      </c>
      <c r="E4211" t="s">
        <v>23</v>
      </c>
      <c r="F4211" s="5">
        <v>42736</v>
      </c>
      <c r="G4211">
        <v>0</v>
      </c>
    </row>
    <row r="4212" spans="1:7" x14ac:dyDescent="0.25">
      <c r="A4212" t="s">
        <v>127</v>
      </c>
      <c r="B4212" t="s">
        <v>128</v>
      </c>
      <c r="C4212">
        <v>1230</v>
      </c>
      <c r="D4212" t="s">
        <v>20</v>
      </c>
      <c r="E4212" t="s">
        <v>24</v>
      </c>
      <c r="F4212" s="5">
        <v>42370</v>
      </c>
      <c r="G4212">
        <v>0</v>
      </c>
    </row>
    <row r="4213" spans="1:7" x14ac:dyDescent="0.25">
      <c r="A4213" t="s">
        <v>127</v>
      </c>
      <c r="B4213" t="s">
        <v>128</v>
      </c>
      <c r="C4213">
        <v>1230</v>
      </c>
      <c r="D4213" t="s">
        <v>20</v>
      </c>
      <c r="E4213" t="s">
        <v>24</v>
      </c>
      <c r="F4213" s="5">
        <v>42736</v>
      </c>
      <c r="G4213">
        <v>0</v>
      </c>
    </row>
    <row r="4214" spans="1:7" x14ac:dyDescent="0.25">
      <c r="A4214" t="s">
        <v>127</v>
      </c>
      <c r="B4214" t="s">
        <v>128</v>
      </c>
      <c r="C4214">
        <v>1230</v>
      </c>
      <c r="D4214" t="s">
        <v>20</v>
      </c>
      <c r="E4214" t="s">
        <v>25</v>
      </c>
      <c r="F4214" s="5">
        <v>42370</v>
      </c>
      <c r="G4214">
        <v>0</v>
      </c>
    </row>
    <row r="4215" spans="1:7" x14ac:dyDescent="0.25">
      <c r="A4215" t="s">
        <v>127</v>
      </c>
      <c r="B4215" t="s">
        <v>128</v>
      </c>
      <c r="C4215">
        <v>1230</v>
      </c>
      <c r="D4215" t="s">
        <v>20</v>
      </c>
      <c r="E4215" t="s">
        <v>25</v>
      </c>
      <c r="F4215" s="5">
        <v>42736</v>
      </c>
      <c r="G4215">
        <v>0</v>
      </c>
    </row>
    <row r="4216" spans="1:7" x14ac:dyDescent="0.25">
      <c r="A4216" t="s">
        <v>127</v>
      </c>
      <c r="B4216" t="s">
        <v>128</v>
      </c>
      <c r="C4216">
        <v>1230</v>
      </c>
      <c r="D4216" t="s">
        <v>20</v>
      </c>
      <c r="E4216" t="s">
        <v>26</v>
      </c>
      <c r="F4216" s="5">
        <v>42370</v>
      </c>
      <c r="G4216">
        <v>101</v>
      </c>
    </row>
    <row r="4217" spans="1:7" x14ac:dyDescent="0.25">
      <c r="A4217" t="s">
        <v>127</v>
      </c>
      <c r="B4217" t="s">
        <v>128</v>
      </c>
      <c r="C4217">
        <v>1230</v>
      </c>
      <c r="D4217" t="s">
        <v>20</v>
      </c>
      <c r="E4217" t="s">
        <v>26</v>
      </c>
      <c r="F4217" s="5">
        <v>42736</v>
      </c>
      <c r="G4217">
        <v>151</v>
      </c>
    </row>
    <row r="4218" spans="1:7" x14ac:dyDescent="0.25">
      <c r="A4218" t="s">
        <v>127</v>
      </c>
      <c r="B4218" t="s">
        <v>128</v>
      </c>
      <c r="C4218">
        <v>1230</v>
      </c>
      <c r="D4218" t="s">
        <v>20</v>
      </c>
      <c r="E4218" t="s">
        <v>27</v>
      </c>
      <c r="F4218" s="5">
        <v>42370</v>
      </c>
      <c r="G4218">
        <v>0</v>
      </c>
    </row>
    <row r="4219" spans="1:7" x14ac:dyDescent="0.25">
      <c r="A4219" t="s">
        <v>127</v>
      </c>
      <c r="B4219" t="s">
        <v>128</v>
      </c>
      <c r="C4219">
        <v>1230</v>
      </c>
      <c r="D4219" t="s">
        <v>20</v>
      </c>
      <c r="E4219" t="s">
        <v>27</v>
      </c>
      <c r="F4219" s="5">
        <v>42736</v>
      </c>
      <c r="G4219">
        <v>0</v>
      </c>
    </row>
    <row r="4220" spans="1:7" x14ac:dyDescent="0.25">
      <c r="A4220" t="s">
        <v>127</v>
      </c>
      <c r="B4220" t="s">
        <v>128</v>
      </c>
      <c r="C4220">
        <v>1230</v>
      </c>
      <c r="D4220" t="s">
        <v>20</v>
      </c>
      <c r="E4220" t="s">
        <v>28</v>
      </c>
      <c r="F4220" s="5">
        <v>42370</v>
      </c>
      <c r="G4220">
        <v>0</v>
      </c>
    </row>
    <row r="4221" spans="1:7" x14ac:dyDescent="0.25">
      <c r="A4221" t="s">
        <v>127</v>
      </c>
      <c r="B4221" t="s">
        <v>128</v>
      </c>
      <c r="C4221">
        <v>1230</v>
      </c>
      <c r="D4221" t="s">
        <v>20</v>
      </c>
      <c r="E4221" t="s">
        <v>28</v>
      </c>
      <c r="F4221" s="5">
        <v>42736</v>
      </c>
      <c r="G4221">
        <v>0</v>
      </c>
    </row>
    <row r="4222" spans="1:7" x14ac:dyDescent="0.25">
      <c r="A4222" t="s">
        <v>127</v>
      </c>
      <c r="B4222" t="s">
        <v>128</v>
      </c>
      <c r="C4222">
        <v>1230</v>
      </c>
      <c r="D4222" t="s">
        <v>20</v>
      </c>
      <c r="E4222" t="s">
        <v>29</v>
      </c>
      <c r="F4222" s="5">
        <v>42370</v>
      </c>
      <c r="G4222">
        <v>96</v>
      </c>
    </row>
    <row r="4223" spans="1:7" x14ac:dyDescent="0.25">
      <c r="A4223" t="s">
        <v>127</v>
      </c>
      <c r="B4223" t="s">
        <v>128</v>
      </c>
      <c r="C4223">
        <v>1230</v>
      </c>
      <c r="D4223" t="s">
        <v>20</v>
      </c>
      <c r="E4223" t="s">
        <v>29</v>
      </c>
      <c r="F4223" s="5">
        <v>42736</v>
      </c>
      <c r="G4223">
        <v>152</v>
      </c>
    </row>
    <row r="4224" spans="1:7" x14ac:dyDescent="0.25">
      <c r="A4224" t="s">
        <v>127</v>
      </c>
      <c r="B4224" t="s">
        <v>128</v>
      </c>
      <c r="C4224">
        <v>1230</v>
      </c>
      <c r="D4224" t="s">
        <v>20</v>
      </c>
      <c r="E4224" t="s">
        <v>30</v>
      </c>
      <c r="F4224" s="5">
        <v>42370</v>
      </c>
      <c r="G4224">
        <v>96</v>
      </c>
    </row>
    <row r="4225" spans="1:7" x14ac:dyDescent="0.25">
      <c r="A4225" t="s">
        <v>127</v>
      </c>
      <c r="B4225" t="s">
        <v>128</v>
      </c>
      <c r="C4225">
        <v>1230</v>
      </c>
      <c r="D4225" t="s">
        <v>20</v>
      </c>
      <c r="E4225" t="s">
        <v>30</v>
      </c>
      <c r="F4225" s="5">
        <v>42736</v>
      </c>
      <c r="G4225">
        <v>150</v>
      </c>
    </row>
    <row r="4226" spans="1:7" x14ac:dyDescent="0.25">
      <c r="A4226" t="s">
        <v>127</v>
      </c>
      <c r="B4226" t="s">
        <v>128</v>
      </c>
      <c r="C4226">
        <v>1230</v>
      </c>
      <c r="D4226" t="s">
        <v>20</v>
      </c>
      <c r="E4226" t="s">
        <v>31</v>
      </c>
      <c r="F4226" s="5">
        <v>42370</v>
      </c>
      <c r="G4226">
        <v>189</v>
      </c>
    </row>
    <row r="4227" spans="1:7" x14ac:dyDescent="0.25">
      <c r="A4227" t="s">
        <v>127</v>
      </c>
      <c r="B4227" t="s">
        <v>128</v>
      </c>
      <c r="C4227">
        <v>1230</v>
      </c>
      <c r="D4227" t="s">
        <v>20</v>
      </c>
      <c r="E4227" t="s">
        <v>31</v>
      </c>
      <c r="F4227" s="5">
        <v>42736</v>
      </c>
      <c r="G4227">
        <v>310</v>
      </c>
    </row>
    <row r="4228" spans="1:7" x14ac:dyDescent="0.25">
      <c r="A4228" t="s">
        <v>127</v>
      </c>
      <c r="B4228" t="s">
        <v>128</v>
      </c>
      <c r="C4228">
        <v>1230</v>
      </c>
      <c r="D4228" t="s">
        <v>20</v>
      </c>
      <c r="E4228" t="s">
        <v>32</v>
      </c>
      <c r="F4228" s="5">
        <v>42370</v>
      </c>
      <c r="G4228">
        <v>94</v>
      </c>
    </row>
    <row r="4229" spans="1:7" x14ac:dyDescent="0.25">
      <c r="A4229" t="s">
        <v>127</v>
      </c>
      <c r="B4229" t="s">
        <v>128</v>
      </c>
      <c r="C4229">
        <v>1230</v>
      </c>
      <c r="D4229" t="s">
        <v>20</v>
      </c>
      <c r="E4229" t="s">
        <v>32</v>
      </c>
      <c r="F4229" s="5">
        <v>42736</v>
      </c>
      <c r="G4229">
        <v>157</v>
      </c>
    </row>
    <row r="4230" spans="1:7" x14ac:dyDescent="0.25">
      <c r="A4230" t="s">
        <v>127</v>
      </c>
      <c r="B4230" t="s">
        <v>128</v>
      </c>
      <c r="C4230">
        <v>1230</v>
      </c>
      <c r="D4230" t="s">
        <v>33</v>
      </c>
      <c r="E4230" t="s">
        <v>9</v>
      </c>
      <c r="F4230" s="5">
        <v>42370</v>
      </c>
      <c r="G4230">
        <v>0</v>
      </c>
    </row>
    <row r="4231" spans="1:7" x14ac:dyDescent="0.25">
      <c r="A4231" t="s">
        <v>127</v>
      </c>
      <c r="B4231" t="s">
        <v>128</v>
      </c>
      <c r="C4231">
        <v>1230</v>
      </c>
      <c r="D4231" t="s">
        <v>33</v>
      </c>
      <c r="E4231" t="s">
        <v>9</v>
      </c>
      <c r="F4231" s="5">
        <v>42736</v>
      </c>
      <c r="G4231">
        <v>0</v>
      </c>
    </row>
    <row r="4232" spans="1:7" x14ac:dyDescent="0.25">
      <c r="A4232" t="s">
        <v>127</v>
      </c>
      <c r="B4232" t="s">
        <v>128</v>
      </c>
      <c r="C4232">
        <v>1230</v>
      </c>
      <c r="D4232" t="s">
        <v>33</v>
      </c>
      <c r="E4232" t="s">
        <v>34</v>
      </c>
      <c r="F4232" s="5">
        <v>42370</v>
      </c>
      <c r="G4232">
        <v>0</v>
      </c>
    </row>
    <row r="4233" spans="1:7" x14ac:dyDescent="0.25">
      <c r="A4233" t="s">
        <v>127</v>
      </c>
      <c r="B4233" t="s">
        <v>128</v>
      </c>
      <c r="C4233">
        <v>1230</v>
      </c>
      <c r="D4233" t="s">
        <v>33</v>
      </c>
      <c r="E4233" t="s">
        <v>34</v>
      </c>
      <c r="F4233" s="5">
        <v>42736</v>
      </c>
      <c r="G4233">
        <v>0</v>
      </c>
    </row>
    <row r="4234" spans="1:7" x14ac:dyDescent="0.25">
      <c r="A4234" t="s">
        <v>127</v>
      </c>
      <c r="B4234" t="s">
        <v>128</v>
      </c>
      <c r="C4234">
        <v>1230</v>
      </c>
      <c r="D4234" t="s">
        <v>35</v>
      </c>
      <c r="E4234" t="s">
        <v>36</v>
      </c>
      <c r="F4234" s="5">
        <v>42370</v>
      </c>
      <c r="G4234">
        <v>0</v>
      </c>
    </row>
    <row r="4235" spans="1:7" x14ac:dyDescent="0.25">
      <c r="A4235" t="s">
        <v>127</v>
      </c>
      <c r="B4235" t="s">
        <v>128</v>
      </c>
      <c r="C4235">
        <v>1230</v>
      </c>
      <c r="D4235" t="s">
        <v>35</v>
      </c>
      <c r="E4235" t="s">
        <v>36</v>
      </c>
      <c r="F4235" s="5">
        <v>42736</v>
      </c>
      <c r="G4235">
        <v>0</v>
      </c>
    </row>
    <row r="4236" spans="1:7" x14ac:dyDescent="0.25">
      <c r="A4236" t="s">
        <v>127</v>
      </c>
      <c r="B4236" t="s">
        <v>128</v>
      </c>
      <c r="C4236">
        <v>1230</v>
      </c>
      <c r="D4236" t="s">
        <v>35</v>
      </c>
      <c r="E4236" t="s">
        <v>37</v>
      </c>
      <c r="F4236" s="5">
        <v>42370</v>
      </c>
      <c r="G4236">
        <v>0</v>
      </c>
    </row>
    <row r="4237" spans="1:7" x14ac:dyDescent="0.25">
      <c r="A4237" t="s">
        <v>127</v>
      </c>
      <c r="B4237" t="s">
        <v>128</v>
      </c>
      <c r="C4237">
        <v>1230</v>
      </c>
      <c r="D4237" t="s">
        <v>35</v>
      </c>
      <c r="E4237" t="s">
        <v>37</v>
      </c>
      <c r="F4237" s="5">
        <v>42736</v>
      </c>
      <c r="G4237">
        <v>0</v>
      </c>
    </row>
    <row r="4238" spans="1:7" x14ac:dyDescent="0.25">
      <c r="A4238" t="s">
        <v>127</v>
      </c>
      <c r="B4238" t="s">
        <v>128</v>
      </c>
      <c r="C4238">
        <v>1230</v>
      </c>
      <c r="D4238" t="s">
        <v>35</v>
      </c>
      <c r="E4238" t="s">
        <v>38</v>
      </c>
      <c r="F4238" s="5">
        <v>42370</v>
      </c>
      <c r="G4238">
        <v>0</v>
      </c>
    </row>
    <row r="4239" spans="1:7" x14ac:dyDescent="0.25">
      <c r="A4239" t="s">
        <v>127</v>
      </c>
      <c r="B4239" t="s">
        <v>128</v>
      </c>
      <c r="C4239">
        <v>1230</v>
      </c>
      <c r="D4239" t="s">
        <v>35</v>
      </c>
      <c r="E4239" t="s">
        <v>38</v>
      </c>
      <c r="F4239" s="5">
        <v>42736</v>
      </c>
      <c r="G4239">
        <v>0</v>
      </c>
    </row>
    <row r="4240" spans="1:7" x14ac:dyDescent="0.25">
      <c r="A4240" t="s">
        <v>127</v>
      </c>
      <c r="B4240" t="s">
        <v>128</v>
      </c>
      <c r="C4240">
        <v>1230</v>
      </c>
      <c r="D4240" t="s">
        <v>35</v>
      </c>
      <c r="E4240" t="s">
        <v>39</v>
      </c>
      <c r="F4240" s="5">
        <v>42370</v>
      </c>
      <c r="G4240">
        <v>0</v>
      </c>
    </row>
    <row r="4241" spans="1:7" x14ac:dyDescent="0.25">
      <c r="A4241" t="s">
        <v>127</v>
      </c>
      <c r="B4241" t="s">
        <v>128</v>
      </c>
      <c r="C4241">
        <v>1230</v>
      </c>
      <c r="D4241" t="s">
        <v>35</v>
      </c>
      <c r="E4241" t="s">
        <v>39</v>
      </c>
      <c r="F4241" s="5">
        <v>42736</v>
      </c>
      <c r="G4241">
        <v>0</v>
      </c>
    </row>
    <row r="4242" spans="1:7" x14ac:dyDescent="0.25">
      <c r="A4242" t="s">
        <v>127</v>
      </c>
      <c r="B4242" t="s">
        <v>128</v>
      </c>
      <c r="C4242">
        <v>1230</v>
      </c>
      <c r="D4242" t="s">
        <v>35</v>
      </c>
      <c r="E4242" t="s">
        <v>40</v>
      </c>
      <c r="F4242" s="5">
        <v>42370</v>
      </c>
      <c r="G4242">
        <v>0</v>
      </c>
    </row>
    <row r="4243" spans="1:7" x14ac:dyDescent="0.25">
      <c r="A4243" t="s">
        <v>127</v>
      </c>
      <c r="B4243" t="s">
        <v>128</v>
      </c>
      <c r="C4243">
        <v>1230</v>
      </c>
      <c r="D4243" t="s">
        <v>35</v>
      </c>
      <c r="E4243" t="s">
        <v>40</v>
      </c>
      <c r="F4243" s="5">
        <v>42736</v>
      </c>
      <c r="G4243">
        <v>0</v>
      </c>
    </row>
    <row r="4244" spans="1:7" x14ac:dyDescent="0.25">
      <c r="A4244" t="s">
        <v>127</v>
      </c>
      <c r="B4244" t="s">
        <v>128</v>
      </c>
      <c r="C4244">
        <v>1230</v>
      </c>
      <c r="D4244" t="s">
        <v>35</v>
      </c>
      <c r="E4244" t="s">
        <v>41</v>
      </c>
      <c r="F4244" s="5">
        <v>42370</v>
      </c>
      <c r="G4244">
        <v>0</v>
      </c>
    </row>
    <row r="4245" spans="1:7" x14ac:dyDescent="0.25">
      <c r="A4245" t="s">
        <v>127</v>
      </c>
      <c r="B4245" t="s">
        <v>128</v>
      </c>
      <c r="C4245">
        <v>1230</v>
      </c>
      <c r="D4245" t="s">
        <v>35</v>
      </c>
      <c r="E4245" t="s">
        <v>41</v>
      </c>
      <c r="F4245" s="5">
        <v>42736</v>
      </c>
      <c r="G4245">
        <v>1</v>
      </c>
    </row>
    <row r="4246" spans="1:7" x14ac:dyDescent="0.25">
      <c r="A4246" t="s">
        <v>127</v>
      </c>
      <c r="B4246" t="s">
        <v>128</v>
      </c>
      <c r="C4246">
        <v>1230</v>
      </c>
      <c r="D4246" t="s">
        <v>35</v>
      </c>
      <c r="E4246" t="s">
        <v>42</v>
      </c>
      <c r="F4246" s="5">
        <v>42370</v>
      </c>
      <c r="G4246">
        <v>0</v>
      </c>
    </row>
    <row r="4247" spans="1:7" x14ac:dyDescent="0.25">
      <c r="A4247" t="s">
        <v>127</v>
      </c>
      <c r="B4247" t="s">
        <v>128</v>
      </c>
      <c r="C4247">
        <v>1230</v>
      </c>
      <c r="D4247" t="s">
        <v>35</v>
      </c>
      <c r="E4247" t="s">
        <v>42</v>
      </c>
      <c r="F4247" s="5">
        <v>42736</v>
      </c>
      <c r="G4247">
        <v>0</v>
      </c>
    </row>
    <row r="4248" spans="1:7" x14ac:dyDescent="0.25">
      <c r="A4248" t="s">
        <v>127</v>
      </c>
      <c r="B4248" t="s">
        <v>128</v>
      </c>
      <c r="C4248">
        <v>1230</v>
      </c>
      <c r="D4248" t="s">
        <v>35</v>
      </c>
      <c r="E4248" t="s">
        <v>43</v>
      </c>
      <c r="F4248" s="5">
        <v>42370</v>
      </c>
      <c r="G4248">
        <v>0</v>
      </c>
    </row>
    <row r="4249" spans="1:7" x14ac:dyDescent="0.25">
      <c r="A4249" t="s">
        <v>127</v>
      </c>
      <c r="B4249" t="s">
        <v>128</v>
      </c>
      <c r="C4249">
        <v>1230</v>
      </c>
      <c r="D4249" t="s">
        <v>35</v>
      </c>
      <c r="E4249" t="s">
        <v>43</v>
      </c>
      <c r="F4249" s="5">
        <v>42736</v>
      </c>
      <c r="G4249">
        <v>0</v>
      </c>
    </row>
    <row r="4250" spans="1:7" x14ac:dyDescent="0.25">
      <c r="A4250" t="s">
        <v>127</v>
      </c>
      <c r="B4250" t="s">
        <v>128</v>
      </c>
      <c r="C4250">
        <v>1230</v>
      </c>
      <c r="D4250" t="s">
        <v>44</v>
      </c>
      <c r="E4250" t="s">
        <v>36</v>
      </c>
      <c r="F4250" s="5">
        <v>42370</v>
      </c>
      <c r="G4250">
        <v>0</v>
      </c>
    </row>
    <row r="4251" spans="1:7" x14ac:dyDescent="0.25">
      <c r="A4251" t="s">
        <v>127</v>
      </c>
      <c r="B4251" t="s">
        <v>128</v>
      </c>
      <c r="C4251">
        <v>1230</v>
      </c>
      <c r="D4251" t="s">
        <v>44</v>
      </c>
      <c r="E4251" t="s">
        <v>36</v>
      </c>
      <c r="F4251" s="5">
        <v>42736</v>
      </c>
      <c r="G4251">
        <v>0</v>
      </c>
    </row>
    <row r="4252" spans="1:7" x14ac:dyDescent="0.25">
      <c r="A4252" t="s">
        <v>127</v>
      </c>
      <c r="B4252" t="s">
        <v>128</v>
      </c>
      <c r="C4252">
        <v>1230</v>
      </c>
      <c r="D4252" t="s">
        <v>44</v>
      </c>
      <c r="E4252" t="s">
        <v>37</v>
      </c>
      <c r="F4252" s="5">
        <v>42370</v>
      </c>
      <c r="G4252">
        <v>0</v>
      </c>
    </row>
    <row r="4253" spans="1:7" x14ac:dyDescent="0.25">
      <c r="A4253" t="s">
        <v>127</v>
      </c>
      <c r="B4253" t="s">
        <v>128</v>
      </c>
      <c r="C4253">
        <v>1230</v>
      </c>
      <c r="D4253" t="s">
        <v>44</v>
      </c>
      <c r="E4253" t="s">
        <v>37</v>
      </c>
      <c r="F4253" s="5">
        <v>42736</v>
      </c>
      <c r="G4253">
        <v>0</v>
      </c>
    </row>
    <row r="4254" spans="1:7" x14ac:dyDescent="0.25">
      <c r="A4254" t="s">
        <v>127</v>
      </c>
      <c r="B4254" t="s">
        <v>128</v>
      </c>
      <c r="C4254">
        <v>1230</v>
      </c>
      <c r="D4254" t="s">
        <v>44</v>
      </c>
      <c r="E4254" t="s">
        <v>38</v>
      </c>
      <c r="F4254" s="5">
        <v>42370</v>
      </c>
      <c r="G4254">
        <v>0</v>
      </c>
    </row>
    <row r="4255" spans="1:7" x14ac:dyDescent="0.25">
      <c r="A4255" t="s">
        <v>127</v>
      </c>
      <c r="B4255" t="s">
        <v>128</v>
      </c>
      <c r="C4255">
        <v>1230</v>
      </c>
      <c r="D4255" t="s">
        <v>44</v>
      </c>
      <c r="E4255" t="s">
        <v>38</v>
      </c>
      <c r="F4255" s="5">
        <v>42736</v>
      </c>
      <c r="G4255">
        <v>0</v>
      </c>
    </row>
    <row r="4256" spans="1:7" x14ac:dyDescent="0.25">
      <c r="A4256" t="s">
        <v>127</v>
      </c>
      <c r="B4256" t="s">
        <v>128</v>
      </c>
      <c r="C4256">
        <v>1230</v>
      </c>
      <c r="D4256" t="s">
        <v>44</v>
      </c>
      <c r="E4256" t="s">
        <v>39</v>
      </c>
      <c r="F4256" s="5">
        <v>42370</v>
      </c>
      <c r="G4256">
        <v>0</v>
      </c>
    </row>
    <row r="4257" spans="1:7" x14ac:dyDescent="0.25">
      <c r="A4257" t="s">
        <v>127</v>
      </c>
      <c r="B4257" t="s">
        <v>128</v>
      </c>
      <c r="C4257">
        <v>1230</v>
      </c>
      <c r="D4257" t="s">
        <v>44</v>
      </c>
      <c r="E4257" t="s">
        <v>39</v>
      </c>
      <c r="F4257" s="5">
        <v>42736</v>
      </c>
      <c r="G4257">
        <v>0</v>
      </c>
    </row>
    <row r="4258" spans="1:7" x14ac:dyDescent="0.25">
      <c r="A4258" t="s">
        <v>127</v>
      </c>
      <c r="B4258" t="s">
        <v>128</v>
      </c>
      <c r="C4258">
        <v>1230</v>
      </c>
      <c r="D4258" t="s">
        <v>44</v>
      </c>
      <c r="E4258" t="s">
        <v>40</v>
      </c>
      <c r="F4258" s="5">
        <v>42370</v>
      </c>
      <c r="G4258">
        <v>0</v>
      </c>
    </row>
    <row r="4259" spans="1:7" x14ac:dyDescent="0.25">
      <c r="A4259" t="s">
        <v>127</v>
      </c>
      <c r="B4259" t="s">
        <v>128</v>
      </c>
      <c r="C4259">
        <v>1230</v>
      </c>
      <c r="D4259" t="s">
        <v>44</v>
      </c>
      <c r="E4259" t="s">
        <v>40</v>
      </c>
      <c r="F4259" s="5">
        <v>42736</v>
      </c>
      <c r="G4259">
        <v>0</v>
      </c>
    </row>
    <row r="4260" spans="1:7" x14ac:dyDescent="0.25">
      <c r="A4260" t="s">
        <v>127</v>
      </c>
      <c r="B4260" t="s">
        <v>128</v>
      </c>
      <c r="C4260">
        <v>1230</v>
      </c>
      <c r="D4260" t="s">
        <v>44</v>
      </c>
      <c r="E4260" t="s">
        <v>41</v>
      </c>
      <c r="F4260" s="5">
        <v>42370</v>
      </c>
      <c r="G4260">
        <v>0</v>
      </c>
    </row>
    <row r="4261" spans="1:7" x14ac:dyDescent="0.25">
      <c r="A4261" t="s">
        <v>127</v>
      </c>
      <c r="B4261" t="s">
        <v>128</v>
      </c>
      <c r="C4261">
        <v>1230</v>
      </c>
      <c r="D4261" t="s">
        <v>44</v>
      </c>
      <c r="E4261" t="s">
        <v>41</v>
      </c>
      <c r="F4261" s="5">
        <v>42736</v>
      </c>
      <c r="G4261">
        <v>0</v>
      </c>
    </row>
    <row r="4262" spans="1:7" x14ac:dyDescent="0.25">
      <c r="A4262" t="s">
        <v>127</v>
      </c>
      <c r="B4262" t="s">
        <v>128</v>
      </c>
      <c r="C4262">
        <v>1230</v>
      </c>
      <c r="D4262" t="s">
        <v>44</v>
      </c>
      <c r="E4262" t="s">
        <v>42</v>
      </c>
      <c r="F4262" s="5">
        <v>42370</v>
      </c>
      <c r="G4262">
        <v>0</v>
      </c>
    </row>
    <row r="4263" spans="1:7" x14ac:dyDescent="0.25">
      <c r="A4263" t="s">
        <v>127</v>
      </c>
      <c r="B4263" t="s">
        <v>128</v>
      </c>
      <c r="C4263">
        <v>1230</v>
      </c>
      <c r="D4263" t="s">
        <v>44</v>
      </c>
      <c r="E4263" t="s">
        <v>42</v>
      </c>
      <c r="F4263" s="5">
        <v>42736</v>
      </c>
      <c r="G4263">
        <v>0</v>
      </c>
    </row>
    <row r="4264" spans="1:7" x14ac:dyDescent="0.25">
      <c r="A4264" t="s">
        <v>127</v>
      </c>
      <c r="B4264" t="s">
        <v>128</v>
      </c>
      <c r="C4264">
        <v>1230</v>
      </c>
      <c r="D4264" t="s">
        <v>44</v>
      </c>
      <c r="E4264" t="s">
        <v>43</v>
      </c>
      <c r="F4264" s="5">
        <v>42370</v>
      </c>
      <c r="G4264">
        <v>0</v>
      </c>
    </row>
    <row r="4265" spans="1:7" x14ac:dyDescent="0.25">
      <c r="A4265" t="s">
        <v>127</v>
      </c>
      <c r="B4265" t="s">
        <v>128</v>
      </c>
      <c r="C4265">
        <v>1230</v>
      </c>
      <c r="D4265" t="s">
        <v>44</v>
      </c>
      <c r="E4265" t="s">
        <v>43</v>
      </c>
      <c r="F4265" s="5">
        <v>42736</v>
      </c>
      <c r="G4265">
        <v>0</v>
      </c>
    </row>
    <row r="4266" spans="1:7" x14ac:dyDescent="0.25">
      <c r="A4266" t="s">
        <v>127</v>
      </c>
      <c r="B4266" t="s">
        <v>128</v>
      </c>
      <c r="C4266">
        <v>1230</v>
      </c>
      <c r="D4266" t="s">
        <v>45</v>
      </c>
      <c r="E4266" t="s">
        <v>46</v>
      </c>
      <c r="F4266" s="5">
        <v>42370</v>
      </c>
      <c r="G4266">
        <v>0</v>
      </c>
    </row>
    <row r="4267" spans="1:7" x14ac:dyDescent="0.25">
      <c r="A4267" t="s">
        <v>127</v>
      </c>
      <c r="B4267" t="s">
        <v>128</v>
      </c>
      <c r="C4267">
        <v>1230</v>
      </c>
      <c r="D4267" t="s">
        <v>45</v>
      </c>
      <c r="E4267" t="s">
        <v>46</v>
      </c>
      <c r="F4267" s="5">
        <v>42736</v>
      </c>
      <c r="G4267">
        <v>0</v>
      </c>
    </row>
    <row r="4268" spans="1:7" x14ac:dyDescent="0.25">
      <c r="A4268" t="s">
        <v>127</v>
      </c>
      <c r="B4268" t="s">
        <v>128</v>
      </c>
      <c r="C4268">
        <v>1230</v>
      </c>
      <c r="D4268" t="s">
        <v>45</v>
      </c>
      <c r="E4268" t="s">
        <v>47</v>
      </c>
      <c r="F4268" s="5">
        <v>42370</v>
      </c>
      <c r="G4268">
        <v>7</v>
      </c>
    </row>
    <row r="4269" spans="1:7" x14ac:dyDescent="0.25">
      <c r="A4269" t="s">
        <v>127</v>
      </c>
      <c r="B4269" t="s">
        <v>128</v>
      </c>
      <c r="C4269">
        <v>1230</v>
      </c>
      <c r="D4269" t="s">
        <v>45</v>
      </c>
      <c r="E4269" t="s">
        <v>47</v>
      </c>
      <c r="F4269" s="5">
        <v>42736</v>
      </c>
      <c r="G4269">
        <v>6</v>
      </c>
    </row>
    <row r="4270" spans="1:7" x14ac:dyDescent="0.25">
      <c r="A4270" t="s">
        <v>127</v>
      </c>
      <c r="B4270" t="s">
        <v>128</v>
      </c>
      <c r="C4270">
        <v>1230</v>
      </c>
      <c r="D4270" t="s">
        <v>45</v>
      </c>
      <c r="E4270" t="s">
        <v>48</v>
      </c>
      <c r="F4270" s="5">
        <v>42370</v>
      </c>
      <c r="G4270">
        <v>47</v>
      </c>
    </row>
    <row r="4271" spans="1:7" x14ac:dyDescent="0.25">
      <c r="A4271" t="s">
        <v>127</v>
      </c>
      <c r="B4271" t="s">
        <v>128</v>
      </c>
      <c r="C4271">
        <v>1230</v>
      </c>
      <c r="D4271" t="s">
        <v>45</v>
      </c>
      <c r="E4271" t="s">
        <v>48</v>
      </c>
      <c r="F4271" s="5">
        <v>42736</v>
      </c>
      <c r="G4271">
        <v>49</v>
      </c>
    </row>
    <row r="4272" spans="1:7" x14ac:dyDescent="0.25">
      <c r="A4272" t="s">
        <v>127</v>
      </c>
      <c r="B4272" t="s">
        <v>128</v>
      </c>
      <c r="C4272">
        <v>1230</v>
      </c>
      <c r="D4272" t="s">
        <v>45</v>
      </c>
      <c r="E4272" t="s">
        <v>49</v>
      </c>
      <c r="F4272" s="5">
        <v>42370</v>
      </c>
      <c r="G4272">
        <v>25</v>
      </c>
    </row>
    <row r="4273" spans="1:7" x14ac:dyDescent="0.25">
      <c r="A4273" t="s">
        <v>127</v>
      </c>
      <c r="B4273" t="s">
        <v>128</v>
      </c>
      <c r="C4273">
        <v>1230</v>
      </c>
      <c r="D4273" t="s">
        <v>45</v>
      </c>
      <c r="E4273" t="s">
        <v>49</v>
      </c>
      <c r="F4273" s="5">
        <v>42736</v>
      </c>
      <c r="G4273">
        <v>28</v>
      </c>
    </row>
    <row r="4274" spans="1:7" x14ac:dyDescent="0.25">
      <c r="A4274" t="s">
        <v>127</v>
      </c>
      <c r="B4274" t="s">
        <v>128</v>
      </c>
      <c r="C4274">
        <v>1230</v>
      </c>
      <c r="D4274" t="s">
        <v>45</v>
      </c>
      <c r="E4274" t="s">
        <v>50</v>
      </c>
      <c r="F4274" s="5">
        <v>42370</v>
      </c>
      <c r="G4274">
        <v>0</v>
      </c>
    </row>
    <row r="4275" spans="1:7" x14ac:dyDescent="0.25">
      <c r="A4275" t="s">
        <v>127</v>
      </c>
      <c r="B4275" t="s">
        <v>128</v>
      </c>
      <c r="C4275">
        <v>1230</v>
      </c>
      <c r="D4275" t="s">
        <v>45</v>
      </c>
      <c r="E4275" t="s">
        <v>50</v>
      </c>
      <c r="F4275" s="5">
        <v>42736</v>
      </c>
      <c r="G4275">
        <v>5</v>
      </c>
    </row>
    <row r="4276" spans="1:7" x14ac:dyDescent="0.25">
      <c r="A4276" t="s">
        <v>127</v>
      </c>
      <c r="B4276" t="s">
        <v>128</v>
      </c>
      <c r="C4276">
        <v>1230</v>
      </c>
      <c r="D4276" t="s">
        <v>45</v>
      </c>
      <c r="E4276" t="s">
        <v>51</v>
      </c>
      <c r="F4276" s="5">
        <v>42370</v>
      </c>
      <c r="G4276">
        <v>0</v>
      </c>
    </row>
    <row r="4277" spans="1:7" x14ac:dyDescent="0.25">
      <c r="A4277" t="s">
        <v>127</v>
      </c>
      <c r="B4277" t="s">
        <v>128</v>
      </c>
      <c r="C4277">
        <v>1230</v>
      </c>
      <c r="D4277" t="s">
        <v>45</v>
      </c>
      <c r="E4277" t="s">
        <v>51</v>
      </c>
      <c r="F4277" s="5">
        <v>42736</v>
      </c>
      <c r="G4277">
        <v>0</v>
      </c>
    </row>
    <row r="4278" spans="1:7" x14ac:dyDescent="0.25">
      <c r="A4278" t="s">
        <v>127</v>
      </c>
      <c r="B4278" t="s">
        <v>128</v>
      </c>
      <c r="C4278">
        <v>1230</v>
      </c>
      <c r="D4278" t="s">
        <v>45</v>
      </c>
      <c r="E4278" t="s">
        <v>52</v>
      </c>
      <c r="F4278" s="5">
        <v>42370</v>
      </c>
      <c r="G4278">
        <v>0</v>
      </c>
    </row>
    <row r="4279" spans="1:7" x14ac:dyDescent="0.25">
      <c r="A4279" t="s">
        <v>127</v>
      </c>
      <c r="B4279" t="s">
        <v>128</v>
      </c>
      <c r="C4279">
        <v>1230</v>
      </c>
      <c r="D4279" t="s">
        <v>45</v>
      </c>
      <c r="E4279" t="s">
        <v>52</v>
      </c>
      <c r="F4279" s="5">
        <v>42736</v>
      </c>
      <c r="G4279">
        <v>0</v>
      </c>
    </row>
    <row r="4280" spans="1:7" x14ac:dyDescent="0.25">
      <c r="A4280" t="s">
        <v>127</v>
      </c>
      <c r="B4280" t="s">
        <v>128</v>
      </c>
      <c r="C4280">
        <v>1230</v>
      </c>
      <c r="D4280" t="s">
        <v>45</v>
      </c>
      <c r="E4280" t="s">
        <v>53</v>
      </c>
      <c r="F4280" s="5">
        <v>42370</v>
      </c>
      <c r="G4280">
        <v>70</v>
      </c>
    </row>
    <row r="4281" spans="1:7" x14ac:dyDescent="0.25">
      <c r="A4281" t="s">
        <v>127</v>
      </c>
      <c r="B4281" t="s">
        <v>128</v>
      </c>
      <c r="C4281">
        <v>1230</v>
      </c>
      <c r="D4281" t="s">
        <v>45</v>
      </c>
      <c r="E4281" t="s">
        <v>53</v>
      </c>
      <c r="F4281" s="5">
        <v>42736</v>
      </c>
      <c r="G4281">
        <v>59</v>
      </c>
    </row>
    <row r="4282" spans="1:7" x14ac:dyDescent="0.25">
      <c r="A4282" t="s">
        <v>127</v>
      </c>
      <c r="B4282" t="s">
        <v>128</v>
      </c>
      <c r="C4282">
        <v>1230</v>
      </c>
      <c r="D4282" t="s">
        <v>45</v>
      </c>
      <c r="E4282" t="s">
        <v>54</v>
      </c>
      <c r="F4282" s="5">
        <v>42370</v>
      </c>
      <c r="G4282">
        <v>0</v>
      </c>
    </row>
    <row r="4283" spans="1:7" x14ac:dyDescent="0.25">
      <c r="A4283" t="s">
        <v>127</v>
      </c>
      <c r="B4283" t="s">
        <v>128</v>
      </c>
      <c r="C4283">
        <v>1230</v>
      </c>
      <c r="D4283" t="s">
        <v>45</v>
      </c>
      <c r="E4283" t="s">
        <v>54</v>
      </c>
      <c r="F4283" s="5">
        <v>42736</v>
      </c>
      <c r="G4283">
        <v>8</v>
      </c>
    </row>
    <row r="4284" spans="1:7" x14ac:dyDescent="0.25">
      <c r="A4284" t="s">
        <v>127</v>
      </c>
      <c r="B4284" t="s">
        <v>128</v>
      </c>
      <c r="C4284">
        <v>1230</v>
      </c>
      <c r="D4284" t="s">
        <v>45</v>
      </c>
      <c r="E4284" t="s">
        <v>55</v>
      </c>
      <c r="F4284" s="5">
        <v>42370</v>
      </c>
      <c r="G4284">
        <v>0</v>
      </c>
    </row>
    <row r="4285" spans="1:7" x14ac:dyDescent="0.25">
      <c r="A4285" t="s">
        <v>127</v>
      </c>
      <c r="B4285" t="s">
        <v>128</v>
      </c>
      <c r="C4285">
        <v>1230</v>
      </c>
      <c r="D4285" t="s">
        <v>45</v>
      </c>
      <c r="E4285" t="s">
        <v>55</v>
      </c>
      <c r="F4285" s="5">
        <v>42736</v>
      </c>
      <c r="G4285">
        <v>0</v>
      </c>
    </row>
    <row r="4286" spans="1:7" x14ac:dyDescent="0.25">
      <c r="A4286" t="s">
        <v>127</v>
      </c>
      <c r="B4286" t="s">
        <v>128</v>
      </c>
      <c r="C4286">
        <v>1230</v>
      </c>
      <c r="D4286" t="s">
        <v>45</v>
      </c>
      <c r="E4286" t="s">
        <v>56</v>
      </c>
      <c r="F4286" s="5">
        <v>42370</v>
      </c>
      <c r="G4286">
        <v>4</v>
      </c>
    </row>
    <row r="4287" spans="1:7" x14ac:dyDescent="0.25">
      <c r="A4287" t="s">
        <v>127</v>
      </c>
      <c r="B4287" t="s">
        <v>128</v>
      </c>
      <c r="C4287">
        <v>1230</v>
      </c>
      <c r="D4287" t="s">
        <v>45</v>
      </c>
      <c r="E4287" t="s">
        <v>56</v>
      </c>
      <c r="F4287" s="5">
        <v>42736</v>
      </c>
      <c r="G4287">
        <v>1</v>
      </c>
    </row>
    <row r="4288" spans="1:7" x14ac:dyDescent="0.25">
      <c r="A4288" t="s">
        <v>127</v>
      </c>
      <c r="B4288" t="s">
        <v>128</v>
      </c>
      <c r="C4288">
        <v>1230</v>
      </c>
      <c r="D4288" t="s">
        <v>45</v>
      </c>
      <c r="E4288" t="s">
        <v>57</v>
      </c>
      <c r="F4288" s="5">
        <v>42370</v>
      </c>
      <c r="G4288">
        <v>2</v>
      </c>
    </row>
    <row r="4289" spans="1:7" x14ac:dyDescent="0.25">
      <c r="A4289" t="s">
        <v>127</v>
      </c>
      <c r="B4289" t="s">
        <v>128</v>
      </c>
      <c r="C4289">
        <v>1230</v>
      </c>
      <c r="D4289" t="s">
        <v>45</v>
      </c>
      <c r="E4289" t="s">
        <v>57</v>
      </c>
      <c r="F4289" s="5">
        <v>42736</v>
      </c>
      <c r="G4289">
        <v>6</v>
      </c>
    </row>
    <row r="4290" spans="1:7" x14ac:dyDescent="0.25">
      <c r="A4290" t="s">
        <v>127</v>
      </c>
      <c r="B4290" t="s">
        <v>128</v>
      </c>
      <c r="C4290">
        <v>1230</v>
      </c>
      <c r="D4290" t="s">
        <v>45</v>
      </c>
      <c r="E4290" t="s">
        <v>58</v>
      </c>
      <c r="F4290" s="5">
        <v>42370</v>
      </c>
      <c r="G4290">
        <v>4</v>
      </c>
    </row>
    <row r="4291" spans="1:7" x14ac:dyDescent="0.25">
      <c r="A4291" t="s">
        <v>127</v>
      </c>
      <c r="B4291" t="s">
        <v>128</v>
      </c>
      <c r="C4291">
        <v>1230</v>
      </c>
      <c r="D4291" t="s">
        <v>45</v>
      </c>
      <c r="E4291" t="s">
        <v>58</v>
      </c>
      <c r="F4291" s="5">
        <v>42736</v>
      </c>
      <c r="G4291">
        <v>15</v>
      </c>
    </row>
    <row r="4292" spans="1:7" x14ac:dyDescent="0.25">
      <c r="A4292" t="s">
        <v>127</v>
      </c>
      <c r="B4292" t="s">
        <v>128</v>
      </c>
      <c r="C4292">
        <v>1230</v>
      </c>
      <c r="D4292" t="s">
        <v>45</v>
      </c>
      <c r="E4292" t="s">
        <v>59</v>
      </c>
      <c r="F4292" s="5">
        <v>42370</v>
      </c>
      <c r="G4292">
        <v>1</v>
      </c>
    </row>
    <row r="4293" spans="1:7" x14ac:dyDescent="0.25">
      <c r="A4293" t="s">
        <v>127</v>
      </c>
      <c r="B4293" t="s">
        <v>128</v>
      </c>
      <c r="C4293">
        <v>1230</v>
      </c>
      <c r="D4293" t="s">
        <v>45</v>
      </c>
      <c r="E4293" t="s">
        <v>59</v>
      </c>
      <c r="F4293" s="5">
        <v>42736</v>
      </c>
      <c r="G4293">
        <v>1</v>
      </c>
    </row>
    <row r="4294" spans="1:7" x14ac:dyDescent="0.25">
      <c r="A4294" t="s">
        <v>127</v>
      </c>
      <c r="B4294" t="s">
        <v>128</v>
      </c>
      <c r="C4294">
        <v>1230</v>
      </c>
      <c r="D4294" t="s">
        <v>45</v>
      </c>
      <c r="E4294" t="s">
        <v>60</v>
      </c>
      <c r="F4294" s="5">
        <v>42370</v>
      </c>
      <c r="G4294">
        <v>6</v>
      </c>
    </row>
    <row r="4295" spans="1:7" x14ac:dyDescent="0.25">
      <c r="A4295" t="s">
        <v>127</v>
      </c>
      <c r="B4295" t="s">
        <v>128</v>
      </c>
      <c r="C4295">
        <v>1230</v>
      </c>
      <c r="D4295" t="s">
        <v>45</v>
      </c>
      <c r="E4295" t="s">
        <v>60</v>
      </c>
      <c r="F4295" s="5">
        <v>42736</v>
      </c>
      <c r="G4295">
        <v>4</v>
      </c>
    </row>
    <row r="4296" spans="1:7" x14ac:dyDescent="0.25">
      <c r="A4296" t="s">
        <v>127</v>
      </c>
      <c r="B4296" t="s">
        <v>128</v>
      </c>
      <c r="C4296">
        <v>1230</v>
      </c>
      <c r="D4296" t="s">
        <v>45</v>
      </c>
      <c r="E4296" t="s">
        <v>61</v>
      </c>
      <c r="F4296" s="5">
        <v>42370</v>
      </c>
      <c r="G4296">
        <v>0</v>
      </c>
    </row>
    <row r="4297" spans="1:7" x14ac:dyDescent="0.25">
      <c r="A4297" t="s">
        <v>127</v>
      </c>
      <c r="B4297" t="s">
        <v>128</v>
      </c>
      <c r="C4297">
        <v>1230</v>
      </c>
      <c r="D4297" t="s">
        <v>45</v>
      </c>
      <c r="E4297" t="s">
        <v>61</v>
      </c>
      <c r="F4297" s="5">
        <v>42736</v>
      </c>
      <c r="G4297">
        <v>3</v>
      </c>
    </row>
    <row r="4298" spans="1:7" x14ac:dyDescent="0.25">
      <c r="A4298" t="s">
        <v>127</v>
      </c>
      <c r="B4298" t="s">
        <v>128</v>
      </c>
      <c r="C4298">
        <v>1230</v>
      </c>
      <c r="D4298" t="s">
        <v>62</v>
      </c>
      <c r="E4298" t="s">
        <v>63</v>
      </c>
      <c r="F4298" s="5">
        <v>42370</v>
      </c>
      <c r="G4298">
        <v>0</v>
      </c>
    </row>
    <row r="4299" spans="1:7" x14ac:dyDescent="0.25">
      <c r="A4299" t="s">
        <v>127</v>
      </c>
      <c r="B4299" t="s">
        <v>128</v>
      </c>
      <c r="C4299">
        <v>1230</v>
      </c>
      <c r="D4299" t="s">
        <v>62</v>
      </c>
      <c r="E4299" t="s">
        <v>63</v>
      </c>
      <c r="F4299" s="5">
        <v>42736</v>
      </c>
      <c r="G4299">
        <v>0</v>
      </c>
    </row>
    <row r="4300" spans="1:7" x14ac:dyDescent="0.25">
      <c r="A4300" t="s">
        <v>127</v>
      </c>
      <c r="B4300" t="s">
        <v>128</v>
      </c>
      <c r="C4300">
        <v>1230</v>
      </c>
      <c r="D4300" t="s">
        <v>62</v>
      </c>
      <c r="E4300" t="s">
        <v>64</v>
      </c>
      <c r="F4300" s="5">
        <v>42370</v>
      </c>
      <c r="G4300">
        <v>0</v>
      </c>
    </row>
    <row r="4301" spans="1:7" x14ac:dyDescent="0.25">
      <c r="A4301" t="s">
        <v>127</v>
      </c>
      <c r="B4301" t="s">
        <v>128</v>
      </c>
      <c r="C4301">
        <v>1230</v>
      </c>
      <c r="D4301" t="s">
        <v>62</v>
      </c>
      <c r="E4301" t="s">
        <v>64</v>
      </c>
      <c r="F4301" s="5">
        <v>42736</v>
      </c>
      <c r="G4301">
        <v>0</v>
      </c>
    </row>
    <row r="4302" spans="1:7" x14ac:dyDescent="0.25">
      <c r="A4302" t="s">
        <v>127</v>
      </c>
      <c r="B4302" t="s">
        <v>128</v>
      </c>
      <c r="C4302">
        <v>1230</v>
      </c>
      <c r="D4302" t="s">
        <v>62</v>
      </c>
      <c r="E4302" t="s">
        <v>9</v>
      </c>
      <c r="F4302" s="5">
        <v>42370</v>
      </c>
      <c r="G4302">
        <v>0</v>
      </c>
    </row>
    <row r="4303" spans="1:7" x14ac:dyDescent="0.25">
      <c r="A4303" t="s">
        <v>127</v>
      </c>
      <c r="B4303" t="s">
        <v>128</v>
      </c>
      <c r="C4303">
        <v>1230</v>
      </c>
      <c r="D4303" t="s">
        <v>62</v>
      </c>
      <c r="E4303" t="s">
        <v>9</v>
      </c>
      <c r="F4303" s="5">
        <v>42736</v>
      </c>
      <c r="G4303">
        <v>0</v>
      </c>
    </row>
    <row r="4304" spans="1:7" x14ac:dyDescent="0.25">
      <c r="A4304" t="s">
        <v>127</v>
      </c>
      <c r="B4304" t="s">
        <v>128</v>
      </c>
      <c r="C4304">
        <v>1230</v>
      </c>
      <c r="D4304" t="s">
        <v>62</v>
      </c>
      <c r="E4304" t="s">
        <v>65</v>
      </c>
      <c r="F4304" s="5">
        <v>42370</v>
      </c>
      <c r="G4304">
        <v>0</v>
      </c>
    </row>
    <row r="4305" spans="1:7" x14ac:dyDescent="0.25">
      <c r="A4305" t="s">
        <v>127</v>
      </c>
      <c r="B4305" t="s">
        <v>128</v>
      </c>
      <c r="C4305">
        <v>1230</v>
      </c>
      <c r="D4305" t="s">
        <v>62</v>
      </c>
      <c r="E4305" t="s">
        <v>65</v>
      </c>
      <c r="F4305" s="5">
        <v>42736</v>
      </c>
      <c r="G4305">
        <v>0</v>
      </c>
    </row>
    <row r="4306" spans="1:7" x14ac:dyDescent="0.25">
      <c r="A4306" t="s">
        <v>127</v>
      </c>
      <c r="B4306" t="s">
        <v>128</v>
      </c>
      <c r="C4306">
        <v>1230</v>
      </c>
      <c r="D4306" t="s">
        <v>62</v>
      </c>
      <c r="E4306" t="s">
        <v>66</v>
      </c>
      <c r="F4306" s="5">
        <v>42370</v>
      </c>
      <c r="G4306">
        <v>0</v>
      </c>
    </row>
    <row r="4307" spans="1:7" x14ac:dyDescent="0.25">
      <c r="A4307" t="s">
        <v>127</v>
      </c>
      <c r="B4307" t="s">
        <v>128</v>
      </c>
      <c r="C4307">
        <v>1230</v>
      </c>
      <c r="D4307" t="s">
        <v>62</v>
      </c>
      <c r="E4307" t="s">
        <v>66</v>
      </c>
      <c r="F4307" s="5">
        <v>42736</v>
      </c>
      <c r="G4307">
        <v>0</v>
      </c>
    </row>
    <row r="4308" spans="1:7" x14ac:dyDescent="0.25">
      <c r="A4308" t="s">
        <v>127</v>
      </c>
      <c r="B4308" t="s">
        <v>128</v>
      </c>
      <c r="C4308">
        <v>1230</v>
      </c>
      <c r="D4308" t="s">
        <v>62</v>
      </c>
      <c r="E4308" t="s">
        <v>67</v>
      </c>
      <c r="F4308" s="5">
        <v>42370</v>
      </c>
      <c r="G4308">
        <v>0</v>
      </c>
    </row>
    <row r="4309" spans="1:7" x14ac:dyDescent="0.25">
      <c r="A4309" t="s">
        <v>127</v>
      </c>
      <c r="B4309" t="s">
        <v>128</v>
      </c>
      <c r="C4309">
        <v>1230</v>
      </c>
      <c r="D4309" t="s">
        <v>62</v>
      </c>
      <c r="E4309" t="s">
        <v>67</v>
      </c>
      <c r="F4309" s="5">
        <v>42736</v>
      </c>
      <c r="G4309">
        <v>0</v>
      </c>
    </row>
    <row r="4310" spans="1:7" x14ac:dyDescent="0.25">
      <c r="A4310" t="s">
        <v>127</v>
      </c>
      <c r="B4310" t="s">
        <v>128</v>
      </c>
      <c r="C4310">
        <v>1230</v>
      </c>
      <c r="D4310" t="s">
        <v>62</v>
      </c>
      <c r="E4310" t="s">
        <v>68</v>
      </c>
      <c r="F4310" s="5">
        <v>42370</v>
      </c>
      <c r="G4310">
        <v>0</v>
      </c>
    </row>
    <row r="4311" spans="1:7" x14ac:dyDescent="0.25">
      <c r="A4311" t="s">
        <v>127</v>
      </c>
      <c r="B4311" t="s">
        <v>128</v>
      </c>
      <c r="C4311">
        <v>1230</v>
      </c>
      <c r="D4311" t="s">
        <v>62</v>
      </c>
      <c r="E4311" t="s">
        <v>68</v>
      </c>
      <c r="F4311" s="5">
        <v>42736</v>
      </c>
      <c r="G4311">
        <v>0</v>
      </c>
    </row>
    <row r="4312" spans="1:7" x14ac:dyDescent="0.25">
      <c r="A4312" t="s">
        <v>127</v>
      </c>
      <c r="B4312" t="s">
        <v>128</v>
      </c>
      <c r="C4312">
        <v>1230</v>
      </c>
      <c r="D4312" t="s">
        <v>62</v>
      </c>
      <c r="E4312" t="s">
        <v>69</v>
      </c>
      <c r="F4312" s="5">
        <v>42370</v>
      </c>
      <c r="G4312">
        <v>0</v>
      </c>
    </row>
    <row r="4313" spans="1:7" x14ac:dyDescent="0.25">
      <c r="A4313" t="s">
        <v>127</v>
      </c>
      <c r="B4313" t="s">
        <v>128</v>
      </c>
      <c r="C4313">
        <v>1230</v>
      </c>
      <c r="D4313" t="s">
        <v>62</v>
      </c>
      <c r="E4313" t="s">
        <v>69</v>
      </c>
      <c r="F4313" s="5">
        <v>42736</v>
      </c>
      <c r="G4313">
        <v>0</v>
      </c>
    </row>
    <row r="4314" spans="1:7" x14ac:dyDescent="0.25">
      <c r="A4314" t="s">
        <v>127</v>
      </c>
      <c r="B4314" t="s">
        <v>128</v>
      </c>
      <c r="C4314">
        <v>1230</v>
      </c>
      <c r="D4314" t="s">
        <v>62</v>
      </c>
      <c r="E4314" t="s">
        <v>70</v>
      </c>
      <c r="F4314" s="5">
        <v>42370</v>
      </c>
      <c r="G4314">
        <v>0</v>
      </c>
    </row>
    <row r="4315" spans="1:7" x14ac:dyDescent="0.25">
      <c r="A4315" t="s">
        <v>127</v>
      </c>
      <c r="B4315" t="s">
        <v>128</v>
      </c>
      <c r="C4315">
        <v>1230</v>
      </c>
      <c r="D4315" t="s">
        <v>62</v>
      </c>
      <c r="E4315" t="s">
        <v>70</v>
      </c>
      <c r="F4315" s="5">
        <v>42736</v>
      </c>
      <c r="G4315">
        <v>0</v>
      </c>
    </row>
    <row r="4316" spans="1:7" x14ac:dyDescent="0.25">
      <c r="A4316" t="s">
        <v>127</v>
      </c>
      <c r="B4316" t="s">
        <v>128</v>
      </c>
      <c r="C4316">
        <v>1230</v>
      </c>
      <c r="D4316" t="s">
        <v>62</v>
      </c>
      <c r="E4316" t="s">
        <v>71</v>
      </c>
      <c r="F4316" s="5">
        <v>42370</v>
      </c>
      <c r="G4316">
        <v>0</v>
      </c>
    </row>
    <row r="4317" spans="1:7" x14ac:dyDescent="0.25">
      <c r="A4317" t="s">
        <v>127</v>
      </c>
      <c r="B4317" t="s">
        <v>128</v>
      </c>
      <c r="C4317">
        <v>1230</v>
      </c>
      <c r="D4317" t="s">
        <v>62</v>
      </c>
      <c r="E4317" t="s">
        <v>71</v>
      </c>
      <c r="F4317" s="5">
        <v>42736</v>
      </c>
      <c r="G4317">
        <v>0</v>
      </c>
    </row>
    <row r="4318" spans="1:7" x14ac:dyDescent="0.25">
      <c r="A4318" t="s">
        <v>127</v>
      </c>
      <c r="B4318" t="s">
        <v>128</v>
      </c>
      <c r="C4318">
        <v>1230</v>
      </c>
      <c r="D4318" t="s">
        <v>72</v>
      </c>
      <c r="E4318" t="s">
        <v>73</v>
      </c>
      <c r="F4318" s="5">
        <v>42370</v>
      </c>
      <c r="G4318">
        <v>0</v>
      </c>
    </row>
    <row r="4319" spans="1:7" x14ac:dyDescent="0.25">
      <c r="A4319" t="s">
        <v>127</v>
      </c>
      <c r="B4319" t="s">
        <v>128</v>
      </c>
      <c r="C4319">
        <v>1230</v>
      </c>
      <c r="D4319" t="s">
        <v>72</v>
      </c>
      <c r="E4319" t="s">
        <v>73</v>
      </c>
      <c r="F4319" s="5">
        <v>42736</v>
      </c>
      <c r="G4319">
        <v>0</v>
      </c>
    </row>
    <row r="4320" spans="1:7" x14ac:dyDescent="0.25">
      <c r="A4320" t="s">
        <v>127</v>
      </c>
      <c r="B4320" t="s">
        <v>128</v>
      </c>
      <c r="C4320">
        <v>1230</v>
      </c>
      <c r="D4320" t="s">
        <v>72</v>
      </c>
      <c r="E4320" t="s">
        <v>9</v>
      </c>
      <c r="F4320" s="5">
        <v>42370</v>
      </c>
      <c r="G4320">
        <v>0</v>
      </c>
    </row>
    <row r="4321" spans="1:7" x14ac:dyDescent="0.25">
      <c r="A4321" t="s">
        <v>127</v>
      </c>
      <c r="B4321" t="s">
        <v>128</v>
      </c>
      <c r="C4321">
        <v>1230</v>
      </c>
      <c r="D4321" t="s">
        <v>72</v>
      </c>
      <c r="E4321" t="s">
        <v>9</v>
      </c>
      <c r="F4321" s="5">
        <v>42736</v>
      </c>
      <c r="G4321">
        <v>0</v>
      </c>
    </row>
    <row r="4322" spans="1:7" x14ac:dyDescent="0.25">
      <c r="A4322" t="s">
        <v>127</v>
      </c>
      <c r="B4322" t="s">
        <v>128</v>
      </c>
      <c r="C4322">
        <v>1230</v>
      </c>
      <c r="D4322" t="s">
        <v>72</v>
      </c>
      <c r="E4322" t="s">
        <v>34</v>
      </c>
      <c r="F4322" s="5">
        <v>42370</v>
      </c>
      <c r="G4322">
        <v>0</v>
      </c>
    </row>
    <row r="4323" spans="1:7" x14ac:dyDescent="0.25">
      <c r="A4323" t="s">
        <v>127</v>
      </c>
      <c r="B4323" t="s">
        <v>128</v>
      </c>
      <c r="C4323">
        <v>1230</v>
      </c>
      <c r="D4323" t="s">
        <v>72</v>
      </c>
      <c r="E4323" t="s">
        <v>34</v>
      </c>
      <c r="F4323" s="5">
        <v>42736</v>
      </c>
      <c r="G4323">
        <v>0</v>
      </c>
    </row>
    <row r="4324" spans="1:7" x14ac:dyDescent="0.25">
      <c r="A4324" t="s">
        <v>127</v>
      </c>
      <c r="B4324" t="s">
        <v>128</v>
      </c>
      <c r="C4324">
        <v>1230</v>
      </c>
      <c r="D4324" t="s">
        <v>72</v>
      </c>
      <c r="E4324" t="s">
        <v>74</v>
      </c>
      <c r="F4324" s="5">
        <v>42370</v>
      </c>
      <c r="G4324">
        <v>0</v>
      </c>
    </row>
    <row r="4325" spans="1:7" x14ac:dyDescent="0.25">
      <c r="A4325" t="s">
        <v>127</v>
      </c>
      <c r="B4325" t="s">
        <v>128</v>
      </c>
      <c r="C4325">
        <v>1230</v>
      </c>
      <c r="D4325" t="s">
        <v>72</v>
      </c>
      <c r="E4325" t="s">
        <v>74</v>
      </c>
      <c r="F4325" s="5">
        <v>42736</v>
      </c>
      <c r="G4325">
        <v>0</v>
      </c>
    </row>
    <row r="4326" spans="1:7" x14ac:dyDescent="0.25">
      <c r="A4326" t="s">
        <v>127</v>
      </c>
      <c r="B4326" t="s">
        <v>128</v>
      </c>
      <c r="C4326">
        <v>1230</v>
      </c>
      <c r="D4326" t="s">
        <v>72</v>
      </c>
      <c r="E4326" t="s">
        <v>75</v>
      </c>
      <c r="F4326" s="5">
        <v>42370</v>
      </c>
      <c r="G4326">
        <v>0</v>
      </c>
    </row>
    <row r="4327" spans="1:7" x14ac:dyDescent="0.25">
      <c r="A4327" t="s">
        <v>127</v>
      </c>
      <c r="B4327" t="s">
        <v>128</v>
      </c>
      <c r="C4327">
        <v>1230</v>
      </c>
      <c r="D4327" t="s">
        <v>72</v>
      </c>
      <c r="E4327" t="s">
        <v>75</v>
      </c>
      <c r="F4327" s="5">
        <v>42736</v>
      </c>
      <c r="G4327">
        <v>0</v>
      </c>
    </row>
    <row r="4328" spans="1:7" x14ac:dyDescent="0.25">
      <c r="A4328" t="s">
        <v>127</v>
      </c>
      <c r="B4328" t="s">
        <v>128</v>
      </c>
      <c r="C4328">
        <v>1230</v>
      </c>
      <c r="D4328" t="s">
        <v>76</v>
      </c>
      <c r="E4328" t="s">
        <v>9</v>
      </c>
      <c r="F4328" s="5">
        <v>42370</v>
      </c>
      <c r="G4328">
        <v>0</v>
      </c>
    </row>
    <row r="4329" spans="1:7" x14ac:dyDescent="0.25">
      <c r="A4329" t="s">
        <v>127</v>
      </c>
      <c r="B4329" t="s">
        <v>128</v>
      </c>
      <c r="C4329">
        <v>1230</v>
      </c>
      <c r="D4329" t="s">
        <v>76</v>
      </c>
      <c r="E4329" t="s">
        <v>9</v>
      </c>
      <c r="F4329" s="5">
        <v>42736</v>
      </c>
      <c r="G4329">
        <v>0</v>
      </c>
    </row>
    <row r="4330" spans="1:7" x14ac:dyDescent="0.25">
      <c r="A4330" t="s">
        <v>127</v>
      </c>
      <c r="B4330" t="s">
        <v>128</v>
      </c>
      <c r="C4330">
        <v>1230</v>
      </c>
      <c r="D4330" t="s">
        <v>76</v>
      </c>
      <c r="E4330" t="s">
        <v>77</v>
      </c>
      <c r="F4330" s="5">
        <v>42370</v>
      </c>
      <c r="G4330">
        <v>59</v>
      </c>
    </row>
    <row r="4331" spans="1:7" x14ac:dyDescent="0.25">
      <c r="A4331" t="s">
        <v>127</v>
      </c>
      <c r="B4331" t="s">
        <v>128</v>
      </c>
      <c r="C4331">
        <v>1230</v>
      </c>
      <c r="D4331" t="s">
        <v>76</v>
      </c>
      <c r="E4331" t="s">
        <v>77</v>
      </c>
      <c r="F4331" s="5">
        <v>42736</v>
      </c>
      <c r="G4331">
        <v>15</v>
      </c>
    </row>
    <row r="4332" spans="1:7" x14ac:dyDescent="0.25">
      <c r="A4332" t="s">
        <v>127</v>
      </c>
      <c r="B4332" t="s">
        <v>128</v>
      </c>
      <c r="C4332">
        <v>1230</v>
      </c>
      <c r="D4332" t="s">
        <v>78</v>
      </c>
      <c r="E4332" t="s">
        <v>79</v>
      </c>
      <c r="F4332" s="5">
        <v>42370</v>
      </c>
      <c r="G4332">
        <v>188</v>
      </c>
    </row>
    <row r="4333" spans="1:7" x14ac:dyDescent="0.25">
      <c r="A4333" t="s">
        <v>127</v>
      </c>
      <c r="B4333" t="s">
        <v>128</v>
      </c>
      <c r="C4333">
        <v>1230</v>
      </c>
      <c r="D4333" t="s">
        <v>78</v>
      </c>
      <c r="E4333" t="s">
        <v>79</v>
      </c>
      <c r="F4333" s="5">
        <v>42736</v>
      </c>
      <c r="G4333">
        <v>213</v>
      </c>
    </row>
    <row r="4334" spans="1:7" x14ac:dyDescent="0.25">
      <c r="A4334" t="s">
        <v>127</v>
      </c>
      <c r="B4334" t="s">
        <v>128</v>
      </c>
      <c r="C4334">
        <v>1230</v>
      </c>
      <c r="D4334" t="s">
        <v>78</v>
      </c>
      <c r="E4334" t="s">
        <v>80</v>
      </c>
      <c r="F4334" s="5">
        <v>42370</v>
      </c>
      <c r="G4334">
        <v>19</v>
      </c>
    </row>
    <row r="4335" spans="1:7" x14ac:dyDescent="0.25">
      <c r="A4335" t="s">
        <v>127</v>
      </c>
      <c r="B4335" t="s">
        <v>128</v>
      </c>
      <c r="C4335">
        <v>1230</v>
      </c>
      <c r="D4335" t="s">
        <v>78</v>
      </c>
      <c r="E4335" t="s">
        <v>80</v>
      </c>
      <c r="F4335" s="5">
        <v>42736</v>
      </c>
      <c r="G4335">
        <v>37</v>
      </c>
    </row>
    <row r="4336" spans="1:7" x14ac:dyDescent="0.25">
      <c r="A4336" t="s">
        <v>127</v>
      </c>
      <c r="B4336" t="s">
        <v>128</v>
      </c>
      <c r="C4336">
        <v>1230</v>
      </c>
      <c r="D4336" t="s">
        <v>78</v>
      </c>
      <c r="E4336" t="s">
        <v>81</v>
      </c>
      <c r="F4336" s="5">
        <v>42370</v>
      </c>
      <c r="G4336">
        <v>762</v>
      </c>
    </row>
    <row r="4337" spans="1:7" x14ac:dyDescent="0.25">
      <c r="A4337" t="s">
        <v>127</v>
      </c>
      <c r="B4337" t="s">
        <v>128</v>
      </c>
      <c r="C4337">
        <v>1230</v>
      </c>
      <c r="D4337" t="s">
        <v>78</v>
      </c>
      <c r="E4337" t="s">
        <v>81</v>
      </c>
      <c r="F4337" s="5">
        <v>42736</v>
      </c>
      <c r="G4337">
        <v>1116</v>
      </c>
    </row>
    <row r="4338" spans="1:7" x14ac:dyDescent="0.25">
      <c r="A4338" t="s">
        <v>127</v>
      </c>
      <c r="B4338" t="s">
        <v>128</v>
      </c>
      <c r="C4338">
        <v>1230</v>
      </c>
      <c r="D4338" t="s">
        <v>78</v>
      </c>
      <c r="E4338" t="s">
        <v>82</v>
      </c>
      <c r="F4338" s="5">
        <v>42370</v>
      </c>
      <c r="G4338">
        <v>9</v>
      </c>
    </row>
    <row r="4339" spans="1:7" x14ac:dyDescent="0.25">
      <c r="A4339" t="s">
        <v>127</v>
      </c>
      <c r="B4339" t="s">
        <v>128</v>
      </c>
      <c r="C4339">
        <v>1230</v>
      </c>
      <c r="D4339" t="s">
        <v>78</v>
      </c>
      <c r="E4339" t="s">
        <v>82</v>
      </c>
      <c r="F4339" s="5">
        <v>42736</v>
      </c>
      <c r="G4339">
        <v>15</v>
      </c>
    </row>
    <row r="4340" spans="1:7" x14ac:dyDescent="0.25">
      <c r="A4340" t="s">
        <v>127</v>
      </c>
      <c r="B4340" t="s">
        <v>128</v>
      </c>
      <c r="C4340">
        <v>1230</v>
      </c>
      <c r="D4340" t="s">
        <v>78</v>
      </c>
      <c r="E4340" t="s">
        <v>83</v>
      </c>
      <c r="F4340" s="5">
        <v>42370</v>
      </c>
      <c r="G4340">
        <v>28</v>
      </c>
    </row>
    <row r="4341" spans="1:7" x14ac:dyDescent="0.25">
      <c r="A4341" t="s">
        <v>127</v>
      </c>
      <c r="B4341" t="s">
        <v>128</v>
      </c>
      <c r="C4341">
        <v>1230</v>
      </c>
      <c r="D4341" t="s">
        <v>78</v>
      </c>
      <c r="E4341" t="s">
        <v>83</v>
      </c>
      <c r="F4341" s="5">
        <v>42736</v>
      </c>
      <c r="G4341">
        <v>38</v>
      </c>
    </row>
    <row r="4342" spans="1:7" x14ac:dyDescent="0.25">
      <c r="A4342" t="s">
        <v>127</v>
      </c>
      <c r="B4342" t="s">
        <v>128</v>
      </c>
      <c r="C4342">
        <v>1230</v>
      </c>
      <c r="D4342" t="s">
        <v>78</v>
      </c>
      <c r="E4342" t="s">
        <v>84</v>
      </c>
      <c r="F4342" s="5">
        <v>42370</v>
      </c>
      <c r="G4342">
        <v>8</v>
      </c>
    </row>
    <row r="4343" spans="1:7" x14ac:dyDescent="0.25">
      <c r="A4343" t="s">
        <v>127</v>
      </c>
      <c r="B4343" t="s">
        <v>128</v>
      </c>
      <c r="C4343">
        <v>1230</v>
      </c>
      <c r="D4343" t="s">
        <v>78</v>
      </c>
      <c r="E4343" t="s">
        <v>84</v>
      </c>
      <c r="F4343" s="5">
        <v>42736</v>
      </c>
      <c r="G4343">
        <v>12</v>
      </c>
    </row>
    <row r="4344" spans="1:7" x14ac:dyDescent="0.25">
      <c r="A4344" t="s">
        <v>127</v>
      </c>
      <c r="B4344" t="s">
        <v>128</v>
      </c>
      <c r="C4344">
        <v>1230</v>
      </c>
      <c r="D4344" t="s">
        <v>78</v>
      </c>
      <c r="E4344" t="s">
        <v>85</v>
      </c>
      <c r="F4344" s="5">
        <v>42370</v>
      </c>
      <c r="G4344">
        <v>4</v>
      </c>
    </row>
    <row r="4345" spans="1:7" x14ac:dyDescent="0.25">
      <c r="A4345" t="s">
        <v>127</v>
      </c>
      <c r="B4345" t="s">
        <v>128</v>
      </c>
      <c r="C4345">
        <v>1230</v>
      </c>
      <c r="D4345" t="s">
        <v>78</v>
      </c>
      <c r="E4345" t="s">
        <v>85</v>
      </c>
      <c r="F4345" s="5">
        <v>42736</v>
      </c>
      <c r="G4345">
        <v>4</v>
      </c>
    </row>
    <row r="4346" spans="1:7" x14ac:dyDescent="0.25">
      <c r="A4346" t="s">
        <v>127</v>
      </c>
      <c r="B4346" t="s">
        <v>128</v>
      </c>
      <c r="C4346">
        <v>1230</v>
      </c>
      <c r="D4346" t="s">
        <v>78</v>
      </c>
      <c r="E4346" t="s">
        <v>86</v>
      </c>
      <c r="F4346" s="5">
        <v>42370</v>
      </c>
      <c r="G4346">
        <v>23</v>
      </c>
    </row>
    <row r="4347" spans="1:7" x14ac:dyDescent="0.25">
      <c r="A4347" t="s">
        <v>127</v>
      </c>
      <c r="B4347" t="s">
        <v>128</v>
      </c>
      <c r="C4347">
        <v>1230</v>
      </c>
      <c r="D4347" t="s">
        <v>78</v>
      </c>
      <c r="E4347" t="s">
        <v>86</v>
      </c>
      <c r="F4347" s="5">
        <v>42736</v>
      </c>
      <c r="G4347">
        <v>30</v>
      </c>
    </row>
    <row r="4348" spans="1:7" x14ac:dyDescent="0.25">
      <c r="A4348" t="s">
        <v>127</v>
      </c>
      <c r="B4348" t="s">
        <v>128</v>
      </c>
      <c r="C4348">
        <v>1230</v>
      </c>
      <c r="D4348" t="s">
        <v>78</v>
      </c>
      <c r="E4348" t="s">
        <v>87</v>
      </c>
      <c r="F4348" s="5">
        <v>42370</v>
      </c>
      <c r="G4348">
        <v>187</v>
      </c>
    </row>
    <row r="4349" spans="1:7" x14ac:dyDescent="0.25">
      <c r="A4349" t="s">
        <v>127</v>
      </c>
      <c r="B4349" t="s">
        <v>128</v>
      </c>
      <c r="C4349">
        <v>1230</v>
      </c>
      <c r="D4349" t="s">
        <v>78</v>
      </c>
      <c r="E4349" t="s">
        <v>87</v>
      </c>
      <c r="F4349" s="5">
        <v>42736</v>
      </c>
      <c r="G4349">
        <v>83</v>
      </c>
    </row>
    <row r="4350" spans="1:7" x14ac:dyDescent="0.25">
      <c r="A4350" t="s">
        <v>127</v>
      </c>
      <c r="B4350" t="s">
        <v>128</v>
      </c>
      <c r="C4350">
        <v>1230</v>
      </c>
      <c r="D4350" t="s">
        <v>78</v>
      </c>
      <c r="E4350" t="s">
        <v>88</v>
      </c>
      <c r="F4350" s="5">
        <v>42370</v>
      </c>
      <c r="G4350">
        <v>136</v>
      </c>
    </row>
    <row r="4351" spans="1:7" x14ac:dyDescent="0.25">
      <c r="A4351" t="s">
        <v>127</v>
      </c>
      <c r="B4351" t="s">
        <v>128</v>
      </c>
      <c r="C4351">
        <v>1230</v>
      </c>
      <c r="D4351" t="s">
        <v>78</v>
      </c>
      <c r="E4351" t="s">
        <v>88</v>
      </c>
      <c r="F4351" s="5">
        <v>42736</v>
      </c>
      <c r="G4351">
        <v>206</v>
      </c>
    </row>
    <row r="4352" spans="1:7" x14ac:dyDescent="0.25">
      <c r="A4352" t="s">
        <v>127</v>
      </c>
      <c r="B4352" t="s">
        <v>128</v>
      </c>
      <c r="C4352">
        <v>1230</v>
      </c>
      <c r="D4352" t="s">
        <v>78</v>
      </c>
      <c r="E4352" t="s">
        <v>89</v>
      </c>
      <c r="F4352" s="5">
        <v>42370</v>
      </c>
      <c r="G4352">
        <v>2824</v>
      </c>
    </row>
    <row r="4353" spans="1:7" x14ac:dyDescent="0.25">
      <c r="A4353" t="s">
        <v>127</v>
      </c>
      <c r="B4353" t="s">
        <v>128</v>
      </c>
      <c r="C4353">
        <v>1230</v>
      </c>
      <c r="D4353" t="s">
        <v>78</v>
      </c>
      <c r="E4353" t="s">
        <v>89</v>
      </c>
      <c r="F4353" s="5">
        <v>42736</v>
      </c>
      <c r="G4353">
        <v>3860</v>
      </c>
    </row>
    <row r="4354" spans="1:7" x14ac:dyDescent="0.25">
      <c r="A4354" t="s">
        <v>127</v>
      </c>
      <c r="B4354" t="s">
        <v>128</v>
      </c>
      <c r="C4354">
        <v>1230</v>
      </c>
      <c r="D4354" t="s">
        <v>78</v>
      </c>
      <c r="E4354" t="s">
        <v>90</v>
      </c>
      <c r="F4354" s="5">
        <v>42370</v>
      </c>
      <c r="G4354">
        <v>11</v>
      </c>
    </row>
    <row r="4355" spans="1:7" x14ac:dyDescent="0.25">
      <c r="A4355" t="s">
        <v>127</v>
      </c>
      <c r="B4355" t="s">
        <v>128</v>
      </c>
      <c r="C4355">
        <v>1230</v>
      </c>
      <c r="D4355" t="s">
        <v>78</v>
      </c>
      <c r="E4355" t="s">
        <v>90</v>
      </c>
      <c r="F4355" s="5">
        <v>42736</v>
      </c>
      <c r="G4355">
        <v>0</v>
      </c>
    </row>
    <row r="4356" spans="1:7" x14ac:dyDescent="0.25">
      <c r="A4356" t="s">
        <v>127</v>
      </c>
      <c r="B4356" t="s">
        <v>128</v>
      </c>
      <c r="C4356">
        <v>1230</v>
      </c>
      <c r="D4356" t="s">
        <v>78</v>
      </c>
      <c r="E4356" t="s">
        <v>91</v>
      </c>
      <c r="F4356" s="5">
        <v>42370</v>
      </c>
      <c r="G4356">
        <v>133</v>
      </c>
    </row>
    <row r="4357" spans="1:7" x14ac:dyDescent="0.25">
      <c r="A4357" t="s">
        <v>127</v>
      </c>
      <c r="B4357" t="s">
        <v>128</v>
      </c>
      <c r="C4357">
        <v>1230</v>
      </c>
      <c r="D4357" t="s">
        <v>78</v>
      </c>
      <c r="E4357" t="s">
        <v>91</v>
      </c>
      <c r="F4357" s="5">
        <v>42736</v>
      </c>
      <c r="G4357">
        <v>174</v>
      </c>
    </row>
    <row r="4358" spans="1:7" x14ac:dyDescent="0.25">
      <c r="A4358" t="s">
        <v>127</v>
      </c>
      <c r="B4358" t="s">
        <v>128</v>
      </c>
      <c r="C4358">
        <v>1230</v>
      </c>
      <c r="D4358" t="s">
        <v>78</v>
      </c>
      <c r="E4358" t="s">
        <v>92</v>
      </c>
      <c r="F4358" s="5">
        <v>42370</v>
      </c>
      <c r="G4358">
        <v>7</v>
      </c>
    </row>
    <row r="4359" spans="1:7" x14ac:dyDescent="0.25">
      <c r="A4359" t="s">
        <v>127</v>
      </c>
      <c r="B4359" t="s">
        <v>128</v>
      </c>
      <c r="C4359">
        <v>1230</v>
      </c>
      <c r="D4359" t="s">
        <v>78</v>
      </c>
      <c r="E4359" t="s">
        <v>92</v>
      </c>
      <c r="F4359" s="5">
        <v>42736</v>
      </c>
      <c r="G4359">
        <v>15</v>
      </c>
    </row>
    <row r="4360" spans="1:7" x14ac:dyDescent="0.25">
      <c r="A4360" t="s">
        <v>127</v>
      </c>
      <c r="B4360" t="s">
        <v>128</v>
      </c>
      <c r="C4360">
        <v>1230</v>
      </c>
      <c r="D4360" t="s">
        <v>78</v>
      </c>
      <c r="E4360" t="s">
        <v>93</v>
      </c>
      <c r="F4360" s="5">
        <v>42370</v>
      </c>
      <c r="G4360">
        <v>39</v>
      </c>
    </row>
    <row r="4361" spans="1:7" x14ac:dyDescent="0.25">
      <c r="A4361" t="s">
        <v>127</v>
      </c>
      <c r="B4361" t="s">
        <v>128</v>
      </c>
      <c r="C4361">
        <v>1230</v>
      </c>
      <c r="D4361" t="s">
        <v>78</v>
      </c>
      <c r="E4361" t="s">
        <v>93</v>
      </c>
      <c r="F4361" s="5">
        <v>42736</v>
      </c>
      <c r="G4361">
        <v>102</v>
      </c>
    </row>
    <row r="4362" spans="1:7" x14ac:dyDescent="0.25">
      <c r="A4362" t="s">
        <v>127</v>
      </c>
      <c r="B4362" t="s">
        <v>128</v>
      </c>
      <c r="C4362">
        <v>1230</v>
      </c>
      <c r="D4362" t="s">
        <v>78</v>
      </c>
      <c r="E4362" t="s">
        <v>94</v>
      </c>
      <c r="F4362" s="5">
        <v>42370</v>
      </c>
      <c r="G4362">
        <v>45</v>
      </c>
    </row>
    <row r="4363" spans="1:7" x14ac:dyDescent="0.25">
      <c r="A4363" t="s">
        <v>127</v>
      </c>
      <c r="B4363" t="s">
        <v>128</v>
      </c>
      <c r="C4363">
        <v>1230</v>
      </c>
      <c r="D4363" t="s">
        <v>78</v>
      </c>
      <c r="E4363" t="s">
        <v>94</v>
      </c>
      <c r="F4363" s="5">
        <v>42736</v>
      </c>
      <c r="G4363">
        <v>156</v>
      </c>
    </row>
    <row r="4364" spans="1:7" x14ac:dyDescent="0.25">
      <c r="A4364" t="s">
        <v>127</v>
      </c>
      <c r="B4364" t="s">
        <v>128</v>
      </c>
      <c r="C4364">
        <v>1230</v>
      </c>
      <c r="D4364" t="s">
        <v>78</v>
      </c>
      <c r="E4364" t="s">
        <v>95</v>
      </c>
      <c r="F4364" s="5">
        <v>42370</v>
      </c>
      <c r="G4364">
        <v>12</v>
      </c>
    </row>
    <row r="4365" spans="1:7" x14ac:dyDescent="0.25">
      <c r="A4365" t="s">
        <v>127</v>
      </c>
      <c r="B4365" t="s">
        <v>128</v>
      </c>
      <c r="C4365">
        <v>1230</v>
      </c>
      <c r="D4365" t="s">
        <v>78</v>
      </c>
      <c r="E4365" t="s">
        <v>95</v>
      </c>
      <c r="F4365" s="5">
        <v>42736</v>
      </c>
      <c r="G4365">
        <v>29</v>
      </c>
    </row>
    <row r="4366" spans="1:7" x14ac:dyDescent="0.25">
      <c r="A4366" t="s">
        <v>127</v>
      </c>
      <c r="B4366" t="s">
        <v>128</v>
      </c>
      <c r="C4366">
        <v>1230</v>
      </c>
      <c r="D4366" t="s">
        <v>78</v>
      </c>
      <c r="E4366" t="s">
        <v>96</v>
      </c>
      <c r="F4366" s="5">
        <v>42370</v>
      </c>
      <c r="G4366">
        <v>28</v>
      </c>
    </row>
    <row r="4367" spans="1:7" x14ac:dyDescent="0.25">
      <c r="A4367" t="s">
        <v>127</v>
      </c>
      <c r="B4367" t="s">
        <v>128</v>
      </c>
      <c r="C4367">
        <v>1230</v>
      </c>
      <c r="D4367" t="s">
        <v>78</v>
      </c>
      <c r="E4367" t="s">
        <v>96</v>
      </c>
      <c r="F4367" s="5">
        <v>42736</v>
      </c>
      <c r="G4367">
        <v>38</v>
      </c>
    </row>
    <row r="4368" spans="1:7" x14ac:dyDescent="0.25">
      <c r="A4368" t="s">
        <v>127</v>
      </c>
      <c r="B4368" t="s">
        <v>128</v>
      </c>
      <c r="C4368">
        <v>1230</v>
      </c>
      <c r="D4368" t="s">
        <v>78</v>
      </c>
      <c r="E4368" t="s">
        <v>97</v>
      </c>
      <c r="F4368" s="5">
        <v>42370</v>
      </c>
      <c r="G4368">
        <v>166</v>
      </c>
    </row>
    <row r="4369" spans="1:7" x14ac:dyDescent="0.25">
      <c r="A4369" t="s">
        <v>127</v>
      </c>
      <c r="B4369" t="s">
        <v>128</v>
      </c>
      <c r="C4369">
        <v>1230</v>
      </c>
      <c r="D4369" t="s">
        <v>78</v>
      </c>
      <c r="E4369" t="s">
        <v>97</v>
      </c>
      <c r="F4369" s="5">
        <v>42736</v>
      </c>
      <c r="G4369">
        <v>275</v>
      </c>
    </row>
    <row r="4370" spans="1:7" x14ac:dyDescent="0.25">
      <c r="A4370" t="s">
        <v>127</v>
      </c>
      <c r="B4370" t="s">
        <v>128</v>
      </c>
      <c r="C4370">
        <v>1230</v>
      </c>
      <c r="D4370" t="s">
        <v>78</v>
      </c>
      <c r="E4370" t="s">
        <v>98</v>
      </c>
      <c r="F4370" s="5">
        <v>42370</v>
      </c>
      <c r="G4370">
        <v>28</v>
      </c>
    </row>
    <row r="4371" spans="1:7" x14ac:dyDescent="0.25">
      <c r="A4371" t="s">
        <v>127</v>
      </c>
      <c r="B4371" t="s">
        <v>128</v>
      </c>
      <c r="C4371">
        <v>1230</v>
      </c>
      <c r="D4371" t="s">
        <v>78</v>
      </c>
      <c r="E4371" t="s">
        <v>98</v>
      </c>
      <c r="F4371" s="5">
        <v>42736</v>
      </c>
      <c r="G4371">
        <v>21</v>
      </c>
    </row>
    <row r="4372" spans="1:7" x14ac:dyDescent="0.25">
      <c r="A4372" t="s">
        <v>127</v>
      </c>
      <c r="B4372" t="s">
        <v>129</v>
      </c>
      <c r="C4372">
        <v>1200</v>
      </c>
      <c r="D4372" t="s">
        <v>8</v>
      </c>
      <c r="E4372" t="s">
        <v>9</v>
      </c>
      <c r="F4372" s="5">
        <v>42370</v>
      </c>
      <c r="G4372">
        <v>0</v>
      </c>
    </row>
    <row r="4373" spans="1:7" x14ac:dyDescent="0.25">
      <c r="A4373" t="s">
        <v>127</v>
      </c>
      <c r="B4373" t="s">
        <v>129</v>
      </c>
      <c r="C4373">
        <v>1200</v>
      </c>
      <c r="D4373" t="s">
        <v>8</v>
      </c>
      <c r="E4373" t="s">
        <v>9</v>
      </c>
      <c r="F4373" s="5">
        <v>42736</v>
      </c>
      <c r="G4373">
        <v>0</v>
      </c>
    </row>
    <row r="4374" spans="1:7" x14ac:dyDescent="0.25">
      <c r="A4374" t="s">
        <v>127</v>
      </c>
      <c r="B4374" t="s">
        <v>129</v>
      </c>
      <c r="C4374">
        <v>1200</v>
      </c>
      <c r="D4374" t="s">
        <v>8</v>
      </c>
      <c r="E4374" t="s">
        <v>10</v>
      </c>
      <c r="F4374" s="5">
        <v>42370</v>
      </c>
      <c r="G4374">
        <v>248</v>
      </c>
    </row>
    <row r="4375" spans="1:7" x14ac:dyDescent="0.25">
      <c r="A4375" t="s">
        <v>127</v>
      </c>
      <c r="B4375" t="s">
        <v>129</v>
      </c>
      <c r="C4375">
        <v>1200</v>
      </c>
      <c r="D4375" t="s">
        <v>8</v>
      </c>
      <c r="E4375" t="s">
        <v>10</v>
      </c>
      <c r="F4375" s="5">
        <v>42736</v>
      </c>
      <c r="G4375">
        <v>466</v>
      </c>
    </row>
    <row r="4376" spans="1:7" x14ac:dyDescent="0.25">
      <c r="A4376" t="s">
        <v>127</v>
      </c>
      <c r="B4376" t="s">
        <v>129</v>
      </c>
      <c r="C4376">
        <v>1200</v>
      </c>
      <c r="D4376" t="s">
        <v>8</v>
      </c>
      <c r="E4376" t="s">
        <v>11</v>
      </c>
      <c r="F4376" s="5">
        <v>42370</v>
      </c>
      <c r="G4376">
        <v>52</v>
      </c>
    </row>
    <row r="4377" spans="1:7" x14ac:dyDescent="0.25">
      <c r="A4377" t="s">
        <v>127</v>
      </c>
      <c r="B4377" t="s">
        <v>129</v>
      </c>
      <c r="C4377">
        <v>1200</v>
      </c>
      <c r="D4377" t="s">
        <v>8</v>
      </c>
      <c r="E4377" t="s">
        <v>11</v>
      </c>
      <c r="F4377" s="5">
        <v>42736</v>
      </c>
      <c r="G4377">
        <v>103</v>
      </c>
    </row>
    <row r="4378" spans="1:7" x14ac:dyDescent="0.25">
      <c r="A4378" t="s">
        <v>127</v>
      </c>
      <c r="B4378" t="s">
        <v>129</v>
      </c>
      <c r="C4378">
        <v>1200</v>
      </c>
      <c r="D4378" t="s">
        <v>8</v>
      </c>
      <c r="E4378" t="s">
        <v>12</v>
      </c>
      <c r="F4378" s="5">
        <v>42370</v>
      </c>
      <c r="G4378">
        <v>0</v>
      </c>
    </row>
    <row r="4379" spans="1:7" x14ac:dyDescent="0.25">
      <c r="A4379" t="s">
        <v>127</v>
      </c>
      <c r="B4379" t="s">
        <v>129</v>
      </c>
      <c r="C4379">
        <v>1200</v>
      </c>
      <c r="D4379" t="s">
        <v>8</v>
      </c>
      <c r="E4379" t="s">
        <v>12</v>
      </c>
      <c r="F4379" s="5">
        <v>42736</v>
      </c>
      <c r="G4379">
        <v>0</v>
      </c>
    </row>
    <row r="4380" spans="1:7" x14ac:dyDescent="0.25">
      <c r="A4380" t="s">
        <v>127</v>
      </c>
      <c r="B4380" t="s">
        <v>129</v>
      </c>
      <c r="C4380">
        <v>1200</v>
      </c>
      <c r="D4380" t="s">
        <v>8</v>
      </c>
      <c r="E4380" t="s">
        <v>13</v>
      </c>
      <c r="F4380" s="5">
        <v>42370</v>
      </c>
      <c r="G4380">
        <v>0</v>
      </c>
    </row>
    <row r="4381" spans="1:7" x14ac:dyDescent="0.25">
      <c r="A4381" t="s">
        <v>127</v>
      </c>
      <c r="B4381" t="s">
        <v>129</v>
      </c>
      <c r="C4381">
        <v>1200</v>
      </c>
      <c r="D4381" t="s">
        <v>8</v>
      </c>
      <c r="E4381" t="s">
        <v>13</v>
      </c>
      <c r="F4381" s="5">
        <v>42736</v>
      </c>
      <c r="G4381">
        <v>0</v>
      </c>
    </row>
    <row r="4382" spans="1:7" x14ac:dyDescent="0.25">
      <c r="A4382" t="s">
        <v>127</v>
      </c>
      <c r="B4382" t="s">
        <v>129</v>
      </c>
      <c r="C4382">
        <v>1200</v>
      </c>
      <c r="D4382" t="s">
        <v>8</v>
      </c>
      <c r="E4382" t="s">
        <v>14</v>
      </c>
      <c r="F4382" s="5">
        <v>42370</v>
      </c>
      <c r="G4382">
        <v>0</v>
      </c>
    </row>
    <row r="4383" spans="1:7" x14ac:dyDescent="0.25">
      <c r="A4383" t="s">
        <v>127</v>
      </c>
      <c r="B4383" t="s">
        <v>129</v>
      </c>
      <c r="C4383">
        <v>1200</v>
      </c>
      <c r="D4383" t="s">
        <v>8</v>
      </c>
      <c r="E4383" t="s">
        <v>14</v>
      </c>
      <c r="F4383" s="5">
        <v>42736</v>
      </c>
      <c r="G4383">
        <v>0</v>
      </c>
    </row>
    <row r="4384" spans="1:7" x14ac:dyDescent="0.25">
      <c r="A4384" t="s">
        <v>127</v>
      </c>
      <c r="B4384" t="s">
        <v>129</v>
      </c>
      <c r="C4384">
        <v>1200</v>
      </c>
      <c r="D4384" t="s">
        <v>8</v>
      </c>
      <c r="E4384" t="s">
        <v>15</v>
      </c>
      <c r="F4384" s="5">
        <v>42370</v>
      </c>
      <c r="G4384">
        <v>0</v>
      </c>
    </row>
    <row r="4385" spans="1:7" x14ac:dyDescent="0.25">
      <c r="A4385" t="s">
        <v>127</v>
      </c>
      <c r="B4385" t="s">
        <v>129</v>
      </c>
      <c r="C4385">
        <v>1200</v>
      </c>
      <c r="D4385" t="s">
        <v>8</v>
      </c>
      <c r="E4385" t="s">
        <v>15</v>
      </c>
      <c r="F4385" s="5">
        <v>42736</v>
      </c>
      <c r="G4385">
        <v>0</v>
      </c>
    </row>
    <row r="4386" spans="1:7" x14ac:dyDescent="0.25">
      <c r="A4386" t="s">
        <v>127</v>
      </c>
      <c r="B4386" t="s">
        <v>129</v>
      </c>
      <c r="C4386">
        <v>1200</v>
      </c>
      <c r="D4386" t="s">
        <v>8</v>
      </c>
      <c r="E4386" t="s">
        <v>16</v>
      </c>
      <c r="F4386" s="5">
        <v>42370</v>
      </c>
      <c r="G4386">
        <v>56</v>
      </c>
    </row>
    <row r="4387" spans="1:7" x14ac:dyDescent="0.25">
      <c r="A4387" t="s">
        <v>127</v>
      </c>
      <c r="B4387" t="s">
        <v>129</v>
      </c>
      <c r="C4387">
        <v>1200</v>
      </c>
      <c r="D4387" t="s">
        <v>8</v>
      </c>
      <c r="E4387" t="s">
        <v>16</v>
      </c>
      <c r="F4387" s="5">
        <v>42736</v>
      </c>
      <c r="G4387">
        <v>99</v>
      </c>
    </row>
    <row r="4388" spans="1:7" x14ac:dyDescent="0.25">
      <c r="A4388" t="s">
        <v>127</v>
      </c>
      <c r="B4388" t="s">
        <v>129</v>
      </c>
      <c r="C4388">
        <v>1200</v>
      </c>
      <c r="D4388" t="s">
        <v>8</v>
      </c>
      <c r="E4388" t="s">
        <v>17</v>
      </c>
      <c r="F4388" s="5">
        <v>42370</v>
      </c>
      <c r="G4388">
        <v>0</v>
      </c>
    </row>
    <row r="4389" spans="1:7" x14ac:dyDescent="0.25">
      <c r="A4389" t="s">
        <v>127</v>
      </c>
      <c r="B4389" t="s">
        <v>129</v>
      </c>
      <c r="C4389">
        <v>1200</v>
      </c>
      <c r="D4389" t="s">
        <v>8</v>
      </c>
      <c r="E4389" t="s">
        <v>17</v>
      </c>
      <c r="F4389" s="5">
        <v>42736</v>
      </c>
      <c r="G4389">
        <v>0</v>
      </c>
    </row>
    <row r="4390" spans="1:7" x14ac:dyDescent="0.25">
      <c r="A4390" t="s">
        <v>127</v>
      </c>
      <c r="B4390" t="s">
        <v>129</v>
      </c>
      <c r="C4390">
        <v>1200</v>
      </c>
      <c r="D4390" t="s">
        <v>8</v>
      </c>
      <c r="E4390" t="s">
        <v>18</v>
      </c>
      <c r="F4390" s="5">
        <v>42370</v>
      </c>
      <c r="G4390">
        <v>10</v>
      </c>
    </row>
    <row r="4391" spans="1:7" x14ac:dyDescent="0.25">
      <c r="A4391" t="s">
        <v>127</v>
      </c>
      <c r="B4391" t="s">
        <v>129</v>
      </c>
      <c r="C4391">
        <v>1200</v>
      </c>
      <c r="D4391" t="s">
        <v>8</v>
      </c>
      <c r="E4391" t="s">
        <v>18</v>
      </c>
      <c r="F4391" s="5">
        <v>42736</v>
      </c>
      <c r="G4391">
        <v>22</v>
      </c>
    </row>
    <row r="4392" spans="1:7" x14ac:dyDescent="0.25">
      <c r="A4392" t="s">
        <v>127</v>
      </c>
      <c r="B4392" t="s">
        <v>129</v>
      </c>
      <c r="C4392">
        <v>1200</v>
      </c>
      <c r="D4392" t="s">
        <v>8</v>
      </c>
      <c r="E4392" t="s">
        <v>19</v>
      </c>
      <c r="F4392" s="5">
        <v>42370</v>
      </c>
      <c r="G4392">
        <v>0</v>
      </c>
    </row>
    <row r="4393" spans="1:7" x14ac:dyDescent="0.25">
      <c r="A4393" t="s">
        <v>127</v>
      </c>
      <c r="B4393" t="s">
        <v>129</v>
      </c>
      <c r="C4393">
        <v>1200</v>
      </c>
      <c r="D4393" t="s">
        <v>8</v>
      </c>
      <c r="E4393" t="s">
        <v>19</v>
      </c>
      <c r="F4393" s="5">
        <v>42736</v>
      </c>
      <c r="G4393">
        <v>0</v>
      </c>
    </row>
    <row r="4394" spans="1:7" x14ac:dyDescent="0.25">
      <c r="A4394" t="s">
        <v>127</v>
      </c>
      <c r="B4394" t="s">
        <v>129</v>
      </c>
      <c r="C4394">
        <v>1200</v>
      </c>
      <c r="D4394" t="s">
        <v>20</v>
      </c>
      <c r="E4394" t="s">
        <v>9</v>
      </c>
      <c r="F4394" s="5">
        <v>42370</v>
      </c>
      <c r="G4394">
        <v>44</v>
      </c>
    </row>
    <row r="4395" spans="1:7" x14ac:dyDescent="0.25">
      <c r="A4395" t="s">
        <v>127</v>
      </c>
      <c r="B4395" t="s">
        <v>129</v>
      </c>
      <c r="C4395">
        <v>1200</v>
      </c>
      <c r="D4395" t="s">
        <v>20</v>
      </c>
      <c r="E4395" t="s">
        <v>9</v>
      </c>
      <c r="F4395" s="5">
        <v>42736</v>
      </c>
      <c r="G4395">
        <v>38</v>
      </c>
    </row>
    <row r="4396" spans="1:7" x14ac:dyDescent="0.25">
      <c r="A4396" t="s">
        <v>127</v>
      </c>
      <c r="B4396" t="s">
        <v>129</v>
      </c>
      <c r="C4396">
        <v>1200</v>
      </c>
      <c r="D4396" t="s">
        <v>20</v>
      </c>
      <c r="E4396" t="s">
        <v>21</v>
      </c>
      <c r="F4396" s="5">
        <v>42370</v>
      </c>
      <c r="G4396">
        <v>0</v>
      </c>
    </row>
    <row r="4397" spans="1:7" x14ac:dyDescent="0.25">
      <c r="A4397" t="s">
        <v>127</v>
      </c>
      <c r="B4397" t="s">
        <v>129</v>
      </c>
      <c r="C4397">
        <v>1200</v>
      </c>
      <c r="D4397" t="s">
        <v>20</v>
      </c>
      <c r="E4397" t="s">
        <v>21</v>
      </c>
      <c r="F4397" s="5">
        <v>42736</v>
      </c>
      <c r="G4397">
        <v>0</v>
      </c>
    </row>
    <row r="4398" spans="1:7" x14ac:dyDescent="0.25">
      <c r="A4398" t="s">
        <v>127</v>
      </c>
      <c r="B4398" t="s">
        <v>129</v>
      </c>
      <c r="C4398">
        <v>1200</v>
      </c>
      <c r="D4398" t="s">
        <v>20</v>
      </c>
      <c r="E4398" t="s">
        <v>22</v>
      </c>
      <c r="F4398" s="5">
        <v>42370</v>
      </c>
      <c r="G4398">
        <v>36</v>
      </c>
    </row>
    <row r="4399" spans="1:7" x14ac:dyDescent="0.25">
      <c r="A4399" t="s">
        <v>127</v>
      </c>
      <c r="B4399" t="s">
        <v>129</v>
      </c>
      <c r="C4399">
        <v>1200</v>
      </c>
      <c r="D4399" t="s">
        <v>20</v>
      </c>
      <c r="E4399" t="s">
        <v>22</v>
      </c>
      <c r="F4399" s="5">
        <v>42736</v>
      </c>
      <c r="G4399">
        <v>0</v>
      </c>
    </row>
    <row r="4400" spans="1:7" x14ac:dyDescent="0.25">
      <c r="A4400" t="s">
        <v>127</v>
      </c>
      <c r="B4400" t="s">
        <v>129</v>
      </c>
      <c r="C4400">
        <v>1200</v>
      </c>
      <c r="D4400" t="s">
        <v>20</v>
      </c>
      <c r="E4400" t="s">
        <v>23</v>
      </c>
      <c r="F4400" s="5">
        <v>42370</v>
      </c>
      <c r="G4400">
        <v>124</v>
      </c>
    </row>
    <row r="4401" spans="1:7" x14ac:dyDescent="0.25">
      <c r="A4401" t="s">
        <v>127</v>
      </c>
      <c r="B4401" t="s">
        <v>129</v>
      </c>
      <c r="C4401">
        <v>1200</v>
      </c>
      <c r="D4401" t="s">
        <v>20</v>
      </c>
      <c r="E4401" t="s">
        <v>23</v>
      </c>
      <c r="F4401" s="5">
        <v>42736</v>
      </c>
      <c r="G4401">
        <v>3</v>
      </c>
    </row>
    <row r="4402" spans="1:7" x14ac:dyDescent="0.25">
      <c r="A4402" t="s">
        <v>127</v>
      </c>
      <c r="B4402" t="s">
        <v>129</v>
      </c>
      <c r="C4402">
        <v>1200</v>
      </c>
      <c r="D4402" t="s">
        <v>20</v>
      </c>
      <c r="E4402" t="s">
        <v>24</v>
      </c>
      <c r="F4402" s="5">
        <v>42370</v>
      </c>
      <c r="G4402">
        <v>0</v>
      </c>
    </row>
    <row r="4403" spans="1:7" x14ac:dyDescent="0.25">
      <c r="A4403" t="s">
        <v>127</v>
      </c>
      <c r="B4403" t="s">
        <v>129</v>
      </c>
      <c r="C4403">
        <v>1200</v>
      </c>
      <c r="D4403" t="s">
        <v>20</v>
      </c>
      <c r="E4403" t="s">
        <v>24</v>
      </c>
      <c r="F4403" s="5">
        <v>42736</v>
      </c>
      <c r="G4403">
        <v>0</v>
      </c>
    </row>
    <row r="4404" spans="1:7" x14ac:dyDescent="0.25">
      <c r="A4404" t="s">
        <v>127</v>
      </c>
      <c r="B4404" t="s">
        <v>129</v>
      </c>
      <c r="C4404">
        <v>1200</v>
      </c>
      <c r="D4404" t="s">
        <v>20</v>
      </c>
      <c r="E4404" t="s">
        <v>25</v>
      </c>
      <c r="F4404" s="5">
        <v>42370</v>
      </c>
      <c r="G4404">
        <v>2</v>
      </c>
    </row>
    <row r="4405" spans="1:7" x14ac:dyDescent="0.25">
      <c r="A4405" t="s">
        <v>127</v>
      </c>
      <c r="B4405" t="s">
        <v>129</v>
      </c>
      <c r="C4405">
        <v>1200</v>
      </c>
      <c r="D4405" t="s">
        <v>20</v>
      </c>
      <c r="E4405" t="s">
        <v>25</v>
      </c>
      <c r="F4405" s="5">
        <v>42736</v>
      </c>
      <c r="G4405">
        <v>1</v>
      </c>
    </row>
    <row r="4406" spans="1:7" x14ac:dyDescent="0.25">
      <c r="A4406" t="s">
        <v>127</v>
      </c>
      <c r="B4406" t="s">
        <v>129</v>
      </c>
      <c r="C4406">
        <v>1200</v>
      </c>
      <c r="D4406" t="s">
        <v>20</v>
      </c>
      <c r="E4406" t="s">
        <v>26</v>
      </c>
      <c r="F4406" s="5">
        <v>42370</v>
      </c>
      <c r="G4406">
        <v>188</v>
      </c>
    </row>
    <row r="4407" spans="1:7" x14ac:dyDescent="0.25">
      <c r="A4407" t="s">
        <v>127</v>
      </c>
      <c r="B4407" t="s">
        <v>129</v>
      </c>
      <c r="C4407">
        <v>1200</v>
      </c>
      <c r="D4407" t="s">
        <v>20</v>
      </c>
      <c r="E4407" t="s">
        <v>26</v>
      </c>
      <c r="F4407" s="5">
        <v>42736</v>
      </c>
      <c r="G4407">
        <v>252</v>
      </c>
    </row>
    <row r="4408" spans="1:7" x14ac:dyDescent="0.25">
      <c r="A4408" t="s">
        <v>127</v>
      </c>
      <c r="B4408" t="s">
        <v>129</v>
      </c>
      <c r="C4408">
        <v>1200</v>
      </c>
      <c r="D4408" t="s">
        <v>20</v>
      </c>
      <c r="E4408" t="s">
        <v>27</v>
      </c>
      <c r="F4408" s="5">
        <v>42370</v>
      </c>
      <c r="G4408">
        <v>0</v>
      </c>
    </row>
    <row r="4409" spans="1:7" x14ac:dyDescent="0.25">
      <c r="A4409" t="s">
        <v>127</v>
      </c>
      <c r="B4409" t="s">
        <v>129</v>
      </c>
      <c r="C4409">
        <v>1200</v>
      </c>
      <c r="D4409" t="s">
        <v>20</v>
      </c>
      <c r="E4409" t="s">
        <v>27</v>
      </c>
      <c r="F4409" s="5">
        <v>42736</v>
      </c>
      <c r="G4409">
        <v>3</v>
      </c>
    </row>
    <row r="4410" spans="1:7" x14ac:dyDescent="0.25">
      <c r="A4410" t="s">
        <v>127</v>
      </c>
      <c r="B4410" t="s">
        <v>129</v>
      </c>
      <c r="C4410">
        <v>1200</v>
      </c>
      <c r="D4410" t="s">
        <v>20</v>
      </c>
      <c r="E4410" t="s">
        <v>28</v>
      </c>
      <c r="F4410" s="5">
        <v>42370</v>
      </c>
      <c r="G4410">
        <v>0</v>
      </c>
    </row>
    <row r="4411" spans="1:7" x14ac:dyDescent="0.25">
      <c r="A4411" t="s">
        <v>127</v>
      </c>
      <c r="B4411" t="s">
        <v>129</v>
      </c>
      <c r="C4411">
        <v>1200</v>
      </c>
      <c r="D4411" t="s">
        <v>20</v>
      </c>
      <c r="E4411" t="s">
        <v>28</v>
      </c>
      <c r="F4411" s="5">
        <v>42736</v>
      </c>
      <c r="G4411">
        <v>0</v>
      </c>
    </row>
    <row r="4412" spans="1:7" x14ac:dyDescent="0.25">
      <c r="A4412" t="s">
        <v>127</v>
      </c>
      <c r="B4412" t="s">
        <v>129</v>
      </c>
      <c r="C4412">
        <v>1200</v>
      </c>
      <c r="D4412" t="s">
        <v>20</v>
      </c>
      <c r="E4412" t="s">
        <v>29</v>
      </c>
      <c r="F4412" s="5">
        <v>42370</v>
      </c>
      <c r="G4412">
        <v>191</v>
      </c>
    </row>
    <row r="4413" spans="1:7" x14ac:dyDescent="0.25">
      <c r="A4413" t="s">
        <v>127</v>
      </c>
      <c r="B4413" t="s">
        <v>129</v>
      </c>
      <c r="C4413">
        <v>1200</v>
      </c>
      <c r="D4413" t="s">
        <v>20</v>
      </c>
      <c r="E4413" t="s">
        <v>29</v>
      </c>
      <c r="F4413" s="5">
        <v>42736</v>
      </c>
      <c r="G4413">
        <v>259</v>
      </c>
    </row>
    <row r="4414" spans="1:7" x14ac:dyDescent="0.25">
      <c r="A4414" t="s">
        <v>127</v>
      </c>
      <c r="B4414" t="s">
        <v>129</v>
      </c>
      <c r="C4414">
        <v>1200</v>
      </c>
      <c r="D4414" t="s">
        <v>20</v>
      </c>
      <c r="E4414" t="s">
        <v>30</v>
      </c>
      <c r="F4414" s="5">
        <v>42370</v>
      </c>
      <c r="G4414">
        <v>188</v>
      </c>
    </row>
    <row r="4415" spans="1:7" x14ac:dyDescent="0.25">
      <c r="A4415" t="s">
        <v>127</v>
      </c>
      <c r="B4415" t="s">
        <v>129</v>
      </c>
      <c r="C4415">
        <v>1200</v>
      </c>
      <c r="D4415" t="s">
        <v>20</v>
      </c>
      <c r="E4415" t="s">
        <v>30</v>
      </c>
      <c r="F4415" s="5">
        <v>42736</v>
      </c>
      <c r="G4415">
        <v>256</v>
      </c>
    </row>
    <row r="4416" spans="1:7" x14ac:dyDescent="0.25">
      <c r="A4416" t="s">
        <v>127</v>
      </c>
      <c r="B4416" t="s">
        <v>129</v>
      </c>
      <c r="C4416">
        <v>1200</v>
      </c>
      <c r="D4416" t="s">
        <v>20</v>
      </c>
      <c r="E4416" t="s">
        <v>31</v>
      </c>
      <c r="F4416" s="5">
        <v>42370</v>
      </c>
      <c r="G4416">
        <v>287</v>
      </c>
    </row>
    <row r="4417" spans="1:7" x14ac:dyDescent="0.25">
      <c r="A4417" t="s">
        <v>127</v>
      </c>
      <c r="B4417" t="s">
        <v>129</v>
      </c>
      <c r="C4417">
        <v>1200</v>
      </c>
      <c r="D4417" t="s">
        <v>20</v>
      </c>
      <c r="E4417" t="s">
        <v>31</v>
      </c>
      <c r="F4417" s="5">
        <v>42736</v>
      </c>
      <c r="G4417">
        <v>431</v>
      </c>
    </row>
    <row r="4418" spans="1:7" x14ac:dyDescent="0.25">
      <c r="A4418" t="s">
        <v>127</v>
      </c>
      <c r="B4418" t="s">
        <v>129</v>
      </c>
      <c r="C4418">
        <v>1200</v>
      </c>
      <c r="D4418" t="s">
        <v>20</v>
      </c>
      <c r="E4418" t="s">
        <v>32</v>
      </c>
      <c r="F4418" s="5">
        <v>42370</v>
      </c>
      <c r="G4418">
        <v>189</v>
      </c>
    </row>
    <row r="4419" spans="1:7" x14ac:dyDescent="0.25">
      <c r="A4419" t="s">
        <v>127</v>
      </c>
      <c r="B4419" t="s">
        <v>129</v>
      </c>
      <c r="C4419">
        <v>1200</v>
      </c>
      <c r="D4419" t="s">
        <v>20</v>
      </c>
      <c r="E4419" t="s">
        <v>32</v>
      </c>
      <c r="F4419" s="5">
        <v>42736</v>
      </c>
      <c r="G4419">
        <v>258</v>
      </c>
    </row>
    <row r="4420" spans="1:7" x14ac:dyDescent="0.25">
      <c r="A4420" t="s">
        <v>127</v>
      </c>
      <c r="B4420" t="s">
        <v>129</v>
      </c>
      <c r="C4420">
        <v>1200</v>
      </c>
      <c r="D4420" t="s">
        <v>33</v>
      </c>
      <c r="E4420" t="s">
        <v>9</v>
      </c>
      <c r="F4420" s="5">
        <v>42370</v>
      </c>
      <c r="G4420">
        <v>0</v>
      </c>
    </row>
    <row r="4421" spans="1:7" x14ac:dyDescent="0.25">
      <c r="A4421" t="s">
        <v>127</v>
      </c>
      <c r="B4421" t="s">
        <v>129</v>
      </c>
      <c r="C4421">
        <v>1200</v>
      </c>
      <c r="D4421" t="s">
        <v>33</v>
      </c>
      <c r="E4421" t="s">
        <v>9</v>
      </c>
      <c r="F4421" s="5">
        <v>42736</v>
      </c>
      <c r="G4421">
        <v>0</v>
      </c>
    </row>
    <row r="4422" spans="1:7" x14ac:dyDescent="0.25">
      <c r="A4422" t="s">
        <v>127</v>
      </c>
      <c r="B4422" t="s">
        <v>129</v>
      </c>
      <c r="C4422">
        <v>1200</v>
      </c>
      <c r="D4422" t="s">
        <v>33</v>
      </c>
      <c r="E4422" t="s">
        <v>34</v>
      </c>
      <c r="F4422" s="5">
        <v>42370</v>
      </c>
      <c r="G4422">
        <v>0</v>
      </c>
    </row>
    <row r="4423" spans="1:7" x14ac:dyDescent="0.25">
      <c r="A4423" t="s">
        <v>127</v>
      </c>
      <c r="B4423" t="s">
        <v>129</v>
      </c>
      <c r="C4423">
        <v>1200</v>
      </c>
      <c r="D4423" t="s">
        <v>33</v>
      </c>
      <c r="E4423" t="s">
        <v>34</v>
      </c>
      <c r="F4423" s="5">
        <v>42736</v>
      </c>
      <c r="G4423">
        <v>0</v>
      </c>
    </row>
    <row r="4424" spans="1:7" x14ac:dyDescent="0.25">
      <c r="A4424" t="s">
        <v>127</v>
      </c>
      <c r="B4424" t="s">
        <v>129</v>
      </c>
      <c r="C4424">
        <v>1200</v>
      </c>
      <c r="D4424" t="s">
        <v>35</v>
      </c>
      <c r="E4424" t="s">
        <v>36</v>
      </c>
      <c r="F4424" s="5">
        <v>42370</v>
      </c>
      <c r="G4424">
        <v>0</v>
      </c>
    </row>
    <row r="4425" spans="1:7" x14ac:dyDescent="0.25">
      <c r="A4425" t="s">
        <v>127</v>
      </c>
      <c r="B4425" t="s">
        <v>129</v>
      </c>
      <c r="C4425">
        <v>1200</v>
      </c>
      <c r="D4425" t="s">
        <v>35</v>
      </c>
      <c r="E4425" t="s">
        <v>36</v>
      </c>
      <c r="F4425" s="5">
        <v>42736</v>
      </c>
      <c r="G4425">
        <v>0</v>
      </c>
    </row>
    <row r="4426" spans="1:7" x14ac:dyDescent="0.25">
      <c r="A4426" t="s">
        <v>127</v>
      </c>
      <c r="B4426" t="s">
        <v>129</v>
      </c>
      <c r="C4426">
        <v>1200</v>
      </c>
      <c r="D4426" t="s">
        <v>35</v>
      </c>
      <c r="E4426" t="s">
        <v>37</v>
      </c>
      <c r="F4426" s="5">
        <v>42370</v>
      </c>
      <c r="G4426">
        <v>0</v>
      </c>
    </row>
    <row r="4427" spans="1:7" x14ac:dyDescent="0.25">
      <c r="A4427" t="s">
        <v>127</v>
      </c>
      <c r="B4427" t="s">
        <v>129</v>
      </c>
      <c r="C4427">
        <v>1200</v>
      </c>
      <c r="D4427" t="s">
        <v>35</v>
      </c>
      <c r="E4427" t="s">
        <v>37</v>
      </c>
      <c r="F4427" s="5">
        <v>42736</v>
      </c>
      <c r="G4427">
        <v>0</v>
      </c>
    </row>
    <row r="4428" spans="1:7" x14ac:dyDescent="0.25">
      <c r="A4428" t="s">
        <v>127</v>
      </c>
      <c r="B4428" t="s">
        <v>129</v>
      </c>
      <c r="C4428">
        <v>1200</v>
      </c>
      <c r="D4428" t="s">
        <v>35</v>
      </c>
      <c r="E4428" t="s">
        <v>38</v>
      </c>
      <c r="F4428" s="5">
        <v>42370</v>
      </c>
      <c r="G4428">
        <v>0</v>
      </c>
    </row>
    <row r="4429" spans="1:7" x14ac:dyDescent="0.25">
      <c r="A4429" t="s">
        <v>127</v>
      </c>
      <c r="B4429" t="s">
        <v>129</v>
      </c>
      <c r="C4429">
        <v>1200</v>
      </c>
      <c r="D4429" t="s">
        <v>35</v>
      </c>
      <c r="E4429" t="s">
        <v>38</v>
      </c>
      <c r="F4429" s="5">
        <v>42736</v>
      </c>
      <c r="G4429">
        <v>0</v>
      </c>
    </row>
    <row r="4430" spans="1:7" x14ac:dyDescent="0.25">
      <c r="A4430" t="s">
        <v>127</v>
      </c>
      <c r="B4430" t="s">
        <v>129</v>
      </c>
      <c r="C4430">
        <v>1200</v>
      </c>
      <c r="D4430" t="s">
        <v>35</v>
      </c>
      <c r="E4430" t="s">
        <v>39</v>
      </c>
      <c r="F4430" s="5">
        <v>42370</v>
      </c>
      <c r="G4430">
        <v>0</v>
      </c>
    </row>
    <row r="4431" spans="1:7" x14ac:dyDescent="0.25">
      <c r="A4431" t="s">
        <v>127</v>
      </c>
      <c r="B4431" t="s">
        <v>129</v>
      </c>
      <c r="C4431">
        <v>1200</v>
      </c>
      <c r="D4431" t="s">
        <v>35</v>
      </c>
      <c r="E4431" t="s">
        <v>39</v>
      </c>
      <c r="F4431" s="5">
        <v>42736</v>
      </c>
      <c r="G4431">
        <v>0</v>
      </c>
    </row>
    <row r="4432" spans="1:7" x14ac:dyDescent="0.25">
      <c r="A4432" t="s">
        <v>127</v>
      </c>
      <c r="B4432" t="s">
        <v>129</v>
      </c>
      <c r="C4432">
        <v>1200</v>
      </c>
      <c r="D4432" t="s">
        <v>35</v>
      </c>
      <c r="E4432" t="s">
        <v>40</v>
      </c>
      <c r="F4432" s="5">
        <v>42370</v>
      </c>
      <c r="G4432">
        <v>2</v>
      </c>
    </row>
    <row r="4433" spans="1:7" x14ac:dyDescent="0.25">
      <c r="A4433" t="s">
        <v>127</v>
      </c>
      <c r="B4433" t="s">
        <v>129</v>
      </c>
      <c r="C4433">
        <v>1200</v>
      </c>
      <c r="D4433" t="s">
        <v>35</v>
      </c>
      <c r="E4433" t="s">
        <v>40</v>
      </c>
      <c r="F4433" s="5">
        <v>42736</v>
      </c>
      <c r="G4433">
        <v>4</v>
      </c>
    </row>
    <row r="4434" spans="1:7" x14ac:dyDescent="0.25">
      <c r="A4434" t="s">
        <v>127</v>
      </c>
      <c r="B4434" t="s">
        <v>129</v>
      </c>
      <c r="C4434">
        <v>1200</v>
      </c>
      <c r="D4434" t="s">
        <v>35</v>
      </c>
      <c r="E4434" t="s">
        <v>41</v>
      </c>
      <c r="F4434" s="5">
        <v>42370</v>
      </c>
      <c r="G4434">
        <v>0</v>
      </c>
    </row>
    <row r="4435" spans="1:7" x14ac:dyDescent="0.25">
      <c r="A4435" t="s">
        <v>127</v>
      </c>
      <c r="B4435" t="s">
        <v>129</v>
      </c>
      <c r="C4435">
        <v>1200</v>
      </c>
      <c r="D4435" t="s">
        <v>35</v>
      </c>
      <c r="E4435" t="s">
        <v>41</v>
      </c>
      <c r="F4435" s="5">
        <v>42736</v>
      </c>
      <c r="G4435">
        <v>8</v>
      </c>
    </row>
    <row r="4436" spans="1:7" x14ac:dyDescent="0.25">
      <c r="A4436" t="s">
        <v>127</v>
      </c>
      <c r="B4436" t="s">
        <v>129</v>
      </c>
      <c r="C4436">
        <v>1200</v>
      </c>
      <c r="D4436" t="s">
        <v>35</v>
      </c>
      <c r="E4436" t="s">
        <v>42</v>
      </c>
      <c r="F4436" s="5">
        <v>42370</v>
      </c>
      <c r="G4436">
        <v>0</v>
      </c>
    </row>
    <row r="4437" spans="1:7" x14ac:dyDescent="0.25">
      <c r="A4437" t="s">
        <v>127</v>
      </c>
      <c r="B4437" t="s">
        <v>129</v>
      </c>
      <c r="C4437">
        <v>1200</v>
      </c>
      <c r="D4437" t="s">
        <v>35</v>
      </c>
      <c r="E4437" t="s">
        <v>42</v>
      </c>
      <c r="F4437" s="5">
        <v>42736</v>
      </c>
      <c r="G4437">
        <v>0</v>
      </c>
    </row>
    <row r="4438" spans="1:7" x14ac:dyDescent="0.25">
      <c r="A4438" t="s">
        <v>127</v>
      </c>
      <c r="B4438" t="s">
        <v>129</v>
      </c>
      <c r="C4438">
        <v>1200</v>
      </c>
      <c r="D4438" t="s">
        <v>35</v>
      </c>
      <c r="E4438" t="s">
        <v>43</v>
      </c>
      <c r="F4438" s="5">
        <v>42370</v>
      </c>
      <c r="G4438">
        <v>0</v>
      </c>
    </row>
    <row r="4439" spans="1:7" x14ac:dyDescent="0.25">
      <c r="A4439" t="s">
        <v>127</v>
      </c>
      <c r="B4439" t="s">
        <v>129</v>
      </c>
      <c r="C4439">
        <v>1200</v>
      </c>
      <c r="D4439" t="s">
        <v>35</v>
      </c>
      <c r="E4439" t="s">
        <v>43</v>
      </c>
      <c r="F4439" s="5">
        <v>42736</v>
      </c>
      <c r="G4439">
        <v>0</v>
      </c>
    </row>
    <row r="4440" spans="1:7" x14ac:dyDescent="0.25">
      <c r="A4440" t="s">
        <v>127</v>
      </c>
      <c r="B4440" t="s">
        <v>129</v>
      </c>
      <c r="C4440">
        <v>1200</v>
      </c>
      <c r="D4440" t="s">
        <v>44</v>
      </c>
      <c r="E4440" t="s">
        <v>36</v>
      </c>
      <c r="F4440" s="5">
        <v>42370</v>
      </c>
      <c r="G4440">
        <v>0</v>
      </c>
    </row>
    <row r="4441" spans="1:7" x14ac:dyDescent="0.25">
      <c r="A4441" t="s">
        <v>127</v>
      </c>
      <c r="B4441" t="s">
        <v>129</v>
      </c>
      <c r="C4441">
        <v>1200</v>
      </c>
      <c r="D4441" t="s">
        <v>44</v>
      </c>
      <c r="E4441" t="s">
        <v>36</v>
      </c>
      <c r="F4441" s="5">
        <v>42736</v>
      </c>
      <c r="G4441">
        <v>0</v>
      </c>
    </row>
    <row r="4442" spans="1:7" x14ac:dyDescent="0.25">
      <c r="A4442" t="s">
        <v>127</v>
      </c>
      <c r="B4442" t="s">
        <v>129</v>
      </c>
      <c r="C4442">
        <v>1200</v>
      </c>
      <c r="D4442" t="s">
        <v>44</v>
      </c>
      <c r="E4442" t="s">
        <v>37</v>
      </c>
      <c r="F4442" s="5">
        <v>42370</v>
      </c>
      <c r="G4442">
        <v>5</v>
      </c>
    </row>
    <row r="4443" spans="1:7" x14ac:dyDescent="0.25">
      <c r="A4443" t="s">
        <v>127</v>
      </c>
      <c r="B4443" t="s">
        <v>129</v>
      </c>
      <c r="C4443">
        <v>1200</v>
      </c>
      <c r="D4443" t="s">
        <v>44</v>
      </c>
      <c r="E4443" t="s">
        <v>37</v>
      </c>
      <c r="F4443" s="5">
        <v>42736</v>
      </c>
      <c r="G4443">
        <v>5</v>
      </c>
    </row>
    <row r="4444" spans="1:7" x14ac:dyDescent="0.25">
      <c r="A4444" t="s">
        <v>127</v>
      </c>
      <c r="B4444" t="s">
        <v>129</v>
      </c>
      <c r="C4444">
        <v>1200</v>
      </c>
      <c r="D4444" t="s">
        <v>44</v>
      </c>
      <c r="E4444" t="s">
        <v>38</v>
      </c>
      <c r="F4444" s="5">
        <v>42370</v>
      </c>
      <c r="G4444">
        <v>0</v>
      </c>
    </row>
    <row r="4445" spans="1:7" x14ac:dyDescent="0.25">
      <c r="A4445" t="s">
        <v>127</v>
      </c>
      <c r="B4445" t="s">
        <v>129</v>
      </c>
      <c r="C4445">
        <v>1200</v>
      </c>
      <c r="D4445" t="s">
        <v>44</v>
      </c>
      <c r="E4445" t="s">
        <v>38</v>
      </c>
      <c r="F4445" s="5">
        <v>42736</v>
      </c>
      <c r="G4445">
        <v>0</v>
      </c>
    </row>
    <row r="4446" spans="1:7" x14ac:dyDescent="0.25">
      <c r="A4446" t="s">
        <v>127</v>
      </c>
      <c r="B4446" t="s">
        <v>129</v>
      </c>
      <c r="C4446">
        <v>1200</v>
      </c>
      <c r="D4446" t="s">
        <v>44</v>
      </c>
      <c r="E4446" t="s">
        <v>39</v>
      </c>
      <c r="F4446" s="5">
        <v>42370</v>
      </c>
      <c r="G4446">
        <v>0</v>
      </c>
    </row>
    <row r="4447" spans="1:7" x14ac:dyDescent="0.25">
      <c r="A4447" t="s">
        <v>127</v>
      </c>
      <c r="B4447" t="s">
        <v>129</v>
      </c>
      <c r="C4447">
        <v>1200</v>
      </c>
      <c r="D4447" t="s">
        <v>44</v>
      </c>
      <c r="E4447" t="s">
        <v>39</v>
      </c>
      <c r="F4447" s="5">
        <v>42736</v>
      </c>
      <c r="G4447">
        <v>0</v>
      </c>
    </row>
    <row r="4448" spans="1:7" x14ac:dyDescent="0.25">
      <c r="A4448" t="s">
        <v>127</v>
      </c>
      <c r="B4448" t="s">
        <v>129</v>
      </c>
      <c r="C4448">
        <v>1200</v>
      </c>
      <c r="D4448" t="s">
        <v>44</v>
      </c>
      <c r="E4448" t="s">
        <v>40</v>
      </c>
      <c r="F4448" s="5">
        <v>42370</v>
      </c>
      <c r="G4448">
        <v>2</v>
      </c>
    </row>
    <row r="4449" spans="1:7" x14ac:dyDescent="0.25">
      <c r="A4449" t="s">
        <v>127</v>
      </c>
      <c r="B4449" t="s">
        <v>129</v>
      </c>
      <c r="C4449">
        <v>1200</v>
      </c>
      <c r="D4449" t="s">
        <v>44</v>
      </c>
      <c r="E4449" t="s">
        <v>40</v>
      </c>
      <c r="F4449" s="5">
        <v>42736</v>
      </c>
      <c r="G4449">
        <v>2</v>
      </c>
    </row>
    <row r="4450" spans="1:7" x14ac:dyDescent="0.25">
      <c r="A4450" t="s">
        <v>127</v>
      </c>
      <c r="B4450" t="s">
        <v>129</v>
      </c>
      <c r="C4450">
        <v>1200</v>
      </c>
      <c r="D4450" t="s">
        <v>44</v>
      </c>
      <c r="E4450" t="s">
        <v>41</v>
      </c>
      <c r="F4450" s="5">
        <v>42370</v>
      </c>
      <c r="G4450">
        <v>1</v>
      </c>
    </row>
    <row r="4451" spans="1:7" x14ac:dyDescent="0.25">
      <c r="A4451" t="s">
        <v>127</v>
      </c>
      <c r="B4451" t="s">
        <v>129</v>
      </c>
      <c r="C4451">
        <v>1200</v>
      </c>
      <c r="D4451" t="s">
        <v>44</v>
      </c>
      <c r="E4451" t="s">
        <v>41</v>
      </c>
      <c r="F4451" s="5">
        <v>42736</v>
      </c>
      <c r="G4451">
        <v>1</v>
      </c>
    </row>
    <row r="4452" spans="1:7" x14ac:dyDescent="0.25">
      <c r="A4452" t="s">
        <v>127</v>
      </c>
      <c r="B4452" t="s">
        <v>129</v>
      </c>
      <c r="C4452">
        <v>1200</v>
      </c>
      <c r="D4452" t="s">
        <v>44</v>
      </c>
      <c r="E4452" t="s">
        <v>42</v>
      </c>
      <c r="F4452" s="5">
        <v>42370</v>
      </c>
      <c r="G4452">
        <v>0</v>
      </c>
    </row>
    <row r="4453" spans="1:7" x14ac:dyDescent="0.25">
      <c r="A4453" t="s">
        <v>127</v>
      </c>
      <c r="B4453" t="s">
        <v>129</v>
      </c>
      <c r="C4453">
        <v>1200</v>
      </c>
      <c r="D4453" t="s">
        <v>44</v>
      </c>
      <c r="E4453" t="s">
        <v>42</v>
      </c>
      <c r="F4453" s="5">
        <v>42736</v>
      </c>
      <c r="G4453">
        <v>0</v>
      </c>
    </row>
    <row r="4454" spans="1:7" x14ac:dyDescent="0.25">
      <c r="A4454" t="s">
        <v>127</v>
      </c>
      <c r="B4454" t="s">
        <v>129</v>
      </c>
      <c r="C4454">
        <v>1200</v>
      </c>
      <c r="D4454" t="s">
        <v>44</v>
      </c>
      <c r="E4454" t="s">
        <v>43</v>
      </c>
      <c r="F4454" s="5">
        <v>42370</v>
      </c>
      <c r="G4454">
        <v>0</v>
      </c>
    </row>
    <row r="4455" spans="1:7" x14ac:dyDescent="0.25">
      <c r="A4455" t="s">
        <v>127</v>
      </c>
      <c r="B4455" t="s">
        <v>129</v>
      </c>
      <c r="C4455">
        <v>1200</v>
      </c>
      <c r="D4455" t="s">
        <v>44</v>
      </c>
      <c r="E4455" t="s">
        <v>43</v>
      </c>
      <c r="F4455" s="5">
        <v>42736</v>
      </c>
      <c r="G4455">
        <v>0</v>
      </c>
    </row>
    <row r="4456" spans="1:7" x14ac:dyDescent="0.25">
      <c r="A4456" t="s">
        <v>127</v>
      </c>
      <c r="B4456" t="s">
        <v>129</v>
      </c>
      <c r="C4456">
        <v>1200</v>
      </c>
      <c r="D4456" t="s">
        <v>45</v>
      </c>
      <c r="E4456" t="s">
        <v>46</v>
      </c>
      <c r="F4456" s="5">
        <v>42370</v>
      </c>
      <c r="G4456">
        <v>0</v>
      </c>
    </row>
    <row r="4457" spans="1:7" x14ac:dyDescent="0.25">
      <c r="A4457" t="s">
        <v>127</v>
      </c>
      <c r="B4457" t="s">
        <v>129</v>
      </c>
      <c r="C4457">
        <v>1200</v>
      </c>
      <c r="D4457" t="s">
        <v>45</v>
      </c>
      <c r="E4457" t="s">
        <v>46</v>
      </c>
      <c r="F4457" s="5">
        <v>42736</v>
      </c>
      <c r="G4457">
        <v>0</v>
      </c>
    </row>
    <row r="4458" spans="1:7" x14ac:dyDescent="0.25">
      <c r="A4458" t="s">
        <v>127</v>
      </c>
      <c r="B4458" t="s">
        <v>129</v>
      </c>
      <c r="C4458">
        <v>1200</v>
      </c>
      <c r="D4458" t="s">
        <v>45</v>
      </c>
      <c r="E4458" t="s">
        <v>47</v>
      </c>
      <c r="F4458" s="5">
        <v>42370</v>
      </c>
      <c r="G4458">
        <v>6</v>
      </c>
    </row>
    <row r="4459" spans="1:7" x14ac:dyDescent="0.25">
      <c r="A4459" t="s">
        <v>127</v>
      </c>
      <c r="B4459" t="s">
        <v>129</v>
      </c>
      <c r="C4459">
        <v>1200</v>
      </c>
      <c r="D4459" t="s">
        <v>45</v>
      </c>
      <c r="E4459" t="s">
        <v>47</v>
      </c>
      <c r="F4459" s="5">
        <v>42736</v>
      </c>
      <c r="G4459">
        <v>15</v>
      </c>
    </row>
    <row r="4460" spans="1:7" x14ac:dyDescent="0.25">
      <c r="A4460" t="s">
        <v>127</v>
      </c>
      <c r="B4460" t="s">
        <v>129</v>
      </c>
      <c r="C4460">
        <v>1200</v>
      </c>
      <c r="D4460" t="s">
        <v>45</v>
      </c>
      <c r="E4460" t="s">
        <v>48</v>
      </c>
      <c r="F4460" s="5">
        <v>42370</v>
      </c>
      <c r="G4460">
        <v>154</v>
      </c>
    </row>
    <row r="4461" spans="1:7" x14ac:dyDescent="0.25">
      <c r="A4461" t="s">
        <v>127</v>
      </c>
      <c r="B4461" t="s">
        <v>129</v>
      </c>
      <c r="C4461">
        <v>1200</v>
      </c>
      <c r="D4461" t="s">
        <v>45</v>
      </c>
      <c r="E4461" t="s">
        <v>48</v>
      </c>
      <c r="F4461" s="5">
        <v>42736</v>
      </c>
      <c r="G4461">
        <v>215</v>
      </c>
    </row>
    <row r="4462" spans="1:7" x14ac:dyDescent="0.25">
      <c r="A4462" t="s">
        <v>127</v>
      </c>
      <c r="B4462" t="s">
        <v>129</v>
      </c>
      <c r="C4462">
        <v>1200</v>
      </c>
      <c r="D4462" t="s">
        <v>45</v>
      </c>
      <c r="E4462" t="s">
        <v>49</v>
      </c>
      <c r="F4462" s="5">
        <v>42370</v>
      </c>
      <c r="G4462">
        <v>60</v>
      </c>
    </row>
    <row r="4463" spans="1:7" x14ac:dyDescent="0.25">
      <c r="A4463" t="s">
        <v>127</v>
      </c>
      <c r="B4463" t="s">
        <v>129</v>
      </c>
      <c r="C4463">
        <v>1200</v>
      </c>
      <c r="D4463" t="s">
        <v>45</v>
      </c>
      <c r="E4463" t="s">
        <v>49</v>
      </c>
      <c r="F4463" s="5">
        <v>42736</v>
      </c>
      <c r="G4463">
        <v>77</v>
      </c>
    </row>
    <row r="4464" spans="1:7" x14ac:dyDescent="0.25">
      <c r="A4464" t="s">
        <v>127</v>
      </c>
      <c r="B4464" t="s">
        <v>129</v>
      </c>
      <c r="C4464">
        <v>1200</v>
      </c>
      <c r="D4464" t="s">
        <v>45</v>
      </c>
      <c r="E4464" t="s">
        <v>50</v>
      </c>
      <c r="F4464" s="5">
        <v>42370</v>
      </c>
      <c r="G4464">
        <v>1</v>
      </c>
    </row>
    <row r="4465" spans="1:7" x14ac:dyDescent="0.25">
      <c r="A4465" t="s">
        <v>127</v>
      </c>
      <c r="B4465" t="s">
        <v>129</v>
      </c>
      <c r="C4465">
        <v>1200</v>
      </c>
      <c r="D4465" t="s">
        <v>45</v>
      </c>
      <c r="E4465" t="s">
        <v>50</v>
      </c>
      <c r="F4465" s="5">
        <v>42736</v>
      </c>
      <c r="G4465">
        <v>1</v>
      </c>
    </row>
    <row r="4466" spans="1:7" x14ac:dyDescent="0.25">
      <c r="A4466" t="s">
        <v>127</v>
      </c>
      <c r="B4466" t="s">
        <v>129</v>
      </c>
      <c r="C4466">
        <v>1200</v>
      </c>
      <c r="D4466" t="s">
        <v>45</v>
      </c>
      <c r="E4466" t="s">
        <v>51</v>
      </c>
      <c r="F4466" s="5">
        <v>42370</v>
      </c>
      <c r="G4466">
        <v>0</v>
      </c>
    </row>
    <row r="4467" spans="1:7" x14ac:dyDescent="0.25">
      <c r="A4467" t="s">
        <v>127</v>
      </c>
      <c r="B4467" t="s">
        <v>129</v>
      </c>
      <c r="C4467">
        <v>1200</v>
      </c>
      <c r="D4467" t="s">
        <v>45</v>
      </c>
      <c r="E4467" t="s">
        <v>51</v>
      </c>
      <c r="F4467" s="5">
        <v>42736</v>
      </c>
      <c r="G4467">
        <v>0</v>
      </c>
    </row>
    <row r="4468" spans="1:7" x14ac:dyDescent="0.25">
      <c r="A4468" t="s">
        <v>127</v>
      </c>
      <c r="B4468" t="s">
        <v>129</v>
      </c>
      <c r="C4468">
        <v>1200</v>
      </c>
      <c r="D4468" t="s">
        <v>45</v>
      </c>
      <c r="E4468" t="s">
        <v>52</v>
      </c>
      <c r="F4468" s="5">
        <v>42370</v>
      </c>
      <c r="G4468">
        <v>1</v>
      </c>
    </row>
    <row r="4469" spans="1:7" x14ac:dyDescent="0.25">
      <c r="A4469" t="s">
        <v>127</v>
      </c>
      <c r="B4469" t="s">
        <v>129</v>
      </c>
      <c r="C4469">
        <v>1200</v>
      </c>
      <c r="D4469" t="s">
        <v>45</v>
      </c>
      <c r="E4469" t="s">
        <v>52</v>
      </c>
      <c r="F4469" s="5">
        <v>42736</v>
      </c>
      <c r="G4469">
        <v>0</v>
      </c>
    </row>
    <row r="4470" spans="1:7" x14ac:dyDescent="0.25">
      <c r="A4470" t="s">
        <v>127</v>
      </c>
      <c r="B4470" t="s">
        <v>129</v>
      </c>
      <c r="C4470">
        <v>1200</v>
      </c>
      <c r="D4470" t="s">
        <v>45</v>
      </c>
      <c r="E4470" t="s">
        <v>53</v>
      </c>
      <c r="F4470" s="5">
        <v>42370</v>
      </c>
      <c r="G4470">
        <v>34</v>
      </c>
    </row>
    <row r="4471" spans="1:7" x14ac:dyDescent="0.25">
      <c r="A4471" t="s">
        <v>127</v>
      </c>
      <c r="B4471" t="s">
        <v>129</v>
      </c>
      <c r="C4471">
        <v>1200</v>
      </c>
      <c r="D4471" t="s">
        <v>45</v>
      </c>
      <c r="E4471" t="s">
        <v>53</v>
      </c>
      <c r="F4471" s="5">
        <v>42736</v>
      </c>
      <c r="G4471">
        <v>111</v>
      </c>
    </row>
    <row r="4472" spans="1:7" x14ac:dyDescent="0.25">
      <c r="A4472" t="s">
        <v>127</v>
      </c>
      <c r="B4472" t="s">
        <v>129</v>
      </c>
      <c r="C4472">
        <v>1200</v>
      </c>
      <c r="D4472" t="s">
        <v>45</v>
      </c>
      <c r="E4472" t="s">
        <v>54</v>
      </c>
      <c r="F4472" s="5">
        <v>42370</v>
      </c>
      <c r="G4472">
        <v>1</v>
      </c>
    </row>
    <row r="4473" spans="1:7" x14ac:dyDescent="0.25">
      <c r="A4473" t="s">
        <v>127</v>
      </c>
      <c r="B4473" t="s">
        <v>129</v>
      </c>
      <c r="C4473">
        <v>1200</v>
      </c>
      <c r="D4473" t="s">
        <v>45</v>
      </c>
      <c r="E4473" t="s">
        <v>54</v>
      </c>
      <c r="F4473" s="5">
        <v>42736</v>
      </c>
      <c r="G4473">
        <v>0</v>
      </c>
    </row>
    <row r="4474" spans="1:7" x14ac:dyDescent="0.25">
      <c r="A4474" t="s">
        <v>127</v>
      </c>
      <c r="B4474" t="s">
        <v>129</v>
      </c>
      <c r="C4474">
        <v>1200</v>
      </c>
      <c r="D4474" t="s">
        <v>45</v>
      </c>
      <c r="E4474" t="s">
        <v>55</v>
      </c>
      <c r="F4474" s="5">
        <v>42370</v>
      </c>
      <c r="G4474">
        <v>7</v>
      </c>
    </row>
    <row r="4475" spans="1:7" x14ac:dyDescent="0.25">
      <c r="A4475" t="s">
        <v>127</v>
      </c>
      <c r="B4475" t="s">
        <v>129</v>
      </c>
      <c r="C4475">
        <v>1200</v>
      </c>
      <c r="D4475" t="s">
        <v>45</v>
      </c>
      <c r="E4475" t="s">
        <v>55</v>
      </c>
      <c r="F4475" s="5">
        <v>42736</v>
      </c>
      <c r="G4475">
        <v>0</v>
      </c>
    </row>
    <row r="4476" spans="1:7" x14ac:dyDescent="0.25">
      <c r="A4476" t="s">
        <v>127</v>
      </c>
      <c r="B4476" t="s">
        <v>129</v>
      </c>
      <c r="C4476">
        <v>1200</v>
      </c>
      <c r="D4476" t="s">
        <v>45</v>
      </c>
      <c r="E4476" t="s">
        <v>56</v>
      </c>
      <c r="F4476" s="5">
        <v>42370</v>
      </c>
      <c r="G4476">
        <v>3</v>
      </c>
    </row>
    <row r="4477" spans="1:7" x14ac:dyDescent="0.25">
      <c r="A4477" t="s">
        <v>127</v>
      </c>
      <c r="B4477" t="s">
        <v>129</v>
      </c>
      <c r="C4477">
        <v>1200</v>
      </c>
      <c r="D4477" t="s">
        <v>45</v>
      </c>
      <c r="E4477" t="s">
        <v>56</v>
      </c>
      <c r="F4477" s="5">
        <v>42736</v>
      </c>
      <c r="G4477">
        <v>4</v>
      </c>
    </row>
    <row r="4478" spans="1:7" x14ac:dyDescent="0.25">
      <c r="A4478" t="s">
        <v>127</v>
      </c>
      <c r="B4478" t="s">
        <v>129</v>
      </c>
      <c r="C4478">
        <v>1200</v>
      </c>
      <c r="D4478" t="s">
        <v>45</v>
      </c>
      <c r="E4478" t="s">
        <v>57</v>
      </c>
      <c r="F4478" s="5">
        <v>42370</v>
      </c>
      <c r="G4478">
        <v>7</v>
      </c>
    </row>
    <row r="4479" spans="1:7" x14ac:dyDescent="0.25">
      <c r="A4479" t="s">
        <v>127</v>
      </c>
      <c r="B4479" t="s">
        <v>129</v>
      </c>
      <c r="C4479">
        <v>1200</v>
      </c>
      <c r="D4479" t="s">
        <v>45</v>
      </c>
      <c r="E4479" t="s">
        <v>57</v>
      </c>
      <c r="F4479" s="5">
        <v>42736</v>
      </c>
      <c r="G4479">
        <v>9</v>
      </c>
    </row>
    <row r="4480" spans="1:7" x14ac:dyDescent="0.25">
      <c r="A4480" t="s">
        <v>127</v>
      </c>
      <c r="B4480" t="s">
        <v>129</v>
      </c>
      <c r="C4480">
        <v>1200</v>
      </c>
      <c r="D4480" t="s">
        <v>45</v>
      </c>
      <c r="E4480" t="s">
        <v>58</v>
      </c>
      <c r="F4480" s="5">
        <v>42370</v>
      </c>
      <c r="G4480">
        <v>0</v>
      </c>
    </row>
    <row r="4481" spans="1:7" x14ac:dyDescent="0.25">
      <c r="A4481" t="s">
        <v>127</v>
      </c>
      <c r="B4481" t="s">
        <v>129</v>
      </c>
      <c r="C4481">
        <v>1200</v>
      </c>
      <c r="D4481" t="s">
        <v>45</v>
      </c>
      <c r="E4481" t="s">
        <v>58</v>
      </c>
      <c r="F4481" s="5">
        <v>42736</v>
      </c>
      <c r="G4481">
        <v>0</v>
      </c>
    </row>
    <row r="4482" spans="1:7" x14ac:dyDescent="0.25">
      <c r="A4482" t="s">
        <v>127</v>
      </c>
      <c r="B4482" t="s">
        <v>129</v>
      </c>
      <c r="C4482">
        <v>1200</v>
      </c>
      <c r="D4482" t="s">
        <v>45</v>
      </c>
      <c r="E4482" t="s">
        <v>59</v>
      </c>
      <c r="F4482" s="5">
        <v>42370</v>
      </c>
      <c r="G4482">
        <v>1</v>
      </c>
    </row>
    <row r="4483" spans="1:7" x14ac:dyDescent="0.25">
      <c r="A4483" t="s">
        <v>127</v>
      </c>
      <c r="B4483" t="s">
        <v>129</v>
      </c>
      <c r="C4483">
        <v>1200</v>
      </c>
      <c r="D4483" t="s">
        <v>45</v>
      </c>
      <c r="E4483" t="s">
        <v>59</v>
      </c>
      <c r="F4483" s="5">
        <v>42736</v>
      </c>
      <c r="G4483">
        <v>5</v>
      </c>
    </row>
    <row r="4484" spans="1:7" x14ac:dyDescent="0.25">
      <c r="A4484" t="s">
        <v>127</v>
      </c>
      <c r="B4484" t="s">
        <v>129</v>
      </c>
      <c r="C4484">
        <v>1200</v>
      </c>
      <c r="D4484" t="s">
        <v>45</v>
      </c>
      <c r="E4484" t="s">
        <v>60</v>
      </c>
      <c r="F4484" s="5">
        <v>42370</v>
      </c>
      <c r="G4484">
        <v>9</v>
      </c>
    </row>
    <row r="4485" spans="1:7" x14ac:dyDescent="0.25">
      <c r="A4485" t="s">
        <v>127</v>
      </c>
      <c r="B4485" t="s">
        <v>129</v>
      </c>
      <c r="C4485">
        <v>1200</v>
      </c>
      <c r="D4485" t="s">
        <v>45</v>
      </c>
      <c r="E4485" t="s">
        <v>60</v>
      </c>
      <c r="F4485" s="5">
        <v>42736</v>
      </c>
      <c r="G4485">
        <v>1</v>
      </c>
    </row>
    <row r="4486" spans="1:7" x14ac:dyDescent="0.25">
      <c r="A4486" t="s">
        <v>127</v>
      </c>
      <c r="B4486" t="s">
        <v>129</v>
      </c>
      <c r="C4486">
        <v>1200</v>
      </c>
      <c r="D4486" t="s">
        <v>45</v>
      </c>
      <c r="E4486" t="s">
        <v>61</v>
      </c>
      <c r="F4486" s="5">
        <v>42370</v>
      </c>
      <c r="G4486">
        <v>1</v>
      </c>
    </row>
    <row r="4487" spans="1:7" x14ac:dyDescent="0.25">
      <c r="A4487" t="s">
        <v>127</v>
      </c>
      <c r="B4487" t="s">
        <v>129</v>
      </c>
      <c r="C4487">
        <v>1200</v>
      </c>
      <c r="D4487" t="s">
        <v>45</v>
      </c>
      <c r="E4487" t="s">
        <v>61</v>
      </c>
      <c r="F4487" s="5">
        <v>42736</v>
      </c>
      <c r="G4487">
        <v>5</v>
      </c>
    </row>
    <row r="4488" spans="1:7" x14ac:dyDescent="0.25">
      <c r="A4488" t="s">
        <v>127</v>
      </c>
      <c r="B4488" t="s">
        <v>129</v>
      </c>
      <c r="C4488">
        <v>1200</v>
      </c>
      <c r="D4488" t="s">
        <v>62</v>
      </c>
      <c r="E4488" t="s">
        <v>63</v>
      </c>
      <c r="F4488" s="5">
        <v>42370</v>
      </c>
      <c r="G4488">
        <v>0</v>
      </c>
    </row>
    <row r="4489" spans="1:7" x14ac:dyDescent="0.25">
      <c r="A4489" t="s">
        <v>127</v>
      </c>
      <c r="B4489" t="s">
        <v>129</v>
      </c>
      <c r="C4489">
        <v>1200</v>
      </c>
      <c r="D4489" t="s">
        <v>62</v>
      </c>
      <c r="E4489" t="s">
        <v>63</v>
      </c>
      <c r="F4489" s="5">
        <v>42736</v>
      </c>
      <c r="G4489">
        <v>0</v>
      </c>
    </row>
    <row r="4490" spans="1:7" x14ac:dyDescent="0.25">
      <c r="A4490" t="s">
        <v>127</v>
      </c>
      <c r="B4490" t="s">
        <v>129</v>
      </c>
      <c r="C4490">
        <v>1200</v>
      </c>
      <c r="D4490" t="s">
        <v>62</v>
      </c>
      <c r="E4490" t="s">
        <v>64</v>
      </c>
      <c r="F4490" s="5">
        <v>42370</v>
      </c>
      <c r="G4490">
        <v>0</v>
      </c>
    </row>
    <row r="4491" spans="1:7" x14ac:dyDescent="0.25">
      <c r="A4491" t="s">
        <v>127</v>
      </c>
      <c r="B4491" t="s">
        <v>129</v>
      </c>
      <c r="C4491">
        <v>1200</v>
      </c>
      <c r="D4491" t="s">
        <v>62</v>
      </c>
      <c r="E4491" t="s">
        <v>64</v>
      </c>
      <c r="F4491" s="5">
        <v>42736</v>
      </c>
      <c r="G4491">
        <v>0</v>
      </c>
    </row>
    <row r="4492" spans="1:7" x14ac:dyDescent="0.25">
      <c r="A4492" t="s">
        <v>127</v>
      </c>
      <c r="B4492" t="s">
        <v>129</v>
      </c>
      <c r="C4492">
        <v>1200</v>
      </c>
      <c r="D4492" t="s">
        <v>62</v>
      </c>
      <c r="E4492" t="s">
        <v>9</v>
      </c>
      <c r="F4492" s="5">
        <v>42370</v>
      </c>
      <c r="G4492">
        <v>0</v>
      </c>
    </row>
    <row r="4493" spans="1:7" x14ac:dyDescent="0.25">
      <c r="A4493" t="s">
        <v>127</v>
      </c>
      <c r="B4493" t="s">
        <v>129</v>
      </c>
      <c r="C4493">
        <v>1200</v>
      </c>
      <c r="D4493" t="s">
        <v>62</v>
      </c>
      <c r="E4493" t="s">
        <v>9</v>
      </c>
      <c r="F4493" s="5">
        <v>42736</v>
      </c>
      <c r="G4493">
        <v>0</v>
      </c>
    </row>
    <row r="4494" spans="1:7" x14ac:dyDescent="0.25">
      <c r="A4494" t="s">
        <v>127</v>
      </c>
      <c r="B4494" t="s">
        <v>129</v>
      </c>
      <c r="C4494">
        <v>1200</v>
      </c>
      <c r="D4494" t="s">
        <v>62</v>
      </c>
      <c r="E4494" t="s">
        <v>65</v>
      </c>
      <c r="F4494" s="5">
        <v>42370</v>
      </c>
      <c r="G4494">
        <v>0</v>
      </c>
    </row>
    <row r="4495" spans="1:7" x14ac:dyDescent="0.25">
      <c r="A4495" t="s">
        <v>127</v>
      </c>
      <c r="B4495" t="s">
        <v>129</v>
      </c>
      <c r="C4495">
        <v>1200</v>
      </c>
      <c r="D4495" t="s">
        <v>62</v>
      </c>
      <c r="E4495" t="s">
        <v>65</v>
      </c>
      <c r="F4495" s="5">
        <v>42736</v>
      </c>
      <c r="G4495">
        <v>0</v>
      </c>
    </row>
    <row r="4496" spans="1:7" x14ac:dyDescent="0.25">
      <c r="A4496" t="s">
        <v>127</v>
      </c>
      <c r="B4496" t="s">
        <v>129</v>
      </c>
      <c r="C4496">
        <v>1200</v>
      </c>
      <c r="D4496" t="s">
        <v>62</v>
      </c>
      <c r="E4496" t="s">
        <v>66</v>
      </c>
      <c r="F4496" s="5">
        <v>42370</v>
      </c>
      <c r="G4496">
        <v>0</v>
      </c>
    </row>
    <row r="4497" spans="1:7" x14ac:dyDescent="0.25">
      <c r="A4497" t="s">
        <v>127</v>
      </c>
      <c r="B4497" t="s">
        <v>129</v>
      </c>
      <c r="C4497">
        <v>1200</v>
      </c>
      <c r="D4497" t="s">
        <v>62</v>
      </c>
      <c r="E4497" t="s">
        <v>66</v>
      </c>
      <c r="F4497" s="5">
        <v>42736</v>
      </c>
      <c r="G4497">
        <v>0</v>
      </c>
    </row>
    <row r="4498" spans="1:7" x14ac:dyDescent="0.25">
      <c r="A4498" t="s">
        <v>127</v>
      </c>
      <c r="B4498" t="s">
        <v>129</v>
      </c>
      <c r="C4498">
        <v>1200</v>
      </c>
      <c r="D4498" t="s">
        <v>62</v>
      </c>
      <c r="E4498" t="s">
        <v>67</v>
      </c>
      <c r="F4498" s="5">
        <v>42370</v>
      </c>
      <c r="G4498">
        <v>0</v>
      </c>
    </row>
    <row r="4499" spans="1:7" x14ac:dyDescent="0.25">
      <c r="A4499" t="s">
        <v>127</v>
      </c>
      <c r="B4499" t="s">
        <v>129</v>
      </c>
      <c r="C4499">
        <v>1200</v>
      </c>
      <c r="D4499" t="s">
        <v>62</v>
      </c>
      <c r="E4499" t="s">
        <v>67</v>
      </c>
      <c r="F4499" s="5">
        <v>42736</v>
      </c>
      <c r="G4499">
        <v>0</v>
      </c>
    </row>
    <row r="4500" spans="1:7" x14ac:dyDescent="0.25">
      <c r="A4500" t="s">
        <v>127</v>
      </c>
      <c r="B4500" t="s">
        <v>129</v>
      </c>
      <c r="C4500">
        <v>1200</v>
      </c>
      <c r="D4500" t="s">
        <v>62</v>
      </c>
      <c r="E4500" t="s">
        <v>68</v>
      </c>
      <c r="F4500" s="5">
        <v>42370</v>
      </c>
      <c r="G4500">
        <v>0</v>
      </c>
    </row>
    <row r="4501" spans="1:7" x14ac:dyDescent="0.25">
      <c r="A4501" t="s">
        <v>127</v>
      </c>
      <c r="B4501" t="s">
        <v>129</v>
      </c>
      <c r="C4501">
        <v>1200</v>
      </c>
      <c r="D4501" t="s">
        <v>62</v>
      </c>
      <c r="E4501" t="s">
        <v>68</v>
      </c>
      <c r="F4501" s="5">
        <v>42736</v>
      </c>
      <c r="G4501">
        <v>0</v>
      </c>
    </row>
    <row r="4502" spans="1:7" x14ac:dyDescent="0.25">
      <c r="A4502" t="s">
        <v>127</v>
      </c>
      <c r="B4502" t="s">
        <v>129</v>
      </c>
      <c r="C4502">
        <v>1200</v>
      </c>
      <c r="D4502" t="s">
        <v>62</v>
      </c>
      <c r="E4502" t="s">
        <v>69</v>
      </c>
      <c r="F4502" s="5">
        <v>42370</v>
      </c>
      <c r="G4502">
        <v>0</v>
      </c>
    </row>
    <row r="4503" spans="1:7" x14ac:dyDescent="0.25">
      <c r="A4503" t="s">
        <v>127</v>
      </c>
      <c r="B4503" t="s">
        <v>129</v>
      </c>
      <c r="C4503">
        <v>1200</v>
      </c>
      <c r="D4503" t="s">
        <v>62</v>
      </c>
      <c r="E4503" t="s">
        <v>69</v>
      </c>
      <c r="F4503" s="5">
        <v>42736</v>
      </c>
      <c r="G4503">
        <v>0</v>
      </c>
    </row>
    <row r="4504" spans="1:7" x14ac:dyDescent="0.25">
      <c r="A4504" t="s">
        <v>127</v>
      </c>
      <c r="B4504" t="s">
        <v>129</v>
      </c>
      <c r="C4504">
        <v>1200</v>
      </c>
      <c r="D4504" t="s">
        <v>62</v>
      </c>
      <c r="E4504" t="s">
        <v>70</v>
      </c>
      <c r="F4504" s="5">
        <v>42370</v>
      </c>
      <c r="G4504">
        <v>0</v>
      </c>
    </row>
    <row r="4505" spans="1:7" x14ac:dyDescent="0.25">
      <c r="A4505" t="s">
        <v>127</v>
      </c>
      <c r="B4505" t="s">
        <v>129</v>
      </c>
      <c r="C4505">
        <v>1200</v>
      </c>
      <c r="D4505" t="s">
        <v>62</v>
      </c>
      <c r="E4505" t="s">
        <v>70</v>
      </c>
      <c r="F4505" s="5">
        <v>42736</v>
      </c>
      <c r="G4505">
        <v>0</v>
      </c>
    </row>
    <row r="4506" spans="1:7" x14ac:dyDescent="0.25">
      <c r="A4506" t="s">
        <v>127</v>
      </c>
      <c r="B4506" t="s">
        <v>129</v>
      </c>
      <c r="C4506">
        <v>1200</v>
      </c>
      <c r="D4506" t="s">
        <v>62</v>
      </c>
      <c r="E4506" t="s">
        <v>71</v>
      </c>
      <c r="F4506" s="5">
        <v>42370</v>
      </c>
      <c r="G4506">
        <v>0</v>
      </c>
    </row>
    <row r="4507" spans="1:7" x14ac:dyDescent="0.25">
      <c r="A4507" t="s">
        <v>127</v>
      </c>
      <c r="B4507" t="s">
        <v>129</v>
      </c>
      <c r="C4507">
        <v>1200</v>
      </c>
      <c r="D4507" t="s">
        <v>62</v>
      </c>
      <c r="E4507" t="s">
        <v>71</v>
      </c>
      <c r="F4507" s="5">
        <v>42736</v>
      </c>
      <c r="G4507">
        <v>0</v>
      </c>
    </row>
    <row r="4508" spans="1:7" x14ac:dyDescent="0.25">
      <c r="A4508" t="s">
        <v>127</v>
      </c>
      <c r="B4508" t="s">
        <v>129</v>
      </c>
      <c r="C4508">
        <v>1200</v>
      </c>
      <c r="D4508" t="s">
        <v>72</v>
      </c>
      <c r="E4508" t="s">
        <v>73</v>
      </c>
      <c r="F4508" s="5">
        <v>42370</v>
      </c>
      <c r="G4508">
        <v>0</v>
      </c>
    </row>
    <row r="4509" spans="1:7" x14ac:dyDescent="0.25">
      <c r="A4509" t="s">
        <v>127</v>
      </c>
      <c r="B4509" t="s">
        <v>129</v>
      </c>
      <c r="C4509">
        <v>1200</v>
      </c>
      <c r="D4509" t="s">
        <v>72</v>
      </c>
      <c r="E4509" t="s">
        <v>73</v>
      </c>
      <c r="F4509" s="5">
        <v>42736</v>
      </c>
      <c r="G4509">
        <v>0</v>
      </c>
    </row>
    <row r="4510" spans="1:7" x14ac:dyDescent="0.25">
      <c r="A4510" t="s">
        <v>127</v>
      </c>
      <c r="B4510" t="s">
        <v>129</v>
      </c>
      <c r="C4510">
        <v>1200</v>
      </c>
      <c r="D4510" t="s">
        <v>72</v>
      </c>
      <c r="E4510" t="s">
        <v>9</v>
      </c>
      <c r="F4510" s="5">
        <v>42370</v>
      </c>
      <c r="G4510">
        <v>0</v>
      </c>
    </row>
    <row r="4511" spans="1:7" x14ac:dyDescent="0.25">
      <c r="A4511" t="s">
        <v>127</v>
      </c>
      <c r="B4511" t="s">
        <v>129</v>
      </c>
      <c r="C4511">
        <v>1200</v>
      </c>
      <c r="D4511" t="s">
        <v>72</v>
      </c>
      <c r="E4511" t="s">
        <v>9</v>
      </c>
      <c r="F4511" s="5">
        <v>42736</v>
      </c>
      <c r="G4511">
        <v>0</v>
      </c>
    </row>
    <row r="4512" spans="1:7" x14ac:dyDescent="0.25">
      <c r="A4512" t="s">
        <v>127</v>
      </c>
      <c r="B4512" t="s">
        <v>129</v>
      </c>
      <c r="C4512">
        <v>1200</v>
      </c>
      <c r="D4512" t="s">
        <v>72</v>
      </c>
      <c r="E4512" t="s">
        <v>34</v>
      </c>
      <c r="F4512" s="5">
        <v>42370</v>
      </c>
      <c r="G4512">
        <v>0</v>
      </c>
    </row>
    <row r="4513" spans="1:7" x14ac:dyDescent="0.25">
      <c r="A4513" t="s">
        <v>127</v>
      </c>
      <c r="B4513" t="s">
        <v>129</v>
      </c>
      <c r="C4513">
        <v>1200</v>
      </c>
      <c r="D4513" t="s">
        <v>72</v>
      </c>
      <c r="E4513" t="s">
        <v>34</v>
      </c>
      <c r="F4513" s="5">
        <v>42736</v>
      </c>
      <c r="G4513">
        <v>0</v>
      </c>
    </row>
    <row r="4514" spans="1:7" x14ac:dyDescent="0.25">
      <c r="A4514" t="s">
        <v>127</v>
      </c>
      <c r="B4514" t="s">
        <v>129</v>
      </c>
      <c r="C4514">
        <v>1200</v>
      </c>
      <c r="D4514" t="s">
        <v>72</v>
      </c>
      <c r="E4514" t="s">
        <v>74</v>
      </c>
      <c r="F4514" s="5">
        <v>42370</v>
      </c>
      <c r="G4514">
        <v>0</v>
      </c>
    </row>
    <row r="4515" spans="1:7" x14ac:dyDescent="0.25">
      <c r="A4515" t="s">
        <v>127</v>
      </c>
      <c r="B4515" t="s">
        <v>129</v>
      </c>
      <c r="C4515">
        <v>1200</v>
      </c>
      <c r="D4515" t="s">
        <v>72</v>
      </c>
      <c r="E4515" t="s">
        <v>74</v>
      </c>
      <c r="F4515" s="5">
        <v>42736</v>
      </c>
      <c r="G4515">
        <v>0</v>
      </c>
    </row>
    <row r="4516" spans="1:7" x14ac:dyDescent="0.25">
      <c r="A4516" t="s">
        <v>127</v>
      </c>
      <c r="B4516" t="s">
        <v>129</v>
      </c>
      <c r="C4516">
        <v>1200</v>
      </c>
      <c r="D4516" t="s">
        <v>72</v>
      </c>
      <c r="E4516" t="s">
        <v>75</v>
      </c>
      <c r="F4516" s="5">
        <v>42370</v>
      </c>
      <c r="G4516">
        <v>0</v>
      </c>
    </row>
    <row r="4517" spans="1:7" x14ac:dyDescent="0.25">
      <c r="A4517" t="s">
        <v>127</v>
      </c>
      <c r="B4517" t="s">
        <v>129</v>
      </c>
      <c r="C4517">
        <v>1200</v>
      </c>
      <c r="D4517" t="s">
        <v>72</v>
      </c>
      <c r="E4517" t="s">
        <v>75</v>
      </c>
      <c r="F4517" s="5">
        <v>42736</v>
      </c>
      <c r="G4517">
        <v>0</v>
      </c>
    </row>
    <row r="4518" spans="1:7" x14ac:dyDescent="0.25">
      <c r="A4518" t="s">
        <v>127</v>
      </c>
      <c r="B4518" t="s">
        <v>129</v>
      </c>
      <c r="C4518">
        <v>1200</v>
      </c>
      <c r="D4518" t="s">
        <v>76</v>
      </c>
      <c r="E4518" t="s">
        <v>9</v>
      </c>
      <c r="F4518" s="5">
        <v>42370</v>
      </c>
      <c r="G4518">
        <v>0</v>
      </c>
    </row>
    <row r="4519" spans="1:7" x14ac:dyDescent="0.25">
      <c r="A4519" t="s">
        <v>127</v>
      </c>
      <c r="B4519" t="s">
        <v>129</v>
      </c>
      <c r="C4519">
        <v>1200</v>
      </c>
      <c r="D4519" t="s">
        <v>76</v>
      </c>
      <c r="E4519" t="s">
        <v>9</v>
      </c>
      <c r="F4519" s="5">
        <v>42736</v>
      </c>
      <c r="G4519">
        <v>0</v>
      </c>
    </row>
    <row r="4520" spans="1:7" x14ac:dyDescent="0.25">
      <c r="A4520" t="s">
        <v>127</v>
      </c>
      <c r="B4520" t="s">
        <v>129</v>
      </c>
      <c r="C4520">
        <v>1200</v>
      </c>
      <c r="D4520" t="s">
        <v>76</v>
      </c>
      <c r="E4520" t="s">
        <v>77</v>
      </c>
      <c r="F4520" s="5">
        <v>42370</v>
      </c>
      <c r="G4520">
        <v>8</v>
      </c>
    </row>
    <row r="4521" spans="1:7" x14ac:dyDescent="0.25">
      <c r="A4521" t="s">
        <v>127</v>
      </c>
      <c r="B4521" t="s">
        <v>129</v>
      </c>
      <c r="C4521">
        <v>1200</v>
      </c>
      <c r="D4521" t="s">
        <v>76</v>
      </c>
      <c r="E4521" t="s">
        <v>77</v>
      </c>
      <c r="F4521" s="5">
        <v>42736</v>
      </c>
      <c r="G4521">
        <v>5</v>
      </c>
    </row>
    <row r="4522" spans="1:7" x14ac:dyDescent="0.25">
      <c r="A4522" t="s">
        <v>127</v>
      </c>
      <c r="B4522" t="s">
        <v>129</v>
      </c>
      <c r="C4522">
        <v>1200</v>
      </c>
      <c r="D4522" t="s">
        <v>78</v>
      </c>
      <c r="E4522" t="s">
        <v>79</v>
      </c>
      <c r="F4522" s="5">
        <v>42370</v>
      </c>
      <c r="G4522">
        <v>363</v>
      </c>
    </row>
    <row r="4523" spans="1:7" x14ac:dyDescent="0.25">
      <c r="A4523" t="s">
        <v>127</v>
      </c>
      <c r="B4523" t="s">
        <v>129</v>
      </c>
      <c r="C4523">
        <v>1200</v>
      </c>
      <c r="D4523" t="s">
        <v>78</v>
      </c>
      <c r="E4523" t="s">
        <v>79</v>
      </c>
      <c r="F4523" s="5">
        <v>42736</v>
      </c>
      <c r="G4523">
        <v>496</v>
      </c>
    </row>
    <row r="4524" spans="1:7" x14ac:dyDescent="0.25">
      <c r="A4524" t="s">
        <v>127</v>
      </c>
      <c r="B4524" t="s">
        <v>129</v>
      </c>
      <c r="C4524">
        <v>1200</v>
      </c>
      <c r="D4524" t="s">
        <v>78</v>
      </c>
      <c r="E4524" t="s">
        <v>80</v>
      </c>
      <c r="F4524" s="5">
        <v>42370</v>
      </c>
      <c r="G4524">
        <v>18</v>
      </c>
    </row>
    <row r="4525" spans="1:7" x14ac:dyDescent="0.25">
      <c r="A4525" t="s">
        <v>127</v>
      </c>
      <c r="B4525" t="s">
        <v>129</v>
      </c>
      <c r="C4525">
        <v>1200</v>
      </c>
      <c r="D4525" t="s">
        <v>78</v>
      </c>
      <c r="E4525" t="s">
        <v>80</v>
      </c>
      <c r="F4525" s="5">
        <v>42736</v>
      </c>
      <c r="G4525">
        <v>34</v>
      </c>
    </row>
    <row r="4526" spans="1:7" x14ac:dyDescent="0.25">
      <c r="A4526" t="s">
        <v>127</v>
      </c>
      <c r="B4526" t="s">
        <v>129</v>
      </c>
      <c r="C4526">
        <v>1200</v>
      </c>
      <c r="D4526" t="s">
        <v>78</v>
      </c>
      <c r="E4526" t="s">
        <v>81</v>
      </c>
      <c r="F4526" s="5">
        <v>42370</v>
      </c>
      <c r="G4526">
        <v>1369</v>
      </c>
    </row>
    <row r="4527" spans="1:7" x14ac:dyDescent="0.25">
      <c r="A4527" t="s">
        <v>127</v>
      </c>
      <c r="B4527" t="s">
        <v>129</v>
      </c>
      <c r="C4527">
        <v>1200</v>
      </c>
      <c r="D4527" t="s">
        <v>78</v>
      </c>
      <c r="E4527" t="s">
        <v>81</v>
      </c>
      <c r="F4527" s="5">
        <v>42736</v>
      </c>
      <c r="G4527">
        <v>1976</v>
      </c>
    </row>
    <row r="4528" spans="1:7" x14ac:dyDescent="0.25">
      <c r="A4528" t="s">
        <v>127</v>
      </c>
      <c r="B4528" t="s">
        <v>129</v>
      </c>
      <c r="C4528">
        <v>1200</v>
      </c>
      <c r="D4528" t="s">
        <v>78</v>
      </c>
      <c r="E4528" t="s">
        <v>82</v>
      </c>
      <c r="F4528" s="5">
        <v>42370</v>
      </c>
      <c r="G4528">
        <v>29</v>
      </c>
    </row>
    <row r="4529" spans="1:7" x14ac:dyDescent="0.25">
      <c r="A4529" t="s">
        <v>127</v>
      </c>
      <c r="B4529" t="s">
        <v>129</v>
      </c>
      <c r="C4529">
        <v>1200</v>
      </c>
      <c r="D4529" t="s">
        <v>78</v>
      </c>
      <c r="E4529" t="s">
        <v>82</v>
      </c>
      <c r="F4529" s="5">
        <v>42736</v>
      </c>
      <c r="G4529">
        <v>38</v>
      </c>
    </row>
    <row r="4530" spans="1:7" x14ac:dyDescent="0.25">
      <c r="A4530" t="s">
        <v>127</v>
      </c>
      <c r="B4530" t="s">
        <v>129</v>
      </c>
      <c r="C4530">
        <v>1200</v>
      </c>
      <c r="D4530" t="s">
        <v>78</v>
      </c>
      <c r="E4530" t="s">
        <v>83</v>
      </c>
      <c r="F4530" s="5">
        <v>42370</v>
      </c>
      <c r="G4530">
        <v>29</v>
      </c>
    </row>
    <row r="4531" spans="1:7" x14ac:dyDescent="0.25">
      <c r="A4531" t="s">
        <v>127</v>
      </c>
      <c r="B4531" t="s">
        <v>129</v>
      </c>
      <c r="C4531">
        <v>1200</v>
      </c>
      <c r="D4531" t="s">
        <v>78</v>
      </c>
      <c r="E4531" t="s">
        <v>83</v>
      </c>
      <c r="F4531" s="5">
        <v>42736</v>
      </c>
      <c r="G4531">
        <v>50</v>
      </c>
    </row>
    <row r="4532" spans="1:7" x14ac:dyDescent="0.25">
      <c r="A4532" t="s">
        <v>127</v>
      </c>
      <c r="B4532" t="s">
        <v>129</v>
      </c>
      <c r="C4532">
        <v>1200</v>
      </c>
      <c r="D4532" t="s">
        <v>78</v>
      </c>
      <c r="E4532" t="s">
        <v>84</v>
      </c>
      <c r="F4532" s="5">
        <v>42370</v>
      </c>
      <c r="G4532">
        <v>2</v>
      </c>
    </row>
    <row r="4533" spans="1:7" x14ac:dyDescent="0.25">
      <c r="A4533" t="s">
        <v>127</v>
      </c>
      <c r="B4533" t="s">
        <v>129</v>
      </c>
      <c r="C4533">
        <v>1200</v>
      </c>
      <c r="D4533" t="s">
        <v>78</v>
      </c>
      <c r="E4533" t="s">
        <v>84</v>
      </c>
      <c r="F4533" s="5">
        <v>42736</v>
      </c>
      <c r="G4533">
        <v>4</v>
      </c>
    </row>
    <row r="4534" spans="1:7" x14ac:dyDescent="0.25">
      <c r="A4534" t="s">
        <v>127</v>
      </c>
      <c r="B4534" t="s">
        <v>129</v>
      </c>
      <c r="C4534">
        <v>1200</v>
      </c>
      <c r="D4534" t="s">
        <v>78</v>
      </c>
      <c r="E4534" t="s">
        <v>85</v>
      </c>
      <c r="F4534" s="5">
        <v>42370</v>
      </c>
      <c r="G4534">
        <v>4</v>
      </c>
    </row>
    <row r="4535" spans="1:7" x14ac:dyDescent="0.25">
      <c r="A4535" t="s">
        <v>127</v>
      </c>
      <c r="B4535" t="s">
        <v>129</v>
      </c>
      <c r="C4535">
        <v>1200</v>
      </c>
      <c r="D4535" t="s">
        <v>78</v>
      </c>
      <c r="E4535" t="s">
        <v>85</v>
      </c>
      <c r="F4535" s="5">
        <v>42736</v>
      </c>
      <c r="G4535">
        <v>16</v>
      </c>
    </row>
    <row r="4536" spans="1:7" x14ac:dyDescent="0.25">
      <c r="A4536" t="s">
        <v>127</v>
      </c>
      <c r="B4536" t="s">
        <v>129</v>
      </c>
      <c r="C4536">
        <v>1200</v>
      </c>
      <c r="D4536" t="s">
        <v>78</v>
      </c>
      <c r="E4536" t="s">
        <v>86</v>
      </c>
      <c r="F4536" s="5">
        <v>42370</v>
      </c>
      <c r="G4536">
        <v>2</v>
      </c>
    </row>
    <row r="4537" spans="1:7" x14ac:dyDescent="0.25">
      <c r="A4537" t="s">
        <v>127</v>
      </c>
      <c r="B4537" t="s">
        <v>129</v>
      </c>
      <c r="C4537">
        <v>1200</v>
      </c>
      <c r="D4537" t="s">
        <v>78</v>
      </c>
      <c r="E4537" t="s">
        <v>86</v>
      </c>
      <c r="F4537" s="5">
        <v>42736</v>
      </c>
      <c r="G4537">
        <v>0</v>
      </c>
    </row>
    <row r="4538" spans="1:7" x14ac:dyDescent="0.25">
      <c r="A4538" t="s">
        <v>127</v>
      </c>
      <c r="B4538" t="s">
        <v>129</v>
      </c>
      <c r="C4538">
        <v>1200</v>
      </c>
      <c r="D4538" t="s">
        <v>78</v>
      </c>
      <c r="E4538" t="s">
        <v>87</v>
      </c>
      <c r="F4538" s="5">
        <v>42370</v>
      </c>
      <c r="G4538">
        <v>46</v>
      </c>
    </row>
    <row r="4539" spans="1:7" x14ac:dyDescent="0.25">
      <c r="A4539" t="s">
        <v>127</v>
      </c>
      <c r="B4539" t="s">
        <v>129</v>
      </c>
      <c r="C4539">
        <v>1200</v>
      </c>
      <c r="D4539" t="s">
        <v>78</v>
      </c>
      <c r="E4539" t="s">
        <v>87</v>
      </c>
      <c r="F4539" s="5">
        <v>42736</v>
      </c>
      <c r="G4539">
        <v>40</v>
      </c>
    </row>
    <row r="4540" spans="1:7" x14ac:dyDescent="0.25">
      <c r="A4540" t="s">
        <v>127</v>
      </c>
      <c r="B4540" t="s">
        <v>129</v>
      </c>
      <c r="C4540">
        <v>1200</v>
      </c>
      <c r="D4540" t="s">
        <v>78</v>
      </c>
      <c r="E4540" t="s">
        <v>88</v>
      </c>
      <c r="F4540" s="5">
        <v>42370</v>
      </c>
      <c r="G4540">
        <v>303</v>
      </c>
    </row>
    <row r="4541" spans="1:7" x14ac:dyDescent="0.25">
      <c r="A4541" t="s">
        <v>127</v>
      </c>
      <c r="B4541" t="s">
        <v>129</v>
      </c>
      <c r="C4541">
        <v>1200</v>
      </c>
      <c r="D4541" t="s">
        <v>78</v>
      </c>
      <c r="E4541" t="s">
        <v>88</v>
      </c>
      <c r="F4541" s="5">
        <v>42736</v>
      </c>
      <c r="G4541">
        <v>431</v>
      </c>
    </row>
    <row r="4542" spans="1:7" x14ac:dyDescent="0.25">
      <c r="A4542" t="s">
        <v>127</v>
      </c>
      <c r="B4542" t="s">
        <v>129</v>
      </c>
      <c r="C4542">
        <v>1200</v>
      </c>
      <c r="D4542" t="s">
        <v>78</v>
      </c>
      <c r="E4542" t="s">
        <v>89</v>
      </c>
      <c r="F4542" s="5">
        <v>42370</v>
      </c>
      <c r="G4542">
        <v>3952</v>
      </c>
    </row>
    <row r="4543" spans="1:7" x14ac:dyDescent="0.25">
      <c r="A4543" t="s">
        <v>127</v>
      </c>
      <c r="B4543" t="s">
        <v>129</v>
      </c>
      <c r="C4543">
        <v>1200</v>
      </c>
      <c r="D4543" t="s">
        <v>78</v>
      </c>
      <c r="E4543" t="s">
        <v>89</v>
      </c>
      <c r="F4543" s="5">
        <v>42736</v>
      </c>
      <c r="G4543">
        <v>8438</v>
      </c>
    </row>
    <row r="4544" spans="1:7" x14ac:dyDescent="0.25">
      <c r="A4544" t="s">
        <v>127</v>
      </c>
      <c r="B4544" t="s">
        <v>129</v>
      </c>
      <c r="C4544">
        <v>1200</v>
      </c>
      <c r="D4544" t="s">
        <v>78</v>
      </c>
      <c r="E4544" t="s">
        <v>90</v>
      </c>
      <c r="F4544" s="5">
        <v>42370</v>
      </c>
      <c r="G4544">
        <v>0</v>
      </c>
    </row>
    <row r="4545" spans="1:7" x14ac:dyDescent="0.25">
      <c r="A4545" t="s">
        <v>127</v>
      </c>
      <c r="B4545" t="s">
        <v>129</v>
      </c>
      <c r="C4545">
        <v>1200</v>
      </c>
      <c r="D4545" t="s">
        <v>78</v>
      </c>
      <c r="E4545" t="s">
        <v>90</v>
      </c>
      <c r="F4545" s="5">
        <v>42736</v>
      </c>
      <c r="G4545">
        <v>0</v>
      </c>
    </row>
    <row r="4546" spans="1:7" x14ac:dyDescent="0.25">
      <c r="A4546" t="s">
        <v>127</v>
      </c>
      <c r="B4546" t="s">
        <v>129</v>
      </c>
      <c r="C4546">
        <v>1200</v>
      </c>
      <c r="D4546" t="s">
        <v>78</v>
      </c>
      <c r="E4546" t="s">
        <v>91</v>
      </c>
      <c r="F4546" s="5">
        <v>42370</v>
      </c>
      <c r="G4546">
        <v>103</v>
      </c>
    </row>
    <row r="4547" spans="1:7" x14ac:dyDescent="0.25">
      <c r="A4547" t="s">
        <v>127</v>
      </c>
      <c r="B4547" t="s">
        <v>129</v>
      </c>
      <c r="C4547">
        <v>1200</v>
      </c>
      <c r="D4547" t="s">
        <v>78</v>
      </c>
      <c r="E4547" t="s">
        <v>91</v>
      </c>
      <c r="F4547" s="5">
        <v>42736</v>
      </c>
      <c r="G4547">
        <v>166</v>
      </c>
    </row>
    <row r="4548" spans="1:7" x14ac:dyDescent="0.25">
      <c r="A4548" t="s">
        <v>127</v>
      </c>
      <c r="B4548" t="s">
        <v>129</v>
      </c>
      <c r="C4548">
        <v>1200</v>
      </c>
      <c r="D4548" t="s">
        <v>78</v>
      </c>
      <c r="E4548" t="s">
        <v>92</v>
      </c>
      <c r="F4548" s="5">
        <v>42370</v>
      </c>
      <c r="G4548">
        <v>7</v>
      </c>
    </row>
    <row r="4549" spans="1:7" x14ac:dyDescent="0.25">
      <c r="A4549" t="s">
        <v>127</v>
      </c>
      <c r="B4549" t="s">
        <v>129</v>
      </c>
      <c r="C4549">
        <v>1200</v>
      </c>
      <c r="D4549" t="s">
        <v>78</v>
      </c>
      <c r="E4549" t="s">
        <v>92</v>
      </c>
      <c r="F4549" s="5">
        <v>42736</v>
      </c>
      <c r="G4549">
        <v>24</v>
      </c>
    </row>
    <row r="4550" spans="1:7" x14ac:dyDescent="0.25">
      <c r="A4550" t="s">
        <v>127</v>
      </c>
      <c r="B4550" t="s">
        <v>129</v>
      </c>
      <c r="C4550">
        <v>1200</v>
      </c>
      <c r="D4550" t="s">
        <v>78</v>
      </c>
      <c r="E4550" t="s">
        <v>93</v>
      </c>
      <c r="F4550" s="5">
        <v>42370</v>
      </c>
      <c r="G4550">
        <v>80</v>
      </c>
    </row>
    <row r="4551" spans="1:7" x14ac:dyDescent="0.25">
      <c r="A4551" t="s">
        <v>127</v>
      </c>
      <c r="B4551" t="s">
        <v>129</v>
      </c>
      <c r="C4551">
        <v>1200</v>
      </c>
      <c r="D4551" t="s">
        <v>78</v>
      </c>
      <c r="E4551" t="s">
        <v>93</v>
      </c>
      <c r="F4551" s="5">
        <v>42736</v>
      </c>
      <c r="G4551">
        <v>113</v>
      </c>
    </row>
    <row r="4552" spans="1:7" x14ac:dyDescent="0.25">
      <c r="A4552" t="s">
        <v>127</v>
      </c>
      <c r="B4552" t="s">
        <v>129</v>
      </c>
      <c r="C4552">
        <v>1200</v>
      </c>
      <c r="D4552" t="s">
        <v>78</v>
      </c>
      <c r="E4552" t="s">
        <v>94</v>
      </c>
      <c r="F4552" s="5">
        <v>42370</v>
      </c>
      <c r="G4552">
        <v>101</v>
      </c>
    </row>
    <row r="4553" spans="1:7" x14ac:dyDescent="0.25">
      <c r="A4553" t="s">
        <v>127</v>
      </c>
      <c r="B4553" t="s">
        <v>129</v>
      </c>
      <c r="C4553">
        <v>1200</v>
      </c>
      <c r="D4553" t="s">
        <v>78</v>
      </c>
      <c r="E4553" t="s">
        <v>94</v>
      </c>
      <c r="F4553" s="5">
        <v>42736</v>
      </c>
      <c r="G4553">
        <v>174</v>
      </c>
    </row>
    <row r="4554" spans="1:7" x14ac:dyDescent="0.25">
      <c r="A4554" t="s">
        <v>127</v>
      </c>
      <c r="B4554" t="s">
        <v>129</v>
      </c>
      <c r="C4554">
        <v>1200</v>
      </c>
      <c r="D4554" t="s">
        <v>78</v>
      </c>
      <c r="E4554" t="s">
        <v>95</v>
      </c>
      <c r="F4554" s="5">
        <v>42370</v>
      </c>
      <c r="G4554">
        <v>18</v>
      </c>
    </row>
    <row r="4555" spans="1:7" x14ac:dyDescent="0.25">
      <c r="A4555" t="s">
        <v>127</v>
      </c>
      <c r="B4555" t="s">
        <v>129</v>
      </c>
      <c r="C4555">
        <v>1200</v>
      </c>
      <c r="D4555" t="s">
        <v>78</v>
      </c>
      <c r="E4555" t="s">
        <v>95</v>
      </c>
      <c r="F4555" s="5">
        <v>42736</v>
      </c>
      <c r="G4555">
        <v>27</v>
      </c>
    </row>
    <row r="4556" spans="1:7" x14ac:dyDescent="0.25">
      <c r="A4556" t="s">
        <v>127</v>
      </c>
      <c r="B4556" t="s">
        <v>129</v>
      </c>
      <c r="C4556">
        <v>1200</v>
      </c>
      <c r="D4556" t="s">
        <v>78</v>
      </c>
      <c r="E4556" t="s">
        <v>96</v>
      </c>
      <c r="F4556" s="5">
        <v>42370</v>
      </c>
      <c r="G4556">
        <v>31</v>
      </c>
    </row>
    <row r="4557" spans="1:7" x14ac:dyDescent="0.25">
      <c r="A4557" t="s">
        <v>127</v>
      </c>
      <c r="B4557" t="s">
        <v>129</v>
      </c>
      <c r="C4557">
        <v>1200</v>
      </c>
      <c r="D4557" t="s">
        <v>78</v>
      </c>
      <c r="E4557" t="s">
        <v>96</v>
      </c>
      <c r="F4557" s="5">
        <v>42736</v>
      </c>
      <c r="G4557">
        <v>50</v>
      </c>
    </row>
    <row r="4558" spans="1:7" x14ac:dyDescent="0.25">
      <c r="A4558" t="s">
        <v>127</v>
      </c>
      <c r="B4558" t="s">
        <v>129</v>
      </c>
      <c r="C4558">
        <v>1200</v>
      </c>
      <c r="D4558" t="s">
        <v>78</v>
      </c>
      <c r="E4558" t="s">
        <v>97</v>
      </c>
      <c r="F4558" s="5">
        <v>42370</v>
      </c>
      <c r="G4558">
        <v>133</v>
      </c>
    </row>
    <row r="4559" spans="1:7" x14ac:dyDescent="0.25">
      <c r="A4559" t="s">
        <v>127</v>
      </c>
      <c r="B4559" t="s">
        <v>129</v>
      </c>
      <c r="C4559">
        <v>1200</v>
      </c>
      <c r="D4559" t="s">
        <v>78</v>
      </c>
      <c r="E4559" t="s">
        <v>97</v>
      </c>
      <c r="F4559" s="5">
        <v>42736</v>
      </c>
      <c r="G4559">
        <v>379</v>
      </c>
    </row>
    <row r="4560" spans="1:7" x14ac:dyDescent="0.25">
      <c r="A4560" t="s">
        <v>127</v>
      </c>
      <c r="B4560" t="s">
        <v>129</v>
      </c>
      <c r="C4560">
        <v>1200</v>
      </c>
      <c r="D4560" t="s">
        <v>78</v>
      </c>
      <c r="E4560" t="s">
        <v>98</v>
      </c>
      <c r="F4560" s="5">
        <v>42370</v>
      </c>
      <c r="G4560">
        <v>46</v>
      </c>
    </row>
    <row r="4561" spans="1:7" x14ac:dyDescent="0.25">
      <c r="A4561" t="s">
        <v>127</v>
      </c>
      <c r="B4561" t="s">
        <v>129</v>
      </c>
      <c r="C4561">
        <v>1200</v>
      </c>
      <c r="D4561" t="s">
        <v>78</v>
      </c>
      <c r="E4561" t="s">
        <v>98</v>
      </c>
      <c r="F4561" s="5">
        <v>42736</v>
      </c>
      <c r="G4561">
        <v>57</v>
      </c>
    </row>
    <row r="4562" spans="1:7" x14ac:dyDescent="0.25">
      <c r="A4562" t="s">
        <v>130</v>
      </c>
      <c r="B4562" t="s">
        <v>131</v>
      </c>
      <c r="C4562">
        <v>2210</v>
      </c>
      <c r="D4562" t="s">
        <v>8</v>
      </c>
      <c r="E4562" t="s">
        <v>9</v>
      </c>
      <c r="F4562" s="5">
        <v>42370</v>
      </c>
      <c r="G4562">
        <v>0</v>
      </c>
    </row>
    <row r="4563" spans="1:7" x14ac:dyDescent="0.25">
      <c r="A4563" t="s">
        <v>130</v>
      </c>
      <c r="B4563" t="s">
        <v>131</v>
      </c>
      <c r="C4563">
        <v>2210</v>
      </c>
      <c r="D4563" t="s">
        <v>8</v>
      </c>
      <c r="E4563" t="s">
        <v>9</v>
      </c>
      <c r="F4563" s="5">
        <v>42736</v>
      </c>
      <c r="G4563">
        <v>0</v>
      </c>
    </row>
    <row r="4564" spans="1:7" x14ac:dyDescent="0.25">
      <c r="A4564" t="s">
        <v>130</v>
      </c>
      <c r="B4564" t="s">
        <v>131</v>
      </c>
      <c r="C4564">
        <v>2210</v>
      </c>
      <c r="D4564" t="s">
        <v>8</v>
      </c>
      <c r="E4564" t="s">
        <v>10</v>
      </c>
      <c r="F4564" s="5">
        <v>42370</v>
      </c>
      <c r="G4564">
        <v>0</v>
      </c>
    </row>
    <row r="4565" spans="1:7" x14ac:dyDescent="0.25">
      <c r="A4565" t="s">
        <v>130</v>
      </c>
      <c r="B4565" t="s">
        <v>131</v>
      </c>
      <c r="C4565">
        <v>2210</v>
      </c>
      <c r="D4565" t="s">
        <v>8</v>
      </c>
      <c r="E4565" t="s">
        <v>10</v>
      </c>
      <c r="F4565" s="5">
        <v>42736</v>
      </c>
      <c r="G4565">
        <v>0</v>
      </c>
    </row>
    <row r="4566" spans="1:7" x14ac:dyDescent="0.25">
      <c r="A4566" t="s">
        <v>130</v>
      </c>
      <c r="B4566" t="s">
        <v>131</v>
      </c>
      <c r="C4566">
        <v>2210</v>
      </c>
      <c r="D4566" t="s">
        <v>8</v>
      </c>
      <c r="E4566" t="s">
        <v>11</v>
      </c>
      <c r="F4566" s="5">
        <v>42370</v>
      </c>
      <c r="G4566">
        <v>0</v>
      </c>
    </row>
    <row r="4567" spans="1:7" x14ac:dyDescent="0.25">
      <c r="A4567" t="s">
        <v>130</v>
      </c>
      <c r="B4567" t="s">
        <v>131</v>
      </c>
      <c r="C4567">
        <v>2210</v>
      </c>
      <c r="D4567" t="s">
        <v>8</v>
      </c>
      <c r="E4567" t="s">
        <v>11</v>
      </c>
      <c r="F4567" s="5">
        <v>42736</v>
      </c>
      <c r="G4567">
        <v>0</v>
      </c>
    </row>
    <row r="4568" spans="1:7" x14ac:dyDescent="0.25">
      <c r="A4568" t="s">
        <v>130</v>
      </c>
      <c r="B4568" t="s">
        <v>131</v>
      </c>
      <c r="C4568">
        <v>2210</v>
      </c>
      <c r="D4568" t="s">
        <v>8</v>
      </c>
      <c r="E4568" t="s">
        <v>12</v>
      </c>
      <c r="F4568" s="5">
        <v>42370</v>
      </c>
      <c r="G4568">
        <v>0</v>
      </c>
    </row>
    <row r="4569" spans="1:7" x14ac:dyDescent="0.25">
      <c r="A4569" t="s">
        <v>130</v>
      </c>
      <c r="B4569" t="s">
        <v>131</v>
      </c>
      <c r="C4569">
        <v>2210</v>
      </c>
      <c r="D4569" t="s">
        <v>8</v>
      </c>
      <c r="E4569" t="s">
        <v>12</v>
      </c>
      <c r="F4569" s="5">
        <v>42736</v>
      </c>
      <c r="G4569">
        <v>0</v>
      </c>
    </row>
    <row r="4570" spans="1:7" x14ac:dyDescent="0.25">
      <c r="A4570" t="s">
        <v>130</v>
      </c>
      <c r="B4570" t="s">
        <v>131</v>
      </c>
      <c r="C4570">
        <v>2210</v>
      </c>
      <c r="D4570" t="s">
        <v>8</v>
      </c>
      <c r="E4570" t="s">
        <v>13</v>
      </c>
      <c r="F4570" s="5">
        <v>42370</v>
      </c>
      <c r="G4570">
        <v>0</v>
      </c>
    </row>
    <row r="4571" spans="1:7" x14ac:dyDescent="0.25">
      <c r="A4571" t="s">
        <v>130</v>
      </c>
      <c r="B4571" t="s">
        <v>131</v>
      </c>
      <c r="C4571">
        <v>2210</v>
      </c>
      <c r="D4571" t="s">
        <v>8</v>
      </c>
      <c r="E4571" t="s">
        <v>13</v>
      </c>
      <c r="F4571" s="5">
        <v>42736</v>
      </c>
      <c r="G4571">
        <v>0</v>
      </c>
    </row>
    <row r="4572" spans="1:7" x14ac:dyDescent="0.25">
      <c r="A4572" t="s">
        <v>130</v>
      </c>
      <c r="B4572" t="s">
        <v>131</v>
      </c>
      <c r="C4572">
        <v>2210</v>
      </c>
      <c r="D4572" t="s">
        <v>8</v>
      </c>
      <c r="E4572" t="s">
        <v>14</v>
      </c>
      <c r="F4572" s="5">
        <v>42370</v>
      </c>
      <c r="G4572">
        <v>0</v>
      </c>
    </row>
    <row r="4573" spans="1:7" x14ac:dyDescent="0.25">
      <c r="A4573" t="s">
        <v>130</v>
      </c>
      <c r="B4573" t="s">
        <v>131</v>
      </c>
      <c r="C4573">
        <v>2210</v>
      </c>
      <c r="D4573" t="s">
        <v>8</v>
      </c>
      <c r="E4573" t="s">
        <v>14</v>
      </c>
      <c r="F4573" s="5">
        <v>42736</v>
      </c>
      <c r="G4573">
        <v>0</v>
      </c>
    </row>
    <row r="4574" spans="1:7" x14ac:dyDescent="0.25">
      <c r="A4574" t="s">
        <v>130</v>
      </c>
      <c r="B4574" t="s">
        <v>131</v>
      </c>
      <c r="C4574">
        <v>2210</v>
      </c>
      <c r="D4574" t="s">
        <v>8</v>
      </c>
      <c r="E4574" t="s">
        <v>15</v>
      </c>
      <c r="F4574" s="5">
        <v>42370</v>
      </c>
      <c r="G4574">
        <v>0</v>
      </c>
    </row>
    <row r="4575" spans="1:7" x14ac:dyDescent="0.25">
      <c r="A4575" t="s">
        <v>130</v>
      </c>
      <c r="B4575" t="s">
        <v>131</v>
      </c>
      <c r="C4575">
        <v>2210</v>
      </c>
      <c r="D4575" t="s">
        <v>8</v>
      </c>
      <c r="E4575" t="s">
        <v>15</v>
      </c>
      <c r="F4575" s="5">
        <v>42736</v>
      </c>
      <c r="G4575">
        <v>0</v>
      </c>
    </row>
    <row r="4576" spans="1:7" x14ac:dyDescent="0.25">
      <c r="A4576" t="s">
        <v>130</v>
      </c>
      <c r="B4576" t="s">
        <v>131</v>
      </c>
      <c r="C4576">
        <v>2210</v>
      </c>
      <c r="D4576" t="s">
        <v>8</v>
      </c>
      <c r="E4576" t="s">
        <v>16</v>
      </c>
      <c r="F4576" s="5">
        <v>42370</v>
      </c>
      <c r="G4576">
        <v>0</v>
      </c>
    </row>
    <row r="4577" spans="1:7" x14ac:dyDescent="0.25">
      <c r="A4577" t="s">
        <v>130</v>
      </c>
      <c r="B4577" t="s">
        <v>131</v>
      </c>
      <c r="C4577">
        <v>2210</v>
      </c>
      <c r="D4577" t="s">
        <v>8</v>
      </c>
      <c r="E4577" t="s">
        <v>16</v>
      </c>
      <c r="F4577" s="5">
        <v>42736</v>
      </c>
      <c r="G4577">
        <v>0</v>
      </c>
    </row>
    <row r="4578" spans="1:7" x14ac:dyDescent="0.25">
      <c r="A4578" t="s">
        <v>130</v>
      </c>
      <c r="B4578" t="s">
        <v>131</v>
      </c>
      <c r="C4578">
        <v>2210</v>
      </c>
      <c r="D4578" t="s">
        <v>8</v>
      </c>
      <c r="E4578" t="s">
        <v>17</v>
      </c>
      <c r="F4578" s="5">
        <v>42370</v>
      </c>
      <c r="G4578">
        <v>0</v>
      </c>
    </row>
    <row r="4579" spans="1:7" x14ac:dyDescent="0.25">
      <c r="A4579" t="s">
        <v>130</v>
      </c>
      <c r="B4579" t="s">
        <v>131</v>
      </c>
      <c r="C4579">
        <v>2210</v>
      </c>
      <c r="D4579" t="s">
        <v>8</v>
      </c>
      <c r="E4579" t="s">
        <v>17</v>
      </c>
      <c r="F4579" s="5">
        <v>42736</v>
      </c>
      <c r="G4579">
        <v>0</v>
      </c>
    </row>
    <row r="4580" spans="1:7" x14ac:dyDescent="0.25">
      <c r="A4580" t="s">
        <v>130</v>
      </c>
      <c r="B4580" t="s">
        <v>131</v>
      </c>
      <c r="C4580">
        <v>2210</v>
      </c>
      <c r="D4580" t="s">
        <v>8</v>
      </c>
      <c r="E4580" t="s">
        <v>18</v>
      </c>
      <c r="F4580" s="5">
        <v>42370</v>
      </c>
      <c r="G4580">
        <v>0</v>
      </c>
    </row>
    <row r="4581" spans="1:7" x14ac:dyDescent="0.25">
      <c r="A4581" t="s">
        <v>130</v>
      </c>
      <c r="B4581" t="s">
        <v>131</v>
      </c>
      <c r="C4581">
        <v>2210</v>
      </c>
      <c r="D4581" t="s">
        <v>8</v>
      </c>
      <c r="E4581" t="s">
        <v>18</v>
      </c>
      <c r="F4581" s="5">
        <v>42736</v>
      </c>
      <c r="G4581">
        <v>0</v>
      </c>
    </row>
    <row r="4582" spans="1:7" x14ac:dyDescent="0.25">
      <c r="A4582" t="s">
        <v>130</v>
      </c>
      <c r="B4582" t="s">
        <v>131</v>
      </c>
      <c r="C4582">
        <v>2210</v>
      </c>
      <c r="D4582" t="s">
        <v>8</v>
      </c>
      <c r="E4582" t="s">
        <v>19</v>
      </c>
      <c r="F4582" s="5">
        <v>42370</v>
      </c>
      <c r="G4582">
        <v>0</v>
      </c>
    </row>
    <row r="4583" spans="1:7" x14ac:dyDescent="0.25">
      <c r="A4583" t="s">
        <v>130</v>
      </c>
      <c r="B4583" t="s">
        <v>131</v>
      </c>
      <c r="C4583">
        <v>2210</v>
      </c>
      <c r="D4583" t="s">
        <v>8</v>
      </c>
      <c r="E4583" t="s">
        <v>19</v>
      </c>
      <c r="F4583" s="5">
        <v>42736</v>
      </c>
      <c r="G4583">
        <v>0</v>
      </c>
    </row>
    <row r="4584" spans="1:7" x14ac:dyDescent="0.25">
      <c r="A4584" t="s">
        <v>130</v>
      </c>
      <c r="B4584" t="s">
        <v>131</v>
      </c>
      <c r="C4584">
        <v>2210</v>
      </c>
      <c r="D4584" t="s">
        <v>20</v>
      </c>
      <c r="E4584" t="s">
        <v>9</v>
      </c>
      <c r="F4584" s="5">
        <v>42370</v>
      </c>
      <c r="G4584">
        <v>0</v>
      </c>
    </row>
    <row r="4585" spans="1:7" x14ac:dyDescent="0.25">
      <c r="A4585" t="s">
        <v>130</v>
      </c>
      <c r="B4585" t="s">
        <v>131</v>
      </c>
      <c r="C4585">
        <v>2210</v>
      </c>
      <c r="D4585" t="s">
        <v>20</v>
      </c>
      <c r="E4585" t="s">
        <v>9</v>
      </c>
      <c r="F4585" s="5">
        <v>42736</v>
      </c>
      <c r="G4585">
        <v>3</v>
      </c>
    </row>
    <row r="4586" spans="1:7" x14ac:dyDescent="0.25">
      <c r="A4586" t="s">
        <v>130</v>
      </c>
      <c r="B4586" t="s">
        <v>131</v>
      </c>
      <c r="C4586">
        <v>2210</v>
      </c>
      <c r="D4586" t="s">
        <v>20</v>
      </c>
      <c r="E4586" t="s">
        <v>21</v>
      </c>
      <c r="F4586" s="5">
        <v>42370</v>
      </c>
      <c r="G4586">
        <v>0</v>
      </c>
    </row>
    <row r="4587" spans="1:7" x14ac:dyDescent="0.25">
      <c r="A4587" t="s">
        <v>130</v>
      </c>
      <c r="B4587" t="s">
        <v>131</v>
      </c>
      <c r="C4587">
        <v>2210</v>
      </c>
      <c r="D4587" t="s">
        <v>20</v>
      </c>
      <c r="E4587" t="s">
        <v>21</v>
      </c>
      <c r="F4587" s="5">
        <v>42736</v>
      </c>
      <c r="G4587">
        <v>0</v>
      </c>
    </row>
    <row r="4588" spans="1:7" x14ac:dyDescent="0.25">
      <c r="A4588" t="s">
        <v>130</v>
      </c>
      <c r="B4588" t="s">
        <v>131</v>
      </c>
      <c r="C4588">
        <v>2210</v>
      </c>
      <c r="D4588" t="s">
        <v>20</v>
      </c>
      <c r="E4588" t="s">
        <v>22</v>
      </c>
      <c r="F4588" s="5">
        <v>42370</v>
      </c>
      <c r="G4588">
        <v>0</v>
      </c>
    </row>
    <row r="4589" spans="1:7" x14ac:dyDescent="0.25">
      <c r="A4589" t="s">
        <v>130</v>
      </c>
      <c r="B4589" t="s">
        <v>131</v>
      </c>
      <c r="C4589">
        <v>2210</v>
      </c>
      <c r="D4589" t="s">
        <v>20</v>
      </c>
      <c r="E4589" t="s">
        <v>22</v>
      </c>
      <c r="F4589" s="5">
        <v>42736</v>
      </c>
      <c r="G4589">
        <v>0</v>
      </c>
    </row>
    <row r="4590" spans="1:7" x14ac:dyDescent="0.25">
      <c r="A4590" t="s">
        <v>130</v>
      </c>
      <c r="B4590" t="s">
        <v>131</v>
      </c>
      <c r="C4590">
        <v>2210</v>
      </c>
      <c r="D4590" t="s">
        <v>20</v>
      </c>
      <c r="E4590" t="s">
        <v>23</v>
      </c>
      <c r="F4590" s="5">
        <v>42370</v>
      </c>
      <c r="G4590">
        <v>0</v>
      </c>
    </row>
    <row r="4591" spans="1:7" x14ac:dyDescent="0.25">
      <c r="A4591" t="s">
        <v>130</v>
      </c>
      <c r="B4591" t="s">
        <v>131</v>
      </c>
      <c r="C4591">
        <v>2210</v>
      </c>
      <c r="D4591" t="s">
        <v>20</v>
      </c>
      <c r="E4591" t="s">
        <v>23</v>
      </c>
      <c r="F4591" s="5">
        <v>42736</v>
      </c>
      <c r="G4591">
        <v>7</v>
      </c>
    </row>
    <row r="4592" spans="1:7" x14ac:dyDescent="0.25">
      <c r="A4592" t="s">
        <v>130</v>
      </c>
      <c r="B4592" t="s">
        <v>131</v>
      </c>
      <c r="C4592">
        <v>2210</v>
      </c>
      <c r="D4592" t="s">
        <v>20</v>
      </c>
      <c r="E4592" t="s">
        <v>24</v>
      </c>
      <c r="F4592" s="5">
        <v>42370</v>
      </c>
      <c r="G4592">
        <v>0</v>
      </c>
    </row>
    <row r="4593" spans="1:7" x14ac:dyDescent="0.25">
      <c r="A4593" t="s">
        <v>130</v>
      </c>
      <c r="B4593" t="s">
        <v>131</v>
      </c>
      <c r="C4593">
        <v>2210</v>
      </c>
      <c r="D4593" t="s">
        <v>20</v>
      </c>
      <c r="E4593" t="s">
        <v>24</v>
      </c>
      <c r="F4593" s="5">
        <v>42736</v>
      </c>
      <c r="G4593">
        <v>0</v>
      </c>
    </row>
    <row r="4594" spans="1:7" x14ac:dyDescent="0.25">
      <c r="A4594" t="s">
        <v>130</v>
      </c>
      <c r="B4594" t="s">
        <v>131</v>
      </c>
      <c r="C4594">
        <v>2210</v>
      </c>
      <c r="D4594" t="s">
        <v>20</v>
      </c>
      <c r="E4594" t="s">
        <v>25</v>
      </c>
      <c r="F4594" s="5">
        <v>42370</v>
      </c>
      <c r="G4594">
        <v>0</v>
      </c>
    </row>
    <row r="4595" spans="1:7" x14ac:dyDescent="0.25">
      <c r="A4595" t="s">
        <v>130</v>
      </c>
      <c r="B4595" t="s">
        <v>131</v>
      </c>
      <c r="C4595">
        <v>2210</v>
      </c>
      <c r="D4595" t="s">
        <v>20</v>
      </c>
      <c r="E4595" t="s">
        <v>25</v>
      </c>
      <c r="F4595" s="5">
        <v>42736</v>
      </c>
      <c r="G4595">
        <v>0</v>
      </c>
    </row>
    <row r="4596" spans="1:7" x14ac:dyDescent="0.25">
      <c r="A4596" t="s">
        <v>130</v>
      </c>
      <c r="B4596" t="s">
        <v>131</v>
      </c>
      <c r="C4596">
        <v>2210</v>
      </c>
      <c r="D4596" t="s">
        <v>20</v>
      </c>
      <c r="E4596" t="s">
        <v>26</v>
      </c>
      <c r="F4596" s="5">
        <v>42370</v>
      </c>
      <c r="G4596">
        <v>18</v>
      </c>
    </row>
    <row r="4597" spans="1:7" x14ac:dyDescent="0.25">
      <c r="A4597" t="s">
        <v>130</v>
      </c>
      <c r="B4597" t="s">
        <v>131</v>
      </c>
      <c r="C4597">
        <v>2210</v>
      </c>
      <c r="D4597" t="s">
        <v>20</v>
      </c>
      <c r="E4597" t="s">
        <v>26</v>
      </c>
      <c r="F4597" s="5">
        <v>42736</v>
      </c>
      <c r="G4597">
        <v>26</v>
      </c>
    </row>
    <row r="4598" spans="1:7" x14ac:dyDescent="0.25">
      <c r="A4598" t="s">
        <v>130</v>
      </c>
      <c r="B4598" t="s">
        <v>131</v>
      </c>
      <c r="C4598">
        <v>2210</v>
      </c>
      <c r="D4598" t="s">
        <v>20</v>
      </c>
      <c r="E4598" t="s">
        <v>27</v>
      </c>
      <c r="F4598" s="5">
        <v>42370</v>
      </c>
      <c r="G4598">
        <v>0</v>
      </c>
    </row>
    <row r="4599" spans="1:7" x14ac:dyDescent="0.25">
      <c r="A4599" t="s">
        <v>130</v>
      </c>
      <c r="B4599" t="s">
        <v>131</v>
      </c>
      <c r="C4599">
        <v>2210</v>
      </c>
      <c r="D4599" t="s">
        <v>20</v>
      </c>
      <c r="E4599" t="s">
        <v>27</v>
      </c>
      <c r="F4599" s="5">
        <v>42736</v>
      </c>
      <c r="G4599">
        <v>0</v>
      </c>
    </row>
    <row r="4600" spans="1:7" x14ac:dyDescent="0.25">
      <c r="A4600" t="s">
        <v>130</v>
      </c>
      <c r="B4600" t="s">
        <v>131</v>
      </c>
      <c r="C4600">
        <v>2210</v>
      </c>
      <c r="D4600" t="s">
        <v>20</v>
      </c>
      <c r="E4600" t="s">
        <v>28</v>
      </c>
      <c r="F4600" s="5">
        <v>42370</v>
      </c>
      <c r="G4600">
        <v>0</v>
      </c>
    </row>
    <row r="4601" spans="1:7" x14ac:dyDescent="0.25">
      <c r="A4601" t="s">
        <v>130</v>
      </c>
      <c r="B4601" t="s">
        <v>131</v>
      </c>
      <c r="C4601">
        <v>2210</v>
      </c>
      <c r="D4601" t="s">
        <v>20</v>
      </c>
      <c r="E4601" t="s">
        <v>28</v>
      </c>
      <c r="F4601" s="5">
        <v>42736</v>
      </c>
      <c r="G4601">
        <v>0</v>
      </c>
    </row>
    <row r="4602" spans="1:7" x14ac:dyDescent="0.25">
      <c r="A4602" t="s">
        <v>130</v>
      </c>
      <c r="B4602" t="s">
        <v>131</v>
      </c>
      <c r="C4602">
        <v>2210</v>
      </c>
      <c r="D4602" t="s">
        <v>20</v>
      </c>
      <c r="E4602" t="s">
        <v>29</v>
      </c>
      <c r="F4602" s="5">
        <v>42370</v>
      </c>
      <c r="G4602">
        <v>17</v>
      </c>
    </row>
    <row r="4603" spans="1:7" x14ac:dyDescent="0.25">
      <c r="A4603" t="s">
        <v>130</v>
      </c>
      <c r="B4603" t="s">
        <v>131</v>
      </c>
      <c r="C4603">
        <v>2210</v>
      </c>
      <c r="D4603" t="s">
        <v>20</v>
      </c>
      <c r="E4603" t="s">
        <v>29</v>
      </c>
      <c r="F4603" s="5">
        <v>42736</v>
      </c>
      <c r="G4603">
        <v>24</v>
      </c>
    </row>
    <row r="4604" spans="1:7" x14ac:dyDescent="0.25">
      <c r="A4604" t="s">
        <v>130</v>
      </c>
      <c r="B4604" t="s">
        <v>131</v>
      </c>
      <c r="C4604">
        <v>2210</v>
      </c>
      <c r="D4604" t="s">
        <v>20</v>
      </c>
      <c r="E4604" t="s">
        <v>30</v>
      </c>
      <c r="F4604" s="5">
        <v>42370</v>
      </c>
      <c r="G4604">
        <v>13</v>
      </c>
    </row>
    <row r="4605" spans="1:7" x14ac:dyDescent="0.25">
      <c r="A4605" t="s">
        <v>130</v>
      </c>
      <c r="B4605" t="s">
        <v>131</v>
      </c>
      <c r="C4605">
        <v>2210</v>
      </c>
      <c r="D4605" t="s">
        <v>20</v>
      </c>
      <c r="E4605" t="s">
        <v>30</v>
      </c>
      <c r="F4605" s="5">
        <v>42736</v>
      </c>
      <c r="G4605">
        <v>27</v>
      </c>
    </row>
    <row r="4606" spans="1:7" x14ac:dyDescent="0.25">
      <c r="A4606" t="s">
        <v>130</v>
      </c>
      <c r="B4606" t="s">
        <v>131</v>
      </c>
      <c r="C4606">
        <v>2210</v>
      </c>
      <c r="D4606" t="s">
        <v>20</v>
      </c>
      <c r="E4606" t="s">
        <v>31</v>
      </c>
      <c r="F4606" s="5">
        <v>42370</v>
      </c>
      <c r="G4606">
        <v>31</v>
      </c>
    </row>
    <row r="4607" spans="1:7" x14ac:dyDescent="0.25">
      <c r="A4607" t="s">
        <v>130</v>
      </c>
      <c r="B4607" t="s">
        <v>131</v>
      </c>
      <c r="C4607">
        <v>2210</v>
      </c>
      <c r="D4607" t="s">
        <v>20</v>
      </c>
      <c r="E4607" t="s">
        <v>31</v>
      </c>
      <c r="F4607" s="5">
        <v>42736</v>
      </c>
      <c r="G4607">
        <v>67</v>
      </c>
    </row>
    <row r="4608" spans="1:7" x14ac:dyDescent="0.25">
      <c r="A4608" t="s">
        <v>130</v>
      </c>
      <c r="B4608" t="s">
        <v>131</v>
      </c>
      <c r="C4608">
        <v>2210</v>
      </c>
      <c r="D4608" t="s">
        <v>20</v>
      </c>
      <c r="E4608" t="s">
        <v>32</v>
      </c>
      <c r="F4608" s="5">
        <v>42370</v>
      </c>
      <c r="G4608">
        <v>15</v>
      </c>
    </row>
    <row r="4609" spans="1:7" x14ac:dyDescent="0.25">
      <c r="A4609" t="s">
        <v>130</v>
      </c>
      <c r="B4609" t="s">
        <v>131</v>
      </c>
      <c r="C4609">
        <v>2210</v>
      </c>
      <c r="D4609" t="s">
        <v>20</v>
      </c>
      <c r="E4609" t="s">
        <v>32</v>
      </c>
      <c r="F4609" s="5">
        <v>42736</v>
      </c>
      <c r="G4609">
        <v>28</v>
      </c>
    </row>
    <row r="4610" spans="1:7" x14ac:dyDescent="0.25">
      <c r="A4610" t="s">
        <v>130</v>
      </c>
      <c r="B4610" t="s">
        <v>131</v>
      </c>
      <c r="C4610">
        <v>2210</v>
      </c>
      <c r="D4610" t="s">
        <v>33</v>
      </c>
      <c r="E4610" t="s">
        <v>9</v>
      </c>
      <c r="F4610" s="5">
        <v>42370</v>
      </c>
      <c r="G4610">
        <v>0</v>
      </c>
    </row>
    <row r="4611" spans="1:7" x14ac:dyDescent="0.25">
      <c r="A4611" t="s">
        <v>130</v>
      </c>
      <c r="B4611" t="s">
        <v>131</v>
      </c>
      <c r="C4611">
        <v>2210</v>
      </c>
      <c r="D4611" t="s">
        <v>33</v>
      </c>
      <c r="E4611" t="s">
        <v>9</v>
      </c>
      <c r="F4611" s="5">
        <v>42736</v>
      </c>
      <c r="G4611">
        <v>0</v>
      </c>
    </row>
    <row r="4612" spans="1:7" x14ac:dyDescent="0.25">
      <c r="A4612" t="s">
        <v>130</v>
      </c>
      <c r="B4612" t="s">
        <v>131</v>
      </c>
      <c r="C4612">
        <v>2210</v>
      </c>
      <c r="D4612" t="s">
        <v>33</v>
      </c>
      <c r="E4612" t="s">
        <v>34</v>
      </c>
      <c r="F4612" s="5">
        <v>42370</v>
      </c>
      <c r="G4612">
        <v>0</v>
      </c>
    </row>
    <row r="4613" spans="1:7" x14ac:dyDescent="0.25">
      <c r="A4613" t="s">
        <v>130</v>
      </c>
      <c r="B4613" t="s">
        <v>131</v>
      </c>
      <c r="C4613">
        <v>2210</v>
      </c>
      <c r="D4613" t="s">
        <v>33</v>
      </c>
      <c r="E4613" t="s">
        <v>34</v>
      </c>
      <c r="F4613" s="5">
        <v>42736</v>
      </c>
      <c r="G4613">
        <v>0</v>
      </c>
    </row>
    <row r="4614" spans="1:7" x14ac:dyDescent="0.25">
      <c r="A4614" t="s">
        <v>130</v>
      </c>
      <c r="B4614" t="s">
        <v>131</v>
      </c>
      <c r="C4614">
        <v>2210</v>
      </c>
      <c r="D4614" t="s">
        <v>35</v>
      </c>
      <c r="E4614" t="s">
        <v>36</v>
      </c>
      <c r="F4614" s="5">
        <v>42370</v>
      </c>
      <c r="G4614">
        <v>0</v>
      </c>
    </row>
    <row r="4615" spans="1:7" x14ac:dyDescent="0.25">
      <c r="A4615" t="s">
        <v>130</v>
      </c>
      <c r="B4615" t="s">
        <v>131</v>
      </c>
      <c r="C4615">
        <v>2210</v>
      </c>
      <c r="D4615" t="s">
        <v>35</v>
      </c>
      <c r="E4615" t="s">
        <v>36</v>
      </c>
      <c r="F4615" s="5">
        <v>42736</v>
      </c>
      <c r="G4615">
        <v>0</v>
      </c>
    </row>
    <row r="4616" spans="1:7" x14ac:dyDescent="0.25">
      <c r="A4616" t="s">
        <v>130</v>
      </c>
      <c r="B4616" t="s">
        <v>131</v>
      </c>
      <c r="C4616">
        <v>2210</v>
      </c>
      <c r="D4616" t="s">
        <v>35</v>
      </c>
      <c r="E4616" t="s">
        <v>37</v>
      </c>
      <c r="F4616" s="5">
        <v>42370</v>
      </c>
      <c r="G4616">
        <v>0</v>
      </c>
    </row>
    <row r="4617" spans="1:7" x14ac:dyDescent="0.25">
      <c r="A4617" t="s">
        <v>130</v>
      </c>
      <c r="B4617" t="s">
        <v>131</v>
      </c>
      <c r="C4617">
        <v>2210</v>
      </c>
      <c r="D4617" t="s">
        <v>35</v>
      </c>
      <c r="E4617" t="s">
        <v>37</v>
      </c>
      <c r="F4617" s="5">
        <v>42736</v>
      </c>
      <c r="G4617">
        <v>0</v>
      </c>
    </row>
    <row r="4618" spans="1:7" x14ac:dyDescent="0.25">
      <c r="A4618" t="s">
        <v>130</v>
      </c>
      <c r="B4618" t="s">
        <v>131</v>
      </c>
      <c r="C4618">
        <v>2210</v>
      </c>
      <c r="D4618" t="s">
        <v>35</v>
      </c>
      <c r="E4618" t="s">
        <v>38</v>
      </c>
      <c r="F4618" s="5">
        <v>42370</v>
      </c>
      <c r="G4618">
        <v>0</v>
      </c>
    </row>
    <row r="4619" spans="1:7" x14ac:dyDescent="0.25">
      <c r="A4619" t="s">
        <v>130</v>
      </c>
      <c r="B4619" t="s">
        <v>131</v>
      </c>
      <c r="C4619">
        <v>2210</v>
      </c>
      <c r="D4619" t="s">
        <v>35</v>
      </c>
      <c r="E4619" t="s">
        <v>38</v>
      </c>
      <c r="F4619" s="5">
        <v>42736</v>
      </c>
      <c r="G4619">
        <v>0</v>
      </c>
    </row>
    <row r="4620" spans="1:7" x14ac:dyDescent="0.25">
      <c r="A4620" t="s">
        <v>130</v>
      </c>
      <c r="B4620" t="s">
        <v>131</v>
      </c>
      <c r="C4620">
        <v>2210</v>
      </c>
      <c r="D4620" t="s">
        <v>35</v>
      </c>
      <c r="E4620" t="s">
        <v>39</v>
      </c>
      <c r="F4620" s="5">
        <v>42370</v>
      </c>
      <c r="G4620">
        <v>0</v>
      </c>
    </row>
    <row r="4621" spans="1:7" x14ac:dyDescent="0.25">
      <c r="A4621" t="s">
        <v>130</v>
      </c>
      <c r="B4621" t="s">
        <v>131</v>
      </c>
      <c r="C4621">
        <v>2210</v>
      </c>
      <c r="D4621" t="s">
        <v>35</v>
      </c>
      <c r="E4621" t="s">
        <v>39</v>
      </c>
      <c r="F4621" s="5">
        <v>42736</v>
      </c>
      <c r="G4621">
        <v>0</v>
      </c>
    </row>
    <row r="4622" spans="1:7" x14ac:dyDescent="0.25">
      <c r="A4622" t="s">
        <v>130</v>
      </c>
      <c r="B4622" t="s">
        <v>131</v>
      </c>
      <c r="C4622">
        <v>2210</v>
      </c>
      <c r="D4622" t="s">
        <v>35</v>
      </c>
      <c r="E4622" t="s">
        <v>40</v>
      </c>
      <c r="F4622" s="5">
        <v>42370</v>
      </c>
      <c r="G4622">
        <v>0</v>
      </c>
    </row>
    <row r="4623" spans="1:7" x14ac:dyDescent="0.25">
      <c r="A4623" t="s">
        <v>130</v>
      </c>
      <c r="B4623" t="s">
        <v>131</v>
      </c>
      <c r="C4623">
        <v>2210</v>
      </c>
      <c r="D4623" t="s">
        <v>35</v>
      </c>
      <c r="E4623" t="s">
        <v>40</v>
      </c>
      <c r="F4623" s="5">
        <v>42736</v>
      </c>
      <c r="G4623">
        <v>0</v>
      </c>
    </row>
    <row r="4624" spans="1:7" x14ac:dyDescent="0.25">
      <c r="A4624" t="s">
        <v>130</v>
      </c>
      <c r="B4624" t="s">
        <v>131</v>
      </c>
      <c r="C4624">
        <v>2210</v>
      </c>
      <c r="D4624" t="s">
        <v>35</v>
      </c>
      <c r="E4624" t="s">
        <v>41</v>
      </c>
      <c r="F4624" s="5">
        <v>42370</v>
      </c>
      <c r="G4624">
        <v>0</v>
      </c>
    </row>
    <row r="4625" spans="1:7" x14ac:dyDescent="0.25">
      <c r="A4625" t="s">
        <v>130</v>
      </c>
      <c r="B4625" t="s">
        <v>131</v>
      </c>
      <c r="C4625">
        <v>2210</v>
      </c>
      <c r="D4625" t="s">
        <v>35</v>
      </c>
      <c r="E4625" t="s">
        <v>41</v>
      </c>
      <c r="F4625" s="5">
        <v>42736</v>
      </c>
      <c r="G4625">
        <v>0</v>
      </c>
    </row>
    <row r="4626" spans="1:7" x14ac:dyDescent="0.25">
      <c r="A4626" t="s">
        <v>130</v>
      </c>
      <c r="B4626" t="s">
        <v>131</v>
      </c>
      <c r="C4626">
        <v>2210</v>
      </c>
      <c r="D4626" t="s">
        <v>35</v>
      </c>
      <c r="E4626" t="s">
        <v>42</v>
      </c>
      <c r="F4626" s="5">
        <v>42370</v>
      </c>
      <c r="G4626">
        <v>0</v>
      </c>
    </row>
    <row r="4627" spans="1:7" x14ac:dyDescent="0.25">
      <c r="A4627" t="s">
        <v>130</v>
      </c>
      <c r="B4627" t="s">
        <v>131</v>
      </c>
      <c r="C4627">
        <v>2210</v>
      </c>
      <c r="D4627" t="s">
        <v>35</v>
      </c>
      <c r="E4627" t="s">
        <v>42</v>
      </c>
      <c r="F4627" s="5">
        <v>42736</v>
      </c>
      <c r="G4627">
        <v>0</v>
      </c>
    </row>
    <row r="4628" spans="1:7" x14ac:dyDescent="0.25">
      <c r="A4628" t="s">
        <v>130</v>
      </c>
      <c r="B4628" t="s">
        <v>131</v>
      </c>
      <c r="C4628">
        <v>2210</v>
      </c>
      <c r="D4628" t="s">
        <v>35</v>
      </c>
      <c r="E4628" t="s">
        <v>43</v>
      </c>
      <c r="F4628" s="5">
        <v>42370</v>
      </c>
      <c r="G4628">
        <v>0</v>
      </c>
    </row>
    <row r="4629" spans="1:7" x14ac:dyDescent="0.25">
      <c r="A4629" t="s">
        <v>130</v>
      </c>
      <c r="B4629" t="s">
        <v>131</v>
      </c>
      <c r="C4629">
        <v>2210</v>
      </c>
      <c r="D4629" t="s">
        <v>35</v>
      </c>
      <c r="E4629" t="s">
        <v>43</v>
      </c>
      <c r="F4629" s="5">
        <v>42736</v>
      </c>
      <c r="G4629">
        <v>0</v>
      </c>
    </row>
    <row r="4630" spans="1:7" x14ac:dyDescent="0.25">
      <c r="A4630" t="s">
        <v>130</v>
      </c>
      <c r="B4630" t="s">
        <v>131</v>
      </c>
      <c r="C4630">
        <v>2210</v>
      </c>
      <c r="D4630" t="s">
        <v>44</v>
      </c>
      <c r="E4630" t="s">
        <v>36</v>
      </c>
      <c r="F4630" s="5">
        <v>42370</v>
      </c>
      <c r="G4630">
        <v>0</v>
      </c>
    </row>
    <row r="4631" spans="1:7" x14ac:dyDescent="0.25">
      <c r="A4631" t="s">
        <v>130</v>
      </c>
      <c r="B4631" t="s">
        <v>131</v>
      </c>
      <c r="C4631">
        <v>2210</v>
      </c>
      <c r="D4631" t="s">
        <v>44</v>
      </c>
      <c r="E4631" t="s">
        <v>36</v>
      </c>
      <c r="F4631" s="5">
        <v>42736</v>
      </c>
      <c r="G4631">
        <v>0</v>
      </c>
    </row>
    <row r="4632" spans="1:7" x14ac:dyDescent="0.25">
      <c r="A4632" t="s">
        <v>130</v>
      </c>
      <c r="B4632" t="s">
        <v>131</v>
      </c>
      <c r="C4632">
        <v>2210</v>
      </c>
      <c r="D4632" t="s">
        <v>44</v>
      </c>
      <c r="E4632" t="s">
        <v>37</v>
      </c>
      <c r="F4632" s="5">
        <v>42370</v>
      </c>
      <c r="G4632">
        <v>0</v>
      </c>
    </row>
    <row r="4633" spans="1:7" x14ac:dyDescent="0.25">
      <c r="A4633" t="s">
        <v>130</v>
      </c>
      <c r="B4633" t="s">
        <v>131</v>
      </c>
      <c r="C4633">
        <v>2210</v>
      </c>
      <c r="D4633" t="s">
        <v>44</v>
      </c>
      <c r="E4633" t="s">
        <v>37</v>
      </c>
      <c r="F4633" s="5">
        <v>42736</v>
      </c>
      <c r="G4633">
        <v>0</v>
      </c>
    </row>
    <row r="4634" spans="1:7" x14ac:dyDescent="0.25">
      <c r="A4634" t="s">
        <v>130</v>
      </c>
      <c r="B4634" t="s">
        <v>131</v>
      </c>
      <c r="C4634">
        <v>2210</v>
      </c>
      <c r="D4634" t="s">
        <v>44</v>
      </c>
      <c r="E4634" t="s">
        <v>38</v>
      </c>
      <c r="F4634" s="5">
        <v>42370</v>
      </c>
      <c r="G4634">
        <v>0</v>
      </c>
    </row>
    <row r="4635" spans="1:7" x14ac:dyDescent="0.25">
      <c r="A4635" t="s">
        <v>130</v>
      </c>
      <c r="B4635" t="s">
        <v>131</v>
      </c>
      <c r="C4635">
        <v>2210</v>
      </c>
      <c r="D4635" t="s">
        <v>44</v>
      </c>
      <c r="E4635" t="s">
        <v>38</v>
      </c>
      <c r="F4635" s="5">
        <v>42736</v>
      </c>
      <c r="G4635">
        <v>0</v>
      </c>
    </row>
    <row r="4636" spans="1:7" x14ac:dyDescent="0.25">
      <c r="A4636" t="s">
        <v>130</v>
      </c>
      <c r="B4636" t="s">
        <v>131</v>
      </c>
      <c r="C4636">
        <v>2210</v>
      </c>
      <c r="D4636" t="s">
        <v>44</v>
      </c>
      <c r="E4636" t="s">
        <v>39</v>
      </c>
      <c r="F4636" s="5">
        <v>42370</v>
      </c>
      <c r="G4636">
        <v>0</v>
      </c>
    </row>
    <row r="4637" spans="1:7" x14ac:dyDescent="0.25">
      <c r="A4637" t="s">
        <v>130</v>
      </c>
      <c r="B4637" t="s">
        <v>131</v>
      </c>
      <c r="C4637">
        <v>2210</v>
      </c>
      <c r="D4637" t="s">
        <v>44</v>
      </c>
      <c r="E4637" t="s">
        <v>39</v>
      </c>
      <c r="F4637" s="5">
        <v>42736</v>
      </c>
      <c r="G4637">
        <v>0</v>
      </c>
    </row>
    <row r="4638" spans="1:7" x14ac:dyDescent="0.25">
      <c r="A4638" t="s">
        <v>130</v>
      </c>
      <c r="B4638" t="s">
        <v>131</v>
      </c>
      <c r="C4638">
        <v>2210</v>
      </c>
      <c r="D4638" t="s">
        <v>44</v>
      </c>
      <c r="E4638" t="s">
        <v>40</v>
      </c>
      <c r="F4638" s="5">
        <v>42370</v>
      </c>
      <c r="G4638">
        <v>0</v>
      </c>
    </row>
    <row r="4639" spans="1:7" x14ac:dyDescent="0.25">
      <c r="A4639" t="s">
        <v>130</v>
      </c>
      <c r="B4639" t="s">
        <v>131</v>
      </c>
      <c r="C4639">
        <v>2210</v>
      </c>
      <c r="D4639" t="s">
        <v>44</v>
      </c>
      <c r="E4639" t="s">
        <v>40</v>
      </c>
      <c r="F4639" s="5">
        <v>42736</v>
      </c>
      <c r="G4639">
        <v>0</v>
      </c>
    </row>
    <row r="4640" spans="1:7" x14ac:dyDescent="0.25">
      <c r="A4640" t="s">
        <v>130</v>
      </c>
      <c r="B4640" t="s">
        <v>131</v>
      </c>
      <c r="C4640">
        <v>2210</v>
      </c>
      <c r="D4640" t="s">
        <v>44</v>
      </c>
      <c r="E4640" t="s">
        <v>41</v>
      </c>
      <c r="F4640" s="5">
        <v>42370</v>
      </c>
      <c r="G4640">
        <v>0</v>
      </c>
    </row>
    <row r="4641" spans="1:7" x14ac:dyDescent="0.25">
      <c r="A4641" t="s">
        <v>130</v>
      </c>
      <c r="B4641" t="s">
        <v>131</v>
      </c>
      <c r="C4641">
        <v>2210</v>
      </c>
      <c r="D4641" t="s">
        <v>44</v>
      </c>
      <c r="E4641" t="s">
        <v>41</v>
      </c>
      <c r="F4641" s="5">
        <v>42736</v>
      </c>
      <c r="G4641">
        <v>0</v>
      </c>
    </row>
    <row r="4642" spans="1:7" x14ac:dyDescent="0.25">
      <c r="A4642" t="s">
        <v>130</v>
      </c>
      <c r="B4642" t="s">
        <v>131</v>
      </c>
      <c r="C4642">
        <v>2210</v>
      </c>
      <c r="D4642" t="s">
        <v>44</v>
      </c>
      <c r="E4642" t="s">
        <v>42</v>
      </c>
      <c r="F4642" s="5">
        <v>42370</v>
      </c>
      <c r="G4642">
        <v>0</v>
      </c>
    </row>
    <row r="4643" spans="1:7" x14ac:dyDescent="0.25">
      <c r="A4643" t="s">
        <v>130</v>
      </c>
      <c r="B4643" t="s">
        <v>131</v>
      </c>
      <c r="C4643">
        <v>2210</v>
      </c>
      <c r="D4643" t="s">
        <v>44</v>
      </c>
      <c r="E4643" t="s">
        <v>42</v>
      </c>
      <c r="F4643" s="5">
        <v>42736</v>
      </c>
      <c r="G4643">
        <v>0</v>
      </c>
    </row>
    <row r="4644" spans="1:7" x14ac:dyDescent="0.25">
      <c r="A4644" t="s">
        <v>130</v>
      </c>
      <c r="B4644" t="s">
        <v>131</v>
      </c>
      <c r="C4644">
        <v>2210</v>
      </c>
      <c r="D4644" t="s">
        <v>44</v>
      </c>
      <c r="E4644" t="s">
        <v>43</v>
      </c>
      <c r="F4644" s="5">
        <v>42370</v>
      </c>
      <c r="G4644">
        <v>0</v>
      </c>
    </row>
    <row r="4645" spans="1:7" x14ac:dyDescent="0.25">
      <c r="A4645" t="s">
        <v>130</v>
      </c>
      <c r="B4645" t="s">
        <v>131</v>
      </c>
      <c r="C4645">
        <v>2210</v>
      </c>
      <c r="D4645" t="s">
        <v>44</v>
      </c>
      <c r="E4645" t="s">
        <v>43</v>
      </c>
      <c r="F4645" s="5">
        <v>42736</v>
      </c>
      <c r="G4645">
        <v>0</v>
      </c>
    </row>
    <row r="4646" spans="1:7" x14ac:dyDescent="0.25">
      <c r="A4646" t="s">
        <v>130</v>
      </c>
      <c r="B4646" t="s">
        <v>131</v>
      </c>
      <c r="C4646">
        <v>2210</v>
      </c>
      <c r="D4646" t="s">
        <v>45</v>
      </c>
      <c r="E4646" t="s">
        <v>46</v>
      </c>
      <c r="F4646" s="5">
        <v>42370</v>
      </c>
      <c r="G4646">
        <v>0</v>
      </c>
    </row>
    <row r="4647" spans="1:7" x14ac:dyDescent="0.25">
      <c r="A4647" t="s">
        <v>130</v>
      </c>
      <c r="B4647" t="s">
        <v>131</v>
      </c>
      <c r="C4647">
        <v>2210</v>
      </c>
      <c r="D4647" t="s">
        <v>45</v>
      </c>
      <c r="E4647" t="s">
        <v>46</v>
      </c>
      <c r="F4647" s="5">
        <v>42736</v>
      </c>
      <c r="G4647">
        <v>0</v>
      </c>
    </row>
    <row r="4648" spans="1:7" x14ac:dyDescent="0.25">
      <c r="A4648" t="s">
        <v>130</v>
      </c>
      <c r="B4648" t="s">
        <v>131</v>
      </c>
      <c r="C4648">
        <v>2210</v>
      </c>
      <c r="D4648" t="s">
        <v>45</v>
      </c>
      <c r="E4648" t="s">
        <v>47</v>
      </c>
      <c r="F4648" s="5">
        <v>42370</v>
      </c>
      <c r="G4648">
        <v>0</v>
      </c>
    </row>
    <row r="4649" spans="1:7" x14ac:dyDescent="0.25">
      <c r="A4649" t="s">
        <v>130</v>
      </c>
      <c r="B4649" t="s">
        <v>131</v>
      </c>
      <c r="C4649">
        <v>2210</v>
      </c>
      <c r="D4649" t="s">
        <v>45</v>
      </c>
      <c r="E4649" t="s">
        <v>47</v>
      </c>
      <c r="F4649" s="5">
        <v>42736</v>
      </c>
      <c r="G4649">
        <v>0</v>
      </c>
    </row>
    <row r="4650" spans="1:7" x14ac:dyDescent="0.25">
      <c r="A4650" t="s">
        <v>130</v>
      </c>
      <c r="B4650" t="s">
        <v>131</v>
      </c>
      <c r="C4650">
        <v>2210</v>
      </c>
      <c r="D4650" t="s">
        <v>45</v>
      </c>
      <c r="E4650" t="s">
        <v>48</v>
      </c>
      <c r="F4650" s="5">
        <v>42370</v>
      </c>
      <c r="G4650">
        <v>3</v>
      </c>
    </row>
    <row r="4651" spans="1:7" x14ac:dyDescent="0.25">
      <c r="A4651" t="s">
        <v>130</v>
      </c>
      <c r="B4651" t="s">
        <v>131</v>
      </c>
      <c r="C4651">
        <v>2210</v>
      </c>
      <c r="D4651" t="s">
        <v>45</v>
      </c>
      <c r="E4651" t="s">
        <v>48</v>
      </c>
      <c r="F4651" s="5">
        <v>42736</v>
      </c>
      <c r="G4651">
        <v>6</v>
      </c>
    </row>
    <row r="4652" spans="1:7" x14ac:dyDescent="0.25">
      <c r="A4652" t="s">
        <v>130</v>
      </c>
      <c r="B4652" t="s">
        <v>131</v>
      </c>
      <c r="C4652">
        <v>2210</v>
      </c>
      <c r="D4652" t="s">
        <v>45</v>
      </c>
      <c r="E4652" t="s">
        <v>49</v>
      </c>
      <c r="F4652" s="5">
        <v>42370</v>
      </c>
      <c r="G4652">
        <v>0</v>
      </c>
    </row>
    <row r="4653" spans="1:7" x14ac:dyDescent="0.25">
      <c r="A4653" t="s">
        <v>130</v>
      </c>
      <c r="B4653" t="s">
        <v>131</v>
      </c>
      <c r="C4653">
        <v>2210</v>
      </c>
      <c r="D4653" t="s">
        <v>45</v>
      </c>
      <c r="E4653" t="s">
        <v>49</v>
      </c>
      <c r="F4653" s="5">
        <v>42736</v>
      </c>
      <c r="G4653">
        <v>0</v>
      </c>
    </row>
    <row r="4654" spans="1:7" x14ac:dyDescent="0.25">
      <c r="A4654" t="s">
        <v>130</v>
      </c>
      <c r="B4654" t="s">
        <v>131</v>
      </c>
      <c r="C4654">
        <v>2210</v>
      </c>
      <c r="D4654" t="s">
        <v>45</v>
      </c>
      <c r="E4654" t="s">
        <v>50</v>
      </c>
      <c r="F4654" s="5">
        <v>42370</v>
      </c>
      <c r="G4654">
        <v>0</v>
      </c>
    </row>
    <row r="4655" spans="1:7" x14ac:dyDescent="0.25">
      <c r="A4655" t="s">
        <v>130</v>
      </c>
      <c r="B4655" t="s">
        <v>131</v>
      </c>
      <c r="C4655">
        <v>2210</v>
      </c>
      <c r="D4655" t="s">
        <v>45</v>
      </c>
      <c r="E4655" t="s">
        <v>50</v>
      </c>
      <c r="F4655" s="5">
        <v>42736</v>
      </c>
      <c r="G4655">
        <v>0</v>
      </c>
    </row>
    <row r="4656" spans="1:7" x14ac:dyDescent="0.25">
      <c r="A4656" t="s">
        <v>130</v>
      </c>
      <c r="B4656" t="s">
        <v>131</v>
      </c>
      <c r="C4656">
        <v>2210</v>
      </c>
      <c r="D4656" t="s">
        <v>45</v>
      </c>
      <c r="E4656" t="s">
        <v>51</v>
      </c>
      <c r="F4656" s="5">
        <v>42370</v>
      </c>
      <c r="G4656">
        <v>0</v>
      </c>
    </row>
    <row r="4657" spans="1:7" x14ac:dyDescent="0.25">
      <c r="A4657" t="s">
        <v>130</v>
      </c>
      <c r="B4657" t="s">
        <v>131</v>
      </c>
      <c r="C4657">
        <v>2210</v>
      </c>
      <c r="D4657" t="s">
        <v>45</v>
      </c>
      <c r="E4657" t="s">
        <v>51</v>
      </c>
      <c r="F4657" s="5">
        <v>42736</v>
      </c>
      <c r="G4657">
        <v>0</v>
      </c>
    </row>
    <row r="4658" spans="1:7" x14ac:dyDescent="0.25">
      <c r="A4658" t="s">
        <v>130</v>
      </c>
      <c r="B4658" t="s">
        <v>131</v>
      </c>
      <c r="C4658">
        <v>2210</v>
      </c>
      <c r="D4658" t="s">
        <v>45</v>
      </c>
      <c r="E4658" t="s">
        <v>52</v>
      </c>
      <c r="F4658" s="5">
        <v>42370</v>
      </c>
      <c r="G4658">
        <v>0</v>
      </c>
    </row>
    <row r="4659" spans="1:7" x14ac:dyDescent="0.25">
      <c r="A4659" t="s">
        <v>130</v>
      </c>
      <c r="B4659" t="s">
        <v>131</v>
      </c>
      <c r="C4659">
        <v>2210</v>
      </c>
      <c r="D4659" t="s">
        <v>45</v>
      </c>
      <c r="E4659" t="s">
        <v>52</v>
      </c>
      <c r="F4659" s="5">
        <v>42736</v>
      </c>
      <c r="G4659">
        <v>0</v>
      </c>
    </row>
    <row r="4660" spans="1:7" x14ac:dyDescent="0.25">
      <c r="A4660" t="s">
        <v>130</v>
      </c>
      <c r="B4660" t="s">
        <v>131</v>
      </c>
      <c r="C4660">
        <v>2210</v>
      </c>
      <c r="D4660" t="s">
        <v>45</v>
      </c>
      <c r="E4660" t="s">
        <v>53</v>
      </c>
      <c r="F4660" s="5">
        <v>42370</v>
      </c>
      <c r="G4660">
        <v>1</v>
      </c>
    </row>
    <row r="4661" spans="1:7" x14ac:dyDescent="0.25">
      <c r="A4661" t="s">
        <v>130</v>
      </c>
      <c r="B4661" t="s">
        <v>131</v>
      </c>
      <c r="C4661">
        <v>2210</v>
      </c>
      <c r="D4661" t="s">
        <v>45</v>
      </c>
      <c r="E4661" t="s">
        <v>53</v>
      </c>
      <c r="F4661" s="5">
        <v>42736</v>
      </c>
      <c r="G4661">
        <v>8</v>
      </c>
    </row>
    <row r="4662" spans="1:7" x14ac:dyDescent="0.25">
      <c r="A4662" t="s">
        <v>130</v>
      </c>
      <c r="B4662" t="s">
        <v>131</v>
      </c>
      <c r="C4662">
        <v>2210</v>
      </c>
      <c r="D4662" t="s">
        <v>45</v>
      </c>
      <c r="E4662" t="s">
        <v>54</v>
      </c>
      <c r="F4662" s="5">
        <v>42370</v>
      </c>
      <c r="G4662">
        <v>0</v>
      </c>
    </row>
    <row r="4663" spans="1:7" x14ac:dyDescent="0.25">
      <c r="A4663" t="s">
        <v>130</v>
      </c>
      <c r="B4663" t="s">
        <v>131</v>
      </c>
      <c r="C4663">
        <v>2210</v>
      </c>
      <c r="D4663" t="s">
        <v>45</v>
      </c>
      <c r="E4663" t="s">
        <v>54</v>
      </c>
      <c r="F4663" s="5">
        <v>42736</v>
      </c>
      <c r="G4663">
        <v>0</v>
      </c>
    </row>
    <row r="4664" spans="1:7" x14ac:dyDescent="0.25">
      <c r="A4664" t="s">
        <v>130</v>
      </c>
      <c r="B4664" t="s">
        <v>131</v>
      </c>
      <c r="C4664">
        <v>2210</v>
      </c>
      <c r="D4664" t="s">
        <v>45</v>
      </c>
      <c r="E4664" t="s">
        <v>55</v>
      </c>
      <c r="F4664" s="5">
        <v>42370</v>
      </c>
      <c r="G4664">
        <v>0</v>
      </c>
    </row>
    <row r="4665" spans="1:7" x14ac:dyDescent="0.25">
      <c r="A4665" t="s">
        <v>130</v>
      </c>
      <c r="B4665" t="s">
        <v>131</v>
      </c>
      <c r="C4665">
        <v>2210</v>
      </c>
      <c r="D4665" t="s">
        <v>45</v>
      </c>
      <c r="E4665" t="s">
        <v>55</v>
      </c>
      <c r="F4665" s="5">
        <v>42736</v>
      </c>
      <c r="G4665">
        <v>0</v>
      </c>
    </row>
    <row r="4666" spans="1:7" x14ac:dyDescent="0.25">
      <c r="A4666" t="s">
        <v>130</v>
      </c>
      <c r="B4666" t="s">
        <v>131</v>
      </c>
      <c r="C4666">
        <v>2210</v>
      </c>
      <c r="D4666" t="s">
        <v>45</v>
      </c>
      <c r="E4666" t="s">
        <v>56</v>
      </c>
      <c r="F4666" s="5">
        <v>42370</v>
      </c>
      <c r="G4666">
        <v>0</v>
      </c>
    </row>
    <row r="4667" spans="1:7" x14ac:dyDescent="0.25">
      <c r="A4667" t="s">
        <v>130</v>
      </c>
      <c r="B4667" t="s">
        <v>131</v>
      </c>
      <c r="C4667">
        <v>2210</v>
      </c>
      <c r="D4667" t="s">
        <v>45</v>
      </c>
      <c r="E4667" t="s">
        <v>56</v>
      </c>
      <c r="F4667" s="5">
        <v>42736</v>
      </c>
      <c r="G4667">
        <v>0</v>
      </c>
    </row>
    <row r="4668" spans="1:7" x14ac:dyDescent="0.25">
      <c r="A4668" t="s">
        <v>130</v>
      </c>
      <c r="B4668" t="s">
        <v>131</v>
      </c>
      <c r="C4668">
        <v>2210</v>
      </c>
      <c r="D4668" t="s">
        <v>45</v>
      </c>
      <c r="E4668" t="s">
        <v>57</v>
      </c>
      <c r="F4668" s="5">
        <v>42370</v>
      </c>
      <c r="G4668">
        <v>0</v>
      </c>
    </row>
    <row r="4669" spans="1:7" x14ac:dyDescent="0.25">
      <c r="A4669" t="s">
        <v>130</v>
      </c>
      <c r="B4669" t="s">
        <v>131</v>
      </c>
      <c r="C4669">
        <v>2210</v>
      </c>
      <c r="D4669" t="s">
        <v>45</v>
      </c>
      <c r="E4669" t="s">
        <v>57</v>
      </c>
      <c r="F4669" s="5">
        <v>42736</v>
      </c>
      <c r="G4669">
        <v>0</v>
      </c>
    </row>
    <row r="4670" spans="1:7" x14ac:dyDescent="0.25">
      <c r="A4670" t="s">
        <v>130</v>
      </c>
      <c r="B4670" t="s">
        <v>131</v>
      </c>
      <c r="C4670">
        <v>2210</v>
      </c>
      <c r="D4670" t="s">
        <v>45</v>
      </c>
      <c r="E4670" t="s">
        <v>58</v>
      </c>
      <c r="F4670" s="5">
        <v>42370</v>
      </c>
      <c r="G4670">
        <v>0</v>
      </c>
    </row>
    <row r="4671" spans="1:7" x14ac:dyDescent="0.25">
      <c r="A4671" t="s">
        <v>130</v>
      </c>
      <c r="B4671" t="s">
        <v>131</v>
      </c>
      <c r="C4671">
        <v>2210</v>
      </c>
      <c r="D4671" t="s">
        <v>45</v>
      </c>
      <c r="E4671" t="s">
        <v>58</v>
      </c>
      <c r="F4671" s="5">
        <v>42736</v>
      </c>
      <c r="G4671">
        <v>0</v>
      </c>
    </row>
    <row r="4672" spans="1:7" x14ac:dyDescent="0.25">
      <c r="A4672" t="s">
        <v>130</v>
      </c>
      <c r="B4672" t="s">
        <v>131</v>
      </c>
      <c r="C4672">
        <v>2210</v>
      </c>
      <c r="D4672" t="s">
        <v>45</v>
      </c>
      <c r="E4672" t="s">
        <v>59</v>
      </c>
      <c r="F4672" s="5">
        <v>42370</v>
      </c>
      <c r="G4672">
        <v>0</v>
      </c>
    </row>
    <row r="4673" spans="1:7" x14ac:dyDescent="0.25">
      <c r="A4673" t="s">
        <v>130</v>
      </c>
      <c r="B4673" t="s">
        <v>131</v>
      </c>
      <c r="C4673">
        <v>2210</v>
      </c>
      <c r="D4673" t="s">
        <v>45</v>
      </c>
      <c r="E4673" t="s">
        <v>59</v>
      </c>
      <c r="F4673" s="5">
        <v>42736</v>
      </c>
      <c r="G4673">
        <v>0</v>
      </c>
    </row>
    <row r="4674" spans="1:7" x14ac:dyDescent="0.25">
      <c r="A4674" t="s">
        <v>130</v>
      </c>
      <c r="B4674" t="s">
        <v>131</v>
      </c>
      <c r="C4674">
        <v>2210</v>
      </c>
      <c r="D4674" t="s">
        <v>45</v>
      </c>
      <c r="E4674" t="s">
        <v>60</v>
      </c>
      <c r="F4674" s="5">
        <v>42370</v>
      </c>
      <c r="G4674">
        <v>0</v>
      </c>
    </row>
    <row r="4675" spans="1:7" x14ac:dyDescent="0.25">
      <c r="A4675" t="s">
        <v>130</v>
      </c>
      <c r="B4675" t="s">
        <v>131</v>
      </c>
      <c r="C4675">
        <v>2210</v>
      </c>
      <c r="D4675" t="s">
        <v>45</v>
      </c>
      <c r="E4675" t="s">
        <v>60</v>
      </c>
      <c r="F4675" s="5">
        <v>42736</v>
      </c>
      <c r="G4675">
        <v>0</v>
      </c>
    </row>
    <row r="4676" spans="1:7" x14ac:dyDescent="0.25">
      <c r="A4676" t="s">
        <v>130</v>
      </c>
      <c r="B4676" t="s">
        <v>131</v>
      </c>
      <c r="C4676">
        <v>2210</v>
      </c>
      <c r="D4676" t="s">
        <v>45</v>
      </c>
      <c r="E4676" t="s">
        <v>61</v>
      </c>
      <c r="F4676" s="5">
        <v>42370</v>
      </c>
      <c r="G4676">
        <v>0</v>
      </c>
    </row>
    <row r="4677" spans="1:7" x14ac:dyDescent="0.25">
      <c r="A4677" t="s">
        <v>130</v>
      </c>
      <c r="B4677" t="s">
        <v>131</v>
      </c>
      <c r="C4677">
        <v>2210</v>
      </c>
      <c r="D4677" t="s">
        <v>45</v>
      </c>
      <c r="E4677" t="s">
        <v>61</v>
      </c>
      <c r="F4677" s="5">
        <v>42736</v>
      </c>
      <c r="G4677">
        <v>0</v>
      </c>
    </row>
    <row r="4678" spans="1:7" x14ac:dyDescent="0.25">
      <c r="A4678" t="s">
        <v>130</v>
      </c>
      <c r="B4678" t="s">
        <v>131</v>
      </c>
      <c r="C4678">
        <v>2210</v>
      </c>
      <c r="D4678" t="s">
        <v>62</v>
      </c>
      <c r="E4678" t="s">
        <v>63</v>
      </c>
      <c r="F4678" s="5">
        <v>42370</v>
      </c>
      <c r="G4678">
        <v>0</v>
      </c>
    </row>
    <row r="4679" spans="1:7" x14ac:dyDescent="0.25">
      <c r="A4679" t="s">
        <v>130</v>
      </c>
      <c r="B4679" t="s">
        <v>131</v>
      </c>
      <c r="C4679">
        <v>2210</v>
      </c>
      <c r="D4679" t="s">
        <v>62</v>
      </c>
      <c r="E4679" t="s">
        <v>63</v>
      </c>
      <c r="F4679" s="5">
        <v>42736</v>
      </c>
      <c r="G4679">
        <v>0</v>
      </c>
    </row>
    <row r="4680" spans="1:7" x14ac:dyDescent="0.25">
      <c r="A4680" t="s">
        <v>130</v>
      </c>
      <c r="B4680" t="s">
        <v>131</v>
      </c>
      <c r="C4680">
        <v>2210</v>
      </c>
      <c r="D4680" t="s">
        <v>62</v>
      </c>
      <c r="E4680" t="s">
        <v>64</v>
      </c>
      <c r="F4680" s="5">
        <v>42370</v>
      </c>
      <c r="G4680">
        <v>0</v>
      </c>
    </row>
    <row r="4681" spans="1:7" x14ac:dyDescent="0.25">
      <c r="A4681" t="s">
        <v>130</v>
      </c>
      <c r="B4681" t="s">
        <v>131</v>
      </c>
      <c r="C4681">
        <v>2210</v>
      </c>
      <c r="D4681" t="s">
        <v>62</v>
      </c>
      <c r="E4681" t="s">
        <v>64</v>
      </c>
      <c r="F4681" s="5">
        <v>42736</v>
      </c>
      <c r="G4681">
        <v>0</v>
      </c>
    </row>
    <row r="4682" spans="1:7" x14ac:dyDescent="0.25">
      <c r="A4682" t="s">
        <v>130</v>
      </c>
      <c r="B4682" t="s">
        <v>131</v>
      </c>
      <c r="C4682">
        <v>2210</v>
      </c>
      <c r="D4682" t="s">
        <v>62</v>
      </c>
      <c r="E4682" t="s">
        <v>9</v>
      </c>
      <c r="F4682" s="5">
        <v>42370</v>
      </c>
      <c r="G4682">
        <v>0</v>
      </c>
    </row>
    <row r="4683" spans="1:7" x14ac:dyDescent="0.25">
      <c r="A4683" t="s">
        <v>130</v>
      </c>
      <c r="B4683" t="s">
        <v>131</v>
      </c>
      <c r="C4683">
        <v>2210</v>
      </c>
      <c r="D4683" t="s">
        <v>62</v>
      </c>
      <c r="E4683" t="s">
        <v>9</v>
      </c>
      <c r="F4683" s="5">
        <v>42736</v>
      </c>
      <c r="G4683">
        <v>0</v>
      </c>
    </row>
    <row r="4684" spans="1:7" x14ac:dyDescent="0.25">
      <c r="A4684" t="s">
        <v>130</v>
      </c>
      <c r="B4684" t="s">
        <v>131</v>
      </c>
      <c r="C4684">
        <v>2210</v>
      </c>
      <c r="D4684" t="s">
        <v>62</v>
      </c>
      <c r="E4684" t="s">
        <v>65</v>
      </c>
      <c r="F4684" s="5">
        <v>42370</v>
      </c>
      <c r="G4684">
        <v>0</v>
      </c>
    </row>
    <row r="4685" spans="1:7" x14ac:dyDescent="0.25">
      <c r="A4685" t="s">
        <v>130</v>
      </c>
      <c r="B4685" t="s">
        <v>131</v>
      </c>
      <c r="C4685">
        <v>2210</v>
      </c>
      <c r="D4685" t="s">
        <v>62</v>
      </c>
      <c r="E4685" t="s">
        <v>65</v>
      </c>
      <c r="F4685" s="5">
        <v>42736</v>
      </c>
      <c r="G4685">
        <v>0</v>
      </c>
    </row>
    <row r="4686" spans="1:7" x14ac:dyDescent="0.25">
      <c r="A4686" t="s">
        <v>130</v>
      </c>
      <c r="B4686" t="s">
        <v>131</v>
      </c>
      <c r="C4686">
        <v>2210</v>
      </c>
      <c r="D4686" t="s">
        <v>62</v>
      </c>
      <c r="E4686" t="s">
        <v>66</v>
      </c>
      <c r="F4686" s="5">
        <v>42370</v>
      </c>
      <c r="G4686">
        <v>0</v>
      </c>
    </row>
    <row r="4687" spans="1:7" x14ac:dyDescent="0.25">
      <c r="A4687" t="s">
        <v>130</v>
      </c>
      <c r="B4687" t="s">
        <v>131</v>
      </c>
      <c r="C4687">
        <v>2210</v>
      </c>
      <c r="D4687" t="s">
        <v>62</v>
      </c>
      <c r="E4687" t="s">
        <v>66</v>
      </c>
      <c r="F4687" s="5">
        <v>42736</v>
      </c>
      <c r="G4687">
        <v>0</v>
      </c>
    </row>
    <row r="4688" spans="1:7" x14ac:dyDescent="0.25">
      <c r="A4688" t="s">
        <v>130</v>
      </c>
      <c r="B4688" t="s">
        <v>131</v>
      </c>
      <c r="C4688">
        <v>2210</v>
      </c>
      <c r="D4688" t="s">
        <v>62</v>
      </c>
      <c r="E4688" t="s">
        <v>67</v>
      </c>
      <c r="F4688" s="5">
        <v>42370</v>
      </c>
      <c r="G4688">
        <v>0</v>
      </c>
    </row>
    <row r="4689" spans="1:7" x14ac:dyDescent="0.25">
      <c r="A4689" t="s">
        <v>130</v>
      </c>
      <c r="B4689" t="s">
        <v>131</v>
      </c>
      <c r="C4689">
        <v>2210</v>
      </c>
      <c r="D4689" t="s">
        <v>62</v>
      </c>
      <c r="E4689" t="s">
        <v>67</v>
      </c>
      <c r="F4689" s="5">
        <v>42736</v>
      </c>
      <c r="G4689">
        <v>0</v>
      </c>
    </row>
    <row r="4690" spans="1:7" x14ac:dyDescent="0.25">
      <c r="A4690" t="s">
        <v>130</v>
      </c>
      <c r="B4690" t="s">
        <v>131</v>
      </c>
      <c r="C4690">
        <v>2210</v>
      </c>
      <c r="D4690" t="s">
        <v>62</v>
      </c>
      <c r="E4690" t="s">
        <v>68</v>
      </c>
      <c r="F4690" s="5">
        <v>42370</v>
      </c>
      <c r="G4690">
        <v>0</v>
      </c>
    </row>
    <row r="4691" spans="1:7" x14ac:dyDescent="0.25">
      <c r="A4691" t="s">
        <v>130</v>
      </c>
      <c r="B4691" t="s">
        <v>131</v>
      </c>
      <c r="C4691">
        <v>2210</v>
      </c>
      <c r="D4691" t="s">
        <v>62</v>
      </c>
      <c r="E4691" t="s">
        <v>68</v>
      </c>
      <c r="F4691" s="5">
        <v>42736</v>
      </c>
      <c r="G4691">
        <v>0</v>
      </c>
    </row>
    <row r="4692" spans="1:7" x14ac:dyDescent="0.25">
      <c r="A4692" t="s">
        <v>130</v>
      </c>
      <c r="B4692" t="s">
        <v>131</v>
      </c>
      <c r="C4692">
        <v>2210</v>
      </c>
      <c r="D4692" t="s">
        <v>62</v>
      </c>
      <c r="E4692" t="s">
        <v>69</v>
      </c>
      <c r="F4692" s="5">
        <v>42370</v>
      </c>
      <c r="G4692">
        <v>0</v>
      </c>
    </row>
    <row r="4693" spans="1:7" x14ac:dyDescent="0.25">
      <c r="A4693" t="s">
        <v>130</v>
      </c>
      <c r="B4693" t="s">
        <v>131</v>
      </c>
      <c r="C4693">
        <v>2210</v>
      </c>
      <c r="D4693" t="s">
        <v>62</v>
      </c>
      <c r="E4693" t="s">
        <v>69</v>
      </c>
      <c r="F4693" s="5">
        <v>42736</v>
      </c>
      <c r="G4693">
        <v>0</v>
      </c>
    </row>
    <row r="4694" spans="1:7" x14ac:dyDescent="0.25">
      <c r="A4694" t="s">
        <v>130</v>
      </c>
      <c r="B4694" t="s">
        <v>131</v>
      </c>
      <c r="C4694">
        <v>2210</v>
      </c>
      <c r="D4694" t="s">
        <v>62</v>
      </c>
      <c r="E4694" t="s">
        <v>70</v>
      </c>
      <c r="F4694" s="5">
        <v>42370</v>
      </c>
      <c r="G4694">
        <v>0</v>
      </c>
    </row>
    <row r="4695" spans="1:7" x14ac:dyDescent="0.25">
      <c r="A4695" t="s">
        <v>130</v>
      </c>
      <c r="B4695" t="s">
        <v>131</v>
      </c>
      <c r="C4695">
        <v>2210</v>
      </c>
      <c r="D4695" t="s">
        <v>62</v>
      </c>
      <c r="E4695" t="s">
        <v>70</v>
      </c>
      <c r="F4695" s="5">
        <v>42736</v>
      </c>
      <c r="G4695">
        <v>0</v>
      </c>
    </row>
    <row r="4696" spans="1:7" x14ac:dyDescent="0.25">
      <c r="A4696" t="s">
        <v>130</v>
      </c>
      <c r="B4696" t="s">
        <v>131</v>
      </c>
      <c r="C4696">
        <v>2210</v>
      </c>
      <c r="D4696" t="s">
        <v>62</v>
      </c>
      <c r="E4696" t="s">
        <v>71</v>
      </c>
      <c r="F4696" s="5">
        <v>42370</v>
      </c>
      <c r="G4696">
        <v>0</v>
      </c>
    </row>
    <row r="4697" spans="1:7" x14ac:dyDescent="0.25">
      <c r="A4697" t="s">
        <v>130</v>
      </c>
      <c r="B4697" t="s">
        <v>131</v>
      </c>
      <c r="C4697">
        <v>2210</v>
      </c>
      <c r="D4697" t="s">
        <v>62</v>
      </c>
      <c r="E4697" t="s">
        <v>71</v>
      </c>
      <c r="F4697" s="5">
        <v>42736</v>
      </c>
      <c r="G4697">
        <v>0</v>
      </c>
    </row>
    <row r="4698" spans="1:7" x14ac:dyDescent="0.25">
      <c r="A4698" t="s">
        <v>130</v>
      </c>
      <c r="B4698" t="s">
        <v>131</v>
      </c>
      <c r="C4698">
        <v>2210</v>
      </c>
      <c r="D4698" t="s">
        <v>72</v>
      </c>
      <c r="E4698" t="s">
        <v>73</v>
      </c>
      <c r="F4698" s="5">
        <v>42370</v>
      </c>
      <c r="G4698">
        <v>0</v>
      </c>
    </row>
    <row r="4699" spans="1:7" x14ac:dyDescent="0.25">
      <c r="A4699" t="s">
        <v>130</v>
      </c>
      <c r="B4699" t="s">
        <v>131</v>
      </c>
      <c r="C4699">
        <v>2210</v>
      </c>
      <c r="D4699" t="s">
        <v>72</v>
      </c>
      <c r="E4699" t="s">
        <v>73</v>
      </c>
      <c r="F4699" s="5">
        <v>42736</v>
      </c>
      <c r="G4699">
        <v>0</v>
      </c>
    </row>
    <row r="4700" spans="1:7" x14ac:dyDescent="0.25">
      <c r="A4700" t="s">
        <v>130</v>
      </c>
      <c r="B4700" t="s">
        <v>131</v>
      </c>
      <c r="C4700">
        <v>2210</v>
      </c>
      <c r="D4700" t="s">
        <v>72</v>
      </c>
      <c r="E4700" t="s">
        <v>9</v>
      </c>
      <c r="F4700" s="5">
        <v>42370</v>
      </c>
      <c r="G4700">
        <v>0</v>
      </c>
    </row>
    <row r="4701" spans="1:7" x14ac:dyDescent="0.25">
      <c r="A4701" t="s">
        <v>130</v>
      </c>
      <c r="B4701" t="s">
        <v>131</v>
      </c>
      <c r="C4701">
        <v>2210</v>
      </c>
      <c r="D4701" t="s">
        <v>72</v>
      </c>
      <c r="E4701" t="s">
        <v>9</v>
      </c>
      <c r="F4701" s="5">
        <v>42736</v>
      </c>
      <c r="G4701">
        <v>0</v>
      </c>
    </row>
    <row r="4702" spans="1:7" x14ac:dyDescent="0.25">
      <c r="A4702" t="s">
        <v>130</v>
      </c>
      <c r="B4702" t="s">
        <v>131</v>
      </c>
      <c r="C4702">
        <v>2210</v>
      </c>
      <c r="D4702" t="s">
        <v>72</v>
      </c>
      <c r="E4702" t="s">
        <v>34</v>
      </c>
      <c r="F4702" s="5">
        <v>42370</v>
      </c>
      <c r="G4702">
        <v>0</v>
      </c>
    </row>
    <row r="4703" spans="1:7" x14ac:dyDescent="0.25">
      <c r="A4703" t="s">
        <v>130</v>
      </c>
      <c r="B4703" t="s">
        <v>131</v>
      </c>
      <c r="C4703">
        <v>2210</v>
      </c>
      <c r="D4703" t="s">
        <v>72</v>
      </c>
      <c r="E4703" t="s">
        <v>34</v>
      </c>
      <c r="F4703" s="5">
        <v>42736</v>
      </c>
      <c r="G4703">
        <v>0</v>
      </c>
    </row>
    <row r="4704" spans="1:7" x14ac:dyDescent="0.25">
      <c r="A4704" t="s">
        <v>130</v>
      </c>
      <c r="B4704" t="s">
        <v>131</v>
      </c>
      <c r="C4704">
        <v>2210</v>
      </c>
      <c r="D4704" t="s">
        <v>72</v>
      </c>
      <c r="E4704" t="s">
        <v>74</v>
      </c>
      <c r="F4704" s="5">
        <v>42370</v>
      </c>
      <c r="G4704">
        <v>0</v>
      </c>
    </row>
    <row r="4705" spans="1:7" x14ac:dyDescent="0.25">
      <c r="A4705" t="s">
        <v>130</v>
      </c>
      <c r="B4705" t="s">
        <v>131</v>
      </c>
      <c r="C4705">
        <v>2210</v>
      </c>
      <c r="D4705" t="s">
        <v>72</v>
      </c>
      <c r="E4705" t="s">
        <v>74</v>
      </c>
      <c r="F4705" s="5">
        <v>42736</v>
      </c>
      <c r="G4705">
        <v>0</v>
      </c>
    </row>
    <row r="4706" spans="1:7" x14ac:dyDescent="0.25">
      <c r="A4706" t="s">
        <v>130</v>
      </c>
      <c r="B4706" t="s">
        <v>131</v>
      </c>
      <c r="C4706">
        <v>2210</v>
      </c>
      <c r="D4706" t="s">
        <v>72</v>
      </c>
      <c r="E4706" t="s">
        <v>75</v>
      </c>
      <c r="F4706" s="5">
        <v>42370</v>
      </c>
      <c r="G4706">
        <v>0</v>
      </c>
    </row>
    <row r="4707" spans="1:7" x14ac:dyDescent="0.25">
      <c r="A4707" t="s">
        <v>130</v>
      </c>
      <c r="B4707" t="s">
        <v>131</v>
      </c>
      <c r="C4707">
        <v>2210</v>
      </c>
      <c r="D4707" t="s">
        <v>72</v>
      </c>
      <c r="E4707" t="s">
        <v>75</v>
      </c>
      <c r="F4707" s="5">
        <v>42736</v>
      </c>
      <c r="G4707">
        <v>0</v>
      </c>
    </row>
    <row r="4708" spans="1:7" x14ac:dyDescent="0.25">
      <c r="A4708" t="s">
        <v>130</v>
      </c>
      <c r="B4708" t="s">
        <v>131</v>
      </c>
      <c r="C4708">
        <v>2210</v>
      </c>
      <c r="D4708" t="s">
        <v>76</v>
      </c>
      <c r="E4708" t="s">
        <v>9</v>
      </c>
      <c r="F4708" s="5">
        <v>42370</v>
      </c>
      <c r="G4708">
        <v>0</v>
      </c>
    </row>
    <row r="4709" spans="1:7" x14ac:dyDescent="0.25">
      <c r="A4709" t="s">
        <v>130</v>
      </c>
      <c r="B4709" t="s">
        <v>131</v>
      </c>
      <c r="C4709">
        <v>2210</v>
      </c>
      <c r="D4709" t="s">
        <v>76</v>
      </c>
      <c r="E4709" t="s">
        <v>9</v>
      </c>
      <c r="F4709" s="5">
        <v>42736</v>
      </c>
      <c r="G4709">
        <v>0</v>
      </c>
    </row>
    <row r="4710" spans="1:7" x14ac:dyDescent="0.25">
      <c r="A4710" t="s">
        <v>130</v>
      </c>
      <c r="B4710" t="s">
        <v>131</v>
      </c>
      <c r="C4710">
        <v>2210</v>
      </c>
      <c r="D4710" t="s">
        <v>76</v>
      </c>
      <c r="E4710" t="s">
        <v>77</v>
      </c>
      <c r="F4710" s="5">
        <v>42370</v>
      </c>
      <c r="G4710">
        <v>0</v>
      </c>
    </row>
    <row r="4711" spans="1:7" x14ac:dyDescent="0.25">
      <c r="A4711" t="s">
        <v>130</v>
      </c>
      <c r="B4711" t="s">
        <v>131</v>
      </c>
      <c r="C4711">
        <v>2210</v>
      </c>
      <c r="D4711" t="s">
        <v>76</v>
      </c>
      <c r="E4711" t="s">
        <v>77</v>
      </c>
      <c r="F4711" s="5">
        <v>42736</v>
      </c>
      <c r="G4711">
        <v>0</v>
      </c>
    </row>
    <row r="4712" spans="1:7" x14ac:dyDescent="0.25">
      <c r="A4712" t="s">
        <v>130</v>
      </c>
      <c r="B4712" t="s">
        <v>131</v>
      </c>
      <c r="C4712">
        <v>2210</v>
      </c>
      <c r="D4712" t="s">
        <v>78</v>
      </c>
      <c r="E4712" t="s">
        <v>79</v>
      </c>
      <c r="F4712" s="5">
        <v>42370</v>
      </c>
      <c r="G4712">
        <v>0</v>
      </c>
    </row>
    <row r="4713" spans="1:7" x14ac:dyDescent="0.25">
      <c r="A4713" t="s">
        <v>130</v>
      </c>
      <c r="B4713" t="s">
        <v>131</v>
      </c>
      <c r="C4713">
        <v>2210</v>
      </c>
      <c r="D4713" t="s">
        <v>78</v>
      </c>
      <c r="E4713" t="s">
        <v>79</v>
      </c>
      <c r="F4713" s="5">
        <v>42736</v>
      </c>
      <c r="G4713">
        <v>0</v>
      </c>
    </row>
    <row r="4714" spans="1:7" x14ac:dyDescent="0.25">
      <c r="A4714" t="s">
        <v>130</v>
      </c>
      <c r="B4714" t="s">
        <v>131</v>
      </c>
      <c r="C4714">
        <v>2210</v>
      </c>
      <c r="D4714" t="s">
        <v>78</v>
      </c>
      <c r="E4714" t="s">
        <v>80</v>
      </c>
      <c r="F4714" s="5">
        <v>42370</v>
      </c>
      <c r="G4714">
        <v>0</v>
      </c>
    </row>
    <row r="4715" spans="1:7" x14ac:dyDescent="0.25">
      <c r="A4715" t="s">
        <v>130</v>
      </c>
      <c r="B4715" t="s">
        <v>131</v>
      </c>
      <c r="C4715">
        <v>2210</v>
      </c>
      <c r="D4715" t="s">
        <v>78</v>
      </c>
      <c r="E4715" t="s">
        <v>80</v>
      </c>
      <c r="F4715" s="5">
        <v>42736</v>
      </c>
      <c r="G4715">
        <v>0</v>
      </c>
    </row>
    <row r="4716" spans="1:7" x14ac:dyDescent="0.25">
      <c r="A4716" t="s">
        <v>130</v>
      </c>
      <c r="B4716" t="s">
        <v>131</v>
      </c>
      <c r="C4716">
        <v>2210</v>
      </c>
      <c r="D4716" t="s">
        <v>78</v>
      </c>
      <c r="E4716" t="s">
        <v>81</v>
      </c>
      <c r="F4716" s="5">
        <v>42370</v>
      </c>
      <c r="G4716">
        <v>136</v>
      </c>
    </row>
    <row r="4717" spans="1:7" x14ac:dyDescent="0.25">
      <c r="A4717" t="s">
        <v>130</v>
      </c>
      <c r="B4717" t="s">
        <v>131</v>
      </c>
      <c r="C4717">
        <v>2210</v>
      </c>
      <c r="D4717" t="s">
        <v>78</v>
      </c>
      <c r="E4717" t="s">
        <v>81</v>
      </c>
      <c r="F4717" s="5">
        <v>42736</v>
      </c>
      <c r="G4717">
        <v>149</v>
      </c>
    </row>
    <row r="4718" spans="1:7" x14ac:dyDescent="0.25">
      <c r="A4718" t="s">
        <v>130</v>
      </c>
      <c r="B4718" t="s">
        <v>131</v>
      </c>
      <c r="C4718">
        <v>2210</v>
      </c>
      <c r="D4718" t="s">
        <v>78</v>
      </c>
      <c r="E4718" t="s">
        <v>82</v>
      </c>
      <c r="F4718" s="5">
        <v>42370</v>
      </c>
      <c r="G4718">
        <v>0</v>
      </c>
    </row>
    <row r="4719" spans="1:7" x14ac:dyDescent="0.25">
      <c r="A4719" t="s">
        <v>130</v>
      </c>
      <c r="B4719" t="s">
        <v>131</v>
      </c>
      <c r="C4719">
        <v>2210</v>
      </c>
      <c r="D4719" t="s">
        <v>78</v>
      </c>
      <c r="E4719" t="s">
        <v>82</v>
      </c>
      <c r="F4719" s="5">
        <v>42736</v>
      </c>
      <c r="G4719">
        <v>0</v>
      </c>
    </row>
    <row r="4720" spans="1:7" x14ac:dyDescent="0.25">
      <c r="A4720" t="s">
        <v>130</v>
      </c>
      <c r="B4720" t="s">
        <v>131</v>
      </c>
      <c r="C4720">
        <v>2210</v>
      </c>
      <c r="D4720" t="s">
        <v>78</v>
      </c>
      <c r="E4720" t="s">
        <v>83</v>
      </c>
      <c r="F4720" s="5">
        <v>42370</v>
      </c>
      <c r="G4720">
        <v>0</v>
      </c>
    </row>
    <row r="4721" spans="1:7" x14ac:dyDescent="0.25">
      <c r="A4721" t="s">
        <v>130</v>
      </c>
      <c r="B4721" t="s">
        <v>131</v>
      </c>
      <c r="C4721">
        <v>2210</v>
      </c>
      <c r="D4721" t="s">
        <v>78</v>
      </c>
      <c r="E4721" t="s">
        <v>83</v>
      </c>
      <c r="F4721" s="5">
        <v>42736</v>
      </c>
      <c r="G4721">
        <v>0</v>
      </c>
    </row>
    <row r="4722" spans="1:7" x14ac:dyDescent="0.25">
      <c r="A4722" t="s">
        <v>130</v>
      </c>
      <c r="B4722" t="s">
        <v>131</v>
      </c>
      <c r="C4722">
        <v>2210</v>
      </c>
      <c r="D4722" t="s">
        <v>78</v>
      </c>
      <c r="E4722" t="s">
        <v>84</v>
      </c>
      <c r="F4722" s="5">
        <v>42370</v>
      </c>
      <c r="G4722">
        <v>0</v>
      </c>
    </row>
    <row r="4723" spans="1:7" x14ac:dyDescent="0.25">
      <c r="A4723" t="s">
        <v>130</v>
      </c>
      <c r="B4723" t="s">
        <v>131</v>
      </c>
      <c r="C4723">
        <v>2210</v>
      </c>
      <c r="D4723" t="s">
        <v>78</v>
      </c>
      <c r="E4723" t="s">
        <v>84</v>
      </c>
      <c r="F4723" s="5">
        <v>42736</v>
      </c>
      <c r="G4723">
        <v>0</v>
      </c>
    </row>
    <row r="4724" spans="1:7" x14ac:dyDescent="0.25">
      <c r="A4724" t="s">
        <v>130</v>
      </c>
      <c r="B4724" t="s">
        <v>131</v>
      </c>
      <c r="C4724">
        <v>2210</v>
      </c>
      <c r="D4724" t="s">
        <v>78</v>
      </c>
      <c r="E4724" t="s">
        <v>85</v>
      </c>
      <c r="F4724" s="5">
        <v>42370</v>
      </c>
      <c r="G4724">
        <v>0</v>
      </c>
    </row>
    <row r="4725" spans="1:7" x14ac:dyDescent="0.25">
      <c r="A4725" t="s">
        <v>130</v>
      </c>
      <c r="B4725" t="s">
        <v>131</v>
      </c>
      <c r="C4725">
        <v>2210</v>
      </c>
      <c r="D4725" t="s">
        <v>78</v>
      </c>
      <c r="E4725" t="s">
        <v>85</v>
      </c>
      <c r="F4725" s="5">
        <v>42736</v>
      </c>
      <c r="G4725">
        <v>0</v>
      </c>
    </row>
    <row r="4726" spans="1:7" x14ac:dyDescent="0.25">
      <c r="A4726" t="s">
        <v>130</v>
      </c>
      <c r="B4726" t="s">
        <v>131</v>
      </c>
      <c r="C4726">
        <v>2210</v>
      </c>
      <c r="D4726" t="s">
        <v>78</v>
      </c>
      <c r="E4726" t="s">
        <v>86</v>
      </c>
      <c r="F4726" s="5">
        <v>42370</v>
      </c>
      <c r="G4726">
        <v>0</v>
      </c>
    </row>
    <row r="4727" spans="1:7" x14ac:dyDescent="0.25">
      <c r="A4727" t="s">
        <v>130</v>
      </c>
      <c r="B4727" t="s">
        <v>131</v>
      </c>
      <c r="C4727">
        <v>2210</v>
      </c>
      <c r="D4727" t="s">
        <v>78</v>
      </c>
      <c r="E4727" t="s">
        <v>86</v>
      </c>
      <c r="F4727" s="5">
        <v>42736</v>
      </c>
      <c r="G4727">
        <v>0</v>
      </c>
    </row>
    <row r="4728" spans="1:7" x14ac:dyDescent="0.25">
      <c r="A4728" t="s">
        <v>130</v>
      </c>
      <c r="B4728" t="s">
        <v>131</v>
      </c>
      <c r="C4728">
        <v>2210</v>
      </c>
      <c r="D4728" t="s">
        <v>78</v>
      </c>
      <c r="E4728" t="s">
        <v>87</v>
      </c>
      <c r="F4728" s="5">
        <v>42370</v>
      </c>
      <c r="G4728">
        <v>0</v>
      </c>
    </row>
    <row r="4729" spans="1:7" x14ac:dyDescent="0.25">
      <c r="A4729" t="s">
        <v>130</v>
      </c>
      <c r="B4729" t="s">
        <v>131</v>
      </c>
      <c r="C4729">
        <v>2210</v>
      </c>
      <c r="D4729" t="s">
        <v>78</v>
      </c>
      <c r="E4729" t="s">
        <v>87</v>
      </c>
      <c r="F4729" s="5">
        <v>42736</v>
      </c>
      <c r="G4729">
        <v>0</v>
      </c>
    </row>
    <row r="4730" spans="1:7" x14ac:dyDescent="0.25">
      <c r="A4730" t="s">
        <v>130</v>
      </c>
      <c r="B4730" t="s">
        <v>131</v>
      </c>
      <c r="C4730">
        <v>2210</v>
      </c>
      <c r="D4730" t="s">
        <v>78</v>
      </c>
      <c r="E4730" t="s">
        <v>88</v>
      </c>
      <c r="F4730" s="5">
        <v>42370</v>
      </c>
      <c r="G4730">
        <v>29</v>
      </c>
    </row>
    <row r="4731" spans="1:7" x14ac:dyDescent="0.25">
      <c r="A4731" t="s">
        <v>130</v>
      </c>
      <c r="B4731" t="s">
        <v>131</v>
      </c>
      <c r="C4731">
        <v>2210</v>
      </c>
      <c r="D4731" t="s">
        <v>78</v>
      </c>
      <c r="E4731" t="s">
        <v>88</v>
      </c>
      <c r="F4731" s="5">
        <v>42736</v>
      </c>
      <c r="G4731">
        <v>39</v>
      </c>
    </row>
    <row r="4732" spans="1:7" x14ac:dyDescent="0.25">
      <c r="A4732" t="s">
        <v>130</v>
      </c>
      <c r="B4732" t="s">
        <v>131</v>
      </c>
      <c r="C4732">
        <v>2210</v>
      </c>
      <c r="D4732" t="s">
        <v>78</v>
      </c>
      <c r="E4732" t="s">
        <v>89</v>
      </c>
      <c r="F4732" s="5">
        <v>42370</v>
      </c>
      <c r="G4732">
        <v>430</v>
      </c>
    </row>
    <row r="4733" spans="1:7" x14ac:dyDescent="0.25">
      <c r="A4733" t="s">
        <v>130</v>
      </c>
      <c r="B4733" t="s">
        <v>131</v>
      </c>
      <c r="C4733">
        <v>2210</v>
      </c>
      <c r="D4733" t="s">
        <v>78</v>
      </c>
      <c r="E4733" t="s">
        <v>89</v>
      </c>
      <c r="F4733" s="5">
        <v>42736</v>
      </c>
      <c r="G4733">
        <v>539</v>
      </c>
    </row>
    <row r="4734" spans="1:7" x14ac:dyDescent="0.25">
      <c r="A4734" t="s">
        <v>130</v>
      </c>
      <c r="B4734" t="s">
        <v>131</v>
      </c>
      <c r="C4734">
        <v>2210</v>
      </c>
      <c r="D4734" t="s">
        <v>78</v>
      </c>
      <c r="E4734" t="s">
        <v>90</v>
      </c>
      <c r="F4734" s="5">
        <v>42370</v>
      </c>
      <c r="G4734">
        <v>0</v>
      </c>
    </row>
    <row r="4735" spans="1:7" x14ac:dyDescent="0.25">
      <c r="A4735" t="s">
        <v>130</v>
      </c>
      <c r="B4735" t="s">
        <v>131</v>
      </c>
      <c r="C4735">
        <v>2210</v>
      </c>
      <c r="D4735" t="s">
        <v>78</v>
      </c>
      <c r="E4735" t="s">
        <v>90</v>
      </c>
      <c r="F4735" s="5">
        <v>42736</v>
      </c>
      <c r="G4735">
        <v>0</v>
      </c>
    </row>
    <row r="4736" spans="1:7" x14ac:dyDescent="0.25">
      <c r="A4736" t="s">
        <v>130</v>
      </c>
      <c r="B4736" t="s">
        <v>131</v>
      </c>
      <c r="C4736">
        <v>2210</v>
      </c>
      <c r="D4736" t="s">
        <v>78</v>
      </c>
      <c r="E4736" t="s">
        <v>91</v>
      </c>
      <c r="F4736" s="5">
        <v>42370</v>
      </c>
      <c r="G4736">
        <v>0</v>
      </c>
    </row>
    <row r="4737" spans="1:7" x14ac:dyDescent="0.25">
      <c r="A4737" t="s">
        <v>130</v>
      </c>
      <c r="B4737" t="s">
        <v>131</v>
      </c>
      <c r="C4737">
        <v>2210</v>
      </c>
      <c r="D4737" t="s">
        <v>78</v>
      </c>
      <c r="E4737" t="s">
        <v>91</v>
      </c>
      <c r="F4737" s="5">
        <v>42736</v>
      </c>
      <c r="G4737">
        <v>0</v>
      </c>
    </row>
    <row r="4738" spans="1:7" x14ac:dyDescent="0.25">
      <c r="A4738" t="s">
        <v>130</v>
      </c>
      <c r="B4738" t="s">
        <v>131</v>
      </c>
      <c r="C4738">
        <v>2210</v>
      </c>
      <c r="D4738" t="s">
        <v>78</v>
      </c>
      <c r="E4738" t="s">
        <v>92</v>
      </c>
      <c r="F4738" s="5">
        <v>42370</v>
      </c>
      <c r="G4738">
        <v>0</v>
      </c>
    </row>
    <row r="4739" spans="1:7" x14ac:dyDescent="0.25">
      <c r="A4739" t="s">
        <v>130</v>
      </c>
      <c r="B4739" t="s">
        <v>131</v>
      </c>
      <c r="C4739">
        <v>2210</v>
      </c>
      <c r="D4739" t="s">
        <v>78</v>
      </c>
      <c r="E4739" t="s">
        <v>92</v>
      </c>
      <c r="F4739" s="5">
        <v>42736</v>
      </c>
      <c r="G4739">
        <v>0</v>
      </c>
    </row>
    <row r="4740" spans="1:7" x14ac:dyDescent="0.25">
      <c r="A4740" t="s">
        <v>130</v>
      </c>
      <c r="B4740" t="s">
        <v>131</v>
      </c>
      <c r="C4740">
        <v>2210</v>
      </c>
      <c r="D4740" t="s">
        <v>78</v>
      </c>
      <c r="E4740" t="s">
        <v>93</v>
      </c>
      <c r="F4740" s="5">
        <v>42370</v>
      </c>
      <c r="G4740">
        <v>0</v>
      </c>
    </row>
    <row r="4741" spans="1:7" x14ac:dyDescent="0.25">
      <c r="A4741" t="s">
        <v>130</v>
      </c>
      <c r="B4741" t="s">
        <v>131</v>
      </c>
      <c r="C4741">
        <v>2210</v>
      </c>
      <c r="D4741" t="s">
        <v>78</v>
      </c>
      <c r="E4741" t="s">
        <v>93</v>
      </c>
      <c r="F4741" s="5">
        <v>42736</v>
      </c>
      <c r="G4741">
        <v>0</v>
      </c>
    </row>
    <row r="4742" spans="1:7" x14ac:dyDescent="0.25">
      <c r="A4742" t="s">
        <v>130</v>
      </c>
      <c r="B4742" t="s">
        <v>131</v>
      </c>
      <c r="C4742">
        <v>2210</v>
      </c>
      <c r="D4742" t="s">
        <v>78</v>
      </c>
      <c r="E4742" t="s">
        <v>94</v>
      </c>
      <c r="F4742" s="5">
        <v>42370</v>
      </c>
      <c r="G4742">
        <v>0</v>
      </c>
    </row>
    <row r="4743" spans="1:7" x14ac:dyDescent="0.25">
      <c r="A4743" t="s">
        <v>130</v>
      </c>
      <c r="B4743" t="s">
        <v>131</v>
      </c>
      <c r="C4743">
        <v>2210</v>
      </c>
      <c r="D4743" t="s">
        <v>78</v>
      </c>
      <c r="E4743" t="s">
        <v>94</v>
      </c>
      <c r="F4743" s="5">
        <v>42736</v>
      </c>
      <c r="G4743">
        <v>0</v>
      </c>
    </row>
    <row r="4744" spans="1:7" x14ac:dyDescent="0.25">
      <c r="A4744" t="s">
        <v>130</v>
      </c>
      <c r="B4744" t="s">
        <v>131</v>
      </c>
      <c r="C4744">
        <v>2210</v>
      </c>
      <c r="D4744" t="s">
        <v>78</v>
      </c>
      <c r="E4744" t="s">
        <v>95</v>
      </c>
      <c r="F4744" s="5">
        <v>42370</v>
      </c>
      <c r="G4744">
        <v>0</v>
      </c>
    </row>
    <row r="4745" spans="1:7" x14ac:dyDescent="0.25">
      <c r="A4745" t="s">
        <v>130</v>
      </c>
      <c r="B4745" t="s">
        <v>131</v>
      </c>
      <c r="C4745">
        <v>2210</v>
      </c>
      <c r="D4745" t="s">
        <v>78</v>
      </c>
      <c r="E4745" t="s">
        <v>95</v>
      </c>
      <c r="F4745" s="5">
        <v>42736</v>
      </c>
      <c r="G4745">
        <v>0</v>
      </c>
    </row>
    <row r="4746" spans="1:7" x14ac:dyDescent="0.25">
      <c r="A4746" t="s">
        <v>130</v>
      </c>
      <c r="B4746" t="s">
        <v>131</v>
      </c>
      <c r="C4746">
        <v>2210</v>
      </c>
      <c r="D4746" t="s">
        <v>78</v>
      </c>
      <c r="E4746" t="s">
        <v>96</v>
      </c>
      <c r="F4746" s="5">
        <v>42370</v>
      </c>
      <c r="G4746">
        <v>0</v>
      </c>
    </row>
    <row r="4747" spans="1:7" x14ac:dyDescent="0.25">
      <c r="A4747" t="s">
        <v>130</v>
      </c>
      <c r="B4747" t="s">
        <v>131</v>
      </c>
      <c r="C4747">
        <v>2210</v>
      </c>
      <c r="D4747" t="s">
        <v>78</v>
      </c>
      <c r="E4747" t="s">
        <v>96</v>
      </c>
      <c r="F4747" s="5">
        <v>42736</v>
      </c>
      <c r="G4747">
        <v>0</v>
      </c>
    </row>
    <row r="4748" spans="1:7" x14ac:dyDescent="0.25">
      <c r="A4748" t="s">
        <v>130</v>
      </c>
      <c r="B4748" t="s">
        <v>131</v>
      </c>
      <c r="C4748">
        <v>2210</v>
      </c>
      <c r="D4748" t="s">
        <v>78</v>
      </c>
      <c r="E4748" t="s">
        <v>97</v>
      </c>
      <c r="F4748" s="5">
        <v>42370</v>
      </c>
      <c r="G4748">
        <v>0</v>
      </c>
    </row>
    <row r="4749" spans="1:7" x14ac:dyDescent="0.25">
      <c r="A4749" t="s">
        <v>130</v>
      </c>
      <c r="B4749" t="s">
        <v>131</v>
      </c>
      <c r="C4749">
        <v>2210</v>
      </c>
      <c r="D4749" t="s">
        <v>78</v>
      </c>
      <c r="E4749" t="s">
        <v>97</v>
      </c>
      <c r="F4749" s="5">
        <v>42736</v>
      </c>
      <c r="G4749">
        <v>0</v>
      </c>
    </row>
    <row r="4750" spans="1:7" x14ac:dyDescent="0.25">
      <c r="A4750" t="s">
        <v>130</v>
      </c>
      <c r="B4750" t="s">
        <v>131</v>
      </c>
      <c r="C4750">
        <v>2210</v>
      </c>
      <c r="D4750" t="s">
        <v>78</v>
      </c>
      <c r="E4750" t="s">
        <v>98</v>
      </c>
      <c r="F4750" s="5">
        <v>42370</v>
      </c>
      <c r="G4750">
        <v>0</v>
      </c>
    </row>
    <row r="4751" spans="1:7" x14ac:dyDescent="0.25">
      <c r="A4751" t="s">
        <v>130</v>
      </c>
      <c r="B4751" t="s">
        <v>131</v>
      </c>
      <c r="C4751">
        <v>2210</v>
      </c>
      <c r="D4751" t="s">
        <v>78</v>
      </c>
      <c r="E4751" t="s">
        <v>98</v>
      </c>
      <c r="F4751" s="5">
        <v>42736</v>
      </c>
      <c r="G4751">
        <v>0</v>
      </c>
    </row>
    <row r="4752" spans="1:7" x14ac:dyDescent="0.25">
      <c r="A4752" t="s">
        <v>130</v>
      </c>
      <c r="B4752" t="s">
        <v>132</v>
      </c>
      <c r="C4752">
        <v>2220</v>
      </c>
      <c r="D4752" t="s">
        <v>8</v>
      </c>
      <c r="E4752" t="s">
        <v>9</v>
      </c>
      <c r="F4752" s="5">
        <v>42370</v>
      </c>
      <c r="G4752">
        <v>0</v>
      </c>
    </row>
    <row r="4753" spans="1:7" x14ac:dyDescent="0.25">
      <c r="A4753" t="s">
        <v>130</v>
      </c>
      <c r="B4753" t="s">
        <v>132</v>
      </c>
      <c r="C4753">
        <v>2220</v>
      </c>
      <c r="D4753" t="s">
        <v>8</v>
      </c>
      <c r="E4753" t="s">
        <v>9</v>
      </c>
      <c r="F4753" s="5">
        <v>42736</v>
      </c>
      <c r="G4753">
        <v>0</v>
      </c>
    </row>
    <row r="4754" spans="1:7" x14ac:dyDescent="0.25">
      <c r="A4754" t="s">
        <v>130</v>
      </c>
      <c r="B4754" t="s">
        <v>132</v>
      </c>
      <c r="C4754">
        <v>2220</v>
      </c>
      <c r="D4754" t="s">
        <v>8</v>
      </c>
      <c r="E4754" t="s">
        <v>10</v>
      </c>
      <c r="F4754" s="5">
        <v>42370</v>
      </c>
      <c r="G4754">
        <v>0</v>
      </c>
    </row>
    <row r="4755" spans="1:7" x14ac:dyDescent="0.25">
      <c r="A4755" t="s">
        <v>130</v>
      </c>
      <c r="B4755" t="s">
        <v>132</v>
      </c>
      <c r="C4755">
        <v>2220</v>
      </c>
      <c r="D4755" t="s">
        <v>8</v>
      </c>
      <c r="E4755" t="s">
        <v>10</v>
      </c>
      <c r="F4755" s="5">
        <v>42736</v>
      </c>
      <c r="G4755">
        <v>0</v>
      </c>
    </row>
    <row r="4756" spans="1:7" x14ac:dyDescent="0.25">
      <c r="A4756" t="s">
        <v>130</v>
      </c>
      <c r="B4756" t="s">
        <v>132</v>
      </c>
      <c r="C4756">
        <v>2220</v>
      </c>
      <c r="D4756" t="s">
        <v>8</v>
      </c>
      <c r="E4756" t="s">
        <v>11</v>
      </c>
      <c r="F4756" s="5">
        <v>42370</v>
      </c>
      <c r="G4756">
        <v>0</v>
      </c>
    </row>
    <row r="4757" spans="1:7" x14ac:dyDescent="0.25">
      <c r="A4757" t="s">
        <v>130</v>
      </c>
      <c r="B4757" t="s">
        <v>132</v>
      </c>
      <c r="C4757">
        <v>2220</v>
      </c>
      <c r="D4757" t="s">
        <v>8</v>
      </c>
      <c r="E4757" t="s">
        <v>11</v>
      </c>
      <c r="F4757" s="5">
        <v>42736</v>
      </c>
      <c r="G4757">
        <v>0</v>
      </c>
    </row>
    <row r="4758" spans="1:7" x14ac:dyDescent="0.25">
      <c r="A4758" t="s">
        <v>130</v>
      </c>
      <c r="B4758" t="s">
        <v>132</v>
      </c>
      <c r="C4758">
        <v>2220</v>
      </c>
      <c r="D4758" t="s">
        <v>8</v>
      </c>
      <c r="E4758" t="s">
        <v>12</v>
      </c>
      <c r="F4758" s="5">
        <v>42370</v>
      </c>
      <c r="G4758">
        <v>0</v>
      </c>
    </row>
    <row r="4759" spans="1:7" x14ac:dyDescent="0.25">
      <c r="A4759" t="s">
        <v>130</v>
      </c>
      <c r="B4759" t="s">
        <v>132</v>
      </c>
      <c r="C4759">
        <v>2220</v>
      </c>
      <c r="D4759" t="s">
        <v>8</v>
      </c>
      <c r="E4759" t="s">
        <v>12</v>
      </c>
      <c r="F4759" s="5">
        <v>42736</v>
      </c>
      <c r="G4759">
        <v>0</v>
      </c>
    </row>
    <row r="4760" spans="1:7" x14ac:dyDescent="0.25">
      <c r="A4760" t="s">
        <v>130</v>
      </c>
      <c r="B4760" t="s">
        <v>132</v>
      </c>
      <c r="C4760">
        <v>2220</v>
      </c>
      <c r="D4760" t="s">
        <v>8</v>
      </c>
      <c r="E4760" t="s">
        <v>13</v>
      </c>
      <c r="F4760" s="5">
        <v>42370</v>
      </c>
      <c r="G4760">
        <v>0</v>
      </c>
    </row>
    <row r="4761" spans="1:7" x14ac:dyDescent="0.25">
      <c r="A4761" t="s">
        <v>130</v>
      </c>
      <c r="B4761" t="s">
        <v>132</v>
      </c>
      <c r="C4761">
        <v>2220</v>
      </c>
      <c r="D4761" t="s">
        <v>8</v>
      </c>
      <c r="E4761" t="s">
        <v>13</v>
      </c>
      <c r="F4761" s="5">
        <v>42736</v>
      </c>
      <c r="G4761">
        <v>0</v>
      </c>
    </row>
    <row r="4762" spans="1:7" x14ac:dyDescent="0.25">
      <c r="A4762" t="s">
        <v>130</v>
      </c>
      <c r="B4762" t="s">
        <v>132</v>
      </c>
      <c r="C4762">
        <v>2220</v>
      </c>
      <c r="D4762" t="s">
        <v>8</v>
      </c>
      <c r="E4762" t="s">
        <v>14</v>
      </c>
      <c r="F4762" s="5">
        <v>42370</v>
      </c>
      <c r="G4762">
        <v>0</v>
      </c>
    </row>
    <row r="4763" spans="1:7" x14ac:dyDescent="0.25">
      <c r="A4763" t="s">
        <v>130</v>
      </c>
      <c r="B4763" t="s">
        <v>132</v>
      </c>
      <c r="C4763">
        <v>2220</v>
      </c>
      <c r="D4763" t="s">
        <v>8</v>
      </c>
      <c r="E4763" t="s">
        <v>14</v>
      </c>
      <c r="F4763" s="5">
        <v>42736</v>
      </c>
      <c r="G4763">
        <v>0</v>
      </c>
    </row>
    <row r="4764" spans="1:7" x14ac:dyDescent="0.25">
      <c r="A4764" t="s">
        <v>130</v>
      </c>
      <c r="B4764" t="s">
        <v>132</v>
      </c>
      <c r="C4764">
        <v>2220</v>
      </c>
      <c r="D4764" t="s">
        <v>8</v>
      </c>
      <c r="E4764" t="s">
        <v>15</v>
      </c>
      <c r="F4764" s="5">
        <v>42370</v>
      </c>
      <c r="G4764">
        <v>0</v>
      </c>
    </row>
    <row r="4765" spans="1:7" x14ac:dyDescent="0.25">
      <c r="A4765" t="s">
        <v>130</v>
      </c>
      <c r="B4765" t="s">
        <v>132</v>
      </c>
      <c r="C4765">
        <v>2220</v>
      </c>
      <c r="D4765" t="s">
        <v>8</v>
      </c>
      <c r="E4765" t="s">
        <v>15</v>
      </c>
      <c r="F4765" s="5">
        <v>42736</v>
      </c>
      <c r="G4765">
        <v>0</v>
      </c>
    </row>
    <row r="4766" spans="1:7" x14ac:dyDescent="0.25">
      <c r="A4766" t="s">
        <v>130</v>
      </c>
      <c r="B4766" t="s">
        <v>132</v>
      </c>
      <c r="C4766">
        <v>2220</v>
      </c>
      <c r="D4766" t="s">
        <v>8</v>
      </c>
      <c r="E4766" t="s">
        <v>16</v>
      </c>
      <c r="F4766" s="5">
        <v>42370</v>
      </c>
      <c r="G4766">
        <v>0</v>
      </c>
    </row>
    <row r="4767" spans="1:7" x14ac:dyDescent="0.25">
      <c r="A4767" t="s">
        <v>130</v>
      </c>
      <c r="B4767" t="s">
        <v>132</v>
      </c>
      <c r="C4767">
        <v>2220</v>
      </c>
      <c r="D4767" t="s">
        <v>8</v>
      </c>
      <c r="E4767" t="s">
        <v>16</v>
      </c>
      <c r="F4767" s="5">
        <v>42736</v>
      </c>
      <c r="G4767">
        <v>0</v>
      </c>
    </row>
    <row r="4768" spans="1:7" x14ac:dyDescent="0.25">
      <c r="A4768" t="s">
        <v>130</v>
      </c>
      <c r="B4768" t="s">
        <v>132</v>
      </c>
      <c r="C4768">
        <v>2220</v>
      </c>
      <c r="D4768" t="s">
        <v>8</v>
      </c>
      <c r="E4768" t="s">
        <v>17</v>
      </c>
      <c r="F4768" s="5">
        <v>42370</v>
      </c>
      <c r="G4768">
        <v>0</v>
      </c>
    </row>
    <row r="4769" spans="1:7" x14ac:dyDescent="0.25">
      <c r="A4769" t="s">
        <v>130</v>
      </c>
      <c r="B4769" t="s">
        <v>132</v>
      </c>
      <c r="C4769">
        <v>2220</v>
      </c>
      <c r="D4769" t="s">
        <v>8</v>
      </c>
      <c r="E4769" t="s">
        <v>17</v>
      </c>
      <c r="F4769" s="5">
        <v>42736</v>
      </c>
      <c r="G4769">
        <v>0</v>
      </c>
    </row>
    <row r="4770" spans="1:7" x14ac:dyDescent="0.25">
      <c r="A4770" t="s">
        <v>130</v>
      </c>
      <c r="B4770" t="s">
        <v>132</v>
      </c>
      <c r="C4770">
        <v>2220</v>
      </c>
      <c r="D4770" t="s">
        <v>8</v>
      </c>
      <c r="E4770" t="s">
        <v>18</v>
      </c>
      <c r="F4770" s="5">
        <v>42370</v>
      </c>
      <c r="G4770">
        <v>0</v>
      </c>
    </row>
    <row r="4771" spans="1:7" x14ac:dyDescent="0.25">
      <c r="A4771" t="s">
        <v>130</v>
      </c>
      <c r="B4771" t="s">
        <v>132</v>
      </c>
      <c r="C4771">
        <v>2220</v>
      </c>
      <c r="D4771" t="s">
        <v>8</v>
      </c>
      <c r="E4771" t="s">
        <v>18</v>
      </c>
      <c r="F4771" s="5">
        <v>42736</v>
      </c>
      <c r="G4771">
        <v>0</v>
      </c>
    </row>
    <row r="4772" spans="1:7" x14ac:dyDescent="0.25">
      <c r="A4772" t="s">
        <v>130</v>
      </c>
      <c r="B4772" t="s">
        <v>132</v>
      </c>
      <c r="C4772">
        <v>2220</v>
      </c>
      <c r="D4772" t="s">
        <v>8</v>
      </c>
      <c r="E4772" t="s">
        <v>19</v>
      </c>
      <c r="F4772" s="5">
        <v>42370</v>
      </c>
      <c r="G4772">
        <v>0</v>
      </c>
    </row>
    <row r="4773" spans="1:7" x14ac:dyDescent="0.25">
      <c r="A4773" t="s">
        <v>130</v>
      </c>
      <c r="B4773" t="s">
        <v>132</v>
      </c>
      <c r="C4773">
        <v>2220</v>
      </c>
      <c r="D4773" t="s">
        <v>8</v>
      </c>
      <c r="E4773" t="s">
        <v>19</v>
      </c>
      <c r="F4773" s="5">
        <v>42736</v>
      </c>
      <c r="G4773">
        <v>0</v>
      </c>
    </row>
    <row r="4774" spans="1:7" x14ac:dyDescent="0.25">
      <c r="A4774" t="s">
        <v>130</v>
      </c>
      <c r="B4774" t="s">
        <v>132</v>
      </c>
      <c r="C4774">
        <v>2220</v>
      </c>
      <c r="D4774" t="s">
        <v>20</v>
      </c>
      <c r="E4774" t="s">
        <v>9</v>
      </c>
      <c r="F4774" s="5">
        <v>42370</v>
      </c>
      <c r="G4774">
        <v>0</v>
      </c>
    </row>
    <row r="4775" spans="1:7" x14ac:dyDescent="0.25">
      <c r="A4775" t="s">
        <v>130</v>
      </c>
      <c r="B4775" t="s">
        <v>132</v>
      </c>
      <c r="C4775">
        <v>2220</v>
      </c>
      <c r="D4775" t="s">
        <v>20</v>
      </c>
      <c r="E4775" t="s">
        <v>9</v>
      </c>
      <c r="F4775" s="5">
        <v>42736</v>
      </c>
      <c r="G4775">
        <v>6</v>
      </c>
    </row>
    <row r="4776" spans="1:7" x14ac:dyDescent="0.25">
      <c r="A4776" t="s">
        <v>130</v>
      </c>
      <c r="B4776" t="s">
        <v>132</v>
      </c>
      <c r="C4776">
        <v>2220</v>
      </c>
      <c r="D4776" t="s">
        <v>20</v>
      </c>
      <c r="E4776" t="s">
        <v>21</v>
      </c>
      <c r="F4776" s="5">
        <v>42370</v>
      </c>
      <c r="G4776">
        <v>0</v>
      </c>
    </row>
    <row r="4777" spans="1:7" x14ac:dyDescent="0.25">
      <c r="A4777" t="s">
        <v>130</v>
      </c>
      <c r="B4777" t="s">
        <v>132</v>
      </c>
      <c r="C4777">
        <v>2220</v>
      </c>
      <c r="D4777" t="s">
        <v>20</v>
      </c>
      <c r="E4777" t="s">
        <v>21</v>
      </c>
      <c r="F4777" s="5">
        <v>42736</v>
      </c>
      <c r="G4777">
        <v>0</v>
      </c>
    </row>
    <row r="4778" spans="1:7" x14ac:dyDescent="0.25">
      <c r="A4778" t="s">
        <v>130</v>
      </c>
      <c r="B4778" t="s">
        <v>132</v>
      </c>
      <c r="C4778">
        <v>2220</v>
      </c>
      <c r="D4778" t="s">
        <v>20</v>
      </c>
      <c r="E4778" t="s">
        <v>22</v>
      </c>
      <c r="F4778" s="5">
        <v>42370</v>
      </c>
      <c r="G4778">
        <v>0</v>
      </c>
    </row>
    <row r="4779" spans="1:7" x14ac:dyDescent="0.25">
      <c r="A4779" t="s">
        <v>130</v>
      </c>
      <c r="B4779" t="s">
        <v>132</v>
      </c>
      <c r="C4779">
        <v>2220</v>
      </c>
      <c r="D4779" t="s">
        <v>20</v>
      </c>
      <c r="E4779" t="s">
        <v>22</v>
      </c>
      <c r="F4779" s="5">
        <v>42736</v>
      </c>
      <c r="G4779">
        <v>0</v>
      </c>
    </row>
    <row r="4780" spans="1:7" x14ac:dyDescent="0.25">
      <c r="A4780" t="s">
        <v>130</v>
      </c>
      <c r="B4780" t="s">
        <v>132</v>
      </c>
      <c r="C4780">
        <v>2220</v>
      </c>
      <c r="D4780" t="s">
        <v>20</v>
      </c>
      <c r="E4780" t="s">
        <v>23</v>
      </c>
      <c r="F4780" s="5">
        <v>42370</v>
      </c>
      <c r="G4780">
        <v>8</v>
      </c>
    </row>
    <row r="4781" spans="1:7" x14ac:dyDescent="0.25">
      <c r="A4781" t="s">
        <v>130</v>
      </c>
      <c r="B4781" t="s">
        <v>132</v>
      </c>
      <c r="C4781">
        <v>2220</v>
      </c>
      <c r="D4781" t="s">
        <v>20</v>
      </c>
      <c r="E4781" t="s">
        <v>23</v>
      </c>
      <c r="F4781" s="5">
        <v>42736</v>
      </c>
      <c r="G4781">
        <v>3</v>
      </c>
    </row>
    <row r="4782" spans="1:7" x14ac:dyDescent="0.25">
      <c r="A4782" t="s">
        <v>130</v>
      </c>
      <c r="B4782" t="s">
        <v>132</v>
      </c>
      <c r="C4782">
        <v>2220</v>
      </c>
      <c r="D4782" t="s">
        <v>20</v>
      </c>
      <c r="E4782" t="s">
        <v>24</v>
      </c>
      <c r="F4782" s="5">
        <v>42370</v>
      </c>
      <c r="G4782">
        <v>0</v>
      </c>
    </row>
    <row r="4783" spans="1:7" x14ac:dyDescent="0.25">
      <c r="A4783" t="s">
        <v>130</v>
      </c>
      <c r="B4783" t="s">
        <v>132</v>
      </c>
      <c r="C4783">
        <v>2220</v>
      </c>
      <c r="D4783" t="s">
        <v>20</v>
      </c>
      <c r="E4783" t="s">
        <v>24</v>
      </c>
      <c r="F4783" s="5">
        <v>42736</v>
      </c>
      <c r="G4783">
        <v>0</v>
      </c>
    </row>
    <row r="4784" spans="1:7" x14ac:dyDescent="0.25">
      <c r="A4784" t="s">
        <v>130</v>
      </c>
      <c r="B4784" t="s">
        <v>132</v>
      </c>
      <c r="C4784">
        <v>2220</v>
      </c>
      <c r="D4784" t="s">
        <v>20</v>
      </c>
      <c r="E4784" t="s">
        <v>25</v>
      </c>
      <c r="F4784" s="5">
        <v>42370</v>
      </c>
      <c r="G4784">
        <v>0</v>
      </c>
    </row>
    <row r="4785" spans="1:7" x14ac:dyDescent="0.25">
      <c r="A4785" t="s">
        <v>130</v>
      </c>
      <c r="B4785" t="s">
        <v>132</v>
      </c>
      <c r="C4785">
        <v>2220</v>
      </c>
      <c r="D4785" t="s">
        <v>20</v>
      </c>
      <c r="E4785" t="s">
        <v>25</v>
      </c>
      <c r="F4785" s="5">
        <v>42736</v>
      </c>
      <c r="G4785">
        <v>0</v>
      </c>
    </row>
    <row r="4786" spans="1:7" x14ac:dyDescent="0.25">
      <c r="A4786" t="s">
        <v>130</v>
      </c>
      <c r="B4786" t="s">
        <v>132</v>
      </c>
      <c r="C4786">
        <v>2220</v>
      </c>
      <c r="D4786" t="s">
        <v>20</v>
      </c>
      <c r="E4786" t="s">
        <v>26</v>
      </c>
      <c r="F4786" s="5">
        <v>42370</v>
      </c>
      <c r="G4786">
        <v>32</v>
      </c>
    </row>
    <row r="4787" spans="1:7" x14ac:dyDescent="0.25">
      <c r="A4787" t="s">
        <v>130</v>
      </c>
      <c r="B4787" t="s">
        <v>132</v>
      </c>
      <c r="C4787">
        <v>2220</v>
      </c>
      <c r="D4787" t="s">
        <v>20</v>
      </c>
      <c r="E4787" t="s">
        <v>26</v>
      </c>
      <c r="F4787" s="5">
        <v>42736</v>
      </c>
      <c r="G4787">
        <v>39</v>
      </c>
    </row>
    <row r="4788" spans="1:7" x14ac:dyDescent="0.25">
      <c r="A4788" t="s">
        <v>130</v>
      </c>
      <c r="B4788" t="s">
        <v>132</v>
      </c>
      <c r="C4788">
        <v>2220</v>
      </c>
      <c r="D4788" t="s">
        <v>20</v>
      </c>
      <c r="E4788" t="s">
        <v>27</v>
      </c>
      <c r="F4788" s="5">
        <v>42370</v>
      </c>
      <c r="G4788">
        <v>0</v>
      </c>
    </row>
    <row r="4789" spans="1:7" x14ac:dyDescent="0.25">
      <c r="A4789" t="s">
        <v>130</v>
      </c>
      <c r="B4789" t="s">
        <v>132</v>
      </c>
      <c r="C4789">
        <v>2220</v>
      </c>
      <c r="D4789" t="s">
        <v>20</v>
      </c>
      <c r="E4789" t="s">
        <v>27</v>
      </c>
      <c r="F4789" s="5">
        <v>42736</v>
      </c>
      <c r="G4789">
        <v>0</v>
      </c>
    </row>
    <row r="4790" spans="1:7" x14ac:dyDescent="0.25">
      <c r="A4790" t="s">
        <v>130</v>
      </c>
      <c r="B4790" t="s">
        <v>132</v>
      </c>
      <c r="C4790">
        <v>2220</v>
      </c>
      <c r="D4790" t="s">
        <v>20</v>
      </c>
      <c r="E4790" t="s">
        <v>28</v>
      </c>
      <c r="F4790" s="5">
        <v>42370</v>
      </c>
      <c r="G4790">
        <v>0</v>
      </c>
    </row>
    <row r="4791" spans="1:7" x14ac:dyDescent="0.25">
      <c r="A4791" t="s">
        <v>130</v>
      </c>
      <c r="B4791" t="s">
        <v>132</v>
      </c>
      <c r="C4791">
        <v>2220</v>
      </c>
      <c r="D4791" t="s">
        <v>20</v>
      </c>
      <c r="E4791" t="s">
        <v>28</v>
      </c>
      <c r="F4791" s="5">
        <v>42736</v>
      </c>
      <c r="G4791">
        <v>0</v>
      </c>
    </row>
    <row r="4792" spans="1:7" x14ac:dyDescent="0.25">
      <c r="A4792" t="s">
        <v>130</v>
      </c>
      <c r="B4792" t="s">
        <v>132</v>
      </c>
      <c r="C4792">
        <v>2220</v>
      </c>
      <c r="D4792" t="s">
        <v>20</v>
      </c>
      <c r="E4792" t="s">
        <v>29</v>
      </c>
      <c r="F4792" s="5">
        <v>42370</v>
      </c>
      <c r="G4792">
        <v>37</v>
      </c>
    </row>
    <row r="4793" spans="1:7" x14ac:dyDescent="0.25">
      <c r="A4793" t="s">
        <v>130</v>
      </c>
      <c r="B4793" t="s">
        <v>132</v>
      </c>
      <c r="C4793">
        <v>2220</v>
      </c>
      <c r="D4793" t="s">
        <v>20</v>
      </c>
      <c r="E4793" t="s">
        <v>29</v>
      </c>
      <c r="F4793" s="5">
        <v>42736</v>
      </c>
      <c r="G4793">
        <v>39</v>
      </c>
    </row>
    <row r="4794" spans="1:7" x14ac:dyDescent="0.25">
      <c r="A4794" t="s">
        <v>130</v>
      </c>
      <c r="B4794" t="s">
        <v>132</v>
      </c>
      <c r="C4794">
        <v>2220</v>
      </c>
      <c r="D4794" t="s">
        <v>20</v>
      </c>
      <c r="E4794" t="s">
        <v>30</v>
      </c>
      <c r="F4794" s="5">
        <v>42370</v>
      </c>
      <c r="G4794">
        <v>32</v>
      </c>
    </row>
    <row r="4795" spans="1:7" x14ac:dyDescent="0.25">
      <c r="A4795" t="s">
        <v>130</v>
      </c>
      <c r="B4795" t="s">
        <v>132</v>
      </c>
      <c r="C4795">
        <v>2220</v>
      </c>
      <c r="D4795" t="s">
        <v>20</v>
      </c>
      <c r="E4795" t="s">
        <v>30</v>
      </c>
      <c r="F4795" s="5">
        <v>42736</v>
      </c>
      <c r="G4795">
        <v>38</v>
      </c>
    </row>
    <row r="4796" spans="1:7" x14ac:dyDescent="0.25">
      <c r="A4796" t="s">
        <v>130</v>
      </c>
      <c r="B4796" t="s">
        <v>132</v>
      </c>
      <c r="C4796">
        <v>2220</v>
      </c>
      <c r="D4796" t="s">
        <v>20</v>
      </c>
      <c r="E4796" t="s">
        <v>31</v>
      </c>
      <c r="F4796" s="5">
        <v>42370</v>
      </c>
      <c r="G4796">
        <v>52</v>
      </c>
    </row>
    <row r="4797" spans="1:7" x14ac:dyDescent="0.25">
      <c r="A4797" t="s">
        <v>130</v>
      </c>
      <c r="B4797" t="s">
        <v>132</v>
      </c>
      <c r="C4797">
        <v>2220</v>
      </c>
      <c r="D4797" t="s">
        <v>20</v>
      </c>
      <c r="E4797" t="s">
        <v>31</v>
      </c>
      <c r="F4797" s="5">
        <v>42736</v>
      </c>
      <c r="G4797">
        <v>107</v>
      </c>
    </row>
    <row r="4798" spans="1:7" x14ac:dyDescent="0.25">
      <c r="A4798" t="s">
        <v>130</v>
      </c>
      <c r="B4798" t="s">
        <v>132</v>
      </c>
      <c r="C4798">
        <v>2220</v>
      </c>
      <c r="D4798" t="s">
        <v>20</v>
      </c>
      <c r="E4798" t="s">
        <v>32</v>
      </c>
      <c r="F4798" s="5">
        <v>42370</v>
      </c>
      <c r="G4798">
        <v>36</v>
      </c>
    </row>
    <row r="4799" spans="1:7" x14ac:dyDescent="0.25">
      <c r="A4799" t="s">
        <v>130</v>
      </c>
      <c r="B4799" t="s">
        <v>132</v>
      </c>
      <c r="C4799">
        <v>2220</v>
      </c>
      <c r="D4799" t="s">
        <v>20</v>
      </c>
      <c r="E4799" t="s">
        <v>32</v>
      </c>
      <c r="F4799" s="5">
        <v>42736</v>
      </c>
      <c r="G4799">
        <v>39</v>
      </c>
    </row>
    <row r="4800" spans="1:7" x14ac:dyDescent="0.25">
      <c r="A4800" t="s">
        <v>130</v>
      </c>
      <c r="B4800" t="s">
        <v>132</v>
      </c>
      <c r="C4800">
        <v>2220</v>
      </c>
      <c r="D4800" t="s">
        <v>33</v>
      </c>
      <c r="E4800" t="s">
        <v>9</v>
      </c>
      <c r="F4800" s="5">
        <v>42370</v>
      </c>
      <c r="G4800">
        <v>0</v>
      </c>
    </row>
    <row r="4801" spans="1:7" x14ac:dyDescent="0.25">
      <c r="A4801" t="s">
        <v>130</v>
      </c>
      <c r="B4801" t="s">
        <v>132</v>
      </c>
      <c r="C4801">
        <v>2220</v>
      </c>
      <c r="D4801" t="s">
        <v>33</v>
      </c>
      <c r="E4801" t="s">
        <v>9</v>
      </c>
      <c r="F4801" s="5">
        <v>42736</v>
      </c>
      <c r="G4801">
        <v>0</v>
      </c>
    </row>
    <row r="4802" spans="1:7" x14ac:dyDescent="0.25">
      <c r="A4802" t="s">
        <v>130</v>
      </c>
      <c r="B4802" t="s">
        <v>132</v>
      </c>
      <c r="C4802">
        <v>2220</v>
      </c>
      <c r="D4802" t="s">
        <v>33</v>
      </c>
      <c r="E4802" t="s">
        <v>34</v>
      </c>
      <c r="F4802" s="5">
        <v>42370</v>
      </c>
      <c r="G4802">
        <v>0</v>
      </c>
    </row>
    <row r="4803" spans="1:7" x14ac:dyDescent="0.25">
      <c r="A4803" t="s">
        <v>130</v>
      </c>
      <c r="B4803" t="s">
        <v>132</v>
      </c>
      <c r="C4803">
        <v>2220</v>
      </c>
      <c r="D4803" t="s">
        <v>33</v>
      </c>
      <c r="E4803" t="s">
        <v>34</v>
      </c>
      <c r="F4803" s="5">
        <v>42736</v>
      </c>
      <c r="G4803">
        <v>0</v>
      </c>
    </row>
    <row r="4804" spans="1:7" x14ac:dyDescent="0.25">
      <c r="A4804" t="s">
        <v>130</v>
      </c>
      <c r="B4804" t="s">
        <v>132</v>
      </c>
      <c r="C4804">
        <v>2220</v>
      </c>
      <c r="D4804" t="s">
        <v>35</v>
      </c>
      <c r="E4804" t="s">
        <v>36</v>
      </c>
      <c r="F4804" s="5">
        <v>42370</v>
      </c>
      <c r="G4804">
        <v>0</v>
      </c>
    </row>
    <row r="4805" spans="1:7" x14ac:dyDescent="0.25">
      <c r="A4805" t="s">
        <v>130</v>
      </c>
      <c r="B4805" t="s">
        <v>132</v>
      </c>
      <c r="C4805">
        <v>2220</v>
      </c>
      <c r="D4805" t="s">
        <v>35</v>
      </c>
      <c r="E4805" t="s">
        <v>36</v>
      </c>
      <c r="F4805" s="5">
        <v>42736</v>
      </c>
      <c r="G4805">
        <v>0</v>
      </c>
    </row>
    <row r="4806" spans="1:7" x14ac:dyDescent="0.25">
      <c r="A4806" t="s">
        <v>130</v>
      </c>
      <c r="B4806" t="s">
        <v>132</v>
      </c>
      <c r="C4806">
        <v>2220</v>
      </c>
      <c r="D4806" t="s">
        <v>35</v>
      </c>
      <c r="E4806" t="s">
        <v>37</v>
      </c>
      <c r="F4806" s="5">
        <v>42370</v>
      </c>
      <c r="G4806">
        <v>0</v>
      </c>
    </row>
    <row r="4807" spans="1:7" x14ac:dyDescent="0.25">
      <c r="A4807" t="s">
        <v>130</v>
      </c>
      <c r="B4807" t="s">
        <v>132</v>
      </c>
      <c r="C4807">
        <v>2220</v>
      </c>
      <c r="D4807" t="s">
        <v>35</v>
      </c>
      <c r="E4807" t="s">
        <v>37</v>
      </c>
      <c r="F4807" s="5">
        <v>42736</v>
      </c>
      <c r="G4807">
        <v>0</v>
      </c>
    </row>
    <row r="4808" spans="1:7" x14ac:dyDescent="0.25">
      <c r="A4808" t="s">
        <v>130</v>
      </c>
      <c r="B4808" t="s">
        <v>132</v>
      </c>
      <c r="C4808">
        <v>2220</v>
      </c>
      <c r="D4808" t="s">
        <v>35</v>
      </c>
      <c r="E4808" t="s">
        <v>38</v>
      </c>
      <c r="F4808" s="5">
        <v>42370</v>
      </c>
      <c r="G4808">
        <v>0</v>
      </c>
    </row>
    <row r="4809" spans="1:7" x14ac:dyDescent="0.25">
      <c r="A4809" t="s">
        <v>130</v>
      </c>
      <c r="B4809" t="s">
        <v>132</v>
      </c>
      <c r="C4809">
        <v>2220</v>
      </c>
      <c r="D4809" t="s">
        <v>35</v>
      </c>
      <c r="E4809" t="s">
        <v>38</v>
      </c>
      <c r="F4809" s="5">
        <v>42736</v>
      </c>
      <c r="G4809">
        <v>0</v>
      </c>
    </row>
    <row r="4810" spans="1:7" x14ac:dyDescent="0.25">
      <c r="A4810" t="s">
        <v>130</v>
      </c>
      <c r="B4810" t="s">
        <v>132</v>
      </c>
      <c r="C4810">
        <v>2220</v>
      </c>
      <c r="D4810" t="s">
        <v>35</v>
      </c>
      <c r="E4810" t="s">
        <v>39</v>
      </c>
      <c r="F4810" s="5">
        <v>42370</v>
      </c>
      <c r="G4810">
        <v>0</v>
      </c>
    </row>
    <row r="4811" spans="1:7" x14ac:dyDescent="0.25">
      <c r="A4811" t="s">
        <v>130</v>
      </c>
      <c r="B4811" t="s">
        <v>132</v>
      </c>
      <c r="C4811">
        <v>2220</v>
      </c>
      <c r="D4811" t="s">
        <v>35</v>
      </c>
      <c r="E4811" t="s">
        <v>39</v>
      </c>
      <c r="F4811" s="5">
        <v>42736</v>
      </c>
      <c r="G4811">
        <v>0</v>
      </c>
    </row>
    <row r="4812" spans="1:7" x14ac:dyDescent="0.25">
      <c r="A4812" t="s">
        <v>130</v>
      </c>
      <c r="B4812" t="s">
        <v>132</v>
      </c>
      <c r="C4812">
        <v>2220</v>
      </c>
      <c r="D4812" t="s">
        <v>35</v>
      </c>
      <c r="E4812" t="s">
        <v>40</v>
      </c>
      <c r="F4812" s="5">
        <v>42370</v>
      </c>
      <c r="G4812">
        <v>0</v>
      </c>
    </row>
    <row r="4813" spans="1:7" x14ac:dyDescent="0.25">
      <c r="A4813" t="s">
        <v>130</v>
      </c>
      <c r="B4813" t="s">
        <v>132</v>
      </c>
      <c r="C4813">
        <v>2220</v>
      </c>
      <c r="D4813" t="s">
        <v>35</v>
      </c>
      <c r="E4813" t="s">
        <v>40</v>
      </c>
      <c r="F4813" s="5">
        <v>42736</v>
      </c>
      <c r="G4813">
        <v>0</v>
      </c>
    </row>
    <row r="4814" spans="1:7" x14ac:dyDescent="0.25">
      <c r="A4814" t="s">
        <v>130</v>
      </c>
      <c r="B4814" t="s">
        <v>132</v>
      </c>
      <c r="C4814">
        <v>2220</v>
      </c>
      <c r="D4814" t="s">
        <v>35</v>
      </c>
      <c r="E4814" t="s">
        <v>41</v>
      </c>
      <c r="F4814" s="5">
        <v>42370</v>
      </c>
      <c r="G4814">
        <v>0</v>
      </c>
    </row>
    <row r="4815" spans="1:7" x14ac:dyDescent="0.25">
      <c r="A4815" t="s">
        <v>130</v>
      </c>
      <c r="B4815" t="s">
        <v>132</v>
      </c>
      <c r="C4815">
        <v>2220</v>
      </c>
      <c r="D4815" t="s">
        <v>35</v>
      </c>
      <c r="E4815" t="s">
        <v>41</v>
      </c>
      <c r="F4815" s="5">
        <v>42736</v>
      </c>
      <c r="G4815">
        <v>0</v>
      </c>
    </row>
    <row r="4816" spans="1:7" x14ac:dyDescent="0.25">
      <c r="A4816" t="s">
        <v>130</v>
      </c>
      <c r="B4816" t="s">
        <v>132</v>
      </c>
      <c r="C4816">
        <v>2220</v>
      </c>
      <c r="D4816" t="s">
        <v>35</v>
      </c>
      <c r="E4816" t="s">
        <v>42</v>
      </c>
      <c r="F4816" s="5">
        <v>42370</v>
      </c>
      <c r="G4816">
        <v>0</v>
      </c>
    </row>
    <row r="4817" spans="1:7" x14ac:dyDescent="0.25">
      <c r="A4817" t="s">
        <v>130</v>
      </c>
      <c r="B4817" t="s">
        <v>132</v>
      </c>
      <c r="C4817">
        <v>2220</v>
      </c>
      <c r="D4817" t="s">
        <v>35</v>
      </c>
      <c r="E4817" t="s">
        <v>42</v>
      </c>
      <c r="F4817" s="5">
        <v>42736</v>
      </c>
      <c r="G4817">
        <v>0</v>
      </c>
    </row>
    <row r="4818" spans="1:7" x14ac:dyDescent="0.25">
      <c r="A4818" t="s">
        <v>130</v>
      </c>
      <c r="B4818" t="s">
        <v>132</v>
      </c>
      <c r="C4818">
        <v>2220</v>
      </c>
      <c r="D4818" t="s">
        <v>35</v>
      </c>
      <c r="E4818" t="s">
        <v>43</v>
      </c>
      <c r="F4818" s="5">
        <v>42370</v>
      </c>
      <c r="G4818">
        <v>0</v>
      </c>
    </row>
    <row r="4819" spans="1:7" x14ac:dyDescent="0.25">
      <c r="A4819" t="s">
        <v>130</v>
      </c>
      <c r="B4819" t="s">
        <v>132</v>
      </c>
      <c r="C4819">
        <v>2220</v>
      </c>
      <c r="D4819" t="s">
        <v>35</v>
      </c>
      <c r="E4819" t="s">
        <v>43</v>
      </c>
      <c r="F4819" s="5">
        <v>42736</v>
      </c>
      <c r="G4819">
        <v>0</v>
      </c>
    </row>
    <row r="4820" spans="1:7" x14ac:dyDescent="0.25">
      <c r="A4820" t="s">
        <v>130</v>
      </c>
      <c r="B4820" t="s">
        <v>132</v>
      </c>
      <c r="C4820">
        <v>2220</v>
      </c>
      <c r="D4820" t="s">
        <v>44</v>
      </c>
      <c r="E4820" t="s">
        <v>36</v>
      </c>
      <c r="F4820" s="5">
        <v>42370</v>
      </c>
      <c r="G4820">
        <v>0</v>
      </c>
    </row>
    <row r="4821" spans="1:7" x14ac:dyDescent="0.25">
      <c r="A4821" t="s">
        <v>130</v>
      </c>
      <c r="B4821" t="s">
        <v>132</v>
      </c>
      <c r="C4821">
        <v>2220</v>
      </c>
      <c r="D4821" t="s">
        <v>44</v>
      </c>
      <c r="E4821" t="s">
        <v>36</v>
      </c>
      <c r="F4821" s="5">
        <v>42736</v>
      </c>
      <c r="G4821">
        <v>0</v>
      </c>
    </row>
    <row r="4822" spans="1:7" x14ac:dyDescent="0.25">
      <c r="A4822" t="s">
        <v>130</v>
      </c>
      <c r="B4822" t="s">
        <v>132</v>
      </c>
      <c r="C4822">
        <v>2220</v>
      </c>
      <c r="D4822" t="s">
        <v>44</v>
      </c>
      <c r="E4822" t="s">
        <v>37</v>
      </c>
      <c r="F4822" s="5">
        <v>42370</v>
      </c>
      <c r="G4822">
        <v>0</v>
      </c>
    </row>
    <row r="4823" spans="1:7" x14ac:dyDescent="0.25">
      <c r="A4823" t="s">
        <v>130</v>
      </c>
      <c r="B4823" t="s">
        <v>132</v>
      </c>
      <c r="C4823">
        <v>2220</v>
      </c>
      <c r="D4823" t="s">
        <v>44</v>
      </c>
      <c r="E4823" t="s">
        <v>37</v>
      </c>
      <c r="F4823" s="5">
        <v>42736</v>
      </c>
      <c r="G4823">
        <v>0</v>
      </c>
    </row>
    <row r="4824" spans="1:7" x14ac:dyDescent="0.25">
      <c r="A4824" t="s">
        <v>130</v>
      </c>
      <c r="B4824" t="s">
        <v>132</v>
      </c>
      <c r="C4824">
        <v>2220</v>
      </c>
      <c r="D4824" t="s">
        <v>44</v>
      </c>
      <c r="E4824" t="s">
        <v>38</v>
      </c>
      <c r="F4824" s="5">
        <v>42370</v>
      </c>
      <c r="G4824">
        <v>0</v>
      </c>
    </row>
    <row r="4825" spans="1:7" x14ac:dyDescent="0.25">
      <c r="A4825" t="s">
        <v>130</v>
      </c>
      <c r="B4825" t="s">
        <v>132</v>
      </c>
      <c r="C4825">
        <v>2220</v>
      </c>
      <c r="D4825" t="s">
        <v>44</v>
      </c>
      <c r="E4825" t="s">
        <v>38</v>
      </c>
      <c r="F4825" s="5">
        <v>42736</v>
      </c>
      <c r="G4825">
        <v>0</v>
      </c>
    </row>
    <row r="4826" spans="1:7" x14ac:dyDescent="0.25">
      <c r="A4826" t="s">
        <v>130</v>
      </c>
      <c r="B4826" t="s">
        <v>132</v>
      </c>
      <c r="C4826">
        <v>2220</v>
      </c>
      <c r="D4826" t="s">
        <v>44</v>
      </c>
      <c r="E4826" t="s">
        <v>39</v>
      </c>
      <c r="F4826" s="5">
        <v>42370</v>
      </c>
      <c r="G4826">
        <v>0</v>
      </c>
    </row>
    <row r="4827" spans="1:7" x14ac:dyDescent="0.25">
      <c r="A4827" t="s">
        <v>130</v>
      </c>
      <c r="B4827" t="s">
        <v>132</v>
      </c>
      <c r="C4827">
        <v>2220</v>
      </c>
      <c r="D4827" t="s">
        <v>44</v>
      </c>
      <c r="E4827" t="s">
        <v>39</v>
      </c>
      <c r="F4827" s="5">
        <v>42736</v>
      </c>
      <c r="G4827">
        <v>0</v>
      </c>
    </row>
    <row r="4828" spans="1:7" x14ac:dyDescent="0.25">
      <c r="A4828" t="s">
        <v>130</v>
      </c>
      <c r="B4828" t="s">
        <v>132</v>
      </c>
      <c r="C4828">
        <v>2220</v>
      </c>
      <c r="D4828" t="s">
        <v>44</v>
      </c>
      <c r="E4828" t="s">
        <v>40</v>
      </c>
      <c r="F4828" s="5">
        <v>42370</v>
      </c>
      <c r="G4828">
        <v>0</v>
      </c>
    </row>
    <row r="4829" spans="1:7" x14ac:dyDescent="0.25">
      <c r="A4829" t="s">
        <v>130</v>
      </c>
      <c r="B4829" t="s">
        <v>132</v>
      </c>
      <c r="C4829">
        <v>2220</v>
      </c>
      <c r="D4829" t="s">
        <v>44</v>
      </c>
      <c r="E4829" t="s">
        <v>40</v>
      </c>
      <c r="F4829" s="5">
        <v>42736</v>
      </c>
      <c r="G4829">
        <v>0</v>
      </c>
    </row>
    <row r="4830" spans="1:7" x14ac:dyDescent="0.25">
      <c r="A4830" t="s">
        <v>130</v>
      </c>
      <c r="B4830" t="s">
        <v>132</v>
      </c>
      <c r="C4830">
        <v>2220</v>
      </c>
      <c r="D4830" t="s">
        <v>44</v>
      </c>
      <c r="E4830" t="s">
        <v>41</v>
      </c>
      <c r="F4830" s="5">
        <v>42370</v>
      </c>
      <c r="G4830">
        <v>0</v>
      </c>
    </row>
    <row r="4831" spans="1:7" x14ac:dyDescent="0.25">
      <c r="A4831" t="s">
        <v>130</v>
      </c>
      <c r="B4831" t="s">
        <v>132</v>
      </c>
      <c r="C4831">
        <v>2220</v>
      </c>
      <c r="D4831" t="s">
        <v>44</v>
      </c>
      <c r="E4831" t="s">
        <v>41</v>
      </c>
      <c r="F4831" s="5">
        <v>42736</v>
      </c>
      <c r="G4831">
        <v>0</v>
      </c>
    </row>
    <row r="4832" spans="1:7" x14ac:dyDescent="0.25">
      <c r="A4832" t="s">
        <v>130</v>
      </c>
      <c r="B4832" t="s">
        <v>132</v>
      </c>
      <c r="C4832">
        <v>2220</v>
      </c>
      <c r="D4832" t="s">
        <v>44</v>
      </c>
      <c r="E4832" t="s">
        <v>42</v>
      </c>
      <c r="F4832" s="5">
        <v>42370</v>
      </c>
      <c r="G4832">
        <v>0</v>
      </c>
    </row>
    <row r="4833" spans="1:7" x14ac:dyDescent="0.25">
      <c r="A4833" t="s">
        <v>130</v>
      </c>
      <c r="B4833" t="s">
        <v>132</v>
      </c>
      <c r="C4833">
        <v>2220</v>
      </c>
      <c r="D4833" t="s">
        <v>44</v>
      </c>
      <c r="E4833" t="s">
        <v>42</v>
      </c>
      <c r="F4833" s="5">
        <v>42736</v>
      </c>
      <c r="G4833">
        <v>0</v>
      </c>
    </row>
    <row r="4834" spans="1:7" x14ac:dyDescent="0.25">
      <c r="A4834" t="s">
        <v>130</v>
      </c>
      <c r="B4834" t="s">
        <v>132</v>
      </c>
      <c r="C4834">
        <v>2220</v>
      </c>
      <c r="D4834" t="s">
        <v>44</v>
      </c>
      <c r="E4834" t="s">
        <v>43</v>
      </c>
      <c r="F4834" s="5">
        <v>42370</v>
      </c>
      <c r="G4834">
        <v>0</v>
      </c>
    </row>
    <row r="4835" spans="1:7" x14ac:dyDescent="0.25">
      <c r="A4835" t="s">
        <v>130</v>
      </c>
      <c r="B4835" t="s">
        <v>132</v>
      </c>
      <c r="C4835">
        <v>2220</v>
      </c>
      <c r="D4835" t="s">
        <v>44</v>
      </c>
      <c r="E4835" t="s">
        <v>43</v>
      </c>
      <c r="F4835" s="5">
        <v>42736</v>
      </c>
      <c r="G4835">
        <v>0</v>
      </c>
    </row>
    <row r="4836" spans="1:7" x14ac:dyDescent="0.25">
      <c r="A4836" t="s">
        <v>130</v>
      </c>
      <c r="B4836" t="s">
        <v>132</v>
      </c>
      <c r="C4836">
        <v>2220</v>
      </c>
      <c r="D4836" t="s">
        <v>45</v>
      </c>
      <c r="E4836" t="s">
        <v>46</v>
      </c>
      <c r="F4836" s="5">
        <v>42370</v>
      </c>
      <c r="G4836">
        <v>0</v>
      </c>
    </row>
    <row r="4837" spans="1:7" x14ac:dyDescent="0.25">
      <c r="A4837" t="s">
        <v>130</v>
      </c>
      <c r="B4837" t="s">
        <v>132</v>
      </c>
      <c r="C4837">
        <v>2220</v>
      </c>
      <c r="D4837" t="s">
        <v>45</v>
      </c>
      <c r="E4837" t="s">
        <v>46</v>
      </c>
      <c r="F4837" s="5">
        <v>42736</v>
      </c>
      <c r="G4837">
        <v>0</v>
      </c>
    </row>
    <row r="4838" spans="1:7" x14ac:dyDescent="0.25">
      <c r="A4838" t="s">
        <v>130</v>
      </c>
      <c r="B4838" t="s">
        <v>132</v>
      </c>
      <c r="C4838">
        <v>2220</v>
      </c>
      <c r="D4838" t="s">
        <v>45</v>
      </c>
      <c r="E4838" t="s">
        <v>47</v>
      </c>
      <c r="F4838" s="5">
        <v>42370</v>
      </c>
      <c r="G4838">
        <v>0</v>
      </c>
    </row>
    <row r="4839" spans="1:7" x14ac:dyDescent="0.25">
      <c r="A4839" t="s">
        <v>130</v>
      </c>
      <c r="B4839" t="s">
        <v>132</v>
      </c>
      <c r="C4839">
        <v>2220</v>
      </c>
      <c r="D4839" t="s">
        <v>45</v>
      </c>
      <c r="E4839" t="s">
        <v>47</v>
      </c>
      <c r="F4839" s="5">
        <v>42736</v>
      </c>
      <c r="G4839">
        <v>0</v>
      </c>
    </row>
    <row r="4840" spans="1:7" x14ac:dyDescent="0.25">
      <c r="A4840" t="s">
        <v>130</v>
      </c>
      <c r="B4840" t="s">
        <v>132</v>
      </c>
      <c r="C4840">
        <v>2220</v>
      </c>
      <c r="D4840" t="s">
        <v>45</v>
      </c>
      <c r="E4840" t="s">
        <v>48</v>
      </c>
      <c r="F4840" s="5">
        <v>42370</v>
      </c>
      <c r="G4840">
        <v>7</v>
      </c>
    </row>
    <row r="4841" spans="1:7" x14ac:dyDescent="0.25">
      <c r="A4841" t="s">
        <v>130</v>
      </c>
      <c r="B4841" t="s">
        <v>132</v>
      </c>
      <c r="C4841">
        <v>2220</v>
      </c>
      <c r="D4841" t="s">
        <v>45</v>
      </c>
      <c r="E4841" t="s">
        <v>48</v>
      </c>
      <c r="F4841" s="5">
        <v>42736</v>
      </c>
      <c r="G4841">
        <v>7</v>
      </c>
    </row>
    <row r="4842" spans="1:7" x14ac:dyDescent="0.25">
      <c r="A4842" t="s">
        <v>130</v>
      </c>
      <c r="B4842" t="s">
        <v>132</v>
      </c>
      <c r="C4842">
        <v>2220</v>
      </c>
      <c r="D4842" t="s">
        <v>45</v>
      </c>
      <c r="E4842" t="s">
        <v>49</v>
      </c>
      <c r="F4842" s="5">
        <v>42370</v>
      </c>
      <c r="G4842">
        <v>0</v>
      </c>
    </row>
    <row r="4843" spans="1:7" x14ac:dyDescent="0.25">
      <c r="A4843" t="s">
        <v>130</v>
      </c>
      <c r="B4843" t="s">
        <v>132</v>
      </c>
      <c r="C4843">
        <v>2220</v>
      </c>
      <c r="D4843" t="s">
        <v>45</v>
      </c>
      <c r="E4843" t="s">
        <v>49</v>
      </c>
      <c r="F4843" s="5">
        <v>42736</v>
      </c>
      <c r="G4843">
        <v>0</v>
      </c>
    </row>
    <row r="4844" spans="1:7" x14ac:dyDescent="0.25">
      <c r="A4844" t="s">
        <v>130</v>
      </c>
      <c r="B4844" t="s">
        <v>132</v>
      </c>
      <c r="C4844">
        <v>2220</v>
      </c>
      <c r="D4844" t="s">
        <v>45</v>
      </c>
      <c r="E4844" t="s">
        <v>50</v>
      </c>
      <c r="F4844" s="5">
        <v>42370</v>
      </c>
      <c r="G4844">
        <v>0</v>
      </c>
    </row>
    <row r="4845" spans="1:7" x14ac:dyDescent="0.25">
      <c r="A4845" t="s">
        <v>130</v>
      </c>
      <c r="B4845" t="s">
        <v>132</v>
      </c>
      <c r="C4845">
        <v>2220</v>
      </c>
      <c r="D4845" t="s">
        <v>45</v>
      </c>
      <c r="E4845" t="s">
        <v>50</v>
      </c>
      <c r="F4845" s="5">
        <v>42736</v>
      </c>
      <c r="G4845">
        <v>0</v>
      </c>
    </row>
    <row r="4846" spans="1:7" x14ac:dyDescent="0.25">
      <c r="A4846" t="s">
        <v>130</v>
      </c>
      <c r="B4846" t="s">
        <v>132</v>
      </c>
      <c r="C4846">
        <v>2220</v>
      </c>
      <c r="D4846" t="s">
        <v>45</v>
      </c>
      <c r="E4846" t="s">
        <v>51</v>
      </c>
      <c r="F4846" s="5">
        <v>42370</v>
      </c>
      <c r="G4846">
        <v>0</v>
      </c>
    </row>
    <row r="4847" spans="1:7" x14ac:dyDescent="0.25">
      <c r="A4847" t="s">
        <v>130</v>
      </c>
      <c r="B4847" t="s">
        <v>132</v>
      </c>
      <c r="C4847">
        <v>2220</v>
      </c>
      <c r="D4847" t="s">
        <v>45</v>
      </c>
      <c r="E4847" t="s">
        <v>51</v>
      </c>
      <c r="F4847" s="5">
        <v>42736</v>
      </c>
      <c r="G4847">
        <v>0</v>
      </c>
    </row>
    <row r="4848" spans="1:7" x14ac:dyDescent="0.25">
      <c r="A4848" t="s">
        <v>130</v>
      </c>
      <c r="B4848" t="s">
        <v>132</v>
      </c>
      <c r="C4848">
        <v>2220</v>
      </c>
      <c r="D4848" t="s">
        <v>45</v>
      </c>
      <c r="E4848" t="s">
        <v>52</v>
      </c>
      <c r="F4848" s="5">
        <v>42370</v>
      </c>
      <c r="G4848">
        <v>0</v>
      </c>
    </row>
    <row r="4849" spans="1:7" x14ac:dyDescent="0.25">
      <c r="A4849" t="s">
        <v>130</v>
      </c>
      <c r="B4849" t="s">
        <v>132</v>
      </c>
      <c r="C4849">
        <v>2220</v>
      </c>
      <c r="D4849" t="s">
        <v>45</v>
      </c>
      <c r="E4849" t="s">
        <v>52</v>
      </c>
      <c r="F4849" s="5">
        <v>42736</v>
      </c>
      <c r="G4849">
        <v>0</v>
      </c>
    </row>
    <row r="4850" spans="1:7" x14ac:dyDescent="0.25">
      <c r="A4850" t="s">
        <v>130</v>
      </c>
      <c r="B4850" t="s">
        <v>132</v>
      </c>
      <c r="C4850">
        <v>2220</v>
      </c>
      <c r="D4850" t="s">
        <v>45</v>
      </c>
      <c r="E4850" t="s">
        <v>53</v>
      </c>
      <c r="F4850" s="5">
        <v>42370</v>
      </c>
      <c r="G4850">
        <v>2</v>
      </c>
    </row>
    <row r="4851" spans="1:7" x14ac:dyDescent="0.25">
      <c r="A4851" t="s">
        <v>130</v>
      </c>
      <c r="B4851" t="s">
        <v>132</v>
      </c>
      <c r="C4851">
        <v>2220</v>
      </c>
      <c r="D4851" t="s">
        <v>45</v>
      </c>
      <c r="E4851" t="s">
        <v>53</v>
      </c>
      <c r="F4851" s="5">
        <v>42736</v>
      </c>
      <c r="G4851">
        <v>0</v>
      </c>
    </row>
    <row r="4852" spans="1:7" x14ac:dyDescent="0.25">
      <c r="A4852" t="s">
        <v>130</v>
      </c>
      <c r="B4852" t="s">
        <v>132</v>
      </c>
      <c r="C4852">
        <v>2220</v>
      </c>
      <c r="D4852" t="s">
        <v>45</v>
      </c>
      <c r="E4852" t="s">
        <v>54</v>
      </c>
      <c r="F4852" s="5">
        <v>42370</v>
      </c>
      <c r="G4852">
        <v>0</v>
      </c>
    </row>
    <row r="4853" spans="1:7" x14ac:dyDescent="0.25">
      <c r="A4853" t="s">
        <v>130</v>
      </c>
      <c r="B4853" t="s">
        <v>132</v>
      </c>
      <c r="C4853">
        <v>2220</v>
      </c>
      <c r="D4853" t="s">
        <v>45</v>
      </c>
      <c r="E4853" t="s">
        <v>54</v>
      </c>
      <c r="F4853" s="5">
        <v>42736</v>
      </c>
      <c r="G4853">
        <v>0</v>
      </c>
    </row>
    <row r="4854" spans="1:7" x14ac:dyDescent="0.25">
      <c r="A4854" t="s">
        <v>130</v>
      </c>
      <c r="B4854" t="s">
        <v>132</v>
      </c>
      <c r="C4854">
        <v>2220</v>
      </c>
      <c r="D4854" t="s">
        <v>45</v>
      </c>
      <c r="E4854" t="s">
        <v>55</v>
      </c>
      <c r="F4854" s="5">
        <v>42370</v>
      </c>
      <c r="G4854">
        <v>0</v>
      </c>
    </row>
    <row r="4855" spans="1:7" x14ac:dyDescent="0.25">
      <c r="A4855" t="s">
        <v>130</v>
      </c>
      <c r="B4855" t="s">
        <v>132</v>
      </c>
      <c r="C4855">
        <v>2220</v>
      </c>
      <c r="D4855" t="s">
        <v>45</v>
      </c>
      <c r="E4855" t="s">
        <v>55</v>
      </c>
      <c r="F4855" s="5">
        <v>42736</v>
      </c>
      <c r="G4855">
        <v>0</v>
      </c>
    </row>
    <row r="4856" spans="1:7" x14ac:dyDescent="0.25">
      <c r="A4856" t="s">
        <v>130</v>
      </c>
      <c r="B4856" t="s">
        <v>132</v>
      </c>
      <c r="C4856">
        <v>2220</v>
      </c>
      <c r="D4856" t="s">
        <v>45</v>
      </c>
      <c r="E4856" t="s">
        <v>56</v>
      </c>
      <c r="F4856" s="5">
        <v>42370</v>
      </c>
      <c r="G4856">
        <v>0</v>
      </c>
    </row>
    <row r="4857" spans="1:7" x14ac:dyDescent="0.25">
      <c r="A4857" t="s">
        <v>130</v>
      </c>
      <c r="B4857" t="s">
        <v>132</v>
      </c>
      <c r="C4857">
        <v>2220</v>
      </c>
      <c r="D4857" t="s">
        <v>45</v>
      </c>
      <c r="E4857" t="s">
        <v>56</v>
      </c>
      <c r="F4857" s="5">
        <v>42736</v>
      </c>
      <c r="G4857">
        <v>0</v>
      </c>
    </row>
    <row r="4858" spans="1:7" x14ac:dyDescent="0.25">
      <c r="A4858" t="s">
        <v>130</v>
      </c>
      <c r="B4858" t="s">
        <v>132</v>
      </c>
      <c r="C4858">
        <v>2220</v>
      </c>
      <c r="D4858" t="s">
        <v>45</v>
      </c>
      <c r="E4858" t="s">
        <v>57</v>
      </c>
      <c r="F4858" s="5">
        <v>42370</v>
      </c>
      <c r="G4858">
        <v>0</v>
      </c>
    </row>
    <row r="4859" spans="1:7" x14ac:dyDescent="0.25">
      <c r="A4859" t="s">
        <v>130</v>
      </c>
      <c r="B4859" t="s">
        <v>132</v>
      </c>
      <c r="C4859">
        <v>2220</v>
      </c>
      <c r="D4859" t="s">
        <v>45</v>
      </c>
      <c r="E4859" t="s">
        <v>57</v>
      </c>
      <c r="F4859" s="5">
        <v>42736</v>
      </c>
      <c r="G4859">
        <v>0</v>
      </c>
    </row>
    <row r="4860" spans="1:7" x14ac:dyDescent="0.25">
      <c r="A4860" t="s">
        <v>130</v>
      </c>
      <c r="B4860" t="s">
        <v>132</v>
      </c>
      <c r="C4860">
        <v>2220</v>
      </c>
      <c r="D4860" t="s">
        <v>45</v>
      </c>
      <c r="E4860" t="s">
        <v>58</v>
      </c>
      <c r="F4860" s="5">
        <v>42370</v>
      </c>
      <c r="G4860">
        <v>0</v>
      </c>
    </row>
    <row r="4861" spans="1:7" x14ac:dyDescent="0.25">
      <c r="A4861" t="s">
        <v>130</v>
      </c>
      <c r="B4861" t="s">
        <v>132</v>
      </c>
      <c r="C4861">
        <v>2220</v>
      </c>
      <c r="D4861" t="s">
        <v>45</v>
      </c>
      <c r="E4861" t="s">
        <v>58</v>
      </c>
      <c r="F4861" s="5">
        <v>42736</v>
      </c>
      <c r="G4861">
        <v>0</v>
      </c>
    </row>
    <row r="4862" spans="1:7" x14ac:dyDescent="0.25">
      <c r="A4862" t="s">
        <v>130</v>
      </c>
      <c r="B4862" t="s">
        <v>132</v>
      </c>
      <c r="C4862">
        <v>2220</v>
      </c>
      <c r="D4862" t="s">
        <v>45</v>
      </c>
      <c r="E4862" t="s">
        <v>59</v>
      </c>
      <c r="F4862" s="5">
        <v>42370</v>
      </c>
      <c r="G4862">
        <v>0</v>
      </c>
    </row>
    <row r="4863" spans="1:7" x14ac:dyDescent="0.25">
      <c r="A4863" t="s">
        <v>130</v>
      </c>
      <c r="B4863" t="s">
        <v>132</v>
      </c>
      <c r="C4863">
        <v>2220</v>
      </c>
      <c r="D4863" t="s">
        <v>45</v>
      </c>
      <c r="E4863" t="s">
        <v>59</v>
      </c>
      <c r="F4863" s="5">
        <v>42736</v>
      </c>
      <c r="G4863">
        <v>0</v>
      </c>
    </row>
    <row r="4864" spans="1:7" x14ac:dyDescent="0.25">
      <c r="A4864" t="s">
        <v>130</v>
      </c>
      <c r="B4864" t="s">
        <v>132</v>
      </c>
      <c r="C4864">
        <v>2220</v>
      </c>
      <c r="D4864" t="s">
        <v>45</v>
      </c>
      <c r="E4864" t="s">
        <v>60</v>
      </c>
      <c r="F4864" s="5">
        <v>42370</v>
      </c>
      <c r="G4864">
        <v>0</v>
      </c>
    </row>
    <row r="4865" spans="1:7" x14ac:dyDescent="0.25">
      <c r="A4865" t="s">
        <v>130</v>
      </c>
      <c r="B4865" t="s">
        <v>132</v>
      </c>
      <c r="C4865">
        <v>2220</v>
      </c>
      <c r="D4865" t="s">
        <v>45</v>
      </c>
      <c r="E4865" t="s">
        <v>60</v>
      </c>
      <c r="F4865" s="5">
        <v>42736</v>
      </c>
      <c r="G4865">
        <v>0</v>
      </c>
    </row>
    <row r="4866" spans="1:7" x14ac:dyDescent="0.25">
      <c r="A4866" t="s">
        <v>130</v>
      </c>
      <c r="B4866" t="s">
        <v>132</v>
      </c>
      <c r="C4866">
        <v>2220</v>
      </c>
      <c r="D4866" t="s">
        <v>45</v>
      </c>
      <c r="E4866" t="s">
        <v>61</v>
      </c>
      <c r="F4866" s="5">
        <v>42370</v>
      </c>
      <c r="G4866">
        <v>0</v>
      </c>
    </row>
    <row r="4867" spans="1:7" x14ac:dyDescent="0.25">
      <c r="A4867" t="s">
        <v>130</v>
      </c>
      <c r="B4867" t="s">
        <v>132</v>
      </c>
      <c r="C4867">
        <v>2220</v>
      </c>
      <c r="D4867" t="s">
        <v>45</v>
      </c>
      <c r="E4867" t="s">
        <v>61</v>
      </c>
      <c r="F4867" s="5">
        <v>42736</v>
      </c>
      <c r="G4867">
        <v>0</v>
      </c>
    </row>
    <row r="4868" spans="1:7" x14ac:dyDescent="0.25">
      <c r="A4868" t="s">
        <v>130</v>
      </c>
      <c r="B4868" t="s">
        <v>132</v>
      </c>
      <c r="C4868">
        <v>2220</v>
      </c>
      <c r="D4868" t="s">
        <v>62</v>
      </c>
      <c r="E4868" t="s">
        <v>63</v>
      </c>
      <c r="F4868" s="5">
        <v>42370</v>
      </c>
      <c r="G4868">
        <v>0</v>
      </c>
    </row>
    <row r="4869" spans="1:7" x14ac:dyDescent="0.25">
      <c r="A4869" t="s">
        <v>130</v>
      </c>
      <c r="B4869" t="s">
        <v>132</v>
      </c>
      <c r="C4869">
        <v>2220</v>
      </c>
      <c r="D4869" t="s">
        <v>62</v>
      </c>
      <c r="E4869" t="s">
        <v>63</v>
      </c>
      <c r="F4869" s="5">
        <v>42736</v>
      </c>
      <c r="G4869">
        <v>0</v>
      </c>
    </row>
    <row r="4870" spans="1:7" x14ac:dyDescent="0.25">
      <c r="A4870" t="s">
        <v>130</v>
      </c>
      <c r="B4870" t="s">
        <v>132</v>
      </c>
      <c r="C4870">
        <v>2220</v>
      </c>
      <c r="D4870" t="s">
        <v>62</v>
      </c>
      <c r="E4870" t="s">
        <v>64</v>
      </c>
      <c r="F4870" s="5">
        <v>42370</v>
      </c>
      <c r="G4870">
        <v>0</v>
      </c>
    </row>
    <row r="4871" spans="1:7" x14ac:dyDescent="0.25">
      <c r="A4871" t="s">
        <v>130</v>
      </c>
      <c r="B4871" t="s">
        <v>132</v>
      </c>
      <c r="C4871">
        <v>2220</v>
      </c>
      <c r="D4871" t="s">
        <v>62</v>
      </c>
      <c r="E4871" t="s">
        <v>64</v>
      </c>
      <c r="F4871" s="5">
        <v>42736</v>
      </c>
      <c r="G4871">
        <v>0</v>
      </c>
    </row>
    <row r="4872" spans="1:7" x14ac:dyDescent="0.25">
      <c r="A4872" t="s">
        <v>130</v>
      </c>
      <c r="B4872" t="s">
        <v>132</v>
      </c>
      <c r="C4872">
        <v>2220</v>
      </c>
      <c r="D4872" t="s">
        <v>62</v>
      </c>
      <c r="E4872" t="s">
        <v>9</v>
      </c>
      <c r="F4872" s="5">
        <v>42370</v>
      </c>
      <c r="G4872">
        <v>0</v>
      </c>
    </row>
    <row r="4873" spans="1:7" x14ac:dyDescent="0.25">
      <c r="A4873" t="s">
        <v>130</v>
      </c>
      <c r="B4873" t="s">
        <v>132</v>
      </c>
      <c r="C4873">
        <v>2220</v>
      </c>
      <c r="D4873" t="s">
        <v>62</v>
      </c>
      <c r="E4873" t="s">
        <v>9</v>
      </c>
      <c r="F4873" s="5">
        <v>42736</v>
      </c>
      <c r="G4873">
        <v>0</v>
      </c>
    </row>
    <row r="4874" spans="1:7" x14ac:dyDescent="0.25">
      <c r="A4874" t="s">
        <v>130</v>
      </c>
      <c r="B4874" t="s">
        <v>132</v>
      </c>
      <c r="C4874">
        <v>2220</v>
      </c>
      <c r="D4874" t="s">
        <v>62</v>
      </c>
      <c r="E4874" t="s">
        <v>65</v>
      </c>
      <c r="F4874" s="5">
        <v>42370</v>
      </c>
      <c r="G4874">
        <v>0</v>
      </c>
    </row>
    <row r="4875" spans="1:7" x14ac:dyDescent="0.25">
      <c r="A4875" t="s">
        <v>130</v>
      </c>
      <c r="B4875" t="s">
        <v>132</v>
      </c>
      <c r="C4875">
        <v>2220</v>
      </c>
      <c r="D4875" t="s">
        <v>62</v>
      </c>
      <c r="E4875" t="s">
        <v>65</v>
      </c>
      <c r="F4875" s="5">
        <v>42736</v>
      </c>
      <c r="G4875">
        <v>0</v>
      </c>
    </row>
    <row r="4876" spans="1:7" x14ac:dyDescent="0.25">
      <c r="A4876" t="s">
        <v>130</v>
      </c>
      <c r="B4876" t="s">
        <v>132</v>
      </c>
      <c r="C4876">
        <v>2220</v>
      </c>
      <c r="D4876" t="s">
        <v>62</v>
      </c>
      <c r="E4876" t="s">
        <v>66</v>
      </c>
      <c r="F4876" s="5">
        <v>42370</v>
      </c>
      <c r="G4876">
        <v>0</v>
      </c>
    </row>
    <row r="4877" spans="1:7" x14ac:dyDescent="0.25">
      <c r="A4877" t="s">
        <v>130</v>
      </c>
      <c r="B4877" t="s">
        <v>132</v>
      </c>
      <c r="C4877">
        <v>2220</v>
      </c>
      <c r="D4877" t="s">
        <v>62</v>
      </c>
      <c r="E4877" t="s">
        <v>66</v>
      </c>
      <c r="F4877" s="5">
        <v>42736</v>
      </c>
      <c r="G4877">
        <v>0</v>
      </c>
    </row>
    <row r="4878" spans="1:7" x14ac:dyDescent="0.25">
      <c r="A4878" t="s">
        <v>130</v>
      </c>
      <c r="B4878" t="s">
        <v>132</v>
      </c>
      <c r="C4878">
        <v>2220</v>
      </c>
      <c r="D4878" t="s">
        <v>62</v>
      </c>
      <c r="E4878" t="s">
        <v>67</v>
      </c>
      <c r="F4878" s="5">
        <v>42370</v>
      </c>
      <c r="G4878">
        <v>0</v>
      </c>
    </row>
    <row r="4879" spans="1:7" x14ac:dyDescent="0.25">
      <c r="A4879" t="s">
        <v>130</v>
      </c>
      <c r="B4879" t="s">
        <v>132</v>
      </c>
      <c r="C4879">
        <v>2220</v>
      </c>
      <c r="D4879" t="s">
        <v>62</v>
      </c>
      <c r="E4879" t="s">
        <v>67</v>
      </c>
      <c r="F4879" s="5">
        <v>42736</v>
      </c>
      <c r="G4879">
        <v>0</v>
      </c>
    </row>
    <row r="4880" spans="1:7" x14ac:dyDescent="0.25">
      <c r="A4880" t="s">
        <v>130</v>
      </c>
      <c r="B4880" t="s">
        <v>132</v>
      </c>
      <c r="C4880">
        <v>2220</v>
      </c>
      <c r="D4880" t="s">
        <v>62</v>
      </c>
      <c r="E4880" t="s">
        <v>68</v>
      </c>
      <c r="F4880" s="5">
        <v>42370</v>
      </c>
      <c r="G4880">
        <v>0</v>
      </c>
    </row>
    <row r="4881" spans="1:7" x14ac:dyDescent="0.25">
      <c r="A4881" t="s">
        <v>130</v>
      </c>
      <c r="B4881" t="s">
        <v>132</v>
      </c>
      <c r="C4881">
        <v>2220</v>
      </c>
      <c r="D4881" t="s">
        <v>62</v>
      </c>
      <c r="E4881" t="s">
        <v>68</v>
      </c>
      <c r="F4881" s="5">
        <v>42736</v>
      </c>
      <c r="G4881">
        <v>0</v>
      </c>
    </row>
    <row r="4882" spans="1:7" x14ac:dyDescent="0.25">
      <c r="A4882" t="s">
        <v>130</v>
      </c>
      <c r="B4882" t="s">
        <v>132</v>
      </c>
      <c r="C4882">
        <v>2220</v>
      </c>
      <c r="D4882" t="s">
        <v>62</v>
      </c>
      <c r="E4882" t="s">
        <v>69</v>
      </c>
      <c r="F4882" s="5">
        <v>42370</v>
      </c>
      <c r="G4882">
        <v>0</v>
      </c>
    </row>
    <row r="4883" spans="1:7" x14ac:dyDescent="0.25">
      <c r="A4883" t="s">
        <v>130</v>
      </c>
      <c r="B4883" t="s">
        <v>132</v>
      </c>
      <c r="C4883">
        <v>2220</v>
      </c>
      <c r="D4883" t="s">
        <v>62</v>
      </c>
      <c r="E4883" t="s">
        <v>69</v>
      </c>
      <c r="F4883" s="5">
        <v>42736</v>
      </c>
      <c r="G4883">
        <v>0</v>
      </c>
    </row>
    <row r="4884" spans="1:7" x14ac:dyDescent="0.25">
      <c r="A4884" t="s">
        <v>130</v>
      </c>
      <c r="B4884" t="s">
        <v>132</v>
      </c>
      <c r="C4884">
        <v>2220</v>
      </c>
      <c r="D4884" t="s">
        <v>62</v>
      </c>
      <c r="E4884" t="s">
        <v>70</v>
      </c>
      <c r="F4884" s="5">
        <v>42370</v>
      </c>
      <c r="G4884">
        <v>0</v>
      </c>
    </row>
    <row r="4885" spans="1:7" x14ac:dyDescent="0.25">
      <c r="A4885" t="s">
        <v>130</v>
      </c>
      <c r="B4885" t="s">
        <v>132</v>
      </c>
      <c r="C4885">
        <v>2220</v>
      </c>
      <c r="D4885" t="s">
        <v>62</v>
      </c>
      <c r="E4885" t="s">
        <v>70</v>
      </c>
      <c r="F4885" s="5">
        <v>42736</v>
      </c>
      <c r="G4885">
        <v>0</v>
      </c>
    </row>
    <row r="4886" spans="1:7" x14ac:dyDescent="0.25">
      <c r="A4886" t="s">
        <v>130</v>
      </c>
      <c r="B4886" t="s">
        <v>132</v>
      </c>
      <c r="C4886">
        <v>2220</v>
      </c>
      <c r="D4886" t="s">
        <v>62</v>
      </c>
      <c r="E4886" t="s">
        <v>71</v>
      </c>
      <c r="F4886" s="5">
        <v>42370</v>
      </c>
      <c r="G4886">
        <v>0</v>
      </c>
    </row>
    <row r="4887" spans="1:7" x14ac:dyDescent="0.25">
      <c r="A4887" t="s">
        <v>130</v>
      </c>
      <c r="B4887" t="s">
        <v>132</v>
      </c>
      <c r="C4887">
        <v>2220</v>
      </c>
      <c r="D4887" t="s">
        <v>62</v>
      </c>
      <c r="E4887" t="s">
        <v>71</v>
      </c>
      <c r="F4887" s="5">
        <v>42736</v>
      </c>
      <c r="G4887">
        <v>0</v>
      </c>
    </row>
    <row r="4888" spans="1:7" x14ac:dyDescent="0.25">
      <c r="A4888" t="s">
        <v>130</v>
      </c>
      <c r="B4888" t="s">
        <v>132</v>
      </c>
      <c r="C4888">
        <v>2220</v>
      </c>
      <c r="D4888" t="s">
        <v>72</v>
      </c>
      <c r="E4888" t="s">
        <v>73</v>
      </c>
      <c r="F4888" s="5">
        <v>42370</v>
      </c>
      <c r="G4888">
        <v>0</v>
      </c>
    </row>
    <row r="4889" spans="1:7" x14ac:dyDescent="0.25">
      <c r="A4889" t="s">
        <v>130</v>
      </c>
      <c r="B4889" t="s">
        <v>132</v>
      </c>
      <c r="C4889">
        <v>2220</v>
      </c>
      <c r="D4889" t="s">
        <v>72</v>
      </c>
      <c r="E4889" t="s">
        <v>73</v>
      </c>
      <c r="F4889" s="5">
        <v>42736</v>
      </c>
      <c r="G4889">
        <v>0</v>
      </c>
    </row>
    <row r="4890" spans="1:7" x14ac:dyDescent="0.25">
      <c r="A4890" t="s">
        <v>130</v>
      </c>
      <c r="B4890" t="s">
        <v>132</v>
      </c>
      <c r="C4890">
        <v>2220</v>
      </c>
      <c r="D4890" t="s">
        <v>72</v>
      </c>
      <c r="E4890" t="s">
        <v>9</v>
      </c>
      <c r="F4890" s="5">
        <v>42370</v>
      </c>
      <c r="G4890">
        <v>0</v>
      </c>
    </row>
    <row r="4891" spans="1:7" x14ac:dyDescent="0.25">
      <c r="A4891" t="s">
        <v>130</v>
      </c>
      <c r="B4891" t="s">
        <v>132</v>
      </c>
      <c r="C4891">
        <v>2220</v>
      </c>
      <c r="D4891" t="s">
        <v>72</v>
      </c>
      <c r="E4891" t="s">
        <v>9</v>
      </c>
      <c r="F4891" s="5">
        <v>42736</v>
      </c>
      <c r="G4891">
        <v>0</v>
      </c>
    </row>
    <row r="4892" spans="1:7" x14ac:dyDescent="0.25">
      <c r="A4892" t="s">
        <v>130</v>
      </c>
      <c r="B4892" t="s">
        <v>132</v>
      </c>
      <c r="C4892">
        <v>2220</v>
      </c>
      <c r="D4892" t="s">
        <v>72</v>
      </c>
      <c r="E4892" t="s">
        <v>34</v>
      </c>
      <c r="F4892" s="5">
        <v>42370</v>
      </c>
      <c r="G4892">
        <v>0</v>
      </c>
    </row>
    <row r="4893" spans="1:7" x14ac:dyDescent="0.25">
      <c r="A4893" t="s">
        <v>130</v>
      </c>
      <c r="B4893" t="s">
        <v>132</v>
      </c>
      <c r="C4893">
        <v>2220</v>
      </c>
      <c r="D4893" t="s">
        <v>72</v>
      </c>
      <c r="E4893" t="s">
        <v>34</v>
      </c>
      <c r="F4893" s="5">
        <v>42736</v>
      </c>
      <c r="G4893">
        <v>0</v>
      </c>
    </row>
    <row r="4894" spans="1:7" x14ac:dyDescent="0.25">
      <c r="A4894" t="s">
        <v>130</v>
      </c>
      <c r="B4894" t="s">
        <v>132</v>
      </c>
      <c r="C4894">
        <v>2220</v>
      </c>
      <c r="D4894" t="s">
        <v>72</v>
      </c>
      <c r="E4894" t="s">
        <v>74</v>
      </c>
      <c r="F4894" s="5">
        <v>42370</v>
      </c>
      <c r="G4894">
        <v>0</v>
      </c>
    </row>
    <row r="4895" spans="1:7" x14ac:dyDescent="0.25">
      <c r="A4895" t="s">
        <v>130</v>
      </c>
      <c r="B4895" t="s">
        <v>132</v>
      </c>
      <c r="C4895">
        <v>2220</v>
      </c>
      <c r="D4895" t="s">
        <v>72</v>
      </c>
      <c r="E4895" t="s">
        <v>74</v>
      </c>
      <c r="F4895" s="5">
        <v>42736</v>
      </c>
      <c r="G4895">
        <v>0</v>
      </c>
    </row>
    <row r="4896" spans="1:7" x14ac:dyDescent="0.25">
      <c r="A4896" t="s">
        <v>130</v>
      </c>
      <c r="B4896" t="s">
        <v>132</v>
      </c>
      <c r="C4896">
        <v>2220</v>
      </c>
      <c r="D4896" t="s">
        <v>72</v>
      </c>
      <c r="E4896" t="s">
        <v>75</v>
      </c>
      <c r="F4896" s="5">
        <v>42370</v>
      </c>
      <c r="G4896">
        <v>0</v>
      </c>
    </row>
    <row r="4897" spans="1:7" x14ac:dyDescent="0.25">
      <c r="A4897" t="s">
        <v>130</v>
      </c>
      <c r="B4897" t="s">
        <v>132</v>
      </c>
      <c r="C4897">
        <v>2220</v>
      </c>
      <c r="D4897" t="s">
        <v>72</v>
      </c>
      <c r="E4897" t="s">
        <v>75</v>
      </c>
      <c r="F4897" s="5">
        <v>42736</v>
      </c>
      <c r="G4897">
        <v>0</v>
      </c>
    </row>
    <row r="4898" spans="1:7" x14ac:dyDescent="0.25">
      <c r="A4898" t="s">
        <v>130</v>
      </c>
      <c r="B4898" t="s">
        <v>132</v>
      </c>
      <c r="C4898">
        <v>2220</v>
      </c>
      <c r="D4898" t="s">
        <v>76</v>
      </c>
      <c r="E4898" t="s">
        <v>9</v>
      </c>
      <c r="F4898" s="5">
        <v>42370</v>
      </c>
      <c r="G4898">
        <v>0</v>
      </c>
    </row>
    <row r="4899" spans="1:7" x14ac:dyDescent="0.25">
      <c r="A4899" t="s">
        <v>130</v>
      </c>
      <c r="B4899" t="s">
        <v>132</v>
      </c>
      <c r="C4899">
        <v>2220</v>
      </c>
      <c r="D4899" t="s">
        <v>76</v>
      </c>
      <c r="E4899" t="s">
        <v>9</v>
      </c>
      <c r="F4899" s="5">
        <v>42736</v>
      </c>
      <c r="G4899">
        <v>0</v>
      </c>
    </row>
    <row r="4900" spans="1:7" x14ac:dyDescent="0.25">
      <c r="A4900" t="s">
        <v>130</v>
      </c>
      <c r="B4900" t="s">
        <v>132</v>
      </c>
      <c r="C4900">
        <v>2220</v>
      </c>
      <c r="D4900" t="s">
        <v>76</v>
      </c>
      <c r="E4900" t="s">
        <v>77</v>
      </c>
      <c r="F4900" s="5">
        <v>42370</v>
      </c>
      <c r="G4900">
        <v>0</v>
      </c>
    </row>
    <row r="4901" spans="1:7" x14ac:dyDescent="0.25">
      <c r="A4901" t="s">
        <v>130</v>
      </c>
      <c r="B4901" t="s">
        <v>132</v>
      </c>
      <c r="C4901">
        <v>2220</v>
      </c>
      <c r="D4901" t="s">
        <v>76</v>
      </c>
      <c r="E4901" t="s">
        <v>77</v>
      </c>
      <c r="F4901" s="5">
        <v>42736</v>
      </c>
      <c r="G4901">
        <v>0</v>
      </c>
    </row>
    <row r="4902" spans="1:7" x14ac:dyDescent="0.25">
      <c r="A4902" t="s">
        <v>130</v>
      </c>
      <c r="B4902" t="s">
        <v>132</v>
      </c>
      <c r="C4902">
        <v>2220</v>
      </c>
      <c r="D4902" t="s">
        <v>78</v>
      </c>
      <c r="E4902" t="s">
        <v>79</v>
      </c>
      <c r="F4902" s="5">
        <v>42370</v>
      </c>
      <c r="G4902">
        <v>0</v>
      </c>
    </row>
    <row r="4903" spans="1:7" x14ac:dyDescent="0.25">
      <c r="A4903" t="s">
        <v>130</v>
      </c>
      <c r="B4903" t="s">
        <v>132</v>
      </c>
      <c r="C4903">
        <v>2220</v>
      </c>
      <c r="D4903" t="s">
        <v>78</v>
      </c>
      <c r="E4903" t="s">
        <v>79</v>
      </c>
      <c r="F4903" s="5">
        <v>42736</v>
      </c>
      <c r="G4903">
        <v>0</v>
      </c>
    </row>
    <row r="4904" spans="1:7" x14ac:dyDescent="0.25">
      <c r="A4904" t="s">
        <v>130</v>
      </c>
      <c r="B4904" t="s">
        <v>132</v>
      </c>
      <c r="C4904">
        <v>2220</v>
      </c>
      <c r="D4904" t="s">
        <v>78</v>
      </c>
      <c r="E4904" t="s">
        <v>80</v>
      </c>
      <c r="F4904" s="5">
        <v>42370</v>
      </c>
      <c r="G4904">
        <v>0</v>
      </c>
    </row>
    <row r="4905" spans="1:7" x14ac:dyDescent="0.25">
      <c r="A4905" t="s">
        <v>130</v>
      </c>
      <c r="B4905" t="s">
        <v>132</v>
      </c>
      <c r="C4905">
        <v>2220</v>
      </c>
      <c r="D4905" t="s">
        <v>78</v>
      </c>
      <c r="E4905" t="s">
        <v>80</v>
      </c>
      <c r="F4905" s="5">
        <v>42736</v>
      </c>
      <c r="G4905">
        <v>0</v>
      </c>
    </row>
    <row r="4906" spans="1:7" x14ac:dyDescent="0.25">
      <c r="A4906" t="s">
        <v>130</v>
      </c>
      <c r="B4906" t="s">
        <v>132</v>
      </c>
      <c r="C4906">
        <v>2220</v>
      </c>
      <c r="D4906" t="s">
        <v>78</v>
      </c>
      <c r="E4906" t="s">
        <v>81</v>
      </c>
      <c r="F4906" s="5">
        <v>42370</v>
      </c>
      <c r="G4906">
        <v>181</v>
      </c>
    </row>
    <row r="4907" spans="1:7" x14ac:dyDescent="0.25">
      <c r="A4907" t="s">
        <v>130</v>
      </c>
      <c r="B4907" t="s">
        <v>132</v>
      </c>
      <c r="C4907">
        <v>2220</v>
      </c>
      <c r="D4907" t="s">
        <v>78</v>
      </c>
      <c r="E4907" t="s">
        <v>81</v>
      </c>
      <c r="F4907" s="5">
        <v>42736</v>
      </c>
      <c r="G4907">
        <v>275</v>
      </c>
    </row>
    <row r="4908" spans="1:7" x14ac:dyDescent="0.25">
      <c r="A4908" t="s">
        <v>130</v>
      </c>
      <c r="B4908" t="s">
        <v>132</v>
      </c>
      <c r="C4908">
        <v>2220</v>
      </c>
      <c r="D4908" t="s">
        <v>78</v>
      </c>
      <c r="E4908" t="s">
        <v>82</v>
      </c>
      <c r="F4908" s="5">
        <v>42370</v>
      </c>
      <c r="G4908">
        <v>0</v>
      </c>
    </row>
    <row r="4909" spans="1:7" x14ac:dyDescent="0.25">
      <c r="A4909" t="s">
        <v>130</v>
      </c>
      <c r="B4909" t="s">
        <v>132</v>
      </c>
      <c r="C4909">
        <v>2220</v>
      </c>
      <c r="D4909" t="s">
        <v>78</v>
      </c>
      <c r="E4909" t="s">
        <v>82</v>
      </c>
      <c r="F4909" s="5">
        <v>42736</v>
      </c>
      <c r="G4909">
        <v>0</v>
      </c>
    </row>
    <row r="4910" spans="1:7" x14ac:dyDescent="0.25">
      <c r="A4910" t="s">
        <v>130</v>
      </c>
      <c r="B4910" t="s">
        <v>132</v>
      </c>
      <c r="C4910">
        <v>2220</v>
      </c>
      <c r="D4910" t="s">
        <v>78</v>
      </c>
      <c r="E4910" t="s">
        <v>83</v>
      </c>
      <c r="F4910" s="5">
        <v>42370</v>
      </c>
      <c r="G4910">
        <v>0</v>
      </c>
    </row>
    <row r="4911" spans="1:7" x14ac:dyDescent="0.25">
      <c r="A4911" t="s">
        <v>130</v>
      </c>
      <c r="B4911" t="s">
        <v>132</v>
      </c>
      <c r="C4911">
        <v>2220</v>
      </c>
      <c r="D4911" t="s">
        <v>78</v>
      </c>
      <c r="E4911" t="s">
        <v>83</v>
      </c>
      <c r="F4911" s="5">
        <v>42736</v>
      </c>
      <c r="G4911">
        <v>0</v>
      </c>
    </row>
    <row r="4912" spans="1:7" x14ac:dyDescent="0.25">
      <c r="A4912" t="s">
        <v>130</v>
      </c>
      <c r="B4912" t="s">
        <v>132</v>
      </c>
      <c r="C4912">
        <v>2220</v>
      </c>
      <c r="D4912" t="s">
        <v>78</v>
      </c>
      <c r="E4912" t="s">
        <v>84</v>
      </c>
      <c r="F4912" s="5">
        <v>42370</v>
      </c>
      <c r="G4912">
        <v>0</v>
      </c>
    </row>
    <row r="4913" spans="1:7" x14ac:dyDescent="0.25">
      <c r="A4913" t="s">
        <v>130</v>
      </c>
      <c r="B4913" t="s">
        <v>132</v>
      </c>
      <c r="C4913">
        <v>2220</v>
      </c>
      <c r="D4913" t="s">
        <v>78</v>
      </c>
      <c r="E4913" t="s">
        <v>84</v>
      </c>
      <c r="F4913" s="5">
        <v>42736</v>
      </c>
      <c r="G4913">
        <v>0</v>
      </c>
    </row>
    <row r="4914" spans="1:7" x14ac:dyDescent="0.25">
      <c r="A4914" t="s">
        <v>130</v>
      </c>
      <c r="B4914" t="s">
        <v>132</v>
      </c>
      <c r="C4914">
        <v>2220</v>
      </c>
      <c r="D4914" t="s">
        <v>78</v>
      </c>
      <c r="E4914" t="s">
        <v>85</v>
      </c>
      <c r="F4914" s="5">
        <v>42370</v>
      </c>
      <c r="G4914">
        <v>0</v>
      </c>
    </row>
    <row r="4915" spans="1:7" x14ac:dyDescent="0.25">
      <c r="A4915" t="s">
        <v>130</v>
      </c>
      <c r="B4915" t="s">
        <v>132</v>
      </c>
      <c r="C4915">
        <v>2220</v>
      </c>
      <c r="D4915" t="s">
        <v>78</v>
      </c>
      <c r="E4915" t="s">
        <v>85</v>
      </c>
      <c r="F4915" s="5">
        <v>42736</v>
      </c>
      <c r="G4915">
        <v>0</v>
      </c>
    </row>
    <row r="4916" spans="1:7" x14ac:dyDescent="0.25">
      <c r="A4916" t="s">
        <v>130</v>
      </c>
      <c r="B4916" t="s">
        <v>132</v>
      </c>
      <c r="C4916">
        <v>2220</v>
      </c>
      <c r="D4916" t="s">
        <v>78</v>
      </c>
      <c r="E4916" t="s">
        <v>86</v>
      </c>
      <c r="F4916" s="5">
        <v>42370</v>
      </c>
      <c r="G4916">
        <v>0</v>
      </c>
    </row>
    <row r="4917" spans="1:7" x14ac:dyDescent="0.25">
      <c r="A4917" t="s">
        <v>130</v>
      </c>
      <c r="B4917" t="s">
        <v>132</v>
      </c>
      <c r="C4917">
        <v>2220</v>
      </c>
      <c r="D4917" t="s">
        <v>78</v>
      </c>
      <c r="E4917" t="s">
        <v>86</v>
      </c>
      <c r="F4917" s="5">
        <v>42736</v>
      </c>
      <c r="G4917">
        <v>0</v>
      </c>
    </row>
    <row r="4918" spans="1:7" x14ac:dyDescent="0.25">
      <c r="A4918" t="s">
        <v>130</v>
      </c>
      <c r="B4918" t="s">
        <v>132</v>
      </c>
      <c r="C4918">
        <v>2220</v>
      </c>
      <c r="D4918" t="s">
        <v>78</v>
      </c>
      <c r="E4918" t="s">
        <v>87</v>
      </c>
      <c r="F4918" s="5">
        <v>42370</v>
      </c>
      <c r="G4918">
        <v>0</v>
      </c>
    </row>
    <row r="4919" spans="1:7" x14ac:dyDescent="0.25">
      <c r="A4919" t="s">
        <v>130</v>
      </c>
      <c r="B4919" t="s">
        <v>132</v>
      </c>
      <c r="C4919">
        <v>2220</v>
      </c>
      <c r="D4919" t="s">
        <v>78</v>
      </c>
      <c r="E4919" t="s">
        <v>87</v>
      </c>
      <c r="F4919" s="5">
        <v>42736</v>
      </c>
      <c r="G4919">
        <v>0</v>
      </c>
    </row>
    <row r="4920" spans="1:7" x14ac:dyDescent="0.25">
      <c r="A4920" t="s">
        <v>130</v>
      </c>
      <c r="B4920" t="s">
        <v>132</v>
      </c>
      <c r="C4920">
        <v>2220</v>
      </c>
      <c r="D4920" t="s">
        <v>78</v>
      </c>
      <c r="E4920" t="s">
        <v>88</v>
      </c>
      <c r="F4920" s="5">
        <v>42370</v>
      </c>
      <c r="G4920">
        <v>35</v>
      </c>
    </row>
    <row r="4921" spans="1:7" x14ac:dyDescent="0.25">
      <c r="A4921" t="s">
        <v>130</v>
      </c>
      <c r="B4921" t="s">
        <v>132</v>
      </c>
      <c r="C4921">
        <v>2220</v>
      </c>
      <c r="D4921" t="s">
        <v>78</v>
      </c>
      <c r="E4921" t="s">
        <v>88</v>
      </c>
      <c r="F4921" s="5">
        <v>42736</v>
      </c>
      <c r="G4921">
        <v>48</v>
      </c>
    </row>
    <row r="4922" spans="1:7" x14ac:dyDescent="0.25">
      <c r="A4922" t="s">
        <v>130</v>
      </c>
      <c r="B4922" t="s">
        <v>132</v>
      </c>
      <c r="C4922">
        <v>2220</v>
      </c>
      <c r="D4922" t="s">
        <v>78</v>
      </c>
      <c r="E4922" t="s">
        <v>89</v>
      </c>
      <c r="F4922" s="5">
        <v>42370</v>
      </c>
      <c r="G4922">
        <v>769</v>
      </c>
    </row>
    <row r="4923" spans="1:7" x14ac:dyDescent="0.25">
      <c r="A4923" t="s">
        <v>130</v>
      </c>
      <c r="B4923" t="s">
        <v>132</v>
      </c>
      <c r="C4923">
        <v>2220</v>
      </c>
      <c r="D4923" t="s">
        <v>78</v>
      </c>
      <c r="E4923" t="s">
        <v>89</v>
      </c>
      <c r="F4923" s="5">
        <v>42736</v>
      </c>
      <c r="G4923">
        <v>587</v>
      </c>
    </row>
    <row r="4924" spans="1:7" x14ac:dyDescent="0.25">
      <c r="A4924" t="s">
        <v>130</v>
      </c>
      <c r="B4924" t="s">
        <v>132</v>
      </c>
      <c r="C4924">
        <v>2220</v>
      </c>
      <c r="D4924" t="s">
        <v>78</v>
      </c>
      <c r="E4924" t="s">
        <v>90</v>
      </c>
      <c r="F4924" s="5">
        <v>42370</v>
      </c>
      <c r="G4924">
        <v>0</v>
      </c>
    </row>
    <row r="4925" spans="1:7" x14ac:dyDescent="0.25">
      <c r="A4925" t="s">
        <v>130</v>
      </c>
      <c r="B4925" t="s">
        <v>132</v>
      </c>
      <c r="C4925">
        <v>2220</v>
      </c>
      <c r="D4925" t="s">
        <v>78</v>
      </c>
      <c r="E4925" t="s">
        <v>90</v>
      </c>
      <c r="F4925" s="5">
        <v>42736</v>
      </c>
      <c r="G4925">
        <v>0</v>
      </c>
    </row>
    <row r="4926" spans="1:7" x14ac:dyDescent="0.25">
      <c r="A4926" t="s">
        <v>130</v>
      </c>
      <c r="B4926" t="s">
        <v>132</v>
      </c>
      <c r="C4926">
        <v>2220</v>
      </c>
      <c r="D4926" t="s">
        <v>78</v>
      </c>
      <c r="E4926" t="s">
        <v>91</v>
      </c>
      <c r="F4926" s="5">
        <v>42370</v>
      </c>
      <c r="G4926">
        <v>0</v>
      </c>
    </row>
    <row r="4927" spans="1:7" x14ac:dyDescent="0.25">
      <c r="A4927" t="s">
        <v>130</v>
      </c>
      <c r="B4927" t="s">
        <v>132</v>
      </c>
      <c r="C4927">
        <v>2220</v>
      </c>
      <c r="D4927" t="s">
        <v>78</v>
      </c>
      <c r="E4927" t="s">
        <v>91</v>
      </c>
      <c r="F4927" s="5">
        <v>42736</v>
      </c>
      <c r="G4927">
        <v>0</v>
      </c>
    </row>
    <row r="4928" spans="1:7" x14ac:dyDescent="0.25">
      <c r="A4928" t="s">
        <v>130</v>
      </c>
      <c r="B4928" t="s">
        <v>132</v>
      </c>
      <c r="C4928">
        <v>2220</v>
      </c>
      <c r="D4928" t="s">
        <v>78</v>
      </c>
      <c r="E4928" t="s">
        <v>92</v>
      </c>
      <c r="F4928" s="5">
        <v>42370</v>
      </c>
      <c r="G4928">
        <v>0</v>
      </c>
    </row>
    <row r="4929" spans="1:7" x14ac:dyDescent="0.25">
      <c r="A4929" t="s">
        <v>130</v>
      </c>
      <c r="B4929" t="s">
        <v>132</v>
      </c>
      <c r="C4929">
        <v>2220</v>
      </c>
      <c r="D4929" t="s">
        <v>78</v>
      </c>
      <c r="E4929" t="s">
        <v>92</v>
      </c>
      <c r="F4929" s="5">
        <v>42736</v>
      </c>
      <c r="G4929">
        <v>0</v>
      </c>
    </row>
    <row r="4930" spans="1:7" x14ac:dyDescent="0.25">
      <c r="A4930" t="s">
        <v>130</v>
      </c>
      <c r="B4930" t="s">
        <v>132</v>
      </c>
      <c r="C4930">
        <v>2220</v>
      </c>
      <c r="D4930" t="s">
        <v>78</v>
      </c>
      <c r="E4930" t="s">
        <v>93</v>
      </c>
      <c r="F4930" s="5">
        <v>42370</v>
      </c>
      <c r="G4930">
        <v>0</v>
      </c>
    </row>
    <row r="4931" spans="1:7" x14ac:dyDescent="0.25">
      <c r="A4931" t="s">
        <v>130</v>
      </c>
      <c r="B4931" t="s">
        <v>132</v>
      </c>
      <c r="C4931">
        <v>2220</v>
      </c>
      <c r="D4931" t="s">
        <v>78</v>
      </c>
      <c r="E4931" t="s">
        <v>93</v>
      </c>
      <c r="F4931" s="5">
        <v>42736</v>
      </c>
      <c r="G4931">
        <v>0</v>
      </c>
    </row>
    <row r="4932" spans="1:7" x14ac:dyDescent="0.25">
      <c r="A4932" t="s">
        <v>130</v>
      </c>
      <c r="B4932" t="s">
        <v>132</v>
      </c>
      <c r="C4932">
        <v>2220</v>
      </c>
      <c r="D4932" t="s">
        <v>78</v>
      </c>
      <c r="E4932" t="s">
        <v>94</v>
      </c>
      <c r="F4932" s="5">
        <v>42370</v>
      </c>
      <c r="G4932">
        <v>0</v>
      </c>
    </row>
    <row r="4933" spans="1:7" x14ac:dyDescent="0.25">
      <c r="A4933" t="s">
        <v>130</v>
      </c>
      <c r="B4933" t="s">
        <v>132</v>
      </c>
      <c r="C4933">
        <v>2220</v>
      </c>
      <c r="D4933" t="s">
        <v>78</v>
      </c>
      <c r="E4933" t="s">
        <v>94</v>
      </c>
      <c r="F4933" s="5">
        <v>42736</v>
      </c>
      <c r="G4933">
        <v>0</v>
      </c>
    </row>
    <row r="4934" spans="1:7" x14ac:dyDescent="0.25">
      <c r="A4934" t="s">
        <v>130</v>
      </c>
      <c r="B4934" t="s">
        <v>132</v>
      </c>
      <c r="C4934">
        <v>2220</v>
      </c>
      <c r="D4934" t="s">
        <v>78</v>
      </c>
      <c r="E4934" t="s">
        <v>95</v>
      </c>
      <c r="F4934" s="5">
        <v>42370</v>
      </c>
      <c r="G4934">
        <v>0</v>
      </c>
    </row>
    <row r="4935" spans="1:7" x14ac:dyDescent="0.25">
      <c r="A4935" t="s">
        <v>130</v>
      </c>
      <c r="B4935" t="s">
        <v>132</v>
      </c>
      <c r="C4935">
        <v>2220</v>
      </c>
      <c r="D4935" t="s">
        <v>78</v>
      </c>
      <c r="E4935" t="s">
        <v>95</v>
      </c>
      <c r="F4935" s="5">
        <v>42736</v>
      </c>
      <c r="G4935">
        <v>0</v>
      </c>
    </row>
    <row r="4936" spans="1:7" x14ac:dyDescent="0.25">
      <c r="A4936" t="s">
        <v>130</v>
      </c>
      <c r="B4936" t="s">
        <v>132</v>
      </c>
      <c r="C4936">
        <v>2220</v>
      </c>
      <c r="D4936" t="s">
        <v>78</v>
      </c>
      <c r="E4936" t="s">
        <v>96</v>
      </c>
      <c r="F4936" s="5">
        <v>42370</v>
      </c>
      <c r="G4936">
        <v>0</v>
      </c>
    </row>
    <row r="4937" spans="1:7" x14ac:dyDescent="0.25">
      <c r="A4937" t="s">
        <v>130</v>
      </c>
      <c r="B4937" t="s">
        <v>132</v>
      </c>
      <c r="C4937">
        <v>2220</v>
      </c>
      <c r="D4937" t="s">
        <v>78</v>
      </c>
      <c r="E4937" t="s">
        <v>96</v>
      </c>
      <c r="F4937" s="5">
        <v>42736</v>
      </c>
      <c r="G4937">
        <v>0</v>
      </c>
    </row>
    <row r="4938" spans="1:7" x14ac:dyDescent="0.25">
      <c r="A4938" t="s">
        <v>130</v>
      </c>
      <c r="B4938" t="s">
        <v>132</v>
      </c>
      <c r="C4938">
        <v>2220</v>
      </c>
      <c r="D4938" t="s">
        <v>78</v>
      </c>
      <c r="E4938" t="s">
        <v>97</v>
      </c>
      <c r="F4938" s="5">
        <v>42370</v>
      </c>
      <c r="G4938">
        <v>0</v>
      </c>
    </row>
    <row r="4939" spans="1:7" x14ac:dyDescent="0.25">
      <c r="A4939" t="s">
        <v>130</v>
      </c>
      <c r="B4939" t="s">
        <v>132</v>
      </c>
      <c r="C4939">
        <v>2220</v>
      </c>
      <c r="D4939" t="s">
        <v>78</v>
      </c>
      <c r="E4939" t="s">
        <v>97</v>
      </c>
      <c r="F4939" s="5">
        <v>42736</v>
      </c>
      <c r="G4939">
        <v>0</v>
      </c>
    </row>
    <row r="4940" spans="1:7" x14ac:dyDescent="0.25">
      <c r="A4940" t="s">
        <v>130</v>
      </c>
      <c r="B4940" t="s">
        <v>132</v>
      </c>
      <c r="C4940">
        <v>2220</v>
      </c>
      <c r="D4940" t="s">
        <v>78</v>
      </c>
      <c r="E4940" t="s">
        <v>98</v>
      </c>
      <c r="F4940" s="5">
        <v>42370</v>
      </c>
      <c r="G4940">
        <v>0</v>
      </c>
    </row>
    <row r="4941" spans="1:7" x14ac:dyDescent="0.25">
      <c r="A4941" t="s">
        <v>130</v>
      </c>
      <c r="B4941" t="s">
        <v>132</v>
      </c>
      <c r="C4941">
        <v>2220</v>
      </c>
      <c r="D4941" t="s">
        <v>78</v>
      </c>
      <c r="E4941" t="s">
        <v>98</v>
      </c>
      <c r="F4941" s="5">
        <v>42736</v>
      </c>
      <c r="G4941">
        <v>0</v>
      </c>
    </row>
    <row r="4942" spans="1:7" x14ac:dyDescent="0.25">
      <c r="A4942" t="s">
        <v>130</v>
      </c>
      <c r="B4942" t="s">
        <v>133</v>
      </c>
      <c r="C4942">
        <v>2000</v>
      </c>
      <c r="D4942" t="s">
        <v>8</v>
      </c>
      <c r="E4942" t="s">
        <v>9</v>
      </c>
      <c r="F4942" s="5">
        <v>42370</v>
      </c>
      <c r="G4942">
        <v>0</v>
      </c>
    </row>
    <row r="4943" spans="1:7" x14ac:dyDescent="0.25">
      <c r="A4943" t="s">
        <v>130</v>
      </c>
      <c r="B4943" t="s">
        <v>133</v>
      </c>
      <c r="C4943">
        <v>2000</v>
      </c>
      <c r="D4943" t="s">
        <v>8</v>
      </c>
      <c r="E4943" t="s">
        <v>9</v>
      </c>
      <c r="F4943" s="5">
        <v>42736</v>
      </c>
      <c r="G4943">
        <v>0</v>
      </c>
    </row>
    <row r="4944" spans="1:7" x14ac:dyDescent="0.25">
      <c r="A4944" t="s">
        <v>130</v>
      </c>
      <c r="B4944" t="s">
        <v>133</v>
      </c>
      <c r="C4944">
        <v>2000</v>
      </c>
      <c r="D4944" t="s">
        <v>8</v>
      </c>
      <c r="E4944" t="s">
        <v>10</v>
      </c>
      <c r="F4944" s="5">
        <v>42370</v>
      </c>
      <c r="G4944">
        <v>168</v>
      </c>
    </row>
    <row r="4945" spans="1:7" x14ac:dyDescent="0.25">
      <c r="A4945" t="s">
        <v>130</v>
      </c>
      <c r="B4945" t="s">
        <v>133</v>
      </c>
      <c r="C4945">
        <v>2000</v>
      </c>
      <c r="D4945" t="s">
        <v>8</v>
      </c>
      <c r="E4945" t="s">
        <v>10</v>
      </c>
      <c r="F4945" s="5">
        <v>42736</v>
      </c>
      <c r="G4945">
        <v>265</v>
      </c>
    </row>
    <row r="4946" spans="1:7" x14ac:dyDescent="0.25">
      <c r="A4946" t="s">
        <v>130</v>
      </c>
      <c r="B4946" t="s">
        <v>133</v>
      </c>
      <c r="C4946">
        <v>2000</v>
      </c>
      <c r="D4946" t="s">
        <v>8</v>
      </c>
      <c r="E4946" t="s">
        <v>11</v>
      </c>
      <c r="F4946" s="5">
        <v>42370</v>
      </c>
      <c r="G4946">
        <v>88</v>
      </c>
    </row>
    <row r="4947" spans="1:7" x14ac:dyDescent="0.25">
      <c r="A4947" t="s">
        <v>130</v>
      </c>
      <c r="B4947" t="s">
        <v>133</v>
      </c>
      <c r="C4947">
        <v>2000</v>
      </c>
      <c r="D4947" t="s">
        <v>8</v>
      </c>
      <c r="E4947" t="s">
        <v>11</v>
      </c>
      <c r="F4947" s="5">
        <v>42736</v>
      </c>
      <c r="G4947">
        <v>212</v>
      </c>
    </row>
    <row r="4948" spans="1:7" x14ac:dyDescent="0.25">
      <c r="A4948" t="s">
        <v>130</v>
      </c>
      <c r="B4948" t="s">
        <v>133</v>
      </c>
      <c r="C4948">
        <v>2000</v>
      </c>
      <c r="D4948" t="s">
        <v>8</v>
      </c>
      <c r="E4948" t="s">
        <v>12</v>
      </c>
      <c r="F4948" s="5">
        <v>42370</v>
      </c>
      <c r="G4948">
        <v>0</v>
      </c>
    </row>
    <row r="4949" spans="1:7" x14ac:dyDescent="0.25">
      <c r="A4949" t="s">
        <v>130</v>
      </c>
      <c r="B4949" t="s">
        <v>133</v>
      </c>
      <c r="C4949">
        <v>2000</v>
      </c>
      <c r="D4949" t="s">
        <v>8</v>
      </c>
      <c r="E4949" t="s">
        <v>12</v>
      </c>
      <c r="F4949" s="5">
        <v>42736</v>
      </c>
      <c r="G4949">
        <v>0</v>
      </c>
    </row>
    <row r="4950" spans="1:7" x14ac:dyDescent="0.25">
      <c r="A4950" t="s">
        <v>130</v>
      </c>
      <c r="B4950" t="s">
        <v>133</v>
      </c>
      <c r="C4950">
        <v>2000</v>
      </c>
      <c r="D4950" t="s">
        <v>8</v>
      </c>
      <c r="E4950" t="s">
        <v>13</v>
      </c>
      <c r="F4950" s="5">
        <v>42370</v>
      </c>
      <c r="G4950">
        <v>0</v>
      </c>
    </row>
    <row r="4951" spans="1:7" x14ac:dyDescent="0.25">
      <c r="A4951" t="s">
        <v>130</v>
      </c>
      <c r="B4951" t="s">
        <v>133</v>
      </c>
      <c r="C4951">
        <v>2000</v>
      </c>
      <c r="D4951" t="s">
        <v>8</v>
      </c>
      <c r="E4951" t="s">
        <v>13</v>
      </c>
      <c r="F4951" s="5">
        <v>42736</v>
      </c>
      <c r="G4951">
        <v>0</v>
      </c>
    </row>
    <row r="4952" spans="1:7" x14ac:dyDescent="0.25">
      <c r="A4952" t="s">
        <v>130</v>
      </c>
      <c r="B4952" t="s">
        <v>133</v>
      </c>
      <c r="C4952">
        <v>2000</v>
      </c>
      <c r="D4952" t="s">
        <v>8</v>
      </c>
      <c r="E4952" t="s">
        <v>14</v>
      </c>
      <c r="F4952" s="5">
        <v>42370</v>
      </c>
      <c r="G4952">
        <v>0</v>
      </c>
    </row>
    <row r="4953" spans="1:7" x14ac:dyDescent="0.25">
      <c r="A4953" t="s">
        <v>130</v>
      </c>
      <c r="B4953" t="s">
        <v>133</v>
      </c>
      <c r="C4953">
        <v>2000</v>
      </c>
      <c r="D4953" t="s">
        <v>8</v>
      </c>
      <c r="E4953" t="s">
        <v>14</v>
      </c>
      <c r="F4953" s="5">
        <v>42736</v>
      </c>
      <c r="G4953">
        <v>0</v>
      </c>
    </row>
    <row r="4954" spans="1:7" x14ac:dyDescent="0.25">
      <c r="A4954" t="s">
        <v>130</v>
      </c>
      <c r="B4954" t="s">
        <v>133</v>
      </c>
      <c r="C4954">
        <v>2000</v>
      </c>
      <c r="D4954" t="s">
        <v>8</v>
      </c>
      <c r="E4954" t="s">
        <v>15</v>
      </c>
      <c r="F4954" s="5">
        <v>42370</v>
      </c>
      <c r="G4954">
        <v>0</v>
      </c>
    </row>
    <row r="4955" spans="1:7" x14ac:dyDescent="0.25">
      <c r="A4955" t="s">
        <v>130</v>
      </c>
      <c r="B4955" t="s">
        <v>133</v>
      </c>
      <c r="C4955">
        <v>2000</v>
      </c>
      <c r="D4955" t="s">
        <v>8</v>
      </c>
      <c r="E4955" t="s">
        <v>15</v>
      </c>
      <c r="F4955" s="5">
        <v>42736</v>
      </c>
      <c r="G4955">
        <v>0</v>
      </c>
    </row>
    <row r="4956" spans="1:7" x14ac:dyDescent="0.25">
      <c r="A4956" t="s">
        <v>130</v>
      </c>
      <c r="B4956" t="s">
        <v>133</v>
      </c>
      <c r="C4956">
        <v>2000</v>
      </c>
      <c r="D4956" t="s">
        <v>8</v>
      </c>
      <c r="E4956" t="s">
        <v>16</v>
      </c>
      <c r="F4956" s="5">
        <v>42370</v>
      </c>
      <c r="G4956">
        <v>56</v>
      </c>
    </row>
    <row r="4957" spans="1:7" x14ac:dyDescent="0.25">
      <c r="A4957" t="s">
        <v>130</v>
      </c>
      <c r="B4957" t="s">
        <v>133</v>
      </c>
      <c r="C4957">
        <v>2000</v>
      </c>
      <c r="D4957" t="s">
        <v>8</v>
      </c>
      <c r="E4957" t="s">
        <v>16</v>
      </c>
      <c r="F4957" s="5">
        <v>42736</v>
      </c>
      <c r="G4957">
        <v>67</v>
      </c>
    </row>
    <row r="4958" spans="1:7" x14ac:dyDescent="0.25">
      <c r="A4958" t="s">
        <v>130</v>
      </c>
      <c r="B4958" t="s">
        <v>133</v>
      </c>
      <c r="C4958">
        <v>2000</v>
      </c>
      <c r="D4958" t="s">
        <v>8</v>
      </c>
      <c r="E4958" t="s">
        <v>17</v>
      </c>
      <c r="F4958" s="5">
        <v>42370</v>
      </c>
      <c r="G4958">
        <v>0</v>
      </c>
    </row>
    <row r="4959" spans="1:7" x14ac:dyDescent="0.25">
      <c r="A4959" t="s">
        <v>130</v>
      </c>
      <c r="B4959" t="s">
        <v>133</v>
      </c>
      <c r="C4959">
        <v>2000</v>
      </c>
      <c r="D4959" t="s">
        <v>8</v>
      </c>
      <c r="E4959" t="s">
        <v>17</v>
      </c>
      <c r="F4959" s="5">
        <v>42736</v>
      </c>
      <c r="G4959">
        <v>0</v>
      </c>
    </row>
    <row r="4960" spans="1:7" x14ac:dyDescent="0.25">
      <c r="A4960" t="s">
        <v>130</v>
      </c>
      <c r="B4960" t="s">
        <v>133</v>
      </c>
      <c r="C4960">
        <v>2000</v>
      </c>
      <c r="D4960" t="s">
        <v>8</v>
      </c>
      <c r="E4960" t="s">
        <v>18</v>
      </c>
      <c r="F4960" s="5">
        <v>42370</v>
      </c>
      <c r="G4960">
        <v>16</v>
      </c>
    </row>
    <row r="4961" spans="1:7" x14ac:dyDescent="0.25">
      <c r="A4961" t="s">
        <v>130</v>
      </c>
      <c r="B4961" t="s">
        <v>133</v>
      </c>
      <c r="C4961">
        <v>2000</v>
      </c>
      <c r="D4961" t="s">
        <v>8</v>
      </c>
      <c r="E4961" t="s">
        <v>18</v>
      </c>
      <c r="F4961" s="5">
        <v>42736</v>
      </c>
      <c r="G4961">
        <v>26</v>
      </c>
    </row>
    <row r="4962" spans="1:7" x14ac:dyDescent="0.25">
      <c r="A4962" t="s">
        <v>130</v>
      </c>
      <c r="B4962" t="s">
        <v>133</v>
      </c>
      <c r="C4962">
        <v>2000</v>
      </c>
      <c r="D4962" t="s">
        <v>8</v>
      </c>
      <c r="E4962" t="s">
        <v>19</v>
      </c>
      <c r="F4962" s="5">
        <v>42370</v>
      </c>
      <c r="G4962">
        <v>0</v>
      </c>
    </row>
    <row r="4963" spans="1:7" x14ac:dyDescent="0.25">
      <c r="A4963" t="s">
        <v>130</v>
      </c>
      <c r="B4963" t="s">
        <v>133</v>
      </c>
      <c r="C4963">
        <v>2000</v>
      </c>
      <c r="D4963" t="s">
        <v>8</v>
      </c>
      <c r="E4963" t="s">
        <v>19</v>
      </c>
      <c r="F4963" s="5">
        <v>42736</v>
      </c>
      <c r="G4963">
        <v>0</v>
      </c>
    </row>
    <row r="4964" spans="1:7" x14ac:dyDescent="0.25">
      <c r="A4964" t="s">
        <v>130</v>
      </c>
      <c r="B4964" t="s">
        <v>133</v>
      </c>
      <c r="C4964">
        <v>2000</v>
      </c>
      <c r="D4964" t="s">
        <v>20</v>
      </c>
      <c r="E4964" t="s">
        <v>9</v>
      </c>
      <c r="F4964" s="5">
        <v>42370</v>
      </c>
      <c r="G4964">
        <v>18</v>
      </c>
    </row>
    <row r="4965" spans="1:7" x14ac:dyDescent="0.25">
      <c r="A4965" t="s">
        <v>130</v>
      </c>
      <c r="B4965" t="s">
        <v>133</v>
      </c>
      <c r="C4965">
        <v>2000</v>
      </c>
      <c r="D4965" t="s">
        <v>20</v>
      </c>
      <c r="E4965" t="s">
        <v>9</v>
      </c>
      <c r="F4965" s="5">
        <v>42736</v>
      </c>
      <c r="G4965">
        <v>61</v>
      </c>
    </row>
    <row r="4966" spans="1:7" x14ac:dyDescent="0.25">
      <c r="A4966" t="s">
        <v>130</v>
      </c>
      <c r="B4966" t="s">
        <v>133</v>
      </c>
      <c r="C4966">
        <v>2000</v>
      </c>
      <c r="D4966" t="s">
        <v>20</v>
      </c>
      <c r="E4966" t="s">
        <v>21</v>
      </c>
      <c r="F4966" s="5">
        <v>42370</v>
      </c>
      <c r="G4966">
        <v>0</v>
      </c>
    </row>
    <row r="4967" spans="1:7" x14ac:dyDescent="0.25">
      <c r="A4967" t="s">
        <v>130</v>
      </c>
      <c r="B4967" t="s">
        <v>133</v>
      </c>
      <c r="C4967">
        <v>2000</v>
      </c>
      <c r="D4967" t="s">
        <v>20</v>
      </c>
      <c r="E4967" t="s">
        <v>21</v>
      </c>
      <c r="F4967" s="5">
        <v>42736</v>
      </c>
      <c r="G4967">
        <v>0</v>
      </c>
    </row>
    <row r="4968" spans="1:7" x14ac:dyDescent="0.25">
      <c r="A4968" t="s">
        <v>130</v>
      </c>
      <c r="B4968" t="s">
        <v>133</v>
      </c>
      <c r="C4968">
        <v>2000</v>
      </c>
      <c r="D4968" t="s">
        <v>20</v>
      </c>
      <c r="E4968" t="s">
        <v>22</v>
      </c>
      <c r="F4968" s="5">
        <v>42370</v>
      </c>
      <c r="G4968">
        <v>0</v>
      </c>
    </row>
    <row r="4969" spans="1:7" x14ac:dyDescent="0.25">
      <c r="A4969" t="s">
        <v>130</v>
      </c>
      <c r="B4969" t="s">
        <v>133</v>
      </c>
      <c r="C4969">
        <v>2000</v>
      </c>
      <c r="D4969" t="s">
        <v>20</v>
      </c>
      <c r="E4969" t="s">
        <v>22</v>
      </c>
      <c r="F4969" s="5">
        <v>42736</v>
      </c>
      <c r="G4969">
        <v>1</v>
      </c>
    </row>
    <row r="4970" spans="1:7" x14ac:dyDescent="0.25">
      <c r="A4970" t="s">
        <v>130</v>
      </c>
      <c r="B4970" t="s">
        <v>133</v>
      </c>
      <c r="C4970">
        <v>2000</v>
      </c>
      <c r="D4970" t="s">
        <v>20</v>
      </c>
      <c r="E4970" t="s">
        <v>23</v>
      </c>
      <c r="F4970" s="5">
        <v>42370</v>
      </c>
      <c r="G4970">
        <v>24</v>
      </c>
    </row>
    <row r="4971" spans="1:7" x14ac:dyDescent="0.25">
      <c r="A4971" t="s">
        <v>130</v>
      </c>
      <c r="B4971" t="s">
        <v>133</v>
      </c>
      <c r="C4971">
        <v>2000</v>
      </c>
      <c r="D4971" t="s">
        <v>20</v>
      </c>
      <c r="E4971" t="s">
        <v>23</v>
      </c>
      <c r="F4971" s="5">
        <v>42736</v>
      </c>
      <c r="G4971">
        <v>11</v>
      </c>
    </row>
    <row r="4972" spans="1:7" x14ac:dyDescent="0.25">
      <c r="A4972" t="s">
        <v>130</v>
      </c>
      <c r="B4972" t="s">
        <v>133</v>
      </c>
      <c r="C4972">
        <v>2000</v>
      </c>
      <c r="D4972" t="s">
        <v>20</v>
      </c>
      <c r="E4972" t="s">
        <v>24</v>
      </c>
      <c r="F4972" s="5">
        <v>42370</v>
      </c>
      <c r="G4972">
        <v>0</v>
      </c>
    </row>
    <row r="4973" spans="1:7" x14ac:dyDescent="0.25">
      <c r="A4973" t="s">
        <v>130</v>
      </c>
      <c r="B4973" t="s">
        <v>133</v>
      </c>
      <c r="C4973">
        <v>2000</v>
      </c>
      <c r="D4973" t="s">
        <v>20</v>
      </c>
      <c r="E4973" t="s">
        <v>24</v>
      </c>
      <c r="F4973" s="5">
        <v>42736</v>
      </c>
      <c r="G4973">
        <v>0</v>
      </c>
    </row>
    <row r="4974" spans="1:7" x14ac:dyDescent="0.25">
      <c r="A4974" t="s">
        <v>130</v>
      </c>
      <c r="B4974" t="s">
        <v>133</v>
      </c>
      <c r="C4974">
        <v>2000</v>
      </c>
      <c r="D4974" t="s">
        <v>20</v>
      </c>
      <c r="E4974" t="s">
        <v>25</v>
      </c>
      <c r="F4974" s="5">
        <v>42370</v>
      </c>
      <c r="G4974">
        <v>0</v>
      </c>
    </row>
    <row r="4975" spans="1:7" x14ac:dyDescent="0.25">
      <c r="A4975" t="s">
        <v>130</v>
      </c>
      <c r="B4975" t="s">
        <v>133</v>
      </c>
      <c r="C4975">
        <v>2000</v>
      </c>
      <c r="D4975" t="s">
        <v>20</v>
      </c>
      <c r="E4975" t="s">
        <v>25</v>
      </c>
      <c r="F4975" s="5">
        <v>42736</v>
      </c>
      <c r="G4975">
        <v>0</v>
      </c>
    </row>
    <row r="4976" spans="1:7" x14ac:dyDescent="0.25">
      <c r="A4976" t="s">
        <v>130</v>
      </c>
      <c r="B4976" t="s">
        <v>133</v>
      </c>
      <c r="C4976">
        <v>2000</v>
      </c>
      <c r="D4976" t="s">
        <v>20</v>
      </c>
      <c r="E4976" t="s">
        <v>26</v>
      </c>
      <c r="F4976" s="5">
        <v>42370</v>
      </c>
      <c r="G4976">
        <v>114</v>
      </c>
    </row>
    <row r="4977" spans="1:7" x14ac:dyDescent="0.25">
      <c r="A4977" t="s">
        <v>130</v>
      </c>
      <c r="B4977" t="s">
        <v>133</v>
      </c>
      <c r="C4977">
        <v>2000</v>
      </c>
      <c r="D4977" t="s">
        <v>20</v>
      </c>
      <c r="E4977" t="s">
        <v>26</v>
      </c>
      <c r="F4977" s="5">
        <v>42736</v>
      </c>
      <c r="G4977">
        <v>155</v>
      </c>
    </row>
    <row r="4978" spans="1:7" x14ac:dyDescent="0.25">
      <c r="A4978" t="s">
        <v>130</v>
      </c>
      <c r="B4978" t="s">
        <v>133</v>
      </c>
      <c r="C4978">
        <v>2000</v>
      </c>
      <c r="D4978" t="s">
        <v>20</v>
      </c>
      <c r="E4978" t="s">
        <v>27</v>
      </c>
      <c r="F4978" s="5">
        <v>42370</v>
      </c>
      <c r="G4978">
        <v>0</v>
      </c>
    </row>
    <row r="4979" spans="1:7" x14ac:dyDescent="0.25">
      <c r="A4979" t="s">
        <v>130</v>
      </c>
      <c r="B4979" t="s">
        <v>133</v>
      </c>
      <c r="C4979">
        <v>2000</v>
      </c>
      <c r="D4979" t="s">
        <v>20</v>
      </c>
      <c r="E4979" t="s">
        <v>27</v>
      </c>
      <c r="F4979" s="5">
        <v>42736</v>
      </c>
      <c r="G4979">
        <v>0</v>
      </c>
    </row>
    <row r="4980" spans="1:7" x14ac:dyDescent="0.25">
      <c r="A4980" t="s">
        <v>130</v>
      </c>
      <c r="B4980" t="s">
        <v>133</v>
      </c>
      <c r="C4980">
        <v>2000</v>
      </c>
      <c r="D4980" t="s">
        <v>20</v>
      </c>
      <c r="E4980" t="s">
        <v>28</v>
      </c>
      <c r="F4980" s="5">
        <v>42370</v>
      </c>
      <c r="G4980">
        <v>0</v>
      </c>
    </row>
    <row r="4981" spans="1:7" x14ac:dyDescent="0.25">
      <c r="A4981" t="s">
        <v>130</v>
      </c>
      <c r="B4981" t="s">
        <v>133</v>
      </c>
      <c r="C4981">
        <v>2000</v>
      </c>
      <c r="D4981" t="s">
        <v>20</v>
      </c>
      <c r="E4981" t="s">
        <v>28</v>
      </c>
      <c r="F4981" s="5">
        <v>42736</v>
      </c>
      <c r="G4981">
        <v>0</v>
      </c>
    </row>
    <row r="4982" spans="1:7" x14ac:dyDescent="0.25">
      <c r="A4982" t="s">
        <v>130</v>
      </c>
      <c r="B4982" t="s">
        <v>133</v>
      </c>
      <c r="C4982">
        <v>2000</v>
      </c>
      <c r="D4982" t="s">
        <v>20</v>
      </c>
      <c r="E4982" t="s">
        <v>29</v>
      </c>
      <c r="F4982" s="5">
        <v>42370</v>
      </c>
      <c r="G4982">
        <v>119</v>
      </c>
    </row>
    <row r="4983" spans="1:7" x14ac:dyDescent="0.25">
      <c r="A4983" t="s">
        <v>130</v>
      </c>
      <c r="B4983" t="s">
        <v>133</v>
      </c>
      <c r="C4983">
        <v>2000</v>
      </c>
      <c r="D4983" t="s">
        <v>20</v>
      </c>
      <c r="E4983" t="s">
        <v>29</v>
      </c>
      <c r="F4983" s="5">
        <v>42736</v>
      </c>
      <c r="G4983">
        <v>157</v>
      </c>
    </row>
    <row r="4984" spans="1:7" x14ac:dyDescent="0.25">
      <c r="A4984" t="s">
        <v>130</v>
      </c>
      <c r="B4984" t="s">
        <v>133</v>
      </c>
      <c r="C4984">
        <v>2000</v>
      </c>
      <c r="D4984" t="s">
        <v>20</v>
      </c>
      <c r="E4984" t="s">
        <v>30</v>
      </c>
      <c r="F4984" s="5">
        <v>42370</v>
      </c>
      <c r="G4984">
        <v>113</v>
      </c>
    </row>
    <row r="4985" spans="1:7" x14ac:dyDescent="0.25">
      <c r="A4985" t="s">
        <v>130</v>
      </c>
      <c r="B4985" t="s">
        <v>133</v>
      </c>
      <c r="C4985">
        <v>2000</v>
      </c>
      <c r="D4985" t="s">
        <v>20</v>
      </c>
      <c r="E4985" t="s">
        <v>30</v>
      </c>
      <c r="F4985" s="5">
        <v>42736</v>
      </c>
      <c r="G4985">
        <v>158</v>
      </c>
    </row>
    <row r="4986" spans="1:7" x14ac:dyDescent="0.25">
      <c r="A4986" t="s">
        <v>130</v>
      </c>
      <c r="B4986" t="s">
        <v>133</v>
      </c>
      <c r="C4986">
        <v>2000</v>
      </c>
      <c r="D4986" t="s">
        <v>20</v>
      </c>
      <c r="E4986" t="s">
        <v>31</v>
      </c>
      <c r="F4986" s="5">
        <v>42370</v>
      </c>
      <c r="G4986">
        <v>617</v>
      </c>
    </row>
    <row r="4987" spans="1:7" x14ac:dyDescent="0.25">
      <c r="A4987" t="s">
        <v>130</v>
      </c>
      <c r="B4987" t="s">
        <v>133</v>
      </c>
      <c r="C4987">
        <v>2000</v>
      </c>
      <c r="D4987" t="s">
        <v>20</v>
      </c>
      <c r="E4987" t="s">
        <v>31</v>
      </c>
      <c r="F4987" s="5">
        <v>42736</v>
      </c>
      <c r="G4987">
        <v>521</v>
      </c>
    </row>
    <row r="4988" spans="1:7" x14ac:dyDescent="0.25">
      <c r="A4988" t="s">
        <v>130</v>
      </c>
      <c r="B4988" t="s">
        <v>133</v>
      </c>
      <c r="C4988">
        <v>2000</v>
      </c>
      <c r="D4988" t="s">
        <v>20</v>
      </c>
      <c r="E4988" t="s">
        <v>32</v>
      </c>
      <c r="F4988" s="5">
        <v>42370</v>
      </c>
      <c r="G4988">
        <v>122</v>
      </c>
    </row>
    <row r="4989" spans="1:7" x14ac:dyDescent="0.25">
      <c r="A4989" t="s">
        <v>130</v>
      </c>
      <c r="B4989" t="s">
        <v>133</v>
      </c>
      <c r="C4989">
        <v>2000</v>
      </c>
      <c r="D4989" t="s">
        <v>20</v>
      </c>
      <c r="E4989" t="s">
        <v>32</v>
      </c>
      <c r="F4989" s="5">
        <v>42736</v>
      </c>
      <c r="G4989">
        <v>163</v>
      </c>
    </row>
    <row r="4990" spans="1:7" x14ac:dyDescent="0.25">
      <c r="A4990" t="s">
        <v>130</v>
      </c>
      <c r="B4990" t="s">
        <v>133</v>
      </c>
      <c r="C4990">
        <v>2000</v>
      </c>
      <c r="D4990" t="s">
        <v>33</v>
      </c>
      <c r="E4990" t="s">
        <v>9</v>
      </c>
      <c r="F4990" s="5">
        <v>42370</v>
      </c>
      <c r="G4990">
        <v>0</v>
      </c>
    </row>
    <row r="4991" spans="1:7" x14ac:dyDescent="0.25">
      <c r="A4991" t="s">
        <v>130</v>
      </c>
      <c r="B4991" t="s">
        <v>133</v>
      </c>
      <c r="C4991">
        <v>2000</v>
      </c>
      <c r="D4991" t="s">
        <v>33</v>
      </c>
      <c r="E4991" t="s">
        <v>9</v>
      </c>
      <c r="F4991" s="5">
        <v>42736</v>
      </c>
      <c r="G4991">
        <v>0</v>
      </c>
    </row>
    <row r="4992" spans="1:7" x14ac:dyDescent="0.25">
      <c r="A4992" t="s">
        <v>130</v>
      </c>
      <c r="B4992" t="s">
        <v>133</v>
      </c>
      <c r="C4992">
        <v>2000</v>
      </c>
      <c r="D4992" t="s">
        <v>33</v>
      </c>
      <c r="E4992" t="s">
        <v>34</v>
      </c>
      <c r="F4992" s="5">
        <v>42370</v>
      </c>
      <c r="G4992">
        <v>0</v>
      </c>
    </row>
    <row r="4993" spans="1:7" x14ac:dyDescent="0.25">
      <c r="A4993" t="s">
        <v>130</v>
      </c>
      <c r="B4993" t="s">
        <v>133</v>
      </c>
      <c r="C4993">
        <v>2000</v>
      </c>
      <c r="D4993" t="s">
        <v>33</v>
      </c>
      <c r="E4993" t="s">
        <v>34</v>
      </c>
      <c r="F4993" s="5">
        <v>42736</v>
      </c>
      <c r="G4993">
        <v>0</v>
      </c>
    </row>
    <row r="4994" spans="1:7" x14ac:dyDescent="0.25">
      <c r="A4994" t="s">
        <v>130</v>
      </c>
      <c r="B4994" t="s">
        <v>133</v>
      </c>
      <c r="C4994">
        <v>2000</v>
      </c>
      <c r="D4994" t="s">
        <v>35</v>
      </c>
      <c r="E4994" t="s">
        <v>36</v>
      </c>
      <c r="F4994" s="5">
        <v>42370</v>
      </c>
      <c r="G4994">
        <v>0</v>
      </c>
    </row>
    <row r="4995" spans="1:7" x14ac:dyDescent="0.25">
      <c r="A4995" t="s">
        <v>130</v>
      </c>
      <c r="B4995" t="s">
        <v>133</v>
      </c>
      <c r="C4995">
        <v>2000</v>
      </c>
      <c r="D4995" t="s">
        <v>35</v>
      </c>
      <c r="E4995" t="s">
        <v>36</v>
      </c>
      <c r="F4995" s="5">
        <v>42736</v>
      </c>
      <c r="G4995">
        <v>0</v>
      </c>
    </row>
    <row r="4996" spans="1:7" x14ac:dyDescent="0.25">
      <c r="A4996" t="s">
        <v>130</v>
      </c>
      <c r="B4996" t="s">
        <v>133</v>
      </c>
      <c r="C4996">
        <v>2000</v>
      </c>
      <c r="D4996" t="s">
        <v>35</v>
      </c>
      <c r="E4996" t="s">
        <v>37</v>
      </c>
      <c r="F4996" s="5">
        <v>42370</v>
      </c>
      <c r="G4996">
        <v>0</v>
      </c>
    </row>
    <row r="4997" spans="1:7" x14ac:dyDescent="0.25">
      <c r="A4997" t="s">
        <v>130</v>
      </c>
      <c r="B4997" t="s">
        <v>133</v>
      </c>
      <c r="C4997">
        <v>2000</v>
      </c>
      <c r="D4997" t="s">
        <v>35</v>
      </c>
      <c r="E4997" t="s">
        <v>37</v>
      </c>
      <c r="F4997" s="5">
        <v>42736</v>
      </c>
      <c r="G4997">
        <v>1</v>
      </c>
    </row>
    <row r="4998" spans="1:7" x14ac:dyDescent="0.25">
      <c r="A4998" t="s">
        <v>130</v>
      </c>
      <c r="B4998" t="s">
        <v>133</v>
      </c>
      <c r="C4998">
        <v>2000</v>
      </c>
      <c r="D4998" t="s">
        <v>35</v>
      </c>
      <c r="E4998" t="s">
        <v>38</v>
      </c>
      <c r="F4998" s="5">
        <v>42370</v>
      </c>
      <c r="G4998">
        <v>0</v>
      </c>
    </row>
    <row r="4999" spans="1:7" x14ac:dyDescent="0.25">
      <c r="A4999" t="s">
        <v>130</v>
      </c>
      <c r="B4999" t="s">
        <v>133</v>
      </c>
      <c r="C4999">
        <v>2000</v>
      </c>
      <c r="D4999" t="s">
        <v>35</v>
      </c>
      <c r="E4999" t="s">
        <v>38</v>
      </c>
      <c r="F4999" s="5">
        <v>42736</v>
      </c>
      <c r="G4999">
        <v>0</v>
      </c>
    </row>
    <row r="5000" spans="1:7" x14ac:dyDescent="0.25">
      <c r="A5000" t="s">
        <v>130</v>
      </c>
      <c r="B5000" t="s">
        <v>133</v>
      </c>
      <c r="C5000">
        <v>2000</v>
      </c>
      <c r="D5000" t="s">
        <v>35</v>
      </c>
      <c r="E5000" t="s">
        <v>39</v>
      </c>
      <c r="F5000" s="5">
        <v>42370</v>
      </c>
      <c r="G5000">
        <v>0</v>
      </c>
    </row>
    <row r="5001" spans="1:7" x14ac:dyDescent="0.25">
      <c r="A5001" t="s">
        <v>130</v>
      </c>
      <c r="B5001" t="s">
        <v>133</v>
      </c>
      <c r="C5001">
        <v>2000</v>
      </c>
      <c r="D5001" t="s">
        <v>35</v>
      </c>
      <c r="E5001" t="s">
        <v>39</v>
      </c>
      <c r="F5001" s="5">
        <v>42736</v>
      </c>
      <c r="G5001">
        <v>0</v>
      </c>
    </row>
    <row r="5002" spans="1:7" x14ac:dyDescent="0.25">
      <c r="A5002" t="s">
        <v>130</v>
      </c>
      <c r="B5002" t="s">
        <v>133</v>
      </c>
      <c r="C5002">
        <v>2000</v>
      </c>
      <c r="D5002" t="s">
        <v>35</v>
      </c>
      <c r="E5002" t="s">
        <v>40</v>
      </c>
      <c r="F5002" s="5">
        <v>42370</v>
      </c>
      <c r="G5002">
        <v>1</v>
      </c>
    </row>
    <row r="5003" spans="1:7" x14ac:dyDescent="0.25">
      <c r="A5003" t="s">
        <v>130</v>
      </c>
      <c r="B5003" t="s">
        <v>133</v>
      </c>
      <c r="C5003">
        <v>2000</v>
      </c>
      <c r="D5003" t="s">
        <v>35</v>
      </c>
      <c r="E5003" t="s">
        <v>40</v>
      </c>
      <c r="F5003" s="5">
        <v>42736</v>
      </c>
      <c r="G5003">
        <v>4</v>
      </c>
    </row>
    <row r="5004" spans="1:7" x14ac:dyDescent="0.25">
      <c r="A5004" t="s">
        <v>130</v>
      </c>
      <c r="B5004" t="s">
        <v>133</v>
      </c>
      <c r="C5004">
        <v>2000</v>
      </c>
      <c r="D5004" t="s">
        <v>35</v>
      </c>
      <c r="E5004" t="s">
        <v>41</v>
      </c>
      <c r="F5004" s="5">
        <v>42370</v>
      </c>
      <c r="G5004">
        <v>3</v>
      </c>
    </row>
    <row r="5005" spans="1:7" x14ac:dyDescent="0.25">
      <c r="A5005" t="s">
        <v>130</v>
      </c>
      <c r="B5005" t="s">
        <v>133</v>
      </c>
      <c r="C5005">
        <v>2000</v>
      </c>
      <c r="D5005" t="s">
        <v>35</v>
      </c>
      <c r="E5005" t="s">
        <v>41</v>
      </c>
      <c r="F5005" s="5">
        <v>42736</v>
      </c>
      <c r="G5005">
        <v>3</v>
      </c>
    </row>
    <row r="5006" spans="1:7" x14ac:dyDescent="0.25">
      <c r="A5006" t="s">
        <v>130</v>
      </c>
      <c r="B5006" t="s">
        <v>133</v>
      </c>
      <c r="C5006">
        <v>2000</v>
      </c>
      <c r="D5006" t="s">
        <v>35</v>
      </c>
      <c r="E5006" t="s">
        <v>42</v>
      </c>
      <c r="F5006" s="5">
        <v>42370</v>
      </c>
      <c r="G5006">
        <v>0</v>
      </c>
    </row>
    <row r="5007" spans="1:7" x14ac:dyDescent="0.25">
      <c r="A5007" t="s">
        <v>130</v>
      </c>
      <c r="B5007" t="s">
        <v>133</v>
      </c>
      <c r="C5007">
        <v>2000</v>
      </c>
      <c r="D5007" t="s">
        <v>35</v>
      </c>
      <c r="E5007" t="s">
        <v>42</v>
      </c>
      <c r="F5007" s="5">
        <v>42736</v>
      </c>
      <c r="G5007">
        <v>0</v>
      </c>
    </row>
    <row r="5008" spans="1:7" x14ac:dyDescent="0.25">
      <c r="A5008" t="s">
        <v>130</v>
      </c>
      <c r="B5008" t="s">
        <v>133</v>
      </c>
      <c r="C5008">
        <v>2000</v>
      </c>
      <c r="D5008" t="s">
        <v>35</v>
      </c>
      <c r="E5008" t="s">
        <v>43</v>
      </c>
      <c r="F5008" s="5">
        <v>42370</v>
      </c>
      <c r="G5008">
        <v>0</v>
      </c>
    </row>
    <row r="5009" spans="1:7" x14ac:dyDescent="0.25">
      <c r="A5009" t="s">
        <v>130</v>
      </c>
      <c r="B5009" t="s">
        <v>133</v>
      </c>
      <c r="C5009">
        <v>2000</v>
      </c>
      <c r="D5009" t="s">
        <v>35</v>
      </c>
      <c r="E5009" t="s">
        <v>43</v>
      </c>
      <c r="F5009" s="5">
        <v>42736</v>
      </c>
      <c r="G5009">
        <v>0</v>
      </c>
    </row>
    <row r="5010" spans="1:7" x14ac:dyDescent="0.25">
      <c r="A5010" t="s">
        <v>130</v>
      </c>
      <c r="B5010" t="s">
        <v>133</v>
      </c>
      <c r="C5010">
        <v>2000</v>
      </c>
      <c r="D5010" t="s">
        <v>44</v>
      </c>
      <c r="E5010" t="s">
        <v>36</v>
      </c>
      <c r="F5010" s="5">
        <v>42370</v>
      </c>
      <c r="G5010">
        <v>0</v>
      </c>
    </row>
    <row r="5011" spans="1:7" x14ac:dyDescent="0.25">
      <c r="A5011" t="s">
        <v>130</v>
      </c>
      <c r="B5011" t="s">
        <v>133</v>
      </c>
      <c r="C5011">
        <v>2000</v>
      </c>
      <c r="D5011" t="s">
        <v>44</v>
      </c>
      <c r="E5011" t="s">
        <v>36</v>
      </c>
      <c r="F5011" s="5">
        <v>42736</v>
      </c>
      <c r="G5011">
        <v>0</v>
      </c>
    </row>
    <row r="5012" spans="1:7" x14ac:dyDescent="0.25">
      <c r="A5012" t="s">
        <v>130</v>
      </c>
      <c r="B5012" t="s">
        <v>133</v>
      </c>
      <c r="C5012">
        <v>2000</v>
      </c>
      <c r="D5012" t="s">
        <v>44</v>
      </c>
      <c r="E5012" t="s">
        <v>37</v>
      </c>
      <c r="F5012" s="5">
        <v>42370</v>
      </c>
      <c r="G5012">
        <v>0</v>
      </c>
    </row>
    <row r="5013" spans="1:7" x14ac:dyDescent="0.25">
      <c r="A5013" t="s">
        <v>130</v>
      </c>
      <c r="B5013" t="s">
        <v>133</v>
      </c>
      <c r="C5013">
        <v>2000</v>
      </c>
      <c r="D5013" t="s">
        <v>44</v>
      </c>
      <c r="E5013" t="s">
        <v>37</v>
      </c>
      <c r="F5013" s="5">
        <v>42736</v>
      </c>
      <c r="G5013">
        <v>0</v>
      </c>
    </row>
    <row r="5014" spans="1:7" x14ac:dyDescent="0.25">
      <c r="A5014" t="s">
        <v>130</v>
      </c>
      <c r="B5014" t="s">
        <v>133</v>
      </c>
      <c r="C5014">
        <v>2000</v>
      </c>
      <c r="D5014" t="s">
        <v>44</v>
      </c>
      <c r="E5014" t="s">
        <v>38</v>
      </c>
      <c r="F5014" s="5">
        <v>42370</v>
      </c>
      <c r="G5014">
        <v>0</v>
      </c>
    </row>
    <row r="5015" spans="1:7" x14ac:dyDescent="0.25">
      <c r="A5015" t="s">
        <v>130</v>
      </c>
      <c r="B5015" t="s">
        <v>133</v>
      </c>
      <c r="C5015">
        <v>2000</v>
      </c>
      <c r="D5015" t="s">
        <v>44</v>
      </c>
      <c r="E5015" t="s">
        <v>38</v>
      </c>
      <c r="F5015" s="5">
        <v>42736</v>
      </c>
      <c r="G5015">
        <v>0</v>
      </c>
    </row>
    <row r="5016" spans="1:7" x14ac:dyDescent="0.25">
      <c r="A5016" t="s">
        <v>130</v>
      </c>
      <c r="B5016" t="s">
        <v>133</v>
      </c>
      <c r="C5016">
        <v>2000</v>
      </c>
      <c r="D5016" t="s">
        <v>44</v>
      </c>
      <c r="E5016" t="s">
        <v>39</v>
      </c>
      <c r="F5016" s="5">
        <v>42370</v>
      </c>
      <c r="G5016">
        <v>0</v>
      </c>
    </row>
    <row r="5017" spans="1:7" x14ac:dyDescent="0.25">
      <c r="A5017" t="s">
        <v>130</v>
      </c>
      <c r="B5017" t="s">
        <v>133</v>
      </c>
      <c r="C5017">
        <v>2000</v>
      </c>
      <c r="D5017" t="s">
        <v>44</v>
      </c>
      <c r="E5017" t="s">
        <v>39</v>
      </c>
      <c r="F5017" s="5">
        <v>42736</v>
      </c>
      <c r="G5017">
        <v>0</v>
      </c>
    </row>
    <row r="5018" spans="1:7" x14ac:dyDescent="0.25">
      <c r="A5018" t="s">
        <v>130</v>
      </c>
      <c r="B5018" t="s">
        <v>133</v>
      </c>
      <c r="C5018">
        <v>2000</v>
      </c>
      <c r="D5018" t="s">
        <v>44</v>
      </c>
      <c r="E5018" t="s">
        <v>40</v>
      </c>
      <c r="F5018" s="5">
        <v>42370</v>
      </c>
      <c r="G5018">
        <v>1</v>
      </c>
    </row>
    <row r="5019" spans="1:7" x14ac:dyDescent="0.25">
      <c r="A5019" t="s">
        <v>130</v>
      </c>
      <c r="B5019" t="s">
        <v>133</v>
      </c>
      <c r="C5019">
        <v>2000</v>
      </c>
      <c r="D5019" t="s">
        <v>44</v>
      </c>
      <c r="E5019" t="s">
        <v>40</v>
      </c>
      <c r="F5019" s="5">
        <v>42736</v>
      </c>
      <c r="G5019">
        <v>0</v>
      </c>
    </row>
    <row r="5020" spans="1:7" x14ac:dyDescent="0.25">
      <c r="A5020" t="s">
        <v>130</v>
      </c>
      <c r="B5020" t="s">
        <v>133</v>
      </c>
      <c r="C5020">
        <v>2000</v>
      </c>
      <c r="D5020" t="s">
        <v>44</v>
      </c>
      <c r="E5020" t="s">
        <v>41</v>
      </c>
      <c r="F5020" s="5">
        <v>42370</v>
      </c>
      <c r="G5020">
        <v>0</v>
      </c>
    </row>
    <row r="5021" spans="1:7" x14ac:dyDescent="0.25">
      <c r="A5021" t="s">
        <v>130</v>
      </c>
      <c r="B5021" t="s">
        <v>133</v>
      </c>
      <c r="C5021">
        <v>2000</v>
      </c>
      <c r="D5021" t="s">
        <v>44</v>
      </c>
      <c r="E5021" t="s">
        <v>41</v>
      </c>
      <c r="F5021" s="5">
        <v>42736</v>
      </c>
      <c r="G5021">
        <v>0</v>
      </c>
    </row>
    <row r="5022" spans="1:7" x14ac:dyDescent="0.25">
      <c r="A5022" t="s">
        <v>130</v>
      </c>
      <c r="B5022" t="s">
        <v>133</v>
      </c>
      <c r="C5022">
        <v>2000</v>
      </c>
      <c r="D5022" t="s">
        <v>44</v>
      </c>
      <c r="E5022" t="s">
        <v>42</v>
      </c>
      <c r="F5022" s="5">
        <v>42370</v>
      </c>
      <c r="G5022">
        <v>0</v>
      </c>
    </row>
    <row r="5023" spans="1:7" x14ac:dyDescent="0.25">
      <c r="A5023" t="s">
        <v>130</v>
      </c>
      <c r="B5023" t="s">
        <v>133</v>
      </c>
      <c r="C5023">
        <v>2000</v>
      </c>
      <c r="D5023" t="s">
        <v>44</v>
      </c>
      <c r="E5023" t="s">
        <v>42</v>
      </c>
      <c r="F5023" s="5">
        <v>42736</v>
      </c>
      <c r="G5023">
        <v>0</v>
      </c>
    </row>
    <row r="5024" spans="1:7" x14ac:dyDescent="0.25">
      <c r="A5024" t="s">
        <v>130</v>
      </c>
      <c r="B5024" t="s">
        <v>133</v>
      </c>
      <c r="C5024">
        <v>2000</v>
      </c>
      <c r="D5024" t="s">
        <v>44</v>
      </c>
      <c r="E5024" t="s">
        <v>43</v>
      </c>
      <c r="F5024" s="5">
        <v>42370</v>
      </c>
      <c r="G5024">
        <v>0</v>
      </c>
    </row>
    <row r="5025" spans="1:7" x14ac:dyDescent="0.25">
      <c r="A5025" t="s">
        <v>130</v>
      </c>
      <c r="B5025" t="s">
        <v>133</v>
      </c>
      <c r="C5025">
        <v>2000</v>
      </c>
      <c r="D5025" t="s">
        <v>44</v>
      </c>
      <c r="E5025" t="s">
        <v>43</v>
      </c>
      <c r="F5025" s="5">
        <v>42736</v>
      </c>
      <c r="G5025">
        <v>0</v>
      </c>
    </row>
    <row r="5026" spans="1:7" x14ac:dyDescent="0.25">
      <c r="A5026" t="s">
        <v>130</v>
      </c>
      <c r="B5026" t="s">
        <v>133</v>
      </c>
      <c r="C5026">
        <v>2000</v>
      </c>
      <c r="D5026" t="s">
        <v>45</v>
      </c>
      <c r="E5026" t="s">
        <v>46</v>
      </c>
      <c r="F5026" s="5">
        <v>42370</v>
      </c>
      <c r="G5026">
        <v>0</v>
      </c>
    </row>
    <row r="5027" spans="1:7" x14ac:dyDescent="0.25">
      <c r="A5027" t="s">
        <v>130</v>
      </c>
      <c r="B5027" t="s">
        <v>133</v>
      </c>
      <c r="C5027">
        <v>2000</v>
      </c>
      <c r="D5027" t="s">
        <v>45</v>
      </c>
      <c r="E5027" t="s">
        <v>46</v>
      </c>
      <c r="F5027" s="5">
        <v>42736</v>
      </c>
      <c r="G5027">
        <v>0</v>
      </c>
    </row>
    <row r="5028" spans="1:7" x14ac:dyDescent="0.25">
      <c r="A5028" t="s">
        <v>130</v>
      </c>
      <c r="B5028" t="s">
        <v>133</v>
      </c>
      <c r="C5028">
        <v>2000</v>
      </c>
      <c r="D5028" t="s">
        <v>45</v>
      </c>
      <c r="E5028" t="s">
        <v>47</v>
      </c>
      <c r="F5028" s="5">
        <v>42370</v>
      </c>
      <c r="G5028">
        <v>5</v>
      </c>
    </row>
    <row r="5029" spans="1:7" x14ac:dyDescent="0.25">
      <c r="A5029" t="s">
        <v>130</v>
      </c>
      <c r="B5029" t="s">
        <v>133</v>
      </c>
      <c r="C5029">
        <v>2000</v>
      </c>
      <c r="D5029" t="s">
        <v>45</v>
      </c>
      <c r="E5029" t="s">
        <v>47</v>
      </c>
      <c r="F5029" s="5">
        <v>42736</v>
      </c>
      <c r="G5029">
        <v>8</v>
      </c>
    </row>
    <row r="5030" spans="1:7" x14ac:dyDescent="0.25">
      <c r="A5030" t="s">
        <v>130</v>
      </c>
      <c r="B5030" t="s">
        <v>133</v>
      </c>
      <c r="C5030">
        <v>2000</v>
      </c>
      <c r="D5030" t="s">
        <v>45</v>
      </c>
      <c r="E5030" t="s">
        <v>48</v>
      </c>
      <c r="F5030" s="5">
        <v>42370</v>
      </c>
      <c r="G5030">
        <v>44</v>
      </c>
    </row>
    <row r="5031" spans="1:7" x14ac:dyDescent="0.25">
      <c r="A5031" t="s">
        <v>130</v>
      </c>
      <c r="B5031" t="s">
        <v>133</v>
      </c>
      <c r="C5031">
        <v>2000</v>
      </c>
      <c r="D5031" t="s">
        <v>45</v>
      </c>
      <c r="E5031" t="s">
        <v>48</v>
      </c>
      <c r="F5031" s="5">
        <v>42736</v>
      </c>
      <c r="G5031">
        <v>88</v>
      </c>
    </row>
    <row r="5032" spans="1:7" x14ac:dyDescent="0.25">
      <c r="A5032" t="s">
        <v>130</v>
      </c>
      <c r="B5032" t="s">
        <v>133</v>
      </c>
      <c r="C5032">
        <v>2000</v>
      </c>
      <c r="D5032" t="s">
        <v>45</v>
      </c>
      <c r="E5032" t="s">
        <v>49</v>
      </c>
      <c r="F5032" s="5">
        <v>42370</v>
      </c>
      <c r="G5032">
        <v>100</v>
      </c>
    </row>
    <row r="5033" spans="1:7" x14ac:dyDescent="0.25">
      <c r="A5033" t="s">
        <v>130</v>
      </c>
      <c r="B5033" t="s">
        <v>133</v>
      </c>
      <c r="C5033">
        <v>2000</v>
      </c>
      <c r="D5033" t="s">
        <v>45</v>
      </c>
      <c r="E5033" t="s">
        <v>49</v>
      </c>
      <c r="F5033" s="5">
        <v>42736</v>
      </c>
      <c r="G5033">
        <v>61</v>
      </c>
    </row>
    <row r="5034" spans="1:7" x14ac:dyDescent="0.25">
      <c r="A5034" t="s">
        <v>130</v>
      </c>
      <c r="B5034" t="s">
        <v>133</v>
      </c>
      <c r="C5034">
        <v>2000</v>
      </c>
      <c r="D5034" t="s">
        <v>45</v>
      </c>
      <c r="E5034" t="s">
        <v>50</v>
      </c>
      <c r="F5034" s="5">
        <v>42370</v>
      </c>
      <c r="G5034">
        <v>4</v>
      </c>
    </row>
    <row r="5035" spans="1:7" x14ac:dyDescent="0.25">
      <c r="A5035" t="s">
        <v>130</v>
      </c>
      <c r="B5035" t="s">
        <v>133</v>
      </c>
      <c r="C5035">
        <v>2000</v>
      </c>
      <c r="D5035" t="s">
        <v>45</v>
      </c>
      <c r="E5035" t="s">
        <v>50</v>
      </c>
      <c r="F5035" s="5">
        <v>42736</v>
      </c>
      <c r="G5035">
        <v>1</v>
      </c>
    </row>
    <row r="5036" spans="1:7" x14ac:dyDescent="0.25">
      <c r="A5036" t="s">
        <v>130</v>
      </c>
      <c r="B5036" t="s">
        <v>133</v>
      </c>
      <c r="C5036">
        <v>2000</v>
      </c>
      <c r="D5036" t="s">
        <v>45</v>
      </c>
      <c r="E5036" t="s">
        <v>51</v>
      </c>
      <c r="F5036" s="5">
        <v>42370</v>
      </c>
      <c r="G5036">
        <v>0</v>
      </c>
    </row>
    <row r="5037" spans="1:7" x14ac:dyDescent="0.25">
      <c r="A5037" t="s">
        <v>130</v>
      </c>
      <c r="B5037" t="s">
        <v>133</v>
      </c>
      <c r="C5037">
        <v>2000</v>
      </c>
      <c r="D5037" t="s">
        <v>45</v>
      </c>
      <c r="E5037" t="s">
        <v>51</v>
      </c>
      <c r="F5037" s="5">
        <v>42736</v>
      </c>
      <c r="G5037">
        <v>0</v>
      </c>
    </row>
    <row r="5038" spans="1:7" x14ac:dyDescent="0.25">
      <c r="A5038" t="s">
        <v>130</v>
      </c>
      <c r="B5038" t="s">
        <v>133</v>
      </c>
      <c r="C5038">
        <v>2000</v>
      </c>
      <c r="D5038" t="s">
        <v>45</v>
      </c>
      <c r="E5038" t="s">
        <v>52</v>
      </c>
      <c r="F5038" s="5">
        <v>42370</v>
      </c>
      <c r="G5038">
        <v>0</v>
      </c>
    </row>
    <row r="5039" spans="1:7" x14ac:dyDescent="0.25">
      <c r="A5039" t="s">
        <v>130</v>
      </c>
      <c r="B5039" t="s">
        <v>133</v>
      </c>
      <c r="C5039">
        <v>2000</v>
      </c>
      <c r="D5039" t="s">
        <v>45</v>
      </c>
      <c r="E5039" t="s">
        <v>52</v>
      </c>
      <c r="F5039" s="5">
        <v>42736</v>
      </c>
      <c r="G5039">
        <v>0</v>
      </c>
    </row>
    <row r="5040" spans="1:7" x14ac:dyDescent="0.25">
      <c r="A5040" t="s">
        <v>130</v>
      </c>
      <c r="B5040" t="s">
        <v>133</v>
      </c>
      <c r="C5040">
        <v>2000</v>
      </c>
      <c r="D5040" t="s">
        <v>45</v>
      </c>
      <c r="E5040" t="s">
        <v>53</v>
      </c>
      <c r="F5040" s="5">
        <v>42370</v>
      </c>
      <c r="G5040">
        <v>29</v>
      </c>
    </row>
    <row r="5041" spans="1:7" x14ac:dyDescent="0.25">
      <c r="A5041" t="s">
        <v>130</v>
      </c>
      <c r="B5041" t="s">
        <v>133</v>
      </c>
      <c r="C5041">
        <v>2000</v>
      </c>
      <c r="D5041" t="s">
        <v>45</v>
      </c>
      <c r="E5041" t="s">
        <v>53</v>
      </c>
      <c r="F5041" s="5">
        <v>42736</v>
      </c>
      <c r="G5041">
        <v>15</v>
      </c>
    </row>
    <row r="5042" spans="1:7" x14ac:dyDescent="0.25">
      <c r="A5042" t="s">
        <v>130</v>
      </c>
      <c r="B5042" t="s">
        <v>133</v>
      </c>
      <c r="C5042">
        <v>2000</v>
      </c>
      <c r="D5042" t="s">
        <v>45</v>
      </c>
      <c r="E5042" t="s">
        <v>54</v>
      </c>
      <c r="F5042" s="5">
        <v>42370</v>
      </c>
      <c r="G5042">
        <v>7</v>
      </c>
    </row>
    <row r="5043" spans="1:7" x14ac:dyDescent="0.25">
      <c r="A5043" t="s">
        <v>130</v>
      </c>
      <c r="B5043" t="s">
        <v>133</v>
      </c>
      <c r="C5043">
        <v>2000</v>
      </c>
      <c r="D5043" t="s">
        <v>45</v>
      </c>
      <c r="E5043" t="s">
        <v>54</v>
      </c>
      <c r="F5043" s="5">
        <v>42736</v>
      </c>
      <c r="G5043">
        <v>1</v>
      </c>
    </row>
    <row r="5044" spans="1:7" x14ac:dyDescent="0.25">
      <c r="A5044" t="s">
        <v>130</v>
      </c>
      <c r="B5044" t="s">
        <v>133</v>
      </c>
      <c r="C5044">
        <v>2000</v>
      </c>
      <c r="D5044" t="s">
        <v>45</v>
      </c>
      <c r="E5044" t="s">
        <v>55</v>
      </c>
      <c r="F5044" s="5">
        <v>42370</v>
      </c>
      <c r="G5044">
        <v>1</v>
      </c>
    </row>
    <row r="5045" spans="1:7" x14ac:dyDescent="0.25">
      <c r="A5045" t="s">
        <v>130</v>
      </c>
      <c r="B5045" t="s">
        <v>133</v>
      </c>
      <c r="C5045">
        <v>2000</v>
      </c>
      <c r="D5045" t="s">
        <v>45</v>
      </c>
      <c r="E5045" t="s">
        <v>55</v>
      </c>
      <c r="F5045" s="5">
        <v>42736</v>
      </c>
      <c r="G5045">
        <v>0</v>
      </c>
    </row>
    <row r="5046" spans="1:7" x14ac:dyDescent="0.25">
      <c r="A5046" t="s">
        <v>130</v>
      </c>
      <c r="B5046" t="s">
        <v>133</v>
      </c>
      <c r="C5046">
        <v>2000</v>
      </c>
      <c r="D5046" t="s">
        <v>45</v>
      </c>
      <c r="E5046" t="s">
        <v>56</v>
      </c>
      <c r="F5046" s="5">
        <v>42370</v>
      </c>
      <c r="G5046">
        <v>1</v>
      </c>
    </row>
    <row r="5047" spans="1:7" x14ac:dyDescent="0.25">
      <c r="A5047" t="s">
        <v>130</v>
      </c>
      <c r="B5047" t="s">
        <v>133</v>
      </c>
      <c r="C5047">
        <v>2000</v>
      </c>
      <c r="D5047" t="s">
        <v>45</v>
      </c>
      <c r="E5047" t="s">
        <v>56</v>
      </c>
      <c r="F5047" s="5">
        <v>42736</v>
      </c>
      <c r="G5047">
        <v>0</v>
      </c>
    </row>
    <row r="5048" spans="1:7" x14ac:dyDescent="0.25">
      <c r="A5048" t="s">
        <v>130</v>
      </c>
      <c r="B5048" t="s">
        <v>133</v>
      </c>
      <c r="C5048">
        <v>2000</v>
      </c>
      <c r="D5048" t="s">
        <v>45</v>
      </c>
      <c r="E5048" t="s">
        <v>57</v>
      </c>
      <c r="F5048" s="5">
        <v>42370</v>
      </c>
      <c r="G5048">
        <v>0</v>
      </c>
    </row>
    <row r="5049" spans="1:7" x14ac:dyDescent="0.25">
      <c r="A5049" t="s">
        <v>130</v>
      </c>
      <c r="B5049" t="s">
        <v>133</v>
      </c>
      <c r="C5049">
        <v>2000</v>
      </c>
      <c r="D5049" t="s">
        <v>45</v>
      </c>
      <c r="E5049" t="s">
        <v>57</v>
      </c>
      <c r="F5049" s="5">
        <v>42736</v>
      </c>
      <c r="G5049">
        <v>0</v>
      </c>
    </row>
    <row r="5050" spans="1:7" x14ac:dyDescent="0.25">
      <c r="A5050" t="s">
        <v>130</v>
      </c>
      <c r="B5050" t="s">
        <v>133</v>
      </c>
      <c r="C5050">
        <v>2000</v>
      </c>
      <c r="D5050" t="s">
        <v>45</v>
      </c>
      <c r="E5050" t="s">
        <v>58</v>
      </c>
      <c r="F5050" s="5">
        <v>42370</v>
      </c>
      <c r="G5050">
        <v>0</v>
      </c>
    </row>
    <row r="5051" spans="1:7" x14ac:dyDescent="0.25">
      <c r="A5051" t="s">
        <v>130</v>
      </c>
      <c r="B5051" t="s">
        <v>133</v>
      </c>
      <c r="C5051">
        <v>2000</v>
      </c>
      <c r="D5051" t="s">
        <v>45</v>
      </c>
      <c r="E5051" t="s">
        <v>58</v>
      </c>
      <c r="F5051" s="5">
        <v>42736</v>
      </c>
      <c r="G5051">
        <v>0</v>
      </c>
    </row>
    <row r="5052" spans="1:7" x14ac:dyDescent="0.25">
      <c r="A5052" t="s">
        <v>130</v>
      </c>
      <c r="B5052" t="s">
        <v>133</v>
      </c>
      <c r="C5052">
        <v>2000</v>
      </c>
      <c r="D5052" t="s">
        <v>45</v>
      </c>
      <c r="E5052" t="s">
        <v>59</v>
      </c>
      <c r="F5052" s="5">
        <v>42370</v>
      </c>
      <c r="G5052">
        <v>6</v>
      </c>
    </row>
    <row r="5053" spans="1:7" x14ac:dyDescent="0.25">
      <c r="A5053" t="s">
        <v>130</v>
      </c>
      <c r="B5053" t="s">
        <v>133</v>
      </c>
      <c r="C5053">
        <v>2000</v>
      </c>
      <c r="D5053" t="s">
        <v>45</v>
      </c>
      <c r="E5053" t="s">
        <v>59</v>
      </c>
      <c r="F5053" s="5">
        <v>42736</v>
      </c>
      <c r="G5053">
        <v>0</v>
      </c>
    </row>
    <row r="5054" spans="1:7" x14ac:dyDescent="0.25">
      <c r="A5054" t="s">
        <v>130</v>
      </c>
      <c r="B5054" t="s">
        <v>133</v>
      </c>
      <c r="C5054">
        <v>2000</v>
      </c>
      <c r="D5054" t="s">
        <v>45</v>
      </c>
      <c r="E5054" t="s">
        <v>60</v>
      </c>
      <c r="F5054" s="5">
        <v>42370</v>
      </c>
      <c r="G5054">
        <v>17</v>
      </c>
    </row>
    <row r="5055" spans="1:7" x14ac:dyDescent="0.25">
      <c r="A5055" t="s">
        <v>130</v>
      </c>
      <c r="B5055" t="s">
        <v>133</v>
      </c>
      <c r="C5055">
        <v>2000</v>
      </c>
      <c r="D5055" t="s">
        <v>45</v>
      </c>
      <c r="E5055" t="s">
        <v>60</v>
      </c>
      <c r="F5055" s="5">
        <v>42736</v>
      </c>
      <c r="G5055">
        <v>4</v>
      </c>
    </row>
    <row r="5056" spans="1:7" x14ac:dyDescent="0.25">
      <c r="A5056" t="s">
        <v>130</v>
      </c>
      <c r="B5056" t="s">
        <v>133</v>
      </c>
      <c r="C5056">
        <v>2000</v>
      </c>
      <c r="D5056" t="s">
        <v>45</v>
      </c>
      <c r="E5056" t="s">
        <v>61</v>
      </c>
      <c r="F5056" s="5">
        <v>42370</v>
      </c>
      <c r="G5056">
        <v>0</v>
      </c>
    </row>
    <row r="5057" spans="1:7" x14ac:dyDescent="0.25">
      <c r="A5057" t="s">
        <v>130</v>
      </c>
      <c r="B5057" t="s">
        <v>133</v>
      </c>
      <c r="C5057">
        <v>2000</v>
      </c>
      <c r="D5057" t="s">
        <v>45</v>
      </c>
      <c r="E5057" t="s">
        <v>61</v>
      </c>
      <c r="F5057" s="5">
        <v>42736</v>
      </c>
      <c r="G5057">
        <v>0</v>
      </c>
    </row>
    <row r="5058" spans="1:7" x14ac:dyDescent="0.25">
      <c r="A5058" t="s">
        <v>130</v>
      </c>
      <c r="B5058" t="s">
        <v>133</v>
      </c>
      <c r="C5058">
        <v>2000</v>
      </c>
      <c r="D5058" t="s">
        <v>62</v>
      </c>
      <c r="E5058" t="s">
        <v>63</v>
      </c>
      <c r="F5058" s="5">
        <v>42370</v>
      </c>
      <c r="G5058">
        <v>4</v>
      </c>
    </row>
    <row r="5059" spans="1:7" x14ac:dyDescent="0.25">
      <c r="A5059" t="s">
        <v>130</v>
      </c>
      <c r="B5059" t="s">
        <v>133</v>
      </c>
      <c r="C5059">
        <v>2000</v>
      </c>
      <c r="D5059" t="s">
        <v>62</v>
      </c>
      <c r="E5059" t="s">
        <v>63</v>
      </c>
      <c r="F5059" s="5">
        <v>42736</v>
      </c>
      <c r="G5059">
        <v>3</v>
      </c>
    </row>
    <row r="5060" spans="1:7" x14ac:dyDescent="0.25">
      <c r="A5060" t="s">
        <v>130</v>
      </c>
      <c r="B5060" t="s">
        <v>133</v>
      </c>
      <c r="C5060">
        <v>2000</v>
      </c>
      <c r="D5060" t="s">
        <v>62</v>
      </c>
      <c r="E5060" t="s">
        <v>64</v>
      </c>
      <c r="F5060" s="5">
        <v>42370</v>
      </c>
      <c r="G5060">
        <v>0</v>
      </c>
    </row>
    <row r="5061" spans="1:7" x14ac:dyDescent="0.25">
      <c r="A5061" t="s">
        <v>130</v>
      </c>
      <c r="B5061" t="s">
        <v>133</v>
      </c>
      <c r="C5061">
        <v>2000</v>
      </c>
      <c r="D5061" t="s">
        <v>62</v>
      </c>
      <c r="E5061" t="s">
        <v>64</v>
      </c>
      <c r="F5061" s="5">
        <v>42736</v>
      </c>
      <c r="G5061">
        <v>0</v>
      </c>
    </row>
    <row r="5062" spans="1:7" x14ac:dyDescent="0.25">
      <c r="A5062" t="s">
        <v>130</v>
      </c>
      <c r="B5062" t="s">
        <v>133</v>
      </c>
      <c r="C5062">
        <v>2000</v>
      </c>
      <c r="D5062" t="s">
        <v>62</v>
      </c>
      <c r="E5062" t="s">
        <v>9</v>
      </c>
      <c r="F5062" s="5">
        <v>42370</v>
      </c>
      <c r="G5062">
        <v>0</v>
      </c>
    </row>
    <row r="5063" spans="1:7" x14ac:dyDescent="0.25">
      <c r="A5063" t="s">
        <v>130</v>
      </c>
      <c r="B5063" t="s">
        <v>133</v>
      </c>
      <c r="C5063">
        <v>2000</v>
      </c>
      <c r="D5063" t="s">
        <v>62</v>
      </c>
      <c r="E5063" t="s">
        <v>9</v>
      </c>
      <c r="F5063" s="5">
        <v>42736</v>
      </c>
      <c r="G5063">
        <v>0</v>
      </c>
    </row>
    <row r="5064" spans="1:7" x14ac:dyDescent="0.25">
      <c r="A5064" t="s">
        <v>130</v>
      </c>
      <c r="B5064" t="s">
        <v>133</v>
      </c>
      <c r="C5064">
        <v>2000</v>
      </c>
      <c r="D5064" t="s">
        <v>62</v>
      </c>
      <c r="E5064" t="s">
        <v>65</v>
      </c>
      <c r="F5064" s="5">
        <v>42370</v>
      </c>
      <c r="G5064">
        <v>0</v>
      </c>
    </row>
    <row r="5065" spans="1:7" x14ac:dyDescent="0.25">
      <c r="A5065" t="s">
        <v>130</v>
      </c>
      <c r="B5065" t="s">
        <v>133</v>
      </c>
      <c r="C5065">
        <v>2000</v>
      </c>
      <c r="D5065" t="s">
        <v>62</v>
      </c>
      <c r="E5065" t="s">
        <v>65</v>
      </c>
      <c r="F5065" s="5">
        <v>42736</v>
      </c>
      <c r="G5065">
        <v>0</v>
      </c>
    </row>
    <row r="5066" spans="1:7" x14ac:dyDescent="0.25">
      <c r="A5066" t="s">
        <v>130</v>
      </c>
      <c r="B5066" t="s">
        <v>133</v>
      </c>
      <c r="C5066">
        <v>2000</v>
      </c>
      <c r="D5066" t="s">
        <v>62</v>
      </c>
      <c r="E5066" t="s">
        <v>66</v>
      </c>
      <c r="F5066" s="5">
        <v>42370</v>
      </c>
      <c r="G5066">
        <v>0</v>
      </c>
    </row>
    <row r="5067" spans="1:7" x14ac:dyDescent="0.25">
      <c r="A5067" t="s">
        <v>130</v>
      </c>
      <c r="B5067" t="s">
        <v>133</v>
      </c>
      <c r="C5067">
        <v>2000</v>
      </c>
      <c r="D5067" t="s">
        <v>62</v>
      </c>
      <c r="E5067" t="s">
        <v>66</v>
      </c>
      <c r="F5067" s="5">
        <v>42736</v>
      </c>
      <c r="G5067">
        <v>0</v>
      </c>
    </row>
    <row r="5068" spans="1:7" x14ac:dyDescent="0.25">
      <c r="A5068" t="s">
        <v>130</v>
      </c>
      <c r="B5068" t="s">
        <v>133</v>
      </c>
      <c r="C5068">
        <v>2000</v>
      </c>
      <c r="D5068" t="s">
        <v>62</v>
      </c>
      <c r="E5068" t="s">
        <v>67</v>
      </c>
      <c r="F5068" s="5">
        <v>42370</v>
      </c>
      <c r="G5068">
        <v>0</v>
      </c>
    </row>
    <row r="5069" spans="1:7" x14ac:dyDescent="0.25">
      <c r="A5069" t="s">
        <v>130</v>
      </c>
      <c r="B5069" t="s">
        <v>133</v>
      </c>
      <c r="C5069">
        <v>2000</v>
      </c>
      <c r="D5069" t="s">
        <v>62</v>
      </c>
      <c r="E5069" t="s">
        <v>67</v>
      </c>
      <c r="F5069" s="5">
        <v>42736</v>
      </c>
      <c r="G5069">
        <v>0</v>
      </c>
    </row>
    <row r="5070" spans="1:7" x14ac:dyDescent="0.25">
      <c r="A5070" t="s">
        <v>130</v>
      </c>
      <c r="B5070" t="s">
        <v>133</v>
      </c>
      <c r="C5070">
        <v>2000</v>
      </c>
      <c r="D5070" t="s">
        <v>62</v>
      </c>
      <c r="E5070" t="s">
        <v>68</v>
      </c>
      <c r="F5070" s="5">
        <v>42370</v>
      </c>
      <c r="G5070">
        <v>0</v>
      </c>
    </row>
    <row r="5071" spans="1:7" x14ac:dyDescent="0.25">
      <c r="A5071" t="s">
        <v>130</v>
      </c>
      <c r="B5071" t="s">
        <v>133</v>
      </c>
      <c r="C5071">
        <v>2000</v>
      </c>
      <c r="D5071" t="s">
        <v>62</v>
      </c>
      <c r="E5071" t="s">
        <v>68</v>
      </c>
      <c r="F5071" s="5">
        <v>42736</v>
      </c>
      <c r="G5071">
        <v>0</v>
      </c>
    </row>
    <row r="5072" spans="1:7" x14ac:dyDescent="0.25">
      <c r="A5072" t="s">
        <v>130</v>
      </c>
      <c r="B5072" t="s">
        <v>133</v>
      </c>
      <c r="C5072">
        <v>2000</v>
      </c>
      <c r="D5072" t="s">
        <v>62</v>
      </c>
      <c r="E5072" t="s">
        <v>69</v>
      </c>
      <c r="F5072" s="5">
        <v>42370</v>
      </c>
      <c r="G5072">
        <v>10</v>
      </c>
    </row>
    <row r="5073" spans="1:7" x14ac:dyDescent="0.25">
      <c r="A5073" t="s">
        <v>130</v>
      </c>
      <c r="B5073" t="s">
        <v>133</v>
      </c>
      <c r="C5073">
        <v>2000</v>
      </c>
      <c r="D5073" t="s">
        <v>62</v>
      </c>
      <c r="E5073" t="s">
        <v>69</v>
      </c>
      <c r="F5073" s="5">
        <v>42736</v>
      </c>
      <c r="G5073">
        <v>11</v>
      </c>
    </row>
    <row r="5074" spans="1:7" x14ac:dyDescent="0.25">
      <c r="A5074" t="s">
        <v>130</v>
      </c>
      <c r="B5074" t="s">
        <v>133</v>
      </c>
      <c r="C5074">
        <v>2000</v>
      </c>
      <c r="D5074" t="s">
        <v>62</v>
      </c>
      <c r="E5074" t="s">
        <v>70</v>
      </c>
      <c r="F5074" s="5">
        <v>42370</v>
      </c>
      <c r="G5074">
        <v>1</v>
      </c>
    </row>
    <row r="5075" spans="1:7" x14ac:dyDescent="0.25">
      <c r="A5075" t="s">
        <v>130</v>
      </c>
      <c r="B5075" t="s">
        <v>133</v>
      </c>
      <c r="C5075">
        <v>2000</v>
      </c>
      <c r="D5075" t="s">
        <v>62</v>
      </c>
      <c r="E5075" t="s">
        <v>70</v>
      </c>
      <c r="F5075" s="5">
        <v>42736</v>
      </c>
      <c r="G5075">
        <v>4</v>
      </c>
    </row>
    <row r="5076" spans="1:7" x14ac:dyDescent="0.25">
      <c r="A5076" t="s">
        <v>130</v>
      </c>
      <c r="B5076" t="s">
        <v>133</v>
      </c>
      <c r="C5076">
        <v>2000</v>
      </c>
      <c r="D5076" t="s">
        <v>62</v>
      </c>
      <c r="E5076" t="s">
        <v>71</v>
      </c>
      <c r="F5076" s="5">
        <v>42370</v>
      </c>
      <c r="G5076">
        <v>0</v>
      </c>
    </row>
    <row r="5077" spans="1:7" x14ac:dyDescent="0.25">
      <c r="A5077" t="s">
        <v>130</v>
      </c>
      <c r="B5077" t="s">
        <v>133</v>
      </c>
      <c r="C5077">
        <v>2000</v>
      </c>
      <c r="D5077" t="s">
        <v>62</v>
      </c>
      <c r="E5077" t="s">
        <v>71</v>
      </c>
      <c r="F5077" s="5">
        <v>42736</v>
      </c>
      <c r="G5077">
        <v>0</v>
      </c>
    </row>
    <row r="5078" spans="1:7" x14ac:dyDescent="0.25">
      <c r="A5078" t="s">
        <v>130</v>
      </c>
      <c r="B5078" t="s">
        <v>133</v>
      </c>
      <c r="C5078">
        <v>2000</v>
      </c>
      <c r="D5078" t="s">
        <v>72</v>
      </c>
      <c r="E5078" t="s">
        <v>73</v>
      </c>
      <c r="F5078" s="5">
        <v>42370</v>
      </c>
      <c r="G5078">
        <v>0</v>
      </c>
    </row>
    <row r="5079" spans="1:7" x14ac:dyDescent="0.25">
      <c r="A5079" t="s">
        <v>130</v>
      </c>
      <c r="B5079" t="s">
        <v>133</v>
      </c>
      <c r="C5079">
        <v>2000</v>
      </c>
      <c r="D5079" t="s">
        <v>72</v>
      </c>
      <c r="E5079" t="s">
        <v>73</v>
      </c>
      <c r="F5079" s="5">
        <v>42736</v>
      </c>
      <c r="G5079">
        <v>0</v>
      </c>
    </row>
    <row r="5080" spans="1:7" x14ac:dyDescent="0.25">
      <c r="A5080" t="s">
        <v>130</v>
      </c>
      <c r="B5080" t="s">
        <v>133</v>
      </c>
      <c r="C5080">
        <v>2000</v>
      </c>
      <c r="D5080" t="s">
        <v>72</v>
      </c>
      <c r="E5080" t="s">
        <v>9</v>
      </c>
      <c r="F5080" s="5">
        <v>42370</v>
      </c>
      <c r="G5080">
        <v>0</v>
      </c>
    </row>
    <row r="5081" spans="1:7" x14ac:dyDescent="0.25">
      <c r="A5081" t="s">
        <v>130</v>
      </c>
      <c r="B5081" t="s">
        <v>133</v>
      </c>
      <c r="C5081">
        <v>2000</v>
      </c>
      <c r="D5081" t="s">
        <v>72</v>
      </c>
      <c r="E5081" t="s">
        <v>9</v>
      </c>
      <c r="F5081" s="5">
        <v>42736</v>
      </c>
      <c r="G5081">
        <v>0</v>
      </c>
    </row>
    <row r="5082" spans="1:7" x14ac:dyDescent="0.25">
      <c r="A5082" t="s">
        <v>130</v>
      </c>
      <c r="B5082" t="s">
        <v>133</v>
      </c>
      <c r="C5082">
        <v>2000</v>
      </c>
      <c r="D5082" t="s">
        <v>72</v>
      </c>
      <c r="E5082" t="s">
        <v>34</v>
      </c>
      <c r="F5082" s="5">
        <v>42370</v>
      </c>
      <c r="G5082">
        <v>0</v>
      </c>
    </row>
    <row r="5083" spans="1:7" x14ac:dyDescent="0.25">
      <c r="A5083" t="s">
        <v>130</v>
      </c>
      <c r="B5083" t="s">
        <v>133</v>
      </c>
      <c r="C5083">
        <v>2000</v>
      </c>
      <c r="D5083" t="s">
        <v>72</v>
      </c>
      <c r="E5083" t="s">
        <v>34</v>
      </c>
      <c r="F5083" s="5">
        <v>42736</v>
      </c>
      <c r="G5083">
        <v>0</v>
      </c>
    </row>
    <row r="5084" spans="1:7" x14ac:dyDescent="0.25">
      <c r="A5084" t="s">
        <v>130</v>
      </c>
      <c r="B5084" t="s">
        <v>133</v>
      </c>
      <c r="C5084">
        <v>2000</v>
      </c>
      <c r="D5084" t="s">
        <v>72</v>
      </c>
      <c r="E5084" t="s">
        <v>74</v>
      </c>
      <c r="F5084" s="5">
        <v>42370</v>
      </c>
      <c r="G5084">
        <v>0</v>
      </c>
    </row>
    <row r="5085" spans="1:7" x14ac:dyDescent="0.25">
      <c r="A5085" t="s">
        <v>130</v>
      </c>
      <c r="B5085" t="s">
        <v>133</v>
      </c>
      <c r="C5085">
        <v>2000</v>
      </c>
      <c r="D5085" t="s">
        <v>72</v>
      </c>
      <c r="E5085" t="s">
        <v>74</v>
      </c>
      <c r="F5085" s="5">
        <v>42736</v>
      </c>
      <c r="G5085">
        <v>0</v>
      </c>
    </row>
    <row r="5086" spans="1:7" x14ac:dyDescent="0.25">
      <c r="A5086" t="s">
        <v>130</v>
      </c>
      <c r="B5086" t="s">
        <v>133</v>
      </c>
      <c r="C5086">
        <v>2000</v>
      </c>
      <c r="D5086" t="s">
        <v>72</v>
      </c>
      <c r="E5086" t="s">
        <v>75</v>
      </c>
      <c r="F5086" s="5">
        <v>42370</v>
      </c>
      <c r="G5086">
        <v>0</v>
      </c>
    </row>
    <row r="5087" spans="1:7" x14ac:dyDescent="0.25">
      <c r="A5087" t="s">
        <v>130</v>
      </c>
      <c r="B5087" t="s">
        <v>133</v>
      </c>
      <c r="C5087">
        <v>2000</v>
      </c>
      <c r="D5087" t="s">
        <v>72</v>
      </c>
      <c r="E5087" t="s">
        <v>75</v>
      </c>
      <c r="F5087" s="5">
        <v>42736</v>
      </c>
      <c r="G5087">
        <v>0</v>
      </c>
    </row>
    <row r="5088" spans="1:7" x14ac:dyDescent="0.25">
      <c r="A5088" t="s">
        <v>130</v>
      </c>
      <c r="B5088" t="s">
        <v>133</v>
      </c>
      <c r="C5088">
        <v>2000</v>
      </c>
      <c r="D5088" t="s">
        <v>76</v>
      </c>
      <c r="E5088" t="s">
        <v>9</v>
      </c>
      <c r="F5088" s="5">
        <v>42370</v>
      </c>
      <c r="G5088">
        <v>0</v>
      </c>
    </row>
    <row r="5089" spans="1:7" x14ac:dyDescent="0.25">
      <c r="A5089" t="s">
        <v>130</v>
      </c>
      <c r="B5089" t="s">
        <v>133</v>
      </c>
      <c r="C5089">
        <v>2000</v>
      </c>
      <c r="D5089" t="s">
        <v>76</v>
      </c>
      <c r="E5089" t="s">
        <v>9</v>
      </c>
      <c r="F5089" s="5">
        <v>42736</v>
      </c>
      <c r="G5089">
        <v>0</v>
      </c>
    </row>
    <row r="5090" spans="1:7" x14ac:dyDescent="0.25">
      <c r="A5090" t="s">
        <v>130</v>
      </c>
      <c r="B5090" t="s">
        <v>133</v>
      </c>
      <c r="C5090">
        <v>2000</v>
      </c>
      <c r="D5090" t="s">
        <v>76</v>
      </c>
      <c r="E5090" t="s">
        <v>77</v>
      </c>
      <c r="F5090" s="5">
        <v>42370</v>
      </c>
      <c r="G5090">
        <v>0</v>
      </c>
    </row>
    <row r="5091" spans="1:7" x14ac:dyDescent="0.25">
      <c r="A5091" t="s">
        <v>130</v>
      </c>
      <c r="B5091" t="s">
        <v>133</v>
      </c>
      <c r="C5091">
        <v>2000</v>
      </c>
      <c r="D5091" t="s">
        <v>76</v>
      </c>
      <c r="E5091" t="s">
        <v>77</v>
      </c>
      <c r="F5091" s="5">
        <v>42736</v>
      </c>
      <c r="G5091">
        <v>0</v>
      </c>
    </row>
    <row r="5092" spans="1:7" x14ac:dyDescent="0.25">
      <c r="A5092" t="s">
        <v>130</v>
      </c>
      <c r="B5092" t="s">
        <v>133</v>
      </c>
      <c r="C5092">
        <v>2000</v>
      </c>
      <c r="D5092" t="s">
        <v>78</v>
      </c>
      <c r="E5092" t="s">
        <v>79</v>
      </c>
      <c r="F5092" s="5">
        <v>42370</v>
      </c>
      <c r="G5092">
        <v>95</v>
      </c>
    </row>
    <row r="5093" spans="1:7" x14ac:dyDescent="0.25">
      <c r="A5093" t="s">
        <v>130</v>
      </c>
      <c r="B5093" t="s">
        <v>133</v>
      </c>
      <c r="C5093">
        <v>2000</v>
      </c>
      <c r="D5093" t="s">
        <v>78</v>
      </c>
      <c r="E5093" t="s">
        <v>79</v>
      </c>
      <c r="F5093" s="5">
        <v>42736</v>
      </c>
      <c r="G5093">
        <v>84</v>
      </c>
    </row>
    <row r="5094" spans="1:7" x14ac:dyDescent="0.25">
      <c r="A5094" t="s">
        <v>130</v>
      </c>
      <c r="B5094" t="s">
        <v>133</v>
      </c>
      <c r="C5094">
        <v>2000</v>
      </c>
      <c r="D5094" t="s">
        <v>78</v>
      </c>
      <c r="E5094" t="s">
        <v>80</v>
      </c>
      <c r="F5094" s="5">
        <v>42370</v>
      </c>
      <c r="G5094">
        <v>34</v>
      </c>
    </row>
    <row r="5095" spans="1:7" x14ac:dyDescent="0.25">
      <c r="A5095" t="s">
        <v>130</v>
      </c>
      <c r="B5095" t="s">
        <v>133</v>
      </c>
      <c r="C5095">
        <v>2000</v>
      </c>
      <c r="D5095" t="s">
        <v>78</v>
      </c>
      <c r="E5095" t="s">
        <v>80</v>
      </c>
      <c r="F5095" s="5">
        <v>42736</v>
      </c>
      <c r="G5095">
        <v>54</v>
      </c>
    </row>
    <row r="5096" spans="1:7" x14ac:dyDescent="0.25">
      <c r="A5096" t="s">
        <v>130</v>
      </c>
      <c r="B5096" t="s">
        <v>133</v>
      </c>
      <c r="C5096">
        <v>2000</v>
      </c>
      <c r="D5096" t="s">
        <v>78</v>
      </c>
      <c r="E5096" t="s">
        <v>81</v>
      </c>
      <c r="F5096" s="5">
        <v>42370</v>
      </c>
      <c r="G5096">
        <v>963</v>
      </c>
    </row>
    <row r="5097" spans="1:7" x14ac:dyDescent="0.25">
      <c r="A5097" t="s">
        <v>130</v>
      </c>
      <c r="B5097" t="s">
        <v>133</v>
      </c>
      <c r="C5097">
        <v>2000</v>
      </c>
      <c r="D5097" t="s">
        <v>78</v>
      </c>
      <c r="E5097" t="s">
        <v>81</v>
      </c>
      <c r="F5097" s="5">
        <v>42736</v>
      </c>
      <c r="G5097">
        <v>1330</v>
      </c>
    </row>
    <row r="5098" spans="1:7" x14ac:dyDescent="0.25">
      <c r="A5098" t="s">
        <v>130</v>
      </c>
      <c r="B5098" t="s">
        <v>133</v>
      </c>
      <c r="C5098">
        <v>2000</v>
      </c>
      <c r="D5098" t="s">
        <v>78</v>
      </c>
      <c r="E5098" t="s">
        <v>82</v>
      </c>
      <c r="F5098" s="5">
        <v>42370</v>
      </c>
      <c r="G5098">
        <v>39</v>
      </c>
    </row>
    <row r="5099" spans="1:7" x14ac:dyDescent="0.25">
      <c r="A5099" t="s">
        <v>130</v>
      </c>
      <c r="B5099" t="s">
        <v>133</v>
      </c>
      <c r="C5099">
        <v>2000</v>
      </c>
      <c r="D5099" t="s">
        <v>78</v>
      </c>
      <c r="E5099" t="s">
        <v>82</v>
      </c>
      <c r="F5099" s="5">
        <v>42736</v>
      </c>
      <c r="G5099">
        <v>34</v>
      </c>
    </row>
    <row r="5100" spans="1:7" x14ac:dyDescent="0.25">
      <c r="A5100" t="s">
        <v>130</v>
      </c>
      <c r="B5100" t="s">
        <v>133</v>
      </c>
      <c r="C5100">
        <v>2000</v>
      </c>
      <c r="D5100" t="s">
        <v>78</v>
      </c>
      <c r="E5100" t="s">
        <v>83</v>
      </c>
      <c r="F5100" s="5">
        <v>42370</v>
      </c>
      <c r="G5100">
        <v>28</v>
      </c>
    </row>
    <row r="5101" spans="1:7" x14ac:dyDescent="0.25">
      <c r="A5101" t="s">
        <v>130</v>
      </c>
      <c r="B5101" t="s">
        <v>133</v>
      </c>
      <c r="C5101">
        <v>2000</v>
      </c>
      <c r="D5101" t="s">
        <v>78</v>
      </c>
      <c r="E5101" t="s">
        <v>83</v>
      </c>
      <c r="F5101" s="5">
        <v>42736</v>
      </c>
      <c r="G5101">
        <v>32</v>
      </c>
    </row>
    <row r="5102" spans="1:7" x14ac:dyDescent="0.25">
      <c r="A5102" t="s">
        <v>130</v>
      </c>
      <c r="B5102" t="s">
        <v>133</v>
      </c>
      <c r="C5102">
        <v>2000</v>
      </c>
      <c r="D5102" t="s">
        <v>78</v>
      </c>
      <c r="E5102" t="s">
        <v>84</v>
      </c>
      <c r="F5102" s="5">
        <v>42370</v>
      </c>
      <c r="G5102">
        <v>4</v>
      </c>
    </row>
    <row r="5103" spans="1:7" x14ac:dyDescent="0.25">
      <c r="A5103" t="s">
        <v>130</v>
      </c>
      <c r="B5103" t="s">
        <v>133</v>
      </c>
      <c r="C5103">
        <v>2000</v>
      </c>
      <c r="D5103" t="s">
        <v>78</v>
      </c>
      <c r="E5103" t="s">
        <v>84</v>
      </c>
      <c r="F5103" s="5">
        <v>42736</v>
      </c>
      <c r="G5103">
        <v>4</v>
      </c>
    </row>
    <row r="5104" spans="1:7" x14ac:dyDescent="0.25">
      <c r="A5104" t="s">
        <v>130</v>
      </c>
      <c r="B5104" t="s">
        <v>133</v>
      </c>
      <c r="C5104">
        <v>2000</v>
      </c>
      <c r="D5104" t="s">
        <v>78</v>
      </c>
      <c r="E5104" t="s">
        <v>85</v>
      </c>
      <c r="F5104" s="5">
        <v>42370</v>
      </c>
      <c r="G5104">
        <v>0</v>
      </c>
    </row>
    <row r="5105" spans="1:7" x14ac:dyDescent="0.25">
      <c r="A5105" t="s">
        <v>130</v>
      </c>
      <c r="B5105" t="s">
        <v>133</v>
      </c>
      <c r="C5105">
        <v>2000</v>
      </c>
      <c r="D5105" t="s">
        <v>78</v>
      </c>
      <c r="E5105" t="s">
        <v>85</v>
      </c>
      <c r="F5105" s="5">
        <v>42736</v>
      </c>
      <c r="G5105">
        <v>3</v>
      </c>
    </row>
    <row r="5106" spans="1:7" x14ac:dyDescent="0.25">
      <c r="A5106" t="s">
        <v>130</v>
      </c>
      <c r="B5106" t="s">
        <v>133</v>
      </c>
      <c r="C5106">
        <v>2000</v>
      </c>
      <c r="D5106" t="s">
        <v>78</v>
      </c>
      <c r="E5106" t="s">
        <v>86</v>
      </c>
      <c r="F5106" s="5">
        <v>42370</v>
      </c>
      <c r="G5106">
        <v>6</v>
      </c>
    </row>
    <row r="5107" spans="1:7" x14ac:dyDescent="0.25">
      <c r="A5107" t="s">
        <v>130</v>
      </c>
      <c r="B5107" t="s">
        <v>133</v>
      </c>
      <c r="C5107">
        <v>2000</v>
      </c>
      <c r="D5107" t="s">
        <v>78</v>
      </c>
      <c r="E5107" t="s">
        <v>86</v>
      </c>
      <c r="F5107" s="5">
        <v>42736</v>
      </c>
      <c r="G5107">
        <v>6</v>
      </c>
    </row>
    <row r="5108" spans="1:7" x14ac:dyDescent="0.25">
      <c r="A5108" t="s">
        <v>130</v>
      </c>
      <c r="B5108" t="s">
        <v>133</v>
      </c>
      <c r="C5108">
        <v>2000</v>
      </c>
      <c r="D5108" t="s">
        <v>78</v>
      </c>
      <c r="E5108" t="s">
        <v>87</v>
      </c>
      <c r="F5108" s="5">
        <v>42370</v>
      </c>
      <c r="G5108">
        <v>111</v>
      </c>
    </row>
    <row r="5109" spans="1:7" x14ac:dyDescent="0.25">
      <c r="A5109" t="s">
        <v>130</v>
      </c>
      <c r="B5109" t="s">
        <v>133</v>
      </c>
      <c r="C5109">
        <v>2000</v>
      </c>
      <c r="D5109" t="s">
        <v>78</v>
      </c>
      <c r="E5109" t="s">
        <v>87</v>
      </c>
      <c r="F5109" s="5">
        <v>42736</v>
      </c>
      <c r="G5109">
        <v>109</v>
      </c>
    </row>
    <row r="5110" spans="1:7" x14ac:dyDescent="0.25">
      <c r="A5110" t="s">
        <v>130</v>
      </c>
      <c r="B5110" t="s">
        <v>133</v>
      </c>
      <c r="C5110">
        <v>2000</v>
      </c>
      <c r="D5110" t="s">
        <v>78</v>
      </c>
      <c r="E5110" t="s">
        <v>88</v>
      </c>
      <c r="F5110" s="5">
        <v>42370</v>
      </c>
      <c r="G5110">
        <v>153</v>
      </c>
    </row>
    <row r="5111" spans="1:7" x14ac:dyDescent="0.25">
      <c r="A5111" t="s">
        <v>130</v>
      </c>
      <c r="B5111" t="s">
        <v>133</v>
      </c>
      <c r="C5111">
        <v>2000</v>
      </c>
      <c r="D5111" t="s">
        <v>78</v>
      </c>
      <c r="E5111" t="s">
        <v>88</v>
      </c>
      <c r="F5111" s="5">
        <v>42736</v>
      </c>
      <c r="G5111">
        <v>206</v>
      </c>
    </row>
    <row r="5112" spans="1:7" x14ac:dyDescent="0.25">
      <c r="A5112" t="s">
        <v>130</v>
      </c>
      <c r="B5112" t="s">
        <v>133</v>
      </c>
      <c r="C5112">
        <v>2000</v>
      </c>
      <c r="D5112" t="s">
        <v>78</v>
      </c>
      <c r="E5112" t="s">
        <v>89</v>
      </c>
      <c r="F5112" s="5">
        <v>42370</v>
      </c>
      <c r="G5112">
        <v>3265</v>
      </c>
    </row>
    <row r="5113" spans="1:7" x14ac:dyDescent="0.25">
      <c r="A5113" t="s">
        <v>130</v>
      </c>
      <c r="B5113" t="s">
        <v>133</v>
      </c>
      <c r="C5113">
        <v>2000</v>
      </c>
      <c r="D5113" t="s">
        <v>78</v>
      </c>
      <c r="E5113" t="s">
        <v>89</v>
      </c>
      <c r="F5113" s="5">
        <v>42736</v>
      </c>
      <c r="G5113">
        <v>3838</v>
      </c>
    </row>
    <row r="5114" spans="1:7" x14ac:dyDescent="0.25">
      <c r="A5114" t="s">
        <v>130</v>
      </c>
      <c r="B5114" t="s">
        <v>133</v>
      </c>
      <c r="C5114">
        <v>2000</v>
      </c>
      <c r="D5114" t="s">
        <v>78</v>
      </c>
      <c r="E5114" t="s">
        <v>90</v>
      </c>
      <c r="F5114" s="5">
        <v>42370</v>
      </c>
      <c r="G5114">
        <v>6</v>
      </c>
    </row>
    <row r="5115" spans="1:7" x14ac:dyDescent="0.25">
      <c r="A5115" t="s">
        <v>130</v>
      </c>
      <c r="B5115" t="s">
        <v>133</v>
      </c>
      <c r="C5115">
        <v>2000</v>
      </c>
      <c r="D5115" t="s">
        <v>78</v>
      </c>
      <c r="E5115" t="s">
        <v>90</v>
      </c>
      <c r="F5115" s="5">
        <v>42736</v>
      </c>
      <c r="G5115">
        <v>2</v>
      </c>
    </row>
    <row r="5116" spans="1:7" x14ac:dyDescent="0.25">
      <c r="A5116" t="s">
        <v>130</v>
      </c>
      <c r="B5116" t="s">
        <v>133</v>
      </c>
      <c r="C5116">
        <v>2000</v>
      </c>
      <c r="D5116" t="s">
        <v>78</v>
      </c>
      <c r="E5116" t="s">
        <v>91</v>
      </c>
      <c r="F5116" s="5">
        <v>42370</v>
      </c>
      <c r="G5116">
        <v>64</v>
      </c>
    </row>
    <row r="5117" spans="1:7" x14ac:dyDescent="0.25">
      <c r="A5117" t="s">
        <v>130</v>
      </c>
      <c r="B5117" t="s">
        <v>133</v>
      </c>
      <c r="C5117">
        <v>2000</v>
      </c>
      <c r="D5117" t="s">
        <v>78</v>
      </c>
      <c r="E5117" t="s">
        <v>91</v>
      </c>
      <c r="F5117" s="5">
        <v>42736</v>
      </c>
      <c r="G5117">
        <v>101</v>
      </c>
    </row>
    <row r="5118" spans="1:7" x14ac:dyDescent="0.25">
      <c r="A5118" t="s">
        <v>130</v>
      </c>
      <c r="B5118" t="s">
        <v>133</v>
      </c>
      <c r="C5118">
        <v>2000</v>
      </c>
      <c r="D5118" t="s">
        <v>78</v>
      </c>
      <c r="E5118" t="s">
        <v>92</v>
      </c>
      <c r="F5118" s="5">
        <v>42370</v>
      </c>
      <c r="G5118">
        <v>11</v>
      </c>
    </row>
    <row r="5119" spans="1:7" x14ac:dyDescent="0.25">
      <c r="A5119" t="s">
        <v>130</v>
      </c>
      <c r="B5119" t="s">
        <v>133</v>
      </c>
      <c r="C5119">
        <v>2000</v>
      </c>
      <c r="D5119" t="s">
        <v>78</v>
      </c>
      <c r="E5119" t="s">
        <v>92</v>
      </c>
      <c r="F5119" s="5">
        <v>42736</v>
      </c>
      <c r="G5119">
        <v>5</v>
      </c>
    </row>
    <row r="5120" spans="1:7" x14ac:dyDescent="0.25">
      <c r="A5120" t="s">
        <v>130</v>
      </c>
      <c r="B5120" t="s">
        <v>133</v>
      </c>
      <c r="C5120">
        <v>2000</v>
      </c>
      <c r="D5120" t="s">
        <v>78</v>
      </c>
      <c r="E5120" t="s">
        <v>93</v>
      </c>
      <c r="F5120" s="5">
        <v>42370</v>
      </c>
      <c r="G5120">
        <v>36</v>
      </c>
    </row>
    <row r="5121" spans="1:7" x14ac:dyDescent="0.25">
      <c r="A5121" t="s">
        <v>130</v>
      </c>
      <c r="B5121" t="s">
        <v>133</v>
      </c>
      <c r="C5121">
        <v>2000</v>
      </c>
      <c r="D5121" t="s">
        <v>78</v>
      </c>
      <c r="E5121" t="s">
        <v>93</v>
      </c>
      <c r="F5121" s="5">
        <v>42736</v>
      </c>
      <c r="G5121">
        <v>75</v>
      </c>
    </row>
    <row r="5122" spans="1:7" x14ac:dyDescent="0.25">
      <c r="A5122" t="s">
        <v>130</v>
      </c>
      <c r="B5122" t="s">
        <v>133</v>
      </c>
      <c r="C5122">
        <v>2000</v>
      </c>
      <c r="D5122" t="s">
        <v>78</v>
      </c>
      <c r="E5122" t="s">
        <v>94</v>
      </c>
      <c r="F5122" s="5">
        <v>42370</v>
      </c>
      <c r="G5122">
        <v>69</v>
      </c>
    </row>
    <row r="5123" spans="1:7" x14ac:dyDescent="0.25">
      <c r="A5123" t="s">
        <v>130</v>
      </c>
      <c r="B5123" t="s">
        <v>133</v>
      </c>
      <c r="C5123">
        <v>2000</v>
      </c>
      <c r="D5123" t="s">
        <v>78</v>
      </c>
      <c r="E5123" t="s">
        <v>94</v>
      </c>
      <c r="F5123" s="5">
        <v>42736</v>
      </c>
      <c r="G5123">
        <v>189</v>
      </c>
    </row>
    <row r="5124" spans="1:7" x14ac:dyDescent="0.25">
      <c r="A5124" t="s">
        <v>130</v>
      </c>
      <c r="B5124" t="s">
        <v>133</v>
      </c>
      <c r="C5124">
        <v>2000</v>
      </c>
      <c r="D5124" t="s">
        <v>78</v>
      </c>
      <c r="E5124" t="s">
        <v>95</v>
      </c>
      <c r="F5124" s="5">
        <v>42370</v>
      </c>
      <c r="G5124">
        <v>1</v>
      </c>
    </row>
    <row r="5125" spans="1:7" x14ac:dyDescent="0.25">
      <c r="A5125" t="s">
        <v>130</v>
      </c>
      <c r="B5125" t="s">
        <v>133</v>
      </c>
      <c r="C5125">
        <v>2000</v>
      </c>
      <c r="D5125" t="s">
        <v>78</v>
      </c>
      <c r="E5125" t="s">
        <v>95</v>
      </c>
      <c r="F5125" s="5">
        <v>42736</v>
      </c>
      <c r="G5125">
        <v>17</v>
      </c>
    </row>
    <row r="5126" spans="1:7" x14ac:dyDescent="0.25">
      <c r="A5126" t="s">
        <v>130</v>
      </c>
      <c r="B5126" t="s">
        <v>133</v>
      </c>
      <c r="C5126">
        <v>2000</v>
      </c>
      <c r="D5126" t="s">
        <v>78</v>
      </c>
      <c r="E5126" t="s">
        <v>96</v>
      </c>
      <c r="F5126" s="5">
        <v>42370</v>
      </c>
      <c r="G5126">
        <v>28</v>
      </c>
    </row>
    <row r="5127" spans="1:7" x14ac:dyDescent="0.25">
      <c r="A5127" t="s">
        <v>130</v>
      </c>
      <c r="B5127" t="s">
        <v>133</v>
      </c>
      <c r="C5127">
        <v>2000</v>
      </c>
      <c r="D5127" t="s">
        <v>78</v>
      </c>
      <c r="E5127" t="s">
        <v>96</v>
      </c>
      <c r="F5127" s="5">
        <v>42736</v>
      </c>
      <c r="G5127">
        <v>32</v>
      </c>
    </row>
    <row r="5128" spans="1:7" x14ac:dyDescent="0.25">
      <c r="A5128" t="s">
        <v>130</v>
      </c>
      <c r="B5128" t="s">
        <v>133</v>
      </c>
      <c r="C5128">
        <v>2000</v>
      </c>
      <c r="D5128" t="s">
        <v>78</v>
      </c>
      <c r="E5128" t="s">
        <v>97</v>
      </c>
      <c r="F5128" s="5">
        <v>42370</v>
      </c>
      <c r="G5128">
        <v>90</v>
      </c>
    </row>
    <row r="5129" spans="1:7" x14ac:dyDescent="0.25">
      <c r="A5129" t="s">
        <v>130</v>
      </c>
      <c r="B5129" t="s">
        <v>133</v>
      </c>
      <c r="C5129">
        <v>2000</v>
      </c>
      <c r="D5129" t="s">
        <v>78</v>
      </c>
      <c r="E5129" t="s">
        <v>97</v>
      </c>
      <c r="F5129" s="5">
        <v>42736</v>
      </c>
      <c r="G5129">
        <v>123</v>
      </c>
    </row>
    <row r="5130" spans="1:7" x14ac:dyDescent="0.25">
      <c r="A5130" t="s">
        <v>130</v>
      </c>
      <c r="B5130" t="s">
        <v>133</v>
      </c>
      <c r="C5130">
        <v>2000</v>
      </c>
      <c r="D5130" t="s">
        <v>78</v>
      </c>
      <c r="E5130" t="s">
        <v>98</v>
      </c>
      <c r="F5130" s="5">
        <v>42370</v>
      </c>
      <c r="G5130">
        <v>171</v>
      </c>
    </row>
    <row r="5131" spans="1:7" x14ac:dyDescent="0.25">
      <c r="A5131" t="s">
        <v>130</v>
      </c>
      <c r="B5131" t="s">
        <v>133</v>
      </c>
      <c r="C5131">
        <v>2000</v>
      </c>
      <c r="D5131" t="s">
        <v>78</v>
      </c>
      <c r="E5131" t="s">
        <v>98</v>
      </c>
      <c r="F5131" s="5">
        <v>42736</v>
      </c>
      <c r="G5131">
        <v>184</v>
      </c>
    </row>
    <row r="5132" spans="1:7" x14ac:dyDescent="0.25">
      <c r="A5132" t="s">
        <v>134</v>
      </c>
      <c r="B5132" t="s">
        <v>135</v>
      </c>
      <c r="C5132">
        <v>1000</v>
      </c>
      <c r="D5132" t="s">
        <v>8</v>
      </c>
      <c r="E5132" t="s">
        <v>9</v>
      </c>
      <c r="F5132" s="5">
        <v>42370</v>
      </c>
      <c r="G5132">
        <v>0</v>
      </c>
    </row>
    <row r="5133" spans="1:7" x14ac:dyDescent="0.25">
      <c r="A5133" t="s">
        <v>134</v>
      </c>
      <c r="B5133" t="s">
        <v>135</v>
      </c>
      <c r="C5133">
        <v>1000</v>
      </c>
      <c r="D5133" t="s">
        <v>8</v>
      </c>
      <c r="E5133" t="s">
        <v>9</v>
      </c>
      <c r="F5133" s="5">
        <v>42736</v>
      </c>
      <c r="G5133">
        <v>51</v>
      </c>
    </row>
    <row r="5134" spans="1:7" x14ac:dyDescent="0.25">
      <c r="A5134" t="s">
        <v>134</v>
      </c>
      <c r="B5134" t="s">
        <v>135</v>
      </c>
      <c r="C5134">
        <v>1000</v>
      </c>
      <c r="D5134" t="s">
        <v>8</v>
      </c>
      <c r="E5134" t="s">
        <v>10</v>
      </c>
      <c r="F5134" s="5">
        <v>42370</v>
      </c>
      <c r="G5134">
        <v>3080</v>
      </c>
    </row>
    <row r="5135" spans="1:7" x14ac:dyDescent="0.25">
      <c r="A5135" t="s">
        <v>134</v>
      </c>
      <c r="B5135" t="s">
        <v>135</v>
      </c>
      <c r="C5135">
        <v>1000</v>
      </c>
      <c r="D5135" t="s">
        <v>8</v>
      </c>
      <c r="E5135" t="s">
        <v>10</v>
      </c>
      <c r="F5135" s="5">
        <v>42736</v>
      </c>
      <c r="G5135">
        <v>5769</v>
      </c>
    </row>
    <row r="5136" spans="1:7" x14ac:dyDescent="0.25">
      <c r="A5136" t="s">
        <v>134</v>
      </c>
      <c r="B5136" t="s">
        <v>135</v>
      </c>
      <c r="C5136">
        <v>1000</v>
      </c>
      <c r="D5136" t="s">
        <v>8</v>
      </c>
      <c r="E5136" t="s">
        <v>11</v>
      </c>
      <c r="F5136" s="5">
        <v>42370</v>
      </c>
      <c r="G5136">
        <v>677</v>
      </c>
    </row>
    <row r="5137" spans="1:7" x14ac:dyDescent="0.25">
      <c r="A5137" t="s">
        <v>134</v>
      </c>
      <c r="B5137" t="s">
        <v>135</v>
      </c>
      <c r="C5137">
        <v>1000</v>
      </c>
      <c r="D5137" t="s">
        <v>8</v>
      </c>
      <c r="E5137" t="s">
        <v>11</v>
      </c>
      <c r="F5137" s="5">
        <v>42736</v>
      </c>
      <c r="G5137">
        <v>1154</v>
      </c>
    </row>
    <row r="5138" spans="1:7" x14ac:dyDescent="0.25">
      <c r="A5138" t="s">
        <v>134</v>
      </c>
      <c r="B5138" t="s">
        <v>135</v>
      </c>
      <c r="C5138">
        <v>1000</v>
      </c>
      <c r="D5138" t="s">
        <v>8</v>
      </c>
      <c r="E5138" t="s">
        <v>12</v>
      </c>
      <c r="F5138" s="5">
        <v>42370</v>
      </c>
      <c r="G5138">
        <v>0</v>
      </c>
    </row>
    <row r="5139" spans="1:7" x14ac:dyDescent="0.25">
      <c r="A5139" t="s">
        <v>134</v>
      </c>
      <c r="B5139" t="s">
        <v>135</v>
      </c>
      <c r="C5139">
        <v>1000</v>
      </c>
      <c r="D5139" t="s">
        <v>8</v>
      </c>
      <c r="E5139" t="s">
        <v>12</v>
      </c>
      <c r="F5139" s="5">
        <v>42736</v>
      </c>
      <c r="G5139">
        <v>0</v>
      </c>
    </row>
    <row r="5140" spans="1:7" x14ac:dyDescent="0.25">
      <c r="A5140" t="s">
        <v>134</v>
      </c>
      <c r="B5140" t="s">
        <v>135</v>
      </c>
      <c r="C5140">
        <v>1000</v>
      </c>
      <c r="D5140" t="s">
        <v>8</v>
      </c>
      <c r="E5140" t="s">
        <v>13</v>
      </c>
      <c r="F5140" s="5">
        <v>42370</v>
      </c>
      <c r="G5140">
        <v>0</v>
      </c>
    </row>
    <row r="5141" spans="1:7" x14ac:dyDescent="0.25">
      <c r="A5141" t="s">
        <v>134</v>
      </c>
      <c r="B5141" t="s">
        <v>135</v>
      </c>
      <c r="C5141">
        <v>1000</v>
      </c>
      <c r="D5141" t="s">
        <v>8</v>
      </c>
      <c r="E5141" t="s">
        <v>13</v>
      </c>
      <c r="F5141" s="5">
        <v>42736</v>
      </c>
      <c r="G5141">
        <v>3</v>
      </c>
    </row>
    <row r="5142" spans="1:7" x14ac:dyDescent="0.25">
      <c r="A5142" t="s">
        <v>134</v>
      </c>
      <c r="B5142" t="s">
        <v>135</v>
      </c>
      <c r="C5142">
        <v>1000</v>
      </c>
      <c r="D5142" t="s">
        <v>8</v>
      </c>
      <c r="E5142" t="s">
        <v>14</v>
      </c>
      <c r="F5142" s="5">
        <v>42370</v>
      </c>
      <c r="G5142">
        <v>0</v>
      </c>
    </row>
    <row r="5143" spans="1:7" x14ac:dyDescent="0.25">
      <c r="A5143" t="s">
        <v>134</v>
      </c>
      <c r="B5143" t="s">
        <v>135</v>
      </c>
      <c r="C5143">
        <v>1000</v>
      </c>
      <c r="D5143" t="s">
        <v>8</v>
      </c>
      <c r="E5143" t="s">
        <v>14</v>
      </c>
      <c r="F5143" s="5">
        <v>42736</v>
      </c>
      <c r="G5143">
        <v>0</v>
      </c>
    </row>
    <row r="5144" spans="1:7" x14ac:dyDescent="0.25">
      <c r="A5144" t="s">
        <v>134</v>
      </c>
      <c r="B5144" t="s">
        <v>135</v>
      </c>
      <c r="C5144">
        <v>1000</v>
      </c>
      <c r="D5144" t="s">
        <v>8</v>
      </c>
      <c r="E5144" t="s">
        <v>15</v>
      </c>
      <c r="F5144" s="5">
        <v>42370</v>
      </c>
      <c r="G5144">
        <v>0</v>
      </c>
    </row>
    <row r="5145" spans="1:7" x14ac:dyDescent="0.25">
      <c r="A5145" t="s">
        <v>134</v>
      </c>
      <c r="B5145" t="s">
        <v>135</v>
      </c>
      <c r="C5145">
        <v>1000</v>
      </c>
      <c r="D5145" t="s">
        <v>8</v>
      </c>
      <c r="E5145" t="s">
        <v>15</v>
      </c>
      <c r="F5145" s="5">
        <v>42736</v>
      </c>
      <c r="G5145">
        <v>0</v>
      </c>
    </row>
    <row r="5146" spans="1:7" x14ac:dyDescent="0.25">
      <c r="A5146" t="s">
        <v>134</v>
      </c>
      <c r="B5146" t="s">
        <v>135</v>
      </c>
      <c r="C5146">
        <v>1000</v>
      </c>
      <c r="D5146" t="s">
        <v>8</v>
      </c>
      <c r="E5146" t="s">
        <v>16</v>
      </c>
      <c r="F5146" s="5">
        <v>42370</v>
      </c>
      <c r="G5146">
        <v>532</v>
      </c>
    </row>
    <row r="5147" spans="1:7" x14ac:dyDescent="0.25">
      <c r="A5147" t="s">
        <v>134</v>
      </c>
      <c r="B5147" t="s">
        <v>135</v>
      </c>
      <c r="C5147">
        <v>1000</v>
      </c>
      <c r="D5147" t="s">
        <v>8</v>
      </c>
      <c r="E5147" t="s">
        <v>16</v>
      </c>
      <c r="F5147" s="5">
        <v>42736</v>
      </c>
      <c r="G5147">
        <v>891</v>
      </c>
    </row>
    <row r="5148" spans="1:7" x14ac:dyDescent="0.25">
      <c r="A5148" t="s">
        <v>134</v>
      </c>
      <c r="B5148" t="s">
        <v>135</v>
      </c>
      <c r="C5148">
        <v>1000</v>
      </c>
      <c r="D5148" t="s">
        <v>8</v>
      </c>
      <c r="E5148" t="s">
        <v>17</v>
      </c>
      <c r="F5148" s="5">
        <v>42370</v>
      </c>
      <c r="G5148">
        <v>0</v>
      </c>
    </row>
    <row r="5149" spans="1:7" x14ac:dyDescent="0.25">
      <c r="A5149" t="s">
        <v>134</v>
      </c>
      <c r="B5149" t="s">
        <v>135</v>
      </c>
      <c r="C5149">
        <v>1000</v>
      </c>
      <c r="D5149" t="s">
        <v>8</v>
      </c>
      <c r="E5149" t="s">
        <v>17</v>
      </c>
      <c r="F5149" s="5">
        <v>42736</v>
      </c>
      <c r="G5149">
        <v>0</v>
      </c>
    </row>
    <row r="5150" spans="1:7" x14ac:dyDescent="0.25">
      <c r="A5150" t="s">
        <v>134</v>
      </c>
      <c r="B5150" t="s">
        <v>135</v>
      </c>
      <c r="C5150">
        <v>1000</v>
      </c>
      <c r="D5150" t="s">
        <v>8</v>
      </c>
      <c r="E5150" t="s">
        <v>18</v>
      </c>
      <c r="F5150" s="5">
        <v>42370</v>
      </c>
      <c r="G5150">
        <v>227</v>
      </c>
    </row>
    <row r="5151" spans="1:7" x14ac:dyDescent="0.25">
      <c r="A5151" t="s">
        <v>134</v>
      </c>
      <c r="B5151" t="s">
        <v>135</v>
      </c>
      <c r="C5151">
        <v>1000</v>
      </c>
      <c r="D5151" t="s">
        <v>8</v>
      </c>
      <c r="E5151" t="s">
        <v>18</v>
      </c>
      <c r="F5151" s="5">
        <v>42736</v>
      </c>
      <c r="G5151">
        <v>359</v>
      </c>
    </row>
    <row r="5152" spans="1:7" x14ac:dyDescent="0.25">
      <c r="A5152" t="s">
        <v>134</v>
      </c>
      <c r="B5152" t="s">
        <v>135</v>
      </c>
      <c r="C5152">
        <v>1000</v>
      </c>
      <c r="D5152" t="s">
        <v>8</v>
      </c>
      <c r="E5152" t="s">
        <v>19</v>
      </c>
      <c r="F5152" s="5">
        <v>42370</v>
      </c>
      <c r="G5152">
        <v>0</v>
      </c>
    </row>
    <row r="5153" spans="1:7" x14ac:dyDescent="0.25">
      <c r="A5153" t="s">
        <v>134</v>
      </c>
      <c r="B5153" t="s">
        <v>135</v>
      </c>
      <c r="C5153">
        <v>1000</v>
      </c>
      <c r="D5153" t="s">
        <v>8</v>
      </c>
      <c r="E5153" t="s">
        <v>19</v>
      </c>
      <c r="F5153" s="5">
        <v>42736</v>
      </c>
      <c r="G5153">
        <v>0</v>
      </c>
    </row>
    <row r="5154" spans="1:7" x14ac:dyDescent="0.25">
      <c r="A5154" t="s">
        <v>134</v>
      </c>
      <c r="B5154" t="s">
        <v>135</v>
      </c>
      <c r="C5154">
        <v>1000</v>
      </c>
      <c r="D5154" t="s">
        <v>20</v>
      </c>
      <c r="E5154" t="s">
        <v>9</v>
      </c>
      <c r="F5154" s="5">
        <v>42370</v>
      </c>
      <c r="G5154">
        <v>329</v>
      </c>
    </row>
    <row r="5155" spans="1:7" x14ac:dyDescent="0.25">
      <c r="A5155" t="s">
        <v>134</v>
      </c>
      <c r="B5155" t="s">
        <v>135</v>
      </c>
      <c r="C5155">
        <v>1000</v>
      </c>
      <c r="D5155" t="s">
        <v>20</v>
      </c>
      <c r="E5155" t="s">
        <v>9</v>
      </c>
      <c r="F5155" s="5">
        <v>42736</v>
      </c>
      <c r="G5155">
        <v>2186</v>
      </c>
    </row>
    <row r="5156" spans="1:7" x14ac:dyDescent="0.25">
      <c r="A5156" t="s">
        <v>134</v>
      </c>
      <c r="B5156" t="s">
        <v>135</v>
      </c>
      <c r="C5156">
        <v>1000</v>
      </c>
      <c r="D5156" t="s">
        <v>20</v>
      </c>
      <c r="E5156" t="s">
        <v>21</v>
      </c>
      <c r="F5156" s="5">
        <v>42370</v>
      </c>
      <c r="G5156">
        <v>312</v>
      </c>
    </row>
    <row r="5157" spans="1:7" x14ac:dyDescent="0.25">
      <c r="A5157" t="s">
        <v>134</v>
      </c>
      <c r="B5157" t="s">
        <v>135</v>
      </c>
      <c r="C5157">
        <v>1000</v>
      </c>
      <c r="D5157" t="s">
        <v>20</v>
      </c>
      <c r="E5157" t="s">
        <v>21</v>
      </c>
      <c r="F5157" s="5">
        <v>42736</v>
      </c>
      <c r="G5157">
        <v>169</v>
      </c>
    </row>
    <row r="5158" spans="1:7" x14ac:dyDescent="0.25">
      <c r="A5158" t="s">
        <v>134</v>
      </c>
      <c r="B5158" t="s">
        <v>135</v>
      </c>
      <c r="C5158">
        <v>1000</v>
      </c>
      <c r="D5158" t="s">
        <v>20</v>
      </c>
      <c r="E5158" t="s">
        <v>22</v>
      </c>
      <c r="F5158" s="5">
        <v>42370</v>
      </c>
      <c r="G5158">
        <v>71</v>
      </c>
    </row>
    <row r="5159" spans="1:7" x14ac:dyDescent="0.25">
      <c r="A5159" t="s">
        <v>134</v>
      </c>
      <c r="B5159" t="s">
        <v>135</v>
      </c>
      <c r="C5159">
        <v>1000</v>
      </c>
      <c r="D5159" t="s">
        <v>20</v>
      </c>
      <c r="E5159" t="s">
        <v>22</v>
      </c>
      <c r="F5159" s="5">
        <v>42736</v>
      </c>
      <c r="G5159">
        <v>116</v>
      </c>
    </row>
    <row r="5160" spans="1:7" x14ac:dyDescent="0.25">
      <c r="A5160" t="s">
        <v>134</v>
      </c>
      <c r="B5160" t="s">
        <v>135</v>
      </c>
      <c r="C5160">
        <v>1000</v>
      </c>
      <c r="D5160" t="s">
        <v>20</v>
      </c>
      <c r="E5160" t="s">
        <v>23</v>
      </c>
      <c r="F5160" s="5">
        <v>42370</v>
      </c>
      <c r="G5160">
        <v>79</v>
      </c>
    </row>
    <row r="5161" spans="1:7" x14ac:dyDescent="0.25">
      <c r="A5161" t="s">
        <v>134</v>
      </c>
      <c r="B5161" t="s">
        <v>135</v>
      </c>
      <c r="C5161">
        <v>1000</v>
      </c>
      <c r="D5161" t="s">
        <v>20</v>
      </c>
      <c r="E5161" t="s">
        <v>23</v>
      </c>
      <c r="F5161" s="5">
        <v>42736</v>
      </c>
      <c r="G5161">
        <v>59</v>
      </c>
    </row>
    <row r="5162" spans="1:7" x14ac:dyDescent="0.25">
      <c r="A5162" t="s">
        <v>134</v>
      </c>
      <c r="B5162" t="s">
        <v>135</v>
      </c>
      <c r="C5162">
        <v>1000</v>
      </c>
      <c r="D5162" t="s">
        <v>20</v>
      </c>
      <c r="E5162" t="s">
        <v>24</v>
      </c>
      <c r="F5162" s="5">
        <v>42370</v>
      </c>
      <c r="G5162">
        <v>5</v>
      </c>
    </row>
    <row r="5163" spans="1:7" x14ac:dyDescent="0.25">
      <c r="A5163" t="s">
        <v>134</v>
      </c>
      <c r="B5163" t="s">
        <v>135</v>
      </c>
      <c r="C5163">
        <v>1000</v>
      </c>
      <c r="D5163" t="s">
        <v>20</v>
      </c>
      <c r="E5163" t="s">
        <v>24</v>
      </c>
      <c r="F5163" s="5">
        <v>42736</v>
      </c>
      <c r="G5163">
        <v>3</v>
      </c>
    </row>
    <row r="5164" spans="1:7" x14ac:dyDescent="0.25">
      <c r="A5164" t="s">
        <v>134</v>
      </c>
      <c r="B5164" t="s">
        <v>135</v>
      </c>
      <c r="C5164">
        <v>1000</v>
      </c>
      <c r="D5164" t="s">
        <v>20</v>
      </c>
      <c r="E5164" t="s">
        <v>25</v>
      </c>
      <c r="F5164" s="5">
        <v>42370</v>
      </c>
      <c r="G5164">
        <v>6</v>
      </c>
    </row>
    <row r="5165" spans="1:7" x14ac:dyDescent="0.25">
      <c r="A5165" t="s">
        <v>134</v>
      </c>
      <c r="B5165" t="s">
        <v>135</v>
      </c>
      <c r="C5165">
        <v>1000</v>
      </c>
      <c r="D5165" t="s">
        <v>20</v>
      </c>
      <c r="E5165" t="s">
        <v>25</v>
      </c>
      <c r="F5165" s="5">
        <v>42736</v>
      </c>
      <c r="G5165">
        <v>6</v>
      </c>
    </row>
    <row r="5166" spans="1:7" x14ac:dyDescent="0.25">
      <c r="A5166" t="s">
        <v>134</v>
      </c>
      <c r="B5166" t="s">
        <v>135</v>
      </c>
      <c r="C5166">
        <v>1000</v>
      </c>
      <c r="D5166" t="s">
        <v>20</v>
      </c>
      <c r="E5166" t="s">
        <v>26</v>
      </c>
      <c r="F5166" s="5">
        <v>42370</v>
      </c>
      <c r="G5166">
        <v>2818</v>
      </c>
    </row>
    <row r="5167" spans="1:7" x14ac:dyDescent="0.25">
      <c r="A5167" t="s">
        <v>134</v>
      </c>
      <c r="B5167" t="s">
        <v>135</v>
      </c>
      <c r="C5167">
        <v>1000</v>
      </c>
      <c r="D5167" t="s">
        <v>20</v>
      </c>
      <c r="E5167" t="s">
        <v>26</v>
      </c>
      <c r="F5167" s="5">
        <v>42736</v>
      </c>
      <c r="G5167">
        <v>3329</v>
      </c>
    </row>
    <row r="5168" spans="1:7" x14ac:dyDescent="0.25">
      <c r="A5168" t="s">
        <v>134</v>
      </c>
      <c r="B5168" t="s">
        <v>135</v>
      </c>
      <c r="C5168">
        <v>1000</v>
      </c>
      <c r="D5168" t="s">
        <v>20</v>
      </c>
      <c r="E5168" t="s">
        <v>27</v>
      </c>
      <c r="F5168" s="5">
        <v>42370</v>
      </c>
      <c r="G5168">
        <v>41</v>
      </c>
    </row>
    <row r="5169" spans="1:7" x14ac:dyDescent="0.25">
      <c r="A5169" t="s">
        <v>134</v>
      </c>
      <c r="B5169" t="s">
        <v>135</v>
      </c>
      <c r="C5169">
        <v>1000</v>
      </c>
      <c r="D5169" t="s">
        <v>20</v>
      </c>
      <c r="E5169" t="s">
        <v>27</v>
      </c>
      <c r="F5169" s="5">
        <v>42736</v>
      </c>
      <c r="G5169">
        <v>38</v>
      </c>
    </row>
    <row r="5170" spans="1:7" x14ac:dyDescent="0.25">
      <c r="A5170" t="s">
        <v>134</v>
      </c>
      <c r="B5170" t="s">
        <v>135</v>
      </c>
      <c r="C5170">
        <v>1000</v>
      </c>
      <c r="D5170" t="s">
        <v>20</v>
      </c>
      <c r="E5170" t="s">
        <v>28</v>
      </c>
      <c r="F5170" s="5">
        <v>42370</v>
      </c>
      <c r="G5170">
        <v>3</v>
      </c>
    </row>
    <row r="5171" spans="1:7" x14ac:dyDescent="0.25">
      <c r="A5171" t="s">
        <v>134</v>
      </c>
      <c r="B5171" t="s">
        <v>135</v>
      </c>
      <c r="C5171">
        <v>1000</v>
      </c>
      <c r="D5171" t="s">
        <v>20</v>
      </c>
      <c r="E5171" t="s">
        <v>28</v>
      </c>
      <c r="F5171" s="5">
        <v>42736</v>
      </c>
      <c r="G5171">
        <v>3</v>
      </c>
    </row>
    <row r="5172" spans="1:7" x14ac:dyDescent="0.25">
      <c r="A5172" t="s">
        <v>134</v>
      </c>
      <c r="B5172" t="s">
        <v>135</v>
      </c>
      <c r="C5172">
        <v>1000</v>
      </c>
      <c r="D5172" t="s">
        <v>20</v>
      </c>
      <c r="E5172" t="s">
        <v>29</v>
      </c>
      <c r="F5172" s="5">
        <v>42370</v>
      </c>
      <c r="G5172">
        <v>2866</v>
      </c>
    </row>
    <row r="5173" spans="1:7" x14ac:dyDescent="0.25">
      <c r="A5173" t="s">
        <v>134</v>
      </c>
      <c r="B5173" t="s">
        <v>135</v>
      </c>
      <c r="C5173">
        <v>1000</v>
      </c>
      <c r="D5173" t="s">
        <v>20</v>
      </c>
      <c r="E5173" t="s">
        <v>29</v>
      </c>
      <c r="F5173" s="5">
        <v>42736</v>
      </c>
      <c r="G5173">
        <v>3440</v>
      </c>
    </row>
    <row r="5174" spans="1:7" x14ac:dyDescent="0.25">
      <c r="A5174" t="s">
        <v>134</v>
      </c>
      <c r="B5174" t="s">
        <v>135</v>
      </c>
      <c r="C5174">
        <v>1000</v>
      </c>
      <c r="D5174" t="s">
        <v>20</v>
      </c>
      <c r="E5174" t="s">
        <v>30</v>
      </c>
      <c r="F5174" s="5">
        <v>42370</v>
      </c>
      <c r="G5174">
        <v>2833</v>
      </c>
    </row>
    <row r="5175" spans="1:7" x14ac:dyDescent="0.25">
      <c r="A5175" t="s">
        <v>134</v>
      </c>
      <c r="B5175" t="s">
        <v>135</v>
      </c>
      <c r="C5175">
        <v>1000</v>
      </c>
      <c r="D5175" t="s">
        <v>20</v>
      </c>
      <c r="E5175" t="s">
        <v>30</v>
      </c>
      <c r="F5175" s="5">
        <v>42736</v>
      </c>
      <c r="G5175">
        <v>3420</v>
      </c>
    </row>
    <row r="5176" spans="1:7" x14ac:dyDescent="0.25">
      <c r="A5176" t="s">
        <v>134</v>
      </c>
      <c r="B5176" t="s">
        <v>135</v>
      </c>
      <c r="C5176">
        <v>1000</v>
      </c>
      <c r="D5176" t="s">
        <v>20</v>
      </c>
      <c r="E5176" t="s">
        <v>31</v>
      </c>
      <c r="F5176" s="5">
        <v>42370</v>
      </c>
      <c r="G5176">
        <v>6025</v>
      </c>
    </row>
    <row r="5177" spans="1:7" x14ac:dyDescent="0.25">
      <c r="A5177" t="s">
        <v>134</v>
      </c>
      <c r="B5177" t="s">
        <v>135</v>
      </c>
      <c r="C5177">
        <v>1000</v>
      </c>
      <c r="D5177" t="s">
        <v>20</v>
      </c>
      <c r="E5177" t="s">
        <v>31</v>
      </c>
      <c r="F5177" s="5">
        <v>42736</v>
      </c>
      <c r="G5177">
        <v>9111</v>
      </c>
    </row>
    <row r="5178" spans="1:7" x14ac:dyDescent="0.25">
      <c r="A5178" t="s">
        <v>134</v>
      </c>
      <c r="B5178" t="s">
        <v>135</v>
      </c>
      <c r="C5178">
        <v>1000</v>
      </c>
      <c r="D5178" t="s">
        <v>20</v>
      </c>
      <c r="E5178" t="s">
        <v>32</v>
      </c>
      <c r="F5178" s="5">
        <v>42370</v>
      </c>
      <c r="G5178">
        <v>2693</v>
      </c>
    </row>
    <row r="5179" spans="1:7" x14ac:dyDescent="0.25">
      <c r="A5179" t="s">
        <v>134</v>
      </c>
      <c r="B5179" t="s">
        <v>135</v>
      </c>
      <c r="C5179">
        <v>1000</v>
      </c>
      <c r="D5179" t="s">
        <v>20</v>
      </c>
      <c r="E5179" t="s">
        <v>32</v>
      </c>
      <c r="F5179" s="5">
        <v>42736</v>
      </c>
      <c r="G5179">
        <v>4956</v>
      </c>
    </row>
    <row r="5180" spans="1:7" x14ac:dyDescent="0.25">
      <c r="A5180" t="s">
        <v>134</v>
      </c>
      <c r="B5180" t="s">
        <v>135</v>
      </c>
      <c r="C5180">
        <v>1000</v>
      </c>
      <c r="D5180" t="s">
        <v>33</v>
      </c>
      <c r="E5180" t="s">
        <v>9</v>
      </c>
      <c r="F5180" s="5">
        <v>42370</v>
      </c>
      <c r="G5180">
        <v>0</v>
      </c>
    </row>
    <row r="5181" spans="1:7" x14ac:dyDescent="0.25">
      <c r="A5181" t="s">
        <v>134</v>
      </c>
      <c r="B5181" t="s">
        <v>135</v>
      </c>
      <c r="C5181">
        <v>1000</v>
      </c>
      <c r="D5181" t="s">
        <v>33</v>
      </c>
      <c r="E5181" t="s">
        <v>9</v>
      </c>
      <c r="F5181" s="5">
        <v>42736</v>
      </c>
      <c r="G5181">
        <v>0</v>
      </c>
    </row>
    <row r="5182" spans="1:7" x14ac:dyDescent="0.25">
      <c r="A5182" t="s">
        <v>134</v>
      </c>
      <c r="B5182" t="s">
        <v>135</v>
      </c>
      <c r="C5182">
        <v>1000</v>
      </c>
      <c r="D5182" t="s">
        <v>33</v>
      </c>
      <c r="E5182" t="s">
        <v>34</v>
      </c>
      <c r="F5182" s="5">
        <v>42370</v>
      </c>
      <c r="G5182">
        <v>1</v>
      </c>
    </row>
    <row r="5183" spans="1:7" x14ac:dyDescent="0.25">
      <c r="A5183" t="s">
        <v>134</v>
      </c>
      <c r="B5183" t="s">
        <v>135</v>
      </c>
      <c r="C5183">
        <v>1000</v>
      </c>
      <c r="D5183" t="s">
        <v>33</v>
      </c>
      <c r="E5183" t="s">
        <v>34</v>
      </c>
      <c r="F5183" s="5">
        <v>42736</v>
      </c>
      <c r="G5183">
        <v>1</v>
      </c>
    </row>
    <row r="5184" spans="1:7" x14ac:dyDescent="0.25">
      <c r="A5184" t="s">
        <v>134</v>
      </c>
      <c r="B5184" t="s">
        <v>135</v>
      </c>
      <c r="C5184">
        <v>1000</v>
      </c>
      <c r="D5184" t="s">
        <v>35</v>
      </c>
      <c r="E5184" t="s">
        <v>36</v>
      </c>
      <c r="F5184" s="5">
        <v>42370</v>
      </c>
      <c r="G5184">
        <v>0</v>
      </c>
    </row>
    <row r="5185" spans="1:7" x14ac:dyDescent="0.25">
      <c r="A5185" t="s">
        <v>134</v>
      </c>
      <c r="B5185" t="s">
        <v>135</v>
      </c>
      <c r="C5185">
        <v>1000</v>
      </c>
      <c r="D5185" t="s">
        <v>35</v>
      </c>
      <c r="E5185" t="s">
        <v>36</v>
      </c>
      <c r="F5185" s="5">
        <v>42736</v>
      </c>
      <c r="G5185">
        <v>1</v>
      </c>
    </row>
    <row r="5186" spans="1:7" x14ac:dyDescent="0.25">
      <c r="A5186" t="s">
        <v>134</v>
      </c>
      <c r="B5186" t="s">
        <v>135</v>
      </c>
      <c r="C5186">
        <v>1000</v>
      </c>
      <c r="D5186" t="s">
        <v>35</v>
      </c>
      <c r="E5186" t="s">
        <v>37</v>
      </c>
      <c r="F5186" s="5">
        <v>42370</v>
      </c>
      <c r="G5186">
        <v>18</v>
      </c>
    </row>
    <row r="5187" spans="1:7" x14ac:dyDescent="0.25">
      <c r="A5187" t="s">
        <v>134</v>
      </c>
      <c r="B5187" t="s">
        <v>135</v>
      </c>
      <c r="C5187">
        <v>1000</v>
      </c>
      <c r="D5187" t="s">
        <v>35</v>
      </c>
      <c r="E5187" t="s">
        <v>37</v>
      </c>
      <c r="F5187" s="5">
        <v>42736</v>
      </c>
      <c r="G5187">
        <v>27</v>
      </c>
    </row>
    <row r="5188" spans="1:7" x14ac:dyDescent="0.25">
      <c r="A5188" t="s">
        <v>134</v>
      </c>
      <c r="B5188" t="s">
        <v>135</v>
      </c>
      <c r="C5188">
        <v>1000</v>
      </c>
      <c r="D5188" t="s">
        <v>35</v>
      </c>
      <c r="E5188" t="s">
        <v>38</v>
      </c>
      <c r="F5188" s="5">
        <v>42370</v>
      </c>
      <c r="G5188">
        <v>0</v>
      </c>
    </row>
    <row r="5189" spans="1:7" x14ac:dyDescent="0.25">
      <c r="A5189" t="s">
        <v>134</v>
      </c>
      <c r="B5189" t="s">
        <v>135</v>
      </c>
      <c r="C5189">
        <v>1000</v>
      </c>
      <c r="D5189" t="s">
        <v>35</v>
      </c>
      <c r="E5189" t="s">
        <v>38</v>
      </c>
      <c r="F5189" s="5">
        <v>42736</v>
      </c>
      <c r="G5189">
        <v>0</v>
      </c>
    </row>
    <row r="5190" spans="1:7" x14ac:dyDescent="0.25">
      <c r="A5190" t="s">
        <v>134</v>
      </c>
      <c r="B5190" t="s">
        <v>135</v>
      </c>
      <c r="C5190">
        <v>1000</v>
      </c>
      <c r="D5190" t="s">
        <v>35</v>
      </c>
      <c r="E5190" t="s">
        <v>39</v>
      </c>
      <c r="F5190" s="5">
        <v>42370</v>
      </c>
      <c r="G5190">
        <v>0</v>
      </c>
    </row>
    <row r="5191" spans="1:7" x14ac:dyDescent="0.25">
      <c r="A5191" t="s">
        <v>134</v>
      </c>
      <c r="B5191" t="s">
        <v>135</v>
      </c>
      <c r="C5191">
        <v>1000</v>
      </c>
      <c r="D5191" t="s">
        <v>35</v>
      </c>
      <c r="E5191" t="s">
        <v>39</v>
      </c>
      <c r="F5191" s="5">
        <v>42736</v>
      </c>
      <c r="G5191">
        <v>0</v>
      </c>
    </row>
    <row r="5192" spans="1:7" x14ac:dyDescent="0.25">
      <c r="A5192" t="s">
        <v>134</v>
      </c>
      <c r="B5192" t="s">
        <v>135</v>
      </c>
      <c r="C5192">
        <v>1000</v>
      </c>
      <c r="D5192" t="s">
        <v>35</v>
      </c>
      <c r="E5192" t="s">
        <v>40</v>
      </c>
      <c r="F5192" s="5">
        <v>42370</v>
      </c>
      <c r="G5192">
        <v>26</v>
      </c>
    </row>
    <row r="5193" spans="1:7" x14ac:dyDescent="0.25">
      <c r="A5193" t="s">
        <v>134</v>
      </c>
      <c r="B5193" t="s">
        <v>135</v>
      </c>
      <c r="C5193">
        <v>1000</v>
      </c>
      <c r="D5193" t="s">
        <v>35</v>
      </c>
      <c r="E5193" t="s">
        <v>40</v>
      </c>
      <c r="F5193" s="5">
        <v>42736</v>
      </c>
      <c r="G5193">
        <v>33</v>
      </c>
    </row>
    <row r="5194" spans="1:7" x14ac:dyDescent="0.25">
      <c r="A5194" t="s">
        <v>134</v>
      </c>
      <c r="B5194" t="s">
        <v>135</v>
      </c>
      <c r="C5194">
        <v>1000</v>
      </c>
      <c r="D5194" t="s">
        <v>35</v>
      </c>
      <c r="E5194" t="s">
        <v>41</v>
      </c>
      <c r="F5194" s="5">
        <v>42370</v>
      </c>
      <c r="G5194">
        <v>63</v>
      </c>
    </row>
    <row r="5195" spans="1:7" x14ac:dyDescent="0.25">
      <c r="A5195" t="s">
        <v>134</v>
      </c>
      <c r="B5195" t="s">
        <v>135</v>
      </c>
      <c r="C5195">
        <v>1000</v>
      </c>
      <c r="D5195" t="s">
        <v>35</v>
      </c>
      <c r="E5195" t="s">
        <v>41</v>
      </c>
      <c r="F5195" s="5">
        <v>42736</v>
      </c>
      <c r="G5195">
        <v>48</v>
      </c>
    </row>
    <row r="5196" spans="1:7" x14ac:dyDescent="0.25">
      <c r="A5196" t="s">
        <v>134</v>
      </c>
      <c r="B5196" t="s">
        <v>135</v>
      </c>
      <c r="C5196">
        <v>1000</v>
      </c>
      <c r="D5196" t="s">
        <v>35</v>
      </c>
      <c r="E5196" t="s">
        <v>42</v>
      </c>
      <c r="F5196" s="5">
        <v>42370</v>
      </c>
      <c r="G5196">
        <v>0</v>
      </c>
    </row>
    <row r="5197" spans="1:7" x14ac:dyDescent="0.25">
      <c r="A5197" t="s">
        <v>134</v>
      </c>
      <c r="B5197" t="s">
        <v>135</v>
      </c>
      <c r="C5197">
        <v>1000</v>
      </c>
      <c r="D5197" t="s">
        <v>35</v>
      </c>
      <c r="E5197" t="s">
        <v>42</v>
      </c>
      <c r="F5197" s="5">
        <v>42736</v>
      </c>
      <c r="G5197">
        <v>0</v>
      </c>
    </row>
    <row r="5198" spans="1:7" x14ac:dyDescent="0.25">
      <c r="A5198" t="s">
        <v>134</v>
      </c>
      <c r="B5198" t="s">
        <v>135</v>
      </c>
      <c r="C5198">
        <v>1000</v>
      </c>
      <c r="D5198" t="s">
        <v>35</v>
      </c>
      <c r="E5198" t="s">
        <v>43</v>
      </c>
      <c r="F5198" s="5">
        <v>42370</v>
      </c>
      <c r="G5198">
        <v>0</v>
      </c>
    </row>
    <row r="5199" spans="1:7" x14ac:dyDescent="0.25">
      <c r="A5199" t="s">
        <v>134</v>
      </c>
      <c r="B5199" t="s">
        <v>135</v>
      </c>
      <c r="C5199">
        <v>1000</v>
      </c>
      <c r="D5199" t="s">
        <v>35</v>
      </c>
      <c r="E5199" t="s">
        <v>43</v>
      </c>
      <c r="F5199" s="5">
        <v>42736</v>
      </c>
      <c r="G5199">
        <v>2</v>
      </c>
    </row>
    <row r="5200" spans="1:7" x14ac:dyDescent="0.25">
      <c r="A5200" t="s">
        <v>134</v>
      </c>
      <c r="B5200" t="s">
        <v>135</v>
      </c>
      <c r="C5200">
        <v>1000</v>
      </c>
      <c r="D5200" t="s">
        <v>44</v>
      </c>
      <c r="E5200" t="s">
        <v>36</v>
      </c>
      <c r="F5200" s="5">
        <v>42370</v>
      </c>
      <c r="G5200">
        <v>0</v>
      </c>
    </row>
    <row r="5201" spans="1:7" x14ac:dyDescent="0.25">
      <c r="A5201" t="s">
        <v>134</v>
      </c>
      <c r="B5201" t="s">
        <v>135</v>
      </c>
      <c r="C5201">
        <v>1000</v>
      </c>
      <c r="D5201" t="s">
        <v>44</v>
      </c>
      <c r="E5201" t="s">
        <v>36</v>
      </c>
      <c r="F5201" s="5">
        <v>42736</v>
      </c>
      <c r="G5201">
        <v>3</v>
      </c>
    </row>
    <row r="5202" spans="1:7" x14ac:dyDescent="0.25">
      <c r="A5202" t="s">
        <v>134</v>
      </c>
      <c r="B5202" t="s">
        <v>135</v>
      </c>
      <c r="C5202">
        <v>1000</v>
      </c>
      <c r="D5202" t="s">
        <v>44</v>
      </c>
      <c r="E5202" t="s">
        <v>37</v>
      </c>
      <c r="F5202" s="5">
        <v>42370</v>
      </c>
      <c r="G5202">
        <v>2</v>
      </c>
    </row>
    <row r="5203" spans="1:7" x14ac:dyDescent="0.25">
      <c r="A5203" t="s">
        <v>134</v>
      </c>
      <c r="B5203" t="s">
        <v>135</v>
      </c>
      <c r="C5203">
        <v>1000</v>
      </c>
      <c r="D5203" t="s">
        <v>44</v>
      </c>
      <c r="E5203" t="s">
        <v>37</v>
      </c>
      <c r="F5203" s="5">
        <v>42736</v>
      </c>
      <c r="G5203">
        <v>5</v>
      </c>
    </row>
    <row r="5204" spans="1:7" x14ac:dyDescent="0.25">
      <c r="A5204" t="s">
        <v>134</v>
      </c>
      <c r="B5204" t="s">
        <v>135</v>
      </c>
      <c r="C5204">
        <v>1000</v>
      </c>
      <c r="D5204" t="s">
        <v>44</v>
      </c>
      <c r="E5204" t="s">
        <v>38</v>
      </c>
      <c r="F5204" s="5">
        <v>42370</v>
      </c>
      <c r="G5204">
        <v>0</v>
      </c>
    </row>
    <row r="5205" spans="1:7" x14ac:dyDescent="0.25">
      <c r="A5205" t="s">
        <v>134</v>
      </c>
      <c r="B5205" t="s">
        <v>135</v>
      </c>
      <c r="C5205">
        <v>1000</v>
      </c>
      <c r="D5205" t="s">
        <v>44</v>
      </c>
      <c r="E5205" t="s">
        <v>38</v>
      </c>
      <c r="F5205" s="5">
        <v>42736</v>
      </c>
      <c r="G5205">
        <v>0</v>
      </c>
    </row>
    <row r="5206" spans="1:7" x14ac:dyDescent="0.25">
      <c r="A5206" t="s">
        <v>134</v>
      </c>
      <c r="B5206" t="s">
        <v>135</v>
      </c>
      <c r="C5206">
        <v>1000</v>
      </c>
      <c r="D5206" t="s">
        <v>44</v>
      </c>
      <c r="E5206" t="s">
        <v>39</v>
      </c>
      <c r="F5206" s="5">
        <v>42370</v>
      </c>
      <c r="G5206">
        <v>0</v>
      </c>
    </row>
    <row r="5207" spans="1:7" x14ac:dyDescent="0.25">
      <c r="A5207" t="s">
        <v>134</v>
      </c>
      <c r="B5207" t="s">
        <v>135</v>
      </c>
      <c r="C5207">
        <v>1000</v>
      </c>
      <c r="D5207" t="s">
        <v>44</v>
      </c>
      <c r="E5207" t="s">
        <v>39</v>
      </c>
      <c r="F5207" s="5">
        <v>42736</v>
      </c>
      <c r="G5207">
        <v>0</v>
      </c>
    </row>
    <row r="5208" spans="1:7" x14ac:dyDescent="0.25">
      <c r="A5208" t="s">
        <v>134</v>
      </c>
      <c r="B5208" t="s">
        <v>135</v>
      </c>
      <c r="C5208">
        <v>1000</v>
      </c>
      <c r="D5208" t="s">
        <v>44</v>
      </c>
      <c r="E5208" t="s">
        <v>40</v>
      </c>
      <c r="F5208" s="5">
        <v>42370</v>
      </c>
      <c r="G5208">
        <v>0</v>
      </c>
    </row>
    <row r="5209" spans="1:7" x14ac:dyDescent="0.25">
      <c r="A5209" t="s">
        <v>134</v>
      </c>
      <c r="B5209" t="s">
        <v>135</v>
      </c>
      <c r="C5209">
        <v>1000</v>
      </c>
      <c r="D5209" t="s">
        <v>44</v>
      </c>
      <c r="E5209" t="s">
        <v>40</v>
      </c>
      <c r="F5209" s="5">
        <v>42736</v>
      </c>
      <c r="G5209">
        <v>3</v>
      </c>
    </row>
    <row r="5210" spans="1:7" x14ac:dyDescent="0.25">
      <c r="A5210" t="s">
        <v>134</v>
      </c>
      <c r="B5210" t="s">
        <v>135</v>
      </c>
      <c r="C5210">
        <v>1000</v>
      </c>
      <c r="D5210" t="s">
        <v>44</v>
      </c>
      <c r="E5210" t="s">
        <v>41</v>
      </c>
      <c r="F5210" s="5">
        <v>42370</v>
      </c>
      <c r="G5210">
        <v>3</v>
      </c>
    </row>
    <row r="5211" spans="1:7" x14ac:dyDescent="0.25">
      <c r="A5211" t="s">
        <v>134</v>
      </c>
      <c r="B5211" t="s">
        <v>135</v>
      </c>
      <c r="C5211">
        <v>1000</v>
      </c>
      <c r="D5211" t="s">
        <v>44</v>
      </c>
      <c r="E5211" t="s">
        <v>41</v>
      </c>
      <c r="F5211" s="5">
        <v>42736</v>
      </c>
      <c r="G5211">
        <v>6</v>
      </c>
    </row>
    <row r="5212" spans="1:7" x14ac:dyDescent="0.25">
      <c r="A5212" t="s">
        <v>134</v>
      </c>
      <c r="B5212" t="s">
        <v>135</v>
      </c>
      <c r="C5212">
        <v>1000</v>
      </c>
      <c r="D5212" t="s">
        <v>44</v>
      </c>
      <c r="E5212" t="s">
        <v>42</v>
      </c>
      <c r="F5212" s="5">
        <v>42370</v>
      </c>
      <c r="G5212">
        <v>0</v>
      </c>
    </row>
    <row r="5213" spans="1:7" x14ac:dyDescent="0.25">
      <c r="A5213" t="s">
        <v>134</v>
      </c>
      <c r="B5213" t="s">
        <v>135</v>
      </c>
      <c r="C5213">
        <v>1000</v>
      </c>
      <c r="D5213" t="s">
        <v>44</v>
      </c>
      <c r="E5213" t="s">
        <v>42</v>
      </c>
      <c r="F5213" s="5">
        <v>42736</v>
      </c>
      <c r="G5213">
        <v>0</v>
      </c>
    </row>
    <row r="5214" spans="1:7" x14ac:dyDescent="0.25">
      <c r="A5214" t="s">
        <v>134</v>
      </c>
      <c r="B5214" t="s">
        <v>135</v>
      </c>
      <c r="C5214">
        <v>1000</v>
      </c>
      <c r="D5214" t="s">
        <v>44</v>
      </c>
      <c r="E5214" t="s">
        <v>43</v>
      </c>
      <c r="F5214" s="5">
        <v>42370</v>
      </c>
      <c r="G5214">
        <v>0</v>
      </c>
    </row>
    <row r="5215" spans="1:7" x14ac:dyDescent="0.25">
      <c r="A5215" t="s">
        <v>134</v>
      </c>
      <c r="B5215" t="s">
        <v>135</v>
      </c>
      <c r="C5215">
        <v>1000</v>
      </c>
      <c r="D5215" t="s">
        <v>44</v>
      </c>
      <c r="E5215" t="s">
        <v>43</v>
      </c>
      <c r="F5215" s="5">
        <v>42736</v>
      </c>
      <c r="G5215">
        <v>1</v>
      </c>
    </row>
    <row r="5216" spans="1:7" x14ac:dyDescent="0.25">
      <c r="A5216" t="s">
        <v>134</v>
      </c>
      <c r="B5216" t="s">
        <v>135</v>
      </c>
      <c r="C5216">
        <v>1000</v>
      </c>
      <c r="D5216" t="s">
        <v>45</v>
      </c>
      <c r="E5216" t="s">
        <v>46</v>
      </c>
      <c r="F5216" s="5">
        <v>42370</v>
      </c>
      <c r="G5216">
        <v>12</v>
      </c>
    </row>
    <row r="5217" spans="1:7" x14ac:dyDescent="0.25">
      <c r="A5217" t="s">
        <v>134</v>
      </c>
      <c r="B5217" t="s">
        <v>135</v>
      </c>
      <c r="C5217">
        <v>1000</v>
      </c>
      <c r="D5217" t="s">
        <v>45</v>
      </c>
      <c r="E5217" t="s">
        <v>46</v>
      </c>
      <c r="F5217" s="5">
        <v>42736</v>
      </c>
      <c r="G5217">
        <v>25</v>
      </c>
    </row>
    <row r="5218" spans="1:7" x14ac:dyDescent="0.25">
      <c r="A5218" t="s">
        <v>134</v>
      </c>
      <c r="B5218" t="s">
        <v>135</v>
      </c>
      <c r="C5218">
        <v>1000</v>
      </c>
      <c r="D5218" t="s">
        <v>45</v>
      </c>
      <c r="E5218" t="s">
        <v>47</v>
      </c>
      <c r="F5218" s="5">
        <v>42370</v>
      </c>
      <c r="G5218">
        <v>162</v>
      </c>
    </row>
    <row r="5219" spans="1:7" x14ac:dyDescent="0.25">
      <c r="A5219" t="s">
        <v>134</v>
      </c>
      <c r="B5219" t="s">
        <v>135</v>
      </c>
      <c r="C5219">
        <v>1000</v>
      </c>
      <c r="D5219" t="s">
        <v>45</v>
      </c>
      <c r="E5219" t="s">
        <v>47</v>
      </c>
      <c r="F5219" s="5">
        <v>42736</v>
      </c>
      <c r="G5219">
        <v>363</v>
      </c>
    </row>
    <row r="5220" spans="1:7" x14ac:dyDescent="0.25">
      <c r="A5220" t="s">
        <v>134</v>
      </c>
      <c r="B5220" t="s">
        <v>135</v>
      </c>
      <c r="C5220">
        <v>1000</v>
      </c>
      <c r="D5220" t="s">
        <v>45</v>
      </c>
      <c r="E5220" t="s">
        <v>48</v>
      </c>
      <c r="F5220" s="5">
        <v>42370</v>
      </c>
      <c r="G5220">
        <v>1452</v>
      </c>
    </row>
    <row r="5221" spans="1:7" x14ac:dyDescent="0.25">
      <c r="A5221" t="s">
        <v>134</v>
      </c>
      <c r="B5221" t="s">
        <v>135</v>
      </c>
      <c r="C5221">
        <v>1000</v>
      </c>
      <c r="D5221" t="s">
        <v>45</v>
      </c>
      <c r="E5221" t="s">
        <v>48</v>
      </c>
      <c r="F5221" s="5">
        <v>42736</v>
      </c>
      <c r="G5221">
        <v>2157</v>
      </c>
    </row>
    <row r="5222" spans="1:7" x14ac:dyDescent="0.25">
      <c r="A5222" t="s">
        <v>134</v>
      </c>
      <c r="B5222" t="s">
        <v>135</v>
      </c>
      <c r="C5222">
        <v>1000</v>
      </c>
      <c r="D5222" t="s">
        <v>45</v>
      </c>
      <c r="E5222" t="s">
        <v>49</v>
      </c>
      <c r="F5222" s="5">
        <v>42370</v>
      </c>
      <c r="G5222">
        <v>401</v>
      </c>
    </row>
    <row r="5223" spans="1:7" x14ac:dyDescent="0.25">
      <c r="A5223" t="s">
        <v>134</v>
      </c>
      <c r="B5223" t="s">
        <v>135</v>
      </c>
      <c r="C5223">
        <v>1000</v>
      </c>
      <c r="D5223" t="s">
        <v>45</v>
      </c>
      <c r="E5223" t="s">
        <v>49</v>
      </c>
      <c r="F5223" s="5">
        <v>42736</v>
      </c>
      <c r="G5223">
        <v>673</v>
      </c>
    </row>
    <row r="5224" spans="1:7" x14ac:dyDescent="0.25">
      <c r="A5224" t="s">
        <v>134</v>
      </c>
      <c r="B5224" t="s">
        <v>135</v>
      </c>
      <c r="C5224">
        <v>1000</v>
      </c>
      <c r="D5224" t="s">
        <v>45</v>
      </c>
      <c r="E5224" t="s">
        <v>50</v>
      </c>
      <c r="F5224" s="5">
        <v>42370</v>
      </c>
      <c r="G5224">
        <v>104</v>
      </c>
    </row>
    <row r="5225" spans="1:7" x14ac:dyDescent="0.25">
      <c r="A5225" t="s">
        <v>134</v>
      </c>
      <c r="B5225" t="s">
        <v>135</v>
      </c>
      <c r="C5225">
        <v>1000</v>
      </c>
      <c r="D5225" t="s">
        <v>45</v>
      </c>
      <c r="E5225" t="s">
        <v>50</v>
      </c>
      <c r="F5225" s="5">
        <v>42736</v>
      </c>
      <c r="G5225">
        <v>185</v>
      </c>
    </row>
    <row r="5226" spans="1:7" x14ac:dyDescent="0.25">
      <c r="A5226" t="s">
        <v>134</v>
      </c>
      <c r="B5226" t="s">
        <v>135</v>
      </c>
      <c r="C5226">
        <v>1000</v>
      </c>
      <c r="D5226" t="s">
        <v>45</v>
      </c>
      <c r="E5226" t="s">
        <v>51</v>
      </c>
      <c r="F5226" s="5">
        <v>42370</v>
      </c>
      <c r="G5226">
        <v>124</v>
      </c>
    </row>
    <row r="5227" spans="1:7" x14ac:dyDescent="0.25">
      <c r="A5227" t="s">
        <v>134</v>
      </c>
      <c r="B5227" t="s">
        <v>135</v>
      </c>
      <c r="C5227">
        <v>1000</v>
      </c>
      <c r="D5227" t="s">
        <v>45</v>
      </c>
      <c r="E5227" t="s">
        <v>51</v>
      </c>
      <c r="F5227" s="5">
        <v>42736</v>
      </c>
      <c r="G5227">
        <v>151</v>
      </c>
    </row>
    <row r="5228" spans="1:7" x14ac:dyDescent="0.25">
      <c r="A5228" t="s">
        <v>134</v>
      </c>
      <c r="B5228" t="s">
        <v>135</v>
      </c>
      <c r="C5228">
        <v>1000</v>
      </c>
      <c r="D5228" t="s">
        <v>45</v>
      </c>
      <c r="E5228" t="s">
        <v>52</v>
      </c>
      <c r="F5228" s="5">
        <v>42370</v>
      </c>
      <c r="G5228">
        <v>0</v>
      </c>
    </row>
    <row r="5229" spans="1:7" x14ac:dyDescent="0.25">
      <c r="A5229" t="s">
        <v>134</v>
      </c>
      <c r="B5229" t="s">
        <v>135</v>
      </c>
      <c r="C5229">
        <v>1000</v>
      </c>
      <c r="D5229" t="s">
        <v>45</v>
      </c>
      <c r="E5229" t="s">
        <v>52</v>
      </c>
      <c r="F5229" s="5">
        <v>42736</v>
      </c>
      <c r="G5229">
        <v>4</v>
      </c>
    </row>
    <row r="5230" spans="1:7" x14ac:dyDescent="0.25">
      <c r="A5230" t="s">
        <v>134</v>
      </c>
      <c r="B5230" t="s">
        <v>135</v>
      </c>
      <c r="C5230">
        <v>1000</v>
      </c>
      <c r="D5230" t="s">
        <v>45</v>
      </c>
      <c r="E5230" t="s">
        <v>53</v>
      </c>
      <c r="F5230" s="5">
        <v>42370</v>
      </c>
      <c r="G5230">
        <v>586</v>
      </c>
    </row>
    <row r="5231" spans="1:7" x14ac:dyDescent="0.25">
      <c r="A5231" t="s">
        <v>134</v>
      </c>
      <c r="B5231" t="s">
        <v>135</v>
      </c>
      <c r="C5231">
        <v>1000</v>
      </c>
      <c r="D5231" t="s">
        <v>45</v>
      </c>
      <c r="E5231" t="s">
        <v>53</v>
      </c>
      <c r="F5231" s="5">
        <v>42736</v>
      </c>
      <c r="G5231">
        <v>437</v>
      </c>
    </row>
    <row r="5232" spans="1:7" x14ac:dyDescent="0.25">
      <c r="A5232" t="s">
        <v>134</v>
      </c>
      <c r="B5232" t="s">
        <v>135</v>
      </c>
      <c r="C5232">
        <v>1000</v>
      </c>
      <c r="D5232" t="s">
        <v>45</v>
      </c>
      <c r="E5232" t="s">
        <v>54</v>
      </c>
      <c r="F5232" s="5">
        <v>42370</v>
      </c>
      <c r="G5232">
        <v>45</v>
      </c>
    </row>
    <row r="5233" spans="1:7" x14ac:dyDescent="0.25">
      <c r="A5233" t="s">
        <v>134</v>
      </c>
      <c r="B5233" t="s">
        <v>135</v>
      </c>
      <c r="C5233">
        <v>1000</v>
      </c>
      <c r="D5233" t="s">
        <v>45</v>
      </c>
      <c r="E5233" t="s">
        <v>54</v>
      </c>
      <c r="F5233" s="5">
        <v>42736</v>
      </c>
      <c r="G5233">
        <v>132</v>
      </c>
    </row>
    <row r="5234" spans="1:7" x14ac:dyDescent="0.25">
      <c r="A5234" t="s">
        <v>134</v>
      </c>
      <c r="B5234" t="s">
        <v>135</v>
      </c>
      <c r="C5234">
        <v>1000</v>
      </c>
      <c r="D5234" t="s">
        <v>45</v>
      </c>
      <c r="E5234" t="s">
        <v>55</v>
      </c>
      <c r="F5234" s="5">
        <v>42370</v>
      </c>
      <c r="G5234">
        <v>48</v>
      </c>
    </row>
    <row r="5235" spans="1:7" x14ac:dyDescent="0.25">
      <c r="A5235" t="s">
        <v>134</v>
      </c>
      <c r="B5235" t="s">
        <v>135</v>
      </c>
      <c r="C5235">
        <v>1000</v>
      </c>
      <c r="D5235" t="s">
        <v>45</v>
      </c>
      <c r="E5235" t="s">
        <v>55</v>
      </c>
      <c r="F5235" s="5">
        <v>42736</v>
      </c>
      <c r="G5235">
        <v>65</v>
      </c>
    </row>
    <row r="5236" spans="1:7" x14ac:dyDescent="0.25">
      <c r="A5236" t="s">
        <v>134</v>
      </c>
      <c r="B5236" t="s">
        <v>135</v>
      </c>
      <c r="C5236">
        <v>1000</v>
      </c>
      <c r="D5236" t="s">
        <v>45</v>
      </c>
      <c r="E5236" t="s">
        <v>56</v>
      </c>
      <c r="F5236" s="5">
        <v>42370</v>
      </c>
      <c r="G5236">
        <v>17</v>
      </c>
    </row>
    <row r="5237" spans="1:7" x14ac:dyDescent="0.25">
      <c r="A5237" t="s">
        <v>134</v>
      </c>
      <c r="B5237" t="s">
        <v>135</v>
      </c>
      <c r="C5237">
        <v>1000</v>
      </c>
      <c r="D5237" t="s">
        <v>45</v>
      </c>
      <c r="E5237" t="s">
        <v>56</v>
      </c>
      <c r="F5237" s="5">
        <v>42736</v>
      </c>
      <c r="G5237">
        <v>34</v>
      </c>
    </row>
    <row r="5238" spans="1:7" x14ac:dyDescent="0.25">
      <c r="A5238" t="s">
        <v>134</v>
      </c>
      <c r="B5238" t="s">
        <v>135</v>
      </c>
      <c r="C5238">
        <v>1000</v>
      </c>
      <c r="D5238" t="s">
        <v>45</v>
      </c>
      <c r="E5238" t="s">
        <v>57</v>
      </c>
      <c r="F5238" s="5">
        <v>42370</v>
      </c>
      <c r="G5238">
        <v>20</v>
      </c>
    </row>
    <row r="5239" spans="1:7" x14ac:dyDescent="0.25">
      <c r="A5239" t="s">
        <v>134</v>
      </c>
      <c r="B5239" t="s">
        <v>135</v>
      </c>
      <c r="C5239">
        <v>1000</v>
      </c>
      <c r="D5239" t="s">
        <v>45</v>
      </c>
      <c r="E5239" t="s">
        <v>57</v>
      </c>
      <c r="F5239" s="5">
        <v>42736</v>
      </c>
      <c r="G5239">
        <v>15</v>
      </c>
    </row>
    <row r="5240" spans="1:7" x14ac:dyDescent="0.25">
      <c r="A5240" t="s">
        <v>134</v>
      </c>
      <c r="B5240" t="s">
        <v>135</v>
      </c>
      <c r="C5240">
        <v>1000</v>
      </c>
      <c r="D5240" t="s">
        <v>45</v>
      </c>
      <c r="E5240" t="s">
        <v>58</v>
      </c>
      <c r="F5240" s="5">
        <v>42370</v>
      </c>
      <c r="G5240">
        <v>206</v>
      </c>
    </row>
    <row r="5241" spans="1:7" x14ac:dyDescent="0.25">
      <c r="A5241" t="s">
        <v>134</v>
      </c>
      <c r="B5241" t="s">
        <v>135</v>
      </c>
      <c r="C5241">
        <v>1000</v>
      </c>
      <c r="D5241" t="s">
        <v>45</v>
      </c>
      <c r="E5241" t="s">
        <v>58</v>
      </c>
      <c r="F5241" s="5">
        <v>42736</v>
      </c>
      <c r="G5241">
        <v>540</v>
      </c>
    </row>
    <row r="5242" spans="1:7" x14ac:dyDescent="0.25">
      <c r="A5242" t="s">
        <v>134</v>
      </c>
      <c r="B5242" t="s">
        <v>135</v>
      </c>
      <c r="C5242">
        <v>1000</v>
      </c>
      <c r="D5242" t="s">
        <v>45</v>
      </c>
      <c r="E5242" t="s">
        <v>59</v>
      </c>
      <c r="F5242" s="5">
        <v>42370</v>
      </c>
      <c r="G5242">
        <v>21</v>
      </c>
    </row>
    <row r="5243" spans="1:7" x14ac:dyDescent="0.25">
      <c r="A5243" t="s">
        <v>134</v>
      </c>
      <c r="B5243" t="s">
        <v>135</v>
      </c>
      <c r="C5243">
        <v>1000</v>
      </c>
      <c r="D5243" t="s">
        <v>45</v>
      </c>
      <c r="E5243" t="s">
        <v>59</v>
      </c>
      <c r="F5243" s="5">
        <v>42736</v>
      </c>
      <c r="G5243">
        <v>50</v>
      </c>
    </row>
    <row r="5244" spans="1:7" x14ac:dyDescent="0.25">
      <c r="A5244" t="s">
        <v>134</v>
      </c>
      <c r="B5244" t="s">
        <v>135</v>
      </c>
      <c r="C5244">
        <v>1000</v>
      </c>
      <c r="D5244" t="s">
        <v>45</v>
      </c>
      <c r="E5244" t="s">
        <v>60</v>
      </c>
      <c r="F5244" s="5">
        <v>42370</v>
      </c>
      <c r="G5244">
        <v>121</v>
      </c>
    </row>
    <row r="5245" spans="1:7" x14ac:dyDescent="0.25">
      <c r="A5245" t="s">
        <v>134</v>
      </c>
      <c r="B5245" t="s">
        <v>135</v>
      </c>
      <c r="C5245">
        <v>1000</v>
      </c>
      <c r="D5245" t="s">
        <v>45</v>
      </c>
      <c r="E5245" t="s">
        <v>60</v>
      </c>
      <c r="F5245" s="5">
        <v>42736</v>
      </c>
      <c r="G5245">
        <v>108</v>
      </c>
    </row>
    <row r="5246" spans="1:7" x14ac:dyDescent="0.25">
      <c r="A5246" t="s">
        <v>134</v>
      </c>
      <c r="B5246" t="s">
        <v>135</v>
      </c>
      <c r="C5246">
        <v>1000</v>
      </c>
      <c r="D5246" t="s">
        <v>45</v>
      </c>
      <c r="E5246" t="s">
        <v>61</v>
      </c>
      <c r="F5246" s="5">
        <v>42370</v>
      </c>
      <c r="G5246">
        <v>41</v>
      </c>
    </row>
    <row r="5247" spans="1:7" x14ac:dyDescent="0.25">
      <c r="A5247" t="s">
        <v>134</v>
      </c>
      <c r="B5247" t="s">
        <v>135</v>
      </c>
      <c r="C5247">
        <v>1000</v>
      </c>
      <c r="D5247" t="s">
        <v>45</v>
      </c>
      <c r="E5247" t="s">
        <v>61</v>
      </c>
      <c r="F5247" s="5">
        <v>42736</v>
      </c>
      <c r="G5247">
        <v>66</v>
      </c>
    </row>
    <row r="5248" spans="1:7" x14ac:dyDescent="0.25">
      <c r="A5248" t="s">
        <v>134</v>
      </c>
      <c r="B5248" t="s">
        <v>135</v>
      </c>
      <c r="C5248">
        <v>1000</v>
      </c>
      <c r="D5248" t="s">
        <v>62</v>
      </c>
      <c r="E5248" t="s">
        <v>63</v>
      </c>
      <c r="F5248" s="5">
        <v>42370</v>
      </c>
      <c r="G5248">
        <v>71</v>
      </c>
    </row>
    <row r="5249" spans="1:7" x14ac:dyDescent="0.25">
      <c r="A5249" t="s">
        <v>134</v>
      </c>
      <c r="B5249" t="s">
        <v>135</v>
      </c>
      <c r="C5249">
        <v>1000</v>
      </c>
      <c r="D5249" t="s">
        <v>62</v>
      </c>
      <c r="E5249" t="s">
        <v>63</v>
      </c>
      <c r="F5249" s="5">
        <v>42736</v>
      </c>
      <c r="G5249">
        <v>113</v>
      </c>
    </row>
    <row r="5250" spans="1:7" x14ac:dyDescent="0.25">
      <c r="A5250" t="s">
        <v>134</v>
      </c>
      <c r="B5250" t="s">
        <v>135</v>
      </c>
      <c r="C5250">
        <v>1000</v>
      </c>
      <c r="D5250" t="s">
        <v>62</v>
      </c>
      <c r="E5250" t="s">
        <v>64</v>
      </c>
      <c r="F5250" s="5">
        <v>42370</v>
      </c>
      <c r="G5250">
        <v>63</v>
      </c>
    </row>
    <row r="5251" spans="1:7" x14ac:dyDescent="0.25">
      <c r="A5251" t="s">
        <v>134</v>
      </c>
      <c r="B5251" t="s">
        <v>135</v>
      </c>
      <c r="C5251">
        <v>1000</v>
      </c>
      <c r="D5251" t="s">
        <v>62</v>
      </c>
      <c r="E5251" t="s">
        <v>64</v>
      </c>
      <c r="F5251" s="5">
        <v>42736</v>
      </c>
      <c r="G5251">
        <v>81</v>
      </c>
    </row>
    <row r="5252" spans="1:7" x14ac:dyDescent="0.25">
      <c r="A5252" t="s">
        <v>134</v>
      </c>
      <c r="B5252" t="s">
        <v>135</v>
      </c>
      <c r="C5252">
        <v>1000</v>
      </c>
      <c r="D5252" t="s">
        <v>62</v>
      </c>
      <c r="E5252" t="s">
        <v>9</v>
      </c>
      <c r="F5252" s="5">
        <v>42370</v>
      </c>
      <c r="G5252">
        <v>17</v>
      </c>
    </row>
    <row r="5253" spans="1:7" x14ac:dyDescent="0.25">
      <c r="A5253" t="s">
        <v>134</v>
      </c>
      <c r="B5253" t="s">
        <v>135</v>
      </c>
      <c r="C5253">
        <v>1000</v>
      </c>
      <c r="D5253" t="s">
        <v>62</v>
      </c>
      <c r="E5253" t="s">
        <v>9</v>
      </c>
      <c r="F5253" s="5">
        <v>42736</v>
      </c>
      <c r="G5253">
        <v>37</v>
      </c>
    </row>
    <row r="5254" spans="1:7" x14ac:dyDescent="0.25">
      <c r="A5254" t="s">
        <v>134</v>
      </c>
      <c r="B5254" t="s">
        <v>135</v>
      </c>
      <c r="C5254">
        <v>1000</v>
      </c>
      <c r="D5254" t="s">
        <v>62</v>
      </c>
      <c r="E5254" t="s">
        <v>65</v>
      </c>
      <c r="F5254" s="5">
        <v>42370</v>
      </c>
      <c r="G5254">
        <v>0</v>
      </c>
    </row>
    <row r="5255" spans="1:7" x14ac:dyDescent="0.25">
      <c r="A5255" t="s">
        <v>134</v>
      </c>
      <c r="B5255" t="s">
        <v>135</v>
      </c>
      <c r="C5255">
        <v>1000</v>
      </c>
      <c r="D5255" t="s">
        <v>62</v>
      </c>
      <c r="E5255" t="s">
        <v>65</v>
      </c>
      <c r="F5255" s="5">
        <v>42736</v>
      </c>
      <c r="G5255">
        <v>0</v>
      </c>
    </row>
    <row r="5256" spans="1:7" x14ac:dyDescent="0.25">
      <c r="A5256" t="s">
        <v>134</v>
      </c>
      <c r="B5256" t="s">
        <v>135</v>
      </c>
      <c r="C5256">
        <v>1000</v>
      </c>
      <c r="D5256" t="s">
        <v>62</v>
      </c>
      <c r="E5256" t="s">
        <v>66</v>
      </c>
      <c r="F5256" s="5">
        <v>42370</v>
      </c>
      <c r="G5256">
        <v>0</v>
      </c>
    </row>
    <row r="5257" spans="1:7" x14ac:dyDescent="0.25">
      <c r="A5257" t="s">
        <v>134</v>
      </c>
      <c r="B5257" t="s">
        <v>135</v>
      </c>
      <c r="C5257">
        <v>1000</v>
      </c>
      <c r="D5257" t="s">
        <v>62</v>
      </c>
      <c r="E5257" t="s">
        <v>66</v>
      </c>
      <c r="F5257" s="5">
        <v>42736</v>
      </c>
      <c r="G5257">
        <v>0</v>
      </c>
    </row>
    <row r="5258" spans="1:7" x14ac:dyDescent="0.25">
      <c r="A5258" t="s">
        <v>134</v>
      </c>
      <c r="B5258" t="s">
        <v>135</v>
      </c>
      <c r="C5258">
        <v>1000</v>
      </c>
      <c r="D5258" t="s">
        <v>62</v>
      </c>
      <c r="E5258" t="s">
        <v>67</v>
      </c>
      <c r="F5258" s="5">
        <v>42370</v>
      </c>
      <c r="G5258">
        <v>0</v>
      </c>
    </row>
    <row r="5259" spans="1:7" x14ac:dyDescent="0.25">
      <c r="A5259" t="s">
        <v>134</v>
      </c>
      <c r="B5259" t="s">
        <v>135</v>
      </c>
      <c r="C5259">
        <v>1000</v>
      </c>
      <c r="D5259" t="s">
        <v>62</v>
      </c>
      <c r="E5259" t="s">
        <v>67</v>
      </c>
      <c r="F5259" s="5">
        <v>42736</v>
      </c>
      <c r="G5259">
        <v>0</v>
      </c>
    </row>
    <row r="5260" spans="1:7" x14ac:dyDescent="0.25">
      <c r="A5260" t="s">
        <v>134</v>
      </c>
      <c r="B5260" t="s">
        <v>135</v>
      </c>
      <c r="C5260">
        <v>1000</v>
      </c>
      <c r="D5260" t="s">
        <v>62</v>
      </c>
      <c r="E5260" t="s">
        <v>68</v>
      </c>
      <c r="F5260" s="5">
        <v>42370</v>
      </c>
      <c r="G5260">
        <v>7</v>
      </c>
    </row>
    <row r="5261" spans="1:7" x14ac:dyDescent="0.25">
      <c r="A5261" t="s">
        <v>134</v>
      </c>
      <c r="B5261" t="s">
        <v>135</v>
      </c>
      <c r="C5261">
        <v>1000</v>
      </c>
      <c r="D5261" t="s">
        <v>62</v>
      </c>
      <c r="E5261" t="s">
        <v>68</v>
      </c>
      <c r="F5261" s="5">
        <v>42736</v>
      </c>
      <c r="G5261">
        <v>10</v>
      </c>
    </row>
    <row r="5262" spans="1:7" x14ac:dyDescent="0.25">
      <c r="A5262" t="s">
        <v>134</v>
      </c>
      <c r="B5262" t="s">
        <v>135</v>
      </c>
      <c r="C5262">
        <v>1000</v>
      </c>
      <c r="D5262" t="s">
        <v>62</v>
      </c>
      <c r="E5262" t="s">
        <v>69</v>
      </c>
      <c r="F5262" s="5">
        <v>42370</v>
      </c>
      <c r="G5262">
        <v>179</v>
      </c>
    </row>
    <row r="5263" spans="1:7" x14ac:dyDescent="0.25">
      <c r="A5263" t="s">
        <v>134</v>
      </c>
      <c r="B5263" t="s">
        <v>135</v>
      </c>
      <c r="C5263">
        <v>1000</v>
      </c>
      <c r="D5263" t="s">
        <v>62</v>
      </c>
      <c r="E5263" t="s">
        <v>69</v>
      </c>
      <c r="F5263" s="5">
        <v>42736</v>
      </c>
      <c r="G5263">
        <v>286</v>
      </c>
    </row>
    <row r="5264" spans="1:7" x14ac:dyDescent="0.25">
      <c r="A5264" t="s">
        <v>134</v>
      </c>
      <c r="B5264" t="s">
        <v>135</v>
      </c>
      <c r="C5264">
        <v>1000</v>
      </c>
      <c r="D5264" t="s">
        <v>62</v>
      </c>
      <c r="E5264" t="s">
        <v>70</v>
      </c>
      <c r="F5264" s="5">
        <v>42370</v>
      </c>
      <c r="G5264">
        <v>253</v>
      </c>
    </row>
    <row r="5265" spans="1:7" x14ac:dyDescent="0.25">
      <c r="A5265" t="s">
        <v>134</v>
      </c>
      <c r="B5265" t="s">
        <v>135</v>
      </c>
      <c r="C5265">
        <v>1000</v>
      </c>
      <c r="D5265" t="s">
        <v>62</v>
      </c>
      <c r="E5265" t="s">
        <v>70</v>
      </c>
      <c r="F5265" s="5">
        <v>42736</v>
      </c>
      <c r="G5265">
        <v>355</v>
      </c>
    </row>
    <row r="5266" spans="1:7" x14ac:dyDescent="0.25">
      <c r="A5266" t="s">
        <v>134</v>
      </c>
      <c r="B5266" t="s">
        <v>135</v>
      </c>
      <c r="C5266">
        <v>1000</v>
      </c>
      <c r="D5266" t="s">
        <v>62</v>
      </c>
      <c r="E5266" t="s">
        <v>71</v>
      </c>
      <c r="F5266" s="5">
        <v>42370</v>
      </c>
      <c r="G5266">
        <v>0</v>
      </c>
    </row>
    <row r="5267" spans="1:7" x14ac:dyDescent="0.25">
      <c r="A5267" t="s">
        <v>134</v>
      </c>
      <c r="B5267" t="s">
        <v>135</v>
      </c>
      <c r="C5267">
        <v>1000</v>
      </c>
      <c r="D5267" t="s">
        <v>62</v>
      </c>
      <c r="E5267" t="s">
        <v>71</v>
      </c>
      <c r="F5267" s="5">
        <v>42736</v>
      </c>
      <c r="G5267">
        <v>0</v>
      </c>
    </row>
    <row r="5268" spans="1:7" x14ac:dyDescent="0.25">
      <c r="A5268" t="s">
        <v>134</v>
      </c>
      <c r="B5268" t="s">
        <v>135</v>
      </c>
      <c r="C5268">
        <v>1000</v>
      </c>
      <c r="D5268" t="s">
        <v>72</v>
      </c>
      <c r="E5268" t="s">
        <v>73</v>
      </c>
      <c r="F5268" s="5">
        <v>42370</v>
      </c>
      <c r="G5268">
        <v>635</v>
      </c>
    </row>
    <row r="5269" spans="1:7" x14ac:dyDescent="0.25">
      <c r="A5269" t="s">
        <v>134</v>
      </c>
      <c r="B5269" t="s">
        <v>135</v>
      </c>
      <c r="C5269">
        <v>1000</v>
      </c>
      <c r="D5269" t="s">
        <v>72</v>
      </c>
      <c r="E5269" t="s">
        <v>73</v>
      </c>
      <c r="F5269" s="5">
        <v>42736</v>
      </c>
      <c r="G5269">
        <v>1159</v>
      </c>
    </row>
    <row r="5270" spans="1:7" x14ac:dyDescent="0.25">
      <c r="A5270" t="s">
        <v>134</v>
      </c>
      <c r="B5270" t="s">
        <v>135</v>
      </c>
      <c r="C5270">
        <v>1000</v>
      </c>
      <c r="D5270" t="s">
        <v>72</v>
      </c>
      <c r="E5270" t="s">
        <v>9</v>
      </c>
      <c r="F5270" s="5">
        <v>42370</v>
      </c>
      <c r="G5270">
        <v>0</v>
      </c>
    </row>
    <row r="5271" spans="1:7" x14ac:dyDescent="0.25">
      <c r="A5271" t="s">
        <v>134</v>
      </c>
      <c r="B5271" t="s">
        <v>135</v>
      </c>
      <c r="C5271">
        <v>1000</v>
      </c>
      <c r="D5271" t="s">
        <v>72</v>
      </c>
      <c r="E5271" t="s">
        <v>9</v>
      </c>
      <c r="F5271" s="5">
        <v>42736</v>
      </c>
      <c r="G5271">
        <v>0</v>
      </c>
    </row>
    <row r="5272" spans="1:7" x14ac:dyDescent="0.25">
      <c r="A5272" t="s">
        <v>134</v>
      </c>
      <c r="B5272" t="s">
        <v>135</v>
      </c>
      <c r="C5272">
        <v>1000</v>
      </c>
      <c r="D5272" t="s">
        <v>72</v>
      </c>
      <c r="E5272" t="s">
        <v>34</v>
      </c>
      <c r="F5272" s="5">
        <v>42370</v>
      </c>
      <c r="G5272">
        <v>0</v>
      </c>
    </row>
    <row r="5273" spans="1:7" x14ac:dyDescent="0.25">
      <c r="A5273" t="s">
        <v>134</v>
      </c>
      <c r="B5273" t="s">
        <v>135</v>
      </c>
      <c r="C5273">
        <v>1000</v>
      </c>
      <c r="D5273" t="s">
        <v>72</v>
      </c>
      <c r="E5273" t="s">
        <v>34</v>
      </c>
      <c r="F5273" s="5">
        <v>42736</v>
      </c>
      <c r="G5273">
        <v>0</v>
      </c>
    </row>
    <row r="5274" spans="1:7" x14ac:dyDescent="0.25">
      <c r="A5274" t="s">
        <v>134</v>
      </c>
      <c r="B5274" t="s">
        <v>135</v>
      </c>
      <c r="C5274">
        <v>1000</v>
      </c>
      <c r="D5274" t="s">
        <v>72</v>
      </c>
      <c r="E5274" t="s">
        <v>74</v>
      </c>
      <c r="F5274" s="5">
        <v>42370</v>
      </c>
      <c r="G5274">
        <v>306</v>
      </c>
    </row>
    <row r="5275" spans="1:7" x14ac:dyDescent="0.25">
      <c r="A5275" t="s">
        <v>134</v>
      </c>
      <c r="B5275" t="s">
        <v>135</v>
      </c>
      <c r="C5275">
        <v>1000</v>
      </c>
      <c r="D5275" t="s">
        <v>72</v>
      </c>
      <c r="E5275" t="s">
        <v>74</v>
      </c>
      <c r="F5275" s="5">
        <v>42736</v>
      </c>
      <c r="G5275">
        <v>0</v>
      </c>
    </row>
    <row r="5276" spans="1:7" x14ac:dyDescent="0.25">
      <c r="A5276" t="s">
        <v>134</v>
      </c>
      <c r="B5276" t="s">
        <v>135</v>
      </c>
      <c r="C5276">
        <v>1000</v>
      </c>
      <c r="D5276" t="s">
        <v>72</v>
      </c>
      <c r="E5276" t="s">
        <v>75</v>
      </c>
      <c r="F5276" s="5">
        <v>42370</v>
      </c>
      <c r="G5276">
        <v>945</v>
      </c>
    </row>
    <row r="5277" spans="1:7" x14ac:dyDescent="0.25">
      <c r="A5277" t="s">
        <v>134</v>
      </c>
      <c r="B5277" t="s">
        <v>135</v>
      </c>
      <c r="C5277">
        <v>1000</v>
      </c>
      <c r="D5277" t="s">
        <v>72</v>
      </c>
      <c r="E5277" t="s">
        <v>75</v>
      </c>
      <c r="F5277" s="5">
        <v>42736</v>
      </c>
      <c r="G5277">
        <v>1207</v>
      </c>
    </row>
    <row r="5278" spans="1:7" x14ac:dyDescent="0.25">
      <c r="A5278" t="s">
        <v>134</v>
      </c>
      <c r="B5278" t="s">
        <v>135</v>
      </c>
      <c r="C5278">
        <v>1000</v>
      </c>
      <c r="D5278" t="s">
        <v>76</v>
      </c>
      <c r="E5278" t="s">
        <v>9</v>
      </c>
      <c r="F5278" s="5">
        <v>42370</v>
      </c>
      <c r="G5278">
        <v>1743</v>
      </c>
    </row>
    <row r="5279" spans="1:7" x14ac:dyDescent="0.25">
      <c r="A5279" t="s">
        <v>134</v>
      </c>
      <c r="B5279" t="s">
        <v>135</v>
      </c>
      <c r="C5279">
        <v>1000</v>
      </c>
      <c r="D5279" t="s">
        <v>76</v>
      </c>
      <c r="E5279" t="s">
        <v>9</v>
      </c>
      <c r="F5279" s="5">
        <v>42736</v>
      </c>
      <c r="G5279">
        <v>1006</v>
      </c>
    </row>
    <row r="5280" spans="1:7" x14ac:dyDescent="0.25">
      <c r="A5280" t="s">
        <v>134</v>
      </c>
      <c r="B5280" t="s">
        <v>135</v>
      </c>
      <c r="C5280">
        <v>1000</v>
      </c>
      <c r="D5280" t="s">
        <v>76</v>
      </c>
      <c r="E5280" t="s">
        <v>77</v>
      </c>
      <c r="F5280" s="5">
        <v>42370</v>
      </c>
      <c r="G5280">
        <v>916</v>
      </c>
    </row>
    <row r="5281" spans="1:7" x14ac:dyDescent="0.25">
      <c r="A5281" t="s">
        <v>134</v>
      </c>
      <c r="B5281" t="s">
        <v>135</v>
      </c>
      <c r="C5281">
        <v>1000</v>
      </c>
      <c r="D5281" t="s">
        <v>76</v>
      </c>
      <c r="E5281" t="s">
        <v>77</v>
      </c>
      <c r="F5281" s="5">
        <v>42736</v>
      </c>
      <c r="G5281">
        <v>982</v>
      </c>
    </row>
    <row r="5282" spans="1:7" x14ac:dyDescent="0.25">
      <c r="A5282" t="s">
        <v>134</v>
      </c>
      <c r="B5282" t="s">
        <v>135</v>
      </c>
      <c r="C5282">
        <v>1000</v>
      </c>
      <c r="D5282" t="s">
        <v>78</v>
      </c>
      <c r="E5282" t="s">
        <v>79</v>
      </c>
      <c r="F5282" s="5">
        <v>42370</v>
      </c>
      <c r="G5282">
        <v>543</v>
      </c>
    </row>
    <row r="5283" spans="1:7" x14ac:dyDescent="0.25">
      <c r="A5283" t="s">
        <v>134</v>
      </c>
      <c r="B5283" t="s">
        <v>135</v>
      </c>
      <c r="C5283">
        <v>1000</v>
      </c>
      <c r="D5283" t="s">
        <v>78</v>
      </c>
      <c r="E5283" t="s">
        <v>79</v>
      </c>
      <c r="F5283" s="5">
        <v>42736</v>
      </c>
      <c r="G5283">
        <v>985</v>
      </c>
    </row>
    <row r="5284" spans="1:7" x14ac:dyDescent="0.25">
      <c r="A5284" t="s">
        <v>134</v>
      </c>
      <c r="B5284" t="s">
        <v>135</v>
      </c>
      <c r="C5284">
        <v>1000</v>
      </c>
      <c r="D5284" t="s">
        <v>78</v>
      </c>
      <c r="E5284" t="s">
        <v>80</v>
      </c>
      <c r="F5284" s="5">
        <v>42370</v>
      </c>
      <c r="G5284">
        <v>1424</v>
      </c>
    </row>
    <row r="5285" spans="1:7" x14ac:dyDescent="0.25">
      <c r="A5285" t="s">
        <v>134</v>
      </c>
      <c r="B5285" t="s">
        <v>135</v>
      </c>
      <c r="C5285">
        <v>1000</v>
      </c>
      <c r="D5285" t="s">
        <v>78</v>
      </c>
      <c r="E5285" t="s">
        <v>80</v>
      </c>
      <c r="F5285" s="5">
        <v>42736</v>
      </c>
      <c r="G5285">
        <v>2903</v>
      </c>
    </row>
    <row r="5286" spans="1:7" x14ac:dyDescent="0.25">
      <c r="A5286" t="s">
        <v>134</v>
      </c>
      <c r="B5286" t="s">
        <v>135</v>
      </c>
      <c r="C5286">
        <v>1000</v>
      </c>
      <c r="D5286" t="s">
        <v>78</v>
      </c>
      <c r="E5286" t="s">
        <v>81</v>
      </c>
      <c r="F5286" s="5">
        <v>42370</v>
      </c>
      <c r="G5286">
        <v>14048</v>
      </c>
    </row>
    <row r="5287" spans="1:7" x14ac:dyDescent="0.25">
      <c r="A5287" t="s">
        <v>134</v>
      </c>
      <c r="B5287" t="s">
        <v>135</v>
      </c>
      <c r="C5287">
        <v>1000</v>
      </c>
      <c r="D5287" t="s">
        <v>78</v>
      </c>
      <c r="E5287" t="s">
        <v>81</v>
      </c>
      <c r="F5287" s="5">
        <v>42736</v>
      </c>
      <c r="G5287">
        <v>17520</v>
      </c>
    </row>
    <row r="5288" spans="1:7" x14ac:dyDescent="0.25">
      <c r="A5288" t="s">
        <v>134</v>
      </c>
      <c r="B5288" t="s">
        <v>135</v>
      </c>
      <c r="C5288">
        <v>1000</v>
      </c>
      <c r="D5288" t="s">
        <v>78</v>
      </c>
      <c r="E5288" t="s">
        <v>82</v>
      </c>
      <c r="F5288" s="5">
        <v>42370</v>
      </c>
      <c r="G5288">
        <v>445</v>
      </c>
    </row>
    <row r="5289" spans="1:7" x14ac:dyDescent="0.25">
      <c r="A5289" t="s">
        <v>134</v>
      </c>
      <c r="B5289" t="s">
        <v>135</v>
      </c>
      <c r="C5289">
        <v>1000</v>
      </c>
      <c r="D5289" t="s">
        <v>78</v>
      </c>
      <c r="E5289" t="s">
        <v>82</v>
      </c>
      <c r="F5289" s="5">
        <v>42736</v>
      </c>
      <c r="G5289">
        <v>530</v>
      </c>
    </row>
    <row r="5290" spans="1:7" x14ac:dyDescent="0.25">
      <c r="A5290" t="s">
        <v>134</v>
      </c>
      <c r="B5290" t="s">
        <v>135</v>
      </c>
      <c r="C5290">
        <v>1000</v>
      </c>
      <c r="D5290" t="s">
        <v>78</v>
      </c>
      <c r="E5290" t="s">
        <v>83</v>
      </c>
      <c r="F5290" s="5">
        <v>42370</v>
      </c>
      <c r="G5290">
        <v>732</v>
      </c>
    </row>
    <row r="5291" spans="1:7" x14ac:dyDescent="0.25">
      <c r="A5291" t="s">
        <v>134</v>
      </c>
      <c r="B5291" t="s">
        <v>135</v>
      </c>
      <c r="C5291">
        <v>1000</v>
      </c>
      <c r="D5291" t="s">
        <v>78</v>
      </c>
      <c r="E5291" t="s">
        <v>83</v>
      </c>
      <c r="F5291" s="5">
        <v>42736</v>
      </c>
      <c r="G5291">
        <v>922</v>
      </c>
    </row>
    <row r="5292" spans="1:7" x14ac:dyDescent="0.25">
      <c r="A5292" t="s">
        <v>134</v>
      </c>
      <c r="B5292" t="s">
        <v>135</v>
      </c>
      <c r="C5292">
        <v>1000</v>
      </c>
      <c r="D5292" t="s">
        <v>78</v>
      </c>
      <c r="E5292" t="s">
        <v>84</v>
      </c>
      <c r="F5292" s="5">
        <v>42370</v>
      </c>
      <c r="G5292">
        <v>91</v>
      </c>
    </row>
    <row r="5293" spans="1:7" x14ac:dyDescent="0.25">
      <c r="A5293" t="s">
        <v>134</v>
      </c>
      <c r="B5293" t="s">
        <v>135</v>
      </c>
      <c r="C5293">
        <v>1000</v>
      </c>
      <c r="D5293" t="s">
        <v>78</v>
      </c>
      <c r="E5293" t="s">
        <v>84</v>
      </c>
      <c r="F5293" s="5">
        <v>42736</v>
      </c>
      <c r="G5293">
        <v>144</v>
      </c>
    </row>
    <row r="5294" spans="1:7" x14ac:dyDescent="0.25">
      <c r="A5294" t="s">
        <v>134</v>
      </c>
      <c r="B5294" t="s">
        <v>135</v>
      </c>
      <c r="C5294">
        <v>1000</v>
      </c>
      <c r="D5294" t="s">
        <v>78</v>
      </c>
      <c r="E5294" t="s">
        <v>85</v>
      </c>
      <c r="F5294" s="5">
        <v>42370</v>
      </c>
      <c r="G5294">
        <v>113</v>
      </c>
    </row>
    <row r="5295" spans="1:7" x14ac:dyDescent="0.25">
      <c r="A5295" t="s">
        <v>134</v>
      </c>
      <c r="B5295" t="s">
        <v>135</v>
      </c>
      <c r="C5295">
        <v>1000</v>
      </c>
      <c r="D5295" t="s">
        <v>78</v>
      </c>
      <c r="E5295" t="s">
        <v>85</v>
      </c>
      <c r="F5295" s="5">
        <v>42736</v>
      </c>
      <c r="G5295">
        <v>141</v>
      </c>
    </row>
    <row r="5296" spans="1:7" x14ac:dyDescent="0.25">
      <c r="A5296" t="s">
        <v>134</v>
      </c>
      <c r="B5296" t="s">
        <v>135</v>
      </c>
      <c r="C5296">
        <v>1000</v>
      </c>
      <c r="D5296" t="s">
        <v>78</v>
      </c>
      <c r="E5296" t="s">
        <v>86</v>
      </c>
      <c r="F5296" s="5">
        <v>42370</v>
      </c>
      <c r="G5296">
        <v>0</v>
      </c>
    </row>
    <row r="5297" spans="1:7" x14ac:dyDescent="0.25">
      <c r="A5297" t="s">
        <v>134</v>
      </c>
      <c r="B5297" t="s">
        <v>135</v>
      </c>
      <c r="C5297">
        <v>1000</v>
      </c>
      <c r="D5297" t="s">
        <v>78</v>
      </c>
      <c r="E5297" t="s">
        <v>86</v>
      </c>
      <c r="F5297" s="5">
        <v>42736</v>
      </c>
      <c r="G5297">
        <v>0</v>
      </c>
    </row>
    <row r="5298" spans="1:7" x14ac:dyDescent="0.25">
      <c r="A5298" t="s">
        <v>134</v>
      </c>
      <c r="B5298" t="s">
        <v>135</v>
      </c>
      <c r="C5298">
        <v>1000</v>
      </c>
      <c r="D5298" t="s">
        <v>78</v>
      </c>
      <c r="E5298" t="s">
        <v>87</v>
      </c>
      <c r="F5298" s="5">
        <v>42370</v>
      </c>
      <c r="G5298">
        <v>956</v>
      </c>
    </row>
    <row r="5299" spans="1:7" x14ac:dyDescent="0.25">
      <c r="A5299" t="s">
        <v>134</v>
      </c>
      <c r="B5299" t="s">
        <v>135</v>
      </c>
      <c r="C5299">
        <v>1000</v>
      </c>
      <c r="D5299" t="s">
        <v>78</v>
      </c>
      <c r="E5299" t="s">
        <v>87</v>
      </c>
      <c r="F5299" s="5">
        <v>42736</v>
      </c>
      <c r="G5299">
        <v>934</v>
      </c>
    </row>
    <row r="5300" spans="1:7" x14ac:dyDescent="0.25">
      <c r="A5300" t="s">
        <v>134</v>
      </c>
      <c r="B5300" t="s">
        <v>135</v>
      </c>
      <c r="C5300">
        <v>1000</v>
      </c>
      <c r="D5300" t="s">
        <v>78</v>
      </c>
      <c r="E5300" t="s">
        <v>88</v>
      </c>
      <c r="F5300" s="5">
        <v>42370</v>
      </c>
      <c r="G5300">
        <v>3159</v>
      </c>
    </row>
    <row r="5301" spans="1:7" x14ac:dyDescent="0.25">
      <c r="A5301" t="s">
        <v>134</v>
      </c>
      <c r="B5301" t="s">
        <v>135</v>
      </c>
      <c r="C5301">
        <v>1000</v>
      </c>
      <c r="D5301" t="s">
        <v>78</v>
      </c>
      <c r="E5301" t="s">
        <v>88</v>
      </c>
      <c r="F5301" s="5">
        <v>42736</v>
      </c>
      <c r="G5301">
        <v>4535</v>
      </c>
    </row>
    <row r="5302" spans="1:7" x14ac:dyDescent="0.25">
      <c r="A5302" t="s">
        <v>134</v>
      </c>
      <c r="B5302" t="s">
        <v>135</v>
      </c>
      <c r="C5302">
        <v>1000</v>
      </c>
      <c r="D5302" t="s">
        <v>78</v>
      </c>
      <c r="E5302" t="s">
        <v>89</v>
      </c>
      <c r="F5302" s="5">
        <v>42370</v>
      </c>
      <c r="G5302">
        <v>32327</v>
      </c>
    </row>
    <row r="5303" spans="1:7" x14ac:dyDescent="0.25">
      <c r="A5303" t="s">
        <v>134</v>
      </c>
      <c r="B5303" t="s">
        <v>135</v>
      </c>
      <c r="C5303">
        <v>1000</v>
      </c>
      <c r="D5303" t="s">
        <v>78</v>
      </c>
      <c r="E5303" t="s">
        <v>89</v>
      </c>
      <c r="F5303" s="5">
        <v>42736</v>
      </c>
      <c r="G5303">
        <v>41665</v>
      </c>
    </row>
    <row r="5304" spans="1:7" x14ac:dyDescent="0.25">
      <c r="A5304" t="s">
        <v>134</v>
      </c>
      <c r="B5304" t="s">
        <v>135</v>
      </c>
      <c r="C5304">
        <v>1000</v>
      </c>
      <c r="D5304" t="s">
        <v>78</v>
      </c>
      <c r="E5304" t="s">
        <v>90</v>
      </c>
      <c r="F5304" s="5">
        <v>42370</v>
      </c>
      <c r="G5304">
        <v>57</v>
      </c>
    </row>
    <row r="5305" spans="1:7" x14ac:dyDescent="0.25">
      <c r="A5305" t="s">
        <v>134</v>
      </c>
      <c r="B5305" t="s">
        <v>135</v>
      </c>
      <c r="C5305">
        <v>1000</v>
      </c>
      <c r="D5305" t="s">
        <v>78</v>
      </c>
      <c r="E5305" t="s">
        <v>90</v>
      </c>
      <c r="F5305" s="5">
        <v>42736</v>
      </c>
      <c r="G5305">
        <v>71</v>
      </c>
    </row>
    <row r="5306" spans="1:7" x14ac:dyDescent="0.25">
      <c r="A5306" t="s">
        <v>134</v>
      </c>
      <c r="B5306" t="s">
        <v>135</v>
      </c>
      <c r="C5306">
        <v>1000</v>
      </c>
      <c r="D5306" t="s">
        <v>78</v>
      </c>
      <c r="E5306" t="s">
        <v>91</v>
      </c>
      <c r="F5306" s="5">
        <v>42370</v>
      </c>
      <c r="G5306">
        <v>303</v>
      </c>
    </row>
    <row r="5307" spans="1:7" x14ac:dyDescent="0.25">
      <c r="A5307" t="s">
        <v>134</v>
      </c>
      <c r="B5307" t="s">
        <v>135</v>
      </c>
      <c r="C5307">
        <v>1000</v>
      </c>
      <c r="D5307" t="s">
        <v>78</v>
      </c>
      <c r="E5307" t="s">
        <v>91</v>
      </c>
      <c r="F5307" s="5">
        <v>42736</v>
      </c>
      <c r="G5307">
        <v>1017</v>
      </c>
    </row>
    <row r="5308" spans="1:7" x14ac:dyDescent="0.25">
      <c r="A5308" t="s">
        <v>134</v>
      </c>
      <c r="B5308" t="s">
        <v>135</v>
      </c>
      <c r="C5308">
        <v>1000</v>
      </c>
      <c r="D5308" t="s">
        <v>78</v>
      </c>
      <c r="E5308" t="s">
        <v>92</v>
      </c>
      <c r="F5308" s="5">
        <v>42370</v>
      </c>
      <c r="G5308">
        <v>75</v>
      </c>
    </row>
    <row r="5309" spans="1:7" x14ac:dyDescent="0.25">
      <c r="A5309" t="s">
        <v>134</v>
      </c>
      <c r="B5309" t="s">
        <v>135</v>
      </c>
      <c r="C5309">
        <v>1000</v>
      </c>
      <c r="D5309" t="s">
        <v>78</v>
      </c>
      <c r="E5309" t="s">
        <v>92</v>
      </c>
      <c r="F5309" s="5">
        <v>42736</v>
      </c>
      <c r="G5309">
        <v>97</v>
      </c>
    </row>
    <row r="5310" spans="1:7" x14ac:dyDescent="0.25">
      <c r="A5310" t="s">
        <v>134</v>
      </c>
      <c r="B5310" t="s">
        <v>135</v>
      </c>
      <c r="C5310">
        <v>1000</v>
      </c>
      <c r="D5310" t="s">
        <v>78</v>
      </c>
      <c r="E5310" t="s">
        <v>93</v>
      </c>
      <c r="F5310" s="5">
        <v>42370</v>
      </c>
      <c r="G5310">
        <v>534</v>
      </c>
    </row>
    <row r="5311" spans="1:7" x14ac:dyDescent="0.25">
      <c r="A5311" t="s">
        <v>134</v>
      </c>
      <c r="B5311" t="s">
        <v>135</v>
      </c>
      <c r="C5311">
        <v>1000</v>
      </c>
      <c r="D5311" t="s">
        <v>78</v>
      </c>
      <c r="E5311" t="s">
        <v>93</v>
      </c>
      <c r="F5311" s="5">
        <v>42736</v>
      </c>
      <c r="G5311">
        <v>835</v>
      </c>
    </row>
    <row r="5312" spans="1:7" x14ac:dyDescent="0.25">
      <c r="A5312" t="s">
        <v>134</v>
      </c>
      <c r="B5312" t="s">
        <v>135</v>
      </c>
      <c r="C5312">
        <v>1000</v>
      </c>
      <c r="D5312" t="s">
        <v>78</v>
      </c>
      <c r="E5312" t="s">
        <v>94</v>
      </c>
      <c r="F5312" s="5">
        <v>42370</v>
      </c>
      <c r="G5312">
        <v>925</v>
      </c>
    </row>
    <row r="5313" spans="1:7" x14ac:dyDescent="0.25">
      <c r="A5313" t="s">
        <v>134</v>
      </c>
      <c r="B5313" t="s">
        <v>135</v>
      </c>
      <c r="C5313">
        <v>1000</v>
      </c>
      <c r="D5313" t="s">
        <v>78</v>
      </c>
      <c r="E5313" t="s">
        <v>94</v>
      </c>
      <c r="F5313" s="5">
        <v>42736</v>
      </c>
      <c r="G5313">
        <v>2603</v>
      </c>
    </row>
    <row r="5314" spans="1:7" x14ac:dyDescent="0.25">
      <c r="A5314" t="s">
        <v>134</v>
      </c>
      <c r="B5314" t="s">
        <v>135</v>
      </c>
      <c r="C5314">
        <v>1000</v>
      </c>
      <c r="D5314" t="s">
        <v>78</v>
      </c>
      <c r="E5314" t="s">
        <v>95</v>
      </c>
      <c r="F5314" s="5">
        <v>42370</v>
      </c>
      <c r="G5314">
        <v>49</v>
      </c>
    </row>
    <row r="5315" spans="1:7" x14ac:dyDescent="0.25">
      <c r="A5315" t="s">
        <v>134</v>
      </c>
      <c r="B5315" t="s">
        <v>135</v>
      </c>
      <c r="C5315">
        <v>1000</v>
      </c>
      <c r="D5315" t="s">
        <v>78</v>
      </c>
      <c r="E5315" t="s">
        <v>95</v>
      </c>
      <c r="F5315" s="5">
        <v>42736</v>
      </c>
      <c r="G5315">
        <v>118</v>
      </c>
    </row>
    <row r="5316" spans="1:7" x14ac:dyDescent="0.25">
      <c r="A5316" t="s">
        <v>134</v>
      </c>
      <c r="B5316" t="s">
        <v>135</v>
      </c>
      <c r="C5316">
        <v>1000</v>
      </c>
      <c r="D5316" t="s">
        <v>78</v>
      </c>
      <c r="E5316" t="s">
        <v>96</v>
      </c>
      <c r="F5316" s="5">
        <v>42370</v>
      </c>
      <c r="G5316">
        <v>766</v>
      </c>
    </row>
    <row r="5317" spans="1:7" x14ac:dyDescent="0.25">
      <c r="A5317" t="s">
        <v>134</v>
      </c>
      <c r="B5317" t="s">
        <v>135</v>
      </c>
      <c r="C5317">
        <v>1000</v>
      </c>
      <c r="D5317" t="s">
        <v>78</v>
      </c>
      <c r="E5317" t="s">
        <v>96</v>
      </c>
      <c r="F5317" s="5">
        <v>42736</v>
      </c>
      <c r="G5317">
        <v>932</v>
      </c>
    </row>
    <row r="5318" spans="1:7" x14ac:dyDescent="0.25">
      <c r="A5318" t="s">
        <v>134</v>
      </c>
      <c r="B5318" t="s">
        <v>135</v>
      </c>
      <c r="C5318">
        <v>1000</v>
      </c>
      <c r="D5318" t="s">
        <v>78</v>
      </c>
      <c r="E5318" t="s">
        <v>97</v>
      </c>
      <c r="F5318" s="5">
        <v>42370</v>
      </c>
      <c r="G5318">
        <v>432</v>
      </c>
    </row>
    <row r="5319" spans="1:7" x14ac:dyDescent="0.25">
      <c r="A5319" t="s">
        <v>134</v>
      </c>
      <c r="B5319" t="s">
        <v>135</v>
      </c>
      <c r="C5319">
        <v>1000</v>
      </c>
      <c r="D5319" t="s">
        <v>78</v>
      </c>
      <c r="E5319" t="s">
        <v>97</v>
      </c>
      <c r="F5319" s="5">
        <v>42736</v>
      </c>
      <c r="G5319">
        <v>3066</v>
      </c>
    </row>
    <row r="5320" spans="1:7" x14ac:dyDescent="0.25">
      <c r="A5320" t="s">
        <v>134</v>
      </c>
      <c r="B5320" t="s">
        <v>135</v>
      </c>
      <c r="C5320">
        <v>1000</v>
      </c>
      <c r="D5320" t="s">
        <v>78</v>
      </c>
      <c r="E5320" t="s">
        <v>98</v>
      </c>
      <c r="F5320" s="5">
        <v>42370</v>
      </c>
      <c r="G5320">
        <v>1937</v>
      </c>
    </row>
    <row r="5321" spans="1:7" x14ac:dyDescent="0.25">
      <c r="A5321" t="s">
        <v>134</v>
      </c>
      <c r="B5321" t="s">
        <v>135</v>
      </c>
      <c r="C5321">
        <v>1000</v>
      </c>
      <c r="D5321" t="s">
        <v>78</v>
      </c>
      <c r="E5321" t="s">
        <v>98</v>
      </c>
      <c r="F5321" s="5">
        <v>42736</v>
      </c>
      <c r="G5321">
        <v>3081</v>
      </c>
    </row>
  </sheetData>
  <pageMargins left="0.7" right="0.7" top="0.75" bottom="0.75" header="0.3" footer="0.3"/>
  <tableParts count="1">
    <tablePart r:id="rId1"/>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3:U74"/>
  <sheetViews>
    <sheetView workbookViewId="0">
      <selection activeCell="N60" sqref="N60"/>
    </sheetView>
  </sheetViews>
  <sheetFormatPr defaultRowHeight="15" x14ac:dyDescent="0.25"/>
  <cols>
    <col min="1" max="1" width="13.140625" bestFit="1" customWidth="1"/>
    <col min="2" max="13" width="17.85546875" bestFit="1" customWidth="1"/>
    <col min="14" max="15" width="11.28515625" bestFit="1" customWidth="1"/>
    <col min="16" max="16" width="10.42578125" bestFit="1" customWidth="1"/>
    <col min="17" max="17" width="10.42578125" customWidth="1"/>
    <col min="18" max="18" width="10.42578125" bestFit="1" customWidth="1"/>
    <col min="19" max="19" width="11.28515625" bestFit="1" customWidth="1"/>
    <col min="20" max="20" width="10.42578125" customWidth="1"/>
    <col min="21" max="22" width="10.42578125" bestFit="1" customWidth="1"/>
    <col min="23" max="23" width="10.42578125" customWidth="1"/>
    <col min="24" max="24" width="11.28515625" bestFit="1" customWidth="1"/>
    <col min="25" max="29" width="10.42578125" customWidth="1"/>
    <col min="30" max="30" width="11.28515625" customWidth="1"/>
    <col min="31" max="40" width="16.140625" bestFit="1" customWidth="1"/>
    <col min="41" max="41" width="10.7109375" bestFit="1" customWidth="1"/>
    <col min="42" max="42" width="13.28515625" bestFit="1" customWidth="1"/>
    <col min="43" max="43" width="11" bestFit="1" customWidth="1"/>
    <col min="44" max="44" width="9.28515625" bestFit="1" customWidth="1"/>
    <col min="45" max="46" width="6.7109375" bestFit="1" customWidth="1"/>
    <col min="47" max="47" width="9.28515625" bestFit="1" customWidth="1"/>
    <col min="48" max="48" width="9.7109375" bestFit="1" customWidth="1"/>
    <col min="49" max="62" width="8.28515625" bestFit="1" customWidth="1"/>
  </cols>
  <sheetData>
    <row r="3" spans="1:21" ht="64.150000000000006" customHeight="1" x14ac:dyDescent="0.25">
      <c r="A3" s="4" t="s">
        <v>136</v>
      </c>
      <c r="C3" s="4" t="s">
        <v>238</v>
      </c>
      <c r="D3" s="4" t="s">
        <v>240</v>
      </c>
      <c r="E3" s="4" t="s">
        <v>276</v>
      </c>
    </row>
    <row r="4" spans="1:21" x14ac:dyDescent="0.25">
      <c r="C4">
        <v>2020</v>
      </c>
      <c r="E4" t="s">
        <v>250</v>
      </c>
      <c r="F4">
        <v>2021</v>
      </c>
      <c r="R4" t="s">
        <v>1119</v>
      </c>
      <c r="S4">
        <v>2022</v>
      </c>
      <c r="T4">
        <v>2023</v>
      </c>
      <c r="U4" t="s">
        <v>138</v>
      </c>
    </row>
    <row r="5" spans="1:21" x14ac:dyDescent="0.25">
      <c r="C5" t="s">
        <v>162</v>
      </c>
      <c r="D5" t="s">
        <v>277</v>
      </c>
      <c r="F5" t="s">
        <v>140</v>
      </c>
      <c r="G5" t="s">
        <v>141</v>
      </c>
      <c r="H5" t="s">
        <v>142</v>
      </c>
      <c r="I5" t="s">
        <v>143</v>
      </c>
      <c r="J5" t="s">
        <v>144</v>
      </c>
      <c r="K5" t="s">
        <v>145</v>
      </c>
      <c r="L5" t="s">
        <v>146</v>
      </c>
      <c r="M5" t="s">
        <v>147</v>
      </c>
      <c r="N5" t="s">
        <v>148</v>
      </c>
      <c r="O5" t="s">
        <v>149</v>
      </c>
      <c r="P5" t="s">
        <v>150</v>
      </c>
      <c r="Q5" t="s">
        <v>162</v>
      </c>
    </row>
    <row r="6" spans="1:21" x14ac:dyDescent="0.25">
      <c r="A6" s="4" t="s">
        <v>232</v>
      </c>
      <c r="B6" s="4" t="s">
        <v>269</v>
      </c>
      <c r="C6" s="5">
        <v>43800</v>
      </c>
    </row>
    <row r="7" spans="1:21" x14ac:dyDescent="0.25">
      <c r="A7" t="s">
        <v>237</v>
      </c>
      <c r="B7" t="s">
        <v>251</v>
      </c>
      <c r="C7">
        <v>135400</v>
      </c>
      <c r="D7">
        <v>135400</v>
      </c>
      <c r="E7">
        <v>135400</v>
      </c>
      <c r="F7">
        <v>135400</v>
      </c>
      <c r="G7">
        <v>135400</v>
      </c>
      <c r="H7">
        <v>135400</v>
      </c>
      <c r="I7">
        <v>135400</v>
      </c>
      <c r="J7">
        <v>135400</v>
      </c>
      <c r="K7">
        <v>135400</v>
      </c>
      <c r="L7">
        <v>135400</v>
      </c>
      <c r="M7">
        <v>135400</v>
      </c>
      <c r="N7">
        <v>135400</v>
      </c>
      <c r="O7">
        <v>135400</v>
      </c>
      <c r="P7">
        <v>135400</v>
      </c>
      <c r="Q7">
        <v>135400</v>
      </c>
      <c r="R7">
        <v>1624800</v>
      </c>
      <c r="U7">
        <v>1760200</v>
      </c>
    </row>
    <row r="8" spans="1:21" x14ac:dyDescent="0.25">
      <c r="B8" t="s">
        <v>252</v>
      </c>
      <c r="C8">
        <v>111130</v>
      </c>
      <c r="D8">
        <v>111130</v>
      </c>
      <c r="E8">
        <v>111130</v>
      </c>
      <c r="F8">
        <v>111130</v>
      </c>
      <c r="G8">
        <v>111130</v>
      </c>
      <c r="H8">
        <v>111130</v>
      </c>
      <c r="I8">
        <v>111130</v>
      </c>
      <c r="J8">
        <v>111130</v>
      </c>
      <c r="K8">
        <v>111130</v>
      </c>
      <c r="L8">
        <v>111130</v>
      </c>
      <c r="M8">
        <v>111130</v>
      </c>
      <c r="N8">
        <v>111130</v>
      </c>
      <c r="O8">
        <v>111130</v>
      </c>
      <c r="P8">
        <v>111130</v>
      </c>
      <c r="Q8">
        <v>111130</v>
      </c>
      <c r="R8">
        <v>1333560</v>
      </c>
      <c r="U8">
        <v>1444690</v>
      </c>
    </row>
    <row r="9" spans="1:21" x14ac:dyDescent="0.25">
      <c r="B9" t="s">
        <v>254</v>
      </c>
      <c r="S9">
        <v>163958</v>
      </c>
      <c r="U9">
        <v>163958</v>
      </c>
    </row>
    <row r="10" spans="1:21" x14ac:dyDescent="0.25">
      <c r="B10" t="s">
        <v>255</v>
      </c>
      <c r="K10">
        <v>176172</v>
      </c>
      <c r="L10">
        <v>176172</v>
      </c>
      <c r="M10">
        <v>176172</v>
      </c>
      <c r="N10">
        <v>176172</v>
      </c>
      <c r="O10">
        <v>176172</v>
      </c>
      <c r="P10">
        <v>176172</v>
      </c>
      <c r="Q10">
        <v>176172</v>
      </c>
      <c r="R10">
        <v>1233204</v>
      </c>
      <c r="U10">
        <v>1233204</v>
      </c>
    </row>
    <row r="11" spans="1:21" x14ac:dyDescent="0.25">
      <c r="B11" t="s">
        <v>256</v>
      </c>
      <c r="S11">
        <v>145833</v>
      </c>
      <c r="U11">
        <v>145833</v>
      </c>
    </row>
    <row r="12" spans="1:21" x14ac:dyDescent="0.25">
      <c r="B12" t="s">
        <v>257</v>
      </c>
      <c r="L12">
        <v>52500</v>
      </c>
      <c r="M12">
        <v>52500</v>
      </c>
      <c r="N12">
        <v>52500</v>
      </c>
      <c r="O12">
        <v>52500</v>
      </c>
      <c r="P12">
        <v>52500</v>
      </c>
      <c r="Q12">
        <v>52500</v>
      </c>
      <c r="R12">
        <v>315000</v>
      </c>
      <c r="U12">
        <v>315000</v>
      </c>
    </row>
    <row r="13" spans="1:21" x14ac:dyDescent="0.25">
      <c r="B13" t="s">
        <v>271</v>
      </c>
      <c r="T13">
        <v>1174666</v>
      </c>
      <c r="U13">
        <v>1174666</v>
      </c>
    </row>
    <row r="14" spans="1:21" x14ac:dyDescent="0.25">
      <c r="B14" t="s">
        <v>286</v>
      </c>
      <c r="T14">
        <v>1795046</v>
      </c>
      <c r="U14">
        <v>1795046</v>
      </c>
    </row>
    <row r="15" spans="1:21" x14ac:dyDescent="0.25">
      <c r="B15" t="s">
        <v>262</v>
      </c>
      <c r="Q15">
        <v>2917</v>
      </c>
      <c r="R15">
        <v>2917</v>
      </c>
      <c r="U15">
        <v>2917</v>
      </c>
    </row>
    <row r="16" spans="1:21" x14ac:dyDescent="0.25">
      <c r="B16" t="s">
        <v>280</v>
      </c>
      <c r="G16">
        <v>20708</v>
      </c>
      <c r="H16">
        <v>20708</v>
      </c>
      <c r="I16">
        <v>20708</v>
      </c>
      <c r="J16">
        <v>20708</v>
      </c>
      <c r="K16">
        <v>20708</v>
      </c>
      <c r="L16">
        <v>20708</v>
      </c>
      <c r="M16">
        <v>20708</v>
      </c>
      <c r="N16">
        <v>20708</v>
      </c>
      <c r="O16">
        <v>20708</v>
      </c>
      <c r="P16">
        <v>20708</v>
      </c>
      <c r="Q16">
        <v>20708</v>
      </c>
      <c r="R16">
        <v>227788</v>
      </c>
      <c r="U16">
        <v>227788</v>
      </c>
    </row>
    <row r="17" spans="1:21" x14ac:dyDescent="0.25">
      <c r="B17" t="s">
        <v>265</v>
      </c>
      <c r="Q17">
        <v>295000</v>
      </c>
      <c r="R17">
        <v>295000</v>
      </c>
      <c r="U17">
        <v>295000</v>
      </c>
    </row>
    <row r="18" spans="1:21" x14ac:dyDescent="0.25">
      <c r="B18" t="s">
        <v>266</v>
      </c>
      <c r="N18">
        <v>216333</v>
      </c>
      <c r="O18">
        <v>216333</v>
      </c>
      <c r="P18">
        <v>216333</v>
      </c>
      <c r="Q18">
        <v>216333</v>
      </c>
      <c r="R18">
        <v>865332</v>
      </c>
      <c r="U18">
        <v>865332</v>
      </c>
    </row>
    <row r="19" spans="1:21" x14ac:dyDescent="0.25">
      <c r="B19" t="s">
        <v>267</v>
      </c>
      <c r="Q19">
        <v>29500</v>
      </c>
      <c r="R19">
        <v>29500</v>
      </c>
      <c r="U19">
        <v>29500</v>
      </c>
    </row>
    <row r="20" spans="1:21" x14ac:dyDescent="0.25">
      <c r="B20" t="s">
        <v>285</v>
      </c>
      <c r="Q20">
        <v>3153</v>
      </c>
      <c r="R20">
        <v>3153</v>
      </c>
      <c r="U20">
        <v>3153</v>
      </c>
    </row>
    <row r="21" spans="1:21" x14ac:dyDescent="0.25">
      <c r="B21" t="s">
        <v>268</v>
      </c>
      <c r="K21">
        <v>3278</v>
      </c>
      <c r="L21">
        <v>3278</v>
      </c>
      <c r="M21">
        <v>3278</v>
      </c>
      <c r="N21">
        <v>3278</v>
      </c>
      <c r="O21">
        <v>3278</v>
      </c>
      <c r="P21">
        <v>3278</v>
      </c>
      <c r="Q21">
        <v>3278</v>
      </c>
      <c r="R21">
        <v>22946</v>
      </c>
      <c r="U21">
        <v>22946</v>
      </c>
    </row>
    <row r="22" spans="1:21" x14ac:dyDescent="0.25">
      <c r="A22" t="s">
        <v>278</v>
      </c>
      <c r="C22">
        <v>246530</v>
      </c>
      <c r="D22">
        <v>246530</v>
      </c>
      <c r="E22">
        <v>246530</v>
      </c>
      <c r="F22">
        <v>246530</v>
      </c>
      <c r="G22">
        <v>267238</v>
      </c>
      <c r="H22">
        <v>267238</v>
      </c>
      <c r="I22">
        <v>267238</v>
      </c>
      <c r="J22">
        <v>267238</v>
      </c>
      <c r="K22">
        <v>446688</v>
      </c>
      <c r="L22">
        <v>499188</v>
      </c>
      <c r="M22">
        <v>499188</v>
      </c>
      <c r="N22">
        <v>715521</v>
      </c>
      <c r="O22">
        <v>715521</v>
      </c>
      <c r="P22">
        <v>715521</v>
      </c>
      <c r="Q22">
        <v>1046091</v>
      </c>
      <c r="R22">
        <v>5953200</v>
      </c>
      <c r="S22">
        <v>309791</v>
      </c>
      <c r="T22">
        <v>2969712</v>
      </c>
      <c r="U22">
        <v>9479233</v>
      </c>
    </row>
    <row r="23" spans="1:21" x14ac:dyDescent="0.25">
      <c r="A23" t="s">
        <v>296</v>
      </c>
      <c r="B23" t="s">
        <v>253</v>
      </c>
      <c r="S23">
        <v>87500</v>
      </c>
      <c r="U23">
        <v>87500</v>
      </c>
    </row>
    <row r="24" spans="1:21" x14ac:dyDescent="0.25">
      <c r="B24" t="s">
        <v>258</v>
      </c>
      <c r="N24">
        <v>19667</v>
      </c>
      <c r="O24">
        <v>19667</v>
      </c>
      <c r="P24">
        <v>19667</v>
      </c>
      <c r="Q24">
        <v>19667</v>
      </c>
      <c r="R24">
        <v>78668</v>
      </c>
      <c r="U24">
        <v>78668</v>
      </c>
    </row>
    <row r="25" spans="1:21" x14ac:dyDescent="0.25">
      <c r="B25" t="s">
        <v>259</v>
      </c>
      <c r="N25">
        <v>49167</v>
      </c>
      <c r="O25">
        <v>49167</v>
      </c>
      <c r="P25">
        <v>49167</v>
      </c>
      <c r="Q25">
        <v>49167</v>
      </c>
      <c r="R25">
        <v>196668</v>
      </c>
      <c r="U25">
        <v>196668</v>
      </c>
    </row>
    <row r="26" spans="1:21" x14ac:dyDescent="0.25">
      <c r="B26" t="s">
        <v>260</v>
      </c>
      <c r="F26">
        <v>295000</v>
      </c>
      <c r="G26">
        <v>295000</v>
      </c>
      <c r="H26">
        <v>295000</v>
      </c>
      <c r="I26">
        <v>295000</v>
      </c>
      <c r="J26">
        <v>295000</v>
      </c>
      <c r="K26">
        <v>295000</v>
      </c>
      <c r="L26">
        <v>295000</v>
      </c>
      <c r="M26">
        <v>295000</v>
      </c>
      <c r="N26">
        <v>295000</v>
      </c>
      <c r="O26">
        <v>295000</v>
      </c>
      <c r="P26">
        <v>295000</v>
      </c>
      <c r="Q26">
        <v>295000</v>
      </c>
      <c r="R26">
        <v>3540000</v>
      </c>
      <c r="U26">
        <v>3540000</v>
      </c>
    </row>
    <row r="27" spans="1:21" x14ac:dyDescent="0.25">
      <c r="B27" t="s">
        <v>261</v>
      </c>
      <c r="S27">
        <v>16667</v>
      </c>
      <c r="U27">
        <v>16667</v>
      </c>
    </row>
    <row r="28" spans="1:21" x14ac:dyDescent="0.25">
      <c r="B28" t="s">
        <v>263</v>
      </c>
      <c r="S28">
        <v>17872</v>
      </c>
      <c r="U28">
        <v>17872</v>
      </c>
    </row>
    <row r="29" spans="1:21" x14ac:dyDescent="0.25">
      <c r="B29" t="s">
        <v>284</v>
      </c>
      <c r="F29">
        <v>146320</v>
      </c>
      <c r="G29">
        <v>146320</v>
      </c>
      <c r="H29">
        <v>146320</v>
      </c>
      <c r="I29">
        <v>146320</v>
      </c>
      <c r="J29">
        <v>146320</v>
      </c>
      <c r="K29">
        <v>146320</v>
      </c>
      <c r="L29">
        <v>146320</v>
      </c>
      <c r="M29">
        <v>146320</v>
      </c>
      <c r="N29">
        <v>146320</v>
      </c>
      <c r="O29">
        <v>146320</v>
      </c>
      <c r="P29">
        <v>146320</v>
      </c>
      <c r="Q29">
        <v>146320</v>
      </c>
      <c r="R29">
        <v>1755840</v>
      </c>
      <c r="U29">
        <v>1755840</v>
      </c>
    </row>
    <row r="30" spans="1:21" x14ac:dyDescent="0.25">
      <c r="B30" t="s">
        <v>287</v>
      </c>
      <c r="S30">
        <v>1967</v>
      </c>
      <c r="U30">
        <v>1967</v>
      </c>
    </row>
    <row r="31" spans="1:21" x14ac:dyDescent="0.25">
      <c r="A31" t="s">
        <v>297</v>
      </c>
      <c r="F31">
        <v>441320</v>
      </c>
      <c r="G31">
        <v>441320</v>
      </c>
      <c r="H31">
        <v>441320</v>
      </c>
      <c r="I31">
        <v>441320</v>
      </c>
      <c r="J31">
        <v>441320</v>
      </c>
      <c r="K31">
        <v>441320</v>
      </c>
      <c r="L31">
        <v>441320</v>
      </c>
      <c r="M31">
        <v>441320</v>
      </c>
      <c r="N31">
        <v>510154</v>
      </c>
      <c r="O31">
        <v>510154</v>
      </c>
      <c r="P31">
        <v>510154</v>
      </c>
      <c r="Q31">
        <v>510154</v>
      </c>
      <c r="R31">
        <v>5571176</v>
      </c>
      <c r="S31">
        <v>124006</v>
      </c>
      <c r="U31">
        <v>5695182</v>
      </c>
    </row>
    <row r="32" spans="1:21" x14ac:dyDescent="0.25">
      <c r="A32" t="s">
        <v>326</v>
      </c>
      <c r="B32" t="s">
        <v>264</v>
      </c>
      <c r="S32">
        <v>37500</v>
      </c>
      <c r="U32">
        <v>37500</v>
      </c>
    </row>
    <row r="33" spans="1:21" x14ac:dyDescent="0.25">
      <c r="B33" t="s">
        <v>283</v>
      </c>
      <c r="H33">
        <v>126349</v>
      </c>
      <c r="I33">
        <v>126349</v>
      </c>
      <c r="J33">
        <v>126349</v>
      </c>
      <c r="K33">
        <v>126349</v>
      </c>
      <c r="L33">
        <v>126349</v>
      </c>
      <c r="M33">
        <v>126349</v>
      </c>
      <c r="N33">
        <v>126349</v>
      </c>
      <c r="O33">
        <v>126349</v>
      </c>
      <c r="P33">
        <v>126349</v>
      </c>
      <c r="Q33">
        <v>126349</v>
      </c>
      <c r="R33">
        <v>1263490</v>
      </c>
      <c r="U33">
        <v>1263490</v>
      </c>
    </row>
    <row r="34" spans="1:21" x14ac:dyDescent="0.25">
      <c r="B34" t="s">
        <v>281</v>
      </c>
      <c r="L34">
        <v>11667</v>
      </c>
      <c r="M34">
        <v>11667</v>
      </c>
      <c r="N34">
        <v>11667</v>
      </c>
      <c r="O34">
        <v>11667</v>
      </c>
      <c r="P34">
        <v>11667</v>
      </c>
      <c r="Q34">
        <v>11667</v>
      </c>
      <c r="R34">
        <v>70002</v>
      </c>
      <c r="U34">
        <v>70002</v>
      </c>
    </row>
    <row r="35" spans="1:21" x14ac:dyDescent="0.25">
      <c r="B35" t="s">
        <v>282</v>
      </c>
      <c r="H35">
        <v>1250</v>
      </c>
      <c r="I35">
        <v>1250</v>
      </c>
      <c r="J35">
        <v>1250</v>
      </c>
      <c r="K35">
        <v>1250</v>
      </c>
      <c r="L35">
        <v>1250</v>
      </c>
      <c r="M35">
        <v>1250</v>
      </c>
      <c r="N35">
        <v>1250</v>
      </c>
      <c r="O35">
        <v>1250</v>
      </c>
      <c r="P35">
        <v>1250</v>
      </c>
      <c r="Q35">
        <v>1250</v>
      </c>
      <c r="R35">
        <v>12500</v>
      </c>
      <c r="U35">
        <v>12500</v>
      </c>
    </row>
    <row r="36" spans="1:21" x14ac:dyDescent="0.25">
      <c r="A36" t="s">
        <v>327</v>
      </c>
      <c r="H36">
        <v>127599</v>
      </c>
      <c r="I36">
        <v>127599</v>
      </c>
      <c r="J36">
        <v>127599</v>
      </c>
      <c r="K36">
        <v>127599</v>
      </c>
      <c r="L36">
        <v>139266</v>
      </c>
      <c r="M36">
        <v>139266</v>
      </c>
      <c r="N36">
        <v>139266</v>
      </c>
      <c r="O36">
        <v>139266</v>
      </c>
      <c r="P36">
        <v>139266</v>
      </c>
      <c r="Q36">
        <v>139266</v>
      </c>
      <c r="R36">
        <v>1345992</v>
      </c>
      <c r="S36">
        <v>37500</v>
      </c>
      <c r="U36">
        <v>1383492</v>
      </c>
    </row>
    <row r="40" spans="1:21" x14ac:dyDescent="0.25">
      <c r="A40" t="s">
        <v>138</v>
      </c>
      <c r="C40">
        <v>246530</v>
      </c>
      <c r="D40">
        <v>246530</v>
      </c>
      <c r="E40">
        <v>246530</v>
      </c>
      <c r="F40">
        <v>687850</v>
      </c>
      <c r="G40">
        <v>708558</v>
      </c>
      <c r="H40">
        <v>836157</v>
      </c>
      <c r="I40">
        <v>836157</v>
      </c>
      <c r="J40">
        <v>836157</v>
      </c>
      <c r="K40">
        <v>1015607</v>
      </c>
      <c r="L40">
        <v>1079774</v>
      </c>
      <c r="M40">
        <v>1079774</v>
      </c>
      <c r="N40">
        <v>1364941</v>
      </c>
      <c r="O40">
        <v>1364941</v>
      </c>
      <c r="P40">
        <v>1364941</v>
      </c>
      <c r="Q40">
        <v>1695511</v>
      </c>
      <c r="R40">
        <v>12870368</v>
      </c>
      <c r="S40">
        <v>471297</v>
      </c>
      <c r="T40">
        <v>2969712</v>
      </c>
      <c r="U40">
        <v>16557907</v>
      </c>
    </row>
    <row r="54" spans="1:14" x14ac:dyDescent="0.25">
      <c r="A54" s="4" t="s">
        <v>136</v>
      </c>
      <c r="B54" s="4" t="s">
        <v>5</v>
      </c>
    </row>
    <row r="55" spans="1:14" x14ac:dyDescent="0.25">
      <c r="A55" s="4" t="s">
        <v>232</v>
      </c>
      <c r="B55" s="5">
        <v>44927</v>
      </c>
      <c r="C55" s="5">
        <v>44958</v>
      </c>
      <c r="D55" s="5">
        <v>44986</v>
      </c>
      <c r="E55" s="5">
        <v>45017</v>
      </c>
      <c r="F55" s="5">
        <v>45047</v>
      </c>
      <c r="G55" s="5">
        <v>45078</v>
      </c>
      <c r="H55" s="5">
        <v>45108</v>
      </c>
      <c r="I55" s="5">
        <v>45139</v>
      </c>
      <c r="J55" s="5">
        <v>45170</v>
      </c>
      <c r="K55" s="5">
        <v>45200</v>
      </c>
      <c r="L55" s="5">
        <v>45231</v>
      </c>
      <c r="M55" s="5">
        <v>45261</v>
      </c>
      <c r="N55" t="s">
        <v>138</v>
      </c>
    </row>
    <row r="56" spans="1:14" x14ac:dyDescent="0.25">
      <c r="A56" t="s">
        <v>237</v>
      </c>
      <c r="B56" s="306">
        <v>126875</v>
      </c>
      <c r="C56" s="306">
        <v>126875</v>
      </c>
      <c r="D56" s="306">
        <v>126875</v>
      </c>
      <c r="E56" s="306">
        <v>390984</v>
      </c>
      <c r="F56" s="306">
        <v>417234</v>
      </c>
      <c r="G56" s="306">
        <v>417234</v>
      </c>
      <c r="H56" s="306">
        <v>417234</v>
      </c>
      <c r="I56" s="306">
        <v>417234</v>
      </c>
      <c r="J56" s="306">
        <v>631609</v>
      </c>
      <c r="K56" s="306">
        <v>881422</v>
      </c>
      <c r="L56" s="306">
        <v>881422</v>
      </c>
      <c r="M56" s="306">
        <v>1183505</v>
      </c>
      <c r="N56" s="306">
        <v>6018503</v>
      </c>
    </row>
    <row r="57" spans="1:14" x14ac:dyDescent="0.25">
      <c r="A57" t="s">
        <v>550</v>
      </c>
      <c r="B57" s="306"/>
      <c r="C57" s="306"/>
      <c r="D57" s="306">
        <v>4167</v>
      </c>
      <c r="E57" s="306">
        <v>4167</v>
      </c>
      <c r="F57" s="306">
        <v>4167</v>
      </c>
      <c r="G57" s="306">
        <v>4167</v>
      </c>
      <c r="H57" s="306">
        <v>4167</v>
      </c>
      <c r="I57" s="306">
        <v>4167</v>
      </c>
      <c r="J57" s="306">
        <v>4167</v>
      </c>
      <c r="K57" s="306">
        <v>4167</v>
      </c>
      <c r="L57" s="306">
        <v>4167</v>
      </c>
      <c r="M57" s="306">
        <v>4167</v>
      </c>
      <c r="N57" s="306">
        <v>41670</v>
      </c>
    </row>
    <row r="58" spans="1:14" x14ac:dyDescent="0.25">
      <c r="A58" t="s">
        <v>296</v>
      </c>
      <c r="B58" s="306">
        <v>24583</v>
      </c>
      <c r="C58" s="306">
        <v>24583</v>
      </c>
      <c r="D58" s="306">
        <v>396021</v>
      </c>
      <c r="E58" s="306">
        <v>414292</v>
      </c>
      <c r="F58" s="306">
        <v>414292</v>
      </c>
      <c r="G58" s="306">
        <v>414292</v>
      </c>
      <c r="H58" s="306">
        <v>414292</v>
      </c>
      <c r="I58" s="306">
        <v>660125</v>
      </c>
      <c r="J58" s="306">
        <v>660125</v>
      </c>
      <c r="K58" s="306">
        <v>660125</v>
      </c>
      <c r="L58" s="306">
        <v>857000</v>
      </c>
      <c r="M58" s="306">
        <v>988250</v>
      </c>
      <c r="N58" s="306">
        <v>5927980</v>
      </c>
    </row>
    <row r="59" spans="1:14" x14ac:dyDescent="0.25">
      <c r="A59" t="s">
        <v>326</v>
      </c>
      <c r="B59" s="306"/>
      <c r="C59" s="306"/>
      <c r="D59" s="306"/>
      <c r="E59" s="306"/>
      <c r="F59" s="306"/>
      <c r="G59" s="306">
        <v>3125</v>
      </c>
      <c r="H59" s="306">
        <v>3125</v>
      </c>
      <c r="I59" s="306">
        <v>3125</v>
      </c>
      <c r="J59" s="306">
        <v>3125</v>
      </c>
      <c r="K59" s="306">
        <v>3125</v>
      </c>
      <c r="L59" s="306">
        <v>3125</v>
      </c>
      <c r="M59" s="306">
        <v>6979</v>
      </c>
      <c r="N59" s="306">
        <v>25729</v>
      </c>
    </row>
    <row r="60" spans="1:14" x14ac:dyDescent="0.25">
      <c r="A60" t="s">
        <v>138</v>
      </c>
      <c r="B60" s="306">
        <v>151458</v>
      </c>
      <c r="C60" s="306">
        <v>151458</v>
      </c>
      <c r="D60" s="306">
        <v>527063</v>
      </c>
      <c r="E60" s="306">
        <v>809443</v>
      </c>
      <c r="F60" s="306">
        <v>835693</v>
      </c>
      <c r="G60" s="306">
        <v>838818</v>
      </c>
      <c r="H60" s="306">
        <v>838818</v>
      </c>
      <c r="I60" s="306">
        <v>1084651</v>
      </c>
      <c r="J60" s="306">
        <v>1299026</v>
      </c>
      <c r="K60" s="306">
        <v>1548839</v>
      </c>
      <c r="L60" s="306">
        <v>1745714</v>
      </c>
      <c r="M60" s="306">
        <v>2182901</v>
      </c>
      <c r="N60" s="306">
        <v>12013882</v>
      </c>
    </row>
    <row r="64" spans="1:14" x14ac:dyDescent="0.25">
      <c r="A64" s="4" t="s">
        <v>232</v>
      </c>
      <c r="B64" t="s" vm="873">
        <v>186</v>
      </c>
    </row>
    <row r="65" spans="1:16" x14ac:dyDescent="0.25">
      <c r="A65" s="4" t="s">
        <v>151</v>
      </c>
      <c r="B65" t="s" vm="874">
        <v>570</v>
      </c>
    </row>
    <row r="66" spans="1:16" x14ac:dyDescent="0.25">
      <c r="A66" s="4" t="s">
        <v>152</v>
      </c>
      <c r="B66" t="s" vm="118">
        <v>248</v>
      </c>
    </row>
    <row r="67" spans="1:16" x14ac:dyDescent="0.25">
      <c r="P67">
        <f>4415368/12</f>
        <v>367947.33333333331</v>
      </c>
    </row>
    <row r="68" spans="1:16" x14ac:dyDescent="0.25">
      <c r="B68" s="4" t="s">
        <v>139</v>
      </c>
    </row>
    <row r="69" spans="1:16" x14ac:dyDescent="0.25">
      <c r="B69" t="s">
        <v>140</v>
      </c>
      <c r="C69" t="s">
        <v>141</v>
      </c>
      <c r="D69" t="s">
        <v>142</v>
      </c>
      <c r="E69" t="s">
        <v>143</v>
      </c>
      <c r="F69" t="s">
        <v>144</v>
      </c>
      <c r="G69" t="s">
        <v>145</v>
      </c>
      <c r="H69" t="s">
        <v>146</v>
      </c>
      <c r="I69" t="s">
        <v>147</v>
      </c>
      <c r="J69" t="s">
        <v>148</v>
      </c>
      <c r="K69" t="s">
        <v>149</v>
      </c>
      <c r="L69" t="s">
        <v>150</v>
      </c>
      <c r="M69" t="s">
        <v>162</v>
      </c>
      <c r="N69" t="s">
        <v>138</v>
      </c>
    </row>
    <row r="70" spans="1:16" x14ac:dyDescent="0.25">
      <c r="A70" t="s">
        <v>136</v>
      </c>
      <c r="B70" s="306">
        <v>2857622</v>
      </c>
      <c r="C70" s="306">
        <v>4369378</v>
      </c>
      <c r="D70" s="306">
        <v>4369378</v>
      </c>
      <c r="E70" s="306">
        <v>4393335</v>
      </c>
      <c r="F70" s="306">
        <v>4392566</v>
      </c>
      <c r="G70" s="306">
        <v>4392566</v>
      </c>
      <c r="H70" s="306">
        <v>4393335</v>
      </c>
      <c r="I70" s="306">
        <v>4463112</v>
      </c>
      <c r="J70" s="306">
        <v>4535675</v>
      </c>
      <c r="K70" s="306">
        <v>4539215</v>
      </c>
      <c r="L70" s="306">
        <v>4539215</v>
      </c>
      <c r="M70" s="306">
        <v>4539215</v>
      </c>
      <c r="N70" s="306">
        <v>51784612</v>
      </c>
    </row>
    <row r="72" spans="1:16" x14ac:dyDescent="0.25">
      <c r="B72" s="96">
        <v>4134867</v>
      </c>
      <c r="C72" s="96">
        <v>4134867</v>
      </c>
      <c r="D72" s="96">
        <v>4134867</v>
      </c>
      <c r="E72" s="96">
        <v>4134867</v>
      </c>
      <c r="F72" s="96">
        <v>4134867</v>
      </c>
      <c r="G72" s="96">
        <v>4134867</v>
      </c>
      <c r="H72" s="96">
        <v>4134867</v>
      </c>
      <c r="I72" s="96">
        <v>4134867</v>
      </c>
      <c r="J72" s="96">
        <v>4134867</v>
      </c>
      <c r="K72" s="96">
        <v>4134867</v>
      </c>
      <c r="L72" s="96">
        <v>4134867</v>
      </c>
      <c r="M72" s="96">
        <v>4134867</v>
      </c>
      <c r="N72" s="96">
        <v>4134867</v>
      </c>
    </row>
    <row r="73" spans="1:16" x14ac:dyDescent="0.25">
      <c r="B73" s="96">
        <f>GETPIVOTDATA("[Measures].[Sum of Износ 2]",$A$54)/12</f>
        <v>1001156.8333333334</v>
      </c>
      <c r="C73" s="96">
        <f t="shared" ref="C73:N73" si="0">GETPIVOTDATA("[Measures].[Sum of Износ 2]",$A$54)/12</f>
        <v>1001156.8333333334</v>
      </c>
      <c r="D73" s="96">
        <f t="shared" si="0"/>
        <v>1001156.8333333334</v>
      </c>
      <c r="E73" s="96">
        <f t="shared" si="0"/>
        <v>1001156.8333333334</v>
      </c>
      <c r="F73" s="96">
        <f t="shared" si="0"/>
        <v>1001156.8333333334</v>
      </c>
      <c r="G73" s="96">
        <f t="shared" si="0"/>
        <v>1001156.8333333334</v>
      </c>
      <c r="H73" s="96">
        <f t="shared" si="0"/>
        <v>1001156.8333333334</v>
      </c>
      <c r="I73" s="96">
        <f t="shared" si="0"/>
        <v>1001156.8333333334</v>
      </c>
      <c r="J73" s="96">
        <f t="shared" si="0"/>
        <v>1001156.8333333334</v>
      </c>
      <c r="K73" s="96">
        <f t="shared" si="0"/>
        <v>1001156.8333333334</v>
      </c>
      <c r="L73" s="96">
        <f t="shared" si="0"/>
        <v>1001156.8333333334</v>
      </c>
      <c r="M73" s="96">
        <f t="shared" si="0"/>
        <v>1001156.8333333334</v>
      </c>
      <c r="N73" s="96">
        <f t="shared" si="0"/>
        <v>1001156.8333333334</v>
      </c>
    </row>
    <row r="74" spans="1:16" x14ac:dyDescent="0.25">
      <c r="B74" s="244">
        <f>+B72+B73</f>
        <v>5136023.833333333</v>
      </c>
      <c r="C74" s="244">
        <f t="shared" ref="C74:N74" si="1">+C72+C73</f>
        <v>5136023.833333333</v>
      </c>
      <c r="D74" s="244">
        <f t="shared" si="1"/>
        <v>5136023.833333333</v>
      </c>
      <c r="E74" s="244">
        <f t="shared" si="1"/>
        <v>5136023.833333333</v>
      </c>
      <c r="F74" s="244">
        <f t="shared" si="1"/>
        <v>5136023.833333333</v>
      </c>
      <c r="G74" s="244">
        <f t="shared" si="1"/>
        <v>5136023.833333333</v>
      </c>
      <c r="H74" s="244">
        <f t="shared" si="1"/>
        <v>5136023.833333333</v>
      </c>
      <c r="I74" s="244">
        <f t="shared" si="1"/>
        <v>5136023.833333333</v>
      </c>
      <c r="J74" s="244">
        <f t="shared" si="1"/>
        <v>5136023.833333333</v>
      </c>
      <c r="K74" s="244">
        <f t="shared" si="1"/>
        <v>5136023.833333333</v>
      </c>
      <c r="L74" s="244">
        <f t="shared" si="1"/>
        <v>5136023.833333333</v>
      </c>
      <c r="M74" s="244">
        <f t="shared" si="1"/>
        <v>5136023.833333333</v>
      </c>
      <c r="N74" s="244">
        <f t="shared" si="1"/>
        <v>5136023.833333333</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2">
    <tabColor rgb="FFFFC000"/>
  </sheetPr>
  <dimension ref="B2:K168"/>
  <sheetViews>
    <sheetView topLeftCell="A76" workbookViewId="0">
      <selection activeCell="H36" sqref="H36"/>
    </sheetView>
  </sheetViews>
  <sheetFormatPr defaultRowHeight="15" x14ac:dyDescent="0.25"/>
  <cols>
    <col min="2" max="2" width="56.7109375" bestFit="1" customWidth="1"/>
    <col min="3" max="3" width="33.7109375" bestFit="1" customWidth="1"/>
    <col min="4" max="4" width="7.42578125" bestFit="1" customWidth="1"/>
    <col min="5" max="5" width="12.5703125" bestFit="1" customWidth="1"/>
    <col min="6" max="6" width="11.85546875" bestFit="1" customWidth="1"/>
    <col min="7" max="7" width="11.140625" bestFit="1" customWidth="1"/>
    <col min="8" max="8" width="11.140625" customWidth="1"/>
    <col min="9" max="9" width="10.140625" bestFit="1" customWidth="1"/>
    <col min="10" max="10" width="11.140625" bestFit="1" customWidth="1"/>
    <col min="11" max="12" width="10.140625" bestFit="1" customWidth="1"/>
    <col min="13" max="13" width="13.140625" bestFit="1" customWidth="1"/>
    <col min="14" max="15" width="11.140625" bestFit="1" customWidth="1"/>
    <col min="16" max="16" width="10.140625" bestFit="1" customWidth="1"/>
    <col min="17" max="17" width="13.140625" bestFit="1" customWidth="1"/>
    <col min="18" max="18" width="10.28515625" bestFit="1" customWidth="1"/>
    <col min="19" max="20" width="10.140625" bestFit="1" customWidth="1"/>
    <col min="21" max="21" width="13.140625" bestFit="1" customWidth="1"/>
    <col min="22" max="22" width="10.28515625" bestFit="1" customWidth="1"/>
    <col min="23" max="24" width="10.140625" bestFit="1" customWidth="1"/>
    <col min="25" max="25" width="13.140625" bestFit="1" customWidth="1"/>
    <col min="26" max="26" width="10.28515625" bestFit="1" customWidth="1"/>
    <col min="27" max="28" width="10.140625" bestFit="1" customWidth="1"/>
    <col min="29" max="29" width="13.140625" bestFit="1" customWidth="1"/>
    <col min="30" max="30" width="11.140625" bestFit="1" customWidth="1"/>
    <col min="31" max="31" width="13.140625" bestFit="1" customWidth="1"/>
    <col min="32" max="32" width="12.7109375" bestFit="1" customWidth="1"/>
    <col min="33" max="33" width="9" bestFit="1" customWidth="1"/>
    <col min="34" max="37" width="11" bestFit="1" customWidth="1"/>
  </cols>
  <sheetData>
    <row r="2" spans="2:10" x14ac:dyDescent="0.25">
      <c r="B2" s="4" t="s">
        <v>152</v>
      </c>
      <c r="C2" t="s" vm="118">
        <v>248</v>
      </c>
    </row>
    <row r="3" spans="2:10" x14ac:dyDescent="0.25">
      <c r="B3" s="4" t="s">
        <v>244</v>
      </c>
      <c r="C3" t="s" vm="121">
        <v>272</v>
      </c>
    </row>
    <row r="5" spans="2:10" x14ac:dyDescent="0.25">
      <c r="B5" s="4" t="s">
        <v>136</v>
      </c>
      <c r="C5" s="4" t="s">
        <v>137</v>
      </c>
      <c r="H5" t="s">
        <v>274</v>
      </c>
      <c r="I5" t="s">
        <v>273</v>
      </c>
      <c r="J5" t="s">
        <v>275</v>
      </c>
    </row>
    <row r="6" spans="2:10" x14ac:dyDescent="0.25">
      <c r="B6" s="4" t="s">
        <v>242</v>
      </c>
      <c r="C6" s="5">
        <v>43555</v>
      </c>
      <c r="D6" s="5">
        <v>43646</v>
      </c>
      <c r="E6" s="5">
        <v>43738</v>
      </c>
      <c r="F6" s="312" t="s">
        <v>138</v>
      </c>
      <c r="H6" s="5"/>
    </row>
    <row r="7" spans="2:10" x14ac:dyDescent="0.25">
      <c r="B7" s="6" t="s">
        <v>980</v>
      </c>
      <c r="C7" s="1">
        <v>75219</v>
      </c>
      <c r="D7" s="1">
        <v>3411</v>
      </c>
      <c r="E7" s="1">
        <v>8487</v>
      </c>
      <c r="F7" s="313">
        <v>87117</v>
      </c>
      <c r="J7" s="1">
        <f>SUM(G7:I7)</f>
        <v>0</v>
      </c>
    </row>
    <row r="8" spans="2:10" x14ac:dyDescent="0.25">
      <c r="B8" s="6" t="s">
        <v>981</v>
      </c>
      <c r="C8" s="1">
        <v>0</v>
      </c>
      <c r="D8" s="1">
        <v>0</v>
      </c>
      <c r="E8" s="1">
        <v>0</v>
      </c>
      <c r="F8" s="313">
        <v>0</v>
      </c>
      <c r="J8" s="1">
        <f t="shared" ref="J8:J20" si="0">SUM(G8:I8)</f>
        <v>0</v>
      </c>
    </row>
    <row r="9" spans="2:10" x14ac:dyDescent="0.25">
      <c r="B9" s="6" t="s">
        <v>982</v>
      </c>
      <c r="C9" s="1">
        <v>4768789</v>
      </c>
      <c r="D9" s="1">
        <v>12612</v>
      </c>
      <c r="E9" s="1">
        <v>-128612</v>
      </c>
      <c r="F9" s="313">
        <v>4652789</v>
      </c>
      <c r="J9" s="1">
        <f t="shared" si="0"/>
        <v>0</v>
      </c>
    </row>
    <row r="10" spans="2:10" x14ac:dyDescent="0.25">
      <c r="B10" s="6" t="s">
        <v>983</v>
      </c>
      <c r="C10" s="1">
        <v>0</v>
      </c>
      <c r="D10" s="1">
        <v>0</v>
      </c>
      <c r="E10" s="1">
        <v>0</v>
      </c>
      <c r="F10" s="313">
        <v>0</v>
      </c>
      <c r="J10" s="1">
        <f t="shared" si="0"/>
        <v>0</v>
      </c>
    </row>
    <row r="11" spans="2:10" x14ac:dyDescent="0.25">
      <c r="B11" s="6" t="s">
        <v>984</v>
      </c>
      <c r="C11" s="1">
        <v>0</v>
      </c>
      <c r="D11" s="1">
        <v>0</v>
      </c>
      <c r="E11" s="1">
        <v>0</v>
      </c>
      <c r="F11" s="313">
        <v>0</v>
      </c>
      <c r="J11" s="1">
        <f t="shared" si="0"/>
        <v>0</v>
      </c>
    </row>
    <row r="12" spans="2:10" x14ac:dyDescent="0.25">
      <c r="B12" s="6" t="s">
        <v>985</v>
      </c>
      <c r="C12" s="1">
        <v>465588</v>
      </c>
      <c r="D12" s="1">
        <v>655714</v>
      </c>
      <c r="E12" s="1">
        <v>668036</v>
      </c>
      <c r="F12" s="313">
        <v>1789338</v>
      </c>
      <c r="J12" s="1">
        <f t="shared" si="0"/>
        <v>0</v>
      </c>
    </row>
    <row r="13" spans="2:10" x14ac:dyDescent="0.25">
      <c r="B13" s="6" t="s">
        <v>986</v>
      </c>
      <c r="C13" s="1">
        <v>0</v>
      </c>
      <c r="D13" s="1">
        <v>0</v>
      </c>
      <c r="E13" s="1">
        <v>0</v>
      </c>
      <c r="F13" s="313">
        <v>0</v>
      </c>
      <c r="J13" s="1">
        <f t="shared" si="0"/>
        <v>0</v>
      </c>
    </row>
    <row r="14" spans="2:10" x14ac:dyDescent="0.25">
      <c r="B14" s="6" t="s">
        <v>987</v>
      </c>
      <c r="C14" s="1">
        <v>0</v>
      </c>
      <c r="D14" s="1">
        <v>0</v>
      </c>
      <c r="E14" s="1">
        <v>0</v>
      </c>
      <c r="F14" s="313">
        <v>0</v>
      </c>
      <c r="H14" s="1"/>
      <c r="J14" s="1">
        <f t="shared" si="0"/>
        <v>0</v>
      </c>
    </row>
    <row r="15" spans="2:10" x14ac:dyDescent="0.25">
      <c r="B15" s="6" t="s">
        <v>988</v>
      </c>
      <c r="C15" s="1">
        <v>0</v>
      </c>
      <c r="D15" s="1">
        <v>0</v>
      </c>
      <c r="E15" s="1">
        <v>0</v>
      </c>
      <c r="F15" s="313">
        <v>0</v>
      </c>
      <c r="J15" s="1">
        <f t="shared" si="0"/>
        <v>0</v>
      </c>
    </row>
    <row r="16" spans="2:10" x14ac:dyDescent="0.25">
      <c r="B16" s="6" t="s">
        <v>989</v>
      </c>
      <c r="C16" s="1">
        <v>0</v>
      </c>
      <c r="D16" s="1">
        <v>0</v>
      </c>
      <c r="E16" s="1">
        <v>0</v>
      </c>
      <c r="F16" s="313">
        <v>0</v>
      </c>
      <c r="J16" s="1">
        <f t="shared" si="0"/>
        <v>0</v>
      </c>
    </row>
    <row r="17" spans="2:11" x14ac:dyDescent="0.25">
      <c r="B17" s="6" t="s">
        <v>990</v>
      </c>
      <c r="C17" s="1">
        <v>0</v>
      </c>
      <c r="D17" s="1">
        <v>0</v>
      </c>
      <c r="E17" s="1">
        <v>0</v>
      </c>
      <c r="F17" s="313">
        <v>0</v>
      </c>
      <c r="J17" s="1">
        <f t="shared" si="0"/>
        <v>0</v>
      </c>
    </row>
    <row r="18" spans="2:11" x14ac:dyDescent="0.25">
      <c r="B18" s="6" t="s">
        <v>991</v>
      </c>
      <c r="C18" s="1">
        <v>0</v>
      </c>
      <c r="D18" s="1">
        <v>0</v>
      </c>
      <c r="E18" s="1">
        <v>0</v>
      </c>
      <c r="F18" s="313">
        <v>0</v>
      </c>
      <c r="J18" s="1">
        <f t="shared" si="0"/>
        <v>0</v>
      </c>
    </row>
    <row r="19" spans="2:11" x14ac:dyDescent="0.25">
      <c r="B19" s="6" t="s">
        <v>992</v>
      </c>
      <c r="C19" s="1">
        <v>0</v>
      </c>
      <c r="D19" s="1">
        <v>0</v>
      </c>
      <c r="E19" s="1">
        <v>0</v>
      </c>
      <c r="F19" s="313">
        <v>0</v>
      </c>
      <c r="J19" s="1">
        <f t="shared" si="0"/>
        <v>0</v>
      </c>
      <c r="K19" t="s">
        <v>279</v>
      </c>
    </row>
    <row r="20" spans="2:11" x14ac:dyDescent="0.25">
      <c r="B20" s="6" t="s">
        <v>993</v>
      </c>
      <c r="C20" s="1">
        <v>0</v>
      </c>
      <c r="D20" s="1">
        <v>0</v>
      </c>
      <c r="E20" s="1">
        <v>0</v>
      </c>
      <c r="F20" s="313">
        <v>0</v>
      </c>
      <c r="H20" t="e">
        <f>GETPIVOTDATA("[Measures].[Sum of Проценета вредност на набавка со ДДВ (денари)]",#REF!,"[Calendar].[Месец]","[Calendar].[Месец].&amp;[Dec]","[Calendar].[Година]","[Calendar].[Година].&amp;[2019]")</f>
        <v>#REF!</v>
      </c>
      <c r="I20" t="e">
        <f>-GETPIVOTDATA("[Measures].[Sum of Износ 2]",Amortizacija!$A$3,"[Calendar].[Date Hierarchy]","[Calendar].[Date Hierarchy].[Year].&amp;[2019].&amp;[Dec]")</f>
        <v>#REF!</v>
      </c>
      <c r="J20" s="1" t="e">
        <f t="shared" si="0"/>
        <v>#REF!</v>
      </c>
    </row>
    <row r="25" spans="2:11" x14ac:dyDescent="0.25">
      <c r="B25" s="4" t="s">
        <v>244</v>
      </c>
      <c r="C25" t="s" vm="121">
        <v>272</v>
      </c>
    </row>
    <row r="27" spans="2:11" x14ac:dyDescent="0.25">
      <c r="B27" s="4" t="s">
        <v>136</v>
      </c>
      <c r="C27" s="4" t="s">
        <v>137</v>
      </c>
    </row>
    <row r="28" spans="2:11" x14ac:dyDescent="0.25">
      <c r="C28" t="s">
        <v>248</v>
      </c>
      <c r="D28" t="s">
        <v>239</v>
      </c>
      <c r="E28" t="s">
        <v>301</v>
      </c>
      <c r="F28" s="312" t="s">
        <v>138</v>
      </c>
      <c r="H28" s="4"/>
      <c r="I28" s="4"/>
      <c r="J28" s="4"/>
      <c r="K28" s="4"/>
    </row>
    <row r="29" spans="2:11" x14ac:dyDescent="0.25">
      <c r="B29" s="4" t="s">
        <v>242</v>
      </c>
      <c r="C29">
        <v>2019</v>
      </c>
      <c r="D29">
        <v>2019</v>
      </c>
      <c r="E29">
        <v>2019</v>
      </c>
      <c r="F29" s="312"/>
    </row>
    <row r="30" spans="2:11" x14ac:dyDescent="0.25">
      <c r="B30" s="6" t="s">
        <v>980</v>
      </c>
      <c r="C30" s="1"/>
      <c r="D30" s="1"/>
      <c r="E30" s="1"/>
      <c r="F30" s="313"/>
    </row>
    <row r="31" spans="2:11" x14ac:dyDescent="0.25">
      <c r="B31" s="7" t="s">
        <v>858</v>
      </c>
      <c r="C31" s="1">
        <v>0</v>
      </c>
      <c r="D31" s="1">
        <v>0</v>
      </c>
      <c r="E31" s="1">
        <v>8501274</v>
      </c>
      <c r="F31" s="313">
        <v>8501274</v>
      </c>
    </row>
    <row r="32" spans="2:11" x14ac:dyDescent="0.25">
      <c r="B32" s="7" t="s">
        <v>859</v>
      </c>
      <c r="C32" s="1">
        <v>0</v>
      </c>
      <c r="D32" s="1"/>
      <c r="E32" s="1">
        <v>4203540</v>
      </c>
      <c r="F32" s="313">
        <v>4203540</v>
      </c>
    </row>
    <row r="33" spans="2:6" x14ac:dyDescent="0.25">
      <c r="B33" s="7" t="s">
        <v>860</v>
      </c>
      <c r="C33" s="1">
        <v>0</v>
      </c>
      <c r="D33" s="1"/>
      <c r="E33" s="1">
        <v>0</v>
      </c>
      <c r="F33" s="313">
        <v>0</v>
      </c>
    </row>
    <row r="34" spans="2:6" x14ac:dyDescent="0.25">
      <c r="B34" s="7" t="s">
        <v>861</v>
      </c>
      <c r="C34" s="1">
        <v>0</v>
      </c>
      <c r="D34" s="1"/>
      <c r="E34" s="1">
        <v>1082091</v>
      </c>
      <c r="F34" s="313">
        <v>1082091</v>
      </c>
    </row>
    <row r="35" spans="2:6" x14ac:dyDescent="0.25">
      <c r="B35" s="7" t="s">
        <v>862</v>
      </c>
      <c r="C35" s="1">
        <v>0</v>
      </c>
      <c r="D35" s="1"/>
      <c r="E35" s="1">
        <v>8438545</v>
      </c>
      <c r="F35" s="313">
        <v>8438545</v>
      </c>
    </row>
    <row r="36" spans="2:6" x14ac:dyDescent="0.25">
      <c r="B36" s="7" t="s">
        <v>863</v>
      </c>
      <c r="C36" s="1">
        <v>0</v>
      </c>
      <c r="D36" s="1"/>
      <c r="E36" s="1">
        <v>2165723</v>
      </c>
      <c r="F36" s="313">
        <v>2165723</v>
      </c>
    </row>
    <row r="37" spans="2:6" x14ac:dyDescent="0.25">
      <c r="B37" s="7" t="s">
        <v>864</v>
      </c>
      <c r="C37" s="1">
        <v>0</v>
      </c>
      <c r="D37" s="1"/>
      <c r="E37" s="1">
        <v>4553659</v>
      </c>
      <c r="F37" s="313">
        <v>4553659</v>
      </c>
    </row>
    <row r="38" spans="2:6" x14ac:dyDescent="0.25">
      <c r="B38" s="7" t="s">
        <v>865</v>
      </c>
      <c r="C38" s="1">
        <v>0</v>
      </c>
      <c r="D38" s="1"/>
      <c r="E38" s="1">
        <v>86005255</v>
      </c>
      <c r="F38" s="313">
        <v>86005255</v>
      </c>
    </row>
    <row r="39" spans="2:6" x14ac:dyDescent="0.25">
      <c r="B39" s="7" t="s">
        <v>866</v>
      </c>
      <c r="C39" s="1">
        <v>0</v>
      </c>
      <c r="D39" s="1"/>
      <c r="E39" s="1">
        <v>0</v>
      </c>
      <c r="F39" s="313">
        <v>0</v>
      </c>
    </row>
    <row r="40" spans="2:6" x14ac:dyDescent="0.25">
      <c r="B40" s="7" t="s">
        <v>867</v>
      </c>
      <c r="C40" s="1">
        <v>87117</v>
      </c>
      <c r="D40" s="1"/>
      <c r="E40" s="1">
        <v>52370</v>
      </c>
      <c r="F40" s="313">
        <v>139487</v>
      </c>
    </row>
    <row r="41" spans="2:6" x14ac:dyDescent="0.25">
      <c r="B41" s="7" t="s">
        <v>868</v>
      </c>
      <c r="C41" s="1">
        <v>0</v>
      </c>
      <c r="D41" s="1"/>
      <c r="E41" s="1">
        <v>122565</v>
      </c>
      <c r="F41" s="313">
        <v>122565</v>
      </c>
    </row>
    <row r="42" spans="2:6" x14ac:dyDescent="0.25">
      <c r="B42" s="7" t="s">
        <v>869</v>
      </c>
      <c r="C42" s="1">
        <v>0</v>
      </c>
      <c r="D42" s="1"/>
      <c r="E42" s="1">
        <v>0</v>
      </c>
      <c r="F42" s="313">
        <v>0</v>
      </c>
    </row>
    <row r="43" spans="2:6" x14ac:dyDescent="0.25">
      <c r="B43" s="7" t="s">
        <v>870</v>
      </c>
      <c r="C43" s="1">
        <v>0</v>
      </c>
      <c r="D43" s="1"/>
      <c r="E43" s="1">
        <v>0</v>
      </c>
      <c r="F43" s="313">
        <v>0</v>
      </c>
    </row>
    <row r="44" spans="2:6" x14ac:dyDescent="0.25">
      <c r="B44" s="6" t="s">
        <v>981</v>
      </c>
      <c r="C44" s="1"/>
      <c r="D44" s="1"/>
      <c r="E44" s="1"/>
      <c r="F44" s="313"/>
    </row>
    <row r="45" spans="2:6" x14ac:dyDescent="0.25">
      <c r="B45" s="7" t="s">
        <v>978</v>
      </c>
      <c r="C45" s="1">
        <v>0</v>
      </c>
      <c r="D45" s="1"/>
      <c r="E45" s="1">
        <v>0</v>
      </c>
      <c r="F45" s="313">
        <v>0</v>
      </c>
    </row>
    <row r="46" spans="2:6" x14ac:dyDescent="0.25">
      <c r="B46" s="6" t="s">
        <v>982</v>
      </c>
      <c r="C46" s="1"/>
      <c r="D46" s="1"/>
      <c r="E46" s="1"/>
      <c r="F46" s="313"/>
    </row>
    <row r="47" spans="2:6" x14ac:dyDescent="0.25">
      <c r="B47" s="7" t="s">
        <v>891</v>
      </c>
      <c r="C47" s="1">
        <v>-966</v>
      </c>
      <c r="D47" s="1"/>
      <c r="E47" s="1">
        <v>7973667</v>
      </c>
      <c r="F47" s="313">
        <v>7972701</v>
      </c>
    </row>
    <row r="48" spans="2:6" x14ac:dyDescent="0.25">
      <c r="B48" s="7" t="s">
        <v>892</v>
      </c>
      <c r="C48" s="1">
        <v>0</v>
      </c>
      <c r="D48" s="1"/>
      <c r="E48" s="1">
        <v>0</v>
      </c>
      <c r="F48" s="313">
        <v>0</v>
      </c>
    </row>
    <row r="49" spans="2:8" x14ac:dyDescent="0.25">
      <c r="B49" s="7" t="s">
        <v>893</v>
      </c>
      <c r="C49" s="1">
        <v>0</v>
      </c>
      <c r="D49" s="1"/>
      <c r="E49" s="1">
        <v>0</v>
      </c>
      <c r="F49" s="313">
        <v>0</v>
      </c>
    </row>
    <row r="50" spans="2:8" x14ac:dyDescent="0.25">
      <c r="B50" s="7" t="s">
        <v>894</v>
      </c>
      <c r="C50" s="1">
        <v>0</v>
      </c>
      <c r="D50" s="1"/>
      <c r="E50" s="1">
        <v>0</v>
      </c>
      <c r="F50" s="313">
        <v>0</v>
      </c>
    </row>
    <row r="51" spans="2:8" x14ac:dyDescent="0.25">
      <c r="B51" s="7" t="s">
        <v>895</v>
      </c>
      <c r="C51" s="1">
        <v>0</v>
      </c>
      <c r="D51" s="1"/>
      <c r="E51" s="1">
        <v>0</v>
      </c>
      <c r="F51" s="313">
        <v>0</v>
      </c>
    </row>
    <row r="52" spans="2:8" x14ac:dyDescent="0.25">
      <c r="B52" s="7" t="s">
        <v>896</v>
      </c>
      <c r="C52" s="1">
        <v>0</v>
      </c>
      <c r="D52" s="1"/>
      <c r="E52" s="1">
        <v>0</v>
      </c>
      <c r="F52" s="313">
        <v>0</v>
      </c>
    </row>
    <row r="53" spans="2:8" x14ac:dyDescent="0.25">
      <c r="B53" s="7" t="s">
        <v>897</v>
      </c>
      <c r="C53" s="1">
        <v>0</v>
      </c>
      <c r="D53" s="1"/>
      <c r="E53" s="1">
        <v>0</v>
      </c>
      <c r="F53" s="313">
        <v>0</v>
      </c>
    </row>
    <row r="54" spans="2:8" x14ac:dyDescent="0.25">
      <c r="B54" s="7" t="s">
        <v>898</v>
      </c>
      <c r="C54" s="1">
        <v>0</v>
      </c>
      <c r="D54" s="1"/>
      <c r="E54" s="1">
        <v>0</v>
      </c>
      <c r="F54" s="313">
        <v>0</v>
      </c>
    </row>
    <row r="55" spans="2:8" x14ac:dyDescent="0.25">
      <c r="B55" s="7" t="s">
        <v>899</v>
      </c>
      <c r="C55" s="1">
        <v>0</v>
      </c>
      <c r="D55" s="1"/>
      <c r="E55" s="1">
        <v>0</v>
      </c>
      <c r="F55" s="313">
        <v>0</v>
      </c>
    </row>
    <row r="56" spans="2:8" x14ac:dyDescent="0.25">
      <c r="B56" s="7" t="s">
        <v>900</v>
      </c>
      <c r="C56" s="1">
        <v>0</v>
      </c>
      <c r="D56" s="1"/>
      <c r="E56" s="1">
        <v>0</v>
      </c>
      <c r="F56" s="313">
        <v>0</v>
      </c>
    </row>
    <row r="57" spans="2:8" x14ac:dyDescent="0.25">
      <c r="B57" s="7" t="s">
        <v>901</v>
      </c>
      <c r="C57" s="1">
        <v>0</v>
      </c>
      <c r="D57" s="1"/>
      <c r="E57" s="1">
        <v>0</v>
      </c>
      <c r="F57" s="313">
        <v>0</v>
      </c>
    </row>
    <row r="58" spans="2:8" x14ac:dyDescent="0.25">
      <c r="B58" s="7" t="s">
        <v>902</v>
      </c>
      <c r="C58" s="1">
        <v>0</v>
      </c>
      <c r="D58" s="1"/>
      <c r="E58" s="1">
        <v>244148</v>
      </c>
      <c r="F58" s="313">
        <v>244148</v>
      </c>
    </row>
    <row r="59" spans="2:8" x14ac:dyDescent="0.25">
      <c r="B59" s="7" t="s">
        <v>903</v>
      </c>
      <c r="C59" s="1">
        <v>1063995</v>
      </c>
      <c r="D59" s="1"/>
      <c r="E59" s="1">
        <v>987</v>
      </c>
      <c r="F59" s="313">
        <v>1064982</v>
      </c>
    </row>
    <row r="60" spans="2:8" x14ac:dyDescent="0.25">
      <c r="B60" s="7" t="s">
        <v>904</v>
      </c>
      <c r="C60" s="1">
        <v>3369972</v>
      </c>
      <c r="D60" s="1"/>
      <c r="E60" s="1">
        <v>2877</v>
      </c>
      <c r="F60" s="313">
        <v>3372849</v>
      </c>
    </row>
    <row r="61" spans="2:8" x14ac:dyDescent="0.25">
      <c r="B61" s="7" t="s">
        <v>905</v>
      </c>
      <c r="C61" s="1">
        <v>0</v>
      </c>
      <c r="D61" s="1"/>
      <c r="E61" s="1">
        <v>1157</v>
      </c>
      <c r="F61" s="313">
        <v>1157</v>
      </c>
    </row>
    <row r="62" spans="2:8" s="138" customFormat="1" x14ac:dyDescent="0.25">
      <c r="B62" s="7" t="s">
        <v>906</v>
      </c>
      <c r="C62" s="1">
        <v>0</v>
      </c>
      <c r="D62" s="1"/>
      <c r="E62" s="1">
        <v>78</v>
      </c>
      <c r="F62" s="313">
        <v>78</v>
      </c>
      <c r="G62"/>
      <c r="H62"/>
    </row>
    <row r="63" spans="2:8" x14ac:dyDescent="0.25">
      <c r="B63" s="7" t="s">
        <v>907</v>
      </c>
      <c r="C63" s="1">
        <v>219788</v>
      </c>
      <c r="D63" s="1"/>
      <c r="E63" s="1">
        <v>187</v>
      </c>
      <c r="F63" s="313">
        <v>219975</v>
      </c>
    </row>
    <row r="64" spans="2:8" x14ac:dyDescent="0.25">
      <c r="B64" s="7" t="s">
        <v>908</v>
      </c>
      <c r="C64" s="1">
        <v>0</v>
      </c>
      <c r="D64" s="1"/>
      <c r="E64" s="1">
        <v>0</v>
      </c>
      <c r="F64" s="313">
        <v>0</v>
      </c>
    </row>
    <row r="65" spans="2:6" x14ac:dyDescent="0.25">
      <c r="B65" s="7" t="s">
        <v>909</v>
      </c>
      <c r="C65" s="1">
        <v>0</v>
      </c>
      <c r="D65" s="1"/>
      <c r="E65" s="1">
        <v>0</v>
      </c>
      <c r="F65" s="313">
        <v>0</v>
      </c>
    </row>
    <row r="66" spans="2:6" x14ac:dyDescent="0.25">
      <c r="B66" s="7" t="s">
        <v>910</v>
      </c>
      <c r="C66" s="1">
        <v>0</v>
      </c>
      <c r="D66" s="1"/>
      <c r="E66" s="1">
        <v>0</v>
      </c>
      <c r="F66" s="313">
        <v>0</v>
      </c>
    </row>
    <row r="67" spans="2:6" x14ac:dyDescent="0.25">
      <c r="B67" s="7" t="s">
        <v>911</v>
      </c>
      <c r="C67" s="1">
        <v>0</v>
      </c>
      <c r="D67" s="1"/>
      <c r="E67" s="1">
        <v>0</v>
      </c>
      <c r="F67" s="313">
        <v>0</v>
      </c>
    </row>
    <row r="68" spans="2:6" x14ac:dyDescent="0.25">
      <c r="B68" s="7" t="s">
        <v>912</v>
      </c>
      <c r="C68" s="1">
        <v>0</v>
      </c>
      <c r="D68" s="1"/>
      <c r="E68" s="1">
        <v>0</v>
      </c>
      <c r="F68" s="313">
        <v>0</v>
      </c>
    </row>
    <row r="69" spans="2:6" x14ac:dyDescent="0.25">
      <c r="B69" s="7" t="s">
        <v>913</v>
      </c>
      <c r="C69" s="1"/>
      <c r="D69" s="1"/>
      <c r="E69" s="1">
        <v>0</v>
      </c>
      <c r="F69" s="313">
        <v>0</v>
      </c>
    </row>
    <row r="70" spans="2:6" x14ac:dyDescent="0.25">
      <c r="B70" s="7" t="s">
        <v>914</v>
      </c>
      <c r="C70" s="1">
        <v>0</v>
      </c>
      <c r="D70" s="1"/>
      <c r="E70" s="1">
        <v>0</v>
      </c>
      <c r="F70" s="313">
        <v>0</v>
      </c>
    </row>
    <row r="71" spans="2:6" x14ac:dyDescent="0.25">
      <c r="B71" s="7" t="s">
        <v>915</v>
      </c>
      <c r="C71" s="1">
        <v>0</v>
      </c>
      <c r="D71" s="1">
        <v>0</v>
      </c>
      <c r="E71" s="1">
        <v>6058</v>
      </c>
      <c r="F71" s="313">
        <v>6058</v>
      </c>
    </row>
    <row r="72" spans="2:6" x14ac:dyDescent="0.25">
      <c r="B72" s="7" t="s">
        <v>916</v>
      </c>
      <c r="C72" s="1"/>
      <c r="D72" s="1"/>
      <c r="E72" s="1">
        <v>203432</v>
      </c>
      <c r="F72" s="313">
        <v>203432</v>
      </c>
    </row>
    <row r="73" spans="2:6" x14ac:dyDescent="0.25">
      <c r="B73" s="7" t="s">
        <v>917</v>
      </c>
      <c r="C73" s="1">
        <v>0</v>
      </c>
      <c r="D73" s="1"/>
      <c r="E73" s="1">
        <v>0</v>
      </c>
      <c r="F73" s="313">
        <v>0</v>
      </c>
    </row>
    <row r="74" spans="2:6" x14ac:dyDescent="0.25">
      <c r="B74" s="7" t="s">
        <v>918</v>
      </c>
      <c r="C74" s="1">
        <v>0</v>
      </c>
      <c r="D74" s="1"/>
      <c r="E74" s="1">
        <v>14385</v>
      </c>
      <c r="F74" s="313">
        <v>14385</v>
      </c>
    </row>
    <row r="75" spans="2:6" x14ac:dyDescent="0.25">
      <c r="B75" s="7" t="s">
        <v>919</v>
      </c>
      <c r="C75" s="1">
        <v>0</v>
      </c>
      <c r="D75" s="1"/>
      <c r="E75" s="1">
        <v>0</v>
      </c>
      <c r="F75" s="313">
        <v>0</v>
      </c>
    </row>
    <row r="76" spans="2:6" x14ac:dyDescent="0.25">
      <c r="B76" s="7" t="s">
        <v>920</v>
      </c>
      <c r="C76" s="1"/>
      <c r="D76" s="1"/>
      <c r="E76" s="1">
        <v>0</v>
      </c>
      <c r="F76" s="313">
        <v>0</v>
      </c>
    </row>
    <row r="77" spans="2:6" x14ac:dyDescent="0.25">
      <c r="B77" s="7" t="s">
        <v>921</v>
      </c>
      <c r="C77" s="1">
        <v>0</v>
      </c>
      <c r="D77" s="1"/>
      <c r="E77" s="1">
        <v>0</v>
      </c>
      <c r="F77" s="313">
        <v>0</v>
      </c>
    </row>
    <row r="78" spans="2:6" x14ac:dyDescent="0.25">
      <c r="B78" s="6" t="s">
        <v>983</v>
      </c>
      <c r="C78" s="1"/>
      <c r="D78" s="1"/>
      <c r="E78" s="1"/>
      <c r="F78" s="313"/>
    </row>
    <row r="79" spans="2:6" x14ac:dyDescent="0.25">
      <c r="B79" s="7" t="s">
        <v>923</v>
      </c>
      <c r="C79" s="1">
        <v>0</v>
      </c>
      <c r="D79" s="1">
        <v>0</v>
      </c>
      <c r="E79" s="1">
        <v>108074570</v>
      </c>
      <c r="F79" s="313">
        <v>108074570</v>
      </c>
    </row>
    <row r="80" spans="2:6" x14ac:dyDescent="0.25">
      <c r="B80" s="6" t="s">
        <v>984</v>
      </c>
      <c r="C80" s="1"/>
      <c r="D80" s="1"/>
      <c r="E80" s="1"/>
      <c r="F80" s="313"/>
    </row>
    <row r="81" spans="2:6" x14ac:dyDescent="0.25">
      <c r="B81" s="7" t="s">
        <v>922</v>
      </c>
      <c r="C81" s="1">
        <v>0</v>
      </c>
      <c r="D81" s="1">
        <v>0</v>
      </c>
      <c r="E81" s="1">
        <v>86079840</v>
      </c>
      <c r="F81" s="313">
        <v>86079840</v>
      </c>
    </row>
    <row r="82" spans="2:6" x14ac:dyDescent="0.25">
      <c r="B82" s="6" t="s">
        <v>985</v>
      </c>
      <c r="C82" s="1"/>
      <c r="D82" s="1"/>
      <c r="E82" s="1"/>
      <c r="F82" s="313"/>
    </row>
    <row r="83" spans="2:6" x14ac:dyDescent="0.25">
      <c r="B83" s="7" t="s">
        <v>871</v>
      </c>
      <c r="C83" s="1">
        <v>0</v>
      </c>
      <c r="D83" s="1">
        <v>0</v>
      </c>
      <c r="E83" s="1">
        <v>0</v>
      </c>
      <c r="F83" s="313">
        <v>0</v>
      </c>
    </row>
    <row r="84" spans="2:6" x14ac:dyDescent="0.25">
      <c r="B84" s="7" t="s">
        <v>872</v>
      </c>
      <c r="C84" s="1">
        <v>0</v>
      </c>
      <c r="D84" s="1"/>
      <c r="E84" s="1">
        <v>0</v>
      </c>
      <c r="F84" s="313">
        <v>0</v>
      </c>
    </row>
    <row r="85" spans="2:6" x14ac:dyDescent="0.25">
      <c r="B85" s="7" t="s">
        <v>875</v>
      </c>
      <c r="C85" s="1">
        <v>1710552</v>
      </c>
      <c r="D85" s="1"/>
      <c r="E85" s="1">
        <v>2860922</v>
      </c>
      <c r="F85" s="313">
        <v>4571474</v>
      </c>
    </row>
    <row r="86" spans="2:6" x14ac:dyDescent="0.25">
      <c r="B86" s="7" t="s">
        <v>876</v>
      </c>
      <c r="C86" s="1">
        <v>3048</v>
      </c>
      <c r="D86" s="1"/>
      <c r="E86" s="1">
        <v>7554</v>
      </c>
      <c r="F86" s="313">
        <v>10602</v>
      </c>
    </row>
    <row r="87" spans="2:6" x14ac:dyDescent="0.25">
      <c r="B87" s="7" t="s">
        <v>877</v>
      </c>
      <c r="C87" s="1">
        <v>9355</v>
      </c>
      <c r="D87" s="1"/>
      <c r="E87" s="1">
        <v>23300</v>
      </c>
      <c r="F87" s="313">
        <v>32655</v>
      </c>
    </row>
    <row r="88" spans="2:6" x14ac:dyDescent="0.25">
      <c r="B88" s="7" t="s">
        <v>878</v>
      </c>
      <c r="C88" s="1">
        <v>3794</v>
      </c>
      <c r="D88" s="1"/>
      <c r="E88" s="1">
        <v>9403</v>
      </c>
      <c r="F88" s="313">
        <v>13197</v>
      </c>
    </row>
    <row r="89" spans="2:6" x14ac:dyDescent="0.25">
      <c r="B89" s="7" t="s">
        <v>879</v>
      </c>
      <c r="C89" s="1">
        <v>260</v>
      </c>
      <c r="D89" s="1"/>
      <c r="E89" s="1">
        <v>639</v>
      </c>
      <c r="F89" s="313">
        <v>899</v>
      </c>
    </row>
    <row r="90" spans="2:6" x14ac:dyDescent="0.25">
      <c r="B90" s="7" t="s">
        <v>880</v>
      </c>
      <c r="C90" s="1">
        <v>689</v>
      </c>
      <c r="D90" s="1"/>
      <c r="E90" s="1">
        <v>1598</v>
      </c>
      <c r="F90" s="313">
        <v>2287</v>
      </c>
    </row>
    <row r="91" spans="2:6" x14ac:dyDescent="0.25">
      <c r="B91" s="7" t="s">
        <v>881</v>
      </c>
      <c r="C91" s="1"/>
      <c r="D91" s="1"/>
      <c r="E91" s="1">
        <v>0</v>
      </c>
      <c r="F91" s="313">
        <v>0</v>
      </c>
    </row>
    <row r="92" spans="2:6" x14ac:dyDescent="0.25">
      <c r="B92" s="7" t="s">
        <v>1256</v>
      </c>
      <c r="C92" s="1"/>
      <c r="D92" s="1"/>
      <c r="E92" s="1">
        <v>0</v>
      </c>
      <c r="F92" s="313">
        <v>0</v>
      </c>
    </row>
    <row r="93" spans="2:6" x14ac:dyDescent="0.25">
      <c r="B93" s="7" t="s">
        <v>882</v>
      </c>
      <c r="C93" s="1">
        <v>546</v>
      </c>
      <c r="D93" s="1"/>
      <c r="E93" s="1">
        <v>546</v>
      </c>
      <c r="F93" s="313">
        <v>1092</v>
      </c>
    </row>
    <row r="94" spans="2:6" x14ac:dyDescent="0.25">
      <c r="B94" s="7" t="s">
        <v>883</v>
      </c>
      <c r="C94" s="1">
        <v>0</v>
      </c>
      <c r="D94" s="1"/>
      <c r="E94" s="1">
        <v>0</v>
      </c>
      <c r="F94" s="313">
        <v>0</v>
      </c>
    </row>
    <row r="95" spans="2:6" x14ac:dyDescent="0.25">
      <c r="B95" s="7" t="s">
        <v>884</v>
      </c>
      <c r="C95" s="1">
        <v>0</v>
      </c>
      <c r="D95" s="1"/>
      <c r="E95" s="1">
        <v>132573</v>
      </c>
      <c r="F95" s="313">
        <v>132573</v>
      </c>
    </row>
    <row r="96" spans="2:6" x14ac:dyDescent="0.25">
      <c r="B96" s="7" t="s">
        <v>885</v>
      </c>
      <c r="C96" s="1">
        <v>0</v>
      </c>
      <c r="D96" s="1"/>
      <c r="E96" s="1">
        <v>0</v>
      </c>
      <c r="F96" s="313">
        <v>0</v>
      </c>
    </row>
    <row r="97" spans="2:6" x14ac:dyDescent="0.25">
      <c r="B97" s="7" t="s">
        <v>886</v>
      </c>
      <c r="C97" s="1">
        <v>0</v>
      </c>
      <c r="D97" s="1"/>
      <c r="E97" s="1">
        <v>1</v>
      </c>
      <c r="F97" s="313">
        <v>1</v>
      </c>
    </row>
    <row r="98" spans="2:6" x14ac:dyDescent="0.25">
      <c r="B98" s="7" t="s">
        <v>887</v>
      </c>
      <c r="C98" s="1">
        <v>0</v>
      </c>
      <c r="D98" s="1"/>
      <c r="E98" s="1">
        <v>752756</v>
      </c>
      <c r="F98" s="313">
        <v>752756</v>
      </c>
    </row>
    <row r="99" spans="2:6" x14ac:dyDescent="0.25">
      <c r="B99" s="7" t="s">
        <v>888</v>
      </c>
      <c r="C99" s="1">
        <v>0</v>
      </c>
      <c r="D99" s="1"/>
      <c r="E99" s="1">
        <v>0</v>
      </c>
      <c r="F99" s="313">
        <v>0</v>
      </c>
    </row>
    <row r="100" spans="2:6" x14ac:dyDescent="0.25">
      <c r="B100" s="7" t="s">
        <v>889</v>
      </c>
      <c r="C100" s="1">
        <v>203030</v>
      </c>
      <c r="D100" s="1"/>
      <c r="E100" s="1">
        <v>202730</v>
      </c>
      <c r="F100" s="313">
        <v>405760</v>
      </c>
    </row>
    <row r="101" spans="2:6" x14ac:dyDescent="0.25">
      <c r="B101" s="7" t="s">
        <v>890</v>
      </c>
      <c r="C101" s="1">
        <v>-141936</v>
      </c>
      <c r="D101" s="1"/>
      <c r="E101" s="1">
        <v>-4458</v>
      </c>
      <c r="F101" s="313">
        <v>-146394</v>
      </c>
    </row>
    <row r="102" spans="2:6" x14ac:dyDescent="0.25">
      <c r="B102" s="6" t="s">
        <v>986</v>
      </c>
      <c r="C102" s="1"/>
      <c r="D102" s="1"/>
      <c r="E102" s="1"/>
      <c r="F102" s="313"/>
    </row>
    <row r="103" spans="2:6" x14ac:dyDescent="0.25">
      <c r="B103" s="7" t="s">
        <v>969</v>
      </c>
      <c r="C103" s="1">
        <v>0</v>
      </c>
      <c r="D103" s="1">
        <v>0</v>
      </c>
      <c r="E103" s="1">
        <v>126859046</v>
      </c>
      <c r="F103" s="313">
        <v>126859046</v>
      </c>
    </row>
    <row r="104" spans="2:6" x14ac:dyDescent="0.25">
      <c r="B104" s="7" t="s">
        <v>970</v>
      </c>
      <c r="C104" s="1">
        <v>0</v>
      </c>
      <c r="D104" s="1"/>
      <c r="E104" s="1">
        <v>0</v>
      </c>
      <c r="F104" s="313">
        <v>0</v>
      </c>
    </row>
    <row r="105" spans="2:6" x14ac:dyDescent="0.25">
      <c r="B105" s="6" t="s">
        <v>987</v>
      </c>
      <c r="C105" s="1"/>
      <c r="D105" s="1"/>
      <c r="E105" s="1"/>
      <c r="F105" s="313"/>
    </row>
    <row r="106" spans="2:6" x14ac:dyDescent="0.25">
      <c r="B106" s="7" t="s">
        <v>976</v>
      </c>
      <c r="C106" s="1">
        <v>0</v>
      </c>
      <c r="D106" s="1">
        <v>0</v>
      </c>
      <c r="E106" s="1">
        <v>287367650</v>
      </c>
      <c r="F106" s="313">
        <v>287367650</v>
      </c>
    </row>
    <row r="107" spans="2:6" x14ac:dyDescent="0.25">
      <c r="B107" s="6" t="s">
        <v>988</v>
      </c>
      <c r="C107" s="1"/>
      <c r="D107" s="1"/>
      <c r="E107" s="1"/>
      <c r="F107" s="313"/>
    </row>
    <row r="108" spans="2:6" x14ac:dyDescent="0.25">
      <c r="B108" s="7" t="s">
        <v>971</v>
      </c>
      <c r="C108" s="1">
        <v>0</v>
      </c>
      <c r="D108" s="1">
        <v>0</v>
      </c>
      <c r="E108" s="1">
        <v>9788760</v>
      </c>
      <c r="F108" s="313">
        <v>9788760</v>
      </c>
    </row>
    <row r="109" spans="2:6" x14ac:dyDescent="0.25">
      <c r="B109" s="7" t="s">
        <v>972</v>
      </c>
      <c r="C109" s="1">
        <v>0</v>
      </c>
      <c r="D109" s="1"/>
      <c r="E109" s="1">
        <v>22740042</v>
      </c>
      <c r="F109" s="313">
        <v>22740042</v>
      </c>
    </row>
    <row r="110" spans="2:6" x14ac:dyDescent="0.25">
      <c r="B110" s="7" t="s">
        <v>973</v>
      </c>
      <c r="C110" s="1">
        <v>0</v>
      </c>
      <c r="D110" s="1"/>
      <c r="E110" s="1">
        <v>38081796</v>
      </c>
      <c r="F110" s="313">
        <v>38081796</v>
      </c>
    </row>
    <row r="111" spans="2:6" x14ac:dyDescent="0.25">
      <c r="B111" s="7" t="s">
        <v>974</v>
      </c>
      <c r="C111" s="1"/>
      <c r="D111" s="1"/>
      <c r="E111" s="1">
        <v>49142848</v>
      </c>
      <c r="F111" s="313">
        <v>49142848</v>
      </c>
    </row>
    <row r="112" spans="2:6" x14ac:dyDescent="0.25">
      <c r="B112" s="7" t="s">
        <v>975</v>
      </c>
      <c r="C112" s="1"/>
      <c r="D112" s="1"/>
      <c r="E112" s="1">
        <v>0</v>
      </c>
      <c r="F112" s="313">
        <v>0</v>
      </c>
    </row>
    <row r="113" spans="2:6" x14ac:dyDescent="0.25">
      <c r="B113" s="6" t="s">
        <v>989</v>
      </c>
      <c r="C113" s="1"/>
      <c r="D113" s="1"/>
      <c r="E113" s="1"/>
      <c r="F113" s="313"/>
    </row>
    <row r="114" spans="2:6" x14ac:dyDescent="0.25">
      <c r="B114" s="7" t="s">
        <v>977</v>
      </c>
      <c r="C114" s="1">
        <v>0</v>
      </c>
      <c r="D114" s="1">
        <v>0</v>
      </c>
      <c r="E114" s="1">
        <v>0</v>
      </c>
      <c r="F114" s="313">
        <v>0</v>
      </c>
    </row>
    <row r="115" spans="2:6" x14ac:dyDescent="0.25">
      <c r="B115" s="6" t="s">
        <v>990</v>
      </c>
      <c r="C115" s="1"/>
      <c r="D115" s="1"/>
      <c r="E115" s="1"/>
      <c r="F115" s="313"/>
    </row>
    <row r="116" spans="2:6" x14ac:dyDescent="0.25">
      <c r="B116" s="7" t="s">
        <v>979</v>
      </c>
      <c r="C116" s="1">
        <v>0</v>
      </c>
      <c r="D116" s="1"/>
      <c r="E116" s="1">
        <v>0</v>
      </c>
      <c r="F116" s="313">
        <v>0</v>
      </c>
    </row>
    <row r="117" spans="2:6" x14ac:dyDescent="0.25">
      <c r="B117" s="6" t="s">
        <v>991</v>
      </c>
      <c r="C117" s="1"/>
      <c r="D117" s="1"/>
      <c r="E117" s="1"/>
      <c r="F117" s="313"/>
    </row>
    <row r="118" spans="2:6" x14ac:dyDescent="0.25">
      <c r="B118" s="7" t="s">
        <v>924</v>
      </c>
      <c r="C118" s="1">
        <v>0</v>
      </c>
      <c r="D118" s="1"/>
      <c r="E118" s="1">
        <v>0</v>
      </c>
      <c r="F118" s="313">
        <v>0</v>
      </c>
    </row>
    <row r="119" spans="2:6" x14ac:dyDescent="0.25">
      <c r="B119" s="7" t="s">
        <v>925</v>
      </c>
      <c r="C119" s="1">
        <v>0</v>
      </c>
      <c r="D119" s="1">
        <v>0</v>
      </c>
      <c r="E119" s="1">
        <v>456726</v>
      </c>
      <c r="F119" s="313">
        <v>456726</v>
      </c>
    </row>
    <row r="120" spans="2:6" x14ac:dyDescent="0.25">
      <c r="B120" s="7" t="s">
        <v>926</v>
      </c>
      <c r="C120" s="1">
        <v>0</v>
      </c>
      <c r="D120" s="1"/>
      <c r="E120" s="1">
        <v>57752</v>
      </c>
      <c r="F120" s="313">
        <v>57752</v>
      </c>
    </row>
    <row r="121" spans="2:6" x14ac:dyDescent="0.25">
      <c r="B121" s="7" t="s">
        <v>927</v>
      </c>
      <c r="C121" s="1">
        <v>0</v>
      </c>
      <c r="D121" s="1"/>
      <c r="E121" s="1">
        <v>174331</v>
      </c>
      <c r="F121" s="313">
        <v>174331</v>
      </c>
    </row>
    <row r="122" spans="2:6" x14ac:dyDescent="0.25">
      <c r="B122" s="7" t="s">
        <v>928</v>
      </c>
      <c r="C122" s="1">
        <v>0</v>
      </c>
      <c r="D122" s="1"/>
      <c r="E122" s="1">
        <v>9583984</v>
      </c>
      <c r="F122" s="313">
        <v>9583984</v>
      </c>
    </row>
    <row r="123" spans="2:6" x14ac:dyDescent="0.25">
      <c r="B123" s="7" t="s">
        <v>929</v>
      </c>
      <c r="C123" s="1">
        <v>0</v>
      </c>
      <c r="D123" s="1"/>
      <c r="E123" s="1">
        <v>0</v>
      </c>
      <c r="F123" s="313">
        <v>0</v>
      </c>
    </row>
    <row r="124" spans="2:6" x14ac:dyDescent="0.25">
      <c r="B124" s="7" t="s">
        <v>930</v>
      </c>
      <c r="C124" s="1">
        <v>0</v>
      </c>
      <c r="D124" s="1"/>
      <c r="E124" s="1">
        <v>458474</v>
      </c>
      <c r="F124" s="313">
        <v>458474</v>
      </c>
    </row>
    <row r="125" spans="2:6" x14ac:dyDescent="0.25">
      <c r="B125" s="7" t="s">
        <v>931</v>
      </c>
      <c r="C125" s="1">
        <v>0</v>
      </c>
      <c r="D125" s="1"/>
      <c r="E125" s="1">
        <v>-9583984</v>
      </c>
      <c r="F125" s="313">
        <v>-9583984</v>
      </c>
    </row>
    <row r="126" spans="2:6" x14ac:dyDescent="0.25">
      <c r="B126" s="7" t="s">
        <v>932</v>
      </c>
      <c r="C126" s="1">
        <v>0</v>
      </c>
      <c r="D126" s="1"/>
      <c r="E126" s="1">
        <v>-458474</v>
      </c>
      <c r="F126" s="313">
        <v>-458474</v>
      </c>
    </row>
    <row r="127" spans="2:6" x14ac:dyDescent="0.25">
      <c r="B127" s="6" t="s">
        <v>992</v>
      </c>
      <c r="C127" s="1"/>
      <c r="D127" s="1"/>
      <c r="E127" s="1"/>
      <c r="F127" s="313"/>
    </row>
    <row r="128" spans="2:6" x14ac:dyDescent="0.25">
      <c r="B128" s="7" t="s">
        <v>830</v>
      </c>
      <c r="C128" s="1">
        <v>0</v>
      </c>
      <c r="D128" s="1">
        <v>0</v>
      </c>
      <c r="E128" s="1">
        <v>0</v>
      </c>
      <c r="F128" s="313">
        <v>0</v>
      </c>
    </row>
    <row r="129" spans="2:6" x14ac:dyDescent="0.25">
      <c r="B129" s="7" t="s">
        <v>831</v>
      </c>
      <c r="C129" s="1">
        <v>0</v>
      </c>
      <c r="D129" s="1"/>
      <c r="E129" s="1">
        <v>42788647</v>
      </c>
      <c r="F129" s="313">
        <v>42788647</v>
      </c>
    </row>
    <row r="130" spans="2:6" x14ac:dyDescent="0.25">
      <c r="B130" s="7" t="s">
        <v>832</v>
      </c>
      <c r="C130" s="1">
        <v>0</v>
      </c>
      <c r="D130" s="1"/>
      <c r="E130" s="1">
        <v>186634896</v>
      </c>
      <c r="F130" s="313">
        <v>186634896</v>
      </c>
    </row>
    <row r="131" spans="2:6" x14ac:dyDescent="0.25">
      <c r="B131" s="7" t="s">
        <v>833</v>
      </c>
      <c r="C131" s="1"/>
      <c r="D131" s="1"/>
      <c r="E131" s="1">
        <v>495600</v>
      </c>
      <c r="F131" s="313">
        <v>495600</v>
      </c>
    </row>
    <row r="132" spans="2:6" x14ac:dyDescent="0.25">
      <c r="B132" s="7" t="s">
        <v>834</v>
      </c>
      <c r="C132" s="1"/>
      <c r="D132" s="1"/>
      <c r="E132" s="1">
        <v>203177937</v>
      </c>
      <c r="F132" s="313">
        <v>203177937</v>
      </c>
    </row>
    <row r="133" spans="2:6" x14ac:dyDescent="0.25">
      <c r="B133" s="7" t="s">
        <v>835</v>
      </c>
      <c r="C133" s="1"/>
      <c r="D133" s="1"/>
      <c r="E133" s="1">
        <v>949895</v>
      </c>
      <c r="F133" s="313">
        <v>949895</v>
      </c>
    </row>
    <row r="134" spans="2:6" x14ac:dyDescent="0.25">
      <c r="B134" s="7" t="s">
        <v>836</v>
      </c>
      <c r="C134" s="1">
        <v>0</v>
      </c>
      <c r="D134" s="1"/>
      <c r="E134" s="1">
        <v>13442163</v>
      </c>
      <c r="F134" s="313">
        <v>13442163</v>
      </c>
    </row>
    <row r="135" spans="2:6" x14ac:dyDescent="0.25">
      <c r="B135" s="7" t="s">
        <v>837</v>
      </c>
      <c r="C135" s="1">
        <v>0</v>
      </c>
      <c r="D135" s="1"/>
      <c r="E135" s="1"/>
      <c r="F135" s="313">
        <v>0</v>
      </c>
    </row>
    <row r="136" spans="2:6" x14ac:dyDescent="0.25">
      <c r="B136" s="7" t="s">
        <v>291</v>
      </c>
      <c r="C136" s="1">
        <v>0</v>
      </c>
      <c r="D136" s="1"/>
      <c r="E136" s="1"/>
      <c r="F136" s="313">
        <v>0</v>
      </c>
    </row>
    <row r="137" spans="2:6" x14ac:dyDescent="0.25">
      <c r="B137" s="7" t="s">
        <v>838</v>
      </c>
      <c r="C137" s="1"/>
      <c r="D137" s="1"/>
      <c r="E137" s="1">
        <v>35931</v>
      </c>
      <c r="F137" s="313">
        <v>35931</v>
      </c>
    </row>
    <row r="138" spans="2:6" x14ac:dyDescent="0.25">
      <c r="B138" s="7" t="s">
        <v>839</v>
      </c>
      <c r="C138" s="1"/>
      <c r="D138" s="1"/>
      <c r="E138" s="1">
        <v>13182633</v>
      </c>
      <c r="F138" s="313">
        <v>13182633</v>
      </c>
    </row>
    <row r="139" spans="2:6" x14ac:dyDescent="0.25">
      <c r="B139" s="7" t="s">
        <v>292</v>
      </c>
      <c r="C139" s="1">
        <v>0</v>
      </c>
      <c r="D139" s="1"/>
      <c r="E139" s="1"/>
      <c r="F139" s="313">
        <v>0</v>
      </c>
    </row>
    <row r="140" spans="2:6" x14ac:dyDescent="0.25">
      <c r="B140" s="7" t="s">
        <v>840</v>
      </c>
      <c r="C140" s="1">
        <v>0</v>
      </c>
      <c r="D140" s="1"/>
      <c r="E140" s="1"/>
      <c r="F140" s="313">
        <v>0</v>
      </c>
    </row>
    <row r="141" spans="2:6" x14ac:dyDescent="0.25">
      <c r="B141" s="7" t="s">
        <v>841</v>
      </c>
      <c r="C141" s="1">
        <v>0</v>
      </c>
      <c r="D141" s="1"/>
      <c r="E141" s="1"/>
      <c r="F141" s="313">
        <v>0</v>
      </c>
    </row>
    <row r="142" spans="2:6" x14ac:dyDescent="0.25">
      <c r="B142" s="7" t="s">
        <v>842</v>
      </c>
      <c r="C142" s="1">
        <v>0</v>
      </c>
      <c r="D142" s="1"/>
      <c r="E142" s="1">
        <v>4160</v>
      </c>
      <c r="F142" s="313">
        <v>4160</v>
      </c>
    </row>
    <row r="143" spans="2:6" x14ac:dyDescent="0.25">
      <c r="B143" s="7" t="s">
        <v>843</v>
      </c>
      <c r="C143" s="1">
        <v>0</v>
      </c>
      <c r="D143" s="1"/>
      <c r="E143" s="1"/>
      <c r="F143" s="313">
        <v>0</v>
      </c>
    </row>
    <row r="144" spans="2:6" x14ac:dyDescent="0.25">
      <c r="B144" s="7" t="s">
        <v>844</v>
      </c>
      <c r="C144" s="1"/>
      <c r="D144" s="1"/>
      <c r="E144" s="1">
        <v>733374</v>
      </c>
      <c r="F144" s="313">
        <v>733374</v>
      </c>
    </row>
    <row r="145" spans="2:6" x14ac:dyDescent="0.25">
      <c r="B145" s="7" t="s">
        <v>845</v>
      </c>
      <c r="C145" s="1">
        <v>0</v>
      </c>
      <c r="D145" s="1"/>
      <c r="E145" s="1">
        <v>385660455</v>
      </c>
      <c r="F145" s="313">
        <v>385660455</v>
      </c>
    </row>
    <row r="146" spans="2:6" x14ac:dyDescent="0.25">
      <c r="B146" s="7" t="s">
        <v>846</v>
      </c>
      <c r="C146" s="1">
        <v>0</v>
      </c>
      <c r="D146" s="1"/>
      <c r="E146" s="1">
        <v>8704699</v>
      </c>
      <c r="F146" s="313">
        <v>8704699</v>
      </c>
    </row>
    <row r="147" spans="2:6" x14ac:dyDescent="0.25">
      <c r="B147" s="7" t="s">
        <v>847</v>
      </c>
      <c r="C147" s="1">
        <v>0</v>
      </c>
      <c r="D147" s="1"/>
      <c r="E147" s="1">
        <v>0</v>
      </c>
      <c r="F147" s="313">
        <v>0</v>
      </c>
    </row>
    <row r="148" spans="2:6" x14ac:dyDescent="0.25">
      <c r="B148" s="7" t="s">
        <v>848</v>
      </c>
      <c r="C148" s="1">
        <v>0</v>
      </c>
      <c r="D148" s="1"/>
      <c r="E148" s="1">
        <v>0</v>
      </c>
      <c r="F148" s="313">
        <v>0</v>
      </c>
    </row>
    <row r="149" spans="2:6" x14ac:dyDescent="0.25">
      <c r="B149" s="7" t="s">
        <v>849</v>
      </c>
      <c r="C149" s="1">
        <v>0</v>
      </c>
      <c r="D149" s="1"/>
      <c r="E149" s="1">
        <v>0</v>
      </c>
      <c r="F149" s="313">
        <v>0</v>
      </c>
    </row>
    <row r="150" spans="2:6" x14ac:dyDescent="0.25">
      <c r="B150" s="7" t="s">
        <v>299</v>
      </c>
      <c r="C150" s="1">
        <v>0</v>
      </c>
      <c r="D150" s="1"/>
      <c r="E150" s="1">
        <v>-15659530</v>
      </c>
      <c r="F150" s="313">
        <v>-15659530</v>
      </c>
    </row>
    <row r="151" spans="2:6" x14ac:dyDescent="0.25">
      <c r="B151" s="7" t="s">
        <v>850</v>
      </c>
      <c r="C151" s="1">
        <v>0</v>
      </c>
      <c r="D151" s="1"/>
      <c r="E151" s="1">
        <v>-78560326</v>
      </c>
      <c r="F151" s="313">
        <v>-78560326</v>
      </c>
    </row>
    <row r="152" spans="2:6" x14ac:dyDescent="0.25">
      <c r="B152" s="7" t="s">
        <v>851</v>
      </c>
      <c r="C152" s="1">
        <v>0</v>
      </c>
      <c r="D152" s="1"/>
      <c r="E152" s="1">
        <v>-7416530</v>
      </c>
      <c r="F152" s="313">
        <v>-7416530</v>
      </c>
    </row>
    <row r="153" spans="2:6" x14ac:dyDescent="0.25">
      <c r="B153" s="7" t="s">
        <v>852</v>
      </c>
      <c r="C153" s="1">
        <v>0</v>
      </c>
      <c r="D153" s="1"/>
      <c r="E153" s="1">
        <v>-247800</v>
      </c>
      <c r="F153" s="313">
        <v>-247800</v>
      </c>
    </row>
    <row r="154" spans="2:6" x14ac:dyDescent="0.25">
      <c r="B154" s="7" t="s">
        <v>853</v>
      </c>
      <c r="C154" s="1">
        <v>0</v>
      </c>
      <c r="D154" s="1"/>
      <c r="E154" s="1">
        <v>-165231957</v>
      </c>
      <c r="F154" s="313">
        <v>-165231957</v>
      </c>
    </row>
    <row r="155" spans="2:6" x14ac:dyDescent="0.25">
      <c r="B155" s="7" t="s">
        <v>854</v>
      </c>
      <c r="C155" s="1">
        <v>0</v>
      </c>
      <c r="D155" s="1"/>
      <c r="E155" s="1">
        <v>-9249480</v>
      </c>
      <c r="F155" s="313">
        <v>-9249480</v>
      </c>
    </row>
    <row r="156" spans="2:6" x14ac:dyDescent="0.25">
      <c r="B156" s="7" t="s">
        <v>855</v>
      </c>
      <c r="C156" s="1">
        <v>0</v>
      </c>
      <c r="D156" s="1"/>
      <c r="E156" s="1">
        <v>-403772</v>
      </c>
      <c r="F156" s="313">
        <v>-403772</v>
      </c>
    </row>
    <row r="157" spans="2:6" x14ac:dyDescent="0.25">
      <c r="B157" s="7" t="s">
        <v>856</v>
      </c>
      <c r="C157" s="1">
        <v>0</v>
      </c>
      <c r="D157" s="1"/>
      <c r="E157" s="1">
        <v>-19864</v>
      </c>
      <c r="F157" s="313">
        <v>-19864</v>
      </c>
    </row>
    <row r="158" spans="2:6" x14ac:dyDescent="0.25">
      <c r="B158" s="7" t="s">
        <v>857</v>
      </c>
      <c r="C158" s="1">
        <v>0</v>
      </c>
      <c r="D158" s="1"/>
      <c r="E158" s="1">
        <v>0</v>
      </c>
      <c r="F158" s="313">
        <v>0</v>
      </c>
    </row>
    <row r="159" spans="2:6" x14ac:dyDescent="0.25">
      <c r="B159" s="7" t="s">
        <v>873</v>
      </c>
      <c r="C159" s="1"/>
      <c r="D159" s="1"/>
      <c r="E159" s="1">
        <v>2617618</v>
      </c>
      <c r="F159" s="313">
        <v>2617618</v>
      </c>
    </row>
    <row r="160" spans="2:6" x14ac:dyDescent="0.25">
      <c r="B160" s="7" t="s">
        <v>874</v>
      </c>
      <c r="C160" s="1"/>
      <c r="D160" s="1"/>
      <c r="E160" s="1">
        <v>47477</v>
      </c>
      <c r="F160" s="313">
        <v>47477</v>
      </c>
    </row>
    <row r="161" spans="2:6" x14ac:dyDescent="0.25">
      <c r="B161" s="6" t="s">
        <v>993</v>
      </c>
      <c r="C161" s="1"/>
      <c r="D161" s="1"/>
      <c r="E161" s="1"/>
      <c r="F161" s="313"/>
    </row>
    <row r="162" spans="2:6" x14ac:dyDescent="0.25">
      <c r="B162" s="7" t="s">
        <v>825</v>
      </c>
      <c r="C162" s="1">
        <v>0</v>
      </c>
      <c r="D162" s="1"/>
      <c r="E162" s="1">
        <v>11194633</v>
      </c>
      <c r="F162" s="313">
        <v>11194633</v>
      </c>
    </row>
    <row r="163" spans="2:6" x14ac:dyDescent="0.25">
      <c r="B163" s="7" t="s">
        <v>290</v>
      </c>
      <c r="C163" s="1">
        <v>0</v>
      </c>
      <c r="D163" s="1"/>
      <c r="E163" s="1">
        <v>83691916</v>
      </c>
      <c r="F163" s="313">
        <v>83691916</v>
      </c>
    </row>
    <row r="164" spans="2:6" x14ac:dyDescent="0.25">
      <c r="B164" s="7" t="s">
        <v>300</v>
      </c>
      <c r="C164" s="1">
        <v>0</v>
      </c>
      <c r="D164" s="1">
        <v>0</v>
      </c>
      <c r="E164" s="1">
        <v>14785023</v>
      </c>
      <c r="F164" s="313">
        <v>14785023</v>
      </c>
    </row>
    <row r="165" spans="2:6" x14ac:dyDescent="0.25">
      <c r="B165" s="7" t="s">
        <v>826</v>
      </c>
      <c r="C165" s="1"/>
      <c r="D165" s="1"/>
      <c r="E165" s="1">
        <v>14095050</v>
      </c>
      <c r="F165" s="313">
        <v>14095050</v>
      </c>
    </row>
    <row r="166" spans="2:6" x14ac:dyDescent="0.25">
      <c r="B166" s="7" t="s">
        <v>827</v>
      </c>
      <c r="C166" s="1">
        <v>0</v>
      </c>
      <c r="D166" s="1"/>
      <c r="E166" s="1">
        <v>-11194633</v>
      </c>
      <c r="F166" s="313">
        <v>-11194633</v>
      </c>
    </row>
    <row r="167" spans="2:6" x14ac:dyDescent="0.25">
      <c r="B167" s="7" t="s">
        <v>828</v>
      </c>
      <c r="C167" s="1">
        <v>0</v>
      </c>
      <c r="D167" s="1"/>
      <c r="E167" s="1">
        <v>-63403687</v>
      </c>
      <c r="F167" s="313">
        <v>-63403687</v>
      </c>
    </row>
    <row r="168" spans="2:6" x14ac:dyDescent="0.25">
      <c r="B168" s="7" t="s">
        <v>829</v>
      </c>
      <c r="C168" s="1">
        <v>0</v>
      </c>
      <c r="D168" s="1"/>
      <c r="E168" s="1">
        <v>-14074395</v>
      </c>
      <c r="F168" s="313">
        <v>-14074395</v>
      </c>
    </row>
  </sheetData>
  <pageMargins left="0.7" right="0.7" top="0.75" bottom="0.75" header="0.3" footer="0.3"/>
  <drawing r:id="rId3"/>
  <extLst>
    <ext xmlns:x14="http://schemas.microsoft.com/office/spreadsheetml/2009/9/main" uri="{A8765BA9-456A-4dab-B4F3-ACF838C121DE}">
      <x14:slicerList>
        <x14:slicer r:id="rId4"/>
      </x14:slicerList>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00B0F0"/>
    <pageSetUpPr fitToPage="1"/>
  </sheetPr>
  <dimension ref="A1:AYH36"/>
  <sheetViews>
    <sheetView workbookViewId="0">
      <selection activeCell="J10" sqref="J10"/>
    </sheetView>
  </sheetViews>
  <sheetFormatPr defaultRowHeight="15" x14ac:dyDescent="0.25"/>
  <cols>
    <col min="1" max="1" width="12" style="2" customWidth="1"/>
    <col min="2" max="2" width="39.85546875" customWidth="1"/>
    <col min="3" max="3" width="10.85546875" bestFit="1" customWidth="1"/>
    <col min="4" max="4" width="22.28515625" hidden="1" customWidth="1"/>
    <col min="5" max="5" width="9.7109375" customWidth="1"/>
    <col min="6" max="6" width="22.28515625" hidden="1" customWidth="1"/>
    <col min="7" max="7" width="9.5703125" customWidth="1"/>
    <col min="8" max="8" width="22.28515625" hidden="1" customWidth="1"/>
    <col min="9" max="9" width="9.85546875" customWidth="1"/>
    <col min="10" max="10" width="14.42578125" customWidth="1"/>
    <col min="11" max="11" width="14" customWidth="1"/>
    <col min="12" max="13" width="6.85546875" bestFit="1" customWidth="1"/>
    <col min="14" max="14" width="9.5703125" bestFit="1" customWidth="1"/>
    <col min="15" max="17" width="6.85546875" bestFit="1" customWidth="1"/>
    <col min="18" max="18" width="11.28515625" bestFit="1" customWidth="1"/>
    <col min="19" max="19" width="5.85546875" bestFit="1" customWidth="1"/>
    <col min="20" max="20" width="6.7109375" bestFit="1" customWidth="1"/>
    <col min="21" max="21" width="6.28515625" bestFit="1" customWidth="1"/>
    <col min="22" max="22" width="6.140625" bestFit="1" customWidth="1"/>
    <col min="23" max="23" width="6.7109375" bestFit="1" customWidth="1"/>
    <col min="24" max="24" width="6.42578125" bestFit="1" customWidth="1"/>
    <col min="25" max="25" width="6.140625" bestFit="1" customWidth="1"/>
    <col min="26" max="26" width="6.85546875" bestFit="1" customWidth="1"/>
    <col min="27" max="29" width="6.7109375" bestFit="1" customWidth="1"/>
    <col min="30" max="30" width="6.85546875" bestFit="1" customWidth="1"/>
    <col min="31" max="32" width="6.7109375" bestFit="1" customWidth="1"/>
    <col min="33" max="33" width="5.85546875" bestFit="1" customWidth="1"/>
    <col min="34" max="34" width="6.7109375" bestFit="1" customWidth="1"/>
    <col min="35" max="35" width="6.28515625" bestFit="1" customWidth="1"/>
    <col min="36" max="36" width="6.140625" bestFit="1" customWidth="1"/>
    <col min="37" max="37" width="6.7109375" bestFit="1" customWidth="1"/>
    <col min="38" max="38" width="6.42578125" bestFit="1" customWidth="1"/>
    <col min="39" max="39" width="6.140625" bestFit="1" customWidth="1"/>
    <col min="40" max="40" width="6.85546875" bestFit="1" customWidth="1"/>
    <col min="41" max="43" width="6.7109375" bestFit="1" customWidth="1"/>
    <col min="44" max="44" width="6.85546875" bestFit="1" customWidth="1"/>
    <col min="45" max="46" width="6.7109375" bestFit="1" customWidth="1"/>
    <col min="47" max="47" width="5.85546875" bestFit="1" customWidth="1"/>
    <col min="48" max="48" width="6.7109375" bestFit="1" customWidth="1"/>
    <col min="49" max="49" width="6.28515625" bestFit="1" customWidth="1"/>
    <col min="50" max="50" width="6.140625" bestFit="1" customWidth="1"/>
    <col min="51" max="51" width="6.7109375" bestFit="1" customWidth="1"/>
    <col min="52" max="52" width="6.42578125" bestFit="1" customWidth="1"/>
    <col min="53" max="53" width="6.140625" bestFit="1" customWidth="1"/>
    <col min="54" max="54" width="6.85546875" bestFit="1" customWidth="1"/>
    <col min="55" max="57" width="6.7109375" bestFit="1" customWidth="1"/>
    <col min="58" max="58" width="6.85546875" bestFit="1" customWidth="1"/>
    <col min="59" max="60" width="6.7109375" bestFit="1" customWidth="1"/>
    <col min="61" max="61" width="5.85546875" bestFit="1" customWidth="1"/>
    <col min="62" max="62" width="6.7109375" bestFit="1" customWidth="1"/>
    <col min="63" max="63" width="6.28515625" bestFit="1" customWidth="1"/>
    <col min="64" max="64" width="6.140625" bestFit="1" customWidth="1"/>
    <col min="65" max="65" width="6.7109375" bestFit="1" customWidth="1"/>
    <col min="66" max="66" width="6.42578125" bestFit="1" customWidth="1"/>
    <col min="67" max="67" width="6.140625" bestFit="1" customWidth="1"/>
    <col min="68" max="68" width="6.85546875" bestFit="1" customWidth="1"/>
    <col min="69" max="71" width="6.7109375" bestFit="1" customWidth="1"/>
    <col min="72" max="72" width="6.85546875" bestFit="1" customWidth="1"/>
    <col min="73" max="74" width="6.7109375" bestFit="1" customWidth="1"/>
    <col min="75" max="75" width="5.85546875" bestFit="1" customWidth="1"/>
    <col min="76" max="76" width="6.7109375" bestFit="1" customWidth="1"/>
    <col min="77" max="77" width="6.28515625" bestFit="1" customWidth="1"/>
    <col min="78" max="78" width="6.140625" bestFit="1" customWidth="1"/>
    <col min="79" max="79" width="6.7109375" bestFit="1" customWidth="1"/>
    <col min="80" max="80" width="6.42578125" bestFit="1" customWidth="1"/>
    <col min="81" max="81" width="6.140625" bestFit="1" customWidth="1"/>
    <col min="82" max="82" width="6.85546875" bestFit="1" customWidth="1"/>
    <col min="83" max="85" width="6.7109375" bestFit="1" customWidth="1"/>
    <col min="86" max="86" width="6.85546875" bestFit="1" customWidth="1"/>
    <col min="87" max="88" width="6.7109375" bestFit="1" customWidth="1"/>
    <col min="89" max="89" width="5.85546875" bestFit="1" customWidth="1"/>
    <col min="90" max="90" width="6.7109375" bestFit="1" customWidth="1"/>
    <col min="91" max="91" width="6.28515625" bestFit="1" customWidth="1"/>
    <col min="92" max="92" width="6.140625" bestFit="1" customWidth="1"/>
    <col min="93" max="93" width="6.7109375" bestFit="1" customWidth="1"/>
    <col min="94" max="94" width="6.42578125" bestFit="1" customWidth="1"/>
    <col min="95" max="95" width="6.140625" bestFit="1" customWidth="1"/>
    <col min="96" max="96" width="6.85546875" bestFit="1" customWidth="1"/>
    <col min="97" max="99" width="6.7109375" bestFit="1" customWidth="1"/>
    <col min="100" max="100" width="6.85546875" bestFit="1" customWidth="1"/>
    <col min="101" max="102" width="6.7109375" bestFit="1" customWidth="1"/>
    <col min="103" max="103" width="5.85546875" bestFit="1" customWidth="1"/>
    <col min="104" max="104" width="6.7109375" bestFit="1" customWidth="1"/>
    <col min="105" max="105" width="6.28515625" bestFit="1" customWidth="1"/>
    <col min="106" max="106" width="6.140625" bestFit="1" customWidth="1"/>
    <col min="107" max="107" width="6.7109375" bestFit="1" customWidth="1"/>
    <col min="108" max="108" width="6.42578125" bestFit="1" customWidth="1"/>
    <col min="109" max="109" width="6.140625" bestFit="1" customWidth="1"/>
    <col min="110" max="110" width="6.85546875" bestFit="1" customWidth="1"/>
    <col min="111" max="113" width="6.7109375" bestFit="1" customWidth="1"/>
    <col min="114" max="114" width="11.28515625" bestFit="1" customWidth="1"/>
  </cols>
  <sheetData>
    <row r="1" spans="1:1334" x14ac:dyDescent="0.25">
      <c r="A1" s="299" t="s">
        <v>289</v>
      </c>
      <c r="B1" s="303" t="s" vm="2782">
        <v>777</v>
      </c>
    </row>
    <row r="2" spans="1:1334" ht="39" customHeight="1" x14ac:dyDescent="0.25">
      <c r="A2"/>
    </row>
    <row r="3" spans="1:1334" x14ac:dyDescent="0.25">
      <c r="A3" s="298"/>
      <c r="B3" s="298"/>
      <c r="C3" s="299" t="s">
        <v>1349</v>
      </c>
      <c r="D3" s="299" t="s">
        <v>1348</v>
      </c>
      <c r="E3" s="298"/>
      <c r="F3" s="298"/>
      <c r="G3" s="298"/>
      <c r="H3" s="298"/>
      <c r="I3" s="298"/>
      <c r="J3" s="298"/>
      <c r="K3" s="298"/>
      <c r="L3" s="298"/>
      <c r="M3" s="298"/>
      <c r="N3" s="298"/>
      <c r="O3" s="298"/>
      <c r="P3" s="298"/>
      <c r="Q3" s="298"/>
      <c r="R3" s="298"/>
      <c r="S3" s="298"/>
      <c r="T3" s="298"/>
      <c r="U3" s="298"/>
      <c r="V3" s="298"/>
      <c r="W3" s="298"/>
      <c r="X3" s="298"/>
      <c r="Y3" s="298"/>
      <c r="Z3" s="298"/>
      <c r="AA3" s="298"/>
      <c r="AB3" s="298"/>
      <c r="AC3" s="298"/>
      <c r="AD3" s="298"/>
      <c r="AE3" s="298"/>
      <c r="AF3" s="298"/>
      <c r="AG3" s="298"/>
      <c r="AH3" s="298"/>
      <c r="AI3" s="298"/>
      <c r="AJ3" s="298"/>
      <c r="AK3" s="298"/>
      <c r="AL3" s="298"/>
      <c r="AM3" s="298"/>
      <c r="AN3" s="298"/>
      <c r="AO3" s="298"/>
      <c r="AP3" s="298"/>
      <c r="AQ3" s="298"/>
      <c r="AR3" s="298"/>
      <c r="AS3" s="298"/>
      <c r="AT3" s="298"/>
      <c r="AU3" s="298"/>
      <c r="AV3" s="298"/>
      <c r="AW3" s="298"/>
      <c r="AX3" s="298"/>
      <c r="AY3" s="298"/>
      <c r="AZ3" s="298"/>
      <c r="BA3" s="298"/>
      <c r="BB3" s="298"/>
      <c r="BC3" s="298"/>
      <c r="BD3" s="298"/>
      <c r="BE3" s="298"/>
      <c r="BF3" s="298"/>
      <c r="BG3" s="298"/>
      <c r="BH3" s="298"/>
      <c r="BI3" s="298"/>
      <c r="BJ3" s="298"/>
      <c r="BK3" s="298"/>
      <c r="BL3" s="298"/>
      <c r="BM3" s="298"/>
      <c r="BN3" s="298"/>
      <c r="BO3" s="298"/>
      <c r="BP3" s="298"/>
      <c r="BQ3" s="298"/>
      <c r="BR3" s="298"/>
      <c r="BS3" s="298"/>
      <c r="BT3" s="298"/>
      <c r="BU3" s="298"/>
      <c r="BV3" s="298"/>
      <c r="BW3" s="298"/>
      <c r="BX3" s="298"/>
      <c r="BY3" s="298"/>
      <c r="BZ3" s="298"/>
      <c r="CA3" s="298"/>
      <c r="CB3" s="298"/>
      <c r="CC3" s="298"/>
      <c r="CD3" s="298"/>
      <c r="CE3" s="298"/>
      <c r="CF3" s="298"/>
      <c r="CG3" s="298"/>
      <c r="CH3" s="298"/>
      <c r="CI3" s="298"/>
      <c r="CJ3" s="298"/>
      <c r="CK3" s="298"/>
      <c r="CL3" s="298"/>
      <c r="CM3" s="298"/>
      <c r="CN3" s="298"/>
      <c r="CO3" s="298"/>
      <c r="CP3" s="298"/>
      <c r="CQ3" s="298"/>
      <c r="CR3" s="298"/>
      <c r="CS3" s="298"/>
      <c r="CT3" s="298"/>
      <c r="CU3" s="298"/>
      <c r="CV3" s="298"/>
      <c r="CW3" s="298"/>
      <c r="CX3" s="298"/>
      <c r="CY3" s="298"/>
      <c r="CZ3" s="298"/>
      <c r="DA3" s="298"/>
      <c r="DB3" s="298"/>
      <c r="DC3" s="298"/>
      <c r="DD3" s="298"/>
      <c r="DE3" s="298"/>
      <c r="DF3" s="298"/>
      <c r="DG3" s="298"/>
      <c r="DH3" s="298"/>
      <c r="DI3" s="298"/>
      <c r="DJ3" s="298"/>
      <c r="DK3" s="298"/>
      <c r="DL3" s="298"/>
      <c r="DM3" s="298"/>
      <c r="DN3" s="298"/>
      <c r="DO3" s="298"/>
      <c r="DP3" s="298"/>
      <c r="DQ3" s="298"/>
      <c r="DR3" s="298"/>
      <c r="DS3" s="298"/>
      <c r="DT3" s="298"/>
      <c r="DU3" s="298"/>
      <c r="DV3" s="298"/>
      <c r="DW3" s="298"/>
      <c r="DX3" s="298"/>
      <c r="DY3" s="298"/>
      <c r="DZ3" s="298"/>
      <c r="EA3" s="298"/>
      <c r="EB3" s="298"/>
      <c r="EC3" s="298"/>
      <c r="ED3" s="298"/>
      <c r="EE3" s="298"/>
      <c r="EF3" s="298"/>
      <c r="EG3" s="298"/>
      <c r="EH3" s="298"/>
      <c r="EI3" s="298"/>
      <c r="EJ3" s="298"/>
      <c r="EK3" s="298"/>
      <c r="EL3" s="298"/>
      <c r="EM3" s="298"/>
      <c r="EN3" s="298"/>
      <c r="EO3" s="298"/>
      <c r="EP3" s="298"/>
      <c r="EQ3" s="298"/>
      <c r="ER3" s="298"/>
      <c r="ES3" s="298"/>
      <c r="ET3" s="298"/>
      <c r="EU3" s="298"/>
      <c r="EV3" s="298"/>
      <c r="EW3" s="298"/>
      <c r="EX3" s="298"/>
      <c r="EY3" s="298"/>
      <c r="EZ3" s="298"/>
      <c r="FA3" s="298"/>
      <c r="FB3" s="298"/>
      <c r="FC3" s="298"/>
      <c r="FD3" s="298"/>
      <c r="FE3" s="298"/>
      <c r="FF3" s="298"/>
      <c r="FG3" s="298"/>
      <c r="FH3" s="298"/>
      <c r="FI3" s="298"/>
      <c r="FJ3" s="298"/>
      <c r="FK3" s="298"/>
      <c r="FL3" s="298"/>
      <c r="FM3" s="298"/>
      <c r="FN3" s="298"/>
      <c r="FO3" s="298"/>
      <c r="FP3" s="298"/>
      <c r="FQ3" s="298"/>
      <c r="FR3" s="298"/>
      <c r="FS3" s="298"/>
      <c r="FT3" s="298"/>
      <c r="FU3" s="298"/>
      <c r="FV3" s="298"/>
      <c r="FW3" s="298"/>
      <c r="FX3" s="298"/>
      <c r="FY3" s="298"/>
      <c r="FZ3" s="298"/>
      <c r="GA3" s="298"/>
      <c r="GB3" s="298"/>
      <c r="GC3" s="298"/>
      <c r="GD3" s="298"/>
      <c r="GE3" s="298"/>
      <c r="GF3" s="298"/>
      <c r="GG3" s="298"/>
      <c r="GH3" s="298"/>
      <c r="GI3" s="298"/>
      <c r="GJ3" s="298"/>
      <c r="GK3" s="298"/>
      <c r="GL3" s="298"/>
      <c r="GM3" s="298"/>
      <c r="GN3" s="298"/>
      <c r="GO3" s="298"/>
      <c r="GP3" s="298"/>
      <c r="GQ3" s="298"/>
      <c r="GR3" s="298"/>
      <c r="GS3" s="298"/>
      <c r="GT3" s="298"/>
      <c r="GU3" s="298"/>
      <c r="GV3" s="298"/>
      <c r="GW3" s="298"/>
      <c r="GX3" s="298"/>
      <c r="GY3" s="298"/>
      <c r="GZ3" s="298"/>
      <c r="HA3" s="298"/>
      <c r="HB3" s="298"/>
      <c r="HC3" s="298"/>
      <c r="HD3" s="298"/>
      <c r="HE3" s="298"/>
      <c r="HF3" s="298"/>
      <c r="HG3" s="298"/>
      <c r="HH3" s="298"/>
      <c r="HI3" s="298"/>
      <c r="HJ3" s="298"/>
      <c r="HK3" s="298"/>
      <c r="HL3" s="298"/>
      <c r="HM3" s="298"/>
      <c r="HN3" s="298"/>
      <c r="HO3" s="298"/>
      <c r="HP3" s="298"/>
      <c r="HQ3" s="298"/>
      <c r="HR3" s="298"/>
      <c r="HS3" s="298"/>
      <c r="HT3" s="298"/>
      <c r="HU3" s="298"/>
      <c r="HV3" s="298"/>
      <c r="HW3" s="298"/>
      <c r="HX3" s="298"/>
      <c r="HY3" s="298"/>
      <c r="HZ3" s="298"/>
      <c r="IA3" s="298"/>
      <c r="IB3" s="298"/>
      <c r="IC3" s="298"/>
      <c r="ID3" s="298"/>
      <c r="IE3" s="298"/>
      <c r="IF3" s="298"/>
      <c r="IG3" s="298"/>
      <c r="IH3" s="298"/>
      <c r="II3" s="298"/>
      <c r="IJ3" s="298"/>
      <c r="IK3" s="298"/>
      <c r="IL3" s="298"/>
      <c r="IM3" s="298"/>
      <c r="IN3" s="298"/>
      <c r="IO3" s="298"/>
      <c r="IP3" s="298"/>
      <c r="IQ3" s="298"/>
      <c r="IR3" s="298"/>
      <c r="IS3" s="298"/>
      <c r="IT3" s="298"/>
      <c r="IU3" s="298"/>
      <c r="IV3" s="298"/>
      <c r="IW3" s="298"/>
      <c r="IX3" s="298"/>
      <c r="IY3" s="298"/>
      <c r="IZ3" s="298"/>
      <c r="JA3" s="298"/>
      <c r="JB3" s="298"/>
      <c r="JC3" s="298"/>
      <c r="JD3" s="298"/>
      <c r="JE3" s="298"/>
      <c r="JF3" s="298"/>
      <c r="JG3" s="298"/>
      <c r="JH3" s="298"/>
      <c r="JI3" s="298"/>
      <c r="JJ3" s="298"/>
      <c r="JK3" s="298"/>
      <c r="JL3" s="298"/>
      <c r="JM3" s="298"/>
      <c r="JN3" s="298"/>
      <c r="JO3" s="298"/>
      <c r="JP3" s="298"/>
      <c r="JQ3" s="298"/>
      <c r="JR3" s="298"/>
      <c r="JS3" s="298"/>
      <c r="JT3" s="298"/>
      <c r="JU3" s="298"/>
      <c r="JV3" s="298"/>
      <c r="JW3" s="298"/>
      <c r="JX3" s="298"/>
      <c r="JY3" s="298"/>
      <c r="JZ3" s="298"/>
      <c r="KA3" s="298"/>
      <c r="KB3" s="298"/>
      <c r="KC3" s="298"/>
      <c r="KD3" s="298"/>
      <c r="KE3" s="298"/>
      <c r="KF3" s="298"/>
      <c r="KG3" s="298"/>
      <c r="KH3" s="298"/>
      <c r="KI3" s="298"/>
      <c r="KJ3" s="298"/>
      <c r="KK3" s="298"/>
      <c r="KL3" s="298"/>
      <c r="KM3" s="298"/>
      <c r="KN3" s="298"/>
      <c r="KO3" s="298"/>
      <c r="KP3" s="298"/>
      <c r="KQ3" s="298"/>
      <c r="KR3" s="298"/>
      <c r="KS3" s="298"/>
      <c r="KT3" s="298"/>
      <c r="KU3" s="298"/>
      <c r="KV3" s="298"/>
      <c r="KW3" s="298"/>
      <c r="KX3" s="298"/>
      <c r="KY3" s="298"/>
      <c r="KZ3" s="298"/>
      <c r="LA3" s="298"/>
      <c r="LB3" s="298"/>
      <c r="LC3" s="298"/>
      <c r="LD3" s="298"/>
      <c r="LE3" s="298"/>
      <c r="LF3" s="298"/>
      <c r="LG3" s="298"/>
      <c r="LH3" s="298"/>
      <c r="LI3" s="298"/>
      <c r="LJ3" s="298"/>
      <c r="LK3" s="298"/>
      <c r="LL3" s="298"/>
      <c r="LM3" s="298"/>
      <c r="LN3" s="298"/>
      <c r="LO3" s="298"/>
      <c r="LP3" s="298"/>
      <c r="LQ3" s="298"/>
      <c r="LR3" s="298"/>
      <c r="LS3" s="298"/>
      <c r="LT3" s="298"/>
      <c r="LU3" s="298"/>
      <c r="LV3" s="298"/>
      <c r="LW3" s="298"/>
      <c r="LX3" s="298"/>
      <c r="LY3" s="298"/>
      <c r="LZ3" s="298"/>
      <c r="MA3" s="298"/>
      <c r="MB3" s="298"/>
      <c r="MC3" s="298"/>
      <c r="MD3" s="298"/>
      <c r="ME3" s="298"/>
      <c r="MF3" s="298"/>
      <c r="MG3" s="298"/>
      <c r="MH3" s="298"/>
      <c r="MI3" s="298"/>
      <c r="MJ3" s="298"/>
      <c r="MK3" s="298"/>
      <c r="ML3" s="298"/>
      <c r="MM3" s="298"/>
      <c r="MN3" s="298"/>
      <c r="MO3" s="298"/>
      <c r="MP3" s="298"/>
      <c r="MQ3" s="298"/>
      <c r="MR3" s="298"/>
      <c r="MS3" s="298"/>
      <c r="MT3" s="298"/>
      <c r="MU3" s="298"/>
      <c r="MV3" s="298"/>
      <c r="MW3" s="298"/>
      <c r="MX3" s="298"/>
      <c r="MY3" s="298"/>
      <c r="MZ3" s="298"/>
      <c r="NA3" s="298"/>
      <c r="NB3" s="298"/>
      <c r="NC3" s="298"/>
      <c r="ND3" s="298"/>
      <c r="NE3" s="298"/>
      <c r="NF3" s="298"/>
      <c r="NG3" s="298"/>
      <c r="NH3" s="298"/>
      <c r="NI3" s="298"/>
      <c r="NJ3" s="298"/>
      <c r="NK3" s="298"/>
      <c r="NL3" s="298"/>
      <c r="NM3" s="298"/>
      <c r="NN3" s="298"/>
      <c r="NO3" s="298"/>
      <c r="NP3" s="298"/>
      <c r="NQ3" s="298"/>
      <c r="NR3" s="298"/>
      <c r="NS3" s="298"/>
      <c r="NT3" s="298"/>
      <c r="NU3" s="298"/>
      <c r="NV3" s="298"/>
      <c r="NW3" s="298"/>
      <c r="NX3" s="298"/>
      <c r="NY3" s="298"/>
      <c r="NZ3" s="298"/>
      <c r="OA3" s="298"/>
      <c r="OB3" s="298"/>
      <c r="OC3" s="298"/>
      <c r="OD3" s="298"/>
      <c r="OE3" s="298"/>
      <c r="OF3" s="298"/>
      <c r="OG3" s="298"/>
      <c r="OH3" s="298"/>
      <c r="OI3" s="298"/>
      <c r="OJ3" s="298"/>
      <c r="OK3" s="298"/>
      <c r="OL3" s="298"/>
      <c r="OM3" s="298"/>
      <c r="ON3" s="298"/>
      <c r="OO3" s="298"/>
      <c r="OP3" s="298"/>
      <c r="OQ3" s="298"/>
      <c r="OR3" s="298"/>
      <c r="OS3" s="298"/>
      <c r="OT3" s="298"/>
      <c r="OU3" s="298"/>
      <c r="OV3" s="298"/>
      <c r="OW3" s="298"/>
      <c r="OX3" s="298"/>
      <c r="OY3" s="298"/>
      <c r="OZ3" s="298"/>
      <c r="PA3" s="298"/>
      <c r="PB3" s="298"/>
      <c r="PC3" s="298"/>
      <c r="PD3" s="298"/>
      <c r="PE3" s="298"/>
      <c r="PF3" s="298"/>
      <c r="PG3" s="298"/>
      <c r="PH3" s="298"/>
      <c r="PI3" s="298"/>
      <c r="PJ3" s="298"/>
      <c r="PK3" s="298"/>
      <c r="PL3" s="298"/>
      <c r="PM3" s="298"/>
      <c r="PN3" s="298"/>
      <c r="PO3" s="298"/>
      <c r="PP3" s="298"/>
      <c r="PQ3" s="298"/>
      <c r="PR3" s="298"/>
      <c r="PS3" s="298"/>
      <c r="PT3" s="298"/>
      <c r="PU3" s="298"/>
      <c r="PV3" s="298"/>
      <c r="PW3" s="298"/>
      <c r="PX3" s="298"/>
      <c r="PY3" s="298"/>
      <c r="PZ3" s="298"/>
      <c r="QA3" s="298"/>
      <c r="QB3" s="298"/>
      <c r="QC3" s="298"/>
      <c r="QD3" s="298"/>
      <c r="QE3" s="298"/>
      <c r="QF3" s="298"/>
      <c r="QG3" s="298"/>
      <c r="QH3" s="298"/>
      <c r="QI3" s="298"/>
      <c r="QJ3" s="298"/>
      <c r="QK3" s="298"/>
      <c r="QL3" s="298"/>
      <c r="QM3" s="298"/>
      <c r="QN3" s="298"/>
      <c r="QO3" s="298"/>
      <c r="QP3" s="298"/>
      <c r="QQ3" s="298"/>
      <c r="QR3" s="298"/>
      <c r="QS3" s="298"/>
      <c r="QT3" s="298"/>
      <c r="QU3" s="298"/>
      <c r="QV3" s="298"/>
      <c r="QW3" s="298"/>
      <c r="QX3" s="298"/>
      <c r="QY3" s="298"/>
      <c r="QZ3" s="298"/>
      <c r="RA3" s="298"/>
      <c r="RB3" s="298"/>
      <c r="RC3" s="298"/>
      <c r="RD3" s="298"/>
      <c r="RE3" s="298"/>
      <c r="RF3" s="298"/>
      <c r="RG3" s="298"/>
      <c r="RH3" s="298"/>
      <c r="RI3" s="298"/>
      <c r="RJ3" s="298"/>
      <c r="RK3" s="298"/>
      <c r="RL3" s="298"/>
      <c r="RM3" s="298"/>
      <c r="RN3" s="298"/>
      <c r="RO3" s="298"/>
      <c r="RP3" s="298"/>
      <c r="RQ3" s="298"/>
      <c r="RR3" s="298"/>
      <c r="RS3" s="298"/>
      <c r="RT3" s="298"/>
      <c r="RU3" s="298"/>
      <c r="RV3" s="298"/>
      <c r="RW3" s="298"/>
      <c r="RX3" s="298"/>
      <c r="RY3" s="298"/>
      <c r="RZ3" s="298"/>
      <c r="SA3" s="298"/>
      <c r="SB3" s="298"/>
      <c r="SC3" s="298"/>
      <c r="SD3" s="298"/>
      <c r="SE3" s="298"/>
      <c r="SF3" s="298"/>
      <c r="SG3" s="298"/>
      <c r="SH3" s="298"/>
      <c r="SI3" s="298"/>
      <c r="SJ3" s="298"/>
      <c r="SK3" s="298"/>
      <c r="SL3" s="298"/>
      <c r="SM3" s="298"/>
      <c r="SN3" s="298"/>
      <c r="SO3" s="298"/>
      <c r="SP3" s="298"/>
      <c r="SQ3" s="298"/>
      <c r="SR3" s="298"/>
      <c r="SS3" s="298"/>
      <c r="ST3" s="298"/>
      <c r="SU3" s="298"/>
      <c r="SV3" s="298"/>
      <c r="SW3" s="298"/>
      <c r="SX3" s="298"/>
      <c r="SY3" s="298"/>
      <c r="SZ3" s="298"/>
      <c r="TA3" s="298"/>
      <c r="TB3" s="298"/>
      <c r="TC3" s="298"/>
      <c r="TD3" s="298"/>
      <c r="TE3" s="298"/>
      <c r="TF3" s="298"/>
      <c r="TG3" s="298"/>
      <c r="TH3" s="298"/>
      <c r="TI3" s="298"/>
      <c r="TJ3" s="298"/>
      <c r="TK3" s="298"/>
      <c r="TL3" s="298"/>
      <c r="TM3" s="298"/>
      <c r="TN3" s="298"/>
      <c r="TO3" s="298"/>
      <c r="TP3" s="298"/>
      <c r="TQ3" s="298"/>
      <c r="TR3" s="298"/>
      <c r="TS3" s="298"/>
      <c r="TT3" s="298"/>
      <c r="TU3" s="298"/>
      <c r="TV3" s="298"/>
      <c r="TW3" s="298"/>
      <c r="TX3" s="298"/>
      <c r="TY3" s="298"/>
      <c r="TZ3" s="298"/>
      <c r="UA3" s="298"/>
      <c r="UB3" s="298"/>
      <c r="UC3" s="298"/>
      <c r="UD3" s="298"/>
      <c r="UE3" s="298"/>
      <c r="UF3" s="298"/>
      <c r="UG3" s="298"/>
      <c r="UH3" s="298"/>
      <c r="UI3" s="298"/>
      <c r="UJ3" s="298"/>
      <c r="UK3" s="298"/>
      <c r="UL3" s="298"/>
      <c r="UM3" s="298"/>
      <c r="UN3" s="298"/>
      <c r="UO3" s="298"/>
      <c r="UP3" s="298"/>
      <c r="UQ3" s="298"/>
      <c r="UR3" s="298"/>
      <c r="US3" s="298"/>
      <c r="UT3" s="298"/>
      <c r="UU3" s="298"/>
      <c r="UV3" s="298"/>
      <c r="UW3" s="298"/>
      <c r="UX3" s="298"/>
      <c r="UY3" s="298"/>
      <c r="UZ3" s="298"/>
      <c r="VA3" s="298"/>
      <c r="VB3" s="298"/>
      <c r="VC3" s="298"/>
      <c r="VD3" s="298"/>
      <c r="VE3" s="298"/>
      <c r="VF3" s="298"/>
      <c r="VG3" s="298"/>
      <c r="VH3" s="298"/>
      <c r="VI3" s="298"/>
      <c r="VJ3" s="298"/>
      <c r="VK3" s="298"/>
      <c r="VL3" s="298"/>
      <c r="VM3" s="298"/>
      <c r="VN3" s="298"/>
      <c r="VO3" s="298"/>
      <c r="VP3" s="298"/>
      <c r="VQ3" s="298"/>
      <c r="VR3" s="298"/>
      <c r="VS3" s="298"/>
      <c r="VT3" s="298"/>
      <c r="VU3" s="298"/>
      <c r="VV3" s="298"/>
      <c r="VW3" s="298"/>
      <c r="VX3" s="298"/>
      <c r="VY3" s="298"/>
      <c r="VZ3" s="298"/>
      <c r="WA3" s="298"/>
      <c r="WB3" s="298"/>
      <c r="WC3" s="298"/>
      <c r="WD3" s="298"/>
      <c r="WE3" s="298"/>
      <c r="WF3" s="298"/>
      <c r="WG3" s="298"/>
      <c r="WH3" s="298"/>
      <c r="WI3" s="298"/>
      <c r="WJ3" s="298"/>
      <c r="WK3" s="298"/>
      <c r="WL3" s="298"/>
      <c r="WM3" s="298"/>
      <c r="WN3" s="298"/>
      <c r="WO3" s="298"/>
      <c r="WP3" s="298"/>
      <c r="WQ3" s="298"/>
      <c r="WR3" s="298"/>
      <c r="WS3" s="298"/>
      <c r="WT3" s="298"/>
      <c r="WU3" s="298"/>
      <c r="WV3" s="298"/>
      <c r="WW3" s="298"/>
      <c r="WX3" s="298"/>
      <c r="WY3" s="298"/>
      <c r="WZ3" s="298"/>
      <c r="XA3" s="298"/>
      <c r="XB3" s="298"/>
      <c r="XC3" s="298"/>
      <c r="XD3" s="298"/>
      <c r="XE3" s="298"/>
      <c r="XF3" s="298"/>
      <c r="XG3" s="298"/>
      <c r="XH3" s="298"/>
      <c r="XI3" s="298"/>
      <c r="XJ3" s="298"/>
      <c r="XK3" s="298"/>
      <c r="XL3" s="298"/>
      <c r="XM3" s="298"/>
      <c r="XN3" s="298"/>
      <c r="XO3" s="298"/>
      <c r="XP3" s="298"/>
      <c r="XQ3" s="298"/>
      <c r="XR3" s="298"/>
      <c r="XS3" s="298"/>
      <c r="XT3" s="298"/>
      <c r="XU3" s="298"/>
      <c r="XV3" s="298"/>
      <c r="XW3" s="298"/>
      <c r="XX3" s="298"/>
      <c r="XY3" s="298"/>
      <c r="XZ3" s="298"/>
      <c r="YA3" s="298"/>
      <c r="YB3" s="298"/>
      <c r="YC3" s="298"/>
      <c r="YD3" s="298"/>
      <c r="YE3" s="298"/>
      <c r="YF3" s="298"/>
      <c r="YG3" s="298"/>
      <c r="YH3" s="298"/>
      <c r="YI3" s="298"/>
      <c r="YJ3" s="298"/>
      <c r="YK3" s="298"/>
      <c r="YL3" s="298"/>
      <c r="YM3" s="298"/>
      <c r="YN3" s="298"/>
      <c r="YO3" s="298"/>
      <c r="YP3" s="298"/>
      <c r="YQ3" s="298"/>
      <c r="YR3" s="298"/>
      <c r="YS3" s="298"/>
      <c r="YT3" s="298"/>
      <c r="YU3" s="298"/>
      <c r="YV3" s="298"/>
      <c r="YW3" s="298"/>
      <c r="YX3" s="298"/>
      <c r="YY3" s="298"/>
      <c r="YZ3" s="298"/>
      <c r="ZA3" s="298"/>
      <c r="ZB3" s="298"/>
      <c r="ZC3" s="298"/>
      <c r="ZD3" s="298"/>
      <c r="ZE3" s="298"/>
      <c r="ZF3" s="298"/>
      <c r="ZG3" s="298"/>
      <c r="ZH3" s="298"/>
      <c r="ZI3" s="298"/>
      <c r="ZJ3" s="298"/>
      <c r="ZK3" s="298"/>
      <c r="ZL3" s="298"/>
      <c r="ZM3" s="298"/>
      <c r="ZN3" s="298"/>
      <c r="ZO3" s="298"/>
      <c r="ZP3" s="298"/>
      <c r="ZQ3" s="298"/>
      <c r="ZR3" s="298"/>
      <c r="ZS3" s="298"/>
      <c r="ZT3" s="298"/>
      <c r="ZU3" s="298"/>
      <c r="ZV3" s="298"/>
      <c r="ZW3" s="298"/>
      <c r="ZX3" s="298"/>
      <c r="ZY3" s="298"/>
      <c r="ZZ3" s="298"/>
      <c r="AAA3" s="298"/>
      <c r="AAB3" s="298"/>
      <c r="AAC3" s="298"/>
      <c r="AAD3" s="298"/>
      <c r="AAE3" s="298"/>
      <c r="AAF3" s="298"/>
      <c r="AAG3" s="298"/>
      <c r="AAH3" s="298"/>
      <c r="AAI3" s="298"/>
      <c r="AAJ3" s="298"/>
      <c r="AAK3" s="298"/>
      <c r="AAL3" s="298"/>
      <c r="AAM3" s="298"/>
      <c r="AAN3" s="298"/>
      <c r="AAO3" s="298"/>
      <c r="AAP3" s="298"/>
      <c r="AAQ3" s="298"/>
      <c r="AAR3" s="298"/>
      <c r="AAS3" s="298"/>
      <c r="AAT3" s="298"/>
      <c r="AAU3" s="298"/>
      <c r="AAV3" s="298"/>
      <c r="AAW3" s="298"/>
      <c r="AAX3" s="298"/>
      <c r="AAY3" s="298"/>
      <c r="AAZ3" s="298"/>
      <c r="ABA3" s="298"/>
      <c r="ABB3" s="298"/>
      <c r="ABC3" s="298"/>
      <c r="ABD3" s="298"/>
      <c r="ABE3" s="298"/>
      <c r="ABF3" s="298"/>
      <c r="ABG3" s="298"/>
      <c r="ABH3" s="298"/>
      <c r="ABI3" s="298"/>
      <c r="ABJ3" s="298"/>
      <c r="ABK3" s="298"/>
      <c r="ABL3" s="298"/>
      <c r="ABM3" s="298"/>
      <c r="ABN3" s="298"/>
      <c r="ABO3" s="298"/>
      <c r="ABP3" s="298"/>
      <c r="ABQ3" s="298"/>
      <c r="ABR3" s="298"/>
      <c r="ABS3" s="298"/>
      <c r="ABT3" s="298"/>
      <c r="ABU3" s="298"/>
      <c r="ABV3" s="298"/>
      <c r="ABW3" s="298"/>
      <c r="ABX3" s="298"/>
      <c r="ABY3" s="298"/>
      <c r="ABZ3" s="298"/>
      <c r="ACA3" s="298"/>
      <c r="ACB3" s="298"/>
      <c r="ACC3" s="298"/>
      <c r="ACD3" s="298"/>
      <c r="ACE3" s="298"/>
      <c r="ACF3" s="298"/>
      <c r="ACG3" s="298"/>
      <c r="ACH3" s="298"/>
      <c r="ACI3" s="298"/>
      <c r="ACJ3" s="298"/>
      <c r="ACK3" s="298"/>
      <c r="ACL3" s="298"/>
      <c r="ACM3" s="298"/>
      <c r="ACN3" s="298"/>
      <c r="ACO3" s="298"/>
      <c r="ACP3" s="298"/>
      <c r="ACQ3" s="298"/>
      <c r="ACR3" s="298"/>
      <c r="ACS3" s="298"/>
      <c r="ACT3" s="298"/>
      <c r="ACU3" s="298"/>
      <c r="ACV3" s="298"/>
      <c r="ACW3" s="298"/>
      <c r="ACX3" s="298"/>
      <c r="ACY3" s="298"/>
      <c r="ACZ3" s="298"/>
      <c r="ADA3" s="298"/>
      <c r="ADB3" s="298"/>
      <c r="ADC3" s="298"/>
      <c r="ADD3" s="298"/>
      <c r="ADE3" s="298"/>
      <c r="ADF3" s="298"/>
      <c r="ADG3" s="298"/>
      <c r="ADH3" s="298"/>
      <c r="ADI3" s="298"/>
      <c r="ADJ3" s="298"/>
      <c r="ADK3" s="298"/>
      <c r="ADL3" s="298"/>
      <c r="ADM3" s="298"/>
      <c r="ADN3" s="298"/>
      <c r="ADO3" s="298"/>
      <c r="ADP3" s="298"/>
      <c r="ADQ3" s="298"/>
      <c r="ADR3" s="298"/>
      <c r="ADS3" s="298"/>
      <c r="ADT3" s="298"/>
      <c r="ADU3" s="298"/>
      <c r="ADV3" s="298"/>
      <c r="ADW3" s="298"/>
      <c r="ADX3" s="298"/>
      <c r="ADY3" s="298"/>
      <c r="ADZ3" s="298"/>
      <c r="AEA3" s="298"/>
      <c r="AEB3" s="298"/>
      <c r="AEC3" s="298"/>
      <c r="AED3" s="298"/>
      <c r="AEE3" s="298"/>
      <c r="AEF3" s="298"/>
      <c r="AEG3" s="298"/>
      <c r="AEH3" s="298"/>
      <c r="AEI3" s="298"/>
      <c r="AEJ3" s="298"/>
      <c r="AEK3" s="298"/>
      <c r="AEL3" s="298"/>
      <c r="AEM3" s="298"/>
      <c r="AEN3" s="298"/>
      <c r="AEO3" s="298"/>
      <c r="AEP3" s="298"/>
      <c r="AEQ3" s="298"/>
      <c r="AER3" s="298"/>
      <c r="AES3" s="298"/>
      <c r="AET3" s="298"/>
      <c r="AEU3" s="298"/>
      <c r="AEV3" s="298"/>
      <c r="AEW3" s="298"/>
      <c r="AEX3" s="298"/>
      <c r="AEY3" s="298"/>
      <c r="AEZ3" s="298"/>
      <c r="AFA3" s="298"/>
      <c r="AFB3" s="298"/>
      <c r="AFC3" s="298"/>
      <c r="AFD3" s="298"/>
      <c r="AFE3" s="298"/>
      <c r="AFF3" s="298"/>
      <c r="AFG3" s="298"/>
      <c r="AFH3" s="298"/>
      <c r="AFI3" s="298"/>
      <c r="AFJ3" s="298"/>
      <c r="AFK3" s="298"/>
      <c r="AFL3" s="298"/>
      <c r="AFM3" s="298"/>
      <c r="AFN3" s="298"/>
      <c r="AFO3" s="298"/>
      <c r="AFP3" s="298"/>
      <c r="AFQ3" s="298"/>
      <c r="AFR3" s="298"/>
      <c r="AFS3" s="298"/>
      <c r="AFT3" s="298"/>
      <c r="AFU3" s="298"/>
      <c r="AFV3" s="298"/>
      <c r="AFW3" s="298"/>
      <c r="AFX3" s="298"/>
      <c r="AFY3" s="298"/>
      <c r="AFZ3" s="298"/>
      <c r="AGA3" s="298"/>
      <c r="AGB3" s="298"/>
      <c r="AGC3" s="298"/>
      <c r="AGD3" s="298"/>
      <c r="AGE3" s="298"/>
      <c r="AGF3" s="298"/>
      <c r="AGG3" s="298"/>
      <c r="AGH3" s="298"/>
      <c r="AGI3" s="298"/>
      <c r="AGJ3" s="298"/>
      <c r="AGK3" s="298"/>
      <c r="AGL3" s="298"/>
      <c r="AGM3" s="298"/>
      <c r="AGN3" s="298"/>
      <c r="AGO3" s="298"/>
      <c r="AGP3" s="298"/>
      <c r="AGQ3" s="298"/>
      <c r="AGR3" s="298"/>
      <c r="AGS3" s="298"/>
      <c r="AGT3" s="298"/>
      <c r="AGU3" s="298"/>
      <c r="AGV3" s="298"/>
      <c r="AGW3" s="298"/>
      <c r="AGX3" s="298"/>
      <c r="AGY3" s="298"/>
      <c r="AGZ3" s="298"/>
      <c r="AHA3" s="298"/>
      <c r="AHB3" s="298"/>
      <c r="AHC3" s="298"/>
      <c r="AHD3" s="298"/>
      <c r="AHE3" s="298"/>
      <c r="AHF3" s="298"/>
      <c r="AHG3" s="298"/>
      <c r="AHH3" s="298"/>
      <c r="AHI3" s="298"/>
      <c r="AHJ3" s="298"/>
      <c r="AHK3" s="298"/>
      <c r="AHL3" s="298"/>
      <c r="AHM3" s="298"/>
      <c r="AHN3" s="298"/>
      <c r="AHO3" s="298"/>
      <c r="AHP3" s="298"/>
      <c r="AHQ3" s="298"/>
      <c r="AHR3" s="298"/>
      <c r="AHS3" s="298"/>
      <c r="AHT3" s="298"/>
      <c r="AHU3" s="298"/>
      <c r="AHV3" s="298"/>
      <c r="AHW3" s="298"/>
      <c r="AHX3" s="298"/>
      <c r="AHY3" s="298"/>
      <c r="AHZ3" s="298"/>
      <c r="AIA3" s="298"/>
      <c r="AIB3" s="298"/>
      <c r="AIC3" s="298"/>
      <c r="AID3" s="298"/>
      <c r="AIE3" s="298"/>
      <c r="AIF3" s="298"/>
      <c r="AIG3" s="298"/>
      <c r="AIH3" s="298"/>
      <c r="AII3" s="298"/>
      <c r="AIJ3" s="298"/>
      <c r="AIK3" s="298"/>
      <c r="AIL3" s="298"/>
      <c r="AIM3" s="298"/>
      <c r="AIN3" s="298"/>
      <c r="AIO3" s="298"/>
      <c r="AIP3" s="298"/>
      <c r="AIQ3" s="298"/>
      <c r="AIR3" s="298"/>
      <c r="AIS3" s="298"/>
      <c r="AIT3" s="298"/>
      <c r="AIU3" s="298"/>
      <c r="AIV3" s="298"/>
      <c r="AIW3" s="298"/>
      <c r="AIX3" s="298"/>
      <c r="AIY3" s="298"/>
      <c r="AIZ3" s="298"/>
      <c r="AJA3" s="298"/>
      <c r="AJB3" s="298"/>
      <c r="AJC3" s="298"/>
      <c r="AJD3" s="298"/>
      <c r="AJE3" s="298"/>
      <c r="AJF3" s="298"/>
      <c r="AJG3" s="298"/>
      <c r="AJH3" s="298"/>
      <c r="AJI3" s="298"/>
      <c r="AJJ3" s="298"/>
      <c r="AJK3" s="298"/>
      <c r="AJL3" s="298"/>
      <c r="AJM3" s="298"/>
      <c r="AJN3" s="298"/>
      <c r="AJO3" s="298"/>
      <c r="AJP3" s="298"/>
      <c r="AJQ3" s="298"/>
      <c r="AJR3" s="298"/>
      <c r="AJS3" s="298"/>
      <c r="AJT3" s="298"/>
      <c r="AJU3" s="298"/>
      <c r="AJV3" s="298"/>
      <c r="AJW3" s="298"/>
      <c r="AJX3" s="298"/>
      <c r="AJY3" s="298"/>
      <c r="AJZ3" s="298"/>
      <c r="AKA3" s="298"/>
      <c r="AKB3" s="298"/>
      <c r="AKC3" s="298"/>
      <c r="AKD3" s="298"/>
      <c r="AKE3" s="298"/>
      <c r="AKF3" s="298"/>
      <c r="AKG3" s="298"/>
      <c r="AKH3" s="298"/>
      <c r="AKI3" s="298"/>
      <c r="AKJ3" s="298"/>
      <c r="AKK3" s="298"/>
      <c r="AKL3" s="298"/>
      <c r="AKM3" s="298"/>
      <c r="AKN3" s="298"/>
      <c r="AKO3" s="298"/>
      <c r="AKP3" s="298"/>
      <c r="AKQ3" s="298"/>
      <c r="AKR3" s="298"/>
      <c r="AKS3" s="298"/>
      <c r="AKT3" s="298"/>
      <c r="AKU3" s="298"/>
      <c r="AKV3" s="298"/>
      <c r="AKW3" s="298"/>
      <c r="AKX3" s="298"/>
      <c r="AKY3" s="298"/>
      <c r="AKZ3" s="298"/>
      <c r="ALA3" s="298"/>
      <c r="ALB3" s="298"/>
      <c r="ALC3" s="298"/>
      <c r="ALD3" s="298"/>
      <c r="ALE3" s="298"/>
      <c r="ALF3" s="298"/>
      <c r="ALG3" s="298"/>
      <c r="ALH3" s="298"/>
      <c r="ALI3" s="298"/>
      <c r="ALJ3" s="298"/>
      <c r="ALK3" s="298"/>
      <c r="ALL3" s="298"/>
      <c r="ALM3" s="298"/>
      <c r="ALN3" s="298"/>
      <c r="ALO3" s="298"/>
      <c r="ALP3" s="298"/>
      <c r="ALQ3" s="298"/>
      <c r="ALR3" s="298"/>
      <c r="ALS3" s="298"/>
      <c r="ALT3" s="298"/>
      <c r="ALU3" s="298"/>
      <c r="ALV3" s="298"/>
      <c r="ALW3" s="298"/>
      <c r="ALX3" s="298"/>
      <c r="ALY3" s="298"/>
      <c r="ALZ3" s="298"/>
      <c r="AMA3" s="298"/>
      <c r="AMB3" s="298"/>
      <c r="AMC3" s="298"/>
      <c r="AMD3" s="298"/>
      <c r="AME3" s="298"/>
      <c r="AMF3" s="298"/>
      <c r="AMG3" s="298"/>
      <c r="AMH3" s="298"/>
      <c r="AMI3" s="298"/>
      <c r="AMJ3" s="298"/>
      <c r="AMK3" s="298"/>
      <c r="AML3" s="298"/>
      <c r="AMM3" s="298"/>
      <c r="AMN3" s="298"/>
      <c r="AMO3" s="298"/>
      <c r="AMP3" s="298"/>
      <c r="AMQ3" s="298"/>
      <c r="AMR3" s="298"/>
      <c r="AMS3" s="298"/>
      <c r="AMT3" s="298"/>
      <c r="AMU3" s="298"/>
      <c r="AMV3" s="298"/>
      <c r="AMW3" s="298"/>
      <c r="AMX3" s="298"/>
      <c r="AMY3" s="298"/>
      <c r="AMZ3" s="298"/>
      <c r="ANA3" s="298"/>
      <c r="ANB3" s="298"/>
      <c r="ANC3" s="298"/>
      <c r="AND3" s="298"/>
      <c r="ANE3" s="298"/>
      <c r="ANF3" s="298"/>
      <c r="ANG3" s="298"/>
      <c r="ANH3" s="298"/>
      <c r="ANI3" s="298"/>
      <c r="ANJ3" s="298"/>
      <c r="ANK3" s="298"/>
      <c r="ANL3" s="298"/>
      <c r="ANM3" s="298"/>
      <c r="ANN3" s="298"/>
      <c r="ANO3" s="298"/>
      <c r="ANP3" s="298"/>
      <c r="ANQ3" s="298"/>
      <c r="ANR3" s="298"/>
      <c r="ANS3" s="298"/>
      <c r="ANT3" s="298"/>
      <c r="ANU3" s="298"/>
      <c r="ANV3" s="298"/>
      <c r="ANW3" s="298"/>
      <c r="ANX3" s="298"/>
      <c r="ANY3" s="298"/>
      <c r="ANZ3" s="298"/>
      <c r="AOA3" s="298"/>
      <c r="AOB3" s="298"/>
      <c r="AOC3" s="298"/>
      <c r="AOD3" s="298"/>
      <c r="AOE3" s="298"/>
      <c r="AOF3" s="298"/>
      <c r="AOG3" s="298"/>
      <c r="AOH3" s="298"/>
      <c r="AOI3" s="298"/>
      <c r="AOJ3" s="298"/>
      <c r="AOK3" s="298"/>
      <c r="AOL3" s="298"/>
      <c r="AOM3" s="298"/>
      <c r="AON3" s="298"/>
      <c r="AOO3" s="298"/>
      <c r="AOP3" s="298"/>
      <c r="AOQ3" s="298"/>
      <c r="AOR3" s="298"/>
      <c r="AOS3" s="298"/>
      <c r="AOT3" s="298"/>
      <c r="AOU3" s="298"/>
      <c r="AOV3" s="298"/>
      <c r="AOW3" s="298"/>
      <c r="AOX3" s="298"/>
      <c r="AOY3" s="298"/>
      <c r="AOZ3" s="298"/>
      <c r="APA3" s="298"/>
      <c r="APB3" s="298"/>
      <c r="APC3" s="298"/>
      <c r="APD3" s="298"/>
      <c r="APE3" s="298"/>
      <c r="APF3" s="298"/>
      <c r="APG3" s="298"/>
      <c r="APH3" s="298"/>
      <c r="API3" s="298"/>
      <c r="APJ3" s="298"/>
      <c r="APK3" s="298"/>
      <c r="APL3" s="298"/>
      <c r="APM3" s="298"/>
      <c r="APN3" s="298"/>
      <c r="APO3" s="298"/>
      <c r="APP3" s="298"/>
      <c r="APQ3" s="298"/>
      <c r="APR3" s="298"/>
      <c r="APS3" s="298"/>
      <c r="APT3" s="298"/>
      <c r="APU3" s="298"/>
      <c r="APV3" s="298"/>
      <c r="APW3" s="298"/>
      <c r="APX3" s="298"/>
      <c r="APY3" s="298"/>
      <c r="APZ3" s="298"/>
      <c r="AQA3" s="298"/>
      <c r="AQB3" s="298"/>
      <c r="AQC3" s="298"/>
      <c r="AQD3" s="298"/>
      <c r="AQE3" s="298"/>
      <c r="AQF3" s="298"/>
      <c r="AQG3" s="298"/>
      <c r="AQH3" s="298"/>
      <c r="AQI3" s="298"/>
      <c r="AQJ3" s="298"/>
      <c r="AQK3" s="298"/>
      <c r="AQL3" s="298"/>
      <c r="AQM3" s="298"/>
      <c r="AQN3" s="298"/>
      <c r="AQO3" s="298"/>
      <c r="AQP3" s="298"/>
      <c r="AQQ3" s="298"/>
      <c r="AQR3" s="298"/>
      <c r="AQS3" s="298"/>
      <c r="AQT3" s="298"/>
      <c r="AQU3" s="298"/>
      <c r="AQV3" s="298"/>
      <c r="AQW3" s="298"/>
      <c r="AQX3" s="298"/>
      <c r="AQY3" s="298"/>
      <c r="AQZ3" s="298"/>
      <c r="ARA3" s="298"/>
      <c r="ARB3" s="298"/>
      <c r="ARC3" s="298"/>
      <c r="ARD3" s="298"/>
      <c r="ARE3" s="298"/>
      <c r="ARF3" s="298"/>
      <c r="ARG3" s="298"/>
      <c r="ARH3" s="298"/>
      <c r="ARI3" s="298"/>
      <c r="ARJ3" s="298"/>
      <c r="ARK3" s="298"/>
      <c r="ARL3" s="298"/>
      <c r="ARM3" s="298"/>
      <c r="ARN3" s="298"/>
      <c r="ARO3" s="298"/>
      <c r="ARP3" s="298"/>
      <c r="ARQ3" s="298"/>
      <c r="ARR3" s="298"/>
      <c r="ARS3" s="298"/>
      <c r="ART3" s="298"/>
      <c r="ARU3" s="298"/>
      <c r="ARV3" s="298"/>
      <c r="ARW3" s="298"/>
      <c r="ARX3" s="298"/>
      <c r="ARY3" s="298"/>
      <c r="ARZ3" s="298"/>
      <c r="ASA3" s="298"/>
      <c r="ASB3" s="298"/>
      <c r="ASC3" s="298"/>
      <c r="ASD3" s="298"/>
      <c r="ASE3" s="298"/>
      <c r="ASF3" s="298"/>
      <c r="ASG3" s="298"/>
      <c r="ASH3" s="298"/>
      <c r="ASI3" s="298"/>
      <c r="ASJ3" s="298"/>
      <c r="ASK3" s="298"/>
      <c r="ASL3" s="298"/>
      <c r="ASM3" s="298"/>
      <c r="ASN3" s="298"/>
      <c r="ASO3" s="298"/>
      <c r="ASP3" s="298"/>
      <c r="ASQ3" s="298"/>
      <c r="ASR3" s="298"/>
      <c r="ASS3" s="298"/>
      <c r="AST3" s="298"/>
      <c r="ASU3" s="298"/>
      <c r="ASV3" s="298"/>
      <c r="ASW3" s="298"/>
      <c r="ASX3" s="298"/>
      <c r="ASY3" s="298"/>
      <c r="ASZ3" s="298"/>
      <c r="ATA3" s="298"/>
      <c r="ATB3" s="298"/>
      <c r="ATC3" s="298"/>
      <c r="ATD3" s="298"/>
      <c r="ATE3" s="298"/>
      <c r="ATF3" s="298"/>
      <c r="ATG3" s="298"/>
      <c r="ATH3" s="298"/>
      <c r="ATI3" s="298"/>
      <c r="ATJ3" s="298"/>
      <c r="ATK3" s="298"/>
      <c r="ATL3" s="298"/>
      <c r="ATM3" s="298"/>
      <c r="ATN3" s="298"/>
      <c r="ATO3" s="298"/>
      <c r="ATP3" s="298"/>
      <c r="ATQ3" s="298"/>
      <c r="ATR3" s="298"/>
      <c r="ATS3" s="298"/>
      <c r="ATT3" s="298"/>
      <c r="ATU3" s="298"/>
      <c r="ATV3" s="298"/>
      <c r="ATW3" s="298"/>
      <c r="ATX3" s="298"/>
      <c r="ATY3" s="298"/>
      <c r="ATZ3" s="298"/>
      <c r="AUA3" s="298"/>
      <c r="AUB3" s="298"/>
      <c r="AUC3" s="298"/>
      <c r="AUD3" s="298"/>
      <c r="AUE3" s="298"/>
      <c r="AUF3" s="298"/>
      <c r="AUG3" s="298"/>
      <c r="AUH3" s="298"/>
      <c r="AUI3" s="298"/>
      <c r="AUJ3" s="298"/>
      <c r="AUK3" s="298"/>
      <c r="AUL3" s="298"/>
      <c r="AUM3" s="298"/>
      <c r="AUN3" s="298"/>
      <c r="AUO3" s="298"/>
      <c r="AUP3" s="298"/>
      <c r="AUQ3" s="298"/>
      <c r="AUR3" s="298"/>
      <c r="AUS3" s="298"/>
      <c r="AUT3" s="298"/>
      <c r="AUU3" s="298"/>
      <c r="AUV3" s="298"/>
      <c r="AUW3" s="298"/>
      <c r="AUX3" s="298"/>
      <c r="AUY3" s="298"/>
      <c r="AUZ3" s="298"/>
      <c r="AVA3" s="298"/>
      <c r="AVB3" s="298"/>
      <c r="AVC3" s="298"/>
      <c r="AVD3" s="298"/>
      <c r="AVE3" s="298"/>
      <c r="AVF3" s="298"/>
      <c r="AVG3" s="298"/>
      <c r="AVH3" s="298"/>
      <c r="AVI3" s="298"/>
      <c r="AVJ3" s="298"/>
      <c r="AVK3" s="298"/>
      <c r="AVL3" s="298"/>
      <c r="AVM3" s="298"/>
      <c r="AVN3" s="298"/>
      <c r="AVO3" s="298"/>
      <c r="AVP3" s="298"/>
      <c r="AVQ3" s="298"/>
      <c r="AVR3" s="298"/>
      <c r="AVS3" s="298"/>
      <c r="AVT3" s="298"/>
      <c r="AVU3" s="298"/>
      <c r="AVV3" s="298"/>
      <c r="AVW3" s="298"/>
      <c r="AVX3" s="298"/>
      <c r="AVY3" s="298"/>
      <c r="AVZ3" s="298"/>
      <c r="AWA3" s="298"/>
      <c r="AWB3" s="298"/>
      <c r="AWC3" s="298"/>
      <c r="AWD3" s="298"/>
      <c r="AWE3" s="298"/>
      <c r="AWF3" s="298"/>
      <c r="AWG3" s="298"/>
      <c r="AWH3" s="298"/>
      <c r="AWI3" s="298"/>
      <c r="AWJ3" s="298"/>
      <c r="AWK3" s="298"/>
      <c r="AWL3" s="298"/>
      <c r="AWM3" s="298"/>
      <c r="AWN3" s="298"/>
      <c r="AWO3" s="298"/>
      <c r="AWP3" s="298"/>
      <c r="AWQ3" s="298"/>
      <c r="AWR3" s="298"/>
      <c r="AWS3" s="298"/>
      <c r="AWT3" s="298"/>
      <c r="AWU3" s="298"/>
      <c r="AWV3" s="298"/>
      <c r="AWW3" s="298"/>
      <c r="AWX3" s="298"/>
      <c r="AWY3" s="298"/>
      <c r="AWZ3" s="298"/>
      <c r="AXA3" s="298"/>
      <c r="AXB3" s="298"/>
      <c r="AXC3" s="298"/>
      <c r="AXD3" s="298"/>
      <c r="AXE3" s="298"/>
      <c r="AXF3" s="298"/>
      <c r="AXG3" s="298"/>
      <c r="AXH3" s="298"/>
      <c r="AXI3" s="298"/>
      <c r="AXJ3" s="298"/>
      <c r="AXK3" s="298"/>
      <c r="AXL3" s="298"/>
      <c r="AXM3" s="298"/>
      <c r="AXN3" s="298"/>
      <c r="AXO3" s="298"/>
      <c r="AXP3" s="298"/>
      <c r="AXQ3" s="298"/>
      <c r="AXR3" s="298"/>
      <c r="AXS3" s="298"/>
      <c r="AXT3" s="298"/>
      <c r="AXU3" s="298"/>
      <c r="AXV3" s="298"/>
      <c r="AXW3" s="298"/>
      <c r="AXX3" s="298"/>
      <c r="AXY3" s="298"/>
      <c r="AXZ3" s="298"/>
      <c r="AYA3" s="298"/>
      <c r="AYB3" s="298"/>
      <c r="AYC3" s="298"/>
      <c r="AYD3" s="298"/>
      <c r="AYE3" s="298"/>
      <c r="AYF3" s="298"/>
      <c r="AYG3" s="298"/>
      <c r="AYH3" s="298"/>
    </row>
    <row r="4" spans="1:1334" x14ac:dyDescent="0.25">
      <c r="A4" s="298"/>
      <c r="B4" s="298"/>
      <c r="C4" s="303" t="s">
        <v>1367</v>
      </c>
      <c r="D4" s="303"/>
      <c r="E4" s="303"/>
      <c r="F4" s="303"/>
      <c r="G4" s="303"/>
      <c r="H4" s="303"/>
      <c r="I4" s="303"/>
      <c r="J4" s="303"/>
      <c r="K4" s="303"/>
      <c r="L4" s="303"/>
      <c r="M4" s="303"/>
      <c r="N4" s="303" t="s">
        <v>1368</v>
      </c>
      <c r="O4" s="303"/>
      <c r="P4" s="303"/>
      <c r="Q4" s="303"/>
      <c r="R4" s="303"/>
      <c r="S4" s="303"/>
      <c r="T4" s="303"/>
      <c r="U4" s="303"/>
      <c r="V4" s="303"/>
      <c r="W4" s="303"/>
      <c r="X4" s="303"/>
      <c r="Y4" s="303" t="s">
        <v>1369</v>
      </c>
      <c r="Z4" s="303"/>
      <c r="AA4" s="303"/>
      <c r="AB4" s="303"/>
      <c r="AC4" s="303"/>
      <c r="AD4" s="303"/>
      <c r="AE4" s="303"/>
      <c r="AF4" s="303"/>
      <c r="AG4" s="303"/>
      <c r="AH4" s="303"/>
      <c r="AI4" s="303"/>
      <c r="AJ4" s="303" t="s">
        <v>1370</v>
      </c>
      <c r="AK4" s="303"/>
      <c r="AL4" s="303"/>
      <c r="AM4" s="303"/>
      <c r="AN4" s="303"/>
      <c r="AO4" s="303"/>
      <c r="AP4" s="303"/>
      <c r="AQ4" s="303"/>
      <c r="AR4" s="303"/>
      <c r="AS4" s="303"/>
      <c r="AT4" s="303"/>
      <c r="AU4" s="303" t="s">
        <v>1371</v>
      </c>
      <c r="AV4" s="303"/>
      <c r="AW4" s="303"/>
      <c r="AX4" s="303"/>
      <c r="AY4" s="303"/>
      <c r="AZ4" s="303"/>
      <c r="BA4" s="303"/>
      <c r="BB4" s="303"/>
      <c r="BC4" s="303"/>
      <c r="BD4" s="303"/>
      <c r="BE4" s="303"/>
      <c r="BF4" s="303" t="s">
        <v>1372</v>
      </c>
      <c r="BG4" s="303"/>
      <c r="BH4" s="303"/>
      <c r="BI4" s="303"/>
      <c r="BJ4" s="303"/>
      <c r="BK4" s="303"/>
      <c r="BL4" s="303"/>
      <c r="BM4" s="303"/>
      <c r="BN4" s="303"/>
      <c r="BO4" s="303"/>
      <c r="BP4" s="303"/>
      <c r="BQ4" s="303" t="s">
        <v>1350</v>
      </c>
      <c r="BR4" s="303"/>
      <c r="BS4" s="303"/>
      <c r="BT4" s="303"/>
      <c r="BU4" s="303"/>
      <c r="BV4" s="303"/>
      <c r="BW4" s="303"/>
      <c r="BX4" s="303"/>
      <c r="BY4" s="303"/>
      <c r="BZ4" s="303"/>
      <c r="CA4" s="303"/>
      <c r="CB4" s="303" t="s">
        <v>1373</v>
      </c>
      <c r="CC4" s="303"/>
      <c r="CD4" s="303"/>
      <c r="CE4" s="303"/>
      <c r="CF4" s="303"/>
      <c r="CG4" s="303"/>
      <c r="CH4" s="303"/>
      <c r="CI4" s="303"/>
      <c r="CJ4" s="303"/>
      <c r="CK4" s="303"/>
      <c r="CL4" s="303"/>
      <c r="CM4" s="303" t="s">
        <v>1374</v>
      </c>
      <c r="CN4" s="303"/>
      <c r="CO4" s="303"/>
      <c r="CP4" s="303"/>
      <c r="CQ4" s="303"/>
      <c r="CR4" s="303"/>
      <c r="CS4" s="303"/>
      <c r="CT4" s="303"/>
      <c r="CU4" s="303"/>
      <c r="CV4" s="303"/>
      <c r="CW4" s="303"/>
      <c r="CX4" s="303" t="s">
        <v>1351</v>
      </c>
      <c r="CY4" s="303"/>
      <c r="CZ4" s="303"/>
      <c r="DA4" s="303"/>
      <c r="DB4" s="303"/>
      <c r="DC4" s="303"/>
      <c r="DD4" s="303"/>
      <c r="DE4" s="303"/>
      <c r="DF4" s="303"/>
      <c r="DG4" s="303"/>
      <c r="DH4" s="303"/>
      <c r="DI4" s="303" t="s">
        <v>1375</v>
      </c>
      <c r="DJ4" s="303"/>
      <c r="DK4" s="303"/>
      <c r="DL4" s="303"/>
      <c r="DM4" s="303"/>
      <c r="DN4" s="303"/>
      <c r="DO4" s="303"/>
      <c r="DP4" s="303"/>
      <c r="DQ4" s="303"/>
      <c r="DR4" s="303"/>
      <c r="DS4" s="303"/>
      <c r="DT4" s="303" t="s">
        <v>1376</v>
      </c>
      <c r="DU4" s="303"/>
      <c r="DV4" s="303"/>
      <c r="DW4" s="303"/>
      <c r="DX4" s="303"/>
      <c r="DY4" s="303"/>
      <c r="DZ4" s="303"/>
      <c r="EA4" s="303"/>
      <c r="EB4" s="303"/>
      <c r="EC4" s="303"/>
      <c r="ED4" s="303"/>
      <c r="EE4" s="303" t="s">
        <v>1377</v>
      </c>
      <c r="EF4" s="303"/>
      <c r="EG4" s="303"/>
      <c r="EH4" s="303"/>
      <c r="EI4" s="303"/>
      <c r="EJ4" s="303"/>
      <c r="EK4" s="303"/>
      <c r="EL4" s="303"/>
      <c r="EM4" s="303"/>
      <c r="EN4" s="303"/>
      <c r="EO4" s="303"/>
      <c r="EP4" s="303" t="s">
        <v>1352</v>
      </c>
      <c r="EQ4" s="303"/>
      <c r="ER4" s="303"/>
      <c r="ES4" s="303"/>
      <c r="ET4" s="303"/>
      <c r="EU4" s="303"/>
      <c r="EV4" s="303"/>
      <c r="EW4" s="303"/>
      <c r="EX4" s="303"/>
      <c r="EY4" s="303"/>
      <c r="EZ4" s="303"/>
      <c r="FA4" s="303" t="s">
        <v>1378</v>
      </c>
      <c r="FB4" s="303"/>
      <c r="FC4" s="303"/>
      <c r="FD4" s="303"/>
      <c r="FE4" s="303"/>
      <c r="FF4" s="303"/>
      <c r="FG4" s="303"/>
      <c r="FH4" s="303"/>
      <c r="FI4" s="303"/>
      <c r="FJ4" s="303"/>
      <c r="FK4" s="303"/>
      <c r="FL4" s="303" t="s">
        <v>1379</v>
      </c>
      <c r="FM4" s="303"/>
      <c r="FN4" s="303"/>
      <c r="FO4" s="303"/>
      <c r="FP4" s="303"/>
      <c r="FQ4" s="303"/>
      <c r="FR4" s="303"/>
      <c r="FS4" s="303"/>
      <c r="FT4" s="303"/>
      <c r="FU4" s="303"/>
      <c r="FV4" s="303"/>
      <c r="FW4" s="303" t="s">
        <v>1380</v>
      </c>
      <c r="FX4" s="303"/>
      <c r="FY4" s="303"/>
      <c r="FZ4" s="303"/>
      <c r="GA4" s="303"/>
      <c r="GB4" s="303"/>
      <c r="GC4" s="303"/>
      <c r="GD4" s="303"/>
      <c r="GE4" s="303"/>
      <c r="GF4" s="303"/>
      <c r="GG4" s="303"/>
      <c r="GH4" s="303" t="s">
        <v>1381</v>
      </c>
      <c r="GI4" s="303"/>
      <c r="GJ4" s="303"/>
      <c r="GK4" s="303"/>
      <c r="GL4" s="303"/>
      <c r="GM4" s="303"/>
      <c r="GN4" s="303"/>
      <c r="GO4" s="303"/>
      <c r="GP4" s="303"/>
      <c r="GQ4" s="303"/>
      <c r="GR4" s="303"/>
      <c r="GS4" s="303" t="s">
        <v>1382</v>
      </c>
      <c r="GT4" s="303"/>
      <c r="GU4" s="303"/>
      <c r="GV4" s="303"/>
      <c r="GW4" s="303"/>
      <c r="GX4" s="303"/>
      <c r="GY4" s="303"/>
      <c r="GZ4" s="303"/>
      <c r="HA4" s="303"/>
      <c r="HB4" s="303"/>
      <c r="HC4" s="303"/>
      <c r="HD4" s="303" t="s">
        <v>1383</v>
      </c>
      <c r="HE4" s="303"/>
      <c r="HF4" s="303"/>
      <c r="HG4" s="303"/>
      <c r="HH4" s="303"/>
      <c r="HI4" s="303"/>
      <c r="HJ4" s="303"/>
      <c r="HK4" s="303"/>
      <c r="HL4" s="303"/>
      <c r="HM4" s="303"/>
      <c r="HN4" s="303"/>
      <c r="HO4" s="303" t="s">
        <v>1384</v>
      </c>
      <c r="HP4" s="303"/>
      <c r="HQ4" s="303"/>
      <c r="HR4" s="303"/>
      <c r="HS4" s="303"/>
      <c r="HT4" s="303"/>
      <c r="HU4" s="303"/>
      <c r="HV4" s="303"/>
      <c r="HW4" s="303"/>
      <c r="HX4" s="303"/>
      <c r="HY4" s="303"/>
      <c r="HZ4" s="303" t="s">
        <v>1385</v>
      </c>
      <c r="IA4" s="303"/>
      <c r="IB4" s="303"/>
      <c r="IC4" s="303"/>
      <c r="ID4" s="303"/>
      <c r="IE4" s="303"/>
      <c r="IF4" s="303"/>
      <c r="IG4" s="303"/>
      <c r="IH4" s="303"/>
      <c r="II4" s="303"/>
      <c r="IJ4" s="303"/>
      <c r="IK4" s="303" t="s">
        <v>1386</v>
      </c>
      <c r="IL4" s="303"/>
      <c r="IM4" s="303"/>
      <c r="IN4" s="303"/>
      <c r="IO4" s="303"/>
      <c r="IP4" s="303"/>
      <c r="IQ4" s="303"/>
      <c r="IR4" s="303"/>
      <c r="IS4" s="303"/>
      <c r="IT4" s="303"/>
      <c r="IU4" s="303"/>
      <c r="IV4" s="303" t="s">
        <v>1353</v>
      </c>
      <c r="IW4" s="303"/>
      <c r="IX4" s="303"/>
      <c r="IY4" s="303"/>
      <c r="IZ4" s="303"/>
      <c r="JA4" s="303"/>
      <c r="JB4" s="303"/>
      <c r="JC4" s="303"/>
      <c r="JD4" s="303"/>
      <c r="JE4" s="303"/>
      <c r="JF4" s="303"/>
      <c r="JG4" s="303" t="s">
        <v>1387</v>
      </c>
      <c r="JH4" s="303"/>
      <c r="JI4" s="303"/>
      <c r="JJ4" s="303"/>
      <c r="JK4" s="303"/>
      <c r="JL4" s="303"/>
      <c r="JM4" s="303"/>
      <c r="JN4" s="303"/>
      <c r="JO4" s="303"/>
      <c r="JP4" s="303"/>
      <c r="JQ4" s="303"/>
      <c r="JR4" s="303" t="s">
        <v>1388</v>
      </c>
      <c r="JS4" s="303"/>
      <c r="JT4" s="303"/>
      <c r="JU4" s="303"/>
      <c r="JV4" s="303"/>
      <c r="JW4" s="303"/>
      <c r="JX4" s="303"/>
      <c r="JY4" s="303"/>
      <c r="JZ4" s="303"/>
      <c r="KA4" s="303"/>
      <c r="KB4" s="303"/>
      <c r="KC4" s="303" t="s">
        <v>1389</v>
      </c>
      <c r="KD4" s="303"/>
      <c r="KE4" s="303"/>
      <c r="KF4" s="303"/>
      <c r="KG4" s="303"/>
      <c r="KH4" s="303"/>
      <c r="KI4" s="303"/>
      <c r="KJ4" s="303"/>
      <c r="KK4" s="303"/>
      <c r="KL4" s="303"/>
      <c r="KM4" s="303"/>
      <c r="KN4" s="303" t="s">
        <v>1390</v>
      </c>
      <c r="KO4" s="303"/>
      <c r="KP4" s="303"/>
      <c r="KQ4" s="303"/>
      <c r="KR4" s="303"/>
      <c r="KS4" s="303"/>
      <c r="KT4" s="303"/>
      <c r="KU4" s="303"/>
      <c r="KV4" s="303"/>
      <c r="KW4" s="303"/>
      <c r="KX4" s="303"/>
      <c r="KY4" s="303" t="s">
        <v>1391</v>
      </c>
      <c r="KZ4" s="303"/>
      <c r="LA4" s="303"/>
      <c r="LB4" s="303"/>
      <c r="LC4" s="303"/>
      <c r="LD4" s="303"/>
      <c r="LE4" s="303"/>
      <c r="LF4" s="303"/>
      <c r="LG4" s="303"/>
      <c r="LH4" s="303"/>
      <c r="LI4" s="303"/>
      <c r="LJ4" s="303" t="s">
        <v>1392</v>
      </c>
      <c r="LK4" s="303"/>
      <c r="LL4" s="303"/>
      <c r="LM4" s="303"/>
      <c r="LN4" s="303"/>
      <c r="LO4" s="303"/>
      <c r="LP4" s="303"/>
      <c r="LQ4" s="303"/>
      <c r="LR4" s="303"/>
      <c r="LS4" s="303"/>
      <c r="LT4" s="303"/>
      <c r="LU4" s="303" t="s">
        <v>1393</v>
      </c>
      <c r="LV4" s="303"/>
      <c r="LW4" s="303"/>
      <c r="LX4" s="303"/>
      <c r="LY4" s="303"/>
      <c r="LZ4" s="303"/>
      <c r="MA4" s="303"/>
      <c r="MB4" s="303"/>
      <c r="MC4" s="303"/>
      <c r="MD4" s="303"/>
      <c r="ME4" s="303"/>
      <c r="MF4" s="303" t="s">
        <v>1394</v>
      </c>
      <c r="MG4" s="303"/>
      <c r="MH4" s="303"/>
      <c r="MI4" s="303"/>
      <c r="MJ4" s="303"/>
      <c r="MK4" s="303"/>
      <c r="ML4" s="303"/>
      <c r="MM4" s="303"/>
      <c r="MN4" s="303"/>
      <c r="MO4" s="303"/>
      <c r="MP4" s="303"/>
      <c r="MQ4" s="303" t="s">
        <v>1395</v>
      </c>
      <c r="MR4" s="303"/>
      <c r="MS4" s="303"/>
      <c r="MT4" s="303"/>
      <c r="MU4" s="303"/>
      <c r="MV4" s="303"/>
      <c r="MW4" s="303"/>
      <c r="MX4" s="303"/>
      <c r="MY4" s="303"/>
      <c r="MZ4" s="303"/>
      <c r="NA4" s="303"/>
      <c r="NB4" s="303" t="s">
        <v>1396</v>
      </c>
      <c r="NC4" s="303"/>
      <c r="ND4" s="303"/>
      <c r="NE4" s="303"/>
      <c r="NF4" s="303"/>
      <c r="NG4" s="303"/>
      <c r="NH4" s="303"/>
      <c r="NI4" s="303"/>
      <c r="NJ4" s="303"/>
      <c r="NK4" s="303"/>
      <c r="NL4" s="303"/>
      <c r="NM4" s="303" t="s">
        <v>1397</v>
      </c>
      <c r="NN4" s="303"/>
      <c r="NO4" s="303"/>
      <c r="NP4" s="303"/>
      <c r="NQ4" s="303"/>
      <c r="NR4" s="303"/>
      <c r="NS4" s="303"/>
      <c r="NT4" s="303"/>
      <c r="NU4" s="303"/>
      <c r="NV4" s="303"/>
      <c r="NW4" s="303"/>
      <c r="NX4" s="303" t="s">
        <v>1398</v>
      </c>
      <c r="NY4" s="303"/>
      <c r="NZ4" s="303"/>
      <c r="OA4" s="303"/>
      <c r="OB4" s="303"/>
      <c r="OC4" s="303"/>
      <c r="OD4" s="303"/>
      <c r="OE4" s="303"/>
      <c r="OF4" s="303"/>
      <c r="OG4" s="303"/>
      <c r="OH4" s="303"/>
      <c r="OI4" s="303" t="s">
        <v>1399</v>
      </c>
      <c r="OJ4" s="303"/>
      <c r="OK4" s="303"/>
      <c r="OL4" s="303"/>
      <c r="OM4" s="303"/>
      <c r="ON4" s="303"/>
      <c r="OO4" s="303"/>
      <c r="OP4" s="303"/>
      <c r="OQ4" s="303"/>
      <c r="OR4" s="303"/>
      <c r="OS4" s="303"/>
      <c r="OT4" s="303" t="s">
        <v>1400</v>
      </c>
      <c r="OU4" s="303"/>
      <c r="OV4" s="303"/>
      <c r="OW4" s="303"/>
      <c r="OX4" s="303"/>
      <c r="OY4" s="303"/>
      <c r="OZ4" s="303"/>
      <c r="PA4" s="303"/>
      <c r="PB4" s="303"/>
      <c r="PC4" s="303"/>
      <c r="PD4" s="303"/>
      <c r="PE4" s="303" t="s">
        <v>1354</v>
      </c>
      <c r="PF4" s="303"/>
      <c r="PG4" s="303"/>
      <c r="PH4" s="303"/>
      <c r="PI4" s="303"/>
      <c r="PJ4" s="303"/>
      <c r="PK4" s="303"/>
      <c r="PL4" s="303"/>
      <c r="PM4" s="303"/>
      <c r="PN4" s="303"/>
      <c r="PO4" s="303"/>
      <c r="PP4" s="303" t="s">
        <v>1401</v>
      </c>
      <c r="PQ4" s="303"/>
      <c r="PR4" s="303"/>
      <c r="PS4" s="303"/>
      <c r="PT4" s="303"/>
      <c r="PU4" s="303"/>
      <c r="PV4" s="303"/>
      <c r="PW4" s="303"/>
      <c r="PX4" s="303"/>
      <c r="PY4" s="303"/>
      <c r="PZ4" s="303"/>
      <c r="QA4" s="303" t="s">
        <v>1402</v>
      </c>
      <c r="QB4" s="303"/>
      <c r="QC4" s="303"/>
      <c r="QD4" s="303"/>
      <c r="QE4" s="303"/>
      <c r="QF4" s="303"/>
      <c r="QG4" s="303"/>
      <c r="QH4" s="303"/>
      <c r="QI4" s="303"/>
      <c r="QJ4" s="303"/>
      <c r="QK4" s="303"/>
      <c r="QL4" s="303" t="s">
        <v>1403</v>
      </c>
      <c r="QM4" s="303"/>
      <c r="QN4" s="303"/>
      <c r="QO4" s="303"/>
      <c r="QP4" s="303"/>
      <c r="QQ4" s="303"/>
      <c r="QR4" s="303"/>
      <c r="QS4" s="303"/>
      <c r="QT4" s="303"/>
      <c r="QU4" s="303"/>
      <c r="QV4" s="303"/>
      <c r="QW4" s="303" t="s">
        <v>1404</v>
      </c>
      <c r="QX4" s="303"/>
      <c r="QY4" s="303"/>
      <c r="QZ4" s="303"/>
      <c r="RA4" s="303"/>
      <c r="RB4" s="303"/>
      <c r="RC4" s="303"/>
      <c r="RD4" s="303"/>
      <c r="RE4" s="303"/>
      <c r="RF4" s="303"/>
      <c r="RG4" s="303"/>
      <c r="RH4" s="303" t="s">
        <v>1405</v>
      </c>
      <c r="RI4" s="303"/>
      <c r="RJ4" s="303"/>
      <c r="RK4" s="303"/>
      <c r="RL4" s="303"/>
      <c r="RM4" s="303"/>
      <c r="RN4" s="303"/>
      <c r="RO4" s="303"/>
      <c r="RP4" s="303"/>
      <c r="RQ4" s="303"/>
      <c r="RR4" s="303"/>
      <c r="RS4" s="303" t="s">
        <v>1406</v>
      </c>
      <c r="RT4" s="303"/>
      <c r="RU4" s="303"/>
      <c r="RV4" s="303"/>
      <c r="RW4" s="303"/>
      <c r="RX4" s="303"/>
      <c r="RY4" s="303"/>
      <c r="RZ4" s="303"/>
      <c r="SA4" s="303"/>
      <c r="SB4" s="303"/>
      <c r="SC4" s="303"/>
      <c r="SD4" s="303" t="s">
        <v>1407</v>
      </c>
      <c r="SE4" s="303"/>
      <c r="SF4" s="303"/>
      <c r="SG4" s="303"/>
      <c r="SH4" s="303"/>
      <c r="SI4" s="303"/>
      <c r="SJ4" s="303"/>
      <c r="SK4" s="303"/>
      <c r="SL4" s="303"/>
      <c r="SM4" s="303"/>
      <c r="SN4" s="303"/>
      <c r="SO4" s="303" t="s">
        <v>1408</v>
      </c>
      <c r="SP4" s="303"/>
      <c r="SQ4" s="303"/>
      <c r="SR4" s="303"/>
      <c r="SS4" s="303"/>
      <c r="ST4" s="303"/>
      <c r="SU4" s="303"/>
      <c r="SV4" s="303"/>
      <c r="SW4" s="303"/>
      <c r="SX4" s="303"/>
      <c r="SY4" s="303"/>
      <c r="SZ4" s="303" t="s">
        <v>1355</v>
      </c>
      <c r="TA4" s="303"/>
      <c r="TB4" s="303"/>
      <c r="TC4" s="303"/>
      <c r="TD4" s="303"/>
      <c r="TE4" s="303"/>
      <c r="TF4" s="303"/>
      <c r="TG4" s="303"/>
      <c r="TH4" s="303"/>
      <c r="TI4" s="303"/>
      <c r="TJ4" s="303"/>
      <c r="TK4" s="303" t="s">
        <v>1409</v>
      </c>
      <c r="TL4" s="303"/>
      <c r="TM4" s="303"/>
      <c r="TN4" s="303"/>
      <c r="TO4" s="303"/>
      <c r="TP4" s="303"/>
      <c r="TQ4" s="303"/>
      <c r="TR4" s="303"/>
      <c r="TS4" s="303"/>
      <c r="TT4" s="303"/>
      <c r="TU4" s="303"/>
      <c r="TV4" s="303" t="s">
        <v>1410</v>
      </c>
      <c r="TW4" s="303"/>
      <c r="TX4" s="303"/>
      <c r="TY4" s="303"/>
      <c r="TZ4" s="303"/>
      <c r="UA4" s="303"/>
      <c r="UB4" s="303"/>
      <c r="UC4" s="303"/>
      <c r="UD4" s="303"/>
      <c r="UE4" s="303"/>
      <c r="UF4" s="303"/>
      <c r="UG4" s="303" t="s">
        <v>1411</v>
      </c>
      <c r="UH4" s="303"/>
      <c r="UI4" s="303"/>
      <c r="UJ4" s="303"/>
      <c r="UK4" s="303"/>
      <c r="UL4" s="303"/>
      <c r="UM4" s="303"/>
      <c r="UN4" s="303"/>
      <c r="UO4" s="303"/>
      <c r="UP4" s="303"/>
      <c r="UQ4" s="303"/>
      <c r="UR4" s="303" t="s">
        <v>1412</v>
      </c>
      <c r="US4" s="303"/>
      <c r="UT4" s="303"/>
      <c r="UU4" s="303"/>
      <c r="UV4" s="303"/>
      <c r="UW4" s="303"/>
      <c r="UX4" s="303"/>
      <c r="UY4" s="303"/>
      <c r="UZ4" s="303"/>
      <c r="VA4" s="303"/>
      <c r="VB4" s="303"/>
      <c r="VC4" s="303" t="s">
        <v>1413</v>
      </c>
      <c r="VD4" s="303"/>
      <c r="VE4" s="303"/>
      <c r="VF4" s="303"/>
      <c r="VG4" s="303"/>
      <c r="VH4" s="303"/>
      <c r="VI4" s="303"/>
      <c r="VJ4" s="303"/>
      <c r="VK4" s="303"/>
      <c r="VL4" s="303"/>
      <c r="VM4" s="303"/>
      <c r="VN4" s="303" t="s">
        <v>1356</v>
      </c>
      <c r="VO4" s="303"/>
      <c r="VP4" s="303"/>
      <c r="VQ4" s="303"/>
      <c r="VR4" s="303"/>
      <c r="VS4" s="303"/>
      <c r="VT4" s="303"/>
      <c r="VU4" s="303"/>
      <c r="VV4" s="303"/>
      <c r="VW4" s="303"/>
      <c r="VX4" s="303"/>
      <c r="VY4" s="303" t="s">
        <v>1414</v>
      </c>
      <c r="VZ4" s="303"/>
      <c r="WA4" s="303"/>
      <c r="WB4" s="303"/>
      <c r="WC4" s="303"/>
      <c r="WD4" s="303"/>
      <c r="WE4" s="303"/>
      <c r="WF4" s="303"/>
      <c r="WG4" s="303"/>
      <c r="WH4" s="303"/>
      <c r="WI4" s="303"/>
      <c r="WJ4" s="303" t="s">
        <v>1415</v>
      </c>
      <c r="WK4" s="303"/>
      <c r="WL4" s="303"/>
      <c r="WM4" s="303"/>
      <c r="WN4" s="303"/>
      <c r="WO4" s="303"/>
      <c r="WP4" s="303"/>
      <c r="WQ4" s="303"/>
      <c r="WR4" s="303"/>
      <c r="WS4" s="303"/>
      <c r="WT4" s="303"/>
      <c r="WU4" s="303" t="s">
        <v>1416</v>
      </c>
      <c r="WV4" s="303"/>
      <c r="WW4" s="303"/>
      <c r="WX4" s="303"/>
      <c r="WY4" s="303"/>
      <c r="WZ4" s="303"/>
      <c r="XA4" s="303"/>
      <c r="XB4" s="303"/>
      <c r="XC4" s="303"/>
      <c r="XD4" s="303"/>
      <c r="XE4" s="303"/>
      <c r="XF4" s="303" t="s">
        <v>1417</v>
      </c>
      <c r="XG4" s="303"/>
      <c r="XH4" s="303"/>
      <c r="XI4" s="303"/>
      <c r="XJ4" s="303"/>
      <c r="XK4" s="303"/>
      <c r="XL4" s="303"/>
      <c r="XM4" s="303"/>
      <c r="XN4" s="303"/>
      <c r="XO4" s="303"/>
      <c r="XP4" s="303"/>
      <c r="XQ4" s="303" t="s">
        <v>1418</v>
      </c>
      <c r="XR4" s="303"/>
      <c r="XS4" s="303"/>
      <c r="XT4" s="303"/>
      <c r="XU4" s="303"/>
      <c r="XV4" s="303"/>
      <c r="XW4" s="303"/>
      <c r="XX4" s="303"/>
      <c r="XY4" s="303"/>
      <c r="XZ4" s="303"/>
      <c r="YA4" s="303"/>
      <c r="YB4" s="303" t="s">
        <v>1419</v>
      </c>
      <c r="YC4" s="303"/>
      <c r="YD4" s="303"/>
      <c r="YE4" s="303"/>
      <c r="YF4" s="303"/>
      <c r="YG4" s="303"/>
      <c r="YH4" s="303"/>
      <c r="YI4" s="303"/>
      <c r="YJ4" s="303"/>
      <c r="YK4" s="303"/>
      <c r="YL4" s="303"/>
      <c r="YM4" s="303" t="s">
        <v>1420</v>
      </c>
      <c r="YN4" s="303"/>
      <c r="YO4" s="303"/>
      <c r="YP4" s="303"/>
      <c r="YQ4" s="303"/>
      <c r="YR4" s="303"/>
      <c r="YS4" s="303"/>
      <c r="YT4" s="303"/>
      <c r="YU4" s="303"/>
      <c r="YV4" s="303"/>
      <c r="YW4" s="303"/>
      <c r="YX4" s="303" t="s">
        <v>1421</v>
      </c>
      <c r="YY4" s="303"/>
      <c r="YZ4" s="303"/>
      <c r="ZA4" s="303"/>
      <c r="ZB4" s="303"/>
      <c r="ZC4" s="303"/>
      <c r="ZD4" s="303"/>
      <c r="ZE4" s="303"/>
      <c r="ZF4" s="303"/>
      <c r="ZG4" s="303"/>
      <c r="ZH4" s="303"/>
      <c r="ZI4" s="303" t="s">
        <v>1422</v>
      </c>
      <c r="ZJ4" s="303"/>
      <c r="ZK4" s="303"/>
      <c r="ZL4" s="303"/>
      <c r="ZM4" s="303"/>
      <c r="ZN4" s="303"/>
      <c r="ZO4" s="303"/>
      <c r="ZP4" s="303"/>
      <c r="ZQ4" s="303"/>
      <c r="ZR4" s="303"/>
      <c r="ZS4" s="303"/>
      <c r="ZT4" s="303" t="s">
        <v>1423</v>
      </c>
      <c r="ZU4" s="303"/>
      <c r="ZV4" s="303"/>
      <c r="ZW4" s="303"/>
      <c r="ZX4" s="303"/>
      <c r="ZY4" s="303"/>
      <c r="ZZ4" s="303"/>
      <c r="AAA4" s="303"/>
      <c r="AAB4" s="303"/>
      <c r="AAC4" s="303"/>
      <c r="AAD4" s="303"/>
      <c r="AAE4" s="303" t="s">
        <v>1424</v>
      </c>
      <c r="AAF4" s="303"/>
      <c r="AAG4" s="303"/>
      <c r="AAH4" s="303"/>
      <c r="AAI4" s="303"/>
      <c r="AAJ4" s="303"/>
      <c r="AAK4" s="303"/>
      <c r="AAL4" s="303"/>
      <c r="AAM4" s="303"/>
      <c r="AAN4" s="303"/>
      <c r="AAO4" s="303"/>
      <c r="AAP4" s="303" t="s">
        <v>1425</v>
      </c>
      <c r="AAQ4" s="303"/>
      <c r="AAR4" s="303"/>
      <c r="AAS4" s="303"/>
      <c r="AAT4" s="303"/>
      <c r="AAU4" s="303"/>
      <c r="AAV4" s="303"/>
      <c r="AAW4" s="303"/>
      <c r="AAX4" s="303"/>
      <c r="AAY4" s="303"/>
      <c r="AAZ4" s="303"/>
      <c r="ABA4" s="303" t="s">
        <v>1426</v>
      </c>
      <c r="ABB4" s="303"/>
      <c r="ABC4" s="303"/>
      <c r="ABD4" s="303"/>
      <c r="ABE4" s="303"/>
      <c r="ABF4" s="303"/>
      <c r="ABG4" s="303"/>
      <c r="ABH4" s="303"/>
      <c r="ABI4" s="303"/>
      <c r="ABJ4" s="303"/>
      <c r="ABK4" s="303"/>
      <c r="ABL4" s="303" t="s">
        <v>1427</v>
      </c>
      <c r="ABM4" s="303"/>
      <c r="ABN4" s="303"/>
      <c r="ABO4" s="303"/>
      <c r="ABP4" s="303"/>
      <c r="ABQ4" s="303"/>
      <c r="ABR4" s="303"/>
      <c r="ABS4" s="303"/>
      <c r="ABT4" s="303"/>
      <c r="ABU4" s="303"/>
      <c r="ABV4" s="303"/>
      <c r="ABW4" s="303" t="s">
        <v>1428</v>
      </c>
      <c r="ABX4" s="303"/>
      <c r="ABY4" s="303"/>
      <c r="ABZ4" s="303"/>
      <c r="ACA4" s="303"/>
      <c r="ACB4" s="303"/>
      <c r="ACC4" s="303"/>
      <c r="ACD4" s="303"/>
      <c r="ACE4" s="303"/>
      <c r="ACF4" s="303"/>
      <c r="ACG4" s="303"/>
      <c r="ACH4" s="303" t="s">
        <v>1429</v>
      </c>
      <c r="ACI4" s="303"/>
      <c r="ACJ4" s="303"/>
      <c r="ACK4" s="303"/>
      <c r="ACL4" s="303"/>
      <c r="ACM4" s="303"/>
      <c r="ACN4" s="303"/>
      <c r="ACO4" s="303"/>
      <c r="ACP4" s="303"/>
      <c r="ACQ4" s="303"/>
      <c r="ACR4" s="303"/>
      <c r="ACS4" s="303" t="s">
        <v>1357</v>
      </c>
      <c r="ACT4" s="303"/>
      <c r="ACU4" s="303"/>
      <c r="ACV4" s="303"/>
      <c r="ACW4" s="303"/>
      <c r="ACX4" s="303"/>
      <c r="ACY4" s="303"/>
      <c r="ACZ4" s="303"/>
      <c r="ADA4" s="303"/>
      <c r="ADB4" s="303"/>
      <c r="ADC4" s="303"/>
      <c r="ADD4" s="303" t="s">
        <v>1430</v>
      </c>
      <c r="ADE4" s="303"/>
      <c r="ADF4" s="303"/>
      <c r="ADG4" s="303"/>
      <c r="ADH4" s="303"/>
      <c r="ADI4" s="303"/>
      <c r="ADJ4" s="303"/>
      <c r="ADK4" s="303"/>
      <c r="ADL4" s="303"/>
      <c r="ADM4" s="303"/>
      <c r="ADN4" s="303"/>
      <c r="ADO4" s="303" t="s">
        <v>1431</v>
      </c>
      <c r="ADP4" s="303"/>
      <c r="ADQ4" s="303"/>
      <c r="ADR4" s="303"/>
      <c r="ADS4" s="303"/>
      <c r="ADT4" s="303"/>
      <c r="ADU4" s="303"/>
      <c r="ADV4" s="303"/>
      <c r="ADW4" s="303"/>
      <c r="ADX4" s="303"/>
      <c r="ADY4" s="303"/>
      <c r="ADZ4" s="303" t="s">
        <v>1358</v>
      </c>
      <c r="AEA4" s="303"/>
      <c r="AEB4" s="303"/>
      <c r="AEC4" s="303"/>
      <c r="AED4" s="303"/>
      <c r="AEE4" s="303"/>
      <c r="AEF4" s="303"/>
      <c r="AEG4" s="303"/>
      <c r="AEH4" s="303"/>
      <c r="AEI4" s="303"/>
      <c r="AEJ4" s="303"/>
      <c r="AEK4" s="303" t="s">
        <v>1432</v>
      </c>
      <c r="AEL4" s="303"/>
      <c r="AEM4" s="303"/>
      <c r="AEN4" s="303"/>
      <c r="AEO4" s="303"/>
      <c r="AEP4" s="303"/>
      <c r="AEQ4" s="303"/>
      <c r="AER4" s="303"/>
      <c r="AES4" s="303"/>
      <c r="AET4" s="303"/>
      <c r="AEU4" s="303"/>
      <c r="AEV4" s="303" t="s">
        <v>1433</v>
      </c>
      <c r="AEW4" s="303"/>
      <c r="AEX4" s="303"/>
      <c r="AEY4" s="303"/>
      <c r="AEZ4" s="303"/>
      <c r="AFA4" s="303"/>
      <c r="AFB4" s="303"/>
      <c r="AFC4" s="303"/>
      <c r="AFD4" s="303"/>
      <c r="AFE4" s="303"/>
      <c r="AFF4" s="303"/>
      <c r="AFG4" s="303" t="s">
        <v>1434</v>
      </c>
      <c r="AFH4" s="303"/>
      <c r="AFI4" s="303"/>
      <c r="AFJ4" s="303"/>
      <c r="AFK4" s="303"/>
      <c r="AFL4" s="303"/>
      <c r="AFM4" s="303"/>
      <c r="AFN4" s="303"/>
      <c r="AFO4" s="303"/>
      <c r="AFP4" s="303"/>
      <c r="AFQ4" s="303"/>
      <c r="AFR4" s="303" t="s">
        <v>1435</v>
      </c>
      <c r="AFS4" s="303"/>
      <c r="AFT4" s="303"/>
      <c r="AFU4" s="303"/>
      <c r="AFV4" s="303"/>
      <c r="AFW4" s="303"/>
      <c r="AFX4" s="303"/>
      <c r="AFY4" s="303"/>
      <c r="AFZ4" s="303"/>
      <c r="AGA4" s="303"/>
      <c r="AGB4" s="303"/>
      <c r="AGC4" s="303" t="s">
        <v>1436</v>
      </c>
      <c r="AGD4" s="303"/>
      <c r="AGE4" s="303"/>
      <c r="AGF4" s="303"/>
      <c r="AGG4" s="303"/>
      <c r="AGH4" s="303"/>
      <c r="AGI4" s="303"/>
      <c r="AGJ4" s="303"/>
      <c r="AGK4" s="303"/>
      <c r="AGL4" s="303"/>
      <c r="AGM4" s="303"/>
      <c r="AGN4" s="303" t="s">
        <v>1437</v>
      </c>
      <c r="AGO4" s="303"/>
      <c r="AGP4" s="303"/>
      <c r="AGQ4" s="303"/>
      <c r="AGR4" s="303"/>
      <c r="AGS4" s="303"/>
      <c r="AGT4" s="303"/>
      <c r="AGU4" s="303"/>
      <c r="AGV4" s="303"/>
      <c r="AGW4" s="303"/>
      <c r="AGX4" s="303"/>
      <c r="AGY4" s="303" t="s">
        <v>1438</v>
      </c>
      <c r="AGZ4" s="303"/>
      <c r="AHA4" s="303"/>
      <c r="AHB4" s="303"/>
      <c r="AHC4" s="303"/>
      <c r="AHD4" s="303"/>
      <c r="AHE4" s="303"/>
      <c r="AHF4" s="303"/>
      <c r="AHG4" s="303"/>
      <c r="AHH4" s="303"/>
      <c r="AHI4" s="303"/>
      <c r="AHJ4" s="303" t="s">
        <v>1439</v>
      </c>
      <c r="AHK4" s="303"/>
      <c r="AHL4" s="303"/>
      <c r="AHM4" s="303"/>
      <c r="AHN4" s="303"/>
      <c r="AHO4" s="303"/>
      <c r="AHP4" s="303"/>
      <c r="AHQ4" s="303"/>
      <c r="AHR4" s="303"/>
      <c r="AHS4" s="303"/>
      <c r="AHT4" s="303"/>
      <c r="AHU4" s="303" t="s">
        <v>1440</v>
      </c>
      <c r="AHV4" s="303"/>
      <c r="AHW4" s="303"/>
      <c r="AHX4" s="303"/>
      <c r="AHY4" s="303"/>
      <c r="AHZ4" s="303"/>
      <c r="AIA4" s="303"/>
      <c r="AIB4" s="303"/>
      <c r="AIC4" s="303"/>
      <c r="AID4" s="303"/>
      <c r="AIE4" s="303"/>
      <c r="AIF4" s="303" t="s">
        <v>1441</v>
      </c>
      <c r="AIG4" s="303"/>
      <c r="AIH4" s="303"/>
      <c r="AII4" s="303"/>
      <c r="AIJ4" s="303"/>
      <c r="AIK4" s="303"/>
      <c r="AIL4" s="303"/>
      <c r="AIM4" s="303"/>
      <c r="AIN4" s="303"/>
      <c r="AIO4" s="303"/>
      <c r="AIP4" s="303"/>
      <c r="AIQ4" s="303" t="s">
        <v>1442</v>
      </c>
      <c r="AIR4" s="303"/>
      <c r="AIS4" s="303"/>
      <c r="AIT4" s="303"/>
      <c r="AIU4" s="303"/>
      <c r="AIV4" s="303"/>
      <c r="AIW4" s="303"/>
      <c r="AIX4" s="303"/>
      <c r="AIY4" s="303"/>
      <c r="AIZ4" s="303"/>
      <c r="AJA4" s="303"/>
      <c r="AJB4" s="303" t="s">
        <v>1443</v>
      </c>
      <c r="AJC4" s="303"/>
      <c r="AJD4" s="303"/>
      <c r="AJE4" s="303"/>
      <c r="AJF4" s="303"/>
      <c r="AJG4" s="303"/>
      <c r="AJH4" s="303"/>
      <c r="AJI4" s="303"/>
      <c r="AJJ4" s="303"/>
      <c r="AJK4" s="303"/>
      <c r="AJL4" s="303"/>
      <c r="AJM4" s="303" t="s">
        <v>1444</v>
      </c>
      <c r="AJN4" s="303"/>
      <c r="AJO4" s="303"/>
      <c r="AJP4" s="303"/>
      <c r="AJQ4" s="303"/>
      <c r="AJR4" s="303"/>
      <c r="AJS4" s="303"/>
      <c r="AJT4" s="303"/>
      <c r="AJU4" s="303"/>
      <c r="AJV4" s="303"/>
      <c r="AJW4" s="303"/>
      <c r="AJX4" s="303" t="s">
        <v>1445</v>
      </c>
      <c r="AJY4" s="303"/>
      <c r="AJZ4" s="303"/>
      <c r="AKA4" s="303"/>
      <c r="AKB4" s="303"/>
      <c r="AKC4" s="303"/>
      <c r="AKD4" s="303"/>
      <c r="AKE4" s="303"/>
      <c r="AKF4" s="303"/>
      <c r="AKG4" s="303"/>
      <c r="AKH4" s="303"/>
      <c r="AKI4" s="303" t="s">
        <v>1359</v>
      </c>
      <c r="AKJ4" s="303"/>
      <c r="AKK4" s="303"/>
      <c r="AKL4" s="303"/>
      <c r="AKM4" s="303"/>
      <c r="AKN4" s="303"/>
      <c r="AKO4" s="303"/>
      <c r="AKP4" s="303"/>
      <c r="AKQ4" s="303"/>
      <c r="AKR4" s="303"/>
      <c r="AKS4" s="303"/>
      <c r="AKT4" s="303" t="s">
        <v>1446</v>
      </c>
      <c r="AKU4" s="303"/>
      <c r="AKV4" s="303"/>
      <c r="AKW4" s="303"/>
      <c r="AKX4" s="303"/>
      <c r="AKY4" s="303"/>
      <c r="AKZ4" s="303"/>
      <c r="ALA4" s="303"/>
      <c r="ALB4" s="303"/>
      <c r="ALC4" s="303"/>
      <c r="ALD4" s="303"/>
      <c r="ALE4" s="303" t="s">
        <v>1447</v>
      </c>
      <c r="ALF4" s="303"/>
      <c r="ALG4" s="303"/>
      <c r="ALH4" s="303"/>
      <c r="ALI4" s="303"/>
      <c r="ALJ4" s="303"/>
      <c r="ALK4" s="303"/>
      <c r="ALL4" s="303"/>
      <c r="ALM4" s="303"/>
      <c r="ALN4" s="303"/>
      <c r="ALO4" s="303"/>
      <c r="ALP4" s="303" t="s">
        <v>1448</v>
      </c>
      <c r="ALQ4" s="303"/>
      <c r="ALR4" s="303"/>
      <c r="ALS4" s="303"/>
      <c r="ALT4" s="303"/>
      <c r="ALU4" s="303"/>
      <c r="ALV4" s="303"/>
      <c r="ALW4" s="303"/>
      <c r="ALX4" s="303"/>
      <c r="ALY4" s="303"/>
      <c r="ALZ4" s="303"/>
      <c r="AMA4" s="303" t="s">
        <v>1449</v>
      </c>
      <c r="AMB4" s="303"/>
      <c r="AMC4" s="303"/>
      <c r="AMD4" s="303"/>
      <c r="AME4" s="303"/>
      <c r="AMF4" s="303"/>
      <c r="AMG4" s="303"/>
      <c r="AMH4" s="303"/>
      <c r="AMI4" s="303"/>
      <c r="AMJ4" s="303"/>
      <c r="AMK4" s="303"/>
      <c r="AML4" s="303" t="s">
        <v>1450</v>
      </c>
      <c r="AMM4" s="303"/>
      <c r="AMN4" s="303"/>
      <c r="AMO4" s="303"/>
      <c r="AMP4" s="303"/>
      <c r="AMQ4" s="303"/>
      <c r="AMR4" s="303"/>
      <c r="AMS4" s="303"/>
      <c r="AMT4" s="303"/>
      <c r="AMU4" s="303"/>
      <c r="AMV4" s="303"/>
      <c r="AMW4" s="303" t="s">
        <v>1451</v>
      </c>
      <c r="AMX4" s="303"/>
      <c r="AMY4" s="303"/>
      <c r="AMZ4" s="303"/>
      <c r="ANA4" s="303"/>
      <c r="ANB4" s="303"/>
      <c r="ANC4" s="303"/>
      <c r="AND4" s="303"/>
      <c r="ANE4" s="303"/>
      <c r="ANF4" s="303"/>
      <c r="ANG4" s="303"/>
      <c r="ANH4" s="303" t="s">
        <v>1360</v>
      </c>
      <c r="ANI4" s="303"/>
      <c r="ANJ4" s="303"/>
      <c r="ANK4" s="303"/>
      <c r="ANL4" s="303"/>
      <c r="ANM4" s="303"/>
      <c r="ANN4" s="303"/>
      <c r="ANO4" s="303"/>
      <c r="ANP4" s="303"/>
      <c r="ANQ4" s="303"/>
      <c r="ANR4" s="303"/>
      <c r="ANS4" s="303" t="s">
        <v>1452</v>
      </c>
      <c r="ANT4" s="303"/>
      <c r="ANU4" s="303"/>
      <c r="ANV4" s="303"/>
      <c r="ANW4" s="303"/>
      <c r="ANX4" s="303"/>
      <c r="ANY4" s="303"/>
      <c r="ANZ4" s="303"/>
      <c r="AOA4" s="303"/>
      <c r="AOB4" s="303"/>
      <c r="AOC4" s="303"/>
      <c r="AOD4" s="303" t="s">
        <v>1361</v>
      </c>
      <c r="AOE4" s="303"/>
      <c r="AOF4" s="303"/>
      <c r="AOG4" s="303"/>
      <c r="AOH4" s="303"/>
      <c r="AOI4" s="303"/>
      <c r="AOJ4" s="303"/>
      <c r="AOK4" s="303"/>
      <c r="AOL4" s="303"/>
      <c r="AOM4" s="303"/>
      <c r="AON4" s="303"/>
      <c r="AOO4" s="303" t="s">
        <v>1453</v>
      </c>
      <c r="AOP4" s="303"/>
      <c r="AOQ4" s="303"/>
      <c r="AOR4" s="303"/>
      <c r="AOS4" s="303"/>
      <c r="AOT4" s="303"/>
      <c r="AOU4" s="303"/>
      <c r="AOV4" s="303"/>
      <c r="AOW4" s="303"/>
      <c r="AOX4" s="303"/>
      <c r="AOY4" s="303"/>
      <c r="AOZ4" s="303" t="s">
        <v>1454</v>
      </c>
      <c r="APA4" s="303"/>
      <c r="APB4" s="303"/>
      <c r="APC4" s="303"/>
      <c r="APD4" s="303"/>
      <c r="APE4" s="303"/>
      <c r="APF4" s="303"/>
      <c r="APG4" s="303"/>
      <c r="APH4" s="303"/>
      <c r="API4" s="303"/>
      <c r="APJ4" s="303"/>
      <c r="APK4" s="303" t="s">
        <v>1455</v>
      </c>
      <c r="APL4" s="303"/>
      <c r="APM4" s="303"/>
      <c r="APN4" s="303"/>
      <c r="APO4" s="303"/>
      <c r="APP4" s="303"/>
      <c r="APQ4" s="303"/>
      <c r="APR4" s="303"/>
      <c r="APS4" s="303"/>
      <c r="APT4" s="303"/>
      <c r="APU4" s="303"/>
      <c r="APV4" s="303" t="s">
        <v>1456</v>
      </c>
      <c r="APW4" s="303"/>
      <c r="APX4" s="303"/>
      <c r="APY4" s="303"/>
      <c r="APZ4" s="303"/>
      <c r="AQA4" s="303"/>
      <c r="AQB4" s="303"/>
      <c r="AQC4" s="303"/>
      <c r="AQD4" s="303"/>
      <c r="AQE4" s="303"/>
      <c r="AQF4" s="303"/>
      <c r="AQG4" s="303" t="s">
        <v>1457</v>
      </c>
      <c r="AQH4" s="303"/>
      <c r="AQI4" s="303"/>
      <c r="AQJ4" s="303"/>
      <c r="AQK4" s="303"/>
      <c r="AQL4" s="303"/>
      <c r="AQM4" s="303"/>
      <c r="AQN4" s="303"/>
      <c r="AQO4" s="303"/>
      <c r="AQP4" s="303"/>
      <c r="AQQ4" s="303"/>
      <c r="AQR4" s="303" t="s">
        <v>1362</v>
      </c>
      <c r="AQS4" s="303"/>
      <c r="AQT4" s="303"/>
      <c r="AQU4" s="303"/>
      <c r="AQV4" s="303"/>
      <c r="AQW4" s="303"/>
      <c r="AQX4" s="303"/>
      <c r="AQY4" s="303"/>
      <c r="AQZ4" s="303"/>
      <c r="ARA4" s="303"/>
      <c r="ARB4" s="303"/>
      <c r="ARC4" s="303" t="s">
        <v>1458</v>
      </c>
      <c r="ARD4" s="303"/>
      <c r="ARE4" s="303"/>
      <c r="ARF4" s="303"/>
      <c r="ARG4" s="303"/>
      <c r="ARH4" s="303"/>
      <c r="ARI4" s="303"/>
      <c r="ARJ4" s="303"/>
      <c r="ARK4" s="303"/>
      <c r="ARL4" s="303"/>
      <c r="ARM4" s="303"/>
      <c r="ARN4" s="303" t="s">
        <v>1459</v>
      </c>
      <c r="ARO4" s="303"/>
      <c r="ARP4" s="303"/>
      <c r="ARQ4" s="303"/>
      <c r="ARR4" s="303"/>
      <c r="ARS4" s="303"/>
      <c r="ART4" s="303"/>
      <c r="ARU4" s="303"/>
      <c r="ARV4" s="303"/>
      <c r="ARW4" s="303"/>
      <c r="ARX4" s="303"/>
      <c r="ARY4" s="303" t="s">
        <v>1460</v>
      </c>
      <c r="ARZ4" s="303"/>
      <c r="ASA4" s="303"/>
      <c r="ASB4" s="303"/>
      <c r="ASC4" s="303"/>
      <c r="ASD4" s="303"/>
      <c r="ASE4" s="303"/>
      <c r="ASF4" s="303"/>
      <c r="ASG4" s="303"/>
      <c r="ASH4" s="303"/>
      <c r="ASI4" s="303"/>
      <c r="ASJ4" s="303" t="s">
        <v>1461</v>
      </c>
      <c r="ASK4" s="303"/>
      <c r="ASL4" s="303"/>
      <c r="ASM4" s="303"/>
      <c r="ASN4" s="303"/>
      <c r="ASO4" s="303"/>
      <c r="ASP4" s="303"/>
      <c r="ASQ4" s="303"/>
      <c r="ASR4" s="303"/>
      <c r="ASS4" s="303"/>
      <c r="AST4" s="303"/>
      <c r="ASU4" s="303" t="s">
        <v>1462</v>
      </c>
      <c r="ASV4" s="303"/>
      <c r="ASW4" s="303"/>
      <c r="ASX4" s="303"/>
      <c r="ASY4" s="303"/>
      <c r="ASZ4" s="303"/>
      <c r="ATA4" s="303"/>
      <c r="ATB4" s="303"/>
      <c r="ATC4" s="303"/>
      <c r="ATD4" s="303"/>
      <c r="ATE4" s="303"/>
      <c r="ATF4" s="303" t="s">
        <v>1363</v>
      </c>
      <c r="ATG4" s="303"/>
      <c r="ATH4" s="303"/>
      <c r="ATI4" s="303"/>
      <c r="ATJ4" s="303"/>
      <c r="ATK4" s="303"/>
      <c r="ATL4" s="303"/>
      <c r="ATM4" s="303"/>
      <c r="ATN4" s="303"/>
      <c r="ATO4" s="303"/>
      <c r="ATP4" s="303"/>
      <c r="ATQ4" s="303" t="s">
        <v>1463</v>
      </c>
      <c r="ATR4" s="303"/>
      <c r="ATS4" s="303"/>
      <c r="ATT4" s="303"/>
      <c r="ATU4" s="303"/>
      <c r="ATV4" s="303"/>
      <c r="ATW4" s="303"/>
      <c r="ATX4" s="303"/>
      <c r="ATY4" s="303"/>
      <c r="ATZ4" s="303"/>
      <c r="AUA4" s="303"/>
      <c r="AUB4" s="303" t="s">
        <v>1464</v>
      </c>
      <c r="AUC4" s="303"/>
      <c r="AUD4" s="303"/>
      <c r="AUE4" s="303"/>
      <c r="AUF4" s="303"/>
      <c r="AUG4" s="303"/>
      <c r="AUH4" s="303"/>
      <c r="AUI4" s="303"/>
      <c r="AUJ4" s="303"/>
      <c r="AUK4" s="303"/>
      <c r="AUL4" s="303"/>
      <c r="AUM4" s="303" t="s">
        <v>1364</v>
      </c>
      <c r="AUN4" s="303"/>
      <c r="AUO4" s="303"/>
      <c r="AUP4" s="303"/>
      <c r="AUQ4" s="303"/>
      <c r="AUR4" s="303"/>
      <c r="AUS4" s="303"/>
      <c r="AUT4" s="303"/>
      <c r="AUU4" s="303"/>
      <c r="AUV4" s="303"/>
      <c r="AUW4" s="303"/>
      <c r="AUX4" s="303" t="s">
        <v>1465</v>
      </c>
      <c r="AUY4" s="303"/>
      <c r="AUZ4" s="303"/>
      <c r="AVA4" s="303"/>
      <c r="AVB4" s="303"/>
      <c r="AVC4" s="303"/>
      <c r="AVD4" s="303"/>
      <c r="AVE4" s="303"/>
      <c r="AVF4" s="303"/>
      <c r="AVG4" s="303"/>
      <c r="AVH4" s="303"/>
      <c r="AVI4" s="303" t="s">
        <v>1466</v>
      </c>
      <c r="AVJ4" s="303"/>
      <c r="AVK4" s="303"/>
      <c r="AVL4" s="303"/>
      <c r="AVM4" s="303"/>
      <c r="AVN4" s="303"/>
      <c r="AVO4" s="303"/>
      <c r="AVP4" s="303"/>
      <c r="AVQ4" s="303"/>
      <c r="AVR4" s="303"/>
      <c r="AVS4" s="303"/>
      <c r="AVT4" s="303" t="s">
        <v>1365</v>
      </c>
      <c r="AVU4" s="303"/>
      <c r="AVV4" s="303"/>
      <c r="AVW4" s="303"/>
      <c r="AVX4" s="303"/>
      <c r="AVY4" s="303"/>
      <c r="AVZ4" s="303"/>
      <c r="AWA4" s="303"/>
      <c r="AWB4" s="303"/>
      <c r="AWC4" s="303"/>
      <c r="AWD4" s="303"/>
      <c r="AWE4" s="303" t="s">
        <v>1467</v>
      </c>
      <c r="AWF4" s="303"/>
      <c r="AWG4" s="303"/>
      <c r="AWH4" s="303"/>
      <c r="AWI4" s="303"/>
      <c r="AWJ4" s="303"/>
      <c r="AWK4" s="303"/>
      <c r="AWL4" s="303"/>
      <c r="AWM4" s="303"/>
      <c r="AWN4" s="303"/>
      <c r="AWO4" s="303"/>
      <c r="AWP4" s="303" t="s">
        <v>1366</v>
      </c>
      <c r="AWQ4" s="303"/>
      <c r="AWR4" s="303"/>
      <c r="AWS4" s="303"/>
      <c r="AWT4" s="303"/>
      <c r="AWU4" s="303"/>
      <c r="AWV4" s="303"/>
      <c r="AWW4" s="303"/>
      <c r="AWX4" s="303"/>
      <c r="AWY4" s="303"/>
      <c r="AWZ4" s="303"/>
      <c r="AXA4" s="303" t="s">
        <v>1468</v>
      </c>
      <c r="AXB4" s="303"/>
      <c r="AXC4" s="303"/>
      <c r="AXD4" s="303"/>
      <c r="AXE4" s="303"/>
      <c r="AXF4" s="303"/>
      <c r="AXG4" s="303"/>
      <c r="AXH4" s="303"/>
      <c r="AXI4" s="303"/>
      <c r="AXJ4" s="303"/>
      <c r="AXK4" s="303"/>
      <c r="AXL4" s="303" t="s">
        <v>1469</v>
      </c>
      <c r="AXM4" s="303"/>
      <c r="AXN4" s="303"/>
      <c r="AXO4" s="303"/>
      <c r="AXP4" s="303"/>
      <c r="AXQ4" s="303"/>
      <c r="AXR4" s="303"/>
      <c r="AXS4" s="303"/>
      <c r="AXT4" s="303"/>
      <c r="AXU4" s="303"/>
      <c r="AXV4" s="303"/>
      <c r="AXW4" s="303" t="s">
        <v>744</v>
      </c>
      <c r="AXX4" s="303"/>
      <c r="AXY4" s="303"/>
      <c r="AXZ4" s="303"/>
      <c r="AYA4" s="303"/>
      <c r="AYB4" s="303"/>
      <c r="AYC4" s="303"/>
      <c r="AYD4" s="303"/>
      <c r="AYE4" s="303"/>
      <c r="AYF4" s="303"/>
      <c r="AYG4" s="303"/>
      <c r="AYH4" s="303" t="s">
        <v>138</v>
      </c>
    </row>
    <row r="5" spans="1:1334" ht="24.75" x14ac:dyDescent="0.25">
      <c r="A5" s="300" t="s">
        <v>575</v>
      </c>
      <c r="B5" s="299" t="s">
        <v>574</v>
      </c>
      <c r="C5" s="303" t="s">
        <v>140</v>
      </c>
      <c r="D5" s="303" t="s">
        <v>141</v>
      </c>
      <c r="E5" s="303" t="s">
        <v>142</v>
      </c>
      <c r="F5" s="303" t="s">
        <v>143</v>
      </c>
      <c r="G5" s="303" t="s">
        <v>144</v>
      </c>
      <c r="H5" s="303" t="s">
        <v>145</v>
      </c>
      <c r="I5" s="303" t="s">
        <v>147</v>
      </c>
      <c r="J5" s="303" t="s">
        <v>148</v>
      </c>
      <c r="K5" s="303" t="s">
        <v>149</v>
      </c>
      <c r="L5" s="303" t="s">
        <v>150</v>
      </c>
      <c r="M5" s="303" t="s">
        <v>162</v>
      </c>
      <c r="N5" s="303" t="s">
        <v>140</v>
      </c>
      <c r="O5" s="303" t="s">
        <v>141</v>
      </c>
      <c r="P5" s="303" t="s">
        <v>142</v>
      </c>
      <c r="Q5" s="303" t="s">
        <v>143</v>
      </c>
      <c r="R5" s="303" t="s">
        <v>144</v>
      </c>
      <c r="S5" s="303" t="s">
        <v>145</v>
      </c>
      <c r="T5" s="303" t="s">
        <v>147</v>
      </c>
      <c r="U5" s="303" t="s">
        <v>148</v>
      </c>
      <c r="V5" s="303" t="s">
        <v>149</v>
      </c>
      <c r="W5" s="303" t="s">
        <v>150</v>
      </c>
      <c r="X5" s="303" t="s">
        <v>162</v>
      </c>
      <c r="Y5" s="303" t="s">
        <v>140</v>
      </c>
      <c r="Z5" s="303" t="s">
        <v>141</v>
      </c>
      <c r="AA5" s="303" t="s">
        <v>142</v>
      </c>
      <c r="AB5" s="303" t="s">
        <v>143</v>
      </c>
      <c r="AC5" s="303" t="s">
        <v>144</v>
      </c>
      <c r="AD5" s="303" t="s">
        <v>145</v>
      </c>
      <c r="AE5" s="303" t="s">
        <v>147</v>
      </c>
      <c r="AF5" s="303" t="s">
        <v>148</v>
      </c>
      <c r="AG5" s="303" t="s">
        <v>149</v>
      </c>
      <c r="AH5" s="303" t="s">
        <v>150</v>
      </c>
      <c r="AI5" s="303" t="s">
        <v>162</v>
      </c>
      <c r="AJ5" s="303" t="s">
        <v>140</v>
      </c>
      <c r="AK5" s="303" t="s">
        <v>141</v>
      </c>
      <c r="AL5" s="303" t="s">
        <v>142</v>
      </c>
      <c r="AM5" s="303" t="s">
        <v>143</v>
      </c>
      <c r="AN5" s="303" t="s">
        <v>144</v>
      </c>
      <c r="AO5" s="303" t="s">
        <v>145</v>
      </c>
      <c r="AP5" s="303" t="s">
        <v>147</v>
      </c>
      <c r="AQ5" s="303" t="s">
        <v>148</v>
      </c>
      <c r="AR5" s="303" t="s">
        <v>149</v>
      </c>
      <c r="AS5" s="303" t="s">
        <v>150</v>
      </c>
      <c r="AT5" s="303" t="s">
        <v>162</v>
      </c>
      <c r="AU5" s="303" t="s">
        <v>140</v>
      </c>
      <c r="AV5" s="303" t="s">
        <v>141</v>
      </c>
      <c r="AW5" s="303" t="s">
        <v>142</v>
      </c>
      <c r="AX5" s="303" t="s">
        <v>143</v>
      </c>
      <c r="AY5" s="303" t="s">
        <v>144</v>
      </c>
      <c r="AZ5" s="303" t="s">
        <v>145</v>
      </c>
      <c r="BA5" s="303" t="s">
        <v>147</v>
      </c>
      <c r="BB5" s="303" t="s">
        <v>148</v>
      </c>
      <c r="BC5" s="303" t="s">
        <v>149</v>
      </c>
      <c r="BD5" s="303" t="s">
        <v>150</v>
      </c>
      <c r="BE5" s="303" t="s">
        <v>162</v>
      </c>
      <c r="BF5" s="303" t="s">
        <v>140</v>
      </c>
      <c r="BG5" s="303" t="s">
        <v>141</v>
      </c>
      <c r="BH5" s="303" t="s">
        <v>142</v>
      </c>
      <c r="BI5" s="303" t="s">
        <v>143</v>
      </c>
      <c r="BJ5" s="303" t="s">
        <v>144</v>
      </c>
      <c r="BK5" s="303" t="s">
        <v>145</v>
      </c>
      <c r="BL5" s="303" t="s">
        <v>147</v>
      </c>
      <c r="BM5" s="303" t="s">
        <v>148</v>
      </c>
      <c r="BN5" s="303" t="s">
        <v>149</v>
      </c>
      <c r="BO5" s="303" t="s">
        <v>150</v>
      </c>
      <c r="BP5" s="303" t="s">
        <v>162</v>
      </c>
      <c r="BQ5" s="303" t="s">
        <v>140</v>
      </c>
      <c r="BR5" s="303" t="s">
        <v>141</v>
      </c>
      <c r="BS5" s="303" t="s">
        <v>142</v>
      </c>
      <c r="BT5" s="303" t="s">
        <v>143</v>
      </c>
      <c r="BU5" s="303" t="s">
        <v>144</v>
      </c>
      <c r="BV5" s="303" t="s">
        <v>145</v>
      </c>
      <c r="BW5" s="303" t="s">
        <v>147</v>
      </c>
      <c r="BX5" s="303" t="s">
        <v>148</v>
      </c>
      <c r="BY5" s="303" t="s">
        <v>149</v>
      </c>
      <c r="BZ5" s="303" t="s">
        <v>150</v>
      </c>
      <c r="CA5" s="303" t="s">
        <v>162</v>
      </c>
      <c r="CB5" s="303" t="s">
        <v>140</v>
      </c>
      <c r="CC5" s="303" t="s">
        <v>141</v>
      </c>
      <c r="CD5" s="303" t="s">
        <v>142</v>
      </c>
      <c r="CE5" s="303" t="s">
        <v>143</v>
      </c>
      <c r="CF5" s="303" t="s">
        <v>144</v>
      </c>
      <c r="CG5" s="303" t="s">
        <v>145</v>
      </c>
      <c r="CH5" s="303" t="s">
        <v>147</v>
      </c>
      <c r="CI5" s="303" t="s">
        <v>148</v>
      </c>
      <c r="CJ5" s="303" t="s">
        <v>149</v>
      </c>
      <c r="CK5" s="303" t="s">
        <v>150</v>
      </c>
      <c r="CL5" s="303" t="s">
        <v>162</v>
      </c>
      <c r="CM5" s="303" t="s">
        <v>140</v>
      </c>
      <c r="CN5" s="303" t="s">
        <v>141</v>
      </c>
      <c r="CO5" s="303" t="s">
        <v>142</v>
      </c>
      <c r="CP5" s="303" t="s">
        <v>143</v>
      </c>
      <c r="CQ5" s="303" t="s">
        <v>144</v>
      </c>
      <c r="CR5" s="303" t="s">
        <v>145</v>
      </c>
      <c r="CS5" s="303" t="s">
        <v>147</v>
      </c>
      <c r="CT5" s="303" t="s">
        <v>148</v>
      </c>
      <c r="CU5" s="303" t="s">
        <v>149</v>
      </c>
      <c r="CV5" s="303" t="s">
        <v>150</v>
      </c>
      <c r="CW5" s="303" t="s">
        <v>162</v>
      </c>
      <c r="CX5" s="303" t="s">
        <v>140</v>
      </c>
      <c r="CY5" s="303" t="s">
        <v>141</v>
      </c>
      <c r="CZ5" s="303" t="s">
        <v>142</v>
      </c>
      <c r="DA5" s="303" t="s">
        <v>143</v>
      </c>
      <c r="DB5" s="303" t="s">
        <v>144</v>
      </c>
      <c r="DC5" s="303" t="s">
        <v>145</v>
      </c>
      <c r="DD5" s="303" t="s">
        <v>147</v>
      </c>
      <c r="DE5" s="303" t="s">
        <v>148</v>
      </c>
      <c r="DF5" s="303" t="s">
        <v>149</v>
      </c>
      <c r="DG5" s="303" t="s">
        <v>150</v>
      </c>
      <c r="DH5" s="303" t="s">
        <v>162</v>
      </c>
      <c r="DI5" s="303" t="s">
        <v>140</v>
      </c>
      <c r="DJ5" s="303" t="s">
        <v>141</v>
      </c>
      <c r="DK5" s="303" t="s">
        <v>142</v>
      </c>
      <c r="DL5" s="303" t="s">
        <v>143</v>
      </c>
      <c r="DM5" s="303" t="s">
        <v>144</v>
      </c>
      <c r="DN5" s="303" t="s">
        <v>145</v>
      </c>
      <c r="DO5" s="303" t="s">
        <v>147</v>
      </c>
      <c r="DP5" s="303" t="s">
        <v>148</v>
      </c>
      <c r="DQ5" s="303" t="s">
        <v>149</v>
      </c>
      <c r="DR5" s="303" t="s">
        <v>150</v>
      </c>
      <c r="DS5" s="303" t="s">
        <v>162</v>
      </c>
      <c r="DT5" s="303" t="s">
        <v>140</v>
      </c>
      <c r="DU5" s="303" t="s">
        <v>141</v>
      </c>
      <c r="DV5" s="303" t="s">
        <v>142</v>
      </c>
      <c r="DW5" s="303" t="s">
        <v>143</v>
      </c>
      <c r="DX5" s="303" t="s">
        <v>144</v>
      </c>
      <c r="DY5" s="303" t="s">
        <v>145</v>
      </c>
      <c r="DZ5" s="303" t="s">
        <v>147</v>
      </c>
      <c r="EA5" s="303" t="s">
        <v>148</v>
      </c>
      <c r="EB5" s="303" t="s">
        <v>149</v>
      </c>
      <c r="EC5" s="303" t="s">
        <v>150</v>
      </c>
      <c r="ED5" s="303" t="s">
        <v>162</v>
      </c>
      <c r="EE5" s="303" t="s">
        <v>140</v>
      </c>
      <c r="EF5" s="303" t="s">
        <v>141</v>
      </c>
      <c r="EG5" s="303" t="s">
        <v>142</v>
      </c>
      <c r="EH5" s="303" t="s">
        <v>143</v>
      </c>
      <c r="EI5" s="303" t="s">
        <v>144</v>
      </c>
      <c r="EJ5" s="303" t="s">
        <v>145</v>
      </c>
      <c r="EK5" s="303" t="s">
        <v>147</v>
      </c>
      <c r="EL5" s="303" t="s">
        <v>148</v>
      </c>
      <c r="EM5" s="303" t="s">
        <v>149</v>
      </c>
      <c r="EN5" s="303" t="s">
        <v>150</v>
      </c>
      <c r="EO5" s="303" t="s">
        <v>162</v>
      </c>
      <c r="EP5" s="303" t="s">
        <v>140</v>
      </c>
      <c r="EQ5" s="303" t="s">
        <v>141</v>
      </c>
      <c r="ER5" s="303" t="s">
        <v>142</v>
      </c>
      <c r="ES5" s="303" t="s">
        <v>143</v>
      </c>
      <c r="ET5" s="303" t="s">
        <v>144</v>
      </c>
      <c r="EU5" s="303" t="s">
        <v>145</v>
      </c>
      <c r="EV5" s="303" t="s">
        <v>147</v>
      </c>
      <c r="EW5" s="303" t="s">
        <v>148</v>
      </c>
      <c r="EX5" s="303" t="s">
        <v>149</v>
      </c>
      <c r="EY5" s="303" t="s">
        <v>150</v>
      </c>
      <c r="EZ5" s="303" t="s">
        <v>162</v>
      </c>
      <c r="FA5" s="303" t="s">
        <v>140</v>
      </c>
      <c r="FB5" s="303" t="s">
        <v>141</v>
      </c>
      <c r="FC5" s="303" t="s">
        <v>142</v>
      </c>
      <c r="FD5" s="303" t="s">
        <v>143</v>
      </c>
      <c r="FE5" s="303" t="s">
        <v>144</v>
      </c>
      <c r="FF5" s="303" t="s">
        <v>145</v>
      </c>
      <c r="FG5" s="303" t="s">
        <v>147</v>
      </c>
      <c r="FH5" s="303" t="s">
        <v>148</v>
      </c>
      <c r="FI5" s="303" t="s">
        <v>149</v>
      </c>
      <c r="FJ5" s="303" t="s">
        <v>150</v>
      </c>
      <c r="FK5" s="303" t="s">
        <v>162</v>
      </c>
      <c r="FL5" s="303" t="s">
        <v>140</v>
      </c>
      <c r="FM5" s="303" t="s">
        <v>141</v>
      </c>
      <c r="FN5" s="303" t="s">
        <v>142</v>
      </c>
      <c r="FO5" s="303" t="s">
        <v>143</v>
      </c>
      <c r="FP5" s="303" t="s">
        <v>144</v>
      </c>
      <c r="FQ5" s="303" t="s">
        <v>145</v>
      </c>
      <c r="FR5" s="303" t="s">
        <v>147</v>
      </c>
      <c r="FS5" s="303" t="s">
        <v>148</v>
      </c>
      <c r="FT5" s="303" t="s">
        <v>149</v>
      </c>
      <c r="FU5" s="303" t="s">
        <v>150</v>
      </c>
      <c r="FV5" s="303" t="s">
        <v>162</v>
      </c>
      <c r="FW5" s="303" t="s">
        <v>140</v>
      </c>
      <c r="FX5" s="303" t="s">
        <v>141</v>
      </c>
      <c r="FY5" s="303" t="s">
        <v>142</v>
      </c>
      <c r="FZ5" s="303" t="s">
        <v>143</v>
      </c>
      <c r="GA5" s="303" t="s">
        <v>144</v>
      </c>
      <c r="GB5" s="303" t="s">
        <v>145</v>
      </c>
      <c r="GC5" s="303" t="s">
        <v>147</v>
      </c>
      <c r="GD5" s="303" t="s">
        <v>148</v>
      </c>
      <c r="GE5" s="303" t="s">
        <v>149</v>
      </c>
      <c r="GF5" s="303" t="s">
        <v>150</v>
      </c>
      <c r="GG5" s="303" t="s">
        <v>162</v>
      </c>
      <c r="GH5" s="303" t="s">
        <v>140</v>
      </c>
      <c r="GI5" s="303" t="s">
        <v>141</v>
      </c>
      <c r="GJ5" s="303" t="s">
        <v>142</v>
      </c>
      <c r="GK5" s="303" t="s">
        <v>143</v>
      </c>
      <c r="GL5" s="303" t="s">
        <v>144</v>
      </c>
      <c r="GM5" s="303" t="s">
        <v>145</v>
      </c>
      <c r="GN5" s="303" t="s">
        <v>147</v>
      </c>
      <c r="GO5" s="303" t="s">
        <v>148</v>
      </c>
      <c r="GP5" s="303" t="s">
        <v>149</v>
      </c>
      <c r="GQ5" s="303" t="s">
        <v>150</v>
      </c>
      <c r="GR5" s="303" t="s">
        <v>162</v>
      </c>
      <c r="GS5" s="303" t="s">
        <v>140</v>
      </c>
      <c r="GT5" s="303" t="s">
        <v>141</v>
      </c>
      <c r="GU5" s="303" t="s">
        <v>142</v>
      </c>
      <c r="GV5" s="303" t="s">
        <v>143</v>
      </c>
      <c r="GW5" s="303" t="s">
        <v>144</v>
      </c>
      <c r="GX5" s="303" t="s">
        <v>145</v>
      </c>
      <c r="GY5" s="303" t="s">
        <v>147</v>
      </c>
      <c r="GZ5" s="303" t="s">
        <v>148</v>
      </c>
      <c r="HA5" s="303" t="s">
        <v>149</v>
      </c>
      <c r="HB5" s="303" t="s">
        <v>150</v>
      </c>
      <c r="HC5" s="303" t="s">
        <v>162</v>
      </c>
      <c r="HD5" s="303" t="s">
        <v>140</v>
      </c>
      <c r="HE5" s="303" t="s">
        <v>141</v>
      </c>
      <c r="HF5" s="303" t="s">
        <v>142</v>
      </c>
      <c r="HG5" s="303" t="s">
        <v>143</v>
      </c>
      <c r="HH5" s="303" t="s">
        <v>144</v>
      </c>
      <c r="HI5" s="303" t="s">
        <v>145</v>
      </c>
      <c r="HJ5" s="303" t="s">
        <v>147</v>
      </c>
      <c r="HK5" s="303" t="s">
        <v>148</v>
      </c>
      <c r="HL5" s="303" t="s">
        <v>149</v>
      </c>
      <c r="HM5" s="303" t="s">
        <v>150</v>
      </c>
      <c r="HN5" s="303" t="s">
        <v>162</v>
      </c>
      <c r="HO5" s="303" t="s">
        <v>140</v>
      </c>
      <c r="HP5" s="303" t="s">
        <v>141</v>
      </c>
      <c r="HQ5" s="303" t="s">
        <v>142</v>
      </c>
      <c r="HR5" s="303" t="s">
        <v>143</v>
      </c>
      <c r="HS5" s="303" t="s">
        <v>144</v>
      </c>
      <c r="HT5" s="303" t="s">
        <v>145</v>
      </c>
      <c r="HU5" s="303" t="s">
        <v>147</v>
      </c>
      <c r="HV5" s="303" t="s">
        <v>148</v>
      </c>
      <c r="HW5" s="303" t="s">
        <v>149</v>
      </c>
      <c r="HX5" s="303" t="s">
        <v>150</v>
      </c>
      <c r="HY5" s="303" t="s">
        <v>162</v>
      </c>
      <c r="HZ5" s="303" t="s">
        <v>140</v>
      </c>
      <c r="IA5" s="303" t="s">
        <v>141</v>
      </c>
      <c r="IB5" s="303" t="s">
        <v>142</v>
      </c>
      <c r="IC5" s="303" t="s">
        <v>143</v>
      </c>
      <c r="ID5" s="303" t="s">
        <v>144</v>
      </c>
      <c r="IE5" s="303" t="s">
        <v>145</v>
      </c>
      <c r="IF5" s="303" t="s">
        <v>147</v>
      </c>
      <c r="IG5" s="303" t="s">
        <v>148</v>
      </c>
      <c r="IH5" s="303" t="s">
        <v>149</v>
      </c>
      <c r="II5" s="303" t="s">
        <v>150</v>
      </c>
      <c r="IJ5" s="303" t="s">
        <v>162</v>
      </c>
      <c r="IK5" s="303" t="s">
        <v>140</v>
      </c>
      <c r="IL5" s="303" t="s">
        <v>141</v>
      </c>
      <c r="IM5" s="303" t="s">
        <v>142</v>
      </c>
      <c r="IN5" s="303" t="s">
        <v>143</v>
      </c>
      <c r="IO5" s="303" t="s">
        <v>144</v>
      </c>
      <c r="IP5" s="303" t="s">
        <v>145</v>
      </c>
      <c r="IQ5" s="303" t="s">
        <v>147</v>
      </c>
      <c r="IR5" s="303" t="s">
        <v>148</v>
      </c>
      <c r="IS5" s="303" t="s">
        <v>149</v>
      </c>
      <c r="IT5" s="303" t="s">
        <v>150</v>
      </c>
      <c r="IU5" s="303" t="s">
        <v>162</v>
      </c>
      <c r="IV5" s="303" t="s">
        <v>140</v>
      </c>
      <c r="IW5" s="303" t="s">
        <v>141</v>
      </c>
      <c r="IX5" s="303" t="s">
        <v>142</v>
      </c>
      <c r="IY5" s="303" t="s">
        <v>143</v>
      </c>
      <c r="IZ5" s="303" t="s">
        <v>144</v>
      </c>
      <c r="JA5" s="303" t="s">
        <v>145</v>
      </c>
      <c r="JB5" s="303" t="s">
        <v>147</v>
      </c>
      <c r="JC5" s="303" t="s">
        <v>148</v>
      </c>
      <c r="JD5" s="303" t="s">
        <v>149</v>
      </c>
      <c r="JE5" s="303" t="s">
        <v>150</v>
      </c>
      <c r="JF5" s="303" t="s">
        <v>162</v>
      </c>
      <c r="JG5" s="303" t="s">
        <v>140</v>
      </c>
      <c r="JH5" s="303" t="s">
        <v>141</v>
      </c>
      <c r="JI5" s="303" t="s">
        <v>142</v>
      </c>
      <c r="JJ5" s="303" t="s">
        <v>143</v>
      </c>
      <c r="JK5" s="303" t="s">
        <v>144</v>
      </c>
      <c r="JL5" s="303" t="s">
        <v>145</v>
      </c>
      <c r="JM5" s="303" t="s">
        <v>147</v>
      </c>
      <c r="JN5" s="303" t="s">
        <v>148</v>
      </c>
      <c r="JO5" s="303" t="s">
        <v>149</v>
      </c>
      <c r="JP5" s="303" t="s">
        <v>150</v>
      </c>
      <c r="JQ5" s="303" t="s">
        <v>162</v>
      </c>
      <c r="JR5" s="303" t="s">
        <v>140</v>
      </c>
      <c r="JS5" s="303" t="s">
        <v>141</v>
      </c>
      <c r="JT5" s="303" t="s">
        <v>142</v>
      </c>
      <c r="JU5" s="303" t="s">
        <v>143</v>
      </c>
      <c r="JV5" s="303" t="s">
        <v>144</v>
      </c>
      <c r="JW5" s="303" t="s">
        <v>145</v>
      </c>
      <c r="JX5" s="303" t="s">
        <v>147</v>
      </c>
      <c r="JY5" s="303" t="s">
        <v>148</v>
      </c>
      <c r="JZ5" s="303" t="s">
        <v>149</v>
      </c>
      <c r="KA5" s="303" t="s">
        <v>150</v>
      </c>
      <c r="KB5" s="303" t="s">
        <v>162</v>
      </c>
      <c r="KC5" s="303" t="s">
        <v>140</v>
      </c>
      <c r="KD5" s="303" t="s">
        <v>141</v>
      </c>
      <c r="KE5" s="303" t="s">
        <v>142</v>
      </c>
      <c r="KF5" s="303" t="s">
        <v>143</v>
      </c>
      <c r="KG5" s="303" t="s">
        <v>144</v>
      </c>
      <c r="KH5" s="303" t="s">
        <v>145</v>
      </c>
      <c r="KI5" s="303" t="s">
        <v>147</v>
      </c>
      <c r="KJ5" s="303" t="s">
        <v>148</v>
      </c>
      <c r="KK5" s="303" t="s">
        <v>149</v>
      </c>
      <c r="KL5" s="303" t="s">
        <v>150</v>
      </c>
      <c r="KM5" s="303" t="s">
        <v>162</v>
      </c>
      <c r="KN5" s="303" t="s">
        <v>140</v>
      </c>
      <c r="KO5" s="303" t="s">
        <v>141</v>
      </c>
      <c r="KP5" s="303" t="s">
        <v>142</v>
      </c>
      <c r="KQ5" s="303" t="s">
        <v>143</v>
      </c>
      <c r="KR5" s="303" t="s">
        <v>144</v>
      </c>
      <c r="KS5" s="303" t="s">
        <v>145</v>
      </c>
      <c r="KT5" s="303" t="s">
        <v>147</v>
      </c>
      <c r="KU5" s="303" t="s">
        <v>148</v>
      </c>
      <c r="KV5" s="303" t="s">
        <v>149</v>
      </c>
      <c r="KW5" s="303" t="s">
        <v>150</v>
      </c>
      <c r="KX5" s="303" t="s">
        <v>162</v>
      </c>
      <c r="KY5" s="303" t="s">
        <v>140</v>
      </c>
      <c r="KZ5" s="303" t="s">
        <v>141</v>
      </c>
      <c r="LA5" s="303" t="s">
        <v>142</v>
      </c>
      <c r="LB5" s="303" t="s">
        <v>143</v>
      </c>
      <c r="LC5" s="303" t="s">
        <v>144</v>
      </c>
      <c r="LD5" s="303" t="s">
        <v>145</v>
      </c>
      <c r="LE5" s="303" t="s">
        <v>147</v>
      </c>
      <c r="LF5" s="303" t="s">
        <v>148</v>
      </c>
      <c r="LG5" s="303" t="s">
        <v>149</v>
      </c>
      <c r="LH5" s="303" t="s">
        <v>150</v>
      </c>
      <c r="LI5" s="303" t="s">
        <v>162</v>
      </c>
      <c r="LJ5" s="303" t="s">
        <v>140</v>
      </c>
      <c r="LK5" s="303" t="s">
        <v>141</v>
      </c>
      <c r="LL5" s="303" t="s">
        <v>142</v>
      </c>
      <c r="LM5" s="303" t="s">
        <v>143</v>
      </c>
      <c r="LN5" s="303" t="s">
        <v>144</v>
      </c>
      <c r="LO5" s="303" t="s">
        <v>145</v>
      </c>
      <c r="LP5" s="303" t="s">
        <v>147</v>
      </c>
      <c r="LQ5" s="303" t="s">
        <v>148</v>
      </c>
      <c r="LR5" s="303" t="s">
        <v>149</v>
      </c>
      <c r="LS5" s="303" t="s">
        <v>150</v>
      </c>
      <c r="LT5" s="303" t="s">
        <v>162</v>
      </c>
      <c r="LU5" s="303" t="s">
        <v>140</v>
      </c>
      <c r="LV5" s="303" t="s">
        <v>141</v>
      </c>
      <c r="LW5" s="303" t="s">
        <v>142</v>
      </c>
      <c r="LX5" s="303" t="s">
        <v>143</v>
      </c>
      <c r="LY5" s="303" t="s">
        <v>144</v>
      </c>
      <c r="LZ5" s="303" t="s">
        <v>145</v>
      </c>
      <c r="MA5" s="303" t="s">
        <v>147</v>
      </c>
      <c r="MB5" s="303" t="s">
        <v>148</v>
      </c>
      <c r="MC5" s="303" t="s">
        <v>149</v>
      </c>
      <c r="MD5" s="303" t="s">
        <v>150</v>
      </c>
      <c r="ME5" s="303" t="s">
        <v>162</v>
      </c>
      <c r="MF5" s="303" t="s">
        <v>140</v>
      </c>
      <c r="MG5" s="303" t="s">
        <v>141</v>
      </c>
      <c r="MH5" s="303" t="s">
        <v>142</v>
      </c>
      <c r="MI5" s="303" t="s">
        <v>143</v>
      </c>
      <c r="MJ5" s="303" t="s">
        <v>144</v>
      </c>
      <c r="MK5" s="303" t="s">
        <v>145</v>
      </c>
      <c r="ML5" s="303" t="s">
        <v>147</v>
      </c>
      <c r="MM5" s="303" t="s">
        <v>148</v>
      </c>
      <c r="MN5" s="303" t="s">
        <v>149</v>
      </c>
      <c r="MO5" s="303" t="s">
        <v>150</v>
      </c>
      <c r="MP5" s="303" t="s">
        <v>162</v>
      </c>
      <c r="MQ5" s="303" t="s">
        <v>140</v>
      </c>
      <c r="MR5" s="303" t="s">
        <v>141</v>
      </c>
      <c r="MS5" s="303" t="s">
        <v>142</v>
      </c>
      <c r="MT5" s="303" t="s">
        <v>143</v>
      </c>
      <c r="MU5" s="303" t="s">
        <v>144</v>
      </c>
      <c r="MV5" s="303" t="s">
        <v>145</v>
      </c>
      <c r="MW5" s="303" t="s">
        <v>147</v>
      </c>
      <c r="MX5" s="303" t="s">
        <v>148</v>
      </c>
      <c r="MY5" s="303" t="s">
        <v>149</v>
      </c>
      <c r="MZ5" s="303" t="s">
        <v>150</v>
      </c>
      <c r="NA5" s="303" t="s">
        <v>162</v>
      </c>
      <c r="NB5" s="303" t="s">
        <v>140</v>
      </c>
      <c r="NC5" s="303" t="s">
        <v>141</v>
      </c>
      <c r="ND5" s="303" t="s">
        <v>142</v>
      </c>
      <c r="NE5" s="303" t="s">
        <v>143</v>
      </c>
      <c r="NF5" s="303" t="s">
        <v>144</v>
      </c>
      <c r="NG5" s="303" t="s">
        <v>145</v>
      </c>
      <c r="NH5" s="303" t="s">
        <v>147</v>
      </c>
      <c r="NI5" s="303" t="s">
        <v>148</v>
      </c>
      <c r="NJ5" s="303" t="s">
        <v>149</v>
      </c>
      <c r="NK5" s="303" t="s">
        <v>150</v>
      </c>
      <c r="NL5" s="303" t="s">
        <v>162</v>
      </c>
      <c r="NM5" s="303" t="s">
        <v>140</v>
      </c>
      <c r="NN5" s="303" t="s">
        <v>141</v>
      </c>
      <c r="NO5" s="303" t="s">
        <v>142</v>
      </c>
      <c r="NP5" s="303" t="s">
        <v>143</v>
      </c>
      <c r="NQ5" s="303" t="s">
        <v>144</v>
      </c>
      <c r="NR5" s="303" t="s">
        <v>145</v>
      </c>
      <c r="NS5" s="303" t="s">
        <v>147</v>
      </c>
      <c r="NT5" s="303" t="s">
        <v>148</v>
      </c>
      <c r="NU5" s="303" t="s">
        <v>149</v>
      </c>
      <c r="NV5" s="303" t="s">
        <v>150</v>
      </c>
      <c r="NW5" s="303" t="s">
        <v>162</v>
      </c>
      <c r="NX5" s="303" t="s">
        <v>140</v>
      </c>
      <c r="NY5" s="303" t="s">
        <v>141</v>
      </c>
      <c r="NZ5" s="303" t="s">
        <v>142</v>
      </c>
      <c r="OA5" s="303" t="s">
        <v>143</v>
      </c>
      <c r="OB5" s="303" t="s">
        <v>144</v>
      </c>
      <c r="OC5" s="303" t="s">
        <v>145</v>
      </c>
      <c r="OD5" s="303" t="s">
        <v>147</v>
      </c>
      <c r="OE5" s="303" t="s">
        <v>148</v>
      </c>
      <c r="OF5" s="303" t="s">
        <v>149</v>
      </c>
      <c r="OG5" s="303" t="s">
        <v>150</v>
      </c>
      <c r="OH5" s="303" t="s">
        <v>162</v>
      </c>
      <c r="OI5" s="303" t="s">
        <v>140</v>
      </c>
      <c r="OJ5" s="303" t="s">
        <v>141</v>
      </c>
      <c r="OK5" s="303" t="s">
        <v>142</v>
      </c>
      <c r="OL5" s="303" t="s">
        <v>143</v>
      </c>
      <c r="OM5" s="303" t="s">
        <v>144</v>
      </c>
      <c r="ON5" s="303" t="s">
        <v>145</v>
      </c>
      <c r="OO5" s="303" t="s">
        <v>147</v>
      </c>
      <c r="OP5" s="303" t="s">
        <v>148</v>
      </c>
      <c r="OQ5" s="303" t="s">
        <v>149</v>
      </c>
      <c r="OR5" s="303" t="s">
        <v>150</v>
      </c>
      <c r="OS5" s="303" t="s">
        <v>162</v>
      </c>
      <c r="OT5" s="303" t="s">
        <v>140</v>
      </c>
      <c r="OU5" s="303" t="s">
        <v>141</v>
      </c>
      <c r="OV5" s="303" t="s">
        <v>142</v>
      </c>
      <c r="OW5" s="303" t="s">
        <v>143</v>
      </c>
      <c r="OX5" s="303" t="s">
        <v>144</v>
      </c>
      <c r="OY5" s="303" t="s">
        <v>145</v>
      </c>
      <c r="OZ5" s="303" t="s">
        <v>147</v>
      </c>
      <c r="PA5" s="303" t="s">
        <v>148</v>
      </c>
      <c r="PB5" s="303" t="s">
        <v>149</v>
      </c>
      <c r="PC5" s="303" t="s">
        <v>150</v>
      </c>
      <c r="PD5" s="303" t="s">
        <v>162</v>
      </c>
      <c r="PE5" s="303" t="s">
        <v>140</v>
      </c>
      <c r="PF5" s="303" t="s">
        <v>141</v>
      </c>
      <c r="PG5" s="303" t="s">
        <v>142</v>
      </c>
      <c r="PH5" s="303" t="s">
        <v>143</v>
      </c>
      <c r="PI5" s="303" t="s">
        <v>144</v>
      </c>
      <c r="PJ5" s="303" t="s">
        <v>145</v>
      </c>
      <c r="PK5" s="303" t="s">
        <v>147</v>
      </c>
      <c r="PL5" s="303" t="s">
        <v>148</v>
      </c>
      <c r="PM5" s="303" t="s">
        <v>149</v>
      </c>
      <c r="PN5" s="303" t="s">
        <v>150</v>
      </c>
      <c r="PO5" s="303" t="s">
        <v>162</v>
      </c>
      <c r="PP5" s="303" t="s">
        <v>140</v>
      </c>
      <c r="PQ5" s="303" t="s">
        <v>141</v>
      </c>
      <c r="PR5" s="303" t="s">
        <v>142</v>
      </c>
      <c r="PS5" s="303" t="s">
        <v>143</v>
      </c>
      <c r="PT5" s="303" t="s">
        <v>144</v>
      </c>
      <c r="PU5" s="303" t="s">
        <v>145</v>
      </c>
      <c r="PV5" s="303" t="s">
        <v>147</v>
      </c>
      <c r="PW5" s="303" t="s">
        <v>148</v>
      </c>
      <c r="PX5" s="303" t="s">
        <v>149</v>
      </c>
      <c r="PY5" s="303" t="s">
        <v>150</v>
      </c>
      <c r="PZ5" s="303" t="s">
        <v>162</v>
      </c>
      <c r="QA5" s="303" t="s">
        <v>140</v>
      </c>
      <c r="QB5" s="303" t="s">
        <v>141</v>
      </c>
      <c r="QC5" s="303" t="s">
        <v>142</v>
      </c>
      <c r="QD5" s="303" t="s">
        <v>143</v>
      </c>
      <c r="QE5" s="303" t="s">
        <v>144</v>
      </c>
      <c r="QF5" s="303" t="s">
        <v>145</v>
      </c>
      <c r="QG5" s="303" t="s">
        <v>147</v>
      </c>
      <c r="QH5" s="303" t="s">
        <v>148</v>
      </c>
      <c r="QI5" s="303" t="s">
        <v>149</v>
      </c>
      <c r="QJ5" s="303" t="s">
        <v>150</v>
      </c>
      <c r="QK5" s="303" t="s">
        <v>162</v>
      </c>
      <c r="QL5" s="303" t="s">
        <v>140</v>
      </c>
      <c r="QM5" s="303" t="s">
        <v>141</v>
      </c>
      <c r="QN5" s="303" t="s">
        <v>142</v>
      </c>
      <c r="QO5" s="303" t="s">
        <v>143</v>
      </c>
      <c r="QP5" s="303" t="s">
        <v>144</v>
      </c>
      <c r="QQ5" s="303" t="s">
        <v>145</v>
      </c>
      <c r="QR5" s="303" t="s">
        <v>147</v>
      </c>
      <c r="QS5" s="303" t="s">
        <v>148</v>
      </c>
      <c r="QT5" s="303" t="s">
        <v>149</v>
      </c>
      <c r="QU5" s="303" t="s">
        <v>150</v>
      </c>
      <c r="QV5" s="303" t="s">
        <v>162</v>
      </c>
      <c r="QW5" s="303" t="s">
        <v>140</v>
      </c>
      <c r="QX5" s="303" t="s">
        <v>141</v>
      </c>
      <c r="QY5" s="303" t="s">
        <v>142</v>
      </c>
      <c r="QZ5" s="303" t="s">
        <v>143</v>
      </c>
      <c r="RA5" s="303" t="s">
        <v>144</v>
      </c>
      <c r="RB5" s="303" t="s">
        <v>145</v>
      </c>
      <c r="RC5" s="303" t="s">
        <v>147</v>
      </c>
      <c r="RD5" s="303" t="s">
        <v>148</v>
      </c>
      <c r="RE5" s="303" t="s">
        <v>149</v>
      </c>
      <c r="RF5" s="303" t="s">
        <v>150</v>
      </c>
      <c r="RG5" s="303" t="s">
        <v>162</v>
      </c>
      <c r="RH5" s="303" t="s">
        <v>140</v>
      </c>
      <c r="RI5" s="303" t="s">
        <v>141</v>
      </c>
      <c r="RJ5" s="303" t="s">
        <v>142</v>
      </c>
      <c r="RK5" s="303" t="s">
        <v>143</v>
      </c>
      <c r="RL5" s="303" t="s">
        <v>144</v>
      </c>
      <c r="RM5" s="303" t="s">
        <v>145</v>
      </c>
      <c r="RN5" s="303" t="s">
        <v>147</v>
      </c>
      <c r="RO5" s="303" t="s">
        <v>148</v>
      </c>
      <c r="RP5" s="303" t="s">
        <v>149</v>
      </c>
      <c r="RQ5" s="303" t="s">
        <v>150</v>
      </c>
      <c r="RR5" s="303" t="s">
        <v>162</v>
      </c>
      <c r="RS5" s="303" t="s">
        <v>140</v>
      </c>
      <c r="RT5" s="303" t="s">
        <v>141</v>
      </c>
      <c r="RU5" s="303" t="s">
        <v>142</v>
      </c>
      <c r="RV5" s="303" t="s">
        <v>143</v>
      </c>
      <c r="RW5" s="303" t="s">
        <v>144</v>
      </c>
      <c r="RX5" s="303" t="s">
        <v>145</v>
      </c>
      <c r="RY5" s="303" t="s">
        <v>147</v>
      </c>
      <c r="RZ5" s="303" t="s">
        <v>148</v>
      </c>
      <c r="SA5" s="303" t="s">
        <v>149</v>
      </c>
      <c r="SB5" s="303" t="s">
        <v>150</v>
      </c>
      <c r="SC5" s="303" t="s">
        <v>162</v>
      </c>
      <c r="SD5" s="303" t="s">
        <v>140</v>
      </c>
      <c r="SE5" s="303" t="s">
        <v>141</v>
      </c>
      <c r="SF5" s="303" t="s">
        <v>142</v>
      </c>
      <c r="SG5" s="303" t="s">
        <v>143</v>
      </c>
      <c r="SH5" s="303" t="s">
        <v>144</v>
      </c>
      <c r="SI5" s="303" t="s">
        <v>145</v>
      </c>
      <c r="SJ5" s="303" t="s">
        <v>147</v>
      </c>
      <c r="SK5" s="303" t="s">
        <v>148</v>
      </c>
      <c r="SL5" s="303" t="s">
        <v>149</v>
      </c>
      <c r="SM5" s="303" t="s">
        <v>150</v>
      </c>
      <c r="SN5" s="303" t="s">
        <v>162</v>
      </c>
      <c r="SO5" s="303" t="s">
        <v>140</v>
      </c>
      <c r="SP5" s="303" t="s">
        <v>141</v>
      </c>
      <c r="SQ5" s="303" t="s">
        <v>142</v>
      </c>
      <c r="SR5" s="303" t="s">
        <v>143</v>
      </c>
      <c r="SS5" s="303" t="s">
        <v>144</v>
      </c>
      <c r="ST5" s="303" t="s">
        <v>145</v>
      </c>
      <c r="SU5" s="303" t="s">
        <v>147</v>
      </c>
      <c r="SV5" s="303" t="s">
        <v>148</v>
      </c>
      <c r="SW5" s="303" t="s">
        <v>149</v>
      </c>
      <c r="SX5" s="303" t="s">
        <v>150</v>
      </c>
      <c r="SY5" s="303" t="s">
        <v>162</v>
      </c>
      <c r="SZ5" s="303" t="s">
        <v>140</v>
      </c>
      <c r="TA5" s="303" t="s">
        <v>141</v>
      </c>
      <c r="TB5" s="303" t="s">
        <v>142</v>
      </c>
      <c r="TC5" s="303" t="s">
        <v>143</v>
      </c>
      <c r="TD5" s="303" t="s">
        <v>144</v>
      </c>
      <c r="TE5" s="303" t="s">
        <v>145</v>
      </c>
      <c r="TF5" s="303" t="s">
        <v>147</v>
      </c>
      <c r="TG5" s="303" t="s">
        <v>148</v>
      </c>
      <c r="TH5" s="303" t="s">
        <v>149</v>
      </c>
      <c r="TI5" s="303" t="s">
        <v>150</v>
      </c>
      <c r="TJ5" s="303" t="s">
        <v>162</v>
      </c>
      <c r="TK5" s="303" t="s">
        <v>140</v>
      </c>
      <c r="TL5" s="303" t="s">
        <v>141</v>
      </c>
      <c r="TM5" s="303" t="s">
        <v>142</v>
      </c>
      <c r="TN5" s="303" t="s">
        <v>143</v>
      </c>
      <c r="TO5" s="303" t="s">
        <v>144</v>
      </c>
      <c r="TP5" s="303" t="s">
        <v>145</v>
      </c>
      <c r="TQ5" s="303" t="s">
        <v>147</v>
      </c>
      <c r="TR5" s="303" t="s">
        <v>148</v>
      </c>
      <c r="TS5" s="303" t="s">
        <v>149</v>
      </c>
      <c r="TT5" s="303" t="s">
        <v>150</v>
      </c>
      <c r="TU5" s="303" t="s">
        <v>162</v>
      </c>
      <c r="TV5" s="303" t="s">
        <v>140</v>
      </c>
      <c r="TW5" s="303" t="s">
        <v>141</v>
      </c>
      <c r="TX5" s="303" t="s">
        <v>142</v>
      </c>
      <c r="TY5" s="303" t="s">
        <v>143</v>
      </c>
      <c r="TZ5" s="303" t="s">
        <v>144</v>
      </c>
      <c r="UA5" s="303" t="s">
        <v>145</v>
      </c>
      <c r="UB5" s="303" t="s">
        <v>147</v>
      </c>
      <c r="UC5" s="303" t="s">
        <v>148</v>
      </c>
      <c r="UD5" s="303" t="s">
        <v>149</v>
      </c>
      <c r="UE5" s="303" t="s">
        <v>150</v>
      </c>
      <c r="UF5" s="303" t="s">
        <v>162</v>
      </c>
      <c r="UG5" s="303" t="s">
        <v>140</v>
      </c>
      <c r="UH5" s="303" t="s">
        <v>141</v>
      </c>
      <c r="UI5" s="303" t="s">
        <v>142</v>
      </c>
      <c r="UJ5" s="303" t="s">
        <v>143</v>
      </c>
      <c r="UK5" s="303" t="s">
        <v>144</v>
      </c>
      <c r="UL5" s="303" t="s">
        <v>145</v>
      </c>
      <c r="UM5" s="303" t="s">
        <v>147</v>
      </c>
      <c r="UN5" s="303" t="s">
        <v>148</v>
      </c>
      <c r="UO5" s="303" t="s">
        <v>149</v>
      </c>
      <c r="UP5" s="303" t="s">
        <v>150</v>
      </c>
      <c r="UQ5" s="303" t="s">
        <v>162</v>
      </c>
      <c r="UR5" s="303" t="s">
        <v>140</v>
      </c>
      <c r="US5" s="303" t="s">
        <v>141</v>
      </c>
      <c r="UT5" s="303" t="s">
        <v>142</v>
      </c>
      <c r="UU5" s="303" t="s">
        <v>143</v>
      </c>
      <c r="UV5" s="303" t="s">
        <v>144</v>
      </c>
      <c r="UW5" s="303" t="s">
        <v>145</v>
      </c>
      <c r="UX5" s="303" t="s">
        <v>147</v>
      </c>
      <c r="UY5" s="303" t="s">
        <v>148</v>
      </c>
      <c r="UZ5" s="303" t="s">
        <v>149</v>
      </c>
      <c r="VA5" s="303" t="s">
        <v>150</v>
      </c>
      <c r="VB5" s="303" t="s">
        <v>162</v>
      </c>
      <c r="VC5" s="303" t="s">
        <v>140</v>
      </c>
      <c r="VD5" s="303" t="s">
        <v>141</v>
      </c>
      <c r="VE5" s="303" t="s">
        <v>142</v>
      </c>
      <c r="VF5" s="303" t="s">
        <v>143</v>
      </c>
      <c r="VG5" s="303" t="s">
        <v>144</v>
      </c>
      <c r="VH5" s="303" t="s">
        <v>145</v>
      </c>
      <c r="VI5" s="303" t="s">
        <v>147</v>
      </c>
      <c r="VJ5" s="303" t="s">
        <v>148</v>
      </c>
      <c r="VK5" s="303" t="s">
        <v>149</v>
      </c>
      <c r="VL5" s="303" t="s">
        <v>150</v>
      </c>
      <c r="VM5" s="303" t="s">
        <v>162</v>
      </c>
      <c r="VN5" s="303" t="s">
        <v>140</v>
      </c>
      <c r="VO5" s="303" t="s">
        <v>141</v>
      </c>
      <c r="VP5" s="303" t="s">
        <v>142</v>
      </c>
      <c r="VQ5" s="303" t="s">
        <v>143</v>
      </c>
      <c r="VR5" s="303" t="s">
        <v>144</v>
      </c>
      <c r="VS5" s="303" t="s">
        <v>145</v>
      </c>
      <c r="VT5" s="303" t="s">
        <v>147</v>
      </c>
      <c r="VU5" s="303" t="s">
        <v>148</v>
      </c>
      <c r="VV5" s="303" t="s">
        <v>149</v>
      </c>
      <c r="VW5" s="303" t="s">
        <v>150</v>
      </c>
      <c r="VX5" s="303" t="s">
        <v>162</v>
      </c>
      <c r="VY5" s="303" t="s">
        <v>140</v>
      </c>
      <c r="VZ5" s="303" t="s">
        <v>141</v>
      </c>
      <c r="WA5" s="303" t="s">
        <v>142</v>
      </c>
      <c r="WB5" s="303" t="s">
        <v>143</v>
      </c>
      <c r="WC5" s="303" t="s">
        <v>144</v>
      </c>
      <c r="WD5" s="303" t="s">
        <v>145</v>
      </c>
      <c r="WE5" s="303" t="s">
        <v>147</v>
      </c>
      <c r="WF5" s="303" t="s">
        <v>148</v>
      </c>
      <c r="WG5" s="303" t="s">
        <v>149</v>
      </c>
      <c r="WH5" s="303" t="s">
        <v>150</v>
      </c>
      <c r="WI5" s="303" t="s">
        <v>162</v>
      </c>
      <c r="WJ5" s="303" t="s">
        <v>140</v>
      </c>
      <c r="WK5" s="303" t="s">
        <v>141</v>
      </c>
      <c r="WL5" s="303" t="s">
        <v>142</v>
      </c>
      <c r="WM5" s="303" t="s">
        <v>143</v>
      </c>
      <c r="WN5" s="303" t="s">
        <v>144</v>
      </c>
      <c r="WO5" s="303" t="s">
        <v>145</v>
      </c>
      <c r="WP5" s="303" t="s">
        <v>147</v>
      </c>
      <c r="WQ5" s="303" t="s">
        <v>148</v>
      </c>
      <c r="WR5" s="303" t="s">
        <v>149</v>
      </c>
      <c r="WS5" s="303" t="s">
        <v>150</v>
      </c>
      <c r="WT5" s="303" t="s">
        <v>162</v>
      </c>
      <c r="WU5" s="303" t="s">
        <v>140</v>
      </c>
      <c r="WV5" s="303" t="s">
        <v>141</v>
      </c>
      <c r="WW5" s="303" t="s">
        <v>142</v>
      </c>
      <c r="WX5" s="303" t="s">
        <v>143</v>
      </c>
      <c r="WY5" s="303" t="s">
        <v>144</v>
      </c>
      <c r="WZ5" s="303" t="s">
        <v>145</v>
      </c>
      <c r="XA5" s="303" t="s">
        <v>147</v>
      </c>
      <c r="XB5" s="303" t="s">
        <v>148</v>
      </c>
      <c r="XC5" s="303" t="s">
        <v>149</v>
      </c>
      <c r="XD5" s="303" t="s">
        <v>150</v>
      </c>
      <c r="XE5" s="303" t="s">
        <v>162</v>
      </c>
      <c r="XF5" s="303" t="s">
        <v>140</v>
      </c>
      <c r="XG5" s="303" t="s">
        <v>141</v>
      </c>
      <c r="XH5" s="303" t="s">
        <v>142</v>
      </c>
      <c r="XI5" s="303" t="s">
        <v>143</v>
      </c>
      <c r="XJ5" s="303" t="s">
        <v>144</v>
      </c>
      <c r="XK5" s="303" t="s">
        <v>145</v>
      </c>
      <c r="XL5" s="303" t="s">
        <v>147</v>
      </c>
      <c r="XM5" s="303" t="s">
        <v>148</v>
      </c>
      <c r="XN5" s="303" t="s">
        <v>149</v>
      </c>
      <c r="XO5" s="303" t="s">
        <v>150</v>
      </c>
      <c r="XP5" s="303" t="s">
        <v>162</v>
      </c>
      <c r="XQ5" s="303" t="s">
        <v>140</v>
      </c>
      <c r="XR5" s="303" t="s">
        <v>141</v>
      </c>
      <c r="XS5" s="303" t="s">
        <v>142</v>
      </c>
      <c r="XT5" s="303" t="s">
        <v>143</v>
      </c>
      <c r="XU5" s="303" t="s">
        <v>144</v>
      </c>
      <c r="XV5" s="303" t="s">
        <v>145</v>
      </c>
      <c r="XW5" s="303" t="s">
        <v>147</v>
      </c>
      <c r="XX5" s="303" t="s">
        <v>148</v>
      </c>
      <c r="XY5" s="303" t="s">
        <v>149</v>
      </c>
      <c r="XZ5" s="303" t="s">
        <v>150</v>
      </c>
      <c r="YA5" s="303" t="s">
        <v>162</v>
      </c>
      <c r="YB5" s="303" t="s">
        <v>140</v>
      </c>
      <c r="YC5" s="303" t="s">
        <v>141</v>
      </c>
      <c r="YD5" s="303" t="s">
        <v>142</v>
      </c>
      <c r="YE5" s="303" t="s">
        <v>143</v>
      </c>
      <c r="YF5" s="303" t="s">
        <v>144</v>
      </c>
      <c r="YG5" s="303" t="s">
        <v>145</v>
      </c>
      <c r="YH5" s="303" t="s">
        <v>147</v>
      </c>
      <c r="YI5" s="303" t="s">
        <v>148</v>
      </c>
      <c r="YJ5" s="303" t="s">
        <v>149</v>
      </c>
      <c r="YK5" s="303" t="s">
        <v>150</v>
      </c>
      <c r="YL5" s="303" t="s">
        <v>162</v>
      </c>
      <c r="YM5" s="303" t="s">
        <v>140</v>
      </c>
      <c r="YN5" s="303" t="s">
        <v>141</v>
      </c>
      <c r="YO5" s="303" t="s">
        <v>142</v>
      </c>
      <c r="YP5" s="303" t="s">
        <v>143</v>
      </c>
      <c r="YQ5" s="303" t="s">
        <v>144</v>
      </c>
      <c r="YR5" s="303" t="s">
        <v>145</v>
      </c>
      <c r="YS5" s="303" t="s">
        <v>147</v>
      </c>
      <c r="YT5" s="303" t="s">
        <v>148</v>
      </c>
      <c r="YU5" s="303" t="s">
        <v>149</v>
      </c>
      <c r="YV5" s="303" t="s">
        <v>150</v>
      </c>
      <c r="YW5" s="303" t="s">
        <v>162</v>
      </c>
      <c r="YX5" s="303" t="s">
        <v>140</v>
      </c>
      <c r="YY5" s="303" t="s">
        <v>141</v>
      </c>
      <c r="YZ5" s="303" t="s">
        <v>142</v>
      </c>
      <c r="ZA5" s="303" t="s">
        <v>143</v>
      </c>
      <c r="ZB5" s="303" t="s">
        <v>144</v>
      </c>
      <c r="ZC5" s="303" t="s">
        <v>145</v>
      </c>
      <c r="ZD5" s="303" t="s">
        <v>147</v>
      </c>
      <c r="ZE5" s="303" t="s">
        <v>148</v>
      </c>
      <c r="ZF5" s="303" t="s">
        <v>149</v>
      </c>
      <c r="ZG5" s="303" t="s">
        <v>150</v>
      </c>
      <c r="ZH5" s="303" t="s">
        <v>162</v>
      </c>
      <c r="ZI5" s="303" t="s">
        <v>140</v>
      </c>
      <c r="ZJ5" s="303" t="s">
        <v>141</v>
      </c>
      <c r="ZK5" s="303" t="s">
        <v>142</v>
      </c>
      <c r="ZL5" s="303" t="s">
        <v>143</v>
      </c>
      <c r="ZM5" s="303" t="s">
        <v>144</v>
      </c>
      <c r="ZN5" s="303" t="s">
        <v>145</v>
      </c>
      <c r="ZO5" s="303" t="s">
        <v>147</v>
      </c>
      <c r="ZP5" s="303" t="s">
        <v>148</v>
      </c>
      <c r="ZQ5" s="303" t="s">
        <v>149</v>
      </c>
      <c r="ZR5" s="303" t="s">
        <v>150</v>
      </c>
      <c r="ZS5" s="303" t="s">
        <v>162</v>
      </c>
      <c r="ZT5" s="303" t="s">
        <v>140</v>
      </c>
      <c r="ZU5" s="303" t="s">
        <v>141</v>
      </c>
      <c r="ZV5" s="303" t="s">
        <v>142</v>
      </c>
      <c r="ZW5" s="303" t="s">
        <v>143</v>
      </c>
      <c r="ZX5" s="303" t="s">
        <v>144</v>
      </c>
      <c r="ZY5" s="303" t="s">
        <v>145</v>
      </c>
      <c r="ZZ5" s="303" t="s">
        <v>147</v>
      </c>
      <c r="AAA5" s="303" t="s">
        <v>148</v>
      </c>
      <c r="AAB5" s="303" t="s">
        <v>149</v>
      </c>
      <c r="AAC5" s="303" t="s">
        <v>150</v>
      </c>
      <c r="AAD5" s="303" t="s">
        <v>162</v>
      </c>
      <c r="AAE5" s="303" t="s">
        <v>140</v>
      </c>
      <c r="AAF5" s="303" t="s">
        <v>141</v>
      </c>
      <c r="AAG5" s="303" t="s">
        <v>142</v>
      </c>
      <c r="AAH5" s="303" t="s">
        <v>143</v>
      </c>
      <c r="AAI5" s="303" t="s">
        <v>144</v>
      </c>
      <c r="AAJ5" s="303" t="s">
        <v>145</v>
      </c>
      <c r="AAK5" s="303" t="s">
        <v>147</v>
      </c>
      <c r="AAL5" s="303" t="s">
        <v>148</v>
      </c>
      <c r="AAM5" s="303" t="s">
        <v>149</v>
      </c>
      <c r="AAN5" s="303" t="s">
        <v>150</v>
      </c>
      <c r="AAO5" s="303" t="s">
        <v>162</v>
      </c>
      <c r="AAP5" s="303" t="s">
        <v>140</v>
      </c>
      <c r="AAQ5" s="303" t="s">
        <v>141</v>
      </c>
      <c r="AAR5" s="303" t="s">
        <v>142</v>
      </c>
      <c r="AAS5" s="303" t="s">
        <v>143</v>
      </c>
      <c r="AAT5" s="303" t="s">
        <v>144</v>
      </c>
      <c r="AAU5" s="303" t="s">
        <v>145</v>
      </c>
      <c r="AAV5" s="303" t="s">
        <v>147</v>
      </c>
      <c r="AAW5" s="303" t="s">
        <v>148</v>
      </c>
      <c r="AAX5" s="303" t="s">
        <v>149</v>
      </c>
      <c r="AAY5" s="303" t="s">
        <v>150</v>
      </c>
      <c r="AAZ5" s="303" t="s">
        <v>162</v>
      </c>
      <c r="ABA5" s="303" t="s">
        <v>140</v>
      </c>
      <c r="ABB5" s="303" t="s">
        <v>141</v>
      </c>
      <c r="ABC5" s="303" t="s">
        <v>142</v>
      </c>
      <c r="ABD5" s="303" t="s">
        <v>143</v>
      </c>
      <c r="ABE5" s="303" t="s">
        <v>144</v>
      </c>
      <c r="ABF5" s="303" t="s">
        <v>145</v>
      </c>
      <c r="ABG5" s="303" t="s">
        <v>147</v>
      </c>
      <c r="ABH5" s="303" t="s">
        <v>148</v>
      </c>
      <c r="ABI5" s="303" t="s">
        <v>149</v>
      </c>
      <c r="ABJ5" s="303" t="s">
        <v>150</v>
      </c>
      <c r="ABK5" s="303" t="s">
        <v>162</v>
      </c>
      <c r="ABL5" s="303" t="s">
        <v>140</v>
      </c>
      <c r="ABM5" s="303" t="s">
        <v>141</v>
      </c>
      <c r="ABN5" s="303" t="s">
        <v>142</v>
      </c>
      <c r="ABO5" s="303" t="s">
        <v>143</v>
      </c>
      <c r="ABP5" s="303" t="s">
        <v>144</v>
      </c>
      <c r="ABQ5" s="303" t="s">
        <v>145</v>
      </c>
      <c r="ABR5" s="303" t="s">
        <v>147</v>
      </c>
      <c r="ABS5" s="303" t="s">
        <v>148</v>
      </c>
      <c r="ABT5" s="303" t="s">
        <v>149</v>
      </c>
      <c r="ABU5" s="303" t="s">
        <v>150</v>
      </c>
      <c r="ABV5" s="303" t="s">
        <v>162</v>
      </c>
      <c r="ABW5" s="303" t="s">
        <v>140</v>
      </c>
      <c r="ABX5" s="303" t="s">
        <v>141</v>
      </c>
      <c r="ABY5" s="303" t="s">
        <v>142</v>
      </c>
      <c r="ABZ5" s="303" t="s">
        <v>143</v>
      </c>
      <c r="ACA5" s="303" t="s">
        <v>144</v>
      </c>
      <c r="ACB5" s="303" t="s">
        <v>145</v>
      </c>
      <c r="ACC5" s="303" t="s">
        <v>147</v>
      </c>
      <c r="ACD5" s="303" t="s">
        <v>148</v>
      </c>
      <c r="ACE5" s="303" t="s">
        <v>149</v>
      </c>
      <c r="ACF5" s="303" t="s">
        <v>150</v>
      </c>
      <c r="ACG5" s="303" t="s">
        <v>162</v>
      </c>
      <c r="ACH5" s="303" t="s">
        <v>140</v>
      </c>
      <c r="ACI5" s="303" t="s">
        <v>141</v>
      </c>
      <c r="ACJ5" s="303" t="s">
        <v>142</v>
      </c>
      <c r="ACK5" s="303" t="s">
        <v>143</v>
      </c>
      <c r="ACL5" s="303" t="s">
        <v>144</v>
      </c>
      <c r="ACM5" s="303" t="s">
        <v>145</v>
      </c>
      <c r="ACN5" s="303" t="s">
        <v>147</v>
      </c>
      <c r="ACO5" s="303" t="s">
        <v>148</v>
      </c>
      <c r="ACP5" s="303" t="s">
        <v>149</v>
      </c>
      <c r="ACQ5" s="303" t="s">
        <v>150</v>
      </c>
      <c r="ACR5" s="303" t="s">
        <v>162</v>
      </c>
      <c r="ACS5" s="303" t="s">
        <v>140</v>
      </c>
      <c r="ACT5" s="303" t="s">
        <v>141</v>
      </c>
      <c r="ACU5" s="303" t="s">
        <v>142</v>
      </c>
      <c r="ACV5" s="303" t="s">
        <v>143</v>
      </c>
      <c r="ACW5" s="303" t="s">
        <v>144</v>
      </c>
      <c r="ACX5" s="303" t="s">
        <v>145</v>
      </c>
      <c r="ACY5" s="303" t="s">
        <v>147</v>
      </c>
      <c r="ACZ5" s="303" t="s">
        <v>148</v>
      </c>
      <c r="ADA5" s="303" t="s">
        <v>149</v>
      </c>
      <c r="ADB5" s="303" t="s">
        <v>150</v>
      </c>
      <c r="ADC5" s="303" t="s">
        <v>162</v>
      </c>
      <c r="ADD5" s="303" t="s">
        <v>140</v>
      </c>
      <c r="ADE5" s="303" t="s">
        <v>141</v>
      </c>
      <c r="ADF5" s="303" t="s">
        <v>142</v>
      </c>
      <c r="ADG5" s="303" t="s">
        <v>143</v>
      </c>
      <c r="ADH5" s="303" t="s">
        <v>144</v>
      </c>
      <c r="ADI5" s="303" t="s">
        <v>145</v>
      </c>
      <c r="ADJ5" s="303" t="s">
        <v>147</v>
      </c>
      <c r="ADK5" s="303" t="s">
        <v>148</v>
      </c>
      <c r="ADL5" s="303" t="s">
        <v>149</v>
      </c>
      <c r="ADM5" s="303" t="s">
        <v>150</v>
      </c>
      <c r="ADN5" s="303" t="s">
        <v>162</v>
      </c>
      <c r="ADO5" s="303" t="s">
        <v>140</v>
      </c>
      <c r="ADP5" s="303" t="s">
        <v>141</v>
      </c>
      <c r="ADQ5" s="303" t="s">
        <v>142</v>
      </c>
      <c r="ADR5" s="303" t="s">
        <v>143</v>
      </c>
      <c r="ADS5" s="303" t="s">
        <v>144</v>
      </c>
      <c r="ADT5" s="303" t="s">
        <v>145</v>
      </c>
      <c r="ADU5" s="303" t="s">
        <v>147</v>
      </c>
      <c r="ADV5" s="303" t="s">
        <v>148</v>
      </c>
      <c r="ADW5" s="303" t="s">
        <v>149</v>
      </c>
      <c r="ADX5" s="303" t="s">
        <v>150</v>
      </c>
      <c r="ADY5" s="303" t="s">
        <v>162</v>
      </c>
      <c r="ADZ5" s="303" t="s">
        <v>140</v>
      </c>
      <c r="AEA5" s="303" t="s">
        <v>141</v>
      </c>
      <c r="AEB5" s="303" t="s">
        <v>142</v>
      </c>
      <c r="AEC5" s="303" t="s">
        <v>143</v>
      </c>
      <c r="AED5" s="303" t="s">
        <v>144</v>
      </c>
      <c r="AEE5" s="303" t="s">
        <v>145</v>
      </c>
      <c r="AEF5" s="303" t="s">
        <v>147</v>
      </c>
      <c r="AEG5" s="303" t="s">
        <v>148</v>
      </c>
      <c r="AEH5" s="303" t="s">
        <v>149</v>
      </c>
      <c r="AEI5" s="303" t="s">
        <v>150</v>
      </c>
      <c r="AEJ5" s="303" t="s">
        <v>162</v>
      </c>
      <c r="AEK5" s="303" t="s">
        <v>140</v>
      </c>
      <c r="AEL5" s="303" t="s">
        <v>141</v>
      </c>
      <c r="AEM5" s="303" t="s">
        <v>142</v>
      </c>
      <c r="AEN5" s="303" t="s">
        <v>143</v>
      </c>
      <c r="AEO5" s="303" t="s">
        <v>144</v>
      </c>
      <c r="AEP5" s="303" t="s">
        <v>145</v>
      </c>
      <c r="AEQ5" s="303" t="s">
        <v>147</v>
      </c>
      <c r="AER5" s="303" t="s">
        <v>148</v>
      </c>
      <c r="AES5" s="303" t="s">
        <v>149</v>
      </c>
      <c r="AET5" s="303" t="s">
        <v>150</v>
      </c>
      <c r="AEU5" s="303" t="s">
        <v>162</v>
      </c>
      <c r="AEV5" s="303" t="s">
        <v>140</v>
      </c>
      <c r="AEW5" s="303" t="s">
        <v>141</v>
      </c>
      <c r="AEX5" s="303" t="s">
        <v>142</v>
      </c>
      <c r="AEY5" s="303" t="s">
        <v>143</v>
      </c>
      <c r="AEZ5" s="303" t="s">
        <v>144</v>
      </c>
      <c r="AFA5" s="303" t="s">
        <v>145</v>
      </c>
      <c r="AFB5" s="303" t="s">
        <v>147</v>
      </c>
      <c r="AFC5" s="303" t="s">
        <v>148</v>
      </c>
      <c r="AFD5" s="303" t="s">
        <v>149</v>
      </c>
      <c r="AFE5" s="303" t="s">
        <v>150</v>
      </c>
      <c r="AFF5" s="303" t="s">
        <v>162</v>
      </c>
      <c r="AFG5" s="303" t="s">
        <v>140</v>
      </c>
      <c r="AFH5" s="303" t="s">
        <v>141</v>
      </c>
      <c r="AFI5" s="303" t="s">
        <v>142</v>
      </c>
      <c r="AFJ5" s="303" t="s">
        <v>143</v>
      </c>
      <c r="AFK5" s="303" t="s">
        <v>144</v>
      </c>
      <c r="AFL5" s="303" t="s">
        <v>145</v>
      </c>
      <c r="AFM5" s="303" t="s">
        <v>147</v>
      </c>
      <c r="AFN5" s="303" t="s">
        <v>148</v>
      </c>
      <c r="AFO5" s="303" t="s">
        <v>149</v>
      </c>
      <c r="AFP5" s="303" t="s">
        <v>150</v>
      </c>
      <c r="AFQ5" s="303" t="s">
        <v>162</v>
      </c>
      <c r="AFR5" s="303" t="s">
        <v>140</v>
      </c>
      <c r="AFS5" s="303" t="s">
        <v>141</v>
      </c>
      <c r="AFT5" s="303" t="s">
        <v>142</v>
      </c>
      <c r="AFU5" s="303" t="s">
        <v>143</v>
      </c>
      <c r="AFV5" s="303" t="s">
        <v>144</v>
      </c>
      <c r="AFW5" s="303" t="s">
        <v>145</v>
      </c>
      <c r="AFX5" s="303" t="s">
        <v>147</v>
      </c>
      <c r="AFY5" s="303" t="s">
        <v>148</v>
      </c>
      <c r="AFZ5" s="303" t="s">
        <v>149</v>
      </c>
      <c r="AGA5" s="303" t="s">
        <v>150</v>
      </c>
      <c r="AGB5" s="303" t="s">
        <v>162</v>
      </c>
      <c r="AGC5" s="303" t="s">
        <v>140</v>
      </c>
      <c r="AGD5" s="303" t="s">
        <v>141</v>
      </c>
      <c r="AGE5" s="303" t="s">
        <v>142</v>
      </c>
      <c r="AGF5" s="303" t="s">
        <v>143</v>
      </c>
      <c r="AGG5" s="303" t="s">
        <v>144</v>
      </c>
      <c r="AGH5" s="303" t="s">
        <v>145</v>
      </c>
      <c r="AGI5" s="303" t="s">
        <v>147</v>
      </c>
      <c r="AGJ5" s="303" t="s">
        <v>148</v>
      </c>
      <c r="AGK5" s="303" t="s">
        <v>149</v>
      </c>
      <c r="AGL5" s="303" t="s">
        <v>150</v>
      </c>
      <c r="AGM5" s="303" t="s">
        <v>162</v>
      </c>
      <c r="AGN5" s="303" t="s">
        <v>140</v>
      </c>
      <c r="AGO5" s="303" t="s">
        <v>141</v>
      </c>
      <c r="AGP5" s="303" t="s">
        <v>142</v>
      </c>
      <c r="AGQ5" s="303" t="s">
        <v>143</v>
      </c>
      <c r="AGR5" s="303" t="s">
        <v>144</v>
      </c>
      <c r="AGS5" s="303" t="s">
        <v>145</v>
      </c>
      <c r="AGT5" s="303" t="s">
        <v>147</v>
      </c>
      <c r="AGU5" s="303" t="s">
        <v>148</v>
      </c>
      <c r="AGV5" s="303" t="s">
        <v>149</v>
      </c>
      <c r="AGW5" s="303" t="s">
        <v>150</v>
      </c>
      <c r="AGX5" s="303" t="s">
        <v>162</v>
      </c>
      <c r="AGY5" s="303" t="s">
        <v>140</v>
      </c>
      <c r="AGZ5" s="303" t="s">
        <v>141</v>
      </c>
      <c r="AHA5" s="303" t="s">
        <v>142</v>
      </c>
      <c r="AHB5" s="303" t="s">
        <v>143</v>
      </c>
      <c r="AHC5" s="303" t="s">
        <v>144</v>
      </c>
      <c r="AHD5" s="303" t="s">
        <v>145</v>
      </c>
      <c r="AHE5" s="303" t="s">
        <v>147</v>
      </c>
      <c r="AHF5" s="303" t="s">
        <v>148</v>
      </c>
      <c r="AHG5" s="303" t="s">
        <v>149</v>
      </c>
      <c r="AHH5" s="303" t="s">
        <v>150</v>
      </c>
      <c r="AHI5" s="303" t="s">
        <v>162</v>
      </c>
      <c r="AHJ5" s="303" t="s">
        <v>140</v>
      </c>
      <c r="AHK5" s="303" t="s">
        <v>141</v>
      </c>
      <c r="AHL5" s="303" t="s">
        <v>142</v>
      </c>
      <c r="AHM5" s="303" t="s">
        <v>143</v>
      </c>
      <c r="AHN5" s="303" t="s">
        <v>144</v>
      </c>
      <c r="AHO5" s="303" t="s">
        <v>145</v>
      </c>
      <c r="AHP5" s="303" t="s">
        <v>147</v>
      </c>
      <c r="AHQ5" s="303" t="s">
        <v>148</v>
      </c>
      <c r="AHR5" s="303" t="s">
        <v>149</v>
      </c>
      <c r="AHS5" s="303" t="s">
        <v>150</v>
      </c>
      <c r="AHT5" s="303" t="s">
        <v>162</v>
      </c>
      <c r="AHU5" s="303" t="s">
        <v>140</v>
      </c>
      <c r="AHV5" s="303" t="s">
        <v>141</v>
      </c>
      <c r="AHW5" s="303" t="s">
        <v>142</v>
      </c>
      <c r="AHX5" s="303" t="s">
        <v>143</v>
      </c>
      <c r="AHY5" s="303" t="s">
        <v>144</v>
      </c>
      <c r="AHZ5" s="303" t="s">
        <v>145</v>
      </c>
      <c r="AIA5" s="303" t="s">
        <v>147</v>
      </c>
      <c r="AIB5" s="303" t="s">
        <v>148</v>
      </c>
      <c r="AIC5" s="303" t="s">
        <v>149</v>
      </c>
      <c r="AID5" s="303" t="s">
        <v>150</v>
      </c>
      <c r="AIE5" s="303" t="s">
        <v>162</v>
      </c>
      <c r="AIF5" s="303" t="s">
        <v>140</v>
      </c>
      <c r="AIG5" s="303" t="s">
        <v>141</v>
      </c>
      <c r="AIH5" s="303" t="s">
        <v>142</v>
      </c>
      <c r="AII5" s="303" t="s">
        <v>143</v>
      </c>
      <c r="AIJ5" s="303" t="s">
        <v>144</v>
      </c>
      <c r="AIK5" s="303" t="s">
        <v>145</v>
      </c>
      <c r="AIL5" s="303" t="s">
        <v>147</v>
      </c>
      <c r="AIM5" s="303" t="s">
        <v>148</v>
      </c>
      <c r="AIN5" s="303" t="s">
        <v>149</v>
      </c>
      <c r="AIO5" s="303" t="s">
        <v>150</v>
      </c>
      <c r="AIP5" s="303" t="s">
        <v>162</v>
      </c>
      <c r="AIQ5" s="303" t="s">
        <v>140</v>
      </c>
      <c r="AIR5" s="303" t="s">
        <v>141</v>
      </c>
      <c r="AIS5" s="303" t="s">
        <v>142</v>
      </c>
      <c r="AIT5" s="303" t="s">
        <v>143</v>
      </c>
      <c r="AIU5" s="303" t="s">
        <v>144</v>
      </c>
      <c r="AIV5" s="303" t="s">
        <v>145</v>
      </c>
      <c r="AIW5" s="303" t="s">
        <v>147</v>
      </c>
      <c r="AIX5" s="303" t="s">
        <v>148</v>
      </c>
      <c r="AIY5" s="303" t="s">
        <v>149</v>
      </c>
      <c r="AIZ5" s="303" t="s">
        <v>150</v>
      </c>
      <c r="AJA5" s="303" t="s">
        <v>162</v>
      </c>
      <c r="AJB5" s="303" t="s">
        <v>140</v>
      </c>
      <c r="AJC5" s="303" t="s">
        <v>141</v>
      </c>
      <c r="AJD5" s="303" t="s">
        <v>142</v>
      </c>
      <c r="AJE5" s="303" t="s">
        <v>143</v>
      </c>
      <c r="AJF5" s="303" t="s">
        <v>144</v>
      </c>
      <c r="AJG5" s="303" t="s">
        <v>145</v>
      </c>
      <c r="AJH5" s="303" t="s">
        <v>147</v>
      </c>
      <c r="AJI5" s="303" t="s">
        <v>148</v>
      </c>
      <c r="AJJ5" s="303" t="s">
        <v>149</v>
      </c>
      <c r="AJK5" s="303" t="s">
        <v>150</v>
      </c>
      <c r="AJL5" s="303" t="s">
        <v>162</v>
      </c>
      <c r="AJM5" s="303" t="s">
        <v>140</v>
      </c>
      <c r="AJN5" s="303" t="s">
        <v>141</v>
      </c>
      <c r="AJO5" s="303" t="s">
        <v>142</v>
      </c>
      <c r="AJP5" s="303" t="s">
        <v>143</v>
      </c>
      <c r="AJQ5" s="303" t="s">
        <v>144</v>
      </c>
      <c r="AJR5" s="303" t="s">
        <v>145</v>
      </c>
      <c r="AJS5" s="303" t="s">
        <v>147</v>
      </c>
      <c r="AJT5" s="303" t="s">
        <v>148</v>
      </c>
      <c r="AJU5" s="303" t="s">
        <v>149</v>
      </c>
      <c r="AJV5" s="303" t="s">
        <v>150</v>
      </c>
      <c r="AJW5" s="303" t="s">
        <v>162</v>
      </c>
      <c r="AJX5" s="303" t="s">
        <v>140</v>
      </c>
      <c r="AJY5" s="303" t="s">
        <v>141</v>
      </c>
      <c r="AJZ5" s="303" t="s">
        <v>142</v>
      </c>
      <c r="AKA5" s="303" t="s">
        <v>143</v>
      </c>
      <c r="AKB5" s="303" t="s">
        <v>144</v>
      </c>
      <c r="AKC5" s="303" t="s">
        <v>145</v>
      </c>
      <c r="AKD5" s="303" t="s">
        <v>147</v>
      </c>
      <c r="AKE5" s="303" t="s">
        <v>148</v>
      </c>
      <c r="AKF5" s="303" t="s">
        <v>149</v>
      </c>
      <c r="AKG5" s="303" t="s">
        <v>150</v>
      </c>
      <c r="AKH5" s="303" t="s">
        <v>162</v>
      </c>
      <c r="AKI5" s="303" t="s">
        <v>140</v>
      </c>
      <c r="AKJ5" s="303" t="s">
        <v>141</v>
      </c>
      <c r="AKK5" s="303" t="s">
        <v>142</v>
      </c>
      <c r="AKL5" s="303" t="s">
        <v>143</v>
      </c>
      <c r="AKM5" s="303" t="s">
        <v>144</v>
      </c>
      <c r="AKN5" s="303" t="s">
        <v>145</v>
      </c>
      <c r="AKO5" s="303" t="s">
        <v>147</v>
      </c>
      <c r="AKP5" s="303" t="s">
        <v>148</v>
      </c>
      <c r="AKQ5" s="303" t="s">
        <v>149</v>
      </c>
      <c r="AKR5" s="303" t="s">
        <v>150</v>
      </c>
      <c r="AKS5" s="303" t="s">
        <v>162</v>
      </c>
      <c r="AKT5" s="303" t="s">
        <v>140</v>
      </c>
      <c r="AKU5" s="303" t="s">
        <v>141</v>
      </c>
      <c r="AKV5" s="303" t="s">
        <v>142</v>
      </c>
      <c r="AKW5" s="303" t="s">
        <v>143</v>
      </c>
      <c r="AKX5" s="303" t="s">
        <v>144</v>
      </c>
      <c r="AKY5" s="303" t="s">
        <v>145</v>
      </c>
      <c r="AKZ5" s="303" t="s">
        <v>147</v>
      </c>
      <c r="ALA5" s="303" t="s">
        <v>148</v>
      </c>
      <c r="ALB5" s="303" t="s">
        <v>149</v>
      </c>
      <c r="ALC5" s="303" t="s">
        <v>150</v>
      </c>
      <c r="ALD5" s="303" t="s">
        <v>162</v>
      </c>
      <c r="ALE5" s="303" t="s">
        <v>140</v>
      </c>
      <c r="ALF5" s="303" t="s">
        <v>141</v>
      </c>
      <c r="ALG5" s="303" t="s">
        <v>142</v>
      </c>
      <c r="ALH5" s="303" t="s">
        <v>143</v>
      </c>
      <c r="ALI5" s="303" t="s">
        <v>144</v>
      </c>
      <c r="ALJ5" s="303" t="s">
        <v>145</v>
      </c>
      <c r="ALK5" s="303" t="s">
        <v>147</v>
      </c>
      <c r="ALL5" s="303" t="s">
        <v>148</v>
      </c>
      <c r="ALM5" s="303" t="s">
        <v>149</v>
      </c>
      <c r="ALN5" s="303" t="s">
        <v>150</v>
      </c>
      <c r="ALO5" s="303" t="s">
        <v>162</v>
      </c>
      <c r="ALP5" s="303" t="s">
        <v>140</v>
      </c>
      <c r="ALQ5" s="303" t="s">
        <v>141</v>
      </c>
      <c r="ALR5" s="303" t="s">
        <v>142</v>
      </c>
      <c r="ALS5" s="303" t="s">
        <v>143</v>
      </c>
      <c r="ALT5" s="303" t="s">
        <v>144</v>
      </c>
      <c r="ALU5" s="303" t="s">
        <v>145</v>
      </c>
      <c r="ALV5" s="303" t="s">
        <v>147</v>
      </c>
      <c r="ALW5" s="303" t="s">
        <v>148</v>
      </c>
      <c r="ALX5" s="303" t="s">
        <v>149</v>
      </c>
      <c r="ALY5" s="303" t="s">
        <v>150</v>
      </c>
      <c r="ALZ5" s="303" t="s">
        <v>162</v>
      </c>
      <c r="AMA5" s="303" t="s">
        <v>140</v>
      </c>
      <c r="AMB5" s="303" t="s">
        <v>141</v>
      </c>
      <c r="AMC5" s="303" t="s">
        <v>142</v>
      </c>
      <c r="AMD5" s="303" t="s">
        <v>143</v>
      </c>
      <c r="AME5" s="303" t="s">
        <v>144</v>
      </c>
      <c r="AMF5" s="303" t="s">
        <v>145</v>
      </c>
      <c r="AMG5" s="303" t="s">
        <v>147</v>
      </c>
      <c r="AMH5" s="303" t="s">
        <v>148</v>
      </c>
      <c r="AMI5" s="303" t="s">
        <v>149</v>
      </c>
      <c r="AMJ5" s="303" t="s">
        <v>150</v>
      </c>
      <c r="AMK5" s="303" t="s">
        <v>162</v>
      </c>
      <c r="AML5" s="303" t="s">
        <v>140</v>
      </c>
      <c r="AMM5" s="303" t="s">
        <v>141</v>
      </c>
      <c r="AMN5" s="303" t="s">
        <v>142</v>
      </c>
      <c r="AMO5" s="303" t="s">
        <v>143</v>
      </c>
      <c r="AMP5" s="303" t="s">
        <v>144</v>
      </c>
      <c r="AMQ5" s="303" t="s">
        <v>145</v>
      </c>
      <c r="AMR5" s="303" t="s">
        <v>147</v>
      </c>
      <c r="AMS5" s="303" t="s">
        <v>148</v>
      </c>
      <c r="AMT5" s="303" t="s">
        <v>149</v>
      </c>
      <c r="AMU5" s="303" t="s">
        <v>150</v>
      </c>
      <c r="AMV5" s="303" t="s">
        <v>162</v>
      </c>
      <c r="AMW5" s="303" t="s">
        <v>140</v>
      </c>
      <c r="AMX5" s="303" t="s">
        <v>141</v>
      </c>
      <c r="AMY5" s="303" t="s">
        <v>142</v>
      </c>
      <c r="AMZ5" s="303" t="s">
        <v>143</v>
      </c>
      <c r="ANA5" s="303" t="s">
        <v>144</v>
      </c>
      <c r="ANB5" s="303" t="s">
        <v>145</v>
      </c>
      <c r="ANC5" s="303" t="s">
        <v>147</v>
      </c>
      <c r="AND5" s="303" t="s">
        <v>148</v>
      </c>
      <c r="ANE5" s="303" t="s">
        <v>149</v>
      </c>
      <c r="ANF5" s="303" t="s">
        <v>150</v>
      </c>
      <c r="ANG5" s="303" t="s">
        <v>162</v>
      </c>
      <c r="ANH5" s="303" t="s">
        <v>140</v>
      </c>
      <c r="ANI5" s="303" t="s">
        <v>141</v>
      </c>
      <c r="ANJ5" s="303" t="s">
        <v>142</v>
      </c>
      <c r="ANK5" s="303" t="s">
        <v>143</v>
      </c>
      <c r="ANL5" s="303" t="s">
        <v>144</v>
      </c>
      <c r="ANM5" s="303" t="s">
        <v>145</v>
      </c>
      <c r="ANN5" s="303" t="s">
        <v>147</v>
      </c>
      <c r="ANO5" s="303" t="s">
        <v>148</v>
      </c>
      <c r="ANP5" s="303" t="s">
        <v>149</v>
      </c>
      <c r="ANQ5" s="303" t="s">
        <v>150</v>
      </c>
      <c r="ANR5" s="303" t="s">
        <v>162</v>
      </c>
      <c r="ANS5" s="303" t="s">
        <v>140</v>
      </c>
      <c r="ANT5" s="303" t="s">
        <v>141</v>
      </c>
      <c r="ANU5" s="303" t="s">
        <v>142</v>
      </c>
      <c r="ANV5" s="303" t="s">
        <v>143</v>
      </c>
      <c r="ANW5" s="303" t="s">
        <v>144</v>
      </c>
      <c r="ANX5" s="303" t="s">
        <v>145</v>
      </c>
      <c r="ANY5" s="303" t="s">
        <v>147</v>
      </c>
      <c r="ANZ5" s="303" t="s">
        <v>148</v>
      </c>
      <c r="AOA5" s="303" t="s">
        <v>149</v>
      </c>
      <c r="AOB5" s="303" t="s">
        <v>150</v>
      </c>
      <c r="AOC5" s="303" t="s">
        <v>162</v>
      </c>
      <c r="AOD5" s="303" t="s">
        <v>140</v>
      </c>
      <c r="AOE5" s="303" t="s">
        <v>141</v>
      </c>
      <c r="AOF5" s="303" t="s">
        <v>142</v>
      </c>
      <c r="AOG5" s="303" t="s">
        <v>143</v>
      </c>
      <c r="AOH5" s="303" t="s">
        <v>144</v>
      </c>
      <c r="AOI5" s="303" t="s">
        <v>145</v>
      </c>
      <c r="AOJ5" s="303" t="s">
        <v>147</v>
      </c>
      <c r="AOK5" s="303" t="s">
        <v>148</v>
      </c>
      <c r="AOL5" s="303" t="s">
        <v>149</v>
      </c>
      <c r="AOM5" s="303" t="s">
        <v>150</v>
      </c>
      <c r="AON5" s="303" t="s">
        <v>162</v>
      </c>
      <c r="AOO5" s="303" t="s">
        <v>140</v>
      </c>
      <c r="AOP5" s="303" t="s">
        <v>141</v>
      </c>
      <c r="AOQ5" s="303" t="s">
        <v>142</v>
      </c>
      <c r="AOR5" s="303" t="s">
        <v>143</v>
      </c>
      <c r="AOS5" s="303" t="s">
        <v>144</v>
      </c>
      <c r="AOT5" s="303" t="s">
        <v>145</v>
      </c>
      <c r="AOU5" s="303" t="s">
        <v>147</v>
      </c>
      <c r="AOV5" s="303" t="s">
        <v>148</v>
      </c>
      <c r="AOW5" s="303" t="s">
        <v>149</v>
      </c>
      <c r="AOX5" s="303" t="s">
        <v>150</v>
      </c>
      <c r="AOY5" s="303" t="s">
        <v>162</v>
      </c>
      <c r="AOZ5" s="303" t="s">
        <v>140</v>
      </c>
      <c r="APA5" s="303" t="s">
        <v>141</v>
      </c>
      <c r="APB5" s="303" t="s">
        <v>142</v>
      </c>
      <c r="APC5" s="303" t="s">
        <v>143</v>
      </c>
      <c r="APD5" s="303" t="s">
        <v>144</v>
      </c>
      <c r="APE5" s="303" t="s">
        <v>145</v>
      </c>
      <c r="APF5" s="303" t="s">
        <v>147</v>
      </c>
      <c r="APG5" s="303" t="s">
        <v>148</v>
      </c>
      <c r="APH5" s="303" t="s">
        <v>149</v>
      </c>
      <c r="API5" s="303" t="s">
        <v>150</v>
      </c>
      <c r="APJ5" s="303" t="s">
        <v>162</v>
      </c>
      <c r="APK5" s="303" t="s">
        <v>140</v>
      </c>
      <c r="APL5" s="303" t="s">
        <v>141</v>
      </c>
      <c r="APM5" s="303" t="s">
        <v>142</v>
      </c>
      <c r="APN5" s="303" t="s">
        <v>143</v>
      </c>
      <c r="APO5" s="303" t="s">
        <v>144</v>
      </c>
      <c r="APP5" s="303" t="s">
        <v>145</v>
      </c>
      <c r="APQ5" s="303" t="s">
        <v>147</v>
      </c>
      <c r="APR5" s="303" t="s">
        <v>148</v>
      </c>
      <c r="APS5" s="303" t="s">
        <v>149</v>
      </c>
      <c r="APT5" s="303" t="s">
        <v>150</v>
      </c>
      <c r="APU5" s="303" t="s">
        <v>162</v>
      </c>
      <c r="APV5" s="303" t="s">
        <v>140</v>
      </c>
      <c r="APW5" s="303" t="s">
        <v>141</v>
      </c>
      <c r="APX5" s="303" t="s">
        <v>142</v>
      </c>
      <c r="APY5" s="303" t="s">
        <v>143</v>
      </c>
      <c r="APZ5" s="303" t="s">
        <v>144</v>
      </c>
      <c r="AQA5" s="303" t="s">
        <v>145</v>
      </c>
      <c r="AQB5" s="303" t="s">
        <v>147</v>
      </c>
      <c r="AQC5" s="303" t="s">
        <v>148</v>
      </c>
      <c r="AQD5" s="303" t="s">
        <v>149</v>
      </c>
      <c r="AQE5" s="303" t="s">
        <v>150</v>
      </c>
      <c r="AQF5" s="303" t="s">
        <v>162</v>
      </c>
      <c r="AQG5" s="303" t="s">
        <v>140</v>
      </c>
      <c r="AQH5" s="303" t="s">
        <v>141</v>
      </c>
      <c r="AQI5" s="303" t="s">
        <v>142</v>
      </c>
      <c r="AQJ5" s="303" t="s">
        <v>143</v>
      </c>
      <c r="AQK5" s="303" t="s">
        <v>144</v>
      </c>
      <c r="AQL5" s="303" t="s">
        <v>145</v>
      </c>
      <c r="AQM5" s="303" t="s">
        <v>147</v>
      </c>
      <c r="AQN5" s="303" t="s">
        <v>148</v>
      </c>
      <c r="AQO5" s="303" t="s">
        <v>149</v>
      </c>
      <c r="AQP5" s="303" t="s">
        <v>150</v>
      </c>
      <c r="AQQ5" s="303" t="s">
        <v>162</v>
      </c>
      <c r="AQR5" s="303" t="s">
        <v>140</v>
      </c>
      <c r="AQS5" s="303" t="s">
        <v>141</v>
      </c>
      <c r="AQT5" s="303" t="s">
        <v>142</v>
      </c>
      <c r="AQU5" s="303" t="s">
        <v>143</v>
      </c>
      <c r="AQV5" s="303" t="s">
        <v>144</v>
      </c>
      <c r="AQW5" s="303" t="s">
        <v>145</v>
      </c>
      <c r="AQX5" s="303" t="s">
        <v>147</v>
      </c>
      <c r="AQY5" s="303" t="s">
        <v>148</v>
      </c>
      <c r="AQZ5" s="303" t="s">
        <v>149</v>
      </c>
      <c r="ARA5" s="303" t="s">
        <v>150</v>
      </c>
      <c r="ARB5" s="303" t="s">
        <v>162</v>
      </c>
      <c r="ARC5" s="303" t="s">
        <v>140</v>
      </c>
      <c r="ARD5" s="303" t="s">
        <v>141</v>
      </c>
      <c r="ARE5" s="303" t="s">
        <v>142</v>
      </c>
      <c r="ARF5" s="303" t="s">
        <v>143</v>
      </c>
      <c r="ARG5" s="303" t="s">
        <v>144</v>
      </c>
      <c r="ARH5" s="303" t="s">
        <v>145</v>
      </c>
      <c r="ARI5" s="303" t="s">
        <v>147</v>
      </c>
      <c r="ARJ5" s="303" t="s">
        <v>148</v>
      </c>
      <c r="ARK5" s="303" t="s">
        <v>149</v>
      </c>
      <c r="ARL5" s="303" t="s">
        <v>150</v>
      </c>
      <c r="ARM5" s="303" t="s">
        <v>162</v>
      </c>
      <c r="ARN5" s="303" t="s">
        <v>140</v>
      </c>
      <c r="ARO5" s="303" t="s">
        <v>141</v>
      </c>
      <c r="ARP5" s="303" t="s">
        <v>142</v>
      </c>
      <c r="ARQ5" s="303" t="s">
        <v>143</v>
      </c>
      <c r="ARR5" s="303" t="s">
        <v>144</v>
      </c>
      <c r="ARS5" s="303" t="s">
        <v>145</v>
      </c>
      <c r="ART5" s="303" t="s">
        <v>147</v>
      </c>
      <c r="ARU5" s="303" t="s">
        <v>148</v>
      </c>
      <c r="ARV5" s="303" t="s">
        <v>149</v>
      </c>
      <c r="ARW5" s="303" t="s">
        <v>150</v>
      </c>
      <c r="ARX5" s="303" t="s">
        <v>162</v>
      </c>
      <c r="ARY5" s="303" t="s">
        <v>140</v>
      </c>
      <c r="ARZ5" s="303" t="s">
        <v>141</v>
      </c>
      <c r="ASA5" s="303" t="s">
        <v>142</v>
      </c>
      <c r="ASB5" s="303" t="s">
        <v>143</v>
      </c>
      <c r="ASC5" s="303" t="s">
        <v>144</v>
      </c>
      <c r="ASD5" s="303" t="s">
        <v>145</v>
      </c>
      <c r="ASE5" s="303" t="s">
        <v>147</v>
      </c>
      <c r="ASF5" s="303" t="s">
        <v>148</v>
      </c>
      <c r="ASG5" s="303" t="s">
        <v>149</v>
      </c>
      <c r="ASH5" s="303" t="s">
        <v>150</v>
      </c>
      <c r="ASI5" s="303" t="s">
        <v>162</v>
      </c>
      <c r="ASJ5" s="303" t="s">
        <v>140</v>
      </c>
      <c r="ASK5" s="303" t="s">
        <v>141</v>
      </c>
      <c r="ASL5" s="303" t="s">
        <v>142</v>
      </c>
      <c r="ASM5" s="303" t="s">
        <v>143</v>
      </c>
      <c r="ASN5" s="303" t="s">
        <v>144</v>
      </c>
      <c r="ASO5" s="303" t="s">
        <v>145</v>
      </c>
      <c r="ASP5" s="303" t="s">
        <v>147</v>
      </c>
      <c r="ASQ5" s="303" t="s">
        <v>148</v>
      </c>
      <c r="ASR5" s="303" t="s">
        <v>149</v>
      </c>
      <c r="ASS5" s="303" t="s">
        <v>150</v>
      </c>
      <c r="AST5" s="303" t="s">
        <v>162</v>
      </c>
      <c r="ASU5" s="303" t="s">
        <v>140</v>
      </c>
      <c r="ASV5" s="303" t="s">
        <v>141</v>
      </c>
      <c r="ASW5" s="303" t="s">
        <v>142</v>
      </c>
      <c r="ASX5" s="303" t="s">
        <v>143</v>
      </c>
      <c r="ASY5" s="303" t="s">
        <v>144</v>
      </c>
      <c r="ASZ5" s="303" t="s">
        <v>145</v>
      </c>
      <c r="ATA5" s="303" t="s">
        <v>147</v>
      </c>
      <c r="ATB5" s="303" t="s">
        <v>148</v>
      </c>
      <c r="ATC5" s="303" t="s">
        <v>149</v>
      </c>
      <c r="ATD5" s="303" t="s">
        <v>150</v>
      </c>
      <c r="ATE5" s="303" t="s">
        <v>162</v>
      </c>
      <c r="ATF5" s="303" t="s">
        <v>140</v>
      </c>
      <c r="ATG5" s="303" t="s">
        <v>141</v>
      </c>
      <c r="ATH5" s="303" t="s">
        <v>142</v>
      </c>
      <c r="ATI5" s="303" t="s">
        <v>143</v>
      </c>
      <c r="ATJ5" s="303" t="s">
        <v>144</v>
      </c>
      <c r="ATK5" s="303" t="s">
        <v>145</v>
      </c>
      <c r="ATL5" s="303" t="s">
        <v>147</v>
      </c>
      <c r="ATM5" s="303" t="s">
        <v>148</v>
      </c>
      <c r="ATN5" s="303" t="s">
        <v>149</v>
      </c>
      <c r="ATO5" s="303" t="s">
        <v>150</v>
      </c>
      <c r="ATP5" s="303" t="s">
        <v>162</v>
      </c>
      <c r="ATQ5" s="303" t="s">
        <v>140</v>
      </c>
      <c r="ATR5" s="303" t="s">
        <v>141</v>
      </c>
      <c r="ATS5" s="303" t="s">
        <v>142</v>
      </c>
      <c r="ATT5" s="303" t="s">
        <v>143</v>
      </c>
      <c r="ATU5" s="303" t="s">
        <v>144</v>
      </c>
      <c r="ATV5" s="303" t="s">
        <v>145</v>
      </c>
      <c r="ATW5" s="303" t="s">
        <v>147</v>
      </c>
      <c r="ATX5" s="303" t="s">
        <v>148</v>
      </c>
      <c r="ATY5" s="303" t="s">
        <v>149</v>
      </c>
      <c r="ATZ5" s="303" t="s">
        <v>150</v>
      </c>
      <c r="AUA5" s="303" t="s">
        <v>162</v>
      </c>
      <c r="AUB5" s="303" t="s">
        <v>140</v>
      </c>
      <c r="AUC5" s="303" t="s">
        <v>141</v>
      </c>
      <c r="AUD5" s="303" t="s">
        <v>142</v>
      </c>
      <c r="AUE5" s="303" t="s">
        <v>143</v>
      </c>
      <c r="AUF5" s="303" t="s">
        <v>144</v>
      </c>
      <c r="AUG5" s="303" t="s">
        <v>145</v>
      </c>
      <c r="AUH5" s="303" t="s">
        <v>147</v>
      </c>
      <c r="AUI5" s="303" t="s">
        <v>148</v>
      </c>
      <c r="AUJ5" s="303" t="s">
        <v>149</v>
      </c>
      <c r="AUK5" s="303" t="s">
        <v>150</v>
      </c>
      <c r="AUL5" s="303" t="s">
        <v>162</v>
      </c>
      <c r="AUM5" s="303" t="s">
        <v>140</v>
      </c>
      <c r="AUN5" s="303" t="s">
        <v>141</v>
      </c>
      <c r="AUO5" s="303" t="s">
        <v>142</v>
      </c>
      <c r="AUP5" s="303" t="s">
        <v>143</v>
      </c>
      <c r="AUQ5" s="303" t="s">
        <v>144</v>
      </c>
      <c r="AUR5" s="303" t="s">
        <v>145</v>
      </c>
      <c r="AUS5" s="303" t="s">
        <v>147</v>
      </c>
      <c r="AUT5" s="303" t="s">
        <v>148</v>
      </c>
      <c r="AUU5" s="303" t="s">
        <v>149</v>
      </c>
      <c r="AUV5" s="303" t="s">
        <v>150</v>
      </c>
      <c r="AUW5" s="303" t="s">
        <v>162</v>
      </c>
      <c r="AUX5" s="303" t="s">
        <v>140</v>
      </c>
      <c r="AUY5" s="303" t="s">
        <v>141</v>
      </c>
      <c r="AUZ5" s="303" t="s">
        <v>142</v>
      </c>
      <c r="AVA5" s="303" t="s">
        <v>143</v>
      </c>
      <c r="AVB5" s="303" t="s">
        <v>144</v>
      </c>
      <c r="AVC5" s="303" t="s">
        <v>145</v>
      </c>
      <c r="AVD5" s="303" t="s">
        <v>147</v>
      </c>
      <c r="AVE5" s="303" t="s">
        <v>148</v>
      </c>
      <c r="AVF5" s="303" t="s">
        <v>149</v>
      </c>
      <c r="AVG5" s="303" t="s">
        <v>150</v>
      </c>
      <c r="AVH5" s="303" t="s">
        <v>162</v>
      </c>
      <c r="AVI5" s="303" t="s">
        <v>140</v>
      </c>
      <c r="AVJ5" s="303" t="s">
        <v>141</v>
      </c>
      <c r="AVK5" s="303" t="s">
        <v>142</v>
      </c>
      <c r="AVL5" s="303" t="s">
        <v>143</v>
      </c>
      <c r="AVM5" s="303" t="s">
        <v>144</v>
      </c>
      <c r="AVN5" s="303" t="s">
        <v>145</v>
      </c>
      <c r="AVO5" s="303" t="s">
        <v>147</v>
      </c>
      <c r="AVP5" s="303" t="s">
        <v>148</v>
      </c>
      <c r="AVQ5" s="303" t="s">
        <v>149</v>
      </c>
      <c r="AVR5" s="303" t="s">
        <v>150</v>
      </c>
      <c r="AVS5" s="303" t="s">
        <v>162</v>
      </c>
      <c r="AVT5" s="303" t="s">
        <v>140</v>
      </c>
      <c r="AVU5" s="303" t="s">
        <v>141</v>
      </c>
      <c r="AVV5" s="303" t="s">
        <v>142</v>
      </c>
      <c r="AVW5" s="303" t="s">
        <v>143</v>
      </c>
      <c r="AVX5" s="303" t="s">
        <v>144</v>
      </c>
      <c r="AVY5" s="303" t="s">
        <v>145</v>
      </c>
      <c r="AVZ5" s="303" t="s">
        <v>147</v>
      </c>
      <c r="AWA5" s="303" t="s">
        <v>148</v>
      </c>
      <c r="AWB5" s="303" t="s">
        <v>149</v>
      </c>
      <c r="AWC5" s="303" t="s">
        <v>150</v>
      </c>
      <c r="AWD5" s="303" t="s">
        <v>162</v>
      </c>
      <c r="AWE5" s="303" t="s">
        <v>140</v>
      </c>
      <c r="AWF5" s="303" t="s">
        <v>141</v>
      </c>
      <c r="AWG5" s="303" t="s">
        <v>142</v>
      </c>
      <c r="AWH5" s="303" t="s">
        <v>143</v>
      </c>
      <c r="AWI5" s="303" t="s">
        <v>144</v>
      </c>
      <c r="AWJ5" s="303" t="s">
        <v>145</v>
      </c>
      <c r="AWK5" s="303" t="s">
        <v>147</v>
      </c>
      <c r="AWL5" s="303" t="s">
        <v>148</v>
      </c>
      <c r="AWM5" s="303" t="s">
        <v>149</v>
      </c>
      <c r="AWN5" s="303" t="s">
        <v>150</v>
      </c>
      <c r="AWO5" s="303" t="s">
        <v>162</v>
      </c>
      <c r="AWP5" s="303" t="s">
        <v>140</v>
      </c>
      <c r="AWQ5" s="303" t="s">
        <v>141</v>
      </c>
      <c r="AWR5" s="303" t="s">
        <v>142</v>
      </c>
      <c r="AWS5" s="303" t="s">
        <v>143</v>
      </c>
      <c r="AWT5" s="303" t="s">
        <v>144</v>
      </c>
      <c r="AWU5" s="303" t="s">
        <v>145</v>
      </c>
      <c r="AWV5" s="303" t="s">
        <v>147</v>
      </c>
      <c r="AWW5" s="303" t="s">
        <v>148</v>
      </c>
      <c r="AWX5" s="303" t="s">
        <v>149</v>
      </c>
      <c r="AWY5" s="303" t="s">
        <v>150</v>
      </c>
      <c r="AWZ5" s="303" t="s">
        <v>162</v>
      </c>
      <c r="AXA5" s="303" t="s">
        <v>140</v>
      </c>
      <c r="AXB5" s="303" t="s">
        <v>141</v>
      </c>
      <c r="AXC5" s="303" t="s">
        <v>142</v>
      </c>
      <c r="AXD5" s="303" t="s">
        <v>143</v>
      </c>
      <c r="AXE5" s="303" t="s">
        <v>144</v>
      </c>
      <c r="AXF5" s="303" t="s">
        <v>145</v>
      </c>
      <c r="AXG5" s="303" t="s">
        <v>147</v>
      </c>
      <c r="AXH5" s="303" t="s">
        <v>148</v>
      </c>
      <c r="AXI5" s="303" t="s">
        <v>149</v>
      </c>
      <c r="AXJ5" s="303" t="s">
        <v>150</v>
      </c>
      <c r="AXK5" s="303" t="s">
        <v>162</v>
      </c>
      <c r="AXL5" s="303" t="s">
        <v>140</v>
      </c>
      <c r="AXM5" s="303" t="s">
        <v>141</v>
      </c>
      <c r="AXN5" s="303" t="s">
        <v>142</v>
      </c>
      <c r="AXO5" s="303" t="s">
        <v>143</v>
      </c>
      <c r="AXP5" s="303" t="s">
        <v>144</v>
      </c>
      <c r="AXQ5" s="303" t="s">
        <v>145</v>
      </c>
      <c r="AXR5" s="303" t="s">
        <v>147</v>
      </c>
      <c r="AXS5" s="303" t="s">
        <v>148</v>
      </c>
      <c r="AXT5" s="303" t="s">
        <v>149</v>
      </c>
      <c r="AXU5" s="303" t="s">
        <v>150</v>
      </c>
      <c r="AXV5" s="303" t="s">
        <v>162</v>
      </c>
      <c r="AXW5" s="303" t="s">
        <v>140</v>
      </c>
      <c r="AXX5" s="303" t="s">
        <v>141</v>
      </c>
      <c r="AXY5" s="303" t="s">
        <v>142</v>
      </c>
      <c r="AXZ5" s="303" t="s">
        <v>143</v>
      </c>
      <c r="AYA5" s="303" t="s">
        <v>144</v>
      </c>
      <c r="AYB5" s="303" t="s">
        <v>145</v>
      </c>
      <c r="AYC5" s="303" t="s">
        <v>147</v>
      </c>
      <c r="AYD5" s="303" t="s">
        <v>148</v>
      </c>
      <c r="AYE5" s="303" t="s">
        <v>149</v>
      </c>
      <c r="AYF5" s="303" t="s">
        <v>150</v>
      </c>
      <c r="AYG5" s="303" t="s">
        <v>162</v>
      </c>
      <c r="AYH5" s="303"/>
    </row>
    <row r="6" spans="1:1334" ht="24.75" x14ac:dyDescent="0.25">
      <c r="A6" s="304" t="s">
        <v>256</v>
      </c>
      <c r="B6" s="298" t="s">
        <v>1066</v>
      </c>
      <c r="C6" s="303"/>
      <c r="D6" s="303"/>
      <c r="E6" s="303"/>
      <c r="F6" s="303"/>
      <c r="G6" s="303"/>
      <c r="H6" s="303"/>
      <c r="I6" s="303"/>
      <c r="J6" s="303"/>
      <c r="K6" s="303"/>
      <c r="L6" s="303"/>
      <c r="M6" s="303"/>
      <c r="N6" s="303"/>
      <c r="O6" s="303"/>
      <c r="P6" s="303"/>
      <c r="Q6" s="303"/>
      <c r="R6" s="303"/>
      <c r="S6" s="303"/>
      <c r="T6" s="303"/>
      <c r="U6" s="303"/>
      <c r="V6" s="303"/>
      <c r="W6" s="303"/>
      <c r="X6" s="303"/>
      <c r="Y6" s="303"/>
      <c r="Z6" s="303"/>
      <c r="AA6" s="303"/>
      <c r="AB6" s="303"/>
      <c r="AC6" s="303"/>
      <c r="AD6" s="303"/>
      <c r="AE6" s="303"/>
      <c r="AF6" s="303"/>
      <c r="AG6" s="303"/>
      <c r="AH6" s="303"/>
      <c r="AI6" s="303"/>
      <c r="AJ6" s="303"/>
      <c r="AK6" s="303"/>
      <c r="AL6" s="303"/>
      <c r="AM6" s="303"/>
      <c r="AN6" s="303"/>
      <c r="AO6" s="303"/>
      <c r="AP6" s="303"/>
      <c r="AQ6" s="303"/>
      <c r="AR6" s="303"/>
      <c r="AS6" s="303"/>
      <c r="AT6" s="303"/>
      <c r="AU6" s="303"/>
      <c r="AV6" s="303"/>
      <c r="AW6" s="303"/>
      <c r="AX6" s="303"/>
      <c r="AY6" s="303"/>
      <c r="AZ6" s="303"/>
      <c r="BA6" s="303"/>
      <c r="BB6" s="303"/>
      <c r="BC6" s="303"/>
      <c r="BD6" s="303"/>
      <c r="BE6" s="303"/>
      <c r="BF6" s="303"/>
      <c r="BG6" s="303"/>
      <c r="BH6" s="303"/>
      <c r="BI6" s="303"/>
      <c r="BJ6" s="303"/>
      <c r="BK6" s="303"/>
      <c r="BL6" s="303"/>
      <c r="BM6" s="303"/>
      <c r="BN6" s="303"/>
      <c r="BO6" s="303"/>
      <c r="BP6" s="303"/>
      <c r="BQ6" s="303"/>
      <c r="BR6" s="303"/>
      <c r="BS6" s="303"/>
      <c r="BT6" s="303"/>
      <c r="BU6" s="303"/>
      <c r="BV6" s="303"/>
      <c r="BW6" s="303"/>
      <c r="BX6" s="303"/>
      <c r="BY6" s="303"/>
      <c r="BZ6" s="303"/>
      <c r="CA6" s="303"/>
      <c r="CB6" s="303"/>
      <c r="CC6" s="303"/>
      <c r="CD6" s="303"/>
      <c r="CE6" s="303"/>
      <c r="CF6" s="303"/>
      <c r="CG6" s="303"/>
      <c r="CH6" s="303"/>
      <c r="CI6" s="303"/>
      <c r="CJ6" s="303"/>
      <c r="CK6" s="303"/>
      <c r="CL6" s="303"/>
      <c r="CM6" s="303"/>
      <c r="CN6" s="303"/>
      <c r="CO6" s="303"/>
      <c r="CP6" s="303"/>
      <c r="CQ6" s="303"/>
      <c r="CR6" s="303"/>
      <c r="CS6" s="303"/>
      <c r="CT6" s="303"/>
      <c r="CU6" s="303"/>
      <c r="CV6" s="303"/>
      <c r="CW6" s="303"/>
      <c r="CX6" s="303"/>
      <c r="CY6" s="303"/>
      <c r="CZ6" s="303"/>
      <c r="DA6" s="303"/>
      <c r="DB6" s="303"/>
      <c r="DC6" s="303"/>
      <c r="DD6" s="303"/>
      <c r="DE6" s="303"/>
      <c r="DF6" s="303"/>
      <c r="DG6" s="303"/>
      <c r="DH6" s="303"/>
      <c r="DI6" s="303"/>
      <c r="DJ6" s="303"/>
      <c r="DK6" s="303"/>
      <c r="DL6" s="303"/>
      <c r="DM6" s="303"/>
      <c r="DN6" s="303"/>
      <c r="DO6" s="303"/>
      <c r="DP6" s="303"/>
      <c r="DQ6" s="303"/>
      <c r="DR6" s="303"/>
      <c r="DS6" s="303"/>
      <c r="DT6" s="303"/>
      <c r="DU6" s="303"/>
      <c r="DV6" s="303"/>
      <c r="DW6" s="303"/>
      <c r="DX6" s="303"/>
      <c r="DY6" s="303"/>
      <c r="DZ6" s="303"/>
      <c r="EA6" s="303"/>
      <c r="EB6" s="303"/>
      <c r="EC6" s="303"/>
      <c r="ED6" s="303"/>
      <c r="EE6" s="303"/>
      <c r="EF6" s="303"/>
      <c r="EG6" s="303"/>
      <c r="EH6" s="303"/>
      <c r="EI6" s="303"/>
      <c r="EJ6" s="303"/>
      <c r="EK6" s="303"/>
      <c r="EL6" s="303"/>
      <c r="EM6" s="303"/>
      <c r="EN6" s="303"/>
      <c r="EO6" s="303"/>
      <c r="EP6" s="303"/>
      <c r="EQ6" s="303"/>
      <c r="ER6" s="303"/>
      <c r="ES6" s="303"/>
      <c r="ET6" s="303"/>
      <c r="EU6" s="303"/>
      <c r="EV6" s="303"/>
      <c r="EW6" s="303"/>
      <c r="EX6" s="303"/>
      <c r="EY6" s="303"/>
      <c r="EZ6" s="303"/>
      <c r="FA6" s="303"/>
      <c r="FB6" s="303"/>
      <c r="FC6" s="303"/>
      <c r="FD6" s="303"/>
      <c r="FE6" s="303"/>
      <c r="FF6" s="303"/>
      <c r="FG6" s="303"/>
      <c r="FH6" s="303"/>
      <c r="FI6" s="303"/>
      <c r="FJ6" s="303"/>
      <c r="FK6" s="303"/>
      <c r="FL6" s="303"/>
      <c r="FM6" s="303"/>
      <c r="FN6" s="303"/>
      <c r="FO6" s="303"/>
      <c r="FP6" s="303"/>
      <c r="FQ6" s="303"/>
      <c r="FR6" s="303"/>
      <c r="FS6" s="303"/>
      <c r="FT6" s="303"/>
      <c r="FU6" s="303"/>
      <c r="FV6" s="303"/>
      <c r="FW6" s="303"/>
      <c r="FX6" s="303"/>
      <c r="FY6" s="303"/>
      <c r="FZ6" s="303"/>
      <c r="GA6" s="303"/>
      <c r="GB6" s="303"/>
      <c r="GC6" s="303"/>
      <c r="GD6" s="303"/>
      <c r="GE6" s="303"/>
      <c r="GF6" s="303"/>
      <c r="GG6" s="303"/>
      <c r="GH6" s="303"/>
      <c r="GI6" s="303"/>
      <c r="GJ6" s="303"/>
      <c r="GK6" s="303"/>
      <c r="GL6" s="303"/>
      <c r="GM6" s="303"/>
      <c r="GN6" s="303"/>
      <c r="GO6" s="303"/>
      <c r="GP6" s="303"/>
      <c r="GQ6" s="303"/>
      <c r="GR6" s="303"/>
      <c r="GS6" s="303"/>
      <c r="GT6" s="303"/>
      <c r="GU6" s="303"/>
      <c r="GV6" s="303"/>
      <c r="GW6" s="303"/>
      <c r="GX6" s="303"/>
      <c r="GY6" s="303"/>
      <c r="GZ6" s="303"/>
      <c r="HA6" s="303"/>
      <c r="HB6" s="303"/>
      <c r="HC6" s="303"/>
      <c r="HD6" s="303"/>
      <c r="HE6" s="303"/>
      <c r="HF6" s="303"/>
      <c r="HG6" s="303"/>
      <c r="HH6" s="303"/>
      <c r="HI6" s="303"/>
      <c r="HJ6" s="303"/>
      <c r="HK6" s="303"/>
      <c r="HL6" s="303"/>
      <c r="HM6" s="303"/>
      <c r="HN6" s="303"/>
      <c r="HO6" s="303"/>
      <c r="HP6" s="303"/>
      <c r="HQ6" s="303"/>
      <c r="HR6" s="303"/>
      <c r="HS6" s="303"/>
      <c r="HT6" s="303"/>
      <c r="HU6" s="303"/>
      <c r="HV6" s="303"/>
      <c r="HW6" s="303"/>
      <c r="HX6" s="303"/>
      <c r="HY6" s="303"/>
      <c r="HZ6" s="303"/>
      <c r="IA6" s="303"/>
      <c r="IB6" s="303"/>
      <c r="IC6" s="303"/>
      <c r="ID6" s="303"/>
      <c r="IE6" s="303"/>
      <c r="IF6" s="303"/>
      <c r="IG6" s="303"/>
      <c r="IH6" s="303"/>
      <c r="II6" s="303"/>
      <c r="IJ6" s="303"/>
      <c r="IK6" s="303"/>
      <c r="IL6" s="303"/>
      <c r="IM6" s="303"/>
      <c r="IN6" s="303"/>
      <c r="IO6" s="303"/>
      <c r="IP6" s="303"/>
      <c r="IQ6" s="303"/>
      <c r="IR6" s="303"/>
      <c r="IS6" s="303"/>
      <c r="IT6" s="303"/>
      <c r="IU6" s="303"/>
      <c r="IV6" s="303"/>
      <c r="IW6" s="303"/>
      <c r="IX6" s="303"/>
      <c r="IY6" s="303"/>
      <c r="IZ6" s="303"/>
      <c r="JA6" s="303"/>
      <c r="JB6" s="303"/>
      <c r="JC6" s="303"/>
      <c r="JD6" s="303"/>
      <c r="JE6" s="303"/>
      <c r="JF6" s="303"/>
      <c r="JG6" s="303"/>
      <c r="JH6" s="303"/>
      <c r="JI6" s="303"/>
      <c r="JJ6" s="303"/>
      <c r="JK6" s="303"/>
      <c r="JL6" s="303"/>
      <c r="JM6" s="303"/>
      <c r="JN6" s="303"/>
      <c r="JO6" s="303"/>
      <c r="JP6" s="303"/>
      <c r="JQ6" s="303"/>
      <c r="JR6" s="303"/>
      <c r="JS6" s="303"/>
      <c r="JT6" s="303"/>
      <c r="JU6" s="303"/>
      <c r="JV6" s="303"/>
      <c r="JW6" s="303"/>
      <c r="JX6" s="303"/>
      <c r="JY6" s="303"/>
      <c r="JZ6" s="303"/>
      <c r="KA6" s="303"/>
      <c r="KB6" s="303"/>
      <c r="KC6" s="303"/>
      <c r="KD6" s="303"/>
      <c r="KE6" s="303"/>
      <c r="KF6" s="303"/>
      <c r="KG6" s="303"/>
      <c r="KH6" s="303"/>
      <c r="KI6" s="303"/>
      <c r="KJ6" s="303"/>
      <c r="KK6" s="303"/>
      <c r="KL6" s="303"/>
      <c r="KM6" s="303"/>
      <c r="KN6" s="303"/>
      <c r="KO6" s="303"/>
      <c r="KP6" s="303"/>
      <c r="KQ6" s="303"/>
      <c r="KR6" s="303"/>
      <c r="KS6" s="303"/>
      <c r="KT6" s="303"/>
      <c r="KU6" s="303"/>
      <c r="KV6" s="303"/>
      <c r="KW6" s="303"/>
      <c r="KX6" s="303"/>
      <c r="KY6" s="303"/>
      <c r="KZ6" s="303"/>
      <c r="LA6" s="303"/>
      <c r="LB6" s="303"/>
      <c r="LC6" s="303"/>
      <c r="LD6" s="303"/>
      <c r="LE6" s="303"/>
      <c r="LF6" s="303"/>
      <c r="LG6" s="303"/>
      <c r="LH6" s="303"/>
      <c r="LI6" s="303"/>
      <c r="LJ6" s="303"/>
      <c r="LK6" s="303"/>
      <c r="LL6" s="303"/>
      <c r="LM6" s="303"/>
      <c r="LN6" s="303"/>
      <c r="LO6" s="303"/>
      <c r="LP6" s="303"/>
      <c r="LQ6" s="303"/>
      <c r="LR6" s="303"/>
      <c r="LS6" s="303"/>
      <c r="LT6" s="303"/>
      <c r="LU6" s="303"/>
      <c r="LV6" s="303"/>
      <c r="LW6" s="303"/>
      <c r="LX6" s="303"/>
      <c r="LY6" s="303"/>
      <c r="LZ6" s="303"/>
      <c r="MA6" s="303"/>
      <c r="MB6" s="303"/>
      <c r="MC6" s="303"/>
      <c r="MD6" s="303"/>
      <c r="ME6" s="303"/>
      <c r="MF6" s="303"/>
      <c r="MG6" s="303"/>
      <c r="MH6" s="303"/>
      <c r="MI6" s="303"/>
      <c r="MJ6" s="303"/>
      <c r="MK6" s="303"/>
      <c r="ML6" s="303"/>
      <c r="MM6" s="303"/>
      <c r="MN6" s="303"/>
      <c r="MO6" s="303"/>
      <c r="MP6" s="303"/>
      <c r="MQ6" s="303"/>
      <c r="MR6" s="303"/>
      <c r="MS6" s="303"/>
      <c r="MT6" s="303"/>
      <c r="MU6" s="303"/>
      <c r="MV6" s="303"/>
      <c r="MW6" s="303"/>
      <c r="MX6" s="303"/>
      <c r="MY6" s="303"/>
      <c r="MZ6" s="303"/>
      <c r="NA6" s="303"/>
      <c r="NB6" s="303"/>
      <c r="NC6" s="303"/>
      <c r="ND6" s="303"/>
      <c r="NE6" s="303"/>
      <c r="NF6" s="303"/>
      <c r="NG6" s="303"/>
      <c r="NH6" s="303"/>
      <c r="NI6" s="303"/>
      <c r="NJ6" s="303"/>
      <c r="NK6" s="303"/>
      <c r="NL6" s="303"/>
      <c r="NM6" s="303"/>
      <c r="NN6" s="303"/>
      <c r="NO6" s="303"/>
      <c r="NP6" s="303"/>
      <c r="NQ6" s="303"/>
      <c r="NR6" s="303"/>
      <c r="NS6" s="303"/>
      <c r="NT6" s="303"/>
      <c r="NU6" s="303"/>
      <c r="NV6" s="303"/>
      <c r="NW6" s="303"/>
      <c r="NX6" s="303"/>
      <c r="NY6" s="303"/>
      <c r="NZ6" s="303"/>
      <c r="OA6" s="303"/>
      <c r="OB6" s="303"/>
      <c r="OC6" s="303"/>
      <c r="OD6" s="303"/>
      <c r="OE6" s="303"/>
      <c r="OF6" s="303"/>
      <c r="OG6" s="303"/>
      <c r="OH6" s="303"/>
      <c r="OI6" s="303"/>
      <c r="OJ6" s="303"/>
      <c r="OK6" s="303"/>
      <c r="OL6" s="303"/>
      <c r="OM6" s="303"/>
      <c r="ON6" s="303"/>
      <c r="OO6" s="303"/>
      <c r="OP6" s="303"/>
      <c r="OQ6" s="303"/>
      <c r="OR6" s="303"/>
      <c r="OS6" s="303"/>
      <c r="OT6" s="303"/>
      <c r="OU6" s="303"/>
      <c r="OV6" s="303"/>
      <c r="OW6" s="303"/>
      <c r="OX6" s="303"/>
      <c r="OY6" s="303"/>
      <c r="OZ6" s="303"/>
      <c r="PA6" s="303"/>
      <c r="PB6" s="303"/>
      <c r="PC6" s="303"/>
      <c r="PD6" s="303"/>
      <c r="PE6" s="303"/>
      <c r="PF6" s="303"/>
      <c r="PG6" s="303"/>
      <c r="PH6" s="303"/>
      <c r="PI6" s="303"/>
      <c r="PJ6" s="303"/>
      <c r="PK6" s="303"/>
      <c r="PL6" s="303"/>
      <c r="PM6" s="303"/>
      <c r="PN6" s="303"/>
      <c r="PO6" s="303"/>
      <c r="PP6" s="303"/>
      <c r="PQ6" s="303"/>
      <c r="PR6" s="303"/>
      <c r="PS6" s="303"/>
      <c r="PT6" s="303"/>
      <c r="PU6" s="303"/>
      <c r="PV6" s="303"/>
      <c r="PW6" s="303"/>
      <c r="PX6" s="303"/>
      <c r="PY6" s="303"/>
      <c r="PZ6" s="303"/>
      <c r="QA6" s="303"/>
      <c r="QB6" s="303"/>
      <c r="QC6" s="303"/>
      <c r="QD6" s="303"/>
      <c r="QE6" s="303"/>
      <c r="QF6" s="303"/>
      <c r="QG6" s="303"/>
      <c r="QH6" s="303"/>
      <c r="QI6" s="303"/>
      <c r="QJ6" s="303"/>
      <c r="QK6" s="303"/>
      <c r="QL6" s="303"/>
      <c r="QM6" s="303"/>
      <c r="QN6" s="303"/>
      <c r="QO6" s="303"/>
      <c r="QP6" s="303"/>
      <c r="QQ6" s="303"/>
      <c r="QR6" s="303"/>
      <c r="QS6" s="303"/>
      <c r="QT6" s="303"/>
      <c r="QU6" s="303"/>
      <c r="QV6" s="303"/>
      <c r="QW6" s="303"/>
      <c r="QX6" s="303"/>
      <c r="QY6" s="303"/>
      <c r="QZ6" s="303"/>
      <c r="RA6" s="303"/>
      <c r="RB6" s="303"/>
      <c r="RC6" s="303"/>
      <c r="RD6" s="303"/>
      <c r="RE6" s="303"/>
      <c r="RF6" s="303"/>
      <c r="RG6" s="303"/>
      <c r="RH6" s="303"/>
      <c r="RI6" s="303"/>
      <c r="RJ6" s="303"/>
      <c r="RK6" s="303"/>
      <c r="RL6" s="303"/>
      <c r="RM6" s="303"/>
      <c r="RN6" s="303"/>
      <c r="RO6" s="303"/>
      <c r="RP6" s="303"/>
      <c r="RQ6" s="303"/>
      <c r="RR6" s="303"/>
      <c r="RS6" s="303"/>
      <c r="RT6" s="303"/>
      <c r="RU6" s="303"/>
      <c r="RV6" s="303"/>
      <c r="RW6" s="303"/>
      <c r="RX6" s="303"/>
      <c r="RY6" s="303"/>
      <c r="RZ6" s="303"/>
      <c r="SA6" s="303"/>
      <c r="SB6" s="303"/>
      <c r="SC6" s="303"/>
      <c r="SD6" s="303"/>
      <c r="SE6" s="303"/>
      <c r="SF6" s="303"/>
      <c r="SG6" s="303"/>
      <c r="SH6" s="303"/>
      <c r="SI6" s="303"/>
      <c r="SJ6" s="303"/>
      <c r="SK6" s="303"/>
      <c r="SL6" s="303"/>
      <c r="SM6" s="303"/>
      <c r="SN6" s="303"/>
      <c r="SO6" s="303"/>
      <c r="SP6" s="303"/>
      <c r="SQ6" s="303"/>
      <c r="SR6" s="303"/>
      <c r="SS6" s="303"/>
      <c r="ST6" s="303"/>
      <c r="SU6" s="303"/>
      <c r="SV6" s="303"/>
      <c r="SW6" s="303"/>
      <c r="SX6" s="303"/>
      <c r="SY6" s="303"/>
      <c r="SZ6" s="303"/>
      <c r="TA6" s="303"/>
      <c r="TB6" s="303"/>
      <c r="TC6" s="303"/>
      <c r="TD6" s="303"/>
      <c r="TE6" s="303"/>
      <c r="TF6" s="303"/>
      <c r="TG6" s="303"/>
      <c r="TH6" s="303"/>
      <c r="TI6" s="303"/>
      <c r="TJ6" s="303"/>
      <c r="TK6" s="303"/>
      <c r="TL6" s="303"/>
      <c r="TM6" s="303"/>
      <c r="TN6" s="303"/>
      <c r="TO6" s="303"/>
      <c r="TP6" s="303"/>
      <c r="TQ6" s="303"/>
      <c r="TR6" s="303"/>
      <c r="TS6" s="303"/>
      <c r="TT6" s="303"/>
      <c r="TU6" s="303"/>
      <c r="TV6" s="303"/>
      <c r="TW6" s="303"/>
      <c r="TX6" s="303"/>
      <c r="TY6" s="303"/>
      <c r="TZ6" s="303"/>
      <c r="UA6" s="303"/>
      <c r="UB6" s="303"/>
      <c r="UC6" s="303"/>
      <c r="UD6" s="303"/>
      <c r="UE6" s="303"/>
      <c r="UF6" s="303"/>
      <c r="UG6" s="303"/>
      <c r="UH6" s="303"/>
      <c r="UI6" s="303"/>
      <c r="UJ6" s="303"/>
      <c r="UK6" s="303"/>
      <c r="UL6" s="303"/>
      <c r="UM6" s="303"/>
      <c r="UN6" s="303"/>
      <c r="UO6" s="303"/>
      <c r="UP6" s="303"/>
      <c r="UQ6" s="303"/>
      <c r="UR6" s="303"/>
      <c r="US6" s="303"/>
      <c r="UT6" s="303"/>
      <c r="UU6" s="303"/>
      <c r="UV6" s="303"/>
      <c r="UW6" s="303"/>
      <c r="UX6" s="303"/>
      <c r="UY6" s="303"/>
      <c r="UZ6" s="303"/>
      <c r="VA6" s="303"/>
      <c r="VB6" s="303"/>
      <c r="VC6" s="303"/>
      <c r="VD6" s="303"/>
      <c r="VE6" s="303"/>
      <c r="VF6" s="303"/>
      <c r="VG6" s="303"/>
      <c r="VH6" s="303"/>
      <c r="VI6" s="303"/>
      <c r="VJ6" s="303"/>
      <c r="VK6" s="303"/>
      <c r="VL6" s="303"/>
      <c r="VM6" s="303"/>
      <c r="VN6" s="303"/>
      <c r="VO6" s="303"/>
      <c r="VP6" s="303"/>
      <c r="VQ6" s="303"/>
      <c r="VR6" s="303"/>
      <c r="VS6" s="303"/>
      <c r="VT6" s="303"/>
      <c r="VU6" s="303"/>
      <c r="VV6" s="303"/>
      <c r="VW6" s="303"/>
      <c r="VX6" s="303"/>
      <c r="VY6" s="303"/>
      <c r="VZ6" s="303"/>
      <c r="WA6" s="303"/>
      <c r="WB6" s="303"/>
      <c r="WC6" s="303"/>
      <c r="WD6" s="303"/>
      <c r="WE6" s="303"/>
      <c r="WF6" s="303"/>
      <c r="WG6" s="303"/>
      <c r="WH6" s="303"/>
      <c r="WI6" s="303"/>
      <c r="WJ6" s="303"/>
      <c r="WK6" s="303"/>
      <c r="WL6" s="303"/>
      <c r="WM6" s="303"/>
      <c r="WN6" s="303"/>
      <c r="WO6" s="303"/>
      <c r="WP6" s="303"/>
      <c r="WQ6" s="303"/>
      <c r="WR6" s="303"/>
      <c r="WS6" s="303"/>
      <c r="WT6" s="303"/>
      <c r="WU6" s="303"/>
      <c r="WV6" s="303"/>
      <c r="WW6" s="303"/>
      <c r="WX6" s="303"/>
      <c r="WY6" s="303"/>
      <c r="WZ6" s="303"/>
      <c r="XA6" s="303"/>
      <c r="XB6" s="303"/>
      <c r="XC6" s="303"/>
      <c r="XD6" s="303"/>
      <c r="XE6" s="303"/>
      <c r="XF6" s="303"/>
      <c r="XG6" s="303"/>
      <c r="XH6" s="303"/>
      <c r="XI6" s="303"/>
      <c r="XJ6" s="303"/>
      <c r="XK6" s="303"/>
      <c r="XL6" s="303"/>
      <c r="XM6" s="303"/>
      <c r="XN6" s="303"/>
      <c r="XO6" s="303"/>
      <c r="XP6" s="303"/>
      <c r="XQ6" s="303"/>
      <c r="XR6" s="303"/>
      <c r="XS6" s="303"/>
      <c r="XT6" s="303"/>
      <c r="XU6" s="303"/>
      <c r="XV6" s="303"/>
      <c r="XW6" s="303"/>
      <c r="XX6" s="303"/>
      <c r="XY6" s="303"/>
      <c r="XZ6" s="303"/>
      <c r="YA6" s="303"/>
      <c r="YB6" s="303"/>
      <c r="YC6" s="303"/>
      <c r="YD6" s="303"/>
      <c r="YE6" s="303"/>
      <c r="YF6" s="303"/>
      <c r="YG6" s="303"/>
      <c r="YH6" s="303"/>
      <c r="YI6" s="303"/>
      <c r="YJ6" s="303"/>
      <c r="YK6" s="303"/>
      <c r="YL6" s="303"/>
      <c r="YM6" s="303"/>
      <c r="YN6" s="303"/>
      <c r="YO6" s="303"/>
      <c r="YP6" s="303"/>
      <c r="YQ6" s="303"/>
      <c r="YR6" s="303"/>
      <c r="YS6" s="303"/>
      <c r="YT6" s="303"/>
      <c r="YU6" s="303"/>
      <c r="YV6" s="303"/>
      <c r="YW6" s="303"/>
      <c r="YX6" s="303"/>
      <c r="YY6" s="303"/>
      <c r="YZ6" s="303"/>
      <c r="ZA6" s="303"/>
      <c r="ZB6" s="303"/>
      <c r="ZC6" s="303"/>
      <c r="ZD6" s="303"/>
      <c r="ZE6" s="303"/>
      <c r="ZF6" s="303"/>
      <c r="ZG6" s="303"/>
      <c r="ZH6" s="303"/>
      <c r="ZI6" s="303"/>
      <c r="ZJ6" s="303"/>
      <c r="ZK6" s="303"/>
      <c r="ZL6" s="303"/>
      <c r="ZM6" s="303"/>
      <c r="ZN6" s="303"/>
      <c r="ZO6" s="303"/>
      <c r="ZP6" s="303"/>
      <c r="ZQ6" s="303"/>
      <c r="ZR6" s="303"/>
      <c r="ZS6" s="303"/>
      <c r="ZT6" s="303"/>
      <c r="ZU6" s="303"/>
      <c r="ZV6" s="303"/>
      <c r="ZW6" s="303"/>
      <c r="ZX6" s="303"/>
      <c r="ZY6" s="303"/>
      <c r="ZZ6" s="303"/>
      <c r="AAA6" s="303"/>
      <c r="AAB6" s="303"/>
      <c r="AAC6" s="303"/>
      <c r="AAD6" s="303"/>
      <c r="AAE6" s="303"/>
      <c r="AAF6" s="303"/>
      <c r="AAG6" s="303"/>
      <c r="AAH6" s="303"/>
      <c r="AAI6" s="303"/>
      <c r="AAJ6" s="303"/>
      <c r="AAK6" s="303"/>
      <c r="AAL6" s="303"/>
      <c r="AAM6" s="303"/>
      <c r="AAN6" s="303"/>
      <c r="AAO6" s="303"/>
      <c r="AAP6" s="303"/>
      <c r="AAQ6" s="303"/>
      <c r="AAR6" s="303"/>
      <c r="AAS6" s="303"/>
      <c r="AAT6" s="303"/>
      <c r="AAU6" s="303"/>
      <c r="AAV6" s="303"/>
      <c r="AAW6" s="303"/>
      <c r="AAX6" s="303"/>
      <c r="AAY6" s="303"/>
      <c r="AAZ6" s="303"/>
      <c r="ABA6" s="303"/>
      <c r="ABB6" s="303"/>
      <c r="ABC6" s="303"/>
      <c r="ABD6" s="303"/>
      <c r="ABE6" s="303"/>
      <c r="ABF6" s="303"/>
      <c r="ABG6" s="303"/>
      <c r="ABH6" s="303"/>
      <c r="ABI6" s="303"/>
      <c r="ABJ6" s="303"/>
      <c r="ABK6" s="303"/>
      <c r="ABL6" s="303"/>
      <c r="ABM6" s="303"/>
      <c r="ABN6" s="303"/>
      <c r="ABO6" s="303"/>
      <c r="ABP6" s="303"/>
      <c r="ABQ6" s="303"/>
      <c r="ABR6" s="303"/>
      <c r="ABS6" s="303"/>
      <c r="ABT6" s="303"/>
      <c r="ABU6" s="303"/>
      <c r="ABV6" s="303"/>
      <c r="ABW6" s="303"/>
      <c r="ABX6" s="303"/>
      <c r="ABY6" s="303"/>
      <c r="ABZ6" s="303"/>
      <c r="ACA6" s="303"/>
      <c r="ACB6" s="303"/>
      <c r="ACC6" s="303"/>
      <c r="ACD6" s="303"/>
      <c r="ACE6" s="303"/>
      <c r="ACF6" s="303"/>
      <c r="ACG6" s="303"/>
      <c r="ACH6" s="303"/>
      <c r="ACI6" s="303"/>
      <c r="ACJ6" s="303"/>
      <c r="ACK6" s="303"/>
      <c r="ACL6" s="303"/>
      <c r="ACM6" s="303"/>
      <c r="ACN6" s="303"/>
      <c r="ACO6" s="303"/>
      <c r="ACP6" s="303"/>
      <c r="ACQ6" s="303"/>
      <c r="ACR6" s="303"/>
      <c r="ACS6" s="303"/>
      <c r="ACT6" s="303"/>
      <c r="ACU6" s="303"/>
      <c r="ACV6" s="303"/>
      <c r="ACW6" s="303"/>
      <c r="ACX6" s="303"/>
      <c r="ACY6" s="303"/>
      <c r="ACZ6" s="303"/>
      <c r="ADA6" s="303"/>
      <c r="ADB6" s="303"/>
      <c r="ADC6" s="303"/>
      <c r="ADD6" s="303"/>
      <c r="ADE6" s="303"/>
      <c r="ADF6" s="303"/>
      <c r="ADG6" s="303"/>
      <c r="ADH6" s="303"/>
      <c r="ADI6" s="303"/>
      <c r="ADJ6" s="303"/>
      <c r="ADK6" s="303"/>
      <c r="ADL6" s="303"/>
      <c r="ADM6" s="303"/>
      <c r="ADN6" s="303"/>
      <c r="ADO6" s="303"/>
      <c r="ADP6" s="303"/>
      <c r="ADQ6" s="303"/>
      <c r="ADR6" s="303"/>
      <c r="ADS6" s="303"/>
      <c r="ADT6" s="303"/>
      <c r="ADU6" s="303"/>
      <c r="ADV6" s="303"/>
      <c r="ADW6" s="303"/>
      <c r="ADX6" s="303"/>
      <c r="ADY6" s="303"/>
      <c r="ADZ6" s="303"/>
      <c r="AEA6" s="303"/>
      <c r="AEB6" s="303"/>
      <c r="AEC6" s="303"/>
      <c r="AED6" s="303"/>
      <c r="AEE6" s="303"/>
      <c r="AEF6" s="303"/>
      <c r="AEG6" s="303"/>
      <c r="AEH6" s="303"/>
      <c r="AEI6" s="303"/>
      <c r="AEJ6" s="303"/>
      <c r="AEK6" s="303"/>
      <c r="AEL6" s="303"/>
      <c r="AEM6" s="303"/>
      <c r="AEN6" s="303"/>
      <c r="AEO6" s="303"/>
      <c r="AEP6" s="303"/>
      <c r="AEQ6" s="303"/>
      <c r="AER6" s="303"/>
      <c r="AES6" s="303"/>
      <c r="AET6" s="303"/>
      <c r="AEU6" s="303"/>
      <c r="AEV6" s="303"/>
      <c r="AEW6" s="303"/>
      <c r="AEX6" s="303"/>
      <c r="AEY6" s="303"/>
      <c r="AEZ6" s="303"/>
      <c r="AFA6" s="303"/>
      <c r="AFB6" s="303"/>
      <c r="AFC6" s="303"/>
      <c r="AFD6" s="303"/>
      <c r="AFE6" s="303"/>
      <c r="AFF6" s="303"/>
      <c r="AFG6" s="303"/>
      <c r="AFH6" s="303"/>
      <c r="AFI6" s="303"/>
      <c r="AFJ6" s="303"/>
      <c r="AFK6" s="303"/>
      <c r="AFL6" s="303"/>
      <c r="AFM6" s="303"/>
      <c r="AFN6" s="303"/>
      <c r="AFO6" s="303"/>
      <c r="AFP6" s="303"/>
      <c r="AFQ6" s="303"/>
      <c r="AFR6" s="303"/>
      <c r="AFS6" s="303"/>
      <c r="AFT6" s="303"/>
      <c r="AFU6" s="303"/>
      <c r="AFV6" s="303"/>
      <c r="AFW6" s="303"/>
      <c r="AFX6" s="303"/>
      <c r="AFY6" s="303"/>
      <c r="AFZ6" s="303"/>
      <c r="AGA6" s="303"/>
      <c r="AGB6" s="303"/>
      <c r="AGC6" s="303"/>
      <c r="AGD6" s="303"/>
      <c r="AGE6" s="303"/>
      <c r="AGF6" s="303"/>
      <c r="AGG6" s="303"/>
      <c r="AGH6" s="303"/>
      <c r="AGI6" s="303"/>
      <c r="AGJ6" s="303"/>
      <c r="AGK6" s="303"/>
      <c r="AGL6" s="303"/>
      <c r="AGM6" s="303"/>
      <c r="AGN6" s="303"/>
      <c r="AGO6" s="303"/>
      <c r="AGP6" s="303"/>
      <c r="AGQ6" s="303"/>
      <c r="AGR6" s="303"/>
      <c r="AGS6" s="303"/>
      <c r="AGT6" s="303"/>
      <c r="AGU6" s="303"/>
      <c r="AGV6" s="303"/>
      <c r="AGW6" s="303"/>
      <c r="AGX6" s="303"/>
      <c r="AGY6" s="303"/>
      <c r="AGZ6" s="303"/>
      <c r="AHA6" s="303"/>
      <c r="AHB6" s="303"/>
      <c r="AHC6" s="303"/>
      <c r="AHD6" s="303"/>
      <c r="AHE6" s="303"/>
      <c r="AHF6" s="303"/>
      <c r="AHG6" s="303"/>
      <c r="AHH6" s="303"/>
      <c r="AHI6" s="303"/>
      <c r="AHJ6" s="303"/>
      <c r="AHK6" s="303"/>
      <c r="AHL6" s="303"/>
      <c r="AHM6" s="303"/>
      <c r="AHN6" s="303"/>
      <c r="AHO6" s="303"/>
      <c r="AHP6" s="303"/>
      <c r="AHQ6" s="303"/>
      <c r="AHR6" s="303"/>
      <c r="AHS6" s="303"/>
      <c r="AHT6" s="303"/>
      <c r="AHU6" s="303"/>
      <c r="AHV6" s="303"/>
      <c r="AHW6" s="303"/>
      <c r="AHX6" s="303"/>
      <c r="AHY6" s="303"/>
      <c r="AHZ6" s="303"/>
      <c r="AIA6" s="303"/>
      <c r="AIB6" s="303"/>
      <c r="AIC6" s="303"/>
      <c r="AID6" s="303"/>
      <c r="AIE6" s="303"/>
      <c r="AIF6" s="303"/>
      <c r="AIG6" s="303"/>
      <c r="AIH6" s="303"/>
      <c r="AII6" s="303"/>
      <c r="AIJ6" s="303"/>
      <c r="AIK6" s="303"/>
      <c r="AIL6" s="303"/>
      <c r="AIM6" s="303"/>
      <c r="AIN6" s="303"/>
      <c r="AIO6" s="303"/>
      <c r="AIP6" s="303"/>
      <c r="AIQ6" s="303"/>
      <c r="AIR6" s="303"/>
      <c r="AIS6" s="303"/>
      <c r="AIT6" s="303"/>
      <c r="AIU6" s="303"/>
      <c r="AIV6" s="303"/>
      <c r="AIW6" s="303"/>
      <c r="AIX6" s="303"/>
      <c r="AIY6" s="303"/>
      <c r="AIZ6" s="303"/>
      <c r="AJA6" s="303"/>
      <c r="AJB6" s="303"/>
      <c r="AJC6" s="303"/>
      <c r="AJD6" s="303"/>
      <c r="AJE6" s="303"/>
      <c r="AJF6" s="303"/>
      <c r="AJG6" s="303"/>
      <c r="AJH6" s="303"/>
      <c r="AJI6" s="303"/>
      <c r="AJJ6" s="303"/>
      <c r="AJK6" s="303"/>
      <c r="AJL6" s="303"/>
      <c r="AJM6" s="303"/>
      <c r="AJN6" s="303"/>
      <c r="AJO6" s="303"/>
      <c r="AJP6" s="303"/>
      <c r="AJQ6" s="303"/>
      <c r="AJR6" s="303"/>
      <c r="AJS6" s="303"/>
      <c r="AJT6" s="303"/>
      <c r="AJU6" s="303"/>
      <c r="AJV6" s="303"/>
      <c r="AJW6" s="303"/>
      <c r="AJX6" s="303"/>
      <c r="AJY6" s="303"/>
      <c r="AJZ6" s="303"/>
      <c r="AKA6" s="303"/>
      <c r="AKB6" s="303"/>
      <c r="AKC6" s="303"/>
      <c r="AKD6" s="303"/>
      <c r="AKE6" s="303"/>
      <c r="AKF6" s="303"/>
      <c r="AKG6" s="303"/>
      <c r="AKH6" s="303"/>
      <c r="AKI6" s="303"/>
      <c r="AKJ6" s="303"/>
      <c r="AKK6" s="303"/>
      <c r="AKL6" s="303"/>
      <c r="AKM6" s="303"/>
      <c r="AKN6" s="303"/>
      <c r="AKO6" s="303"/>
      <c r="AKP6" s="303"/>
      <c r="AKQ6" s="303"/>
      <c r="AKR6" s="303"/>
      <c r="AKS6" s="303"/>
      <c r="AKT6" s="303"/>
      <c r="AKU6" s="303"/>
      <c r="AKV6" s="303"/>
      <c r="AKW6" s="303"/>
      <c r="AKX6" s="303"/>
      <c r="AKY6" s="303"/>
      <c r="AKZ6" s="303"/>
      <c r="ALA6" s="303"/>
      <c r="ALB6" s="303"/>
      <c r="ALC6" s="303"/>
      <c r="ALD6" s="303"/>
      <c r="ALE6" s="303"/>
      <c r="ALF6" s="303"/>
      <c r="ALG6" s="303"/>
      <c r="ALH6" s="303"/>
      <c r="ALI6" s="303"/>
      <c r="ALJ6" s="303"/>
      <c r="ALK6" s="303"/>
      <c r="ALL6" s="303"/>
      <c r="ALM6" s="303"/>
      <c r="ALN6" s="303"/>
      <c r="ALO6" s="303"/>
      <c r="ALP6" s="303"/>
      <c r="ALQ6" s="303"/>
      <c r="ALR6" s="303"/>
      <c r="ALS6" s="303"/>
      <c r="ALT6" s="303"/>
      <c r="ALU6" s="303"/>
      <c r="ALV6" s="303"/>
      <c r="ALW6" s="303"/>
      <c r="ALX6" s="303"/>
      <c r="ALY6" s="303"/>
      <c r="ALZ6" s="303"/>
      <c r="AMA6" s="303"/>
      <c r="AMB6" s="303"/>
      <c r="AMC6" s="303"/>
      <c r="AMD6" s="303"/>
      <c r="AME6" s="303"/>
      <c r="AMF6" s="303"/>
      <c r="AMG6" s="303"/>
      <c r="AMH6" s="303"/>
      <c r="AMI6" s="303"/>
      <c r="AMJ6" s="303"/>
      <c r="AMK6" s="303"/>
      <c r="AML6" s="303"/>
      <c r="AMM6" s="303"/>
      <c r="AMN6" s="303"/>
      <c r="AMO6" s="303"/>
      <c r="AMP6" s="303"/>
      <c r="AMQ6" s="303"/>
      <c r="AMR6" s="303"/>
      <c r="AMS6" s="303"/>
      <c r="AMT6" s="303"/>
      <c r="AMU6" s="303"/>
      <c r="AMV6" s="303"/>
      <c r="AMW6" s="303"/>
      <c r="AMX6" s="303"/>
      <c r="AMY6" s="303"/>
      <c r="AMZ6" s="303"/>
      <c r="ANA6" s="303"/>
      <c r="ANB6" s="303"/>
      <c r="ANC6" s="303"/>
      <c r="AND6" s="303"/>
      <c r="ANE6" s="303"/>
      <c r="ANF6" s="303"/>
      <c r="ANG6" s="303"/>
      <c r="ANH6" s="303"/>
      <c r="ANI6" s="303"/>
      <c r="ANJ6" s="303"/>
      <c r="ANK6" s="303"/>
      <c r="ANL6" s="303"/>
      <c r="ANM6" s="303"/>
      <c r="ANN6" s="303"/>
      <c r="ANO6" s="303"/>
      <c r="ANP6" s="303"/>
      <c r="ANQ6" s="303"/>
      <c r="ANR6" s="303"/>
      <c r="ANS6" s="303"/>
      <c r="ANT6" s="303"/>
      <c r="ANU6" s="303"/>
      <c r="ANV6" s="303"/>
      <c r="ANW6" s="303"/>
      <c r="ANX6" s="303"/>
      <c r="ANY6" s="303"/>
      <c r="ANZ6" s="303"/>
      <c r="AOA6" s="303"/>
      <c r="AOB6" s="303"/>
      <c r="AOC6" s="303"/>
      <c r="AOD6" s="303"/>
      <c r="AOE6" s="303"/>
      <c r="AOF6" s="303"/>
      <c r="AOG6" s="303"/>
      <c r="AOH6" s="303"/>
      <c r="AOI6" s="303"/>
      <c r="AOJ6" s="303"/>
      <c r="AOK6" s="303"/>
      <c r="AOL6" s="303"/>
      <c r="AOM6" s="303"/>
      <c r="AON6" s="303"/>
      <c r="AOO6" s="303"/>
      <c r="AOP6" s="303"/>
      <c r="AOQ6" s="303"/>
      <c r="AOR6" s="303"/>
      <c r="AOS6" s="303"/>
      <c r="AOT6" s="303"/>
      <c r="AOU6" s="303"/>
      <c r="AOV6" s="303"/>
      <c r="AOW6" s="303"/>
      <c r="AOX6" s="303"/>
      <c r="AOY6" s="303"/>
      <c r="AOZ6" s="303"/>
      <c r="APA6" s="303"/>
      <c r="APB6" s="303"/>
      <c r="APC6" s="303"/>
      <c r="APD6" s="303"/>
      <c r="APE6" s="303"/>
      <c r="APF6" s="303"/>
      <c r="APG6" s="303"/>
      <c r="APH6" s="303"/>
      <c r="API6" s="303"/>
      <c r="APJ6" s="303"/>
      <c r="APK6" s="303"/>
      <c r="APL6" s="303"/>
      <c r="APM6" s="303"/>
      <c r="APN6" s="303"/>
      <c r="APO6" s="303"/>
      <c r="APP6" s="303"/>
      <c r="APQ6" s="303"/>
      <c r="APR6" s="303"/>
      <c r="APS6" s="303"/>
      <c r="APT6" s="303"/>
      <c r="APU6" s="303"/>
      <c r="APV6" s="303"/>
      <c r="APW6" s="303"/>
      <c r="APX6" s="303"/>
      <c r="APY6" s="303"/>
      <c r="APZ6" s="303"/>
      <c r="AQA6" s="303"/>
      <c r="AQB6" s="303"/>
      <c r="AQC6" s="303"/>
      <c r="AQD6" s="303"/>
      <c r="AQE6" s="303"/>
      <c r="AQF6" s="303"/>
      <c r="AQG6" s="303"/>
      <c r="AQH6" s="303"/>
      <c r="AQI6" s="303"/>
      <c r="AQJ6" s="303"/>
      <c r="AQK6" s="303"/>
      <c r="AQL6" s="303"/>
      <c r="AQM6" s="303"/>
      <c r="AQN6" s="303"/>
      <c r="AQO6" s="303"/>
      <c r="AQP6" s="303"/>
      <c r="AQQ6" s="303"/>
      <c r="AQR6" s="303"/>
      <c r="AQS6" s="303"/>
      <c r="AQT6" s="303"/>
      <c r="AQU6" s="303"/>
      <c r="AQV6" s="303"/>
      <c r="AQW6" s="303"/>
      <c r="AQX6" s="303"/>
      <c r="AQY6" s="303"/>
      <c r="AQZ6" s="303"/>
      <c r="ARA6" s="303"/>
      <c r="ARB6" s="303"/>
      <c r="ARC6" s="303"/>
      <c r="ARD6" s="303"/>
      <c r="ARE6" s="303"/>
      <c r="ARF6" s="303"/>
      <c r="ARG6" s="303"/>
      <c r="ARH6" s="303"/>
      <c r="ARI6" s="303"/>
      <c r="ARJ6" s="303"/>
      <c r="ARK6" s="303"/>
      <c r="ARL6" s="303"/>
      <c r="ARM6" s="303"/>
      <c r="ARN6" s="303"/>
      <c r="ARO6" s="303"/>
      <c r="ARP6" s="303"/>
      <c r="ARQ6" s="303"/>
      <c r="ARR6" s="303"/>
      <c r="ARS6" s="303"/>
      <c r="ART6" s="303"/>
      <c r="ARU6" s="303"/>
      <c r="ARV6" s="303"/>
      <c r="ARW6" s="303"/>
      <c r="ARX6" s="303"/>
      <c r="ARY6" s="303"/>
      <c r="ARZ6" s="303"/>
      <c r="ASA6" s="303"/>
      <c r="ASB6" s="303"/>
      <c r="ASC6" s="303"/>
      <c r="ASD6" s="303"/>
      <c r="ASE6" s="303"/>
      <c r="ASF6" s="303"/>
      <c r="ASG6" s="303"/>
      <c r="ASH6" s="303"/>
      <c r="ASI6" s="303"/>
      <c r="ASJ6" s="303"/>
      <c r="ASK6" s="303"/>
      <c r="ASL6" s="303"/>
      <c r="ASM6" s="303"/>
      <c r="ASN6" s="303"/>
      <c r="ASO6" s="303"/>
      <c r="ASP6" s="303"/>
      <c r="ASQ6" s="303"/>
      <c r="ASR6" s="303"/>
      <c r="ASS6" s="303"/>
      <c r="AST6" s="303"/>
      <c r="ASU6" s="303"/>
      <c r="ASV6" s="303"/>
      <c r="ASW6" s="303"/>
      <c r="ASX6" s="303"/>
      <c r="ASY6" s="303"/>
      <c r="ASZ6" s="303"/>
      <c r="ATA6" s="303"/>
      <c r="ATB6" s="303"/>
      <c r="ATC6" s="303"/>
      <c r="ATD6" s="303"/>
      <c r="ATE6" s="303"/>
      <c r="ATF6" s="303"/>
      <c r="ATG6" s="303"/>
      <c r="ATH6" s="303"/>
      <c r="ATI6" s="303"/>
      <c r="ATJ6" s="303"/>
      <c r="ATK6" s="303"/>
      <c r="ATL6" s="303"/>
      <c r="ATM6" s="303"/>
      <c r="ATN6" s="303"/>
      <c r="ATO6" s="303"/>
      <c r="ATP6" s="303"/>
      <c r="ATQ6" s="303"/>
      <c r="ATR6" s="303"/>
      <c r="ATS6" s="303"/>
      <c r="ATT6" s="303"/>
      <c r="ATU6" s="303"/>
      <c r="ATV6" s="303"/>
      <c r="ATW6" s="303"/>
      <c r="ATX6" s="303"/>
      <c r="ATY6" s="303"/>
      <c r="ATZ6" s="303"/>
      <c r="AUA6" s="303"/>
      <c r="AUB6" s="303"/>
      <c r="AUC6" s="303"/>
      <c r="AUD6" s="303"/>
      <c r="AUE6" s="303"/>
      <c r="AUF6" s="303"/>
      <c r="AUG6" s="303"/>
      <c r="AUH6" s="303"/>
      <c r="AUI6" s="303"/>
      <c r="AUJ6" s="303"/>
      <c r="AUK6" s="303"/>
      <c r="AUL6" s="303"/>
      <c r="AUM6" s="303"/>
      <c r="AUN6" s="303"/>
      <c r="AUO6" s="303"/>
      <c r="AUP6" s="303"/>
      <c r="AUQ6" s="303"/>
      <c r="AUR6" s="303"/>
      <c r="AUS6" s="303"/>
      <c r="AUT6" s="303"/>
      <c r="AUU6" s="303"/>
      <c r="AUV6" s="303"/>
      <c r="AUW6" s="303"/>
      <c r="AUX6" s="303"/>
      <c r="AUY6" s="303"/>
      <c r="AUZ6" s="303"/>
      <c r="AVA6" s="303"/>
      <c r="AVB6" s="303"/>
      <c r="AVC6" s="303"/>
      <c r="AVD6" s="303"/>
      <c r="AVE6" s="303"/>
      <c r="AVF6" s="303"/>
      <c r="AVG6" s="303"/>
      <c r="AVH6" s="303"/>
      <c r="AVI6" s="303"/>
      <c r="AVJ6" s="303"/>
      <c r="AVK6" s="303"/>
      <c r="AVL6" s="303"/>
      <c r="AVM6" s="303"/>
      <c r="AVN6" s="303"/>
      <c r="AVO6" s="303"/>
      <c r="AVP6" s="303"/>
      <c r="AVQ6" s="303"/>
      <c r="AVR6" s="303"/>
      <c r="AVS6" s="303"/>
      <c r="AVT6" s="303"/>
      <c r="AVU6" s="303"/>
      <c r="AVV6" s="303"/>
      <c r="AVW6" s="303"/>
      <c r="AVX6" s="303"/>
      <c r="AVY6" s="303"/>
      <c r="AVZ6" s="303"/>
      <c r="AWA6" s="303"/>
      <c r="AWB6" s="303"/>
      <c r="AWC6" s="303"/>
      <c r="AWD6" s="303"/>
      <c r="AWE6" s="303"/>
      <c r="AWF6" s="303"/>
      <c r="AWG6" s="303"/>
      <c r="AWH6" s="303"/>
      <c r="AWI6" s="303"/>
      <c r="AWJ6" s="303"/>
      <c r="AWK6" s="303"/>
      <c r="AWL6" s="303"/>
      <c r="AWM6" s="303"/>
      <c r="AWN6" s="303"/>
      <c r="AWO6" s="303"/>
      <c r="AWP6" s="303"/>
      <c r="AWQ6" s="303"/>
      <c r="AWR6" s="303"/>
      <c r="AWS6" s="303"/>
      <c r="AWT6" s="303"/>
      <c r="AWU6" s="303"/>
      <c r="AWV6" s="303"/>
      <c r="AWW6" s="303"/>
      <c r="AWX6" s="303"/>
      <c r="AWY6" s="303"/>
      <c r="AWZ6" s="303"/>
      <c r="AXA6" s="303"/>
      <c r="AXB6" s="303"/>
      <c r="AXC6" s="303"/>
      <c r="AXD6" s="303"/>
      <c r="AXE6" s="303"/>
      <c r="AXF6" s="303"/>
      <c r="AXG6" s="303"/>
      <c r="AXH6" s="303"/>
      <c r="AXI6" s="303"/>
      <c r="AXJ6" s="303"/>
      <c r="AXK6" s="303"/>
      <c r="AXL6" s="303"/>
      <c r="AXM6" s="303"/>
      <c r="AXN6" s="303"/>
      <c r="AXO6" s="303"/>
      <c r="AXP6" s="303"/>
      <c r="AXQ6" s="303"/>
      <c r="AXR6" s="303"/>
      <c r="AXS6" s="303"/>
      <c r="AXT6" s="303"/>
      <c r="AXU6" s="303"/>
      <c r="AXV6" s="303"/>
      <c r="AXW6" s="303"/>
      <c r="AXX6" s="303"/>
      <c r="AXY6" s="303"/>
      <c r="AXZ6" s="303"/>
      <c r="AYA6" s="303"/>
      <c r="AYB6" s="303"/>
      <c r="AYC6" s="303"/>
      <c r="AYD6" s="303"/>
      <c r="AYE6" s="303"/>
      <c r="AYF6" s="303"/>
      <c r="AYG6" s="303"/>
      <c r="AYH6" s="303"/>
    </row>
    <row r="7" spans="1:1334" ht="24.75" x14ac:dyDescent="0.25">
      <c r="A7" s="304" t="s">
        <v>566</v>
      </c>
      <c r="B7" s="298" t="s">
        <v>567</v>
      </c>
      <c r="C7" s="303"/>
      <c r="D7" s="303"/>
      <c r="E7" s="303"/>
      <c r="F7" s="303"/>
      <c r="G7" s="303"/>
      <c r="H7" s="303"/>
      <c r="I7" s="303"/>
      <c r="J7" s="303"/>
      <c r="K7" s="303"/>
      <c r="L7" s="303"/>
      <c r="M7" s="303"/>
      <c r="N7" s="303"/>
      <c r="O7" s="303"/>
      <c r="P7" s="303"/>
      <c r="Q7" s="303"/>
      <c r="R7" s="303"/>
      <c r="S7" s="303"/>
      <c r="T7" s="303"/>
      <c r="U7" s="303"/>
      <c r="V7" s="303"/>
      <c r="W7" s="303"/>
      <c r="X7" s="303"/>
      <c r="Y7" s="303"/>
      <c r="Z7" s="303"/>
      <c r="AA7" s="303"/>
      <c r="AB7" s="303"/>
      <c r="AC7" s="303"/>
      <c r="AD7" s="303"/>
      <c r="AE7" s="303"/>
      <c r="AF7" s="303"/>
      <c r="AG7" s="303"/>
      <c r="AH7" s="303"/>
      <c r="AI7" s="303"/>
      <c r="AJ7" s="303"/>
      <c r="AK7" s="303"/>
      <c r="AL7" s="303"/>
      <c r="AM7" s="303"/>
      <c r="AN7" s="303"/>
      <c r="AO7" s="303"/>
      <c r="AP7" s="303"/>
      <c r="AQ7" s="303"/>
      <c r="AR7" s="303"/>
      <c r="AS7" s="303"/>
      <c r="AT7" s="303"/>
      <c r="AU7" s="303"/>
      <c r="AV7" s="303"/>
      <c r="AW7" s="303"/>
      <c r="AX7" s="303"/>
      <c r="AY7" s="303"/>
      <c r="AZ7" s="303"/>
      <c r="BA7" s="303"/>
      <c r="BB7" s="303"/>
      <c r="BC7" s="303"/>
      <c r="BD7" s="303"/>
      <c r="BE7" s="303"/>
      <c r="BF7" s="303"/>
      <c r="BG7" s="303"/>
      <c r="BH7" s="303"/>
      <c r="BI7" s="303"/>
      <c r="BJ7" s="303"/>
      <c r="BK7" s="303"/>
      <c r="BL7" s="303"/>
      <c r="BM7" s="303"/>
      <c r="BN7" s="303"/>
      <c r="BO7" s="303"/>
      <c r="BP7" s="303"/>
      <c r="BQ7" s="303"/>
      <c r="BR7" s="303"/>
      <c r="BS7" s="303"/>
      <c r="BT7" s="303"/>
      <c r="BU7" s="303"/>
      <c r="BV7" s="303"/>
      <c r="BW7" s="303"/>
      <c r="BX7" s="303"/>
      <c r="BY7" s="303"/>
      <c r="BZ7" s="303"/>
      <c r="CA7" s="303"/>
      <c r="CB7" s="303"/>
      <c r="CC7" s="303"/>
      <c r="CD7" s="303"/>
      <c r="CE7" s="303"/>
      <c r="CF7" s="303"/>
      <c r="CG7" s="303"/>
      <c r="CH7" s="303"/>
      <c r="CI7" s="303"/>
      <c r="CJ7" s="303"/>
      <c r="CK7" s="303"/>
      <c r="CL7" s="303"/>
      <c r="CM7" s="303"/>
      <c r="CN7" s="303"/>
      <c r="CO7" s="303"/>
      <c r="CP7" s="303"/>
      <c r="CQ7" s="303"/>
      <c r="CR7" s="303"/>
      <c r="CS7" s="303"/>
      <c r="CT7" s="303"/>
      <c r="CU7" s="303"/>
      <c r="CV7" s="303"/>
      <c r="CW7" s="303"/>
      <c r="CX7" s="303"/>
      <c r="CY7" s="303"/>
      <c r="CZ7" s="303"/>
      <c r="DA7" s="303"/>
      <c r="DB7" s="303"/>
      <c r="DC7" s="303"/>
      <c r="DD7" s="303"/>
      <c r="DE7" s="303"/>
      <c r="DF7" s="303"/>
      <c r="DG7" s="303"/>
      <c r="DH7" s="303"/>
      <c r="DI7" s="303"/>
      <c r="DJ7" s="303"/>
      <c r="DK7" s="303"/>
      <c r="DL7" s="303"/>
      <c r="DM7" s="303"/>
      <c r="DN7" s="303"/>
      <c r="DO7" s="303"/>
      <c r="DP7" s="303"/>
      <c r="DQ7" s="303"/>
      <c r="DR7" s="303"/>
      <c r="DS7" s="303"/>
      <c r="DT7" s="303"/>
      <c r="DU7" s="303"/>
      <c r="DV7" s="303"/>
      <c r="DW7" s="303"/>
      <c r="DX7" s="303"/>
      <c r="DY7" s="303"/>
      <c r="DZ7" s="303"/>
      <c r="EA7" s="303"/>
      <c r="EB7" s="303"/>
      <c r="EC7" s="303"/>
      <c r="ED7" s="303"/>
      <c r="EE7" s="303"/>
      <c r="EF7" s="303"/>
      <c r="EG7" s="303"/>
      <c r="EH7" s="303"/>
      <c r="EI7" s="303"/>
      <c r="EJ7" s="303"/>
      <c r="EK7" s="303"/>
      <c r="EL7" s="303"/>
      <c r="EM7" s="303"/>
      <c r="EN7" s="303"/>
      <c r="EO7" s="303"/>
      <c r="EP7" s="303"/>
      <c r="EQ7" s="303"/>
      <c r="ER7" s="303"/>
      <c r="ES7" s="303"/>
      <c r="ET7" s="303"/>
      <c r="EU7" s="303"/>
      <c r="EV7" s="303"/>
      <c r="EW7" s="303"/>
      <c r="EX7" s="303"/>
      <c r="EY7" s="303"/>
      <c r="EZ7" s="303"/>
      <c r="FA7" s="303"/>
      <c r="FB7" s="303"/>
      <c r="FC7" s="303"/>
      <c r="FD7" s="303"/>
      <c r="FE7" s="303"/>
      <c r="FF7" s="303"/>
      <c r="FG7" s="303"/>
      <c r="FH7" s="303"/>
      <c r="FI7" s="303"/>
      <c r="FJ7" s="303"/>
      <c r="FK7" s="303"/>
      <c r="FL7" s="303"/>
      <c r="FM7" s="303"/>
      <c r="FN7" s="303"/>
      <c r="FO7" s="303"/>
      <c r="FP7" s="303"/>
      <c r="FQ7" s="303"/>
      <c r="FR7" s="303"/>
      <c r="FS7" s="303"/>
      <c r="FT7" s="303"/>
      <c r="FU7" s="303"/>
      <c r="FV7" s="303"/>
      <c r="FW7" s="303"/>
      <c r="FX7" s="303"/>
      <c r="FY7" s="303"/>
      <c r="FZ7" s="303"/>
      <c r="GA7" s="303"/>
      <c r="GB7" s="303"/>
      <c r="GC7" s="303"/>
      <c r="GD7" s="303"/>
      <c r="GE7" s="303"/>
      <c r="GF7" s="303"/>
      <c r="GG7" s="303"/>
      <c r="GH7" s="303"/>
      <c r="GI7" s="303"/>
      <c r="GJ7" s="303"/>
      <c r="GK7" s="303"/>
      <c r="GL7" s="303"/>
      <c r="GM7" s="303"/>
      <c r="GN7" s="303"/>
      <c r="GO7" s="303"/>
      <c r="GP7" s="303"/>
      <c r="GQ7" s="303"/>
      <c r="GR7" s="303"/>
      <c r="GS7" s="303"/>
      <c r="GT7" s="303"/>
      <c r="GU7" s="303"/>
      <c r="GV7" s="303"/>
      <c r="GW7" s="303"/>
      <c r="GX7" s="303"/>
      <c r="GY7" s="303"/>
      <c r="GZ7" s="303"/>
      <c r="HA7" s="303"/>
      <c r="HB7" s="303"/>
      <c r="HC7" s="303"/>
      <c r="HD7" s="303"/>
      <c r="HE7" s="303"/>
      <c r="HF7" s="303"/>
      <c r="HG7" s="303"/>
      <c r="HH7" s="303"/>
      <c r="HI7" s="303"/>
      <c r="HJ7" s="303"/>
      <c r="HK7" s="303"/>
      <c r="HL7" s="303"/>
      <c r="HM7" s="303"/>
      <c r="HN7" s="303"/>
      <c r="HO7" s="303"/>
      <c r="HP7" s="303"/>
      <c r="HQ7" s="303"/>
      <c r="HR7" s="303"/>
      <c r="HS7" s="303"/>
      <c r="HT7" s="303"/>
      <c r="HU7" s="303"/>
      <c r="HV7" s="303"/>
      <c r="HW7" s="303"/>
      <c r="HX7" s="303"/>
      <c r="HY7" s="303"/>
      <c r="HZ7" s="303"/>
      <c r="IA7" s="303"/>
      <c r="IB7" s="303"/>
      <c r="IC7" s="303"/>
      <c r="ID7" s="303"/>
      <c r="IE7" s="303"/>
      <c r="IF7" s="303"/>
      <c r="IG7" s="303"/>
      <c r="IH7" s="303"/>
      <c r="II7" s="303"/>
      <c r="IJ7" s="303"/>
      <c r="IK7" s="303"/>
      <c r="IL7" s="303"/>
      <c r="IM7" s="303"/>
      <c r="IN7" s="303"/>
      <c r="IO7" s="303"/>
      <c r="IP7" s="303"/>
      <c r="IQ7" s="303"/>
      <c r="IR7" s="303"/>
      <c r="IS7" s="303"/>
      <c r="IT7" s="303"/>
      <c r="IU7" s="303"/>
      <c r="IV7" s="303"/>
      <c r="IW7" s="303"/>
      <c r="IX7" s="303"/>
      <c r="IY7" s="303"/>
      <c r="IZ7" s="303"/>
      <c r="JA7" s="303"/>
      <c r="JB7" s="303"/>
      <c r="JC7" s="303"/>
      <c r="JD7" s="303"/>
      <c r="JE7" s="303"/>
      <c r="JF7" s="303"/>
      <c r="JG7" s="303"/>
      <c r="JH7" s="303"/>
      <c r="JI7" s="303"/>
      <c r="JJ7" s="303"/>
      <c r="JK7" s="303"/>
      <c r="JL7" s="303"/>
      <c r="JM7" s="303"/>
      <c r="JN7" s="303"/>
      <c r="JO7" s="303"/>
      <c r="JP7" s="303"/>
      <c r="JQ7" s="303"/>
      <c r="JR7" s="303"/>
      <c r="JS7" s="303"/>
      <c r="JT7" s="303"/>
      <c r="JU7" s="303"/>
      <c r="JV7" s="303"/>
      <c r="JW7" s="303"/>
      <c r="JX7" s="303"/>
      <c r="JY7" s="303"/>
      <c r="JZ7" s="303"/>
      <c r="KA7" s="303"/>
      <c r="KB7" s="303"/>
      <c r="KC7" s="303"/>
      <c r="KD7" s="303"/>
      <c r="KE7" s="303"/>
      <c r="KF7" s="303"/>
      <c r="KG7" s="303"/>
      <c r="KH7" s="303"/>
      <c r="KI7" s="303"/>
      <c r="KJ7" s="303"/>
      <c r="KK7" s="303"/>
      <c r="KL7" s="303"/>
      <c r="KM7" s="303"/>
      <c r="KN7" s="303"/>
      <c r="KO7" s="303"/>
      <c r="KP7" s="303"/>
      <c r="KQ7" s="303"/>
      <c r="KR7" s="303"/>
      <c r="KS7" s="303"/>
      <c r="KT7" s="303"/>
      <c r="KU7" s="303"/>
      <c r="KV7" s="303"/>
      <c r="KW7" s="303"/>
      <c r="KX7" s="303"/>
      <c r="KY7" s="303"/>
      <c r="KZ7" s="303"/>
      <c r="LA7" s="303"/>
      <c r="LB7" s="303"/>
      <c r="LC7" s="303"/>
      <c r="LD7" s="303"/>
      <c r="LE7" s="303"/>
      <c r="LF7" s="303"/>
      <c r="LG7" s="303"/>
      <c r="LH7" s="303"/>
      <c r="LI7" s="303"/>
      <c r="LJ7" s="303"/>
      <c r="LK7" s="303"/>
      <c r="LL7" s="303"/>
      <c r="LM7" s="303"/>
      <c r="LN7" s="303"/>
      <c r="LO7" s="303"/>
      <c r="LP7" s="303"/>
      <c r="LQ7" s="303"/>
      <c r="LR7" s="303"/>
      <c r="LS7" s="303"/>
      <c r="LT7" s="303"/>
      <c r="LU7" s="303"/>
      <c r="LV7" s="303"/>
      <c r="LW7" s="303"/>
      <c r="LX7" s="303"/>
      <c r="LY7" s="303"/>
      <c r="LZ7" s="303"/>
      <c r="MA7" s="303"/>
      <c r="MB7" s="303"/>
      <c r="MC7" s="303"/>
      <c r="MD7" s="303"/>
      <c r="ME7" s="303"/>
      <c r="MF7" s="303"/>
      <c r="MG7" s="303"/>
      <c r="MH7" s="303"/>
      <c r="MI7" s="303"/>
      <c r="MJ7" s="303"/>
      <c r="MK7" s="303"/>
      <c r="ML7" s="303"/>
      <c r="MM7" s="303"/>
      <c r="MN7" s="303"/>
      <c r="MO7" s="303"/>
      <c r="MP7" s="303"/>
      <c r="MQ7" s="303"/>
      <c r="MR7" s="303"/>
      <c r="MS7" s="303"/>
      <c r="MT7" s="303"/>
      <c r="MU7" s="303"/>
      <c r="MV7" s="303"/>
      <c r="MW7" s="303"/>
      <c r="MX7" s="303"/>
      <c r="MY7" s="303"/>
      <c r="MZ7" s="303"/>
      <c r="NA7" s="303"/>
      <c r="NB7" s="303"/>
      <c r="NC7" s="303"/>
      <c r="ND7" s="303"/>
      <c r="NE7" s="303"/>
      <c r="NF7" s="303"/>
      <c r="NG7" s="303"/>
      <c r="NH7" s="303"/>
      <c r="NI7" s="303"/>
      <c r="NJ7" s="303"/>
      <c r="NK7" s="303"/>
      <c r="NL7" s="303"/>
      <c r="NM7" s="303"/>
      <c r="NN7" s="303"/>
      <c r="NO7" s="303"/>
      <c r="NP7" s="303"/>
      <c r="NQ7" s="303"/>
      <c r="NR7" s="303"/>
      <c r="NS7" s="303"/>
      <c r="NT7" s="303"/>
      <c r="NU7" s="303"/>
      <c r="NV7" s="303"/>
      <c r="NW7" s="303"/>
      <c r="NX7" s="303"/>
      <c r="NY7" s="303"/>
      <c r="NZ7" s="303"/>
      <c r="OA7" s="303"/>
      <c r="OB7" s="303"/>
      <c r="OC7" s="303"/>
      <c r="OD7" s="303"/>
      <c r="OE7" s="303"/>
      <c r="OF7" s="303"/>
      <c r="OG7" s="303"/>
      <c r="OH7" s="303"/>
      <c r="OI7" s="303"/>
      <c r="OJ7" s="303"/>
      <c r="OK7" s="303"/>
      <c r="OL7" s="303"/>
      <c r="OM7" s="303"/>
      <c r="ON7" s="303"/>
      <c r="OO7" s="303"/>
      <c r="OP7" s="303"/>
      <c r="OQ7" s="303"/>
      <c r="OR7" s="303"/>
      <c r="OS7" s="303"/>
      <c r="OT7" s="303"/>
      <c r="OU7" s="303"/>
      <c r="OV7" s="303"/>
      <c r="OW7" s="303"/>
      <c r="OX7" s="303"/>
      <c r="OY7" s="303"/>
      <c r="OZ7" s="303"/>
      <c r="PA7" s="303"/>
      <c r="PB7" s="303"/>
      <c r="PC7" s="303"/>
      <c r="PD7" s="303"/>
      <c r="PE7" s="303"/>
      <c r="PF7" s="303"/>
      <c r="PG7" s="303"/>
      <c r="PH7" s="303"/>
      <c r="PI7" s="303"/>
      <c r="PJ7" s="303"/>
      <c r="PK7" s="303"/>
      <c r="PL7" s="303"/>
      <c r="PM7" s="303"/>
      <c r="PN7" s="303"/>
      <c r="PO7" s="303"/>
      <c r="PP7" s="303"/>
      <c r="PQ7" s="303"/>
      <c r="PR7" s="303"/>
      <c r="PS7" s="303"/>
      <c r="PT7" s="303"/>
      <c r="PU7" s="303"/>
      <c r="PV7" s="303"/>
      <c r="PW7" s="303"/>
      <c r="PX7" s="303"/>
      <c r="PY7" s="303"/>
      <c r="PZ7" s="303"/>
      <c r="QA7" s="303"/>
      <c r="QB7" s="303"/>
      <c r="QC7" s="303"/>
      <c r="QD7" s="303"/>
      <c r="QE7" s="303"/>
      <c r="QF7" s="303"/>
      <c r="QG7" s="303"/>
      <c r="QH7" s="303"/>
      <c r="QI7" s="303"/>
      <c r="QJ7" s="303"/>
      <c r="QK7" s="303"/>
      <c r="QL7" s="303"/>
      <c r="QM7" s="303"/>
      <c r="QN7" s="303"/>
      <c r="QO7" s="303"/>
      <c r="QP7" s="303"/>
      <c r="QQ7" s="303"/>
      <c r="QR7" s="303"/>
      <c r="QS7" s="303"/>
      <c r="QT7" s="303"/>
      <c r="QU7" s="303"/>
      <c r="QV7" s="303"/>
      <c r="QW7" s="303"/>
      <c r="QX7" s="303"/>
      <c r="QY7" s="303"/>
      <c r="QZ7" s="303"/>
      <c r="RA7" s="303"/>
      <c r="RB7" s="303"/>
      <c r="RC7" s="303"/>
      <c r="RD7" s="303"/>
      <c r="RE7" s="303"/>
      <c r="RF7" s="303"/>
      <c r="RG7" s="303"/>
      <c r="RH7" s="303"/>
      <c r="RI7" s="303"/>
      <c r="RJ7" s="303"/>
      <c r="RK7" s="303"/>
      <c r="RL7" s="303"/>
      <c r="RM7" s="303"/>
      <c r="RN7" s="303"/>
      <c r="RO7" s="303"/>
      <c r="RP7" s="303"/>
      <c r="RQ7" s="303"/>
      <c r="RR7" s="303"/>
      <c r="RS7" s="303"/>
      <c r="RT7" s="303"/>
      <c r="RU7" s="303"/>
      <c r="RV7" s="303"/>
      <c r="RW7" s="303"/>
      <c r="RX7" s="303"/>
      <c r="RY7" s="303"/>
      <c r="RZ7" s="303"/>
      <c r="SA7" s="303"/>
      <c r="SB7" s="303"/>
      <c r="SC7" s="303"/>
      <c r="SD7" s="303"/>
      <c r="SE7" s="303"/>
      <c r="SF7" s="303"/>
      <c r="SG7" s="303"/>
      <c r="SH7" s="303"/>
      <c r="SI7" s="303"/>
      <c r="SJ7" s="303"/>
      <c r="SK7" s="303"/>
      <c r="SL7" s="303"/>
      <c r="SM7" s="303"/>
      <c r="SN7" s="303"/>
      <c r="SO7" s="303"/>
      <c r="SP7" s="303"/>
      <c r="SQ7" s="303"/>
      <c r="SR7" s="303"/>
      <c r="SS7" s="303"/>
      <c r="ST7" s="303"/>
      <c r="SU7" s="303"/>
      <c r="SV7" s="303"/>
      <c r="SW7" s="303"/>
      <c r="SX7" s="303"/>
      <c r="SY7" s="303"/>
      <c r="SZ7" s="303"/>
      <c r="TA7" s="303"/>
      <c r="TB7" s="303"/>
      <c r="TC7" s="303"/>
      <c r="TD7" s="303"/>
      <c r="TE7" s="303"/>
      <c r="TF7" s="303"/>
      <c r="TG7" s="303"/>
      <c r="TH7" s="303"/>
      <c r="TI7" s="303"/>
      <c r="TJ7" s="303"/>
      <c r="TK7" s="303"/>
      <c r="TL7" s="303"/>
      <c r="TM7" s="303"/>
      <c r="TN7" s="303"/>
      <c r="TO7" s="303"/>
      <c r="TP7" s="303"/>
      <c r="TQ7" s="303"/>
      <c r="TR7" s="303"/>
      <c r="TS7" s="303"/>
      <c r="TT7" s="303"/>
      <c r="TU7" s="303"/>
      <c r="TV7" s="303"/>
      <c r="TW7" s="303"/>
      <c r="TX7" s="303"/>
      <c r="TY7" s="303"/>
      <c r="TZ7" s="303"/>
      <c r="UA7" s="303"/>
      <c r="UB7" s="303"/>
      <c r="UC7" s="303"/>
      <c r="UD7" s="303"/>
      <c r="UE7" s="303"/>
      <c r="UF7" s="303"/>
      <c r="UG7" s="303"/>
      <c r="UH7" s="303"/>
      <c r="UI7" s="303"/>
      <c r="UJ7" s="303"/>
      <c r="UK7" s="303"/>
      <c r="UL7" s="303"/>
      <c r="UM7" s="303"/>
      <c r="UN7" s="303"/>
      <c r="UO7" s="303"/>
      <c r="UP7" s="303"/>
      <c r="UQ7" s="303"/>
      <c r="UR7" s="303"/>
      <c r="US7" s="303"/>
      <c r="UT7" s="303"/>
      <c r="UU7" s="303"/>
      <c r="UV7" s="303"/>
      <c r="UW7" s="303"/>
      <c r="UX7" s="303"/>
      <c r="UY7" s="303"/>
      <c r="UZ7" s="303"/>
      <c r="VA7" s="303"/>
      <c r="VB7" s="303"/>
      <c r="VC7" s="303"/>
      <c r="VD7" s="303"/>
      <c r="VE7" s="303"/>
      <c r="VF7" s="303"/>
      <c r="VG7" s="303"/>
      <c r="VH7" s="303"/>
      <c r="VI7" s="303"/>
      <c r="VJ7" s="303"/>
      <c r="VK7" s="303"/>
      <c r="VL7" s="303"/>
      <c r="VM7" s="303"/>
      <c r="VN7" s="303"/>
      <c r="VO7" s="303"/>
      <c r="VP7" s="303"/>
      <c r="VQ7" s="303"/>
      <c r="VR7" s="303"/>
      <c r="VS7" s="303"/>
      <c r="VT7" s="303"/>
      <c r="VU7" s="303"/>
      <c r="VV7" s="303"/>
      <c r="VW7" s="303"/>
      <c r="VX7" s="303"/>
      <c r="VY7" s="303"/>
      <c r="VZ7" s="303"/>
      <c r="WA7" s="303"/>
      <c r="WB7" s="303"/>
      <c r="WC7" s="303"/>
      <c r="WD7" s="303"/>
      <c r="WE7" s="303"/>
      <c r="WF7" s="303"/>
      <c r="WG7" s="303"/>
      <c r="WH7" s="303"/>
      <c r="WI7" s="303"/>
      <c r="WJ7" s="303"/>
      <c r="WK7" s="303"/>
      <c r="WL7" s="303"/>
      <c r="WM7" s="303"/>
      <c r="WN7" s="303"/>
      <c r="WO7" s="303"/>
      <c r="WP7" s="303"/>
      <c r="WQ7" s="303"/>
      <c r="WR7" s="303"/>
      <c r="WS7" s="303"/>
      <c r="WT7" s="303"/>
      <c r="WU7" s="303"/>
      <c r="WV7" s="303"/>
      <c r="WW7" s="303"/>
      <c r="WX7" s="303"/>
      <c r="WY7" s="303"/>
      <c r="WZ7" s="303"/>
      <c r="XA7" s="303"/>
      <c r="XB7" s="303"/>
      <c r="XC7" s="303"/>
      <c r="XD7" s="303"/>
      <c r="XE7" s="303"/>
      <c r="XF7" s="303"/>
      <c r="XG7" s="303"/>
      <c r="XH7" s="303"/>
      <c r="XI7" s="303"/>
      <c r="XJ7" s="303"/>
      <c r="XK7" s="303"/>
      <c r="XL7" s="303"/>
      <c r="XM7" s="303"/>
      <c r="XN7" s="303"/>
      <c r="XO7" s="303"/>
      <c r="XP7" s="303"/>
      <c r="XQ7" s="303"/>
      <c r="XR7" s="303"/>
      <c r="XS7" s="303"/>
      <c r="XT7" s="303"/>
      <c r="XU7" s="303"/>
      <c r="XV7" s="303"/>
      <c r="XW7" s="303"/>
      <c r="XX7" s="303"/>
      <c r="XY7" s="303"/>
      <c r="XZ7" s="303"/>
      <c r="YA7" s="303"/>
      <c r="YB7" s="303"/>
      <c r="YC7" s="303"/>
      <c r="YD7" s="303"/>
      <c r="YE7" s="303"/>
      <c r="YF7" s="303"/>
      <c r="YG7" s="303"/>
      <c r="YH7" s="303"/>
      <c r="YI7" s="303"/>
      <c r="YJ7" s="303"/>
      <c r="YK7" s="303"/>
      <c r="YL7" s="303"/>
      <c r="YM7" s="303"/>
      <c r="YN7" s="303"/>
      <c r="YO7" s="303"/>
      <c r="YP7" s="303"/>
      <c r="YQ7" s="303"/>
      <c r="YR7" s="303"/>
      <c r="YS7" s="303"/>
      <c r="YT7" s="303"/>
      <c r="YU7" s="303"/>
      <c r="YV7" s="303"/>
      <c r="YW7" s="303"/>
      <c r="YX7" s="303"/>
      <c r="YY7" s="303"/>
      <c r="YZ7" s="303"/>
      <c r="ZA7" s="303"/>
      <c r="ZB7" s="303"/>
      <c r="ZC7" s="303"/>
      <c r="ZD7" s="303"/>
      <c r="ZE7" s="303"/>
      <c r="ZF7" s="303"/>
      <c r="ZG7" s="303"/>
      <c r="ZH7" s="303"/>
      <c r="ZI7" s="303"/>
      <c r="ZJ7" s="303"/>
      <c r="ZK7" s="303"/>
      <c r="ZL7" s="303"/>
      <c r="ZM7" s="303"/>
      <c r="ZN7" s="303"/>
      <c r="ZO7" s="303"/>
      <c r="ZP7" s="303"/>
      <c r="ZQ7" s="303"/>
      <c r="ZR7" s="303"/>
      <c r="ZS7" s="303"/>
      <c r="ZT7" s="303"/>
      <c r="ZU7" s="303"/>
      <c r="ZV7" s="303"/>
      <c r="ZW7" s="303"/>
      <c r="ZX7" s="303"/>
      <c r="ZY7" s="303"/>
      <c r="ZZ7" s="303"/>
      <c r="AAA7" s="303"/>
      <c r="AAB7" s="303"/>
      <c r="AAC7" s="303"/>
      <c r="AAD7" s="303"/>
      <c r="AAE7" s="303"/>
      <c r="AAF7" s="303"/>
      <c r="AAG7" s="303"/>
      <c r="AAH7" s="303"/>
      <c r="AAI7" s="303"/>
      <c r="AAJ7" s="303"/>
      <c r="AAK7" s="303"/>
      <c r="AAL7" s="303"/>
      <c r="AAM7" s="303"/>
      <c r="AAN7" s="303"/>
      <c r="AAO7" s="303"/>
      <c r="AAP7" s="303"/>
      <c r="AAQ7" s="303"/>
      <c r="AAR7" s="303"/>
      <c r="AAS7" s="303"/>
      <c r="AAT7" s="303"/>
      <c r="AAU7" s="303"/>
      <c r="AAV7" s="303"/>
      <c r="AAW7" s="303"/>
      <c r="AAX7" s="303"/>
      <c r="AAY7" s="303"/>
      <c r="AAZ7" s="303"/>
      <c r="ABA7" s="303"/>
      <c r="ABB7" s="303"/>
      <c r="ABC7" s="303"/>
      <c r="ABD7" s="303"/>
      <c r="ABE7" s="303"/>
      <c r="ABF7" s="303"/>
      <c r="ABG7" s="303"/>
      <c r="ABH7" s="303"/>
      <c r="ABI7" s="303"/>
      <c r="ABJ7" s="303"/>
      <c r="ABK7" s="303"/>
      <c r="ABL7" s="303"/>
      <c r="ABM7" s="303"/>
      <c r="ABN7" s="303"/>
      <c r="ABO7" s="303"/>
      <c r="ABP7" s="303"/>
      <c r="ABQ7" s="303"/>
      <c r="ABR7" s="303"/>
      <c r="ABS7" s="303"/>
      <c r="ABT7" s="303"/>
      <c r="ABU7" s="303"/>
      <c r="ABV7" s="303"/>
      <c r="ABW7" s="303"/>
      <c r="ABX7" s="303"/>
      <c r="ABY7" s="303"/>
      <c r="ABZ7" s="303"/>
      <c r="ACA7" s="303"/>
      <c r="ACB7" s="303"/>
      <c r="ACC7" s="303"/>
      <c r="ACD7" s="303"/>
      <c r="ACE7" s="303"/>
      <c r="ACF7" s="303"/>
      <c r="ACG7" s="303"/>
      <c r="ACH7" s="303"/>
      <c r="ACI7" s="303"/>
      <c r="ACJ7" s="303"/>
      <c r="ACK7" s="303"/>
      <c r="ACL7" s="303"/>
      <c r="ACM7" s="303"/>
      <c r="ACN7" s="303"/>
      <c r="ACO7" s="303"/>
      <c r="ACP7" s="303"/>
      <c r="ACQ7" s="303"/>
      <c r="ACR7" s="303"/>
      <c r="ACS7" s="303"/>
      <c r="ACT7" s="303"/>
      <c r="ACU7" s="303"/>
      <c r="ACV7" s="303"/>
      <c r="ACW7" s="303"/>
      <c r="ACX7" s="303"/>
      <c r="ACY7" s="303"/>
      <c r="ACZ7" s="303"/>
      <c r="ADA7" s="303"/>
      <c r="ADB7" s="303"/>
      <c r="ADC7" s="303"/>
      <c r="ADD7" s="303"/>
      <c r="ADE7" s="303"/>
      <c r="ADF7" s="303"/>
      <c r="ADG7" s="303"/>
      <c r="ADH7" s="303"/>
      <c r="ADI7" s="303"/>
      <c r="ADJ7" s="303"/>
      <c r="ADK7" s="303"/>
      <c r="ADL7" s="303"/>
      <c r="ADM7" s="303"/>
      <c r="ADN7" s="303"/>
      <c r="ADO7" s="303"/>
      <c r="ADP7" s="303"/>
      <c r="ADQ7" s="303"/>
      <c r="ADR7" s="303"/>
      <c r="ADS7" s="303"/>
      <c r="ADT7" s="303"/>
      <c r="ADU7" s="303"/>
      <c r="ADV7" s="303"/>
      <c r="ADW7" s="303"/>
      <c r="ADX7" s="303"/>
      <c r="ADY7" s="303"/>
      <c r="ADZ7" s="303"/>
      <c r="AEA7" s="303"/>
      <c r="AEB7" s="303"/>
      <c r="AEC7" s="303"/>
      <c r="AED7" s="303"/>
      <c r="AEE7" s="303"/>
      <c r="AEF7" s="303"/>
      <c r="AEG7" s="303"/>
      <c r="AEH7" s="303"/>
      <c r="AEI7" s="303"/>
      <c r="AEJ7" s="303"/>
      <c r="AEK7" s="303"/>
      <c r="AEL7" s="303"/>
      <c r="AEM7" s="303"/>
      <c r="AEN7" s="303"/>
      <c r="AEO7" s="303"/>
      <c r="AEP7" s="303"/>
      <c r="AEQ7" s="303"/>
      <c r="AER7" s="303"/>
      <c r="AES7" s="303"/>
      <c r="AET7" s="303"/>
      <c r="AEU7" s="303"/>
      <c r="AEV7" s="303"/>
      <c r="AEW7" s="303"/>
      <c r="AEX7" s="303"/>
      <c r="AEY7" s="303"/>
      <c r="AEZ7" s="303"/>
      <c r="AFA7" s="303"/>
      <c r="AFB7" s="303"/>
      <c r="AFC7" s="303"/>
      <c r="AFD7" s="303"/>
      <c r="AFE7" s="303"/>
      <c r="AFF7" s="303"/>
      <c r="AFG7" s="303"/>
      <c r="AFH7" s="303"/>
      <c r="AFI7" s="303"/>
      <c r="AFJ7" s="303"/>
      <c r="AFK7" s="303"/>
      <c r="AFL7" s="303"/>
      <c r="AFM7" s="303"/>
      <c r="AFN7" s="303"/>
      <c r="AFO7" s="303"/>
      <c r="AFP7" s="303"/>
      <c r="AFQ7" s="303"/>
      <c r="AFR7" s="303"/>
      <c r="AFS7" s="303"/>
      <c r="AFT7" s="303"/>
      <c r="AFU7" s="303"/>
      <c r="AFV7" s="303"/>
      <c r="AFW7" s="303"/>
      <c r="AFX7" s="303"/>
      <c r="AFY7" s="303"/>
      <c r="AFZ7" s="303"/>
      <c r="AGA7" s="303"/>
      <c r="AGB7" s="303"/>
      <c r="AGC7" s="303"/>
      <c r="AGD7" s="303"/>
      <c r="AGE7" s="303"/>
      <c r="AGF7" s="303"/>
      <c r="AGG7" s="303"/>
      <c r="AGH7" s="303"/>
      <c r="AGI7" s="303"/>
      <c r="AGJ7" s="303"/>
      <c r="AGK7" s="303"/>
      <c r="AGL7" s="303"/>
      <c r="AGM7" s="303"/>
      <c r="AGN7" s="303"/>
      <c r="AGO7" s="303"/>
      <c r="AGP7" s="303"/>
      <c r="AGQ7" s="303"/>
      <c r="AGR7" s="303"/>
      <c r="AGS7" s="303"/>
      <c r="AGT7" s="303"/>
      <c r="AGU7" s="303"/>
      <c r="AGV7" s="303"/>
      <c r="AGW7" s="303"/>
      <c r="AGX7" s="303"/>
      <c r="AGY7" s="303"/>
      <c r="AGZ7" s="303"/>
      <c r="AHA7" s="303"/>
      <c r="AHB7" s="303"/>
      <c r="AHC7" s="303"/>
      <c r="AHD7" s="303"/>
      <c r="AHE7" s="303"/>
      <c r="AHF7" s="303"/>
      <c r="AHG7" s="303"/>
      <c r="AHH7" s="303"/>
      <c r="AHI7" s="303"/>
      <c r="AHJ7" s="303"/>
      <c r="AHK7" s="303"/>
      <c r="AHL7" s="303"/>
      <c r="AHM7" s="303"/>
      <c r="AHN7" s="303"/>
      <c r="AHO7" s="303"/>
      <c r="AHP7" s="303"/>
      <c r="AHQ7" s="303"/>
      <c r="AHR7" s="303"/>
      <c r="AHS7" s="303"/>
      <c r="AHT7" s="303"/>
      <c r="AHU7" s="303"/>
      <c r="AHV7" s="303"/>
      <c r="AHW7" s="303"/>
      <c r="AHX7" s="303"/>
      <c r="AHY7" s="303"/>
      <c r="AHZ7" s="303"/>
      <c r="AIA7" s="303"/>
      <c r="AIB7" s="303"/>
      <c r="AIC7" s="303"/>
      <c r="AID7" s="303"/>
      <c r="AIE7" s="303"/>
      <c r="AIF7" s="303"/>
      <c r="AIG7" s="303"/>
      <c r="AIH7" s="303"/>
      <c r="AII7" s="303"/>
      <c r="AIJ7" s="303"/>
      <c r="AIK7" s="303"/>
      <c r="AIL7" s="303"/>
      <c r="AIM7" s="303"/>
      <c r="AIN7" s="303"/>
      <c r="AIO7" s="303"/>
      <c r="AIP7" s="303"/>
      <c r="AIQ7" s="303"/>
      <c r="AIR7" s="303"/>
      <c r="AIS7" s="303"/>
      <c r="AIT7" s="303"/>
      <c r="AIU7" s="303"/>
      <c r="AIV7" s="303"/>
      <c r="AIW7" s="303"/>
      <c r="AIX7" s="303"/>
      <c r="AIY7" s="303"/>
      <c r="AIZ7" s="303"/>
      <c r="AJA7" s="303"/>
      <c r="AJB7" s="303"/>
      <c r="AJC7" s="303"/>
      <c r="AJD7" s="303"/>
      <c r="AJE7" s="303"/>
      <c r="AJF7" s="303"/>
      <c r="AJG7" s="303"/>
      <c r="AJH7" s="303"/>
      <c r="AJI7" s="303"/>
      <c r="AJJ7" s="303"/>
      <c r="AJK7" s="303"/>
      <c r="AJL7" s="303"/>
      <c r="AJM7" s="303"/>
      <c r="AJN7" s="303"/>
      <c r="AJO7" s="303"/>
      <c r="AJP7" s="303"/>
      <c r="AJQ7" s="303"/>
      <c r="AJR7" s="303"/>
      <c r="AJS7" s="303"/>
      <c r="AJT7" s="303"/>
      <c r="AJU7" s="303"/>
      <c r="AJV7" s="303"/>
      <c r="AJW7" s="303"/>
      <c r="AJX7" s="303"/>
      <c r="AJY7" s="303"/>
      <c r="AJZ7" s="303"/>
      <c r="AKA7" s="303"/>
      <c r="AKB7" s="303"/>
      <c r="AKC7" s="303"/>
      <c r="AKD7" s="303"/>
      <c r="AKE7" s="303"/>
      <c r="AKF7" s="303"/>
      <c r="AKG7" s="303"/>
      <c r="AKH7" s="303"/>
      <c r="AKI7" s="303"/>
      <c r="AKJ7" s="303"/>
      <c r="AKK7" s="303"/>
      <c r="AKL7" s="303"/>
      <c r="AKM7" s="303"/>
      <c r="AKN7" s="303"/>
      <c r="AKO7" s="303"/>
      <c r="AKP7" s="303"/>
      <c r="AKQ7" s="303"/>
      <c r="AKR7" s="303"/>
      <c r="AKS7" s="303"/>
      <c r="AKT7" s="303"/>
      <c r="AKU7" s="303"/>
      <c r="AKV7" s="303"/>
      <c r="AKW7" s="303"/>
      <c r="AKX7" s="303"/>
      <c r="AKY7" s="303"/>
      <c r="AKZ7" s="303"/>
      <c r="ALA7" s="303"/>
      <c r="ALB7" s="303"/>
      <c r="ALC7" s="303"/>
      <c r="ALD7" s="303"/>
      <c r="ALE7" s="303"/>
      <c r="ALF7" s="303"/>
      <c r="ALG7" s="303"/>
      <c r="ALH7" s="303"/>
      <c r="ALI7" s="303"/>
      <c r="ALJ7" s="303"/>
      <c r="ALK7" s="303"/>
      <c r="ALL7" s="303"/>
      <c r="ALM7" s="303"/>
      <c r="ALN7" s="303"/>
      <c r="ALO7" s="303"/>
      <c r="ALP7" s="303"/>
      <c r="ALQ7" s="303"/>
      <c r="ALR7" s="303"/>
      <c r="ALS7" s="303"/>
      <c r="ALT7" s="303"/>
      <c r="ALU7" s="303"/>
      <c r="ALV7" s="303"/>
      <c r="ALW7" s="303"/>
      <c r="ALX7" s="303"/>
      <c r="ALY7" s="303"/>
      <c r="ALZ7" s="303"/>
      <c r="AMA7" s="303"/>
      <c r="AMB7" s="303"/>
      <c r="AMC7" s="303"/>
      <c r="AMD7" s="303"/>
      <c r="AME7" s="303"/>
      <c r="AMF7" s="303"/>
      <c r="AMG7" s="303"/>
      <c r="AMH7" s="303"/>
      <c r="AMI7" s="303"/>
      <c r="AMJ7" s="303"/>
      <c r="AMK7" s="303"/>
      <c r="AML7" s="303"/>
      <c r="AMM7" s="303"/>
      <c r="AMN7" s="303"/>
      <c r="AMO7" s="303"/>
      <c r="AMP7" s="303"/>
      <c r="AMQ7" s="303"/>
      <c r="AMR7" s="303"/>
      <c r="AMS7" s="303"/>
      <c r="AMT7" s="303"/>
      <c r="AMU7" s="303"/>
      <c r="AMV7" s="303"/>
      <c r="AMW7" s="303"/>
      <c r="AMX7" s="303"/>
      <c r="AMY7" s="303"/>
      <c r="AMZ7" s="303"/>
      <c r="ANA7" s="303"/>
      <c r="ANB7" s="303"/>
      <c r="ANC7" s="303"/>
      <c r="AND7" s="303"/>
      <c r="ANE7" s="303"/>
      <c r="ANF7" s="303"/>
      <c r="ANG7" s="303"/>
      <c r="ANH7" s="303"/>
      <c r="ANI7" s="303"/>
      <c r="ANJ7" s="303"/>
      <c r="ANK7" s="303"/>
      <c r="ANL7" s="303"/>
      <c r="ANM7" s="303"/>
      <c r="ANN7" s="303"/>
      <c r="ANO7" s="303"/>
      <c r="ANP7" s="303"/>
      <c r="ANQ7" s="303"/>
      <c r="ANR7" s="303"/>
      <c r="ANS7" s="303"/>
      <c r="ANT7" s="303"/>
      <c r="ANU7" s="303"/>
      <c r="ANV7" s="303"/>
      <c r="ANW7" s="303"/>
      <c r="ANX7" s="303"/>
      <c r="ANY7" s="303"/>
      <c r="ANZ7" s="303"/>
      <c r="AOA7" s="303"/>
      <c r="AOB7" s="303"/>
      <c r="AOC7" s="303"/>
      <c r="AOD7" s="303"/>
      <c r="AOE7" s="303"/>
      <c r="AOF7" s="303"/>
      <c r="AOG7" s="303"/>
      <c r="AOH7" s="303"/>
      <c r="AOI7" s="303"/>
      <c r="AOJ7" s="303"/>
      <c r="AOK7" s="303"/>
      <c r="AOL7" s="303"/>
      <c r="AOM7" s="303"/>
      <c r="AON7" s="303"/>
      <c r="AOO7" s="303"/>
      <c r="AOP7" s="303"/>
      <c r="AOQ7" s="303"/>
      <c r="AOR7" s="303"/>
      <c r="AOS7" s="303"/>
      <c r="AOT7" s="303"/>
      <c r="AOU7" s="303"/>
      <c r="AOV7" s="303"/>
      <c r="AOW7" s="303"/>
      <c r="AOX7" s="303"/>
      <c r="AOY7" s="303"/>
      <c r="AOZ7" s="303"/>
      <c r="APA7" s="303"/>
      <c r="APB7" s="303"/>
      <c r="APC7" s="303"/>
      <c r="APD7" s="303"/>
      <c r="APE7" s="303"/>
      <c r="APF7" s="303"/>
      <c r="APG7" s="303"/>
      <c r="APH7" s="303"/>
      <c r="API7" s="303"/>
      <c r="APJ7" s="303"/>
      <c r="APK7" s="303"/>
      <c r="APL7" s="303"/>
      <c r="APM7" s="303"/>
      <c r="APN7" s="303"/>
      <c r="APO7" s="303"/>
      <c r="APP7" s="303"/>
      <c r="APQ7" s="303"/>
      <c r="APR7" s="303"/>
      <c r="APS7" s="303"/>
      <c r="APT7" s="303"/>
      <c r="APU7" s="303"/>
      <c r="APV7" s="303"/>
      <c r="APW7" s="303"/>
      <c r="APX7" s="303"/>
      <c r="APY7" s="303"/>
      <c r="APZ7" s="303"/>
      <c r="AQA7" s="303"/>
      <c r="AQB7" s="303"/>
      <c r="AQC7" s="303"/>
      <c r="AQD7" s="303"/>
      <c r="AQE7" s="303"/>
      <c r="AQF7" s="303"/>
      <c r="AQG7" s="303"/>
      <c r="AQH7" s="303"/>
      <c r="AQI7" s="303"/>
      <c r="AQJ7" s="303"/>
      <c r="AQK7" s="303"/>
      <c r="AQL7" s="303"/>
      <c r="AQM7" s="303"/>
      <c r="AQN7" s="303"/>
      <c r="AQO7" s="303"/>
      <c r="AQP7" s="303"/>
      <c r="AQQ7" s="303"/>
      <c r="AQR7" s="303"/>
      <c r="AQS7" s="303"/>
      <c r="AQT7" s="303"/>
      <c r="AQU7" s="303"/>
      <c r="AQV7" s="303"/>
      <c r="AQW7" s="303"/>
      <c r="AQX7" s="303"/>
      <c r="AQY7" s="303"/>
      <c r="AQZ7" s="303"/>
      <c r="ARA7" s="303"/>
      <c r="ARB7" s="303"/>
      <c r="ARC7" s="303"/>
      <c r="ARD7" s="303"/>
      <c r="ARE7" s="303"/>
      <c r="ARF7" s="303"/>
      <c r="ARG7" s="303"/>
      <c r="ARH7" s="303"/>
      <c r="ARI7" s="303"/>
      <c r="ARJ7" s="303"/>
      <c r="ARK7" s="303"/>
      <c r="ARL7" s="303"/>
      <c r="ARM7" s="303"/>
      <c r="ARN7" s="303"/>
      <c r="ARO7" s="303"/>
      <c r="ARP7" s="303"/>
      <c r="ARQ7" s="303"/>
      <c r="ARR7" s="303"/>
      <c r="ARS7" s="303"/>
      <c r="ART7" s="303"/>
      <c r="ARU7" s="303"/>
      <c r="ARV7" s="303"/>
      <c r="ARW7" s="303"/>
      <c r="ARX7" s="303"/>
      <c r="ARY7" s="303"/>
      <c r="ARZ7" s="303"/>
      <c r="ASA7" s="303"/>
      <c r="ASB7" s="303"/>
      <c r="ASC7" s="303"/>
      <c r="ASD7" s="303"/>
      <c r="ASE7" s="303"/>
      <c r="ASF7" s="303"/>
      <c r="ASG7" s="303"/>
      <c r="ASH7" s="303"/>
      <c r="ASI7" s="303"/>
      <c r="ASJ7" s="303"/>
      <c r="ASK7" s="303"/>
      <c r="ASL7" s="303"/>
      <c r="ASM7" s="303"/>
      <c r="ASN7" s="303"/>
      <c r="ASO7" s="303"/>
      <c r="ASP7" s="303"/>
      <c r="ASQ7" s="303"/>
      <c r="ASR7" s="303"/>
      <c r="ASS7" s="303"/>
      <c r="AST7" s="303"/>
      <c r="ASU7" s="303"/>
      <c r="ASV7" s="303"/>
      <c r="ASW7" s="303"/>
      <c r="ASX7" s="303"/>
      <c r="ASY7" s="303"/>
      <c r="ASZ7" s="303"/>
      <c r="ATA7" s="303"/>
      <c r="ATB7" s="303"/>
      <c r="ATC7" s="303"/>
      <c r="ATD7" s="303"/>
      <c r="ATE7" s="303"/>
      <c r="ATF7" s="303"/>
      <c r="ATG7" s="303"/>
      <c r="ATH7" s="303"/>
      <c r="ATI7" s="303"/>
      <c r="ATJ7" s="303"/>
      <c r="ATK7" s="303"/>
      <c r="ATL7" s="303"/>
      <c r="ATM7" s="303"/>
      <c r="ATN7" s="303"/>
      <c r="ATO7" s="303"/>
      <c r="ATP7" s="303"/>
      <c r="ATQ7" s="303"/>
      <c r="ATR7" s="303"/>
      <c r="ATS7" s="303"/>
      <c r="ATT7" s="303"/>
      <c r="ATU7" s="303"/>
      <c r="ATV7" s="303"/>
      <c r="ATW7" s="303"/>
      <c r="ATX7" s="303"/>
      <c r="ATY7" s="303"/>
      <c r="ATZ7" s="303"/>
      <c r="AUA7" s="303"/>
      <c r="AUB7" s="303"/>
      <c r="AUC7" s="303"/>
      <c r="AUD7" s="303"/>
      <c r="AUE7" s="303"/>
      <c r="AUF7" s="303"/>
      <c r="AUG7" s="303"/>
      <c r="AUH7" s="303"/>
      <c r="AUI7" s="303"/>
      <c r="AUJ7" s="303"/>
      <c r="AUK7" s="303"/>
      <c r="AUL7" s="303"/>
      <c r="AUM7" s="303"/>
      <c r="AUN7" s="303"/>
      <c r="AUO7" s="303"/>
      <c r="AUP7" s="303"/>
      <c r="AUQ7" s="303"/>
      <c r="AUR7" s="303"/>
      <c r="AUS7" s="303"/>
      <c r="AUT7" s="303"/>
      <c r="AUU7" s="303"/>
      <c r="AUV7" s="303"/>
      <c r="AUW7" s="303"/>
      <c r="AUX7" s="303"/>
      <c r="AUY7" s="303"/>
      <c r="AUZ7" s="303"/>
      <c r="AVA7" s="303"/>
      <c r="AVB7" s="303"/>
      <c r="AVC7" s="303"/>
      <c r="AVD7" s="303"/>
      <c r="AVE7" s="303"/>
      <c r="AVF7" s="303"/>
      <c r="AVG7" s="303"/>
      <c r="AVH7" s="303"/>
      <c r="AVI7" s="303"/>
      <c r="AVJ7" s="303"/>
      <c r="AVK7" s="303"/>
      <c r="AVL7" s="303"/>
      <c r="AVM7" s="303"/>
      <c r="AVN7" s="303"/>
      <c r="AVO7" s="303"/>
      <c r="AVP7" s="303"/>
      <c r="AVQ7" s="303"/>
      <c r="AVR7" s="303"/>
      <c r="AVS7" s="303"/>
      <c r="AVT7" s="303"/>
      <c r="AVU7" s="303"/>
      <c r="AVV7" s="303"/>
      <c r="AVW7" s="303"/>
      <c r="AVX7" s="303"/>
      <c r="AVY7" s="303"/>
      <c r="AVZ7" s="303"/>
      <c r="AWA7" s="303"/>
      <c r="AWB7" s="303"/>
      <c r="AWC7" s="303"/>
      <c r="AWD7" s="303"/>
      <c r="AWE7" s="303"/>
      <c r="AWF7" s="303"/>
      <c r="AWG7" s="303"/>
      <c r="AWH7" s="303"/>
      <c r="AWI7" s="303"/>
      <c r="AWJ7" s="303"/>
      <c r="AWK7" s="303"/>
      <c r="AWL7" s="303"/>
      <c r="AWM7" s="303"/>
      <c r="AWN7" s="303"/>
      <c r="AWO7" s="303"/>
      <c r="AWP7" s="303"/>
      <c r="AWQ7" s="303"/>
      <c r="AWR7" s="303"/>
      <c r="AWS7" s="303"/>
      <c r="AWT7" s="303"/>
      <c r="AWU7" s="303"/>
      <c r="AWV7" s="303"/>
      <c r="AWW7" s="303"/>
      <c r="AWX7" s="303"/>
      <c r="AWY7" s="303"/>
      <c r="AWZ7" s="303"/>
      <c r="AXA7" s="303"/>
      <c r="AXB7" s="303"/>
      <c r="AXC7" s="303"/>
      <c r="AXD7" s="303"/>
      <c r="AXE7" s="303"/>
      <c r="AXF7" s="303"/>
      <c r="AXG7" s="303"/>
      <c r="AXH7" s="303"/>
      <c r="AXI7" s="303"/>
      <c r="AXJ7" s="303"/>
      <c r="AXK7" s="303"/>
      <c r="AXL7" s="303"/>
      <c r="AXM7" s="303"/>
      <c r="AXN7" s="303"/>
      <c r="AXO7" s="303"/>
      <c r="AXP7" s="303"/>
      <c r="AXQ7" s="303"/>
      <c r="AXR7" s="303"/>
      <c r="AXS7" s="303"/>
      <c r="AXT7" s="303"/>
      <c r="AXU7" s="303"/>
      <c r="AXV7" s="303"/>
      <c r="AXW7" s="303"/>
      <c r="AXX7" s="303"/>
      <c r="AXY7" s="303"/>
      <c r="AXZ7" s="303"/>
      <c r="AYA7" s="303"/>
      <c r="AYB7" s="303"/>
      <c r="AYC7" s="303"/>
      <c r="AYD7" s="303"/>
      <c r="AYE7" s="303"/>
      <c r="AYF7" s="303"/>
      <c r="AYG7" s="303"/>
      <c r="AYH7" s="303"/>
    </row>
    <row r="8" spans="1:1334" ht="48.75" x14ac:dyDescent="0.25">
      <c r="A8" s="304" t="s">
        <v>591</v>
      </c>
      <c r="B8" s="298" t="s">
        <v>1067</v>
      </c>
      <c r="C8" s="303"/>
      <c r="D8" s="303"/>
      <c r="E8" s="303"/>
      <c r="F8" s="303"/>
      <c r="G8" s="303"/>
      <c r="H8" s="303"/>
      <c r="I8" s="303"/>
      <c r="J8" s="303"/>
      <c r="K8" s="303"/>
      <c r="L8" s="303"/>
      <c r="M8" s="303"/>
      <c r="N8" s="303"/>
      <c r="O8" s="303"/>
      <c r="P8" s="303"/>
      <c r="Q8" s="303"/>
      <c r="R8" s="303"/>
      <c r="S8" s="303"/>
      <c r="T8" s="303"/>
      <c r="U8" s="303"/>
      <c r="V8" s="303"/>
      <c r="W8" s="303"/>
      <c r="X8" s="303"/>
      <c r="Y8" s="303"/>
      <c r="Z8" s="303"/>
      <c r="AA8" s="303"/>
      <c r="AB8" s="303"/>
      <c r="AC8" s="303"/>
      <c r="AD8" s="303"/>
      <c r="AE8" s="303"/>
      <c r="AF8" s="303"/>
      <c r="AG8" s="303"/>
      <c r="AH8" s="303"/>
      <c r="AI8" s="303"/>
      <c r="AJ8" s="303"/>
      <c r="AK8" s="303"/>
      <c r="AL8" s="303"/>
      <c r="AM8" s="303"/>
      <c r="AN8" s="303"/>
      <c r="AO8" s="303"/>
      <c r="AP8" s="303"/>
      <c r="AQ8" s="303"/>
      <c r="AR8" s="303"/>
      <c r="AS8" s="303"/>
      <c r="AT8" s="303"/>
      <c r="AU8" s="303"/>
      <c r="AV8" s="303"/>
      <c r="AW8" s="303"/>
      <c r="AX8" s="303"/>
      <c r="AY8" s="303"/>
      <c r="AZ8" s="303"/>
      <c r="BA8" s="303"/>
      <c r="BB8" s="303"/>
      <c r="BC8" s="303"/>
      <c r="BD8" s="303"/>
      <c r="BE8" s="303"/>
      <c r="BF8" s="303"/>
      <c r="BG8" s="303"/>
      <c r="BH8" s="303"/>
      <c r="BI8" s="303"/>
      <c r="BJ8" s="303"/>
      <c r="BK8" s="303"/>
      <c r="BL8" s="303"/>
      <c r="BM8" s="303"/>
      <c r="BN8" s="303"/>
      <c r="BO8" s="303"/>
      <c r="BP8" s="303"/>
      <c r="BQ8" s="303"/>
      <c r="BR8" s="303"/>
      <c r="BS8" s="303"/>
      <c r="BT8" s="303"/>
      <c r="BU8" s="303"/>
      <c r="BV8" s="303"/>
      <c r="BW8" s="303"/>
      <c r="BX8" s="303"/>
      <c r="BY8" s="303"/>
      <c r="BZ8" s="303"/>
      <c r="CA8" s="303"/>
      <c r="CB8" s="303"/>
      <c r="CC8" s="303"/>
      <c r="CD8" s="303"/>
      <c r="CE8" s="303"/>
      <c r="CF8" s="303"/>
      <c r="CG8" s="303"/>
      <c r="CH8" s="303"/>
      <c r="CI8" s="303"/>
      <c r="CJ8" s="303"/>
      <c r="CK8" s="303"/>
      <c r="CL8" s="303"/>
      <c r="CM8" s="303"/>
      <c r="CN8" s="303"/>
      <c r="CO8" s="303"/>
      <c r="CP8" s="303"/>
      <c r="CQ8" s="303"/>
      <c r="CR8" s="303"/>
      <c r="CS8" s="303"/>
      <c r="CT8" s="303"/>
      <c r="CU8" s="303"/>
      <c r="CV8" s="303"/>
      <c r="CW8" s="303"/>
      <c r="CX8" s="303"/>
      <c r="CY8" s="303"/>
      <c r="CZ8" s="303"/>
      <c r="DA8" s="303"/>
      <c r="DB8" s="303"/>
      <c r="DC8" s="303"/>
      <c r="DD8" s="303"/>
      <c r="DE8" s="303"/>
      <c r="DF8" s="303"/>
      <c r="DG8" s="303"/>
      <c r="DH8" s="303"/>
      <c r="DI8" s="303"/>
      <c r="DJ8" s="303"/>
      <c r="DK8" s="303"/>
      <c r="DL8" s="303"/>
      <c r="DM8" s="303"/>
      <c r="DN8" s="303"/>
      <c r="DO8" s="303"/>
      <c r="DP8" s="303"/>
      <c r="DQ8" s="303"/>
      <c r="DR8" s="303"/>
      <c r="DS8" s="303"/>
      <c r="DT8" s="303"/>
      <c r="DU8" s="303"/>
      <c r="DV8" s="303"/>
      <c r="DW8" s="303"/>
      <c r="DX8" s="303"/>
      <c r="DY8" s="303"/>
      <c r="DZ8" s="303"/>
      <c r="EA8" s="303"/>
      <c r="EB8" s="303"/>
      <c r="EC8" s="303"/>
      <c r="ED8" s="303"/>
      <c r="EE8" s="303"/>
      <c r="EF8" s="303"/>
      <c r="EG8" s="303"/>
      <c r="EH8" s="303"/>
      <c r="EI8" s="303"/>
      <c r="EJ8" s="303"/>
      <c r="EK8" s="303"/>
      <c r="EL8" s="303"/>
      <c r="EM8" s="303"/>
      <c r="EN8" s="303"/>
      <c r="EO8" s="303"/>
      <c r="EP8" s="303"/>
      <c r="EQ8" s="303"/>
      <c r="ER8" s="303"/>
      <c r="ES8" s="303"/>
      <c r="ET8" s="303"/>
      <c r="EU8" s="303"/>
      <c r="EV8" s="303"/>
      <c r="EW8" s="303"/>
      <c r="EX8" s="303"/>
      <c r="EY8" s="303"/>
      <c r="EZ8" s="303"/>
      <c r="FA8" s="303"/>
      <c r="FB8" s="303"/>
      <c r="FC8" s="303"/>
      <c r="FD8" s="303"/>
      <c r="FE8" s="303"/>
      <c r="FF8" s="303"/>
      <c r="FG8" s="303"/>
      <c r="FH8" s="303"/>
      <c r="FI8" s="303"/>
      <c r="FJ8" s="303"/>
      <c r="FK8" s="303"/>
      <c r="FL8" s="303"/>
      <c r="FM8" s="303"/>
      <c r="FN8" s="303"/>
      <c r="FO8" s="303"/>
      <c r="FP8" s="303"/>
      <c r="FQ8" s="303"/>
      <c r="FR8" s="303"/>
      <c r="FS8" s="303"/>
      <c r="FT8" s="303"/>
      <c r="FU8" s="303"/>
      <c r="FV8" s="303"/>
      <c r="FW8" s="303"/>
      <c r="FX8" s="303"/>
      <c r="FY8" s="303"/>
      <c r="FZ8" s="303"/>
      <c r="GA8" s="303"/>
      <c r="GB8" s="303"/>
      <c r="GC8" s="303"/>
      <c r="GD8" s="303"/>
      <c r="GE8" s="303"/>
      <c r="GF8" s="303"/>
      <c r="GG8" s="303"/>
      <c r="GH8" s="303"/>
      <c r="GI8" s="303"/>
      <c r="GJ8" s="303"/>
      <c r="GK8" s="303"/>
      <c r="GL8" s="303"/>
      <c r="GM8" s="303"/>
      <c r="GN8" s="303"/>
      <c r="GO8" s="303"/>
      <c r="GP8" s="303"/>
      <c r="GQ8" s="303"/>
      <c r="GR8" s="303"/>
      <c r="GS8" s="303"/>
      <c r="GT8" s="303"/>
      <c r="GU8" s="303"/>
      <c r="GV8" s="303"/>
      <c r="GW8" s="303"/>
      <c r="GX8" s="303"/>
      <c r="GY8" s="303"/>
      <c r="GZ8" s="303"/>
      <c r="HA8" s="303"/>
      <c r="HB8" s="303"/>
      <c r="HC8" s="303"/>
      <c r="HD8" s="303"/>
      <c r="HE8" s="303"/>
      <c r="HF8" s="303"/>
      <c r="HG8" s="303"/>
      <c r="HH8" s="303"/>
      <c r="HI8" s="303"/>
      <c r="HJ8" s="303"/>
      <c r="HK8" s="303"/>
      <c r="HL8" s="303"/>
      <c r="HM8" s="303"/>
      <c r="HN8" s="303"/>
      <c r="HO8" s="303"/>
      <c r="HP8" s="303"/>
      <c r="HQ8" s="303"/>
      <c r="HR8" s="303"/>
      <c r="HS8" s="303"/>
      <c r="HT8" s="303"/>
      <c r="HU8" s="303"/>
      <c r="HV8" s="303"/>
      <c r="HW8" s="303"/>
      <c r="HX8" s="303"/>
      <c r="HY8" s="303"/>
      <c r="HZ8" s="303"/>
      <c r="IA8" s="303"/>
      <c r="IB8" s="303"/>
      <c r="IC8" s="303"/>
      <c r="ID8" s="303"/>
      <c r="IE8" s="303"/>
      <c r="IF8" s="303"/>
      <c r="IG8" s="303"/>
      <c r="IH8" s="303"/>
      <c r="II8" s="303"/>
      <c r="IJ8" s="303"/>
      <c r="IK8" s="303"/>
      <c r="IL8" s="303"/>
      <c r="IM8" s="303"/>
      <c r="IN8" s="303"/>
      <c r="IO8" s="303"/>
      <c r="IP8" s="303"/>
      <c r="IQ8" s="303"/>
      <c r="IR8" s="303"/>
      <c r="IS8" s="303"/>
      <c r="IT8" s="303"/>
      <c r="IU8" s="303"/>
      <c r="IV8" s="303"/>
      <c r="IW8" s="303"/>
      <c r="IX8" s="303"/>
      <c r="IY8" s="303"/>
      <c r="IZ8" s="303"/>
      <c r="JA8" s="303"/>
      <c r="JB8" s="303"/>
      <c r="JC8" s="303"/>
      <c r="JD8" s="303"/>
      <c r="JE8" s="303"/>
      <c r="JF8" s="303"/>
      <c r="JG8" s="303"/>
      <c r="JH8" s="303"/>
      <c r="JI8" s="303"/>
      <c r="JJ8" s="303"/>
      <c r="JK8" s="303"/>
      <c r="JL8" s="303"/>
      <c r="JM8" s="303"/>
      <c r="JN8" s="303"/>
      <c r="JO8" s="303"/>
      <c r="JP8" s="303"/>
      <c r="JQ8" s="303"/>
      <c r="JR8" s="303"/>
      <c r="JS8" s="303"/>
      <c r="JT8" s="303"/>
      <c r="JU8" s="303"/>
      <c r="JV8" s="303"/>
      <c r="JW8" s="303"/>
      <c r="JX8" s="303"/>
      <c r="JY8" s="303"/>
      <c r="JZ8" s="303"/>
      <c r="KA8" s="303"/>
      <c r="KB8" s="303"/>
      <c r="KC8" s="303"/>
      <c r="KD8" s="303"/>
      <c r="KE8" s="303"/>
      <c r="KF8" s="303"/>
      <c r="KG8" s="303"/>
      <c r="KH8" s="303"/>
      <c r="KI8" s="303"/>
      <c r="KJ8" s="303"/>
      <c r="KK8" s="303"/>
      <c r="KL8" s="303"/>
      <c r="KM8" s="303"/>
      <c r="KN8" s="303"/>
      <c r="KO8" s="303"/>
      <c r="KP8" s="303"/>
      <c r="KQ8" s="303"/>
      <c r="KR8" s="303"/>
      <c r="KS8" s="303"/>
      <c r="KT8" s="303"/>
      <c r="KU8" s="303"/>
      <c r="KV8" s="303"/>
      <c r="KW8" s="303"/>
      <c r="KX8" s="303"/>
      <c r="KY8" s="303"/>
      <c r="KZ8" s="303"/>
      <c r="LA8" s="303"/>
      <c r="LB8" s="303"/>
      <c r="LC8" s="303"/>
      <c r="LD8" s="303"/>
      <c r="LE8" s="303"/>
      <c r="LF8" s="303"/>
      <c r="LG8" s="303"/>
      <c r="LH8" s="303"/>
      <c r="LI8" s="303"/>
      <c r="LJ8" s="303"/>
      <c r="LK8" s="303"/>
      <c r="LL8" s="303"/>
      <c r="LM8" s="303"/>
      <c r="LN8" s="303"/>
      <c r="LO8" s="303"/>
      <c r="LP8" s="303"/>
      <c r="LQ8" s="303"/>
      <c r="LR8" s="303"/>
      <c r="LS8" s="303"/>
      <c r="LT8" s="303"/>
      <c r="LU8" s="303"/>
      <c r="LV8" s="303"/>
      <c r="LW8" s="303"/>
      <c r="LX8" s="303"/>
      <c r="LY8" s="303"/>
      <c r="LZ8" s="303"/>
      <c r="MA8" s="303"/>
      <c r="MB8" s="303"/>
      <c r="MC8" s="303"/>
      <c r="MD8" s="303"/>
      <c r="ME8" s="303"/>
      <c r="MF8" s="303"/>
      <c r="MG8" s="303"/>
      <c r="MH8" s="303"/>
      <c r="MI8" s="303"/>
      <c r="MJ8" s="303"/>
      <c r="MK8" s="303"/>
      <c r="ML8" s="303"/>
      <c r="MM8" s="303"/>
      <c r="MN8" s="303"/>
      <c r="MO8" s="303"/>
      <c r="MP8" s="303"/>
      <c r="MQ8" s="303"/>
      <c r="MR8" s="303"/>
      <c r="MS8" s="303"/>
      <c r="MT8" s="303"/>
      <c r="MU8" s="303"/>
      <c r="MV8" s="303"/>
      <c r="MW8" s="303"/>
      <c r="MX8" s="303"/>
      <c r="MY8" s="303"/>
      <c r="MZ8" s="303"/>
      <c r="NA8" s="303"/>
      <c r="NB8" s="303"/>
      <c r="NC8" s="303"/>
      <c r="ND8" s="303"/>
      <c r="NE8" s="303"/>
      <c r="NF8" s="303"/>
      <c r="NG8" s="303"/>
      <c r="NH8" s="303"/>
      <c r="NI8" s="303"/>
      <c r="NJ8" s="303"/>
      <c r="NK8" s="303"/>
      <c r="NL8" s="303"/>
      <c r="NM8" s="303"/>
      <c r="NN8" s="303"/>
      <c r="NO8" s="303"/>
      <c r="NP8" s="303"/>
      <c r="NQ8" s="303"/>
      <c r="NR8" s="303"/>
      <c r="NS8" s="303"/>
      <c r="NT8" s="303"/>
      <c r="NU8" s="303"/>
      <c r="NV8" s="303"/>
      <c r="NW8" s="303"/>
      <c r="NX8" s="303"/>
      <c r="NY8" s="303"/>
      <c r="NZ8" s="303"/>
      <c r="OA8" s="303"/>
      <c r="OB8" s="303"/>
      <c r="OC8" s="303"/>
      <c r="OD8" s="303"/>
      <c r="OE8" s="303"/>
      <c r="OF8" s="303"/>
      <c r="OG8" s="303"/>
      <c r="OH8" s="303"/>
      <c r="OI8" s="303"/>
      <c r="OJ8" s="303"/>
      <c r="OK8" s="303"/>
      <c r="OL8" s="303"/>
      <c r="OM8" s="303"/>
      <c r="ON8" s="303"/>
      <c r="OO8" s="303"/>
      <c r="OP8" s="303"/>
      <c r="OQ8" s="303"/>
      <c r="OR8" s="303"/>
      <c r="OS8" s="303"/>
      <c r="OT8" s="303"/>
      <c r="OU8" s="303"/>
      <c r="OV8" s="303"/>
      <c r="OW8" s="303"/>
      <c r="OX8" s="303"/>
      <c r="OY8" s="303"/>
      <c r="OZ8" s="303"/>
      <c r="PA8" s="303"/>
      <c r="PB8" s="303"/>
      <c r="PC8" s="303"/>
      <c r="PD8" s="303"/>
      <c r="PE8" s="303"/>
      <c r="PF8" s="303"/>
      <c r="PG8" s="303"/>
      <c r="PH8" s="303"/>
      <c r="PI8" s="303"/>
      <c r="PJ8" s="303"/>
      <c r="PK8" s="303"/>
      <c r="PL8" s="303"/>
      <c r="PM8" s="303"/>
      <c r="PN8" s="303"/>
      <c r="PO8" s="303"/>
      <c r="PP8" s="303"/>
      <c r="PQ8" s="303"/>
      <c r="PR8" s="303"/>
      <c r="PS8" s="303"/>
      <c r="PT8" s="303"/>
      <c r="PU8" s="303"/>
      <c r="PV8" s="303"/>
      <c r="PW8" s="303"/>
      <c r="PX8" s="303"/>
      <c r="PY8" s="303"/>
      <c r="PZ8" s="303"/>
      <c r="QA8" s="303"/>
      <c r="QB8" s="303"/>
      <c r="QC8" s="303"/>
      <c r="QD8" s="303"/>
      <c r="QE8" s="303"/>
      <c r="QF8" s="303"/>
      <c r="QG8" s="303"/>
      <c r="QH8" s="303"/>
      <c r="QI8" s="303"/>
      <c r="QJ8" s="303"/>
      <c r="QK8" s="303"/>
      <c r="QL8" s="303"/>
      <c r="QM8" s="303"/>
      <c r="QN8" s="303"/>
      <c r="QO8" s="303"/>
      <c r="QP8" s="303"/>
      <c r="QQ8" s="303"/>
      <c r="QR8" s="303"/>
      <c r="QS8" s="303"/>
      <c r="QT8" s="303"/>
      <c r="QU8" s="303"/>
      <c r="QV8" s="303"/>
      <c r="QW8" s="303"/>
      <c r="QX8" s="303"/>
      <c r="QY8" s="303"/>
      <c r="QZ8" s="303"/>
      <c r="RA8" s="303"/>
      <c r="RB8" s="303"/>
      <c r="RC8" s="303"/>
      <c r="RD8" s="303"/>
      <c r="RE8" s="303"/>
      <c r="RF8" s="303"/>
      <c r="RG8" s="303"/>
      <c r="RH8" s="303"/>
      <c r="RI8" s="303"/>
      <c r="RJ8" s="303"/>
      <c r="RK8" s="303"/>
      <c r="RL8" s="303"/>
      <c r="RM8" s="303"/>
      <c r="RN8" s="303"/>
      <c r="RO8" s="303"/>
      <c r="RP8" s="303"/>
      <c r="RQ8" s="303"/>
      <c r="RR8" s="303"/>
      <c r="RS8" s="303"/>
      <c r="RT8" s="303"/>
      <c r="RU8" s="303"/>
      <c r="RV8" s="303"/>
      <c r="RW8" s="303"/>
      <c r="RX8" s="303"/>
      <c r="RY8" s="303"/>
      <c r="RZ8" s="303"/>
      <c r="SA8" s="303"/>
      <c r="SB8" s="303"/>
      <c r="SC8" s="303"/>
      <c r="SD8" s="303"/>
      <c r="SE8" s="303"/>
      <c r="SF8" s="303"/>
      <c r="SG8" s="303"/>
      <c r="SH8" s="303"/>
      <c r="SI8" s="303"/>
      <c r="SJ8" s="303"/>
      <c r="SK8" s="303"/>
      <c r="SL8" s="303"/>
      <c r="SM8" s="303"/>
      <c r="SN8" s="303"/>
      <c r="SO8" s="303"/>
      <c r="SP8" s="303"/>
      <c r="SQ8" s="303"/>
      <c r="SR8" s="303"/>
      <c r="SS8" s="303"/>
      <c r="ST8" s="303"/>
      <c r="SU8" s="303"/>
      <c r="SV8" s="303"/>
      <c r="SW8" s="303"/>
      <c r="SX8" s="303"/>
      <c r="SY8" s="303"/>
      <c r="SZ8" s="303"/>
      <c r="TA8" s="303"/>
      <c r="TB8" s="303"/>
      <c r="TC8" s="303"/>
      <c r="TD8" s="303"/>
      <c r="TE8" s="303"/>
      <c r="TF8" s="303"/>
      <c r="TG8" s="303"/>
      <c r="TH8" s="303"/>
      <c r="TI8" s="303"/>
      <c r="TJ8" s="303"/>
      <c r="TK8" s="303"/>
      <c r="TL8" s="303"/>
      <c r="TM8" s="303"/>
      <c r="TN8" s="303"/>
      <c r="TO8" s="303"/>
      <c r="TP8" s="303"/>
      <c r="TQ8" s="303"/>
      <c r="TR8" s="303"/>
      <c r="TS8" s="303"/>
      <c r="TT8" s="303"/>
      <c r="TU8" s="303"/>
      <c r="TV8" s="303"/>
      <c r="TW8" s="303"/>
      <c r="TX8" s="303"/>
      <c r="TY8" s="303"/>
      <c r="TZ8" s="303"/>
      <c r="UA8" s="303"/>
      <c r="UB8" s="303"/>
      <c r="UC8" s="303"/>
      <c r="UD8" s="303"/>
      <c r="UE8" s="303"/>
      <c r="UF8" s="303"/>
      <c r="UG8" s="303"/>
      <c r="UH8" s="303"/>
      <c r="UI8" s="303"/>
      <c r="UJ8" s="303"/>
      <c r="UK8" s="303"/>
      <c r="UL8" s="303"/>
      <c r="UM8" s="303"/>
      <c r="UN8" s="303"/>
      <c r="UO8" s="303"/>
      <c r="UP8" s="303"/>
      <c r="UQ8" s="303"/>
      <c r="UR8" s="303"/>
      <c r="US8" s="303"/>
      <c r="UT8" s="303"/>
      <c r="UU8" s="303"/>
      <c r="UV8" s="303"/>
      <c r="UW8" s="303"/>
      <c r="UX8" s="303"/>
      <c r="UY8" s="303"/>
      <c r="UZ8" s="303"/>
      <c r="VA8" s="303"/>
      <c r="VB8" s="303"/>
      <c r="VC8" s="303"/>
      <c r="VD8" s="303"/>
      <c r="VE8" s="303"/>
      <c r="VF8" s="303"/>
      <c r="VG8" s="303"/>
      <c r="VH8" s="303"/>
      <c r="VI8" s="303"/>
      <c r="VJ8" s="303"/>
      <c r="VK8" s="303"/>
      <c r="VL8" s="303"/>
      <c r="VM8" s="303"/>
      <c r="VN8" s="303"/>
      <c r="VO8" s="303"/>
      <c r="VP8" s="303"/>
      <c r="VQ8" s="303"/>
      <c r="VR8" s="303"/>
      <c r="VS8" s="303"/>
      <c r="VT8" s="303"/>
      <c r="VU8" s="303"/>
      <c r="VV8" s="303"/>
      <c r="VW8" s="303"/>
      <c r="VX8" s="303"/>
      <c r="VY8" s="303"/>
      <c r="VZ8" s="303"/>
      <c r="WA8" s="303"/>
      <c r="WB8" s="303"/>
      <c r="WC8" s="303"/>
      <c r="WD8" s="303"/>
      <c r="WE8" s="303"/>
      <c r="WF8" s="303"/>
      <c r="WG8" s="303"/>
      <c r="WH8" s="303"/>
      <c r="WI8" s="303"/>
      <c r="WJ8" s="303"/>
      <c r="WK8" s="303"/>
      <c r="WL8" s="303"/>
      <c r="WM8" s="303"/>
      <c r="WN8" s="303"/>
      <c r="WO8" s="303"/>
      <c r="WP8" s="303"/>
      <c r="WQ8" s="303"/>
      <c r="WR8" s="303"/>
      <c r="WS8" s="303"/>
      <c r="WT8" s="303"/>
      <c r="WU8" s="303"/>
      <c r="WV8" s="303"/>
      <c r="WW8" s="303"/>
      <c r="WX8" s="303"/>
      <c r="WY8" s="303"/>
      <c r="WZ8" s="303"/>
      <c r="XA8" s="303"/>
      <c r="XB8" s="303"/>
      <c r="XC8" s="303"/>
      <c r="XD8" s="303"/>
      <c r="XE8" s="303"/>
      <c r="XF8" s="303"/>
      <c r="XG8" s="303"/>
      <c r="XH8" s="303"/>
      <c r="XI8" s="303"/>
      <c r="XJ8" s="303"/>
      <c r="XK8" s="303"/>
      <c r="XL8" s="303"/>
      <c r="XM8" s="303"/>
      <c r="XN8" s="303"/>
      <c r="XO8" s="303"/>
      <c r="XP8" s="303"/>
      <c r="XQ8" s="303"/>
      <c r="XR8" s="303"/>
      <c r="XS8" s="303"/>
      <c r="XT8" s="303"/>
      <c r="XU8" s="303"/>
      <c r="XV8" s="303"/>
      <c r="XW8" s="303"/>
      <c r="XX8" s="303"/>
      <c r="XY8" s="303"/>
      <c r="XZ8" s="303"/>
      <c r="YA8" s="303"/>
      <c r="YB8" s="303"/>
      <c r="YC8" s="303"/>
      <c r="YD8" s="303"/>
      <c r="YE8" s="303"/>
      <c r="YF8" s="303"/>
      <c r="YG8" s="303"/>
      <c r="YH8" s="303"/>
      <c r="YI8" s="303"/>
      <c r="YJ8" s="303"/>
      <c r="YK8" s="303"/>
      <c r="YL8" s="303"/>
      <c r="YM8" s="303"/>
      <c r="YN8" s="303"/>
      <c r="YO8" s="303"/>
      <c r="YP8" s="303"/>
      <c r="YQ8" s="303"/>
      <c r="YR8" s="303"/>
      <c r="YS8" s="303"/>
      <c r="YT8" s="303"/>
      <c r="YU8" s="303"/>
      <c r="YV8" s="303"/>
      <c r="YW8" s="303"/>
      <c r="YX8" s="303"/>
      <c r="YY8" s="303"/>
      <c r="YZ8" s="303"/>
      <c r="ZA8" s="303"/>
      <c r="ZB8" s="303"/>
      <c r="ZC8" s="303"/>
      <c r="ZD8" s="303"/>
      <c r="ZE8" s="303"/>
      <c r="ZF8" s="303"/>
      <c r="ZG8" s="303"/>
      <c r="ZH8" s="303"/>
      <c r="ZI8" s="303"/>
      <c r="ZJ8" s="303"/>
      <c r="ZK8" s="303"/>
      <c r="ZL8" s="303"/>
      <c r="ZM8" s="303"/>
      <c r="ZN8" s="303"/>
      <c r="ZO8" s="303"/>
      <c r="ZP8" s="303"/>
      <c r="ZQ8" s="303"/>
      <c r="ZR8" s="303"/>
      <c r="ZS8" s="303"/>
      <c r="ZT8" s="303"/>
      <c r="ZU8" s="303"/>
      <c r="ZV8" s="303"/>
      <c r="ZW8" s="303"/>
      <c r="ZX8" s="303"/>
      <c r="ZY8" s="303"/>
      <c r="ZZ8" s="303"/>
      <c r="AAA8" s="303"/>
      <c r="AAB8" s="303"/>
      <c r="AAC8" s="303"/>
      <c r="AAD8" s="303"/>
      <c r="AAE8" s="303"/>
      <c r="AAF8" s="303"/>
      <c r="AAG8" s="303"/>
      <c r="AAH8" s="303"/>
      <c r="AAI8" s="303"/>
      <c r="AAJ8" s="303"/>
      <c r="AAK8" s="303"/>
      <c r="AAL8" s="303"/>
      <c r="AAM8" s="303"/>
      <c r="AAN8" s="303"/>
      <c r="AAO8" s="303"/>
      <c r="AAP8" s="303"/>
      <c r="AAQ8" s="303"/>
      <c r="AAR8" s="303"/>
      <c r="AAS8" s="303"/>
      <c r="AAT8" s="303"/>
      <c r="AAU8" s="303"/>
      <c r="AAV8" s="303"/>
      <c r="AAW8" s="303"/>
      <c r="AAX8" s="303"/>
      <c r="AAY8" s="303"/>
      <c r="AAZ8" s="303"/>
      <c r="ABA8" s="303"/>
      <c r="ABB8" s="303"/>
      <c r="ABC8" s="303"/>
      <c r="ABD8" s="303"/>
      <c r="ABE8" s="303"/>
      <c r="ABF8" s="303"/>
      <c r="ABG8" s="303"/>
      <c r="ABH8" s="303"/>
      <c r="ABI8" s="303"/>
      <c r="ABJ8" s="303"/>
      <c r="ABK8" s="303"/>
      <c r="ABL8" s="303"/>
      <c r="ABM8" s="303"/>
      <c r="ABN8" s="303"/>
      <c r="ABO8" s="303"/>
      <c r="ABP8" s="303"/>
      <c r="ABQ8" s="303"/>
      <c r="ABR8" s="303"/>
      <c r="ABS8" s="303"/>
      <c r="ABT8" s="303"/>
      <c r="ABU8" s="303"/>
      <c r="ABV8" s="303"/>
      <c r="ABW8" s="303"/>
      <c r="ABX8" s="303"/>
      <c r="ABY8" s="303"/>
      <c r="ABZ8" s="303"/>
      <c r="ACA8" s="303"/>
      <c r="ACB8" s="303"/>
      <c r="ACC8" s="303"/>
      <c r="ACD8" s="303"/>
      <c r="ACE8" s="303"/>
      <c r="ACF8" s="303"/>
      <c r="ACG8" s="303"/>
      <c r="ACH8" s="303"/>
      <c r="ACI8" s="303"/>
      <c r="ACJ8" s="303"/>
      <c r="ACK8" s="303"/>
      <c r="ACL8" s="303"/>
      <c r="ACM8" s="303"/>
      <c r="ACN8" s="303"/>
      <c r="ACO8" s="303"/>
      <c r="ACP8" s="303"/>
      <c r="ACQ8" s="303"/>
      <c r="ACR8" s="303"/>
      <c r="ACS8" s="303"/>
      <c r="ACT8" s="303"/>
      <c r="ACU8" s="303"/>
      <c r="ACV8" s="303"/>
      <c r="ACW8" s="303"/>
      <c r="ACX8" s="303"/>
      <c r="ACY8" s="303"/>
      <c r="ACZ8" s="303"/>
      <c r="ADA8" s="303"/>
      <c r="ADB8" s="303"/>
      <c r="ADC8" s="303"/>
      <c r="ADD8" s="303"/>
      <c r="ADE8" s="303"/>
      <c r="ADF8" s="303"/>
      <c r="ADG8" s="303"/>
      <c r="ADH8" s="303"/>
      <c r="ADI8" s="303"/>
      <c r="ADJ8" s="303"/>
      <c r="ADK8" s="303"/>
      <c r="ADL8" s="303"/>
      <c r="ADM8" s="303"/>
      <c r="ADN8" s="303"/>
      <c r="ADO8" s="303"/>
      <c r="ADP8" s="303"/>
      <c r="ADQ8" s="303"/>
      <c r="ADR8" s="303"/>
      <c r="ADS8" s="303"/>
      <c r="ADT8" s="303"/>
      <c r="ADU8" s="303"/>
      <c r="ADV8" s="303"/>
      <c r="ADW8" s="303"/>
      <c r="ADX8" s="303"/>
      <c r="ADY8" s="303"/>
      <c r="ADZ8" s="303"/>
      <c r="AEA8" s="303"/>
      <c r="AEB8" s="303"/>
      <c r="AEC8" s="303"/>
      <c r="AED8" s="303"/>
      <c r="AEE8" s="303"/>
      <c r="AEF8" s="303"/>
      <c r="AEG8" s="303"/>
      <c r="AEH8" s="303"/>
      <c r="AEI8" s="303"/>
      <c r="AEJ8" s="303"/>
      <c r="AEK8" s="303"/>
      <c r="AEL8" s="303"/>
      <c r="AEM8" s="303"/>
      <c r="AEN8" s="303"/>
      <c r="AEO8" s="303"/>
      <c r="AEP8" s="303"/>
      <c r="AEQ8" s="303"/>
      <c r="AER8" s="303"/>
      <c r="AES8" s="303"/>
      <c r="AET8" s="303"/>
      <c r="AEU8" s="303"/>
      <c r="AEV8" s="303"/>
      <c r="AEW8" s="303"/>
      <c r="AEX8" s="303"/>
      <c r="AEY8" s="303"/>
      <c r="AEZ8" s="303"/>
      <c r="AFA8" s="303"/>
      <c r="AFB8" s="303"/>
      <c r="AFC8" s="303"/>
      <c r="AFD8" s="303"/>
      <c r="AFE8" s="303"/>
      <c r="AFF8" s="303"/>
      <c r="AFG8" s="303"/>
      <c r="AFH8" s="303"/>
      <c r="AFI8" s="303"/>
      <c r="AFJ8" s="303"/>
      <c r="AFK8" s="303"/>
      <c r="AFL8" s="303"/>
      <c r="AFM8" s="303"/>
      <c r="AFN8" s="303"/>
      <c r="AFO8" s="303"/>
      <c r="AFP8" s="303"/>
      <c r="AFQ8" s="303"/>
      <c r="AFR8" s="303"/>
      <c r="AFS8" s="303"/>
      <c r="AFT8" s="303"/>
      <c r="AFU8" s="303"/>
      <c r="AFV8" s="303"/>
      <c r="AFW8" s="303"/>
      <c r="AFX8" s="303"/>
      <c r="AFY8" s="303"/>
      <c r="AFZ8" s="303"/>
      <c r="AGA8" s="303"/>
      <c r="AGB8" s="303"/>
      <c r="AGC8" s="303"/>
      <c r="AGD8" s="303"/>
      <c r="AGE8" s="303"/>
      <c r="AGF8" s="303"/>
      <c r="AGG8" s="303"/>
      <c r="AGH8" s="303"/>
      <c r="AGI8" s="303"/>
      <c r="AGJ8" s="303"/>
      <c r="AGK8" s="303"/>
      <c r="AGL8" s="303"/>
      <c r="AGM8" s="303"/>
      <c r="AGN8" s="303"/>
      <c r="AGO8" s="303"/>
      <c r="AGP8" s="303"/>
      <c r="AGQ8" s="303"/>
      <c r="AGR8" s="303"/>
      <c r="AGS8" s="303"/>
      <c r="AGT8" s="303"/>
      <c r="AGU8" s="303"/>
      <c r="AGV8" s="303"/>
      <c r="AGW8" s="303"/>
      <c r="AGX8" s="303"/>
      <c r="AGY8" s="303"/>
      <c r="AGZ8" s="303"/>
      <c r="AHA8" s="303"/>
      <c r="AHB8" s="303"/>
      <c r="AHC8" s="303"/>
      <c r="AHD8" s="303"/>
      <c r="AHE8" s="303"/>
      <c r="AHF8" s="303"/>
      <c r="AHG8" s="303"/>
      <c r="AHH8" s="303"/>
      <c r="AHI8" s="303"/>
      <c r="AHJ8" s="303"/>
      <c r="AHK8" s="303"/>
      <c r="AHL8" s="303"/>
      <c r="AHM8" s="303"/>
      <c r="AHN8" s="303"/>
      <c r="AHO8" s="303"/>
      <c r="AHP8" s="303"/>
      <c r="AHQ8" s="303"/>
      <c r="AHR8" s="303"/>
      <c r="AHS8" s="303"/>
      <c r="AHT8" s="303"/>
      <c r="AHU8" s="303"/>
      <c r="AHV8" s="303"/>
      <c r="AHW8" s="303"/>
      <c r="AHX8" s="303"/>
      <c r="AHY8" s="303"/>
      <c r="AHZ8" s="303"/>
      <c r="AIA8" s="303"/>
      <c r="AIB8" s="303"/>
      <c r="AIC8" s="303"/>
      <c r="AID8" s="303"/>
      <c r="AIE8" s="303"/>
      <c r="AIF8" s="303"/>
      <c r="AIG8" s="303"/>
      <c r="AIH8" s="303"/>
      <c r="AII8" s="303"/>
      <c r="AIJ8" s="303"/>
      <c r="AIK8" s="303"/>
      <c r="AIL8" s="303"/>
      <c r="AIM8" s="303"/>
      <c r="AIN8" s="303"/>
      <c r="AIO8" s="303"/>
      <c r="AIP8" s="303"/>
      <c r="AIQ8" s="303"/>
      <c r="AIR8" s="303"/>
      <c r="AIS8" s="303"/>
      <c r="AIT8" s="303"/>
      <c r="AIU8" s="303"/>
      <c r="AIV8" s="303"/>
      <c r="AIW8" s="303"/>
      <c r="AIX8" s="303"/>
      <c r="AIY8" s="303"/>
      <c r="AIZ8" s="303"/>
      <c r="AJA8" s="303"/>
      <c r="AJB8" s="303"/>
      <c r="AJC8" s="303"/>
      <c r="AJD8" s="303"/>
      <c r="AJE8" s="303"/>
      <c r="AJF8" s="303"/>
      <c r="AJG8" s="303"/>
      <c r="AJH8" s="303"/>
      <c r="AJI8" s="303"/>
      <c r="AJJ8" s="303"/>
      <c r="AJK8" s="303"/>
      <c r="AJL8" s="303"/>
      <c r="AJM8" s="303"/>
      <c r="AJN8" s="303"/>
      <c r="AJO8" s="303"/>
      <c r="AJP8" s="303"/>
      <c r="AJQ8" s="303"/>
      <c r="AJR8" s="303"/>
      <c r="AJS8" s="303"/>
      <c r="AJT8" s="303"/>
      <c r="AJU8" s="303"/>
      <c r="AJV8" s="303"/>
      <c r="AJW8" s="303"/>
      <c r="AJX8" s="303"/>
      <c r="AJY8" s="303"/>
      <c r="AJZ8" s="303"/>
      <c r="AKA8" s="303"/>
      <c r="AKB8" s="303"/>
      <c r="AKC8" s="303"/>
      <c r="AKD8" s="303"/>
      <c r="AKE8" s="303"/>
      <c r="AKF8" s="303"/>
      <c r="AKG8" s="303"/>
      <c r="AKH8" s="303"/>
      <c r="AKI8" s="303"/>
      <c r="AKJ8" s="303"/>
      <c r="AKK8" s="303"/>
      <c r="AKL8" s="303"/>
      <c r="AKM8" s="303"/>
      <c r="AKN8" s="303"/>
      <c r="AKO8" s="303"/>
      <c r="AKP8" s="303"/>
      <c r="AKQ8" s="303"/>
      <c r="AKR8" s="303"/>
      <c r="AKS8" s="303"/>
      <c r="AKT8" s="303"/>
      <c r="AKU8" s="303"/>
      <c r="AKV8" s="303"/>
      <c r="AKW8" s="303"/>
      <c r="AKX8" s="303"/>
      <c r="AKY8" s="303"/>
      <c r="AKZ8" s="303"/>
      <c r="ALA8" s="303"/>
      <c r="ALB8" s="303"/>
      <c r="ALC8" s="303"/>
      <c r="ALD8" s="303"/>
      <c r="ALE8" s="303"/>
      <c r="ALF8" s="303"/>
      <c r="ALG8" s="303"/>
      <c r="ALH8" s="303"/>
      <c r="ALI8" s="303"/>
      <c r="ALJ8" s="303"/>
      <c r="ALK8" s="303"/>
      <c r="ALL8" s="303"/>
      <c r="ALM8" s="303"/>
      <c r="ALN8" s="303"/>
      <c r="ALO8" s="303"/>
      <c r="ALP8" s="303"/>
      <c r="ALQ8" s="303"/>
      <c r="ALR8" s="303"/>
      <c r="ALS8" s="303"/>
      <c r="ALT8" s="303"/>
      <c r="ALU8" s="303"/>
      <c r="ALV8" s="303"/>
      <c r="ALW8" s="303"/>
      <c r="ALX8" s="303"/>
      <c r="ALY8" s="303"/>
      <c r="ALZ8" s="303"/>
      <c r="AMA8" s="303"/>
      <c r="AMB8" s="303"/>
      <c r="AMC8" s="303"/>
      <c r="AMD8" s="303"/>
      <c r="AME8" s="303"/>
      <c r="AMF8" s="303"/>
      <c r="AMG8" s="303"/>
      <c r="AMH8" s="303"/>
      <c r="AMI8" s="303"/>
      <c r="AMJ8" s="303"/>
      <c r="AMK8" s="303"/>
      <c r="AML8" s="303"/>
      <c r="AMM8" s="303"/>
      <c r="AMN8" s="303"/>
      <c r="AMO8" s="303"/>
      <c r="AMP8" s="303"/>
      <c r="AMQ8" s="303"/>
      <c r="AMR8" s="303"/>
      <c r="AMS8" s="303"/>
      <c r="AMT8" s="303"/>
      <c r="AMU8" s="303"/>
      <c r="AMV8" s="303"/>
      <c r="AMW8" s="303"/>
      <c r="AMX8" s="303"/>
      <c r="AMY8" s="303"/>
      <c r="AMZ8" s="303"/>
      <c r="ANA8" s="303"/>
      <c r="ANB8" s="303"/>
      <c r="ANC8" s="303"/>
      <c r="AND8" s="303"/>
      <c r="ANE8" s="303"/>
      <c r="ANF8" s="303"/>
      <c r="ANG8" s="303"/>
      <c r="ANH8" s="303"/>
      <c r="ANI8" s="303"/>
      <c r="ANJ8" s="303"/>
      <c r="ANK8" s="303"/>
      <c r="ANL8" s="303"/>
      <c r="ANM8" s="303"/>
      <c r="ANN8" s="303"/>
      <c r="ANO8" s="303"/>
      <c r="ANP8" s="303"/>
      <c r="ANQ8" s="303"/>
      <c r="ANR8" s="303"/>
      <c r="ANS8" s="303"/>
      <c r="ANT8" s="303"/>
      <c r="ANU8" s="303"/>
      <c r="ANV8" s="303"/>
      <c r="ANW8" s="303"/>
      <c r="ANX8" s="303"/>
      <c r="ANY8" s="303"/>
      <c r="ANZ8" s="303"/>
      <c r="AOA8" s="303"/>
      <c r="AOB8" s="303"/>
      <c r="AOC8" s="303"/>
      <c r="AOD8" s="303"/>
      <c r="AOE8" s="303"/>
      <c r="AOF8" s="303"/>
      <c r="AOG8" s="303"/>
      <c r="AOH8" s="303"/>
      <c r="AOI8" s="303"/>
      <c r="AOJ8" s="303"/>
      <c r="AOK8" s="303"/>
      <c r="AOL8" s="303"/>
      <c r="AOM8" s="303"/>
      <c r="AON8" s="303"/>
      <c r="AOO8" s="303"/>
      <c r="AOP8" s="303"/>
      <c r="AOQ8" s="303"/>
      <c r="AOR8" s="303"/>
      <c r="AOS8" s="303"/>
      <c r="AOT8" s="303"/>
      <c r="AOU8" s="303"/>
      <c r="AOV8" s="303"/>
      <c r="AOW8" s="303"/>
      <c r="AOX8" s="303"/>
      <c r="AOY8" s="303"/>
      <c r="AOZ8" s="303"/>
      <c r="APA8" s="303"/>
      <c r="APB8" s="303"/>
      <c r="APC8" s="303"/>
      <c r="APD8" s="303"/>
      <c r="APE8" s="303"/>
      <c r="APF8" s="303"/>
      <c r="APG8" s="303"/>
      <c r="APH8" s="303"/>
      <c r="API8" s="303"/>
      <c r="APJ8" s="303"/>
      <c r="APK8" s="303"/>
      <c r="APL8" s="303"/>
      <c r="APM8" s="303"/>
      <c r="APN8" s="303"/>
      <c r="APO8" s="303"/>
      <c r="APP8" s="303"/>
      <c r="APQ8" s="303"/>
      <c r="APR8" s="303"/>
      <c r="APS8" s="303"/>
      <c r="APT8" s="303"/>
      <c r="APU8" s="303"/>
      <c r="APV8" s="303"/>
      <c r="APW8" s="303"/>
      <c r="APX8" s="303"/>
      <c r="APY8" s="303"/>
      <c r="APZ8" s="303"/>
      <c r="AQA8" s="303"/>
      <c r="AQB8" s="303"/>
      <c r="AQC8" s="303"/>
      <c r="AQD8" s="303"/>
      <c r="AQE8" s="303"/>
      <c r="AQF8" s="303"/>
      <c r="AQG8" s="303"/>
      <c r="AQH8" s="303"/>
      <c r="AQI8" s="303"/>
      <c r="AQJ8" s="303"/>
      <c r="AQK8" s="303"/>
      <c r="AQL8" s="303"/>
      <c r="AQM8" s="303"/>
      <c r="AQN8" s="303"/>
      <c r="AQO8" s="303"/>
      <c r="AQP8" s="303"/>
      <c r="AQQ8" s="303"/>
      <c r="AQR8" s="303"/>
      <c r="AQS8" s="303"/>
      <c r="AQT8" s="303"/>
      <c r="AQU8" s="303"/>
      <c r="AQV8" s="303"/>
      <c r="AQW8" s="303"/>
      <c r="AQX8" s="303"/>
      <c r="AQY8" s="303"/>
      <c r="AQZ8" s="303"/>
      <c r="ARA8" s="303"/>
      <c r="ARB8" s="303"/>
      <c r="ARC8" s="303"/>
      <c r="ARD8" s="303"/>
      <c r="ARE8" s="303"/>
      <c r="ARF8" s="303"/>
      <c r="ARG8" s="303"/>
      <c r="ARH8" s="303"/>
      <c r="ARI8" s="303"/>
      <c r="ARJ8" s="303"/>
      <c r="ARK8" s="303"/>
      <c r="ARL8" s="303"/>
      <c r="ARM8" s="303"/>
      <c r="ARN8" s="303"/>
      <c r="ARO8" s="303"/>
      <c r="ARP8" s="303"/>
      <c r="ARQ8" s="303"/>
      <c r="ARR8" s="303"/>
      <c r="ARS8" s="303"/>
      <c r="ART8" s="303"/>
      <c r="ARU8" s="303"/>
      <c r="ARV8" s="303"/>
      <c r="ARW8" s="303"/>
      <c r="ARX8" s="303"/>
      <c r="ARY8" s="303"/>
      <c r="ARZ8" s="303"/>
      <c r="ASA8" s="303"/>
      <c r="ASB8" s="303"/>
      <c r="ASC8" s="303"/>
      <c r="ASD8" s="303"/>
      <c r="ASE8" s="303"/>
      <c r="ASF8" s="303"/>
      <c r="ASG8" s="303"/>
      <c r="ASH8" s="303"/>
      <c r="ASI8" s="303"/>
      <c r="ASJ8" s="303"/>
      <c r="ASK8" s="303"/>
      <c r="ASL8" s="303"/>
      <c r="ASM8" s="303"/>
      <c r="ASN8" s="303"/>
      <c r="ASO8" s="303"/>
      <c r="ASP8" s="303"/>
      <c r="ASQ8" s="303"/>
      <c r="ASR8" s="303"/>
      <c r="ASS8" s="303"/>
      <c r="AST8" s="303"/>
      <c r="ASU8" s="303"/>
      <c r="ASV8" s="303"/>
      <c r="ASW8" s="303"/>
      <c r="ASX8" s="303"/>
      <c r="ASY8" s="303"/>
      <c r="ASZ8" s="303"/>
      <c r="ATA8" s="303"/>
      <c r="ATB8" s="303"/>
      <c r="ATC8" s="303"/>
      <c r="ATD8" s="303"/>
      <c r="ATE8" s="303"/>
      <c r="ATF8" s="303"/>
      <c r="ATG8" s="303"/>
      <c r="ATH8" s="303"/>
      <c r="ATI8" s="303"/>
      <c r="ATJ8" s="303"/>
      <c r="ATK8" s="303"/>
      <c r="ATL8" s="303"/>
      <c r="ATM8" s="303"/>
      <c r="ATN8" s="303"/>
      <c r="ATO8" s="303"/>
      <c r="ATP8" s="303"/>
      <c r="ATQ8" s="303"/>
      <c r="ATR8" s="303"/>
      <c r="ATS8" s="303"/>
      <c r="ATT8" s="303"/>
      <c r="ATU8" s="303"/>
      <c r="ATV8" s="303"/>
      <c r="ATW8" s="303"/>
      <c r="ATX8" s="303"/>
      <c r="ATY8" s="303"/>
      <c r="ATZ8" s="303"/>
      <c r="AUA8" s="303"/>
      <c r="AUB8" s="303"/>
      <c r="AUC8" s="303"/>
      <c r="AUD8" s="303"/>
      <c r="AUE8" s="303"/>
      <c r="AUF8" s="303"/>
      <c r="AUG8" s="303"/>
      <c r="AUH8" s="303"/>
      <c r="AUI8" s="303"/>
      <c r="AUJ8" s="303"/>
      <c r="AUK8" s="303"/>
      <c r="AUL8" s="303"/>
      <c r="AUM8" s="303"/>
      <c r="AUN8" s="303"/>
      <c r="AUO8" s="303"/>
      <c r="AUP8" s="303"/>
      <c r="AUQ8" s="303"/>
      <c r="AUR8" s="303"/>
      <c r="AUS8" s="303"/>
      <c r="AUT8" s="303"/>
      <c r="AUU8" s="303"/>
      <c r="AUV8" s="303"/>
      <c r="AUW8" s="303"/>
      <c r="AUX8" s="303"/>
      <c r="AUY8" s="303"/>
      <c r="AUZ8" s="303"/>
      <c r="AVA8" s="303"/>
      <c r="AVB8" s="303"/>
      <c r="AVC8" s="303"/>
      <c r="AVD8" s="303"/>
      <c r="AVE8" s="303"/>
      <c r="AVF8" s="303"/>
      <c r="AVG8" s="303"/>
      <c r="AVH8" s="303"/>
      <c r="AVI8" s="303"/>
      <c r="AVJ8" s="303"/>
      <c r="AVK8" s="303"/>
      <c r="AVL8" s="303"/>
      <c r="AVM8" s="303"/>
      <c r="AVN8" s="303"/>
      <c r="AVO8" s="303"/>
      <c r="AVP8" s="303"/>
      <c r="AVQ8" s="303"/>
      <c r="AVR8" s="303"/>
      <c r="AVS8" s="303"/>
      <c r="AVT8" s="303"/>
      <c r="AVU8" s="303"/>
      <c r="AVV8" s="303"/>
      <c r="AVW8" s="303"/>
      <c r="AVX8" s="303"/>
      <c r="AVY8" s="303"/>
      <c r="AVZ8" s="303"/>
      <c r="AWA8" s="303"/>
      <c r="AWB8" s="303"/>
      <c r="AWC8" s="303"/>
      <c r="AWD8" s="303"/>
      <c r="AWE8" s="303"/>
      <c r="AWF8" s="303"/>
      <c r="AWG8" s="303"/>
      <c r="AWH8" s="303"/>
      <c r="AWI8" s="303"/>
      <c r="AWJ8" s="303"/>
      <c r="AWK8" s="303"/>
      <c r="AWL8" s="303"/>
      <c r="AWM8" s="303"/>
      <c r="AWN8" s="303"/>
      <c r="AWO8" s="303"/>
      <c r="AWP8" s="303"/>
      <c r="AWQ8" s="303"/>
      <c r="AWR8" s="303"/>
      <c r="AWS8" s="303"/>
      <c r="AWT8" s="303"/>
      <c r="AWU8" s="303"/>
      <c r="AWV8" s="303"/>
      <c r="AWW8" s="303"/>
      <c r="AWX8" s="303"/>
      <c r="AWY8" s="303"/>
      <c r="AWZ8" s="303"/>
      <c r="AXA8" s="303"/>
      <c r="AXB8" s="303"/>
      <c r="AXC8" s="303"/>
      <c r="AXD8" s="303"/>
      <c r="AXE8" s="303"/>
      <c r="AXF8" s="303"/>
      <c r="AXG8" s="303"/>
      <c r="AXH8" s="303"/>
      <c r="AXI8" s="303"/>
      <c r="AXJ8" s="303"/>
      <c r="AXK8" s="303"/>
      <c r="AXL8" s="303"/>
      <c r="AXM8" s="303"/>
      <c r="AXN8" s="303"/>
      <c r="AXO8" s="303"/>
      <c r="AXP8" s="303"/>
      <c r="AXQ8" s="303"/>
      <c r="AXR8" s="303"/>
      <c r="AXS8" s="303"/>
      <c r="AXT8" s="303"/>
      <c r="AXU8" s="303"/>
      <c r="AXV8" s="303"/>
      <c r="AXW8" s="303"/>
      <c r="AXX8" s="303"/>
      <c r="AXY8" s="303"/>
      <c r="AXZ8" s="303"/>
      <c r="AYA8" s="303"/>
      <c r="AYB8" s="303"/>
      <c r="AYC8" s="303"/>
      <c r="AYD8" s="303"/>
      <c r="AYE8" s="303"/>
      <c r="AYF8" s="303"/>
      <c r="AYG8" s="303"/>
      <c r="AYH8" s="303"/>
    </row>
    <row r="9" spans="1:1334" ht="48.75" x14ac:dyDescent="0.25">
      <c r="A9" s="304"/>
      <c r="B9" s="298" t="s">
        <v>1068</v>
      </c>
      <c r="C9" s="303"/>
      <c r="D9" s="303"/>
      <c r="E9" s="303"/>
      <c r="F9" s="303"/>
      <c r="G9" s="303"/>
      <c r="H9" s="303"/>
      <c r="I9" s="303"/>
      <c r="J9" s="303"/>
      <c r="K9" s="303"/>
      <c r="L9" s="303"/>
      <c r="M9" s="303"/>
      <c r="N9" s="303"/>
      <c r="O9" s="303"/>
      <c r="P9" s="303"/>
      <c r="Q9" s="303"/>
      <c r="R9" s="303"/>
      <c r="S9" s="303"/>
      <c r="T9" s="303"/>
      <c r="U9" s="303"/>
      <c r="V9" s="303"/>
      <c r="W9" s="303"/>
      <c r="X9" s="303"/>
      <c r="Y9" s="303"/>
      <c r="Z9" s="303"/>
      <c r="AA9" s="303"/>
      <c r="AB9" s="303"/>
      <c r="AC9" s="303"/>
      <c r="AD9" s="303"/>
      <c r="AE9" s="303"/>
      <c r="AF9" s="303"/>
      <c r="AG9" s="303"/>
      <c r="AH9" s="303"/>
      <c r="AI9" s="303"/>
      <c r="AJ9" s="303"/>
      <c r="AK9" s="303"/>
      <c r="AL9" s="303"/>
      <c r="AM9" s="303"/>
      <c r="AN9" s="303"/>
      <c r="AO9" s="303"/>
      <c r="AP9" s="303"/>
      <c r="AQ9" s="303"/>
      <c r="AR9" s="303"/>
      <c r="AS9" s="303"/>
      <c r="AT9" s="303"/>
      <c r="AU9" s="303"/>
      <c r="AV9" s="303"/>
      <c r="AW9" s="303"/>
      <c r="AX9" s="303"/>
      <c r="AY9" s="303"/>
      <c r="AZ9" s="303"/>
      <c r="BA9" s="303"/>
      <c r="BB9" s="303"/>
      <c r="BC9" s="303"/>
      <c r="BD9" s="303"/>
      <c r="BE9" s="303"/>
      <c r="BF9" s="303"/>
      <c r="BG9" s="303"/>
      <c r="BH9" s="303"/>
      <c r="BI9" s="303"/>
      <c r="BJ9" s="303"/>
      <c r="BK9" s="303"/>
      <c r="BL9" s="303"/>
      <c r="BM9" s="303"/>
      <c r="BN9" s="303"/>
      <c r="BO9" s="303"/>
      <c r="BP9" s="303"/>
      <c r="BQ9" s="303"/>
      <c r="BR9" s="303"/>
      <c r="BS9" s="303"/>
      <c r="BT9" s="303"/>
      <c r="BU9" s="303"/>
      <c r="BV9" s="303"/>
      <c r="BW9" s="303"/>
      <c r="BX9" s="303"/>
      <c r="BY9" s="303"/>
      <c r="BZ9" s="303"/>
      <c r="CA9" s="303"/>
      <c r="CB9" s="303"/>
      <c r="CC9" s="303"/>
      <c r="CD9" s="303"/>
      <c r="CE9" s="303"/>
      <c r="CF9" s="303"/>
      <c r="CG9" s="303"/>
      <c r="CH9" s="303"/>
      <c r="CI9" s="303"/>
      <c r="CJ9" s="303"/>
      <c r="CK9" s="303"/>
      <c r="CL9" s="303"/>
      <c r="CM9" s="303"/>
      <c r="CN9" s="303"/>
      <c r="CO9" s="303"/>
      <c r="CP9" s="303"/>
      <c r="CQ9" s="303"/>
      <c r="CR9" s="303"/>
      <c r="CS9" s="303"/>
      <c r="CT9" s="303"/>
      <c r="CU9" s="303"/>
      <c r="CV9" s="303"/>
      <c r="CW9" s="303"/>
      <c r="CX9" s="303"/>
      <c r="CY9" s="303"/>
      <c r="CZ9" s="303"/>
      <c r="DA9" s="303"/>
      <c r="DB9" s="303"/>
      <c r="DC9" s="303"/>
      <c r="DD9" s="303"/>
      <c r="DE9" s="303"/>
      <c r="DF9" s="303"/>
      <c r="DG9" s="303"/>
      <c r="DH9" s="303"/>
      <c r="DI9" s="303"/>
      <c r="DJ9" s="303"/>
      <c r="DK9" s="303"/>
      <c r="DL9" s="303"/>
      <c r="DM9" s="303"/>
      <c r="DN9" s="303"/>
      <c r="DO9" s="303"/>
      <c r="DP9" s="303"/>
      <c r="DQ9" s="303"/>
      <c r="DR9" s="303"/>
      <c r="DS9" s="303"/>
      <c r="DT9" s="303"/>
      <c r="DU9" s="303"/>
      <c r="DV9" s="303"/>
      <c r="DW9" s="303"/>
      <c r="DX9" s="303"/>
      <c r="DY9" s="303"/>
      <c r="DZ9" s="303"/>
      <c r="EA9" s="303"/>
      <c r="EB9" s="303"/>
      <c r="EC9" s="303"/>
      <c r="ED9" s="303"/>
      <c r="EE9" s="303"/>
      <c r="EF9" s="303"/>
      <c r="EG9" s="303"/>
      <c r="EH9" s="303"/>
      <c r="EI9" s="303"/>
      <c r="EJ9" s="303"/>
      <c r="EK9" s="303"/>
      <c r="EL9" s="303"/>
      <c r="EM9" s="303"/>
      <c r="EN9" s="303"/>
      <c r="EO9" s="303"/>
      <c r="EP9" s="303"/>
      <c r="EQ9" s="303"/>
      <c r="ER9" s="303"/>
      <c r="ES9" s="303"/>
      <c r="ET9" s="303"/>
      <c r="EU9" s="303"/>
      <c r="EV9" s="303"/>
      <c r="EW9" s="303"/>
      <c r="EX9" s="303"/>
      <c r="EY9" s="303"/>
      <c r="EZ9" s="303"/>
      <c r="FA9" s="303"/>
      <c r="FB9" s="303"/>
      <c r="FC9" s="303"/>
      <c r="FD9" s="303"/>
      <c r="FE9" s="303"/>
      <c r="FF9" s="303"/>
      <c r="FG9" s="303"/>
      <c r="FH9" s="303"/>
      <c r="FI9" s="303"/>
      <c r="FJ9" s="303"/>
      <c r="FK9" s="303"/>
      <c r="FL9" s="303"/>
      <c r="FM9" s="303"/>
      <c r="FN9" s="303"/>
      <c r="FO9" s="303"/>
      <c r="FP9" s="303"/>
      <c r="FQ9" s="303"/>
      <c r="FR9" s="303"/>
      <c r="FS9" s="303"/>
      <c r="FT9" s="303"/>
      <c r="FU9" s="303"/>
      <c r="FV9" s="303"/>
      <c r="FW9" s="303"/>
      <c r="FX9" s="303"/>
      <c r="FY9" s="303"/>
      <c r="FZ9" s="303"/>
      <c r="GA9" s="303"/>
      <c r="GB9" s="303"/>
      <c r="GC9" s="303"/>
      <c r="GD9" s="303"/>
      <c r="GE9" s="303"/>
      <c r="GF9" s="303"/>
      <c r="GG9" s="303"/>
      <c r="GH9" s="303"/>
      <c r="GI9" s="303"/>
      <c r="GJ9" s="303"/>
      <c r="GK9" s="303"/>
      <c r="GL9" s="303"/>
      <c r="GM9" s="303"/>
      <c r="GN9" s="303"/>
      <c r="GO9" s="303"/>
      <c r="GP9" s="303"/>
      <c r="GQ9" s="303"/>
      <c r="GR9" s="303"/>
      <c r="GS9" s="303"/>
      <c r="GT9" s="303"/>
      <c r="GU9" s="303"/>
      <c r="GV9" s="303"/>
      <c r="GW9" s="303"/>
      <c r="GX9" s="303"/>
      <c r="GY9" s="303"/>
      <c r="GZ9" s="303"/>
      <c r="HA9" s="303"/>
      <c r="HB9" s="303"/>
      <c r="HC9" s="303"/>
      <c r="HD9" s="303"/>
      <c r="HE9" s="303"/>
      <c r="HF9" s="303"/>
      <c r="HG9" s="303"/>
      <c r="HH9" s="303"/>
      <c r="HI9" s="303"/>
      <c r="HJ9" s="303"/>
      <c r="HK9" s="303"/>
      <c r="HL9" s="303"/>
      <c r="HM9" s="303"/>
      <c r="HN9" s="303"/>
      <c r="HO9" s="303"/>
      <c r="HP9" s="303"/>
      <c r="HQ9" s="303"/>
      <c r="HR9" s="303"/>
      <c r="HS9" s="303"/>
      <c r="HT9" s="303"/>
      <c r="HU9" s="303"/>
      <c r="HV9" s="303"/>
      <c r="HW9" s="303"/>
      <c r="HX9" s="303"/>
      <c r="HY9" s="303"/>
      <c r="HZ9" s="303"/>
      <c r="IA9" s="303"/>
      <c r="IB9" s="303"/>
      <c r="IC9" s="303"/>
      <c r="ID9" s="303"/>
      <c r="IE9" s="303"/>
      <c r="IF9" s="303"/>
      <c r="IG9" s="303"/>
      <c r="IH9" s="303"/>
      <c r="II9" s="303"/>
      <c r="IJ9" s="303"/>
      <c r="IK9" s="303"/>
      <c r="IL9" s="303"/>
      <c r="IM9" s="303"/>
      <c r="IN9" s="303"/>
      <c r="IO9" s="303"/>
      <c r="IP9" s="303"/>
      <c r="IQ9" s="303"/>
      <c r="IR9" s="303"/>
      <c r="IS9" s="303"/>
      <c r="IT9" s="303"/>
      <c r="IU9" s="303"/>
      <c r="IV9" s="303"/>
      <c r="IW9" s="303"/>
      <c r="IX9" s="303"/>
      <c r="IY9" s="303"/>
      <c r="IZ9" s="303"/>
      <c r="JA9" s="303"/>
      <c r="JB9" s="303"/>
      <c r="JC9" s="303"/>
      <c r="JD9" s="303"/>
      <c r="JE9" s="303"/>
      <c r="JF9" s="303"/>
      <c r="JG9" s="303"/>
      <c r="JH9" s="303"/>
      <c r="JI9" s="303"/>
      <c r="JJ9" s="303"/>
      <c r="JK9" s="303"/>
      <c r="JL9" s="303"/>
      <c r="JM9" s="303"/>
      <c r="JN9" s="303"/>
      <c r="JO9" s="303"/>
      <c r="JP9" s="303"/>
      <c r="JQ9" s="303"/>
      <c r="JR9" s="303"/>
      <c r="JS9" s="303"/>
      <c r="JT9" s="303"/>
      <c r="JU9" s="303"/>
      <c r="JV9" s="303"/>
      <c r="JW9" s="303"/>
      <c r="JX9" s="303"/>
      <c r="JY9" s="303"/>
      <c r="JZ9" s="303"/>
      <c r="KA9" s="303"/>
      <c r="KB9" s="303"/>
      <c r="KC9" s="303"/>
      <c r="KD9" s="303"/>
      <c r="KE9" s="303"/>
      <c r="KF9" s="303"/>
      <c r="KG9" s="303"/>
      <c r="KH9" s="303"/>
      <c r="KI9" s="303"/>
      <c r="KJ9" s="303"/>
      <c r="KK9" s="303"/>
      <c r="KL9" s="303"/>
      <c r="KM9" s="303"/>
      <c r="KN9" s="303"/>
      <c r="KO9" s="303"/>
      <c r="KP9" s="303"/>
      <c r="KQ9" s="303"/>
      <c r="KR9" s="303"/>
      <c r="KS9" s="303"/>
      <c r="KT9" s="303"/>
      <c r="KU9" s="303"/>
      <c r="KV9" s="303"/>
      <c r="KW9" s="303"/>
      <c r="KX9" s="303"/>
      <c r="KY9" s="303"/>
      <c r="KZ9" s="303"/>
      <c r="LA9" s="303"/>
      <c r="LB9" s="303"/>
      <c r="LC9" s="303"/>
      <c r="LD9" s="303"/>
      <c r="LE9" s="303"/>
      <c r="LF9" s="303"/>
      <c r="LG9" s="303"/>
      <c r="LH9" s="303"/>
      <c r="LI9" s="303"/>
      <c r="LJ9" s="303"/>
      <c r="LK9" s="303"/>
      <c r="LL9" s="303"/>
      <c r="LM9" s="303"/>
      <c r="LN9" s="303"/>
      <c r="LO9" s="303"/>
      <c r="LP9" s="303"/>
      <c r="LQ9" s="303"/>
      <c r="LR9" s="303"/>
      <c r="LS9" s="303"/>
      <c r="LT9" s="303"/>
      <c r="LU9" s="303"/>
      <c r="LV9" s="303"/>
      <c r="LW9" s="303"/>
      <c r="LX9" s="303"/>
      <c r="LY9" s="303"/>
      <c r="LZ9" s="303"/>
      <c r="MA9" s="303"/>
      <c r="MB9" s="303"/>
      <c r="MC9" s="303"/>
      <c r="MD9" s="303"/>
      <c r="ME9" s="303"/>
      <c r="MF9" s="303"/>
      <c r="MG9" s="303"/>
      <c r="MH9" s="303"/>
      <c r="MI9" s="303"/>
      <c r="MJ9" s="303"/>
      <c r="MK9" s="303"/>
      <c r="ML9" s="303"/>
      <c r="MM9" s="303"/>
      <c r="MN9" s="303"/>
      <c r="MO9" s="303"/>
      <c r="MP9" s="303"/>
      <c r="MQ9" s="303"/>
      <c r="MR9" s="303"/>
      <c r="MS9" s="303"/>
      <c r="MT9" s="303"/>
      <c r="MU9" s="303"/>
      <c r="MV9" s="303"/>
      <c r="MW9" s="303"/>
      <c r="MX9" s="303"/>
      <c r="MY9" s="303"/>
      <c r="MZ9" s="303"/>
      <c r="NA9" s="303"/>
      <c r="NB9" s="303"/>
      <c r="NC9" s="303"/>
      <c r="ND9" s="303"/>
      <c r="NE9" s="303"/>
      <c r="NF9" s="303"/>
      <c r="NG9" s="303"/>
      <c r="NH9" s="303"/>
      <c r="NI9" s="303"/>
      <c r="NJ9" s="303"/>
      <c r="NK9" s="303"/>
      <c r="NL9" s="303"/>
      <c r="NM9" s="303"/>
      <c r="NN9" s="303"/>
      <c r="NO9" s="303"/>
      <c r="NP9" s="303"/>
      <c r="NQ9" s="303"/>
      <c r="NR9" s="303"/>
      <c r="NS9" s="303"/>
      <c r="NT9" s="303"/>
      <c r="NU9" s="303"/>
      <c r="NV9" s="303"/>
      <c r="NW9" s="303"/>
      <c r="NX9" s="303"/>
      <c r="NY9" s="303"/>
      <c r="NZ9" s="303"/>
      <c r="OA9" s="303"/>
      <c r="OB9" s="303"/>
      <c r="OC9" s="303"/>
      <c r="OD9" s="303"/>
      <c r="OE9" s="303"/>
      <c r="OF9" s="303"/>
      <c r="OG9" s="303"/>
      <c r="OH9" s="303"/>
      <c r="OI9" s="303"/>
      <c r="OJ9" s="303"/>
      <c r="OK9" s="303"/>
      <c r="OL9" s="303"/>
      <c r="OM9" s="303"/>
      <c r="ON9" s="303"/>
      <c r="OO9" s="303"/>
      <c r="OP9" s="303"/>
      <c r="OQ9" s="303"/>
      <c r="OR9" s="303"/>
      <c r="OS9" s="303"/>
      <c r="OT9" s="303"/>
      <c r="OU9" s="303"/>
      <c r="OV9" s="303"/>
      <c r="OW9" s="303"/>
      <c r="OX9" s="303"/>
      <c r="OY9" s="303"/>
      <c r="OZ9" s="303"/>
      <c r="PA9" s="303"/>
      <c r="PB9" s="303"/>
      <c r="PC9" s="303"/>
      <c r="PD9" s="303"/>
      <c r="PE9" s="303"/>
      <c r="PF9" s="303"/>
      <c r="PG9" s="303"/>
      <c r="PH9" s="303"/>
      <c r="PI9" s="303"/>
      <c r="PJ9" s="303"/>
      <c r="PK9" s="303"/>
      <c r="PL9" s="303"/>
      <c r="PM9" s="303"/>
      <c r="PN9" s="303"/>
      <c r="PO9" s="303"/>
      <c r="PP9" s="303"/>
      <c r="PQ9" s="303"/>
      <c r="PR9" s="303"/>
      <c r="PS9" s="303"/>
      <c r="PT9" s="303"/>
      <c r="PU9" s="303"/>
      <c r="PV9" s="303"/>
      <c r="PW9" s="303"/>
      <c r="PX9" s="303"/>
      <c r="PY9" s="303"/>
      <c r="PZ9" s="303"/>
      <c r="QA9" s="303"/>
      <c r="QB9" s="303"/>
      <c r="QC9" s="303"/>
      <c r="QD9" s="303"/>
      <c r="QE9" s="303"/>
      <c r="QF9" s="303"/>
      <c r="QG9" s="303"/>
      <c r="QH9" s="303"/>
      <c r="QI9" s="303"/>
      <c r="QJ9" s="303"/>
      <c r="QK9" s="303"/>
      <c r="QL9" s="303"/>
      <c r="QM9" s="303"/>
      <c r="QN9" s="303"/>
      <c r="QO9" s="303"/>
      <c r="QP9" s="303"/>
      <c r="QQ9" s="303"/>
      <c r="QR9" s="303"/>
      <c r="QS9" s="303"/>
      <c r="QT9" s="303"/>
      <c r="QU9" s="303"/>
      <c r="QV9" s="303"/>
      <c r="QW9" s="303"/>
      <c r="QX9" s="303"/>
      <c r="QY9" s="303"/>
      <c r="QZ9" s="303"/>
      <c r="RA9" s="303"/>
      <c r="RB9" s="303"/>
      <c r="RC9" s="303"/>
      <c r="RD9" s="303"/>
      <c r="RE9" s="303"/>
      <c r="RF9" s="303"/>
      <c r="RG9" s="303"/>
      <c r="RH9" s="303"/>
      <c r="RI9" s="303"/>
      <c r="RJ9" s="303"/>
      <c r="RK9" s="303"/>
      <c r="RL9" s="303"/>
      <c r="RM9" s="303"/>
      <c r="RN9" s="303"/>
      <c r="RO9" s="303"/>
      <c r="RP9" s="303"/>
      <c r="RQ9" s="303"/>
      <c r="RR9" s="303"/>
      <c r="RS9" s="303"/>
      <c r="RT9" s="303"/>
      <c r="RU9" s="303"/>
      <c r="RV9" s="303"/>
      <c r="RW9" s="303"/>
      <c r="RX9" s="303"/>
      <c r="RY9" s="303"/>
      <c r="RZ9" s="303"/>
      <c r="SA9" s="303"/>
      <c r="SB9" s="303"/>
      <c r="SC9" s="303"/>
      <c r="SD9" s="303"/>
      <c r="SE9" s="303"/>
      <c r="SF9" s="303"/>
      <c r="SG9" s="303"/>
      <c r="SH9" s="303"/>
      <c r="SI9" s="303"/>
      <c r="SJ9" s="303"/>
      <c r="SK9" s="303"/>
      <c r="SL9" s="303"/>
      <c r="SM9" s="303"/>
      <c r="SN9" s="303"/>
      <c r="SO9" s="303"/>
      <c r="SP9" s="303"/>
      <c r="SQ9" s="303"/>
      <c r="SR9" s="303"/>
      <c r="SS9" s="303"/>
      <c r="ST9" s="303"/>
      <c r="SU9" s="303"/>
      <c r="SV9" s="303"/>
      <c r="SW9" s="303"/>
      <c r="SX9" s="303"/>
      <c r="SY9" s="303"/>
      <c r="SZ9" s="303"/>
      <c r="TA9" s="303"/>
      <c r="TB9" s="303"/>
      <c r="TC9" s="303"/>
      <c r="TD9" s="303"/>
      <c r="TE9" s="303"/>
      <c r="TF9" s="303"/>
      <c r="TG9" s="303"/>
      <c r="TH9" s="303"/>
      <c r="TI9" s="303"/>
      <c r="TJ9" s="303"/>
      <c r="TK9" s="303"/>
      <c r="TL9" s="303"/>
      <c r="TM9" s="303"/>
      <c r="TN9" s="303"/>
      <c r="TO9" s="303"/>
      <c r="TP9" s="303"/>
      <c r="TQ9" s="303"/>
      <c r="TR9" s="303"/>
      <c r="TS9" s="303"/>
      <c r="TT9" s="303"/>
      <c r="TU9" s="303"/>
      <c r="TV9" s="303"/>
      <c r="TW9" s="303"/>
      <c r="TX9" s="303"/>
      <c r="TY9" s="303"/>
      <c r="TZ9" s="303"/>
      <c r="UA9" s="303"/>
      <c r="UB9" s="303"/>
      <c r="UC9" s="303"/>
      <c r="UD9" s="303"/>
      <c r="UE9" s="303"/>
      <c r="UF9" s="303"/>
      <c r="UG9" s="303"/>
      <c r="UH9" s="303"/>
      <c r="UI9" s="303"/>
      <c r="UJ9" s="303"/>
      <c r="UK9" s="303"/>
      <c r="UL9" s="303"/>
      <c r="UM9" s="303"/>
      <c r="UN9" s="303"/>
      <c r="UO9" s="303"/>
      <c r="UP9" s="303"/>
      <c r="UQ9" s="303"/>
      <c r="UR9" s="303"/>
      <c r="US9" s="303"/>
      <c r="UT9" s="303"/>
      <c r="UU9" s="303"/>
      <c r="UV9" s="303"/>
      <c r="UW9" s="303"/>
      <c r="UX9" s="303"/>
      <c r="UY9" s="303"/>
      <c r="UZ9" s="303"/>
      <c r="VA9" s="303"/>
      <c r="VB9" s="303"/>
      <c r="VC9" s="303"/>
      <c r="VD9" s="303"/>
      <c r="VE9" s="303"/>
      <c r="VF9" s="303"/>
      <c r="VG9" s="303"/>
      <c r="VH9" s="303"/>
      <c r="VI9" s="303"/>
      <c r="VJ9" s="303"/>
      <c r="VK9" s="303"/>
      <c r="VL9" s="303"/>
      <c r="VM9" s="303"/>
      <c r="VN9" s="303"/>
      <c r="VO9" s="303"/>
      <c r="VP9" s="303"/>
      <c r="VQ9" s="303"/>
      <c r="VR9" s="303"/>
      <c r="VS9" s="303"/>
      <c r="VT9" s="303"/>
      <c r="VU9" s="303"/>
      <c r="VV9" s="303"/>
      <c r="VW9" s="303"/>
      <c r="VX9" s="303"/>
      <c r="VY9" s="303"/>
      <c r="VZ9" s="303"/>
      <c r="WA9" s="303"/>
      <c r="WB9" s="303"/>
      <c r="WC9" s="303"/>
      <c r="WD9" s="303"/>
      <c r="WE9" s="303"/>
      <c r="WF9" s="303"/>
      <c r="WG9" s="303"/>
      <c r="WH9" s="303"/>
      <c r="WI9" s="303"/>
      <c r="WJ9" s="303"/>
      <c r="WK9" s="303"/>
      <c r="WL9" s="303"/>
      <c r="WM9" s="303"/>
      <c r="WN9" s="303"/>
      <c r="WO9" s="303"/>
      <c r="WP9" s="303"/>
      <c r="WQ9" s="303"/>
      <c r="WR9" s="303"/>
      <c r="WS9" s="303"/>
      <c r="WT9" s="303"/>
      <c r="WU9" s="303"/>
      <c r="WV9" s="303"/>
      <c r="WW9" s="303"/>
      <c r="WX9" s="303"/>
      <c r="WY9" s="303"/>
      <c r="WZ9" s="303"/>
      <c r="XA9" s="303"/>
      <c r="XB9" s="303"/>
      <c r="XC9" s="303"/>
      <c r="XD9" s="303"/>
      <c r="XE9" s="303"/>
      <c r="XF9" s="303"/>
      <c r="XG9" s="303"/>
      <c r="XH9" s="303"/>
      <c r="XI9" s="303"/>
      <c r="XJ9" s="303"/>
      <c r="XK9" s="303"/>
      <c r="XL9" s="303"/>
      <c r="XM9" s="303"/>
      <c r="XN9" s="303"/>
      <c r="XO9" s="303"/>
      <c r="XP9" s="303"/>
      <c r="XQ9" s="303"/>
      <c r="XR9" s="303"/>
      <c r="XS9" s="303"/>
      <c r="XT9" s="303"/>
      <c r="XU9" s="303"/>
      <c r="XV9" s="303"/>
      <c r="XW9" s="303"/>
      <c r="XX9" s="303"/>
      <c r="XY9" s="303"/>
      <c r="XZ9" s="303"/>
      <c r="YA9" s="303"/>
      <c r="YB9" s="303"/>
      <c r="YC9" s="303"/>
      <c r="YD9" s="303"/>
      <c r="YE9" s="303"/>
      <c r="YF9" s="303"/>
      <c r="YG9" s="303"/>
      <c r="YH9" s="303"/>
      <c r="YI9" s="303"/>
      <c r="YJ9" s="303"/>
      <c r="YK9" s="303"/>
      <c r="YL9" s="303"/>
      <c r="YM9" s="303"/>
      <c r="YN9" s="303"/>
      <c r="YO9" s="303"/>
      <c r="YP9" s="303"/>
      <c r="YQ9" s="303"/>
      <c r="YR9" s="303"/>
      <c r="YS9" s="303"/>
      <c r="YT9" s="303"/>
      <c r="YU9" s="303"/>
      <c r="YV9" s="303"/>
      <c r="YW9" s="303"/>
      <c r="YX9" s="303"/>
      <c r="YY9" s="303"/>
      <c r="YZ9" s="303"/>
      <c r="ZA9" s="303"/>
      <c r="ZB9" s="303"/>
      <c r="ZC9" s="303"/>
      <c r="ZD9" s="303"/>
      <c r="ZE9" s="303"/>
      <c r="ZF9" s="303"/>
      <c r="ZG9" s="303"/>
      <c r="ZH9" s="303"/>
      <c r="ZI9" s="303"/>
      <c r="ZJ9" s="303"/>
      <c r="ZK9" s="303"/>
      <c r="ZL9" s="303"/>
      <c r="ZM9" s="303"/>
      <c r="ZN9" s="303"/>
      <c r="ZO9" s="303"/>
      <c r="ZP9" s="303"/>
      <c r="ZQ9" s="303"/>
      <c r="ZR9" s="303"/>
      <c r="ZS9" s="303"/>
      <c r="ZT9" s="303"/>
      <c r="ZU9" s="303"/>
      <c r="ZV9" s="303"/>
      <c r="ZW9" s="303"/>
      <c r="ZX9" s="303"/>
      <c r="ZY9" s="303"/>
      <c r="ZZ9" s="303"/>
      <c r="AAA9" s="303"/>
      <c r="AAB9" s="303"/>
      <c r="AAC9" s="303"/>
      <c r="AAD9" s="303"/>
      <c r="AAE9" s="303"/>
      <c r="AAF9" s="303"/>
      <c r="AAG9" s="303"/>
      <c r="AAH9" s="303"/>
      <c r="AAI9" s="303"/>
      <c r="AAJ9" s="303"/>
      <c r="AAK9" s="303"/>
      <c r="AAL9" s="303"/>
      <c r="AAM9" s="303"/>
      <c r="AAN9" s="303"/>
      <c r="AAO9" s="303"/>
      <c r="AAP9" s="303"/>
      <c r="AAQ9" s="303"/>
      <c r="AAR9" s="303"/>
      <c r="AAS9" s="303"/>
      <c r="AAT9" s="303"/>
      <c r="AAU9" s="303"/>
      <c r="AAV9" s="303"/>
      <c r="AAW9" s="303"/>
      <c r="AAX9" s="303"/>
      <c r="AAY9" s="303"/>
      <c r="AAZ9" s="303"/>
      <c r="ABA9" s="303"/>
      <c r="ABB9" s="303"/>
      <c r="ABC9" s="303"/>
      <c r="ABD9" s="303"/>
      <c r="ABE9" s="303"/>
      <c r="ABF9" s="303"/>
      <c r="ABG9" s="303"/>
      <c r="ABH9" s="303"/>
      <c r="ABI9" s="303"/>
      <c r="ABJ9" s="303"/>
      <c r="ABK9" s="303"/>
      <c r="ABL9" s="303"/>
      <c r="ABM9" s="303"/>
      <c r="ABN9" s="303"/>
      <c r="ABO9" s="303"/>
      <c r="ABP9" s="303"/>
      <c r="ABQ9" s="303"/>
      <c r="ABR9" s="303"/>
      <c r="ABS9" s="303"/>
      <c r="ABT9" s="303"/>
      <c r="ABU9" s="303"/>
      <c r="ABV9" s="303"/>
      <c r="ABW9" s="303"/>
      <c r="ABX9" s="303"/>
      <c r="ABY9" s="303"/>
      <c r="ABZ9" s="303"/>
      <c r="ACA9" s="303"/>
      <c r="ACB9" s="303"/>
      <c r="ACC9" s="303"/>
      <c r="ACD9" s="303"/>
      <c r="ACE9" s="303"/>
      <c r="ACF9" s="303"/>
      <c r="ACG9" s="303"/>
      <c r="ACH9" s="303"/>
      <c r="ACI9" s="303"/>
      <c r="ACJ9" s="303"/>
      <c r="ACK9" s="303"/>
      <c r="ACL9" s="303"/>
      <c r="ACM9" s="303"/>
      <c r="ACN9" s="303"/>
      <c r="ACO9" s="303"/>
      <c r="ACP9" s="303"/>
      <c r="ACQ9" s="303"/>
      <c r="ACR9" s="303"/>
      <c r="ACS9" s="303"/>
      <c r="ACT9" s="303"/>
      <c r="ACU9" s="303"/>
      <c r="ACV9" s="303"/>
      <c r="ACW9" s="303"/>
      <c r="ACX9" s="303"/>
      <c r="ACY9" s="303"/>
      <c r="ACZ9" s="303"/>
      <c r="ADA9" s="303"/>
      <c r="ADB9" s="303"/>
      <c r="ADC9" s="303"/>
      <c r="ADD9" s="303"/>
      <c r="ADE9" s="303"/>
      <c r="ADF9" s="303"/>
      <c r="ADG9" s="303"/>
      <c r="ADH9" s="303"/>
      <c r="ADI9" s="303"/>
      <c r="ADJ9" s="303"/>
      <c r="ADK9" s="303"/>
      <c r="ADL9" s="303"/>
      <c r="ADM9" s="303"/>
      <c r="ADN9" s="303"/>
      <c r="ADO9" s="303"/>
      <c r="ADP9" s="303"/>
      <c r="ADQ9" s="303"/>
      <c r="ADR9" s="303"/>
      <c r="ADS9" s="303"/>
      <c r="ADT9" s="303"/>
      <c r="ADU9" s="303"/>
      <c r="ADV9" s="303"/>
      <c r="ADW9" s="303"/>
      <c r="ADX9" s="303"/>
      <c r="ADY9" s="303"/>
      <c r="ADZ9" s="303"/>
      <c r="AEA9" s="303"/>
      <c r="AEB9" s="303"/>
      <c r="AEC9" s="303"/>
      <c r="AED9" s="303"/>
      <c r="AEE9" s="303"/>
      <c r="AEF9" s="303"/>
      <c r="AEG9" s="303"/>
      <c r="AEH9" s="303"/>
      <c r="AEI9" s="303"/>
      <c r="AEJ9" s="303"/>
      <c r="AEK9" s="303"/>
      <c r="AEL9" s="303"/>
      <c r="AEM9" s="303"/>
      <c r="AEN9" s="303"/>
      <c r="AEO9" s="303"/>
      <c r="AEP9" s="303"/>
      <c r="AEQ9" s="303"/>
      <c r="AER9" s="303"/>
      <c r="AES9" s="303"/>
      <c r="AET9" s="303"/>
      <c r="AEU9" s="303"/>
      <c r="AEV9" s="303"/>
      <c r="AEW9" s="303"/>
      <c r="AEX9" s="303"/>
      <c r="AEY9" s="303"/>
      <c r="AEZ9" s="303"/>
      <c r="AFA9" s="303"/>
      <c r="AFB9" s="303"/>
      <c r="AFC9" s="303"/>
      <c r="AFD9" s="303"/>
      <c r="AFE9" s="303"/>
      <c r="AFF9" s="303"/>
      <c r="AFG9" s="303"/>
      <c r="AFH9" s="303"/>
      <c r="AFI9" s="303"/>
      <c r="AFJ9" s="303"/>
      <c r="AFK9" s="303"/>
      <c r="AFL9" s="303"/>
      <c r="AFM9" s="303"/>
      <c r="AFN9" s="303"/>
      <c r="AFO9" s="303"/>
      <c r="AFP9" s="303"/>
      <c r="AFQ9" s="303"/>
      <c r="AFR9" s="303"/>
      <c r="AFS9" s="303"/>
      <c r="AFT9" s="303"/>
      <c r="AFU9" s="303"/>
      <c r="AFV9" s="303"/>
      <c r="AFW9" s="303"/>
      <c r="AFX9" s="303"/>
      <c r="AFY9" s="303"/>
      <c r="AFZ9" s="303"/>
      <c r="AGA9" s="303"/>
      <c r="AGB9" s="303"/>
      <c r="AGC9" s="303"/>
      <c r="AGD9" s="303"/>
      <c r="AGE9" s="303"/>
      <c r="AGF9" s="303"/>
      <c r="AGG9" s="303"/>
      <c r="AGH9" s="303"/>
      <c r="AGI9" s="303"/>
      <c r="AGJ9" s="303"/>
      <c r="AGK9" s="303"/>
      <c r="AGL9" s="303"/>
      <c r="AGM9" s="303"/>
      <c r="AGN9" s="303"/>
      <c r="AGO9" s="303"/>
      <c r="AGP9" s="303"/>
      <c r="AGQ9" s="303"/>
      <c r="AGR9" s="303"/>
      <c r="AGS9" s="303"/>
      <c r="AGT9" s="303"/>
      <c r="AGU9" s="303"/>
      <c r="AGV9" s="303"/>
      <c r="AGW9" s="303"/>
      <c r="AGX9" s="303"/>
      <c r="AGY9" s="303"/>
      <c r="AGZ9" s="303"/>
      <c r="AHA9" s="303"/>
      <c r="AHB9" s="303"/>
      <c r="AHC9" s="303"/>
      <c r="AHD9" s="303"/>
      <c r="AHE9" s="303"/>
      <c r="AHF9" s="303"/>
      <c r="AHG9" s="303"/>
      <c r="AHH9" s="303"/>
      <c r="AHI9" s="303"/>
      <c r="AHJ9" s="303"/>
      <c r="AHK9" s="303"/>
      <c r="AHL9" s="303"/>
      <c r="AHM9" s="303"/>
      <c r="AHN9" s="303"/>
      <c r="AHO9" s="303"/>
      <c r="AHP9" s="303"/>
      <c r="AHQ9" s="303"/>
      <c r="AHR9" s="303"/>
      <c r="AHS9" s="303"/>
      <c r="AHT9" s="303"/>
      <c r="AHU9" s="303"/>
      <c r="AHV9" s="303"/>
      <c r="AHW9" s="303"/>
      <c r="AHX9" s="303"/>
      <c r="AHY9" s="303"/>
      <c r="AHZ9" s="303"/>
      <c r="AIA9" s="303"/>
      <c r="AIB9" s="303"/>
      <c r="AIC9" s="303"/>
      <c r="AID9" s="303"/>
      <c r="AIE9" s="303"/>
      <c r="AIF9" s="303"/>
      <c r="AIG9" s="303"/>
      <c r="AIH9" s="303"/>
      <c r="AII9" s="303"/>
      <c r="AIJ9" s="303"/>
      <c r="AIK9" s="303"/>
      <c r="AIL9" s="303"/>
      <c r="AIM9" s="303"/>
      <c r="AIN9" s="303"/>
      <c r="AIO9" s="303"/>
      <c r="AIP9" s="303"/>
      <c r="AIQ9" s="303"/>
      <c r="AIR9" s="303"/>
      <c r="AIS9" s="303"/>
      <c r="AIT9" s="303"/>
      <c r="AIU9" s="303"/>
      <c r="AIV9" s="303"/>
      <c r="AIW9" s="303"/>
      <c r="AIX9" s="303"/>
      <c r="AIY9" s="303"/>
      <c r="AIZ9" s="303"/>
      <c r="AJA9" s="303"/>
      <c r="AJB9" s="303"/>
      <c r="AJC9" s="303"/>
      <c r="AJD9" s="303"/>
      <c r="AJE9" s="303"/>
      <c r="AJF9" s="303"/>
      <c r="AJG9" s="303"/>
      <c r="AJH9" s="303"/>
      <c r="AJI9" s="303"/>
      <c r="AJJ9" s="303"/>
      <c r="AJK9" s="303"/>
      <c r="AJL9" s="303"/>
      <c r="AJM9" s="303"/>
      <c r="AJN9" s="303"/>
      <c r="AJO9" s="303"/>
      <c r="AJP9" s="303"/>
      <c r="AJQ9" s="303"/>
      <c r="AJR9" s="303"/>
      <c r="AJS9" s="303"/>
      <c r="AJT9" s="303"/>
      <c r="AJU9" s="303"/>
      <c r="AJV9" s="303"/>
      <c r="AJW9" s="303"/>
      <c r="AJX9" s="303"/>
      <c r="AJY9" s="303"/>
      <c r="AJZ9" s="303"/>
      <c r="AKA9" s="303"/>
      <c r="AKB9" s="303"/>
      <c r="AKC9" s="303"/>
      <c r="AKD9" s="303"/>
      <c r="AKE9" s="303"/>
      <c r="AKF9" s="303"/>
      <c r="AKG9" s="303"/>
      <c r="AKH9" s="303"/>
      <c r="AKI9" s="303"/>
      <c r="AKJ9" s="303"/>
      <c r="AKK9" s="303"/>
      <c r="AKL9" s="303"/>
      <c r="AKM9" s="303"/>
      <c r="AKN9" s="303"/>
      <c r="AKO9" s="303"/>
      <c r="AKP9" s="303"/>
      <c r="AKQ9" s="303"/>
      <c r="AKR9" s="303"/>
      <c r="AKS9" s="303"/>
      <c r="AKT9" s="303"/>
      <c r="AKU9" s="303"/>
      <c r="AKV9" s="303"/>
      <c r="AKW9" s="303"/>
      <c r="AKX9" s="303"/>
      <c r="AKY9" s="303"/>
      <c r="AKZ9" s="303"/>
      <c r="ALA9" s="303"/>
      <c r="ALB9" s="303"/>
      <c r="ALC9" s="303"/>
      <c r="ALD9" s="303"/>
      <c r="ALE9" s="303"/>
      <c r="ALF9" s="303"/>
      <c r="ALG9" s="303"/>
      <c r="ALH9" s="303"/>
      <c r="ALI9" s="303"/>
      <c r="ALJ9" s="303"/>
      <c r="ALK9" s="303"/>
      <c r="ALL9" s="303"/>
      <c r="ALM9" s="303"/>
      <c r="ALN9" s="303"/>
      <c r="ALO9" s="303"/>
      <c r="ALP9" s="303"/>
      <c r="ALQ9" s="303"/>
      <c r="ALR9" s="303"/>
      <c r="ALS9" s="303"/>
      <c r="ALT9" s="303"/>
      <c r="ALU9" s="303"/>
      <c r="ALV9" s="303"/>
      <c r="ALW9" s="303"/>
      <c r="ALX9" s="303"/>
      <c r="ALY9" s="303"/>
      <c r="ALZ9" s="303"/>
      <c r="AMA9" s="303"/>
      <c r="AMB9" s="303"/>
      <c r="AMC9" s="303"/>
      <c r="AMD9" s="303"/>
      <c r="AME9" s="303"/>
      <c r="AMF9" s="303"/>
      <c r="AMG9" s="303"/>
      <c r="AMH9" s="303"/>
      <c r="AMI9" s="303"/>
      <c r="AMJ9" s="303"/>
      <c r="AMK9" s="303"/>
      <c r="AML9" s="303"/>
      <c r="AMM9" s="303"/>
      <c r="AMN9" s="303"/>
      <c r="AMO9" s="303"/>
      <c r="AMP9" s="303"/>
      <c r="AMQ9" s="303"/>
      <c r="AMR9" s="303"/>
      <c r="AMS9" s="303"/>
      <c r="AMT9" s="303"/>
      <c r="AMU9" s="303"/>
      <c r="AMV9" s="303"/>
      <c r="AMW9" s="303"/>
      <c r="AMX9" s="303"/>
      <c r="AMY9" s="303"/>
      <c r="AMZ9" s="303"/>
      <c r="ANA9" s="303"/>
      <c r="ANB9" s="303"/>
      <c r="ANC9" s="303"/>
      <c r="AND9" s="303"/>
      <c r="ANE9" s="303"/>
      <c r="ANF9" s="303"/>
      <c r="ANG9" s="303"/>
      <c r="ANH9" s="303"/>
      <c r="ANI9" s="303"/>
      <c r="ANJ9" s="303"/>
      <c r="ANK9" s="303"/>
      <c r="ANL9" s="303"/>
      <c r="ANM9" s="303"/>
      <c r="ANN9" s="303"/>
      <c r="ANO9" s="303"/>
      <c r="ANP9" s="303"/>
      <c r="ANQ9" s="303"/>
      <c r="ANR9" s="303"/>
      <c r="ANS9" s="303"/>
      <c r="ANT9" s="303"/>
      <c r="ANU9" s="303"/>
      <c r="ANV9" s="303"/>
      <c r="ANW9" s="303"/>
      <c r="ANX9" s="303"/>
      <c r="ANY9" s="303"/>
      <c r="ANZ9" s="303"/>
      <c r="AOA9" s="303"/>
      <c r="AOB9" s="303"/>
      <c r="AOC9" s="303"/>
      <c r="AOD9" s="303"/>
      <c r="AOE9" s="303"/>
      <c r="AOF9" s="303"/>
      <c r="AOG9" s="303"/>
      <c r="AOH9" s="303"/>
      <c r="AOI9" s="303"/>
      <c r="AOJ9" s="303"/>
      <c r="AOK9" s="303"/>
      <c r="AOL9" s="303"/>
      <c r="AOM9" s="303"/>
      <c r="AON9" s="303"/>
      <c r="AOO9" s="303"/>
      <c r="AOP9" s="303"/>
      <c r="AOQ9" s="303"/>
      <c r="AOR9" s="303"/>
      <c r="AOS9" s="303"/>
      <c r="AOT9" s="303"/>
      <c r="AOU9" s="303"/>
      <c r="AOV9" s="303"/>
      <c r="AOW9" s="303"/>
      <c r="AOX9" s="303"/>
      <c r="AOY9" s="303"/>
      <c r="AOZ9" s="303"/>
      <c r="APA9" s="303"/>
      <c r="APB9" s="303"/>
      <c r="APC9" s="303"/>
      <c r="APD9" s="303"/>
      <c r="APE9" s="303"/>
      <c r="APF9" s="303"/>
      <c r="APG9" s="303"/>
      <c r="APH9" s="303"/>
      <c r="API9" s="303"/>
      <c r="APJ9" s="303"/>
      <c r="APK9" s="303"/>
      <c r="APL9" s="303"/>
      <c r="APM9" s="303"/>
      <c r="APN9" s="303"/>
      <c r="APO9" s="303"/>
      <c r="APP9" s="303"/>
      <c r="APQ9" s="303"/>
      <c r="APR9" s="303"/>
      <c r="APS9" s="303"/>
      <c r="APT9" s="303"/>
      <c r="APU9" s="303"/>
      <c r="APV9" s="303"/>
      <c r="APW9" s="303"/>
      <c r="APX9" s="303"/>
      <c r="APY9" s="303"/>
      <c r="APZ9" s="303"/>
      <c r="AQA9" s="303"/>
      <c r="AQB9" s="303"/>
      <c r="AQC9" s="303"/>
      <c r="AQD9" s="303"/>
      <c r="AQE9" s="303"/>
      <c r="AQF9" s="303"/>
      <c r="AQG9" s="303"/>
      <c r="AQH9" s="303"/>
      <c r="AQI9" s="303"/>
      <c r="AQJ9" s="303"/>
      <c r="AQK9" s="303"/>
      <c r="AQL9" s="303"/>
      <c r="AQM9" s="303"/>
      <c r="AQN9" s="303"/>
      <c r="AQO9" s="303"/>
      <c r="AQP9" s="303"/>
      <c r="AQQ9" s="303"/>
      <c r="AQR9" s="303"/>
      <c r="AQS9" s="303"/>
      <c r="AQT9" s="303"/>
      <c r="AQU9" s="303"/>
      <c r="AQV9" s="303"/>
      <c r="AQW9" s="303"/>
      <c r="AQX9" s="303"/>
      <c r="AQY9" s="303"/>
      <c r="AQZ9" s="303"/>
      <c r="ARA9" s="303"/>
      <c r="ARB9" s="303"/>
      <c r="ARC9" s="303"/>
      <c r="ARD9" s="303"/>
      <c r="ARE9" s="303"/>
      <c r="ARF9" s="303"/>
      <c r="ARG9" s="303"/>
      <c r="ARH9" s="303"/>
      <c r="ARI9" s="303"/>
      <c r="ARJ9" s="303"/>
      <c r="ARK9" s="303"/>
      <c r="ARL9" s="303"/>
      <c r="ARM9" s="303"/>
      <c r="ARN9" s="303"/>
      <c r="ARO9" s="303"/>
      <c r="ARP9" s="303"/>
      <c r="ARQ9" s="303"/>
      <c r="ARR9" s="303"/>
      <c r="ARS9" s="303"/>
      <c r="ART9" s="303"/>
      <c r="ARU9" s="303"/>
      <c r="ARV9" s="303"/>
      <c r="ARW9" s="303"/>
      <c r="ARX9" s="303"/>
      <c r="ARY9" s="303"/>
      <c r="ARZ9" s="303"/>
      <c r="ASA9" s="303"/>
      <c r="ASB9" s="303"/>
      <c r="ASC9" s="303"/>
      <c r="ASD9" s="303"/>
      <c r="ASE9" s="303"/>
      <c r="ASF9" s="303"/>
      <c r="ASG9" s="303"/>
      <c r="ASH9" s="303"/>
      <c r="ASI9" s="303"/>
      <c r="ASJ9" s="303"/>
      <c r="ASK9" s="303"/>
      <c r="ASL9" s="303"/>
      <c r="ASM9" s="303"/>
      <c r="ASN9" s="303"/>
      <c r="ASO9" s="303"/>
      <c r="ASP9" s="303"/>
      <c r="ASQ9" s="303"/>
      <c r="ASR9" s="303"/>
      <c r="ASS9" s="303"/>
      <c r="AST9" s="303"/>
      <c r="ASU9" s="303"/>
      <c r="ASV9" s="303"/>
      <c r="ASW9" s="303"/>
      <c r="ASX9" s="303"/>
      <c r="ASY9" s="303"/>
      <c r="ASZ9" s="303"/>
      <c r="ATA9" s="303"/>
      <c r="ATB9" s="303"/>
      <c r="ATC9" s="303"/>
      <c r="ATD9" s="303"/>
      <c r="ATE9" s="303"/>
      <c r="ATF9" s="303"/>
      <c r="ATG9" s="303"/>
      <c r="ATH9" s="303"/>
      <c r="ATI9" s="303"/>
      <c r="ATJ9" s="303"/>
      <c r="ATK9" s="303"/>
      <c r="ATL9" s="303"/>
      <c r="ATM9" s="303"/>
      <c r="ATN9" s="303"/>
      <c r="ATO9" s="303"/>
      <c r="ATP9" s="303"/>
      <c r="ATQ9" s="303"/>
      <c r="ATR9" s="303"/>
      <c r="ATS9" s="303"/>
      <c r="ATT9" s="303"/>
      <c r="ATU9" s="303"/>
      <c r="ATV9" s="303"/>
      <c r="ATW9" s="303"/>
      <c r="ATX9" s="303"/>
      <c r="ATY9" s="303"/>
      <c r="ATZ9" s="303"/>
      <c r="AUA9" s="303"/>
      <c r="AUB9" s="303"/>
      <c r="AUC9" s="303"/>
      <c r="AUD9" s="303"/>
      <c r="AUE9" s="303"/>
      <c r="AUF9" s="303"/>
      <c r="AUG9" s="303"/>
      <c r="AUH9" s="303"/>
      <c r="AUI9" s="303"/>
      <c r="AUJ9" s="303"/>
      <c r="AUK9" s="303"/>
      <c r="AUL9" s="303"/>
      <c r="AUM9" s="303"/>
      <c r="AUN9" s="303"/>
      <c r="AUO9" s="303"/>
      <c r="AUP9" s="303"/>
      <c r="AUQ9" s="303"/>
      <c r="AUR9" s="303"/>
      <c r="AUS9" s="303"/>
      <c r="AUT9" s="303"/>
      <c r="AUU9" s="303"/>
      <c r="AUV9" s="303"/>
      <c r="AUW9" s="303"/>
      <c r="AUX9" s="303"/>
      <c r="AUY9" s="303"/>
      <c r="AUZ9" s="303"/>
      <c r="AVA9" s="303"/>
      <c r="AVB9" s="303"/>
      <c r="AVC9" s="303"/>
      <c r="AVD9" s="303"/>
      <c r="AVE9" s="303"/>
      <c r="AVF9" s="303"/>
      <c r="AVG9" s="303"/>
      <c r="AVH9" s="303"/>
      <c r="AVI9" s="303"/>
      <c r="AVJ9" s="303"/>
      <c r="AVK9" s="303"/>
      <c r="AVL9" s="303"/>
      <c r="AVM9" s="303"/>
      <c r="AVN9" s="303"/>
      <c r="AVO9" s="303"/>
      <c r="AVP9" s="303"/>
      <c r="AVQ9" s="303"/>
      <c r="AVR9" s="303"/>
      <c r="AVS9" s="303"/>
      <c r="AVT9" s="303"/>
      <c r="AVU9" s="303"/>
      <c r="AVV9" s="303"/>
      <c r="AVW9" s="303"/>
      <c r="AVX9" s="303"/>
      <c r="AVY9" s="303"/>
      <c r="AVZ9" s="303"/>
      <c r="AWA9" s="303"/>
      <c r="AWB9" s="303"/>
      <c r="AWC9" s="303"/>
      <c r="AWD9" s="303"/>
      <c r="AWE9" s="303"/>
      <c r="AWF9" s="303"/>
      <c r="AWG9" s="303"/>
      <c r="AWH9" s="303"/>
      <c r="AWI9" s="303"/>
      <c r="AWJ9" s="303"/>
      <c r="AWK9" s="303"/>
      <c r="AWL9" s="303"/>
      <c r="AWM9" s="303"/>
      <c r="AWN9" s="303"/>
      <c r="AWO9" s="303"/>
      <c r="AWP9" s="303"/>
      <c r="AWQ9" s="303"/>
      <c r="AWR9" s="303"/>
      <c r="AWS9" s="303"/>
      <c r="AWT9" s="303"/>
      <c r="AWU9" s="303"/>
      <c r="AWV9" s="303"/>
      <c r="AWW9" s="303"/>
      <c r="AWX9" s="303"/>
      <c r="AWY9" s="303"/>
      <c r="AWZ9" s="303"/>
      <c r="AXA9" s="303"/>
      <c r="AXB9" s="303"/>
      <c r="AXC9" s="303"/>
      <c r="AXD9" s="303"/>
      <c r="AXE9" s="303"/>
      <c r="AXF9" s="303"/>
      <c r="AXG9" s="303"/>
      <c r="AXH9" s="303"/>
      <c r="AXI9" s="303"/>
      <c r="AXJ9" s="303"/>
      <c r="AXK9" s="303"/>
      <c r="AXL9" s="303"/>
      <c r="AXM9" s="303"/>
      <c r="AXN9" s="303"/>
      <c r="AXO9" s="303"/>
      <c r="AXP9" s="303"/>
      <c r="AXQ9" s="303"/>
      <c r="AXR9" s="303"/>
      <c r="AXS9" s="303"/>
      <c r="AXT9" s="303"/>
      <c r="AXU9" s="303"/>
      <c r="AXV9" s="303"/>
      <c r="AXW9" s="303"/>
      <c r="AXX9" s="303"/>
      <c r="AXY9" s="303"/>
      <c r="AXZ9" s="303"/>
      <c r="AYA9" s="303"/>
      <c r="AYB9" s="303"/>
      <c r="AYC9" s="303"/>
      <c r="AYD9" s="303"/>
      <c r="AYE9" s="303"/>
      <c r="AYF9" s="303"/>
      <c r="AYG9" s="303"/>
      <c r="AYH9" s="303"/>
    </row>
    <row r="10" spans="1:1334" ht="48.75" x14ac:dyDescent="0.25">
      <c r="A10" s="304"/>
      <c r="B10" s="298" t="s">
        <v>1069</v>
      </c>
      <c r="C10" s="303"/>
      <c r="D10" s="303"/>
      <c r="E10" s="303"/>
      <c r="F10" s="303"/>
      <c r="G10" s="303"/>
      <c r="H10" s="303"/>
      <c r="I10" s="303"/>
      <c r="J10" s="303"/>
      <c r="K10" s="303"/>
      <c r="L10" s="303"/>
      <c r="M10" s="303"/>
      <c r="N10" s="303"/>
      <c r="O10" s="303"/>
      <c r="P10" s="303"/>
      <c r="Q10" s="303"/>
      <c r="R10" s="303"/>
      <c r="S10" s="303"/>
      <c r="T10" s="303"/>
      <c r="U10" s="303"/>
      <c r="V10" s="303"/>
      <c r="W10" s="303"/>
      <c r="X10" s="303"/>
      <c r="Y10" s="303"/>
      <c r="Z10" s="303"/>
      <c r="AA10" s="303"/>
      <c r="AB10" s="303"/>
      <c r="AC10" s="303"/>
      <c r="AD10" s="303"/>
      <c r="AE10" s="303"/>
      <c r="AF10" s="303"/>
      <c r="AG10" s="303"/>
      <c r="AH10" s="303"/>
      <c r="AI10" s="303"/>
      <c r="AJ10" s="303"/>
      <c r="AK10" s="303"/>
      <c r="AL10" s="303"/>
      <c r="AM10" s="303"/>
      <c r="AN10" s="303"/>
      <c r="AO10" s="303"/>
      <c r="AP10" s="303"/>
      <c r="AQ10" s="303"/>
      <c r="AR10" s="303"/>
      <c r="AS10" s="303"/>
      <c r="AT10" s="303"/>
      <c r="AU10" s="303"/>
      <c r="AV10" s="303"/>
      <c r="AW10" s="303"/>
      <c r="AX10" s="303"/>
      <c r="AY10" s="303"/>
      <c r="AZ10" s="303"/>
      <c r="BA10" s="303"/>
      <c r="BB10" s="303"/>
      <c r="BC10" s="303"/>
      <c r="BD10" s="303"/>
      <c r="BE10" s="303"/>
      <c r="BF10" s="303"/>
      <c r="BG10" s="303"/>
      <c r="BH10" s="303"/>
      <c r="BI10" s="303"/>
      <c r="BJ10" s="303"/>
      <c r="BK10" s="303"/>
      <c r="BL10" s="303"/>
      <c r="BM10" s="303"/>
      <c r="BN10" s="303"/>
      <c r="BO10" s="303"/>
      <c r="BP10" s="303"/>
      <c r="BQ10" s="303"/>
      <c r="BR10" s="303"/>
      <c r="BS10" s="303"/>
      <c r="BT10" s="303"/>
      <c r="BU10" s="303"/>
      <c r="BV10" s="303"/>
      <c r="BW10" s="303"/>
      <c r="BX10" s="303"/>
      <c r="BY10" s="303"/>
      <c r="BZ10" s="303"/>
      <c r="CA10" s="303"/>
      <c r="CB10" s="303"/>
      <c r="CC10" s="303"/>
      <c r="CD10" s="303"/>
      <c r="CE10" s="303"/>
      <c r="CF10" s="303"/>
      <c r="CG10" s="303"/>
      <c r="CH10" s="303"/>
      <c r="CI10" s="303"/>
      <c r="CJ10" s="303"/>
      <c r="CK10" s="303"/>
      <c r="CL10" s="303"/>
      <c r="CM10" s="303"/>
      <c r="CN10" s="303"/>
      <c r="CO10" s="303"/>
      <c r="CP10" s="303"/>
      <c r="CQ10" s="303"/>
      <c r="CR10" s="303"/>
      <c r="CS10" s="303"/>
      <c r="CT10" s="303"/>
      <c r="CU10" s="303"/>
      <c r="CV10" s="303"/>
      <c r="CW10" s="303"/>
      <c r="CX10" s="303"/>
      <c r="CY10" s="303"/>
      <c r="CZ10" s="303"/>
      <c r="DA10" s="303"/>
      <c r="DB10" s="303"/>
      <c r="DC10" s="303"/>
      <c r="DD10" s="303"/>
      <c r="DE10" s="303"/>
      <c r="DF10" s="303"/>
      <c r="DG10" s="303"/>
      <c r="DH10" s="303"/>
      <c r="DI10" s="303"/>
      <c r="DJ10" s="303"/>
      <c r="DK10" s="303"/>
      <c r="DL10" s="303"/>
      <c r="DM10" s="303"/>
      <c r="DN10" s="303"/>
      <c r="DO10" s="303"/>
      <c r="DP10" s="303"/>
      <c r="DQ10" s="303"/>
      <c r="DR10" s="303"/>
      <c r="DS10" s="303"/>
      <c r="DT10" s="303"/>
      <c r="DU10" s="303"/>
      <c r="DV10" s="303"/>
      <c r="DW10" s="303"/>
      <c r="DX10" s="303"/>
      <c r="DY10" s="303"/>
      <c r="DZ10" s="303"/>
      <c r="EA10" s="303"/>
      <c r="EB10" s="303"/>
      <c r="EC10" s="303"/>
      <c r="ED10" s="303"/>
      <c r="EE10" s="303"/>
      <c r="EF10" s="303"/>
      <c r="EG10" s="303"/>
      <c r="EH10" s="303"/>
      <c r="EI10" s="303"/>
      <c r="EJ10" s="303"/>
      <c r="EK10" s="303"/>
      <c r="EL10" s="303"/>
      <c r="EM10" s="303"/>
      <c r="EN10" s="303"/>
      <c r="EO10" s="303"/>
      <c r="EP10" s="303"/>
      <c r="EQ10" s="303"/>
      <c r="ER10" s="303"/>
      <c r="ES10" s="303"/>
      <c r="ET10" s="303"/>
      <c r="EU10" s="303"/>
      <c r="EV10" s="303"/>
      <c r="EW10" s="303"/>
      <c r="EX10" s="303"/>
      <c r="EY10" s="303"/>
      <c r="EZ10" s="303"/>
      <c r="FA10" s="303"/>
      <c r="FB10" s="303"/>
      <c r="FC10" s="303"/>
      <c r="FD10" s="303"/>
      <c r="FE10" s="303"/>
      <c r="FF10" s="303"/>
      <c r="FG10" s="303"/>
      <c r="FH10" s="303"/>
      <c r="FI10" s="303"/>
      <c r="FJ10" s="303"/>
      <c r="FK10" s="303"/>
      <c r="FL10" s="303"/>
      <c r="FM10" s="303"/>
      <c r="FN10" s="303"/>
      <c r="FO10" s="303"/>
      <c r="FP10" s="303"/>
      <c r="FQ10" s="303"/>
      <c r="FR10" s="303"/>
      <c r="FS10" s="303"/>
      <c r="FT10" s="303"/>
      <c r="FU10" s="303"/>
      <c r="FV10" s="303"/>
      <c r="FW10" s="303"/>
      <c r="FX10" s="303"/>
      <c r="FY10" s="303"/>
      <c r="FZ10" s="303"/>
      <c r="GA10" s="303"/>
      <c r="GB10" s="303"/>
      <c r="GC10" s="303"/>
      <c r="GD10" s="303"/>
      <c r="GE10" s="303"/>
      <c r="GF10" s="303"/>
      <c r="GG10" s="303"/>
      <c r="GH10" s="303"/>
      <c r="GI10" s="303"/>
      <c r="GJ10" s="303"/>
      <c r="GK10" s="303"/>
      <c r="GL10" s="303"/>
      <c r="GM10" s="303"/>
      <c r="GN10" s="303"/>
      <c r="GO10" s="303"/>
      <c r="GP10" s="303"/>
      <c r="GQ10" s="303"/>
      <c r="GR10" s="303"/>
      <c r="GS10" s="303"/>
      <c r="GT10" s="303"/>
      <c r="GU10" s="303"/>
      <c r="GV10" s="303"/>
      <c r="GW10" s="303"/>
      <c r="GX10" s="303"/>
      <c r="GY10" s="303"/>
      <c r="GZ10" s="303"/>
      <c r="HA10" s="303"/>
      <c r="HB10" s="303"/>
      <c r="HC10" s="303"/>
      <c r="HD10" s="303"/>
      <c r="HE10" s="303"/>
      <c r="HF10" s="303"/>
      <c r="HG10" s="303"/>
      <c r="HH10" s="303"/>
      <c r="HI10" s="303"/>
      <c r="HJ10" s="303"/>
      <c r="HK10" s="303"/>
      <c r="HL10" s="303"/>
      <c r="HM10" s="303"/>
      <c r="HN10" s="303"/>
      <c r="HO10" s="303"/>
      <c r="HP10" s="303"/>
      <c r="HQ10" s="303"/>
      <c r="HR10" s="303"/>
      <c r="HS10" s="303"/>
      <c r="HT10" s="303"/>
      <c r="HU10" s="303"/>
      <c r="HV10" s="303"/>
      <c r="HW10" s="303"/>
      <c r="HX10" s="303"/>
      <c r="HY10" s="303"/>
      <c r="HZ10" s="303"/>
      <c r="IA10" s="303"/>
      <c r="IB10" s="303"/>
      <c r="IC10" s="303"/>
      <c r="ID10" s="303"/>
      <c r="IE10" s="303"/>
      <c r="IF10" s="303"/>
      <c r="IG10" s="303"/>
      <c r="IH10" s="303"/>
      <c r="II10" s="303"/>
      <c r="IJ10" s="303"/>
      <c r="IK10" s="303"/>
      <c r="IL10" s="303"/>
      <c r="IM10" s="303"/>
      <c r="IN10" s="303"/>
      <c r="IO10" s="303"/>
      <c r="IP10" s="303"/>
      <c r="IQ10" s="303"/>
      <c r="IR10" s="303"/>
      <c r="IS10" s="303"/>
      <c r="IT10" s="303"/>
      <c r="IU10" s="303"/>
      <c r="IV10" s="303"/>
      <c r="IW10" s="303"/>
      <c r="IX10" s="303"/>
      <c r="IY10" s="303"/>
      <c r="IZ10" s="303"/>
      <c r="JA10" s="303"/>
      <c r="JB10" s="303"/>
      <c r="JC10" s="303"/>
      <c r="JD10" s="303"/>
      <c r="JE10" s="303"/>
      <c r="JF10" s="303"/>
      <c r="JG10" s="303"/>
      <c r="JH10" s="303"/>
      <c r="JI10" s="303"/>
      <c r="JJ10" s="303"/>
      <c r="JK10" s="303"/>
      <c r="JL10" s="303"/>
      <c r="JM10" s="303"/>
      <c r="JN10" s="303"/>
      <c r="JO10" s="303"/>
      <c r="JP10" s="303"/>
      <c r="JQ10" s="303"/>
      <c r="JR10" s="303"/>
      <c r="JS10" s="303"/>
      <c r="JT10" s="303"/>
      <c r="JU10" s="303"/>
      <c r="JV10" s="303"/>
      <c r="JW10" s="303"/>
      <c r="JX10" s="303"/>
      <c r="JY10" s="303"/>
      <c r="JZ10" s="303"/>
      <c r="KA10" s="303"/>
      <c r="KB10" s="303"/>
      <c r="KC10" s="303"/>
      <c r="KD10" s="303"/>
      <c r="KE10" s="303"/>
      <c r="KF10" s="303"/>
      <c r="KG10" s="303"/>
      <c r="KH10" s="303"/>
      <c r="KI10" s="303"/>
      <c r="KJ10" s="303"/>
      <c r="KK10" s="303"/>
      <c r="KL10" s="303"/>
      <c r="KM10" s="303"/>
      <c r="KN10" s="303"/>
      <c r="KO10" s="303"/>
      <c r="KP10" s="303"/>
      <c r="KQ10" s="303"/>
      <c r="KR10" s="303"/>
      <c r="KS10" s="303"/>
      <c r="KT10" s="303"/>
      <c r="KU10" s="303"/>
      <c r="KV10" s="303"/>
      <c r="KW10" s="303"/>
      <c r="KX10" s="303"/>
      <c r="KY10" s="303"/>
      <c r="KZ10" s="303"/>
      <c r="LA10" s="303"/>
      <c r="LB10" s="303"/>
      <c r="LC10" s="303"/>
      <c r="LD10" s="303"/>
      <c r="LE10" s="303"/>
      <c r="LF10" s="303"/>
      <c r="LG10" s="303"/>
      <c r="LH10" s="303"/>
      <c r="LI10" s="303"/>
      <c r="LJ10" s="303"/>
      <c r="LK10" s="303"/>
      <c r="LL10" s="303"/>
      <c r="LM10" s="303"/>
      <c r="LN10" s="303"/>
      <c r="LO10" s="303"/>
      <c r="LP10" s="303"/>
      <c r="LQ10" s="303"/>
      <c r="LR10" s="303"/>
      <c r="LS10" s="303"/>
      <c r="LT10" s="303"/>
      <c r="LU10" s="303"/>
      <c r="LV10" s="303"/>
      <c r="LW10" s="303"/>
      <c r="LX10" s="303"/>
      <c r="LY10" s="303"/>
      <c r="LZ10" s="303"/>
      <c r="MA10" s="303"/>
      <c r="MB10" s="303"/>
      <c r="MC10" s="303"/>
      <c r="MD10" s="303"/>
      <c r="ME10" s="303"/>
      <c r="MF10" s="303"/>
      <c r="MG10" s="303"/>
      <c r="MH10" s="303"/>
      <c r="MI10" s="303"/>
      <c r="MJ10" s="303"/>
      <c r="MK10" s="303"/>
      <c r="ML10" s="303"/>
      <c r="MM10" s="303"/>
      <c r="MN10" s="303"/>
      <c r="MO10" s="303"/>
      <c r="MP10" s="303"/>
      <c r="MQ10" s="303"/>
      <c r="MR10" s="303"/>
      <c r="MS10" s="303"/>
      <c r="MT10" s="303"/>
      <c r="MU10" s="303"/>
      <c r="MV10" s="303"/>
      <c r="MW10" s="303"/>
      <c r="MX10" s="303"/>
      <c r="MY10" s="303"/>
      <c r="MZ10" s="303"/>
      <c r="NA10" s="303"/>
      <c r="NB10" s="303"/>
      <c r="NC10" s="303"/>
      <c r="ND10" s="303"/>
      <c r="NE10" s="303"/>
      <c r="NF10" s="303"/>
      <c r="NG10" s="303"/>
      <c r="NH10" s="303"/>
      <c r="NI10" s="303"/>
      <c r="NJ10" s="303"/>
      <c r="NK10" s="303"/>
      <c r="NL10" s="303"/>
      <c r="NM10" s="303"/>
      <c r="NN10" s="303"/>
      <c r="NO10" s="303"/>
      <c r="NP10" s="303"/>
      <c r="NQ10" s="303"/>
      <c r="NR10" s="303"/>
      <c r="NS10" s="303"/>
      <c r="NT10" s="303"/>
      <c r="NU10" s="303"/>
      <c r="NV10" s="303"/>
      <c r="NW10" s="303"/>
      <c r="NX10" s="303"/>
      <c r="NY10" s="303"/>
      <c r="NZ10" s="303"/>
      <c r="OA10" s="303"/>
      <c r="OB10" s="303"/>
      <c r="OC10" s="303"/>
      <c r="OD10" s="303"/>
      <c r="OE10" s="303"/>
      <c r="OF10" s="303"/>
      <c r="OG10" s="303"/>
      <c r="OH10" s="303"/>
      <c r="OI10" s="303"/>
      <c r="OJ10" s="303"/>
      <c r="OK10" s="303"/>
      <c r="OL10" s="303"/>
      <c r="OM10" s="303"/>
      <c r="ON10" s="303"/>
      <c r="OO10" s="303"/>
      <c r="OP10" s="303"/>
      <c r="OQ10" s="303"/>
      <c r="OR10" s="303"/>
      <c r="OS10" s="303"/>
      <c r="OT10" s="303"/>
      <c r="OU10" s="303"/>
      <c r="OV10" s="303"/>
      <c r="OW10" s="303"/>
      <c r="OX10" s="303"/>
      <c r="OY10" s="303"/>
      <c r="OZ10" s="303"/>
      <c r="PA10" s="303"/>
      <c r="PB10" s="303"/>
      <c r="PC10" s="303"/>
      <c r="PD10" s="303"/>
      <c r="PE10" s="303"/>
      <c r="PF10" s="303"/>
      <c r="PG10" s="303"/>
      <c r="PH10" s="303"/>
      <c r="PI10" s="303"/>
      <c r="PJ10" s="303"/>
      <c r="PK10" s="303"/>
      <c r="PL10" s="303"/>
      <c r="PM10" s="303"/>
      <c r="PN10" s="303"/>
      <c r="PO10" s="303"/>
      <c r="PP10" s="303"/>
      <c r="PQ10" s="303"/>
      <c r="PR10" s="303"/>
      <c r="PS10" s="303"/>
      <c r="PT10" s="303"/>
      <c r="PU10" s="303"/>
      <c r="PV10" s="303"/>
      <c r="PW10" s="303"/>
      <c r="PX10" s="303"/>
      <c r="PY10" s="303"/>
      <c r="PZ10" s="303"/>
      <c r="QA10" s="303"/>
      <c r="QB10" s="303"/>
      <c r="QC10" s="303"/>
      <c r="QD10" s="303"/>
      <c r="QE10" s="303"/>
      <c r="QF10" s="303"/>
      <c r="QG10" s="303"/>
      <c r="QH10" s="303"/>
      <c r="QI10" s="303"/>
      <c r="QJ10" s="303"/>
      <c r="QK10" s="303"/>
      <c r="QL10" s="303"/>
      <c r="QM10" s="303"/>
      <c r="QN10" s="303"/>
      <c r="QO10" s="303"/>
      <c r="QP10" s="303"/>
      <c r="QQ10" s="303"/>
      <c r="QR10" s="303"/>
      <c r="QS10" s="303"/>
      <c r="QT10" s="303"/>
      <c r="QU10" s="303"/>
      <c r="QV10" s="303"/>
      <c r="QW10" s="303"/>
      <c r="QX10" s="303"/>
      <c r="QY10" s="303"/>
      <c r="QZ10" s="303"/>
      <c r="RA10" s="303"/>
      <c r="RB10" s="303"/>
      <c r="RC10" s="303"/>
      <c r="RD10" s="303"/>
      <c r="RE10" s="303"/>
      <c r="RF10" s="303"/>
      <c r="RG10" s="303"/>
      <c r="RH10" s="303"/>
      <c r="RI10" s="303"/>
      <c r="RJ10" s="303"/>
      <c r="RK10" s="303"/>
      <c r="RL10" s="303"/>
      <c r="RM10" s="303"/>
      <c r="RN10" s="303"/>
      <c r="RO10" s="303"/>
      <c r="RP10" s="303"/>
      <c r="RQ10" s="303"/>
      <c r="RR10" s="303"/>
      <c r="RS10" s="303"/>
      <c r="RT10" s="303"/>
      <c r="RU10" s="303"/>
      <c r="RV10" s="303"/>
      <c r="RW10" s="303"/>
      <c r="RX10" s="303"/>
      <c r="RY10" s="303"/>
      <c r="RZ10" s="303"/>
      <c r="SA10" s="303"/>
      <c r="SB10" s="303"/>
      <c r="SC10" s="303"/>
      <c r="SD10" s="303"/>
      <c r="SE10" s="303"/>
      <c r="SF10" s="303"/>
      <c r="SG10" s="303"/>
      <c r="SH10" s="303"/>
      <c r="SI10" s="303"/>
      <c r="SJ10" s="303"/>
      <c r="SK10" s="303"/>
      <c r="SL10" s="303"/>
      <c r="SM10" s="303"/>
      <c r="SN10" s="303"/>
      <c r="SO10" s="303"/>
      <c r="SP10" s="303"/>
      <c r="SQ10" s="303"/>
      <c r="SR10" s="303"/>
      <c r="SS10" s="303"/>
      <c r="ST10" s="303"/>
      <c r="SU10" s="303"/>
      <c r="SV10" s="303"/>
      <c r="SW10" s="303"/>
      <c r="SX10" s="303"/>
      <c r="SY10" s="303"/>
      <c r="SZ10" s="303"/>
      <c r="TA10" s="303"/>
      <c r="TB10" s="303"/>
      <c r="TC10" s="303"/>
      <c r="TD10" s="303"/>
      <c r="TE10" s="303"/>
      <c r="TF10" s="303"/>
      <c r="TG10" s="303"/>
      <c r="TH10" s="303"/>
      <c r="TI10" s="303"/>
      <c r="TJ10" s="303"/>
      <c r="TK10" s="303"/>
      <c r="TL10" s="303"/>
      <c r="TM10" s="303"/>
      <c r="TN10" s="303"/>
      <c r="TO10" s="303"/>
      <c r="TP10" s="303"/>
      <c r="TQ10" s="303"/>
      <c r="TR10" s="303"/>
      <c r="TS10" s="303"/>
      <c r="TT10" s="303"/>
      <c r="TU10" s="303"/>
      <c r="TV10" s="303"/>
      <c r="TW10" s="303"/>
      <c r="TX10" s="303"/>
      <c r="TY10" s="303"/>
      <c r="TZ10" s="303"/>
      <c r="UA10" s="303"/>
      <c r="UB10" s="303"/>
      <c r="UC10" s="303"/>
      <c r="UD10" s="303"/>
      <c r="UE10" s="303"/>
      <c r="UF10" s="303"/>
      <c r="UG10" s="303"/>
      <c r="UH10" s="303"/>
      <c r="UI10" s="303"/>
      <c r="UJ10" s="303"/>
      <c r="UK10" s="303"/>
      <c r="UL10" s="303"/>
      <c r="UM10" s="303"/>
      <c r="UN10" s="303"/>
      <c r="UO10" s="303"/>
      <c r="UP10" s="303"/>
      <c r="UQ10" s="303"/>
      <c r="UR10" s="303"/>
      <c r="US10" s="303"/>
      <c r="UT10" s="303"/>
      <c r="UU10" s="303"/>
      <c r="UV10" s="303"/>
      <c r="UW10" s="303"/>
      <c r="UX10" s="303"/>
      <c r="UY10" s="303"/>
      <c r="UZ10" s="303"/>
      <c r="VA10" s="303"/>
      <c r="VB10" s="303"/>
      <c r="VC10" s="303"/>
      <c r="VD10" s="303"/>
      <c r="VE10" s="303"/>
      <c r="VF10" s="303"/>
      <c r="VG10" s="303"/>
      <c r="VH10" s="303"/>
      <c r="VI10" s="303"/>
      <c r="VJ10" s="303"/>
      <c r="VK10" s="303"/>
      <c r="VL10" s="303"/>
      <c r="VM10" s="303"/>
      <c r="VN10" s="303"/>
      <c r="VO10" s="303"/>
      <c r="VP10" s="303"/>
      <c r="VQ10" s="303"/>
      <c r="VR10" s="303"/>
      <c r="VS10" s="303"/>
      <c r="VT10" s="303"/>
      <c r="VU10" s="303"/>
      <c r="VV10" s="303"/>
      <c r="VW10" s="303"/>
      <c r="VX10" s="303"/>
      <c r="VY10" s="303"/>
      <c r="VZ10" s="303"/>
      <c r="WA10" s="303"/>
      <c r="WB10" s="303"/>
      <c r="WC10" s="303"/>
      <c r="WD10" s="303"/>
      <c r="WE10" s="303"/>
      <c r="WF10" s="303"/>
      <c r="WG10" s="303"/>
      <c r="WH10" s="303"/>
      <c r="WI10" s="303"/>
      <c r="WJ10" s="303"/>
      <c r="WK10" s="303"/>
      <c r="WL10" s="303"/>
      <c r="WM10" s="303"/>
      <c r="WN10" s="303"/>
      <c r="WO10" s="303"/>
      <c r="WP10" s="303"/>
      <c r="WQ10" s="303"/>
      <c r="WR10" s="303"/>
      <c r="WS10" s="303"/>
      <c r="WT10" s="303"/>
      <c r="WU10" s="303"/>
      <c r="WV10" s="303"/>
      <c r="WW10" s="303"/>
      <c r="WX10" s="303"/>
      <c r="WY10" s="303"/>
      <c r="WZ10" s="303"/>
      <c r="XA10" s="303"/>
      <c r="XB10" s="303"/>
      <c r="XC10" s="303"/>
      <c r="XD10" s="303"/>
      <c r="XE10" s="303"/>
      <c r="XF10" s="303"/>
      <c r="XG10" s="303"/>
      <c r="XH10" s="303"/>
      <c r="XI10" s="303"/>
      <c r="XJ10" s="303"/>
      <c r="XK10" s="303"/>
      <c r="XL10" s="303"/>
      <c r="XM10" s="303"/>
      <c r="XN10" s="303"/>
      <c r="XO10" s="303"/>
      <c r="XP10" s="303"/>
      <c r="XQ10" s="303"/>
      <c r="XR10" s="303"/>
      <c r="XS10" s="303"/>
      <c r="XT10" s="303"/>
      <c r="XU10" s="303"/>
      <c r="XV10" s="303"/>
      <c r="XW10" s="303"/>
      <c r="XX10" s="303"/>
      <c r="XY10" s="303"/>
      <c r="XZ10" s="303"/>
      <c r="YA10" s="303"/>
      <c r="YB10" s="303"/>
      <c r="YC10" s="303"/>
      <c r="YD10" s="303"/>
      <c r="YE10" s="303"/>
      <c r="YF10" s="303"/>
      <c r="YG10" s="303"/>
      <c r="YH10" s="303"/>
      <c r="YI10" s="303"/>
      <c r="YJ10" s="303"/>
      <c r="YK10" s="303"/>
      <c r="YL10" s="303"/>
      <c r="YM10" s="303"/>
      <c r="YN10" s="303"/>
      <c r="YO10" s="303"/>
      <c r="YP10" s="303"/>
      <c r="YQ10" s="303"/>
      <c r="YR10" s="303"/>
      <c r="YS10" s="303"/>
      <c r="YT10" s="303"/>
      <c r="YU10" s="303"/>
      <c r="YV10" s="303"/>
      <c r="YW10" s="303"/>
      <c r="YX10" s="303"/>
      <c r="YY10" s="303"/>
      <c r="YZ10" s="303"/>
      <c r="ZA10" s="303"/>
      <c r="ZB10" s="303"/>
      <c r="ZC10" s="303"/>
      <c r="ZD10" s="303"/>
      <c r="ZE10" s="303"/>
      <c r="ZF10" s="303"/>
      <c r="ZG10" s="303"/>
      <c r="ZH10" s="303"/>
      <c r="ZI10" s="303"/>
      <c r="ZJ10" s="303"/>
      <c r="ZK10" s="303"/>
      <c r="ZL10" s="303"/>
      <c r="ZM10" s="303"/>
      <c r="ZN10" s="303"/>
      <c r="ZO10" s="303"/>
      <c r="ZP10" s="303"/>
      <c r="ZQ10" s="303"/>
      <c r="ZR10" s="303"/>
      <c r="ZS10" s="303"/>
      <c r="ZT10" s="303"/>
      <c r="ZU10" s="303"/>
      <c r="ZV10" s="303"/>
      <c r="ZW10" s="303"/>
      <c r="ZX10" s="303"/>
      <c r="ZY10" s="303"/>
      <c r="ZZ10" s="303"/>
      <c r="AAA10" s="303"/>
      <c r="AAB10" s="303"/>
      <c r="AAC10" s="303"/>
      <c r="AAD10" s="303"/>
      <c r="AAE10" s="303"/>
      <c r="AAF10" s="303"/>
      <c r="AAG10" s="303"/>
      <c r="AAH10" s="303"/>
      <c r="AAI10" s="303"/>
      <c r="AAJ10" s="303"/>
      <c r="AAK10" s="303"/>
      <c r="AAL10" s="303"/>
      <c r="AAM10" s="303"/>
      <c r="AAN10" s="303"/>
      <c r="AAO10" s="303"/>
      <c r="AAP10" s="303"/>
      <c r="AAQ10" s="303"/>
      <c r="AAR10" s="303"/>
      <c r="AAS10" s="303"/>
      <c r="AAT10" s="303"/>
      <c r="AAU10" s="303"/>
      <c r="AAV10" s="303"/>
      <c r="AAW10" s="303"/>
      <c r="AAX10" s="303"/>
      <c r="AAY10" s="303"/>
      <c r="AAZ10" s="303"/>
      <c r="ABA10" s="303"/>
      <c r="ABB10" s="303"/>
      <c r="ABC10" s="303"/>
      <c r="ABD10" s="303"/>
      <c r="ABE10" s="303"/>
      <c r="ABF10" s="303"/>
      <c r="ABG10" s="303"/>
      <c r="ABH10" s="303"/>
      <c r="ABI10" s="303"/>
      <c r="ABJ10" s="303"/>
      <c r="ABK10" s="303"/>
      <c r="ABL10" s="303"/>
      <c r="ABM10" s="303"/>
      <c r="ABN10" s="303"/>
      <c r="ABO10" s="303"/>
      <c r="ABP10" s="303"/>
      <c r="ABQ10" s="303"/>
      <c r="ABR10" s="303"/>
      <c r="ABS10" s="303"/>
      <c r="ABT10" s="303"/>
      <c r="ABU10" s="303"/>
      <c r="ABV10" s="303"/>
      <c r="ABW10" s="303"/>
      <c r="ABX10" s="303"/>
      <c r="ABY10" s="303"/>
      <c r="ABZ10" s="303"/>
      <c r="ACA10" s="303"/>
      <c r="ACB10" s="303"/>
      <c r="ACC10" s="303"/>
      <c r="ACD10" s="303"/>
      <c r="ACE10" s="303"/>
      <c r="ACF10" s="303"/>
      <c r="ACG10" s="303"/>
      <c r="ACH10" s="303"/>
      <c r="ACI10" s="303"/>
      <c r="ACJ10" s="303"/>
      <c r="ACK10" s="303"/>
      <c r="ACL10" s="303"/>
      <c r="ACM10" s="303"/>
      <c r="ACN10" s="303"/>
      <c r="ACO10" s="303"/>
      <c r="ACP10" s="303"/>
      <c r="ACQ10" s="303"/>
      <c r="ACR10" s="303"/>
      <c r="ACS10" s="303"/>
      <c r="ACT10" s="303"/>
      <c r="ACU10" s="303"/>
      <c r="ACV10" s="303"/>
      <c r="ACW10" s="303"/>
      <c r="ACX10" s="303"/>
      <c r="ACY10" s="303"/>
      <c r="ACZ10" s="303"/>
      <c r="ADA10" s="303"/>
      <c r="ADB10" s="303"/>
      <c r="ADC10" s="303"/>
      <c r="ADD10" s="303"/>
      <c r="ADE10" s="303"/>
      <c r="ADF10" s="303"/>
      <c r="ADG10" s="303"/>
      <c r="ADH10" s="303"/>
      <c r="ADI10" s="303"/>
      <c r="ADJ10" s="303"/>
      <c r="ADK10" s="303"/>
      <c r="ADL10" s="303"/>
      <c r="ADM10" s="303"/>
      <c r="ADN10" s="303"/>
      <c r="ADO10" s="303"/>
      <c r="ADP10" s="303"/>
      <c r="ADQ10" s="303"/>
      <c r="ADR10" s="303"/>
      <c r="ADS10" s="303"/>
      <c r="ADT10" s="303"/>
      <c r="ADU10" s="303"/>
      <c r="ADV10" s="303"/>
      <c r="ADW10" s="303"/>
      <c r="ADX10" s="303"/>
      <c r="ADY10" s="303"/>
      <c r="ADZ10" s="303"/>
      <c r="AEA10" s="303"/>
      <c r="AEB10" s="303"/>
      <c r="AEC10" s="303"/>
      <c r="AED10" s="303"/>
      <c r="AEE10" s="303"/>
      <c r="AEF10" s="303"/>
      <c r="AEG10" s="303"/>
      <c r="AEH10" s="303"/>
      <c r="AEI10" s="303"/>
      <c r="AEJ10" s="303"/>
      <c r="AEK10" s="303"/>
      <c r="AEL10" s="303"/>
      <c r="AEM10" s="303"/>
      <c r="AEN10" s="303"/>
      <c r="AEO10" s="303"/>
      <c r="AEP10" s="303"/>
      <c r="AEQ10" s="303"/>
      <c r="AER10" s="303"/>
      <c r="AES10" s="303"/>
      <c r="AET10" s="303"/>
      <c r="AEU10" s="303"/>
      <c r="AEV10" s="303"/>
      <c r="AEW10" s="303"/>
      <c r="AEX10" s="303"/>
      <c r="AEY10" s="303"/>
      <c r="AEZ10" s="303"/>
      <c r="AFA10" s="303"/>
      <c r="AFB10" s="303"/>
      <c r="AFC10" s="303"/>
      <c r="AFD10" s="303"/>
      <c r="AFE10" s="303"/>
      <c r="AFF10" s="303"/>
      <c r="AFG10" s="303"/>
      <c r="AFH10" s="303"/>
      <c r="AFI10" s="303"/>
      <c r="AFJ10" s="303"/>
      <c r="AFK10" s="303"/>
      <c r="AFL10" s="303"/>
      <c r="AFM10" s="303"/>
      <c r="AFN10" s="303"/>
      <c r="AFO10" s="303"/>
      <c r="AFP10" s="303"/>
      <c r="AFQ10" s="303"/>
      <c r="AFR10" s="303"/>
      <c r="AFS10" s="303"/>
      <c r="AFT10" s="303"/>
      <c r="AFU10" s="303"/>
      <c r="AFV10" s="303"/>
      <c r="AFW10" s="303"/>
      <c r="AFX10" s="303"/>
      <c r="AFY10" s="303"/>
      <c r="AFZ10" s="303"/>
      <c r="AGA10" s="303"/>
      <c r="AGB10" s="303"/>
      <c r="AGC10" s="303"/>
      <c r="AGD10" s="303"/>
      <c r="AGE10" s="303"/>
      <c r="AGF10" s="303"/>
      <c r="AGG10" s="303"/>
      <c r="AGH10" s="303"/>
      <c r="AGI10" s="303"/>
      <c r="AGJ10" s="303"/>
      <c r="AGK10" s="303"/>
      <c r="AGL10" s="303"/>
      <c r="AGM10" s="303"/>
      <c r="AGN10" s="303"/>
      <c r="AGO10" s="303"/>
      <c r="AGP10" s="303"/>
      <c r="AGQ10" s="303"/>
      <c r="AGR10" s="303"/>
      <c r="AGS10" s="303"/>
      <c r="AGT10" s="303"/>
      <c r="AGU10" s="303"/>
      <c r="AGV10" s="303"/>
      <c r="AGW10" s="303"/>
      <c r="AGX10" s="303"/>
      <c r="AGY10" s="303"/>
      <c r="AGZ10" s="303"/>
      <c r="AHA10" s="303"/>
      <c r="AHB10" s="303"/>
      <c r="AHC10" s="303"/>
      <c r="AHD10" s="303"/>
      <c r="AHE10" s="303"/>
      <c r="AHF10" s="303"/>
      <c r="AHG10" s="303"/>
      <c r="AHH10" s="303"/>
      <c r="AHI10" s="303"/>
      <c r="AHJ10" s="303"/>
      <c r="AHK10" s="303"/>
      <c r="AHL10" s="303"/>
      <c r="AHM10" s="303"/>
      <c r="AHN10" s="303"/>
      <c r="AHO10" s="303"/>
      <c r="AHP10" s="303"/>
      <c r="AHQ10" s="303"/>
      <c r="AHR10" s="303"/>
      <c r="AHS10" s="303"/>
      <c r="AHT10" s="303"/>
      <c r="AHU10" s="303"/>
      <c r="AHV10" s="303"/>
      <c r="AHW10" s="303"/>
      <c r="AHX10" s="303"/>
      <c r="AHY10" s="303"/>
      <c r="AHZ10" s="303"/>
      <c r="AIA10" s="303"/>
      <c r="AIB10" s="303"/>
      <c r="AIC10" s="303"/>
      <c r="AID10" s="303"/>
      <c r="AIE10" s="303"/>
      <c r="AIF10" s="303"/>
      <c r="AIG10" s="303"/>
      <c r="AIH10" s="303"/>
      <c r="AII10" s="303"/>
      <c r="AIJ10" s="303"/>
      <c r="AIK10" s="303"/>
      <c r="AIL10" s="303"/>
      <c r="AIM10" s="303"/>
      <c r="AIN10" s="303"/>
      <c r="AIO10" s="303"/>
      <c r="AIP10" s="303"/>
      <c r="AIQ10" s="303"/>
      <c r="AIR10" s="303"/>
      <c r="AIS10" s="303"/>
      <c r="AIT10" s="303"/>
      <c r="AIU10" s="303"/>
      <c r="AIV10" s="303"/>
      <c r="AIW10" s="303"/>
      <c r="AIX10" s="303"/>
      <c r="AIY10" s="303"/>
      <c r="AIZ10" s="303"/>
      <c r="AJA10" s="303"/>
      <c r="AJB10" s="303"/>
      <c r="AJC10" s="303"/>
      <c r="AJD10" s="303"/>
      <c r="AJE10" s="303"/>
      <c r="AJF10" s="303"/>
      <c r="AJG10" s="303"/>
      <c r="AJH10" s="303"/>
      <c r="AJI10" s="303"/>
      <c r="AJJ10" s="303"/>
      <c r="AJK10" s="303"/>
      <c r="AJL10" s="303"/>
      <c r="AJM10" s="303"/>
      <c r="AJN10" s="303"/>
      <c r="AJO10" s="303"/>
      <c r="AJP10" s="303"/>
      <c r="AJQ10" s="303"/>
      <c r="AJR10" s="303"/>
      <c r="AJS10" s="303"/>
      <c r="AJT10" s="303"/>
      <c r="AJU10" s="303"/>
      <c r="AJV10" s="303"/>
      <c r="AJW10" s="303"/>
      <c r="AJX10" s="303"/>
      <c r="AJY10" s="303"/>
      <c r="AJZ10" s="303"/>
      <c r="AKA10" s="303"/>
      <c r="AKB10" s="303"/>
      <c r="AKC10" s="303"/>
      <c r="AKD10" s="303"/>
      <c r="AKE10" s="303"/>
      <c r="AKF10" s="303"/>
      <c r="AKG10" s="303"/>
      <c r="AKH10" s="303"/>
      <c r="AKI10" s="303"/>
      <c r="AKJ10" s="303"/>
      <c r="AKK10" s="303"/>
      <c r="AKL10" s="303"/>
      <c r="AKM10" s="303"/>
      <c r="AKN10" s="303"/>
      <c r="AKO10" s="303"/>
      <c r="AKP10" s="303"/>
      <c r="AKQ10" s="303"/>
      <c r="AKR10" s="303"/>
      <c r="AKS10" s="303"/>
      <c r="AKT10" s="303"/>
      <c r="AKU10" s="303"/>
      <c r="AKV10" s="303"/>
      <c r="AKW10" s="303"/>
      <c r="AKX10" s="303"/>
      <c r="AKY10" s="303"/>
      <c r="AKZ10" s="303"/>
      <c r="ALA10" s="303"/>
      <c r="ALB10" s="303"/>
      <c r="ALC10" s="303"/>
      <c r="ALD10" s="303"/>
      <c r="ALE10" s="303"/>
      <c r="ALF10" s="303"/>
      <c r="ALG10" s="303"/>
      <c r="ALH10" s="303"/>
      <c r="ALI10" s="303"/>
      <c r="ALJ10" s="303"/>
      <c r="ALK10" s="303"/>
      <c r="ALL10" s="303"/>
      <c r="ALM10" s="303"/>
      <c r="ALN10" s="303"/>
      <c r="ALO10" s="303"/>
      <c r="ALP10" s="303"/>
      <c r="ALQ10" s="303"/>
      <c r="ALR10" s="303"/>
      <c r="ALS10" s="303"/>
      <c r="ALT10" s="303"/>
      <c r="ALU10" s="303"/>
      <c r="ALV10" s="303"/>
      <c r="ALW10" s="303"/>
      <c r="ALX10" s="303"/>
      <c r="ALY10" s="303"/>
      <c r="ALZ10" s="303"/>
      <c r="AMA10" s="303"/>
      <c r="AMB10" s="303"/>
      <c r="AMC10" s="303"/>
      <c r="AMD10" s="303"/>
      <c r="AME10" s="303"/>
      <c r="AMF10" s="303"/>
      <c r="AMG10" s="303"/>
      <c r="AMH10" s="303"/>
      <c r="AMI10" s="303"/>
      <c r="AMJ10" s="303"/>
      <c r="AMK10" s="303"/>
      <c r="AML10" s="303"/>
      <c r="AMM10" s="303"/>
      <c r="AMN10" s="303"/>
      <c r="AMO10" s="303"/>
      <c r="AMP10" s="303"/>
      <c r="AMQ10" s="303"/>
      <c r="AMR10" s="303"/>
      <c r="AMS10" s="303"/>
      <c r="AMT10" s="303"/>
      <c r="AMU10" s="303"/>
      <c r="AMV10" s="303"/>
      <c r="AMW10" s="303"/>
      <c r="AMX10" s="303"/>
      <c r="AMY10" s="303"/>
      <c r="AMZ10" s="303"/>
      <c r="ANA10" s="303"/>
      <c r="ANB10" s="303"/>
      <c r="ANC10" s="303"/>
      <c r="AND10" s="303"/>
      <c r="ANE10" s="303"/>
      <c r="ANF10" s="303"/>
      <c r="ANG10" s="303"/>
      <c r="ANH10" s="303"/>
      <c r="ANI10" s="303"/>
      <c r="ANJ10" s="303"/>
      <c r="ANK10" s="303"/>
      <c r="ANL10" s="303"/>
      <c r="ANM10" s="303"/>
      <c r="ANN10" s="303"/>
      <c r="ANO10" s="303"/>
      <c r="ANP10" s="303"/>
      <c r="ANQ10" s="303"/>
      <c r="ANR10" s="303"/>
      <c r="ANS10" s="303"/>
      <c r="ANT10" s="303"/>
      <c r="ANU10" s="303"/>
      <c r="ANV10" s="303"/>
      <c r="ANW10" s="303"/>
      <c r="ANX10" s="303"/>
      <c r="ANY10" s="303"/>
      <c r="ANZ10" s="303"/>
      <c r="AOA10" s="303"/>
      <c r="AOB10" s="303"/>
      <c r="AOC10" s="303"/>
      <c r="AOD10" s="303"/>
      <c r="AOE10" s="303"/>
      <c r="AOF10" s="303"/>
      <c r="AOG10" s="303"/>
      <c r="AOH10" s="303"/>
      <c r="AOI10" s="303"/>
      <c r="AOJ10" s="303"/>
      <c r="AOK10" s="303"/>
      <c r="AOL10" s="303"/>
      <c r="AOM10" s="303"/>
      <c r="AON10" s="303"/>
      <c r="AOO10" s="303"/>
      <c r="AOP10" s="303"/>
      <c r="AOQ10" s="303"/>
      <c r="AOR10" s="303"/>
      <c r="AOS10" s="303"/>
      <c r="AOT10" s="303"/>
      <c r="AOU10" s="303"/>
      <c r="AOV10" s="303"/>
      <c r="AOW10" s="303"/>
      <c r="AOX10" s="303"/>
      <c r="AOY10" s="303"/>
      <c r="AOZ10" s="303"/>
      <c r="APA10" s="303"/>
      <c r="APB10" s="303"/>
      <c r="APC10" s="303"/>
      <c r="APD10" s="303"/>
      <c r="APE10" s="303"/>
      <c r="APF10" s="303"/>
      <c r="APG10" s="303"/>
      <c r="APH10" s="303"/>
      <c r="API10" s="303"/>
      <c r="APJ10" s="303"/>
      <c r="APK10" s="303"/>
      <c r="APL10" s="303"/>
      <c r="APM10" s="303"/>
      <c r="APN10" s="303"/>
      <c r="APO10" s="303"/>
      <c r="APP10" s="303"/>
      <c r="APQ10" s="303"/>
      <c r="APR10" s="303"/>
      <c r="APS10" s="303"/>
      <c r="APT10" s="303"/>
      <c r="APU10" s="303"/>
      <c r="APV10" s="303"/>
      <c r="APW10" s="303"/>
      <c r="APX10" s="303"/>
      <c r="APY10" s="303"/>
      <c r="APZ10" s="303"/>
      <c r="AQA10" s="303"/>
      <c r="AQB10" s="303"/>
      <c r="AQC10" s="303"/>
      <c r="AQD10" s="303"/>
      <c r="AQE10" s="303"/>
      <c r="AQF10" s="303"/>
      <c r="AQG10" s="303"/>
      <c r="AQH10" s="303"/>
      <c r="AQI10" s="303"/>
      <c r="AQJ10" s="303"/>
      <c r="AQK10" s="303"/>
      <c r="AQL10" s="303"/>
      <c r="AQM10" s="303"/>
      <c r="AQN10" s="303"/>
      <c r="AQO10" s="303"/>
      <c r="AQP10" s="303"/>
      <c r="AQQ10" s="303"/>
      <c r="AQR10" s="303"/>
      <c r="AQS10" s="303"/>
      <c r="AQT10" s="303"/>
      <c r="AQU10" s="303"/>
      <c r="AQV10" s="303"/>
      <c r="AQW10" s="303"/>
      <c r="AQX10" s="303"/>
      <c r="AQY10" s="303"/>
      <c r="AQZ10" s="303"/>
      <c r="ARA10" s="303"/>
      <c r="ARB10" s="303"/>
      <c r="ARC10" s="303"/>
      <c r="ARD10" s="303"/>
      <c r="ARE10" s="303"/>
      <c r="ARF10" s="303"/>
      <c r="ARG10" s="303"/>
      <c r="ARH10" s="303"/>
      <c r="ARI10" s="303"/>
      <c r="ARJ10" s="303"/>
      <c r="ARK10" s="303"/>
      <c r="ARL10" s="303"/>
      <c r="ARM10" s="303"/>
      <c r="ARN10" s="303"/>
      <c r="ARO10" s="303"/>
      <c r="ARP10" s="303"/>
      <c r="ARQ10" s="303"/>
      <c r="ARR10" s="303"/>
      <c r="ARS10" s="303"/>
      <c r="ART10" s="303"/>
      <c r="ARU10" s="303"/>
      <c r="ARV10" s="303"/>
      <c r="ARW10" s="303"/>
      <c r="ARX10" s="303"/>
      <c r="ARY10" s="303"/>
      <c r="ARZ10" s="303"/>
      <c r="ASA10" s="303"/>
      <c r="ASB10" s="303"/>
      <c r="ASC10" s="303"/>
      <c r="ASD10" s="303"/>
      <c r="ASE10" s="303"/>
      <c r="ASF10" s="303"/>
      <c r="ASG10" s="303"/>
      <c r="ASH10" s="303"/>
      <c r="ASI10" s="303"/>
      <c r="ASJ10" s="303"/>
      <c r="ASK10" s="303"/>
      <c r="ASL10" s="303"/>
      <c r="ASM10" s="303"/>
      <c r="ASN10" s="303"/>
      <c r="ASO10" s="303"/>
      <c r="ASP10" s="303"/>
      <c r="ASQ10" s="303"/>
      <c r="ASR10" s="303"/>
      <c r="ASS10" s="303"/>
      <c r="AST10" s="303"/>
      <c r="ASU10" s="303"/>
      <c r="ASV10" s="303"/>
      <c r="ASW10" s="303"/>
      <c r="ASX10" s="303"/>
      <c r="ASY10" s="303"/>
      <c r="ASZ10" s="303"/>
      <c r="ATA10" s="303"/>
      <c r="ATB10" s="303"/>
      <c r="ATC10" s="303"/>
      <c r="ATD10" s="303"/>
      <c r="ATE10" s="303"/>
      <c r="ATF10" s="303"/>
      <c r="ATG10" s="303"/>
      <c r="ATH10" s="303"/>
      <c r="ATI10" s="303"/>
      <c r="ATJ10" s="303"/>
      <c r="ATK10" s="303"/>
      <c r="ATL10" s="303"/>
      <c r="ATM10" s="303"/>
      <c r="ATN10" s="303"/>
      <c r="ATO10" s="303"/>
      <c r="ATP10" s="303"/>
      <c r="ATQ10" s="303"/>
      <c r="ATR10" s="303"/>
      <c r="ATS10" s="303"/>
      <c r="ATT10" s="303"/>
      <c r="ATU10" s="303"/>
      <c r="ATV10" s="303"/>
      <c r="ATW10" s="303"/>
      <c r="ATX10" s="303"/>
      <c r="ATY10" s="303"/>
      <c r="ATZ10" s="303"/>
      <c r="AUA10" s="303"/>
      <c r="AUB10" s="303"/>
      <c r="AUC10" s="303"/>
      <c r="AUD10" s="303"/>
      <c r="AUE10" s="303"/>
      <c r="AUF10" s="303"/>
      <c r="AUG10" s="303"/>
      <c r="AUH10" s="303"/>
      <c r="AUI10" s="303"/>
      <c r="AUJ10" s="303"/>
      <c r="AUK10" s="303"/>
      <c r="AUL10" s="303"/>
      <c r="AUM10" s="303"/>
      <c r="AUN10" s="303"/>
      <c r="AUO10" s="303"/>
      <c r="AUP10" s="303"/>
      <c r="AUQ10" s="303"/>
      <c r="AUR10" s="303"/>
      <c r="AUS10" s="303"/>
      <c r="AUT10" s="303"/>
      <c r="AUU10" s="303"/>
      <c r="AUV10" s="303"/>
      <c r="AUW10" s="303"/>
      <c r="AUX10" s="303"/>
      <c r="AUY10" s="303"/>
      <c r="AUZ10" s="303"/>
      <c r="AVA10" s="303"/>
      <c r="AVB10" s="303"/>
      <c r="AVC10" s="303"/>
      <c r="AVD10" s="303"/>
      <c r="AVE10" s="303"/>
      <c r="AVF10" s="303"/>
      <c r="AVG10" s="303"/>
      <c r="AVH10" s="303"/>
      <c r="AVI10" s="303"/>
      <c r="AVJ10" s="303"/>
      <c r="AVK10" s="303"/>
      <c r="AVL10" s="303"/>
      <c r="AVM10" s="303"/>
      <c r="AVN10" s="303"/>
      <c r="AVO10" s="303"/>
      <c r="AVP10" s="303"/>
      <c r="AVQ10" s="303"/>
      <c r="AVR10" s="303"/>
      <c r="AVS10" s="303"/>
      <c r="AVT10" s="303"/>
      <c r="AVU10" s="303"/>
      <c r="AVV10" s="303"/>
      <c r="AVW10" s="303"/>
      <c r="AVX10" s="303"/>
      <c r="AVY10" s="303"/>
      <c r="AVZ10" s="303"/>
      <c r="AWA10" s="303"/>
      <c r="AWB10" s="303"/>
      <c r="AWC10" s="303"/>
      <c r="AWD10" s="303"/>
      <c r="AWE10" s="303"/>
      <c r="AWF10" s="303"/>
      <c r="AWG10" s="303"/>
      <c r="AWH10" s="303"/>
      <c r="AWI10" s="303"/>
      <c r="AWJ10" s="303"/>
      <c r="AWK10" s="303"/>
      <c r="AWL10" s="303"/>
      <c r="AWM10" s="303"/>
      <c r="AWN10" s="303"/>
      <c r="AWO10" s="303"/>
      <c r="AWP10" s="303"/>
      <c r="AWQ10" s="303"/>
      <c r="AWR10" s="303"/>
      <c r="AWS10" s="303"/>
      <c r="AWT10" s="303"/>
      <c r="AWU10" s="303"/>
      <c r="AWV10" s="303"/>
      <c r="AWW10" s="303"/>
      <c r="AWX10" s="303"/>
      <c r="AWY10" s="303"/>
      <c r="AWZ10" s="303"/>
      <c r="AXA10" s="303"/>
      <c r="AXB10" s="303"/>
      <c r="AXC10" s="303"/>
      <c r="AXD10" s="303"/>
      <c r="AXE10" s="303"/>
      <c r="AXF10" s="303"/>
      <c r="AXG10" s="303"/>
      <c r="AXH10" s="303"/>
      <c r="AXI10" s="303"/>
      <c r="AXJ10" s="303"/>
      <c r="AXK10" s="303"/>
      <c r="AXL10" s="303"/>
      <c r="AXM10" s="303"/>
      <c r="AXN10" s="303"/>
      <c r="AXO10" s="303"/>
      <c r="AXP10" s="303"/>
      <c r="AXQ10" s="303"/>
      <c r="AXR10" s="303"/>
      <c r="AXS10" s="303"/>
      <c r="AXT10" s="303"/>
      <c r="AXU10" s="303"/>
      <c r="AXV10" s="303"/>
      <c r="AXW10" s="303"/>
      <c r="AXX10" s="303"/>
      <c r="AXY10" s="303"/>
      <c r="AXZ10" s="303"/>
      <c r="AYA10" s="303"/>
      <c r="AYB10" s="303"/>
      <c r="AYC10" s="303"/>
      <c r="AYD10" s="303"/>
      <c r="AYE10" s="303"/>
      <c r="AYF10" s="303"/>
      <c r="AYG10" s="303"/>
      <c r="AYH10" s="303"/>
    </row>
    <row r="11" spans="1:1334" ht="144.75" x14ac:dyDescent="0.25">
      <c r="A11" s="304" t="s">
        <v>592</v>
      </c>
      <c r="B11" s="298" t="s">
        <v>1070</v>
      </c>
      <c r="C11" s="303"/>
      <c r="D11" s="303"/>
      <c r="E11" s="303"/>
      <c r="F11" s="303"/>
      <c r="G11" s="303"/>
      <c r="H11" s="303"/>
      <c r="I11" s="303"/>
      <c r="J11" s="303"/>
      <c r="K11" s="303"/>
      <c r="L11" s="303"/>
      <c r="M11" s="303"/>
      <c r="N11" s="303"/>
      <c r="O11" s="303"/>
      <c r="P11" s="303"/>
      <c r="Q11" s="303"/>
      <c r="R11" s="303"/>
      <c r="S11" s="303"/>
      <c r="T11" s="303"/>
      <c r="U11" s="303"/>
      <c r="V11" s="303"/>
      <c r="W11" s="303"/>
      <c r="X11" s="303"/>
      <c r="Y11" s="303"/>
      <c r="Z11" s="303"/>
      <c r="AA11" s="303"/>
      <c r="AB11" s="303"/>
      <c r="AC11" s="303"/>
      <c r="AD11" s="303"/>
      <c r="AE11" s="303"/>
      <c r="AF11" s="303"/>
      <c r="AG11" s="303"/>
      <c r="AH11" s="303"/>
      <c r="AI11" s="303"/>
      <c r="AJ11" s="303"/>
      <c r="AK11" s="303"/>
      <c r="AL11" s="303"/>
      <c r="AM11" s="303"/>
      <c r="AN11" s="303"/>
      <c r="AO11" s="303"/>
      <c r="AP11" s="303"/>
      <c r="AQ11" s="303"/>
      <c r="AR11" s="303"/>
      <c r="AS11" s="303"/>
      <c r="AT11" s="303"/>
      <c r="AU11" s="303"/>
      <c r="AV11" s="303"/>
      <c r="AW11" s="303"/>
      <c r="AX11" s="303"/>
      <c r="AY11" s="303"/>
      <c r="AZ11" s="303"/>
      <c r="BA11" s="303"/>
      <c r="BB11" s="303"/>
      <c r="BC11" s="303"/>
      <c r="BD11" s="303"/>
      <c r="BE11" s="303"/>
      <c r="BF11" s="303"/>
      <c r="BG11" s="303"/>
      <c r="BH11" s="303"/>
      <c r="BI11" s="303"/>
      <c r="BJ11" s="303"/>
      <c r="BK11" s="303"/>
      <c r="BL11" s="303"/>
      <c r="BM11" s="303"/>
      <c r="BN11" s="303"/>
      <c r="BO11" s="303"/>
      <c r="BP11" s="303"/>
      <c r="BQ11" s="303"/>
      <c r="BR11" s="303"/>
      <c r="BS11" s="303"/>
      <c r="BT11" s="303"/>
      <c r="BU11" s="303"/>
      <c r="BV11" s="303"/>
      <c r="BW11" s="303"/>
      <c r="BX11" s="303"/>
      <c r="BY11" s="303"/>
      <c r="BZ11" s="303"/>
      <c r="CA11" s="303"/>
      <c r="CB11" s="303"/>
      <c r="CC11" s="303"/>
      <c r="CD11" s="303"/>
      <c r="CE11" s="303"/>
      <c r="CF11" s="303"/>
      <c r="CG11" s="303"/>
      <c r="CH11" s="303"/>
      <c r="CI11" s="303"/>
      <c r="CJ11" s="303"/>
      <c r="CK11" s="303"/>
      <c r="CL11" s="303"/>
      <c r="CM11" s="303"/>
      <c r="CN11" s="303"/>
      <c r="CO11" s="303"/>
      <c r="CP11" s="303"/>
      <c r="CQ11" s="303"/>
      <c r="CR11" s="303"/>
      <c r="CS11" s="303"/>
      <c r="CT11" s="303"/>
      <c r="CU11" s="303"/>
      <c r="CV11" s="303"/>
      <c r="CW11" s="303"/>
      <c r="CX11" s="303"/>
      <c r="CY11" s="303"/>
      <c r="CZ11" s="303"/>
      <c r="DA11" s="303"/>
      <c r="DB11" s="303"/>
      <c r="DC11" s="303"/>
      <c r="DD11" s="303"/>
      <c r="DE11" s="303"/>
      <c r="DF11" s="303"/>
      <c r="DG11" s="303"/>
      <c r="DH11" s="303"/>
      <c r="DI11" s="303"/>
      <c r="DJ11" s="303"/>
      <c r="DK11" s="303"/>
      <c r="DL11" s="303"/>
      <c r="DM11" s="303"/>
      <c r="DN11" s="303"/>
      <c r="DO11" s="303"/>
      <c r="DP11" s="303"/>
      <c r="DQ11" s="303"/>
      <c r="DR11" s="303"/>
      <c r="DS11" s="303"/>
      <c r="DT11" s="303"/>
      <c r="DU11" s="303"/>
      <c r="DV11" s="303"/>
      <c r="DW11" s="303"/>
      <c r="DX11" s="303"/>
      <c r="DY11" s="303"/>
      <c r="DZ11" s="303"/>
      <c r="EA11" s="303"/>
      <c r="EB11" s="303"/>
      <c r="EC11" s="303"/>
      <c r="ED11" s="303"/>
      <c r="EE11" s="303"/>
      <c r="EF11" s="303"/>
      <c r="EG11" s="303"/>
      <c r="EH11" s="303"/>
      <c r="EI11" s="303"/>
      <c r="EJ11" s="303"/>
      <c r="EK11" s="303"/>
      <c r="EL11" s="303"/>
      <c r="EM11" s="303"/>
      <c r="EN11" s="303"/>
      <c r="EO11" s="303"/>
      <c r="EP11" s="303"/>
      <c r="EQ11" s="303"/>
      <c r="ER11" s="303"/>
      <c r="ES11" s="303"/>
      <c r="ET11" s="303"/>
      <c r="EU11" s="303"/>
      <c r="EV11" s="303"/>
      <c r="EW11" s="303"/>
      <c r="EX11" s="303"/>
      <c r="EY11" s="303"/>
      <c r="EZ11" s="303"/>
      <c r="FA11" s="303"/>
      <c r="FB11" s="303"/>
      <c r="FC11" s="303"/>
      <c r="FD11" s="303"/>
      <c r="FE11" s="303"/>
      <c r="FF11" s="303"/>
      <c r="FG11" s="303"/>
      <c r="FH11" s="303"/>
      <c r="FI11" s="303"/>
      <c r="FJ11" s="303"/>
      <c r="FK11" s="303"/>
      <c r="FL11" s="303"/>
      <c r="FM11" s="303"/>
      <c r="FN11" s="303"/>
      <c r="FO11" s="303"/>
      <c r="FP11" s="303"/>
      <c r="FQ11" s="303"/>
      <c r="FR11" s="303"/>
      <c r="FS11" s="303"/>
      <c r="FT11" s="303"/>
      <c r="FU11" s="303"/>
      <c r="FV11" s="303"/>
      <c r="FW11" s="303"/>
      <c r="FX11" s="303"/>
      <c r="FY11" s="303"/>
      <c r="FZ11" s="303"/>
      <c r="GA11" s="303"/>
      <c r="GB11" s="303"/>
      <c r="GC11" s="303"/>
      <c r="GD11" s="303"/>
      <c r="GE11" s="303"/>
      <c r="GF11" s="303"/>
      <c r="GG11" s="303"/>
      <c r="GH11" s="303"/>
      <c r="GI11" s="303"/>
      <c r="GJ11" s="303"/>
      <c r="GK11" s="303"/>
      <c r="GL11" s="303"/>
      <c r="GM11" s="303"/>
      <c r="GN11" s="303"/>
      <c r="GO11" s="303"/>
      <c r="GP11" s="303"/>
      <c r="GQ11" s="303"/>
      <c r="GR11" s="303"/>
      <c r="GS11" s="303"/>
      <c r="GT11" s="303"/>
      <c r="GU11" s="303"/>
      <c r="GV11" s="303"/>
      <c r="GW11" s="303"/>
      <c r="GX11" s="303"/>
      <c r="GY11" s="303"/>
      <c r="GZ11" s="303"/>
      <c r="HA11" s="303"/>
      <c r="HB11" s="303"/>
      <c r="HC11" s="303"/>
      <c r="HD11" s="303"/>
      <c r="HE11" s="303"/>
      <c r="HF11" s="303"/>
      <c r="HG11" s="303"/>
      <c r="HH11" s="303"/>
      <c r="HI11" s="303"/>
      <c r="HJ11" s="303"/>
      <c r="HK11" s="303"/>
      <c r="HL11" s="303"/>
      <c r="HM11" s="303"/>
      <c r="HN11" s="303"/>
      <c r="HO11" s="303"/>
      <c r="HP11" s="303"/>
      <c r="HQ11" s="303"/>
      <c r="HR11" s="303"/>
      <c r="HS11" s="303"/>
      <c r="HT11" s="303"/>
      <c r="HU11" s="303"/>
      <c r="HV11" s="303"/>
      <c r="HW11" s="303"/>
      <c r="HX11" s="303"/>
      <c r="HY11" s="303"/>
      <c r="HZ11" s="303"/>
      <c r="IA11" s="303"/>
      <c r="IB11" s="303"/>
      <c r="IC11" s="303"/>
      <c r="ID11" s="303"/>
      <c r="IE11" s="303"/>
      <c r="IF11" s="303"/>
      <c r="IG11" s="303"/>
      <c r="IH11" s="303"/>
      <c r="II11" s="303"/>
      <c r="IJ11" s="303"/>
      <c r="IK11" s="303"/>
      <c r="IL11" s="303"/>
      <c r="IM11" s="303"/>
      <c r="IN11" s="303"/>
      <c r="IO11" s="303"/>
      <c r="IP11" s="303"/>
      <c r="IQ11" s="303"/>
      <c r="IR11" s="303"/>
      <c r="IS11" s="303"/>
      <c r="IT11" s="303"/>
      <c r="IU11" s="303"/>
      <c r="IV11" s="303"/>
      <c r="IW11" s="303"/>
      <c r="IX11" s="303"/>
      <c r="IY11" s="303"/>
      <c r="IZ11" s="303"/>
      <c r="JA11" s="303"/>
      <c r="JB11" s="303"/>
      <c r="JC11" s="303"/>
      <c r="JD11" s="303"/>
      <c r="JE11" s="303"/>
      <c r="JF11" s="303"/>
      <c r="JG11" s="303"/>
      <c r="JH11" s="303"/>
      <c r="JI11" s="303"/>
      <c r="JJ11" s="303"/>
      <c r="JK11" s="303"/>
      <c r="JL11" s="303"/>
      <c r="JM11" s="303"/>
      <c r="JN11" s="303"/>
      <c r="JO11" s="303"/>
      <c r="JP11" s="303"/>
      <c r="JQ11" s="303"/>
      <c r="JR11" s="303"/>
      <c r="JS11" s="303"/>
      <c r="JT11" s="303"/>
      <c r="JU11" s="303"/>
      <c r="JV11" s="303"/>
      <c r="JW11" s="303"/>
      <c r="JX11" s="303"/>
      <c r="JY11" s="303"/>
      <c r="JZ11" s="303"/>
      <c r="KA11" s="303"/>
      <c r="KB11" s="303"/>
      <c r="KC11" s="303"/>
      <c r="KD11" s="303"/>
      <c r="KE11" s="303"/>
      <c r="KF11" s="303"/>
      <c r="KG11" s="303"/>
      <c r="KH11" s="303"/>
      <c r="KI11" s="303"/>
      <c r="KJ11" s="303"/>
      <c r="KK11" s="303"/>
      <c r="KL11" s="303"/>
      <c r="KM11" s="303"/>
      <c r="KN11" s="303"/>
      <c r="KO11" s="303"/>
      <c r="KP11" s="303"/>
      <c r="KQ11" s="303"/>
      <c r="KR11" s="303"/>
      <c r="KS11" s="303"/>
      <c r="KT11" s="303"/>
      <c r="KU11" s="303"/>
      <c r="KV11" s="303"/>
      <c r="KW11" s="303"/>
      <c r="KX11" s="303"/>
      <c r="KY11" s="303"/>
      <c r="KZ11" s="303"/>
      <c r="LA11" s="303"/>
      <c r="LB11" s="303"/>
      <c r="LC11" s="303"/>
      <c r="LD11" s="303"/>
      <c r="LE11" s="303"/>
      <c r="LF11" s="303"/>
      <c r="LG11" s="303"/>
      <c r="LH11" s="303"/>
      <c r="LI11" s="303"/>
      <c r="LJ11" s="303"/>
      <c r="LK11" s="303"/>
      <c r="LL11" s="303"/>
      <c r="LM11" s="303"/>
      <c r="LN11" s="303"/>
      <c r="LO11" s="303"/>
      <c r="LP11" s="303"/>
      <c r="LQ11" s="303"/>
      <c r="LR11" s="303"/>
      <c r="LS11" s="303"/>
      <c r="LT11" s="303"/>
      <c r="LU11" s="303"/>
      <c r="LV11" s="303"/>
      <c r="LW11" s="303"/>
      <c r="LX11" s="303"/>
      <c r="LY11" s="303"/>
      <c r="LZ11" s="303"/>
      <c r="MA11" s="303"/>
      <c r="MB11" s="303"/>
      <c r="MC11" s="303"/>
      <c r="MD11" s="303"/>
      <c r="ME11" s="303"/>
      <c r="MF11" s="303"/>
      <c r="MG11" s="303"/>
      <c r="MH11" s="303"/>
      <c r="MI11" s="303"/>
      <c r="MJ11" s="303"/>
      <c r="MK11" s="303"/>
      <c r="ML11" s="303"/>
      <c r="MM11" s="303"/>
      <c r="MN11" s="303"/>
      <c r="MO11" s="303"/>
      <c r="MP11" s="303"/>
      <c r="MQ11" s="303"/>
      <c r="MR11" s="303"/>
      <c r="MS11" s="303"/>
      <c r="MT11" s="303"/>
      <c r="MU11" s="303"/>
      <c r="MV11" s="303"/>
      <c r="MW11" s="303"/>
      <c r="MX11" s="303"/>
      <c r="MY11" s="303"/>
      <c r="MZ11" s="303"/>
      <c r="NA11" s="303"/>
      <c r="NB11" s="303"/>
      <c r="NC11" s="303"/>
      <c r="ND11" s="303"/>
      <c r="NE11" s="303"/>
      <c r="NF11" s="303"/>
      <c r="NG11" s="303"/>
      <c r="NH11" s="303"/>
      <c r="NI11" s="303"/>
      <c r="NJ11" s="303"/>
      <c r="NK11" s="303"/>
      <c r="NL11" s="303"/>
      <c r="NM11" s="303"/>
      <c r="NN11" s="303"/>
      <c r="NO11" s="303"/>
      <c r="NP11" s="303"/>
      <c r="NQ11" s="303"/>
      <c r="NR11" s="303"/>
      <c r="NS11" s="303"/>
      <c r="NT11" s="303"/>
      <c r="NU11" s="303"/>
      <c r="NV11" s="303"/>
      <c r="NW11" s="303"/>
      <c r="NX11" s="303"/>
      <c r="NY11" s="303"/>
      <c r="NZ11" s="303"/>
      <c r="OA11" s="303"/>
      <c r="OB11" s="303"/>
      <c r="OC11" s="303"/>
      <c r="OD11" s="303"/>
      <c r="OE11" s="303"/>
      <c r="OF11" s="303"/>
      <c r="OG11" s="303"/>
      <c r="OH11" s="303"/>
      <c r="OI11" s="303"/>
      <c r="OJ11" s="303"/>
      <c r="OK11" s="303"/>
      <c r="OL11" s="303"/>
      <c r="OM11" s="303"/>
      <c r="ON11" s="303"/>
      <c r="OO11" s="303"/>
      <c r="OP11" s="303"/>
      <c r="OQ11" s="303"/>
      <c r="OR11" s="303"/>
      <c r="OS11" s="303"/>
      <c r="OT11" s="303"/>
      <c r="OU11" s="303"/>
      <c r="OV11" s="303"/>
      <c r="OW11" s="303"/>
      <c r="OX11" s="303"/>
      <c r="OY11" s="303"/>
      <c r="OZ11" s="303"/>
      <c r="PA11" s="303"/>
      <c r="PB11" s="303"/>
      <c r="PC11" s="303"/>
      <c r="PD11" s="303"/>
      <c r="PE11" s="303"/>
      <c r="PF11" s="303"/>
      <c r="PG11" s="303"/>
      <c r="PH11" s="303"/>
      <c r="PI11" s="303"/>
      <c r="PJ11" s="303"/>
      <c r="PK11" s="303"/>
      <c r="PL11" s="303"/>
      <c r="PM11" s="303"/>
      <c r="PN11" s="303"/>
      <c r="PO11" s="303"/>
      <c r="PP11" s="303"/>
      <c r="PQ11" s="303"/>
      <c r="PR11" s="303"/>
      <c r="PS11" s="303"/>
      <c r="PT11" s="303"/>
      <c r="PU11" s="303"/>
      <c r="PV11" s="303"/>
      <c r="PW11" s="303"/>
      <c r="PX11" s="303"/>
      <c r="PY11" s="303"/>
      <c r="PZ11" s="303"/>
      <c r="QA11" s="303"/>
      <c r="QB11" s="303"/>
      <c r="QC11" s="303"/>
      <c r="QD11" s="303"/>
      <c r="QE11" s="303"/>
      <c r="QF11" s="303"/>
      <c r="QG11" s="303"/>
      <c r="QH11" s="303"/>
      <c r="QI11" s="303"/>
      <c r="QJ11" s="303"/>
      <c r="QK11" s="303"/>
      <c r="QL11" s="303"/>
      <c r="QM11" s="303"/>
      <c r="QN11" s="303"/>
      <c r="QO11" s="303"/>
      <c r="QP11" s="303"/>
      <c r="QQ11" s="303"/>
      <c r="QR11" s="303"/>
      <c r="QS11" s="303"/>
      <c r="QT11" s="303"/>
      <c r="QU11" s="303"/>
      <c r="QV11" s="303"/>
      <c r="QW11" s="303"/>
      <c r="QX11" s="303"/>
      <c r="QY11" s="303"/>
      <c r="QZ11" s="303"/>
      <c r="RA11" s="303"/>
      <c r="RB11" s="303"/>
      <c r="RC11" s="303"/>
      <c r="RD11" s="303"/>
      <c r="RE11" s="303"/>
      <c r="RF11" s="303"/>
      <c r="RG11" s="303"/>
      <c r="RH11" s="303"/>
      <c r="RI11" s="303"/>
      <c r="RJ11" s="303"/>
      <c r="RK11" s="303"/>
      <c r="RL11" s="303"/>
      <c r="RM11" s="303"/>
      <c r="RN11" s="303"/>
      <c r="RO11" s="303"/>
      <c r="RP11" s="303"/>
      <c r="RQ11" s="303"/>
      <c r="RR11" s="303"/>
      <c r="RS11" s="303"/>
      <c r="RT11" s="303"/>
      <c r="RU11" s="303"/>
      <c r="RV11" s="303"/>
      <c r="RW11" s="303"/>
      <c r="RX11" s="303"/>
      <c r="RY11" s="303"/>
      <c r="RZ11" s="303"/>
      <c r="SA11" s="303"/>
      <c r="SB11" s="303"/>
      <c r="SC11" s="303"/>
      <c r="SD11" s="303"/>
      <c r="SE11" s="303"/>
      <c r="SF11" s="303"/>
      <c r="SG11" s="303"/>
      <c r="SH11" s="303"/>
      <c r="SI11" s="303"/>
      <c r="SJ11" s="303"/>
      <c r="SK11" s="303"/>
      <c r="SL11" s="303"/>
      <c r="SM11" s="303"/>
      <c r="SN11" s="303"/>
      <c r="SO11" s="303"/>
      <c r="SP11" s="303"/>
      <c r="SQ11" s="303"/>
      <c r="SR11" s="303"/>
      <c r="SS11" s="303"/>
      <c r="ST11" s="303"/>
      <c r="SU11" s="303"/>
      <c r="SV11" s="303"/>
      <c r="SW11" s="303"/>
      <c r="SX11" s="303"/>
      <c r="SY11" s="303"/>
      <c r="SZ11" s="303"/>
      <c r="TA11" s="303"/>
      <c r="TB11" s="303"/>
      <c r="TC11" s="303"/>
      <c r="TD11" s="303"/>
      <c r="TE11" s="303"/>
      <c r="TF11" s="303"/>
      <c r="TG11" s="303"/>
      <c r="TH11" s="303"/>
      <c r="TI11" s="303"/>
      <c r="TJ11" s="303"/>
      <c r="TK11" s="303"/>
      <c r="TL11" s="303"/>
      <c r="TM11" s="303"/>
      <c r="TN11" s="303"/>
      <c r="TO11" s="303"/>
      <c r="TP11" s="303"/>
      <c r="TQ11" s="303"/>
      <c r="TR11" s="303"/>
      <c r="TS11" s="303"/>
      <c r="TT11" s="303"/>
      <c r="TU11" s="303"/>
      <c r="TV11" s="303"/>
      <c r="TW11" s="303"/>
      <c r="TX11" s="303"/>
      <c r="TY11" s="303"/>
      <c r="TZ11" s="303"/>
      <c r="UA11" s="303"/>
      <c r="UB11" s="303"/>
      <c r="UC11" s="303"/>
      <c r="UD11" s="303"/>
      <c r="UE11" s="303"/>
      <c r="UF11" s="303"/>
      <c r="UG11" s="303"/>
      <c r="UH11" s="303"/>
      <c r="UI11" s="303"/>
      <c r="UJ11" s="303"/>
      <c r="UK11" s="303"/>
      <c r="UL11" s="303"/>
      <c r="UM11" s="303"/>
      <c r="UN11" s="303"/>
      <c r="UO11" s="303"/>
      <c r="UP11" s="303"/>
      <c r="UQ11" s="303"/>
      <c r="UR11" s="303"/>
      <c r="US11" s="303"/>
      <c r="UT11" s="303"/>
      <c r="UU11" s="303"/>
      <c r="UV11" s="303"/>
      <c r="UW11" s="303"/>
      <c r="UX11" s="303"/>
      <c r="UY11" s="303"/>
      <c r="UZ11" s="303"/>
      <c r="VA11" s="303"/>
      <c r="VB11" s="303"/>
      <c r="VC11" s="303"/>
      <c r="VD11" s="303"/>
      <c r="VE11" s="303"/>
      <c r="VF11" s="303"/>
      <c r="VG11" s="303"/>
      <c r="VH11" s="303"/>
      <c r="VI11" s="303"/>
      <c r="VJ11" s="303"/>
      <c r="VK11" s="303"/>
      <c r="VL11" s="303"/>
      <c r="VM11" s="303"/>
      <c r="VN11" s="303"/>
      <c r="VO11" s="303"/>
      <c r="VP11" s="303"/>
      <c r="VQ11" s="303"/>
      <c r="VR11" s="303"/>
      <c r="VS11" s="303"/>
      <c r="VT11" s="303"/>
      <c r="VU11" s="303"/>
      <c r="VV11" s="303"/>
      <c r="VW11" s="303"/>
      <c r="VX11" s="303"/>
      <c r="VY11" s="303"/>
      <c r="VZ11" s="303"/>
      <c r="WA11" s="303"/>
      <c r="WB11" s="303"/>
      <c r="WC11" s="303"/>
      <c r="WD11" s="303"/>
      <c r="WE11" s="303"/>
      <c r="WF11" s="303"/>
      <c r="WG11" s="303"/>
      <c r="WH11" s="303"/>
      <c r="WI11" s="303"/>
      <c r="WJ11" s="303"/>
      <c r="WK11" s="303"/>
      <c r="WL11" s="303"/>
      <c r="WM11" s="303"/>
      <c r="WN11" s="303"/>
      <c r="WO11" s="303"/>
      <c r="WP11" s="303"/>
      <c r="WQ11" s="303"/>
      <c r="WR11" s="303"/>
      <c r="WS11" s="303"/>
      <c r="WT11" s="303"/>
      <c r="WU11" s="303"/>
      <c r="WV11" s="303"/>
      <c r="WW11" s="303"/>
      <c r="WX11" s="303"/>
      <c r="WY11" s="303"/>
      <c r="WZ11" s="303"/>
      <c r="XA11" s="303"/>
      <c r="XB11" s="303"/>
      <c r="XC11" s="303"/>
      <c r="XD11" s="303"/>
      <c r="XE11" s="303"/>
      <c r="XF11" s="303"/>
      <c r="XG11" s="303"/>
      <c r="XH11" s="303"/>
      <c r="XI11" s="303"/>
      <c r="XJ11" s="303"/>
      <c r="XK11" s="303"/>
      <c r="XL11" s="303"/>
      <c r="XM11" s="303"/>
      <c r="XN11" s="303"/>
      <c r="XO11" s="303"/>
      <c r="XP11" s="303"/>
      <c r="XQ11" s="303"/>
      <c r="XR11" s="303"/>
      <c r="XS11" s="303"/>
      <c r="XT11" s="303"/>
      <c r="XU11" s="303"/>
      <c r="XV11" s="303"/>
      <c r="XW11" s="303"/>
      <c r="XX11" s="303"/>
      <c r="XY11" s="303"/>
      <c r="XZ11" s="303"/>
      <c r="YA11" s="303"/>
      <c r="YB11" s="303"/>
      <c r="YC11" s="303"/>
      <c r="YD11" s="303"/>
      <c r="YE11" s="303"/>
      <c r="YF11" s="303"/>
      <c r="YG11" s="303"/>
      <c r="YH11" s="303"/>
      <c r="YI11" s="303"/>
      <c r="YJ11" s="303"/>
      <c r="YK11" s="303"/>
      <c r="YL11" s="303"/>
      <c r="YM11" s="303"/>
      <c r="YN11" s="303"/>
      <c r="YO11" s="303"/>
      <c r="YP11" s="303"/>
      <c r="YQ11" s="303"/>
      <c r="YR11" s="303"/>
      <c r="YS11" s="303"/>
      <c r="YT11" s="303"/>
      <c r="YU11" s="303"/>
      <c r="YV11" s="303"/>
      <c r="YW11" s="303"/>
      <c r="YX11" s="303"/>
      <c r="YY11" s="303"/>
      <c r="YZ11" s="303"/>
      <c r="ZA11" s="303"/>
      <c r="ZB11" s="303"/>
      <c r="ZC11" s="303"/>
      <c r="ZD11" s="303"/>
      <c r="ZE11" s="303"/>
      <c r="ZF11" s="303"/>
      <c r="ZG11" s="303"/>
      <c r="ZH11" s="303"/>
      <c r="ZI11" s="303"/>
      <c r="ZJ11" s="303"/>
      <c r="ZK11" s="303"/>
      <c r="ZL11" s="303"/>
      <c r="ZM11" s="303"/>
      <c r="ZN11" s="303"/>
      <c r="ZO11" s="303"/>
      <c r="ZP11" s="303"/>
      <c r="ZQ11" s="303"/>
      <c r="ZR11" s="303"/>
      <c r="ZS11" s="303"/>
      <c r="ZT11" s="303"/>
      <c r="ZU11" s="303"/>
      <c r="ZV11" s="303"/>
      <c r="ZW11" s="303"/>
      <c r="ZX11" s="303"/>
      <c r="ZY11" s="303"/>
      <c r="ZZ11" s="303"/>
      <c r="AAA11" s="303"/>
      <c r="AAB11" s="303"/>
      <c r="AAC11" s="303"/>
      <c r="AAD11" s="303"/>
      <c r="AAE11" s="303"/>
      <c r="AAF11" s="303"/>
      <c r="AAG11" s="303"/>
      <c r="AAH11" s="303"/>
      <c r="AAI11" s="303"/>
      <c r="AAJ11" s="303"/>
      <c r="AAK11" s="303"/>
      <c r="AAL11" s="303"/>
      <c r="AAM11" s="303"/>
      <c r="AAN11" s="303"/>
      <c r="AAO11" s="303"/>
      <c r="AAP11" s="303"/>
      <c r="AAQ11" s="303"/>
      <c r="AAR11" s="303"/>
      <c r="AAS11" s="303"/>
      <c r="AAT11" s="303"/>
      <c r="AAU11" s="303"/>
      <c r="AAV11" s="303"/>
      <c r="AAW11" s="303"/>
      <c r="AAX11" s="303"/>
      <c r="AAY11" s="303"/>
      <c r="AAZ11" s="303"/>
      <c r="ABA11" s="303"/>
      <c r="ABB11" s="303"/>
      <c r="ABC11" s="303"/>
      <c r="ABD11" s="303"/>
      <c r="ABE11" s="303"/>
      <c r="ABF11" s="303"/>
      <c r="ABG11" s="303"/>
      <c r="ABH11" s="303"/>
      <c r="ABI11" s="303"/>
      <c r="ABJ11" s="303"/>
      <c r="ABK11" s="303"/>
      <c r="ABL11" s="303"/>
      <c r="ABM11" s="303"/>
      <c r="ABN11" s="303"/>
      <c r="ABO11" s="303"/>
      <c r="ABP11" s="303"/>
      <c r="ABQ11" s="303"/>
      <c r="ABR11" s="303"/>
      <c r="ABS11" s="303"/>
      <c r="ABT11" s="303"/>
      <c r="ABU11" s="303"/>
      <c r="ABV11" s="303"/>
      <c r="ABW11" s="303"/>
      <c r="ABX11" s="303"/>
      <c r="ABY11" s="303"/>
      <c r="ABZ11" s="303"/>
      <c r="ACA11" s="303"/>
      <c r="ACB11" s="303"/>
      <c r="ACC11" s="303"/>
      <c r="ACD11" s="303"/>
      <c r="ACE11" s="303"/>
      <c r="ACF11" s="303"/>
      <c r="ACG11" s="303"/>
      <c r="ACH11" s="303"/>
      <c r="ACI11" s="303"/>
      <c r="ACJ11" s="303"/>
      <c r="ACK11" s="303"/>
      <c r="ACL11" s="303"/>
      <c r="ACM11" s="303"/>
      <c r="ACN11" s="303"/>
      <c r="ACO11" s="303"/>
      <c r="ACP11" s="303"/>
      <c r="ACQ11" s="303"/>
      <c r="ACR11" s="303"/>
      <c r="ACS11" s="303"/>
      <c r="ACT11" s="303"/>
      <c r="ACU11" s="303"/>
      <c r="ACV11" s="303"/>
      <c r="ACW11" s="303"/>
      <c r="ACX11" s="303"/>
      <c r="ACY11" s="303"/>
      <c r="ACZ11" s="303"/>
      <c r="ADA11" s="303"/>
      <c r="ADB11" s="303"/>
      <c r="ADC11" s="303"/>
      <c r="ADD11" s="303"/>
      <c r="ADE11" s="303"/>
      <c r="ADF11" s="303"/>
      <c r="ADG11" s="303"/>
      <c r="ADH11" s="303"/>
      <c r="ADI11" s="303"/>
      <c r="ADJ11" s="303"/>
      <c r="ADK11" s="303"/>
      <c r="ADL11" s="303"/>
      <c r="ADM11" s="303"/>
      <c r="ADN11" s="303"/>
      <c r="ADO11" s="303"/>
      <c r="ADP11" s="303"/>
      <c r="ADQ11" s="303"/>
      <c r="ADR11" s="303"/>
      <c r="ADS11" s="303"/>
      <c r="ADT11" s="303"/>
      <c r="ADU11" s="303"/>
      <c r="ADV11" s="303"/>
      <c r="ADW11" s="303"/>
      <c r="ADX11" s="303"/>
      <c r="ADY11" s="303"/>
      <c r="ADZ11" s="303"/>
      <c r="AEA11" s="303"/>
      <c r="AEB11" s="303"/>
      <c r="AEC11" s="303"/>
      <c r="AED11" s="303"/>
      <c r="AEE11" s="303"/>
      <c r="AEF11" s="303"/>
      <c r="AEG11" s="303"/>
      <c r="AEH11" s="303"/>
      <c r="AEI11" s="303"/>
      <c r="AEJ11" s="303"/>
      <c r="AEK11" s="303"/>
      <c r="AEL11" s="303"/>
      <c r="AEM11" s="303"/>
      <c r="AEN11" s="303"/>
      <c r="AEO11" s="303"/>
      <c r="AEP11" s="303"/>
      <c r="AEQ11" s="303"/>
      <c r="AER11" s="303"/>
      <c r="AES11" s="303"/>
      <c r="AET11" s="303"/>
      <c r="AEU11" s="303"/>
      <c r="AEV11" s="303"/>
      <c r="AEW11" s="303"/>
      <c r="AEX11" s="303"/>
      <c r="AEY11" s="303"/>
      <c r="AEZ11" s="303"/>
      <c r="AFA11" s="303"/>
      <c r="AFB11" s="303"/>
      <c r="AFC11" s="303"/>
      <c r="AFD11" s="303"/>
      <c r="AFE11" s="303"/>
      <c r="AFF11" s="303"/>
      <c r="AFG11" s="303"/>
      <c r="AFH11" s="303"/>
      <c r="AFI11" s="303"/>
      <c r="AFJ11" s="303"/>
      <c r="AFK11" s="303"/>
      <c r="AFL11" s="303"/>
      <c r="AFM11" s="303"/>
      <c r="AFN11" s="303"/>
      <c r="AFO11" s="303"/>
      <c r="AFP11" s="303"/>
      <c r="AFQ11" s="303"/>
      <c r="AFR11" s="303"/>
      <c r="AFS11" s="303"/>
      <c r="AFT11" s="303"/>
      <c r="AFU11" s="303"/>
      <c r="AFV11" s="303"/>
      <c r="AFW11" s="303"/>
      <c r="AFX11" s="303"/>
      <c r="AFY11" s="303"/>
      <c r="AFZ11" s="303"/>
      <c r="AGA11" s="303"/>
      <c r="AGB11" s="303"/>
      <c r="AGC11" s="303"/>
      <c r="AGD11" s="303"/>
      <c r="AGE11" s="303"/>
      <c r="AGF11" s="303"/>
      <c r="AGG11" s="303"/>
      <c r="AGH11" s="303"/>
      <c r="AGI11" s="303"/>
      <c r="AGJ11" s="303"/>
      <c r="AGK11" s="303"/>
      <c r="AGL11" s="303"/>
      <c r="AGM11" s="303"/>
      <c r="AGN11" s="303"/>
      <c r="AGO11" s="303"/>
      <c r="AGP11" s="303"/>
      <c r="AGQ11" s="303"/>
      <c r="AGR11" s="303"/>
      <c r="AGS11" s="303"/>
      <c r="AGT11" s="303"/>
      <c r="AGU11" s="303"/>
      <c r="AGV11" s="303"/>
      <c r="AGW11" s="303"/>
      <c r="AGX11" s="303"/>
      <c r="AGY11" s="303"/>
      <c r="AGZ11" s="303"/>
      <c r="AHA11" s="303"/>
      <c r="AHB11" s="303"/>
      <c r="AHC11" s="303"/>
      <c r="AHD11" s="303"/>
      <c r="AHE11" s="303"/>
      <c r="AHF11" s="303"/>
      <c r="AHG11" s="303"/>
      <c r="AHH11" s="303"/>
      <c r="AHI11" s="303"/>
      <c r="AHJ11" s="303"/>
      <c r="AHK11" s="303"/>
      <c r="AHL11" s="303"/>
      <c r="AHM11" s="303"/>
      <c r="AHN11" s="303"/>
      <c r="AHO11" s="303"/>
      <c r="AHP11" s="303"/>
      <c r="AHQ11" s="303"/>
      <c r="AHR11" s="303"/>
      <c r="AHS11" s="303"/>
      <c r="AHT11" s="303"/>
      <c r="AHU11" s="303"/>
      <c r="AHV11" s="303"/>
      <c r="AHW11" s="303"/>
      <c r="AHX11" s="303"/>
      <c r="AHY11" s="303"/>
      <c r="AHZ11" s="303"/>
      <c r="AIA11" s="303"/>
      <c r="AIB11" s="303"/>
      <c r="AIC11" s="303"/>
      <c r="AID11" s="303"/>
      <c r="AIE11" s="303"/>
      <c r="AIF11" s="303"/>
      <c r="AIG11" s="303"/>
      <c r="AIH11" s="303"/>
      <c r="AII11" s="303"/>
      <c r="AIJ11" s="303"/>
      <c r="AIK11" s="303"/>
      <c r="AIL11" s="303"/>
      <c r="AIM11" s="303"/>
      <c r="AIN11" s="303"/>
      <c r="AIO11" s="303"/>
      <c r="AIP11" s="303"/>
      <c r="AIQ11" s="303"/>
      <c r="AIR11" s="303"/>
      <c r="AIS11" s="303"/>
      <c r="AIT11" s="303"/>
      <c r="AIU11" s="303"/>
      <c r="AIV11" s="303"/>
      <c r="AIW11" s="303"/>
      <c r="AIX11" s="303"/>
      <c r="AIY11" s="303"/>
      <c r="AIZ11" s="303"/>
      <c r="AJA11" s="303"/>
      <c r="AJB11" s="303"/>
      <c r="AJC11" s="303"/>
      <c r="AJD11" s="303"/>
      <c r="AJE11" s="303"/>
      <c r="AJF11" s="303"/>
      <c r="AJG11" s="303"/>
      <c r="AJH11" s="303"/>
      <c r="AJI11" s="303"/>
      <c r="AJJ11" s="303"/>
      <c r="AJK11" s="303"/>
      <c r="AJL11" s="303"/>
      <c r="AJM11" s="303"/>
      <c r="AJN11" s="303"/>
      <c r="AJO11" s="303"/>
      <c r="AJP11" s="303"/>
      <c r="AJQ11" s="303"/>
      <c r="AJR11" s="303"/>
      <c r="AJS11" s="303"/>
      <c r="AJT11" s="303"/>
      <c r="AJU11" s="303"/>
      <c r="AJV11" s="303"/>
      <c r="AJW11" s="303"/>
      <c r="AJX11" s="303"/>
      <c r="AJY11" s="303"/>
      <c r="AJZ11" s="303"/>
      <c r="AKA11" s="303"/>
      <c r="AKB11" s="303"/>
      <c r="AKC11" s="303"/>
      <c r="AKD11" s="303"/>
      <c r="AKE11" s="303"/>
      <c r="AKF11" s="303"/>
      <c r="AKG11" s="303"/>
      <c r="AKH11" s="303"/>
      <c r="AKI11" s="303"/>
      <c r="AKJ11" s="303"/>
      <c r="AKK11" s="303"/>
      <c r="AKL11" s="303"/>
      <c r="AKM11" s="303"/>
      <c r="AKN11" s="303"/>
      <c r="AKO11" s="303"/>
      <c r="AKP11" s="303"/>
      <c r="AKQ11" s="303"/>
      <c r="AKR11" s="303"/>
      <c r="AKS11" s="303"/>
      <c r="AKT11" s="303"/>
      <c r="AKU11" s="303"/>
      <c r="AKV11" s="303"/>
      <c r="AKW11" s="303"/>
      <c r="AKX11" s="303"/>
      <c r="AKY11" s="303"/>
      <c r="AKZ11" s="303"/>
      <c r="ALA11" s="303"/>
      <c r="ALB11" s="303"/>
      <c r="ALC11" s="303"/>
      <c r="ALD11" s="303"/>
      <c r="ALE11" s="303"/>
      <c r="ALF11" s="303"/>
      <c r="ALG11" s="303"/>
      <c r="ALH11" s="303"/>
      <c r="ALI11" s="303"/>
      <c r="ALJ11" s="303"/>
      <c r="ALK11" s="303"/>
      <c r="ALL11" s="303"/>
      <c r="ALM11" s="303"/>
      <c r="ALN11" s="303"/>
      <c r="ALO11" s="303"/>
      <c r="ALP11" s="303"/>
      <c r="ALQ11" s="303"/>
      <c r="ALR11" s="303"/>
      <c r="ALS11" s="303"/>
      <c r="ALT11" s="303"/>
      <c r="ALU11" s="303"/>
      <c r="ALV11" s="303"/>
      <c r="ALW11" s="303"/>
      <c r="ALX11" s="303"/>
      <c r="ALY11" s="303"/>
      <c r="ALZ11" s="303"/>
      <c r="AMA11" s="303"/>
      <c r="AMB11" s="303"/>
      <c r="AMC11" s="303"/>
      <c r="AMD11" s="303"/>
      <c r="AME11" s="303"/>
      <c r="AMF11" s="303"/>
      <c r="AMG11" s="303"/>
      <c r="AMH11" s="303"/>
      <c r="AMI11" s="303"/>
      <c r="AMJ11" s="303"/>
      <c r="AMK11" s="303"/>
      <c r="AML11" s="303"/>
      <c r="AMM11" s="303"/>
      <c r="AMN11" s="303"/>
      <c r="AMO11" s="303"/>
      <c r="AMP11" s="303"/>
      <c r="AMQ11" s="303"/>
      <c r="AMR11" s="303"/>
      <c r="AMS11" s="303"/>
      <c r="AMT11" s="303"/>
      <c r="AMU11" s="303"/>
      <c r="AMV11" s="303"/>
      <c r="AMW11" s="303"/>
      <c r="AMX11" s="303"/>
      <c r="AMY11" s="303"/>
      <c r="AMZ11" s="303"/>
      <c r="ANA11" s="303"/>
      <c r="ANB11" s="303"/>
      <c r="ANC11" s="303"/>
      <c r="AND11" s="303"/>
      <c r="ANE11" s="303"/>
      <c r="ANF11" s="303"/>
      <c r="ANG11" s="303"/>
      <c r="ANH11" s="303"/>
      <c r="ANI11" s="303"/>
      <c r="ANJ11" s="303"/>
      <c r="ANK11" s="303"/>
      <c r="ANL11" s="303"/>
      <c r="ANM11" s="303"/>
      <c r="ANN11" s="303"/>
      <c r="ANO11" s="303"/>
      <c r="ANP11" s="303"/>
      <c r="ANQ11" s="303"/>
      <c r="ANR11" s="303"/>
      <c r="ANS11" s="303"/>
      <c r="ANT11" s="303"/>
      <c r="ANU11" s="303"/>
      <c r="ANV11" s="303"/>
      <c r="ANW11" s="303"/>
      <c r="ANX11" s="303"/>
      <c r="ANY11" s="303"/>
      <c r="ANZ11" s="303"/>
      <c r="AOA11" s="303"/>
      <c r="AOB11" s="303"/>
      <c r="AOC11" s="303"/>
      <c r="AOD11" s="303"/>
      <c r="AOE11" s="303"/>
      <c r="AOF11" s="303"/>
      <c r="AOG11" s="303"/>
      <c r="AOH11" s="303"/>
      <c r="AOI11" s="303"/>
      <c r="AOJ11" s="303"/>
      <c r="AOK11" s="303"/>
      <c r="AOL11" s="303"/>
      <c r="AOM11" s="303"/>
      <c r="AON11" s="303"/>
      <c r="AOO11" s="303"/>
      <c r="AOP11" s="303"/>
      <c r="AOQ11" s="303"/>
      <c r="AOR11" s="303"/>
      <c r="AOS11" s="303"/>
      <c r="AOT11" s="303"/>
      <c r="AOU11" s="303"/>
      <c r="AOV11" s="303"/>
      <c r="AOW11" s="303"/>
      <c r="AOX11" s="303"/>
      <c r="AOY11" s="303"/>
      <c r="AOZ11" s="303"/>
      <c r="APA11" s="303"/>
      <c r="APB11" s="303"/>
      <c r="APC11" s="303"/>
      <c r="APD11" s="303"/>
      <c r="APE11" s="303"/>
      <c r="APF11" s="303"/>
      <c r="APG11" s="303"/>
      <c r="APH11" s="303"/>
      <c r="API11" s="303"/>
      <c r="APJ11" s="303"/>
      <c r="APK11" s="303"/>
      <c r="APL11" s="303"/>
      <c r="APM11" s="303"/>
      <c r="APN11" s="303"/>
      <c r="APO11" s="303"/>
      <c r="APP11" s="303"/>
      <c r="APQ11" s="303"/>
      <c r="APR11" s="303"/>
      <c r="APS11" s="303"/>
      <c r="APT11" s="303"/>
      <c r="APU11" s="303"/>
      <c r="APV11" s="303"/>
      <c r="APW11" s="303"/>
      <c r="APX11" s="303"/>
      <c r="APY11" s="303"/>
      <c r="APZ11" s="303"/>
      <c r="AQA11" s="303"/>
      <c r="AQB11" s="303"/>
      <c r="AQC11" s="303"/>
      <c r="AQD11" s="303"/>
      <c r="AQE11" s="303"/>
      <c r="AQF11" s="303"/>
      <c r="AQG11" s="303"/>
      <c r="AQH11" s="303"/>
      <c r="AQI11" s="303"/>
      <c r="AQJ11" s="303"/>
      <c r="AQK11" s="303"/>
      <c r="AQL11" s="303"/>
      <c r="AQM11" s="303"/>
      <c r="AQN11" s="303"/>
      <c r="AQO11" s="303"/>
      <c r="AQP11" s="303"/>
      <c r="AQQ11" s="303"/>
      <c r="AQR11" s="303"/>
      <c r="AQS11" s="303"/>
      <c r="AQT11" s="303"/>
      <c r="AQU11" s="303"/>
      <c r="AQV11" s="303"/>
      <c r="AQW11" s="303"/>
      <c r="AQX11" s="303"/>
      <c r="AQY11" s="303"/>
      <c r="AQZ11" s="303"/>
      <c r="ARA11" s="303"/>
      <c r="ARB11" s="303"/>
      <c r="ARC11" s="303"/>
      <c r="ARD11" s="303"/>
      <c r="ARE11" s="303"/>
      <c r="ARF11" s="303"/>
      <c r="ARG11" s="303"/>
      <c r="ARH11" s="303"/>
      <c r="ARI11" s="303"/>
      <c r="ARJ11" s="303"/>
      <c r="ARK11" s="303"/>
      <c r="ARL11" s="303"/>
      <c r="ARM11" s="303"/>
      <c r="ARN11" s="303"/>
      <c r="ARO11" s="303"/>
      <c r="ARP11" s="303"/>
      <c r="ARQ11" s="303"/>
      <c r="ARR11" s="303"/>
      <c r="ARS11" s="303"/>
      <c r="ART11" s="303"/>
      <c r="ARU11" s="303"/>
      <c r="ARV11" s="303"/>
      <c r="ARW11" s="303"/>
      <c r="ARX11" s="303"/>
      <c r="ARY11" s="303"/>
      <c r="ARZ11" s="303"/>
      <c r="ASA11" s="303"/>
      <c r="ASB11" s="303"/>
      <c r="ASC11" s="303"/>
      <c r="ASD11" s="303"/>
      <c r="ASE11" s="303"/>
      <c r="ASF11" s="303"/>
      <c r="ASG11" s="303"/>
      <c r="ASH11" s="303"/>
      <c r="ASI11" s="303"/>
      <c r="ASJ11" s="303"/>
      <c r="ASK11" s="303"/>
      <c r="ASL11" s="303"/>
      <c r="ASM11" s="303"/>
      <c r="ASN11" s="303"/>
      <c r="ASO11" s="303"/>
      <c r="ASP11" s="303"/>
      <c r="ASQ11" s="303"/>
      <c r="ASR11" s="303"/>
      <c r="ASS11" s="303"/>
      <c r="AST11" s="303"/>
      <c r="ASU11" s="303"/>
      <c r="ASV11" s="303"/>
      <c r="ASW11" s="303"/>
      <c r="ASX11" s="303"/>
      <c r="ASY11" s="303"/>
      <c r="ASZ11" s="303"/>
      <c r="ATA11" s="303"/>
      <c r="ATB11" s="303"/>
      <c r="ATC11" s="303"/>
      <c r="ATD11" s="303"/>
      <c r="ATE11" s="303"/>
      <c r="ATF11" s="303"/>
      <c r="ATG11" s="303"/>
      <c r="ATH11" s="303"/>
      <c r="ATI11" s="303"/>
      <c r="ATJ11" s="303"/>
      <c r="ATK11" s="303"/>
      <c r="ATL11" s="303"/>
      <c r="ATM11" s="303"/>
      <c r="ATN11" s="303"/>
      <c r="ATO11" s="303"/>
      <c r="ATP11" s="303"/>
      <c r="ATQ11" s="303"/>
      <c r="ATR11" s="303"/>
      <c r="ATS11" s="303"/>
      <c r="ATT11" s="303"/>
      <c r="ATU11" s="303"/>
      <c r="ATV11" s="303"/>
      <c r="ATW11" s="303"/>
      <c r="ATX11" s="303"/>
      <c r="ATY11" s="303"/>
      <c r="ATZ11" s="303"/>
      <c r="AUA11" s="303"/>
      <c r="AUB11" s="303"/>
      <c r="AUC11" s="303"/>
      <c r="AUD11" s="303"/>
      <c r="AUE11" s="303"/>
      <c r="AUF11" s="303"/>
      <c r="AUG11" s="303"/>
      <c r="AUH11" s="303"/>
      <c r="AUI11" s="303"/>
      <c r="AUJ11" s="303"/>
      <c r="AUK11" s="303"/>
      <c r="AUL11" s="303"/>
      <c r="AUM11" s="303"/>
      <c r="AUN11" s="303"/>
      <c r="AUO11" s="303"/>
      <c r="AUP11" s="303"/>
      <c r="AUQ11" s="303"/>
      <c r="AUR11" s="303"/>
      <c r="AUS11" s="303"/>
      <c r="AUT11" s="303"/>
      <c r="AUU11" s="303"/>
      <c r="AUV11" s="303"/>
      <c r="AUW11" s="303"/>
      <c r="AUX11" s="303"/>
      <c r="AUY11" s="303"/>
      <c r="AUZ11" s="303"/>
      <c r="AVA11" s="303"/>
      <c r="AVB11" s="303"/>
      <c r="AVC11" s="303"/>
      <c r="AVD11" s="303"/>
      <c r="AVE11" s="303"/>
      <c r="AVF11" s="303"/>
      <c r="AVG11" s="303"/>
      <c r="AVH11" s="303"/>
      <c r="AVI11" s="303"/>
      <c r="AVJ11" s="303"/>
      <c r="AVK11" s="303"/>
      <c r="AVL11" s="303"/>
      <c r="AVM11" s="303"/>
      <c r="AVN11" s="303"/>
      <c r="AVO11" s="303"/>
      <c r="AVP11" s="303"/>
      <c r="AVQ11" s="303"/>
      <c r="AVR11" s="303"/>
      <c r="AVS11" s="303"/>
      <c r="AVT11" s="303"/>
      <c r="AVU11" s="303"/>
      <c r="AVV11" s="303"/>
      <c r="AVW11" s="303"/>
      <c r="AVX11" s="303"/>
      <c r="AVY11" s="303"/>
      <c r="AVZ11" s="303"/>
      <c r="AWA11" s="303"/>
      <c r="AWB11" s="303"/>
      <c r="AWC11" s="303"/>
      <c r="AWD11" s="303"/>
      <c r="AWE11" s="303"/>
      <c r="AWF11" s="303"/>
      <c r="AWG11" s="303"/>
      <c r="AWH11" s="303"/>
      <c r="AWI11" s="303"/>
      <c r="AWJ11" s="303"/>
      <c r="AWK11" s="303"/>
      <c r="AWL11" s="303"/>
      <c r="AWM11" s="303"/>
      <c r="AWN11" s="303"/>
      <c r="AWO11" s="303"/>
      <c r="AWP11" s="303"/>
      <c r="AWQ11" s="303"/>
      <c r="AWR11" s="303"/>
      <c r="AWS11" s="303"/>
      <c r="AWT11" s="303"/>
      <c r="AWU11" s="303"/>
      <c r="AWV11" s="303"/>
      <c r="AWW11" s="303"/>
      <c r="AWX11" s="303"/>
      <c r="AWY11" s="303"/>
      <c r="AWZ11" s="303"/>
      <c r="AXA11" s="303"/>
      <c r="AXB11" s="303"/>
      <c r="AXC11" s="303"/>
      <c r="AXD11" s="303"/>
      <c r="AXE11" s="303"/>
      <c r="AXF11" s="303"/>
      <c r="AXG11" s="303"/>
      <c r="AXH11" s="303"/>
      <c r="AXI11" s="303"/>
      <c r="AXJ11" s="303"/>
      <c r="AXK11" s="303"/>
      <c r="AXL11" s="303"/>
      <c r="AXM11" s="303"/>
      <c r="AXN11" s="303"/>
      <c r="AXO11" s="303"/>
      <c r="AXP11" s="303"/>
      <c r="AXQ11" s="303"/>
      <c r="AXR11" s="303"/>
      <c r="AXS11" s="303"/>
      <c r="AXT11" s="303"/>
      <c r="AXU11" s="303"/>
      <c r="AXV11" s="303"/>
      <c r="AXW11" s="303"/>
      <c r="AXX11" s="303"/>
      <c r="AXY11" s="303"/>
      <c r="AXZ11" s="303"/>
      <c r="AYA11" s="303"/>
      <c r="AYB11" s="303"/>
      <c r="AYC11" s="303"/>
      <c r="AYD11" s="303"/>
      <c r="AYE11" s="303"/>
      <c r="AYF11" s="303"/>
      <c r="AYG11" s="303"/>
      <c r="AYH11" s="303"/>
    </row>
    <row r="12" spans="1:1334" ht="24.75" x14ac:dyDescent="0.25">
      <c r="A12" s="304" t="s">
        <v>595</v>
      </c>
      <c r="B12" s="298" t="s">
        <v>1316</v>
      </c>
      <c r="C12" s="303"/>
      <c r="D12" s="303"/>
      <c r="E12" s="303"/>
      <c r="F12" s="303"/>
      <c r="G12" s="303"/>
      <c r="H12" s="303"/>
      <c r="I12" s="303"/>
      <c r="J12" s="303"/>
      <c r="K12" s="303"/>
      <c r="L12" s="303"/>
      <c r="M12" s="303"/>
      <c r="N12" s="303"/>
      <c r="O12" s="303"/>
      <c r="P12" s="303"/>
      <c r="Q12" s="303"/>
      <c r="R12" s="303"/>
      <c r="S12" s="303"/>
      <c r="T12" s="303"/>
      <c r="U12" s="303"/>
      <c r="V12" s="303"/>
      <c r="W12" s="303"/>
      <c r="X12" s="303"/>
      <c r="Y12" s="303"/>
      <c r="Z12" s="303"/>
      <c r="AA12" s="303"/>
      <c r="AB12" s="303"/>
      <c r="AC12" s="303"/>
      <c r="AD12" s="303"/>
      <c r="AE12" s="303"/>
      <c r="AF12" s="303"/>
      <c r="AG12" s="303"/>
      <c r="AH12" s="303"/>
      <c r="AI12" s="303"/>
      <c r="AJ12" s="303"/>
      <c r="AK12" s="303"/>
      <c r="AL12" s="303"/>
      <c r="AM12" s="303"/>
      <c r="AN12" s="303"/>
      <c r="AO12" s="303"/>
      <c r="AP12" s="303"/>
      <c r="AQ12" s="303"/>
      <c r="AR12" s="303"/>
      <c r="AS12" s="303"/>
      <c r="AT12" s="303"/>
      <c r="AU12" s="303"/>
      <c r="AV12" s="303"/>
      <c r="AW12" s="303"/>
      <c r="AX12" s="303"/>
      <c r="AY12" s="303"/>
      <c r="AZ12" s="303"/>
      <c r="BA12" s="303"/>
      <c r="BB12" s="303"/>
      <c r="BC12" s="303"/>
      <c r="BD12" s="303"/>
      <c r="BE12" s="303"/>
      <c r="BF12" s="303"/>
      <c r="BG12" s="303"/>
      <c r="BH12" s="303"/>
      <c r="BI12" s="303"/>
      <c r="BJ12" s="303"/>
      <c r="BK12" s="303"/>
      <c r="BL12" s="303"/>
      <c r="BM12" s="303"/>
      <c r="BN12" s="303"/>
      <c r="BO12" s="303"/>
      <c r="BP12" s="303"/>
      <c r="BQ12" s="303"/>
      <c r="BR12" s="303"/>
      <c r="BS12" s="303"/>
      <c r="BT12" s="303"/>
      <c r="BU12" s="303"/>
      <c r="BV12" s="303"/>
      <c r="BW12" s="303"/>
      <c r="BX12" s="303"/>
      <c r="BY12" s="303"/>
      <c r="BZ12" s="303"/>
      <c r="CA12" s="303"/>
      <c r="CB12" s="303"/>
      <c r="CC12" s="303"/>
      <c r="CD12" s="303"/>
      <c r="CE12" s="303"/>
      <c r="CF12" s="303"/>
      <c r="CG12" s="303"/>
      <c r="CH12" s="303"/>
      <c r="CI12" s="303"/>
      <c r="CJ12" s="303"/>
      <c r="CK12" s="303"/>
      <c r="CL12" s="303"/>
      <c r="CM12" s="303"/>
      <c r="CN12" s="303"/>
      <c r="CO12" s="303"/>
      <c r="CP12" s="303"/>
      <c r="CQ12" s="303"/>
      <c r="CR12" s="303"/>
      <c r="CS12" s="303"/>
      <c r="CT12" s="303"/>
      <c r="CU12" s="303"/>
      <c r="CV12" s="303"/>
      <c r="CW12" s="303"/>
      <c r="CX12" s="303"/>
      <c r="CY12" s="303"/>
      <c r="CZ12" s="303"/>
      <c r="DA12" s="303"/>
      <c r="DB12" s="303"/>
      <c r="DC12" s="303"/>
      <c r="DD12" s="303"/>
      <c r="DE12" s="303"/>
      <c r="DF12" s="303"/>
      <c r="DG12" s="303"/>
      <c r="DH12" s="303"/>
      <c r="DI12" s="303"/>
      <c r="DJ12" s="303"/>
      <c r="DK12" s="303"/>
      <c r="DL12" s="303"/>
      <c r="DM12" s="303"/>
      <c r="DN12" s="303"/>
      <c r="DO12" s="303"/>
      <c r="DP12" s="303"/>
      <c r="DQ12" s="303"/>
      <c r="DR12" s="303"/>
      <c r="DS12" s="303"/>
      <c r="DT12" s="303"/>
      <c r="DU12" s="303"/>
      <c r="DV12" s="303"/>
      <c r="DW12" s="303"/>
      <c r="DX12" s="303"/>
      <c r="DY12" s="303"/>
      <c r="DZ12" s="303"/>
      <c r="EA12" s="303"/>
      <c r="EB12" s="303"/>
      <c r="EC12" s="303"/>
      <c r="ED12" s="303"/>
      <c r="EE12" s="303"/>
      <c r="EF12" s="303"/>
      <c r="EG12" s="303"/>
      <c r="EH12" s="303"/>
      <c r="EI12" s="303"/>
      <c r="EJ12" s="303"/>
      <c r="EK12" s="303"/>
      <c r="EL12" s="303"/>
      <c r="EM12" s="303"/>
      <c r="EN12" s="303"/>
      <c r="EO12" s="303"/>
      <c r="EP12" s="303"/>
      <c r="EQ12" s="303"/>
      <c r="ER12" s="303"/>
      <c r="ES12" s="303"/>
      <c r="ET12" s="303"/>
      <c r="EU12" s="303"/>
      <c r="EV12" s="303"/>
      <c r="EW12" s="303"/>
      <c r="EX12" s="303"/>
      <c r="EY12" s="303"/>
      <c r="EZ12" s="303"/>
      <c r="FA12" s="303"/>
      <c r="FB12" s="303"/>
      <c r="FC12" s="303"/>
      <c r="FD12" s="303"/>
      <c r="FE12" s="303"/>
      <c r="FF12" s="303"/>
      <c r="FG12" s="303"/>
      <c r="FH12" s="303"/>
      <c r="FI12" s="303"/>
      <c r="FJ12" s="303"/>
      <c r="FK12" s="303"/>
      <c r="FL12" s="303"/>
      <c r="FM12" s="303"/>
      <c r="FN12" s="303"/>
      <c r="FO12" s="303"/>
      <c r="FP12" s="303"/>
      <c r="FQ12" s="303"/>
      <c r="FR12" s="303"/>
      <c r="FS12" s="303"/>
      <c r="FT12" s="303"/>
      <c r="FU12" s="303"/>
      <c r="FV12" s="303"/>
      <c r="FW12" s="303"/>
      <c r="FX12" s="303"/>
      <c r="FY12" s="303"/>
      <c r="FZ12" s="303"/>
      <c r="GA12" s="303"/>
      <c r="GB12" s="303"/>
      <c r="GC12" s="303"/>
      <c r="GD12" s="303"/>
      <c r="GE12" s="303"/>
      <c r="GF12" s="303"/>
      <c r="GG12" s="303"/>
      <c r="GH12" s="303"/>
      <c r="GI12" s="303"/>
      <c r="GJ12" s="303"/>
      <c r="GK12" s="303"/>
      <c r="GL12" s="303"/>
      <c r="GM12" s="303"/>
      <c r="GN12" s="303"/>
      <c r="GO12" s="303"/>
      <c r="GP12" s="303"/>
      <c r="GQ12" s="303"/>
      <c r="GR12" s="303"/>
      <c r="GS12" s="303"/>
      <c r="GT12" s="303"/>
      <c r="GU12" s="303"/>
      <c r="GV12" s="303"/>
      <c r="GW12" s="303"/>
      <c r="GX12" s="303"/>
      <c r="GY12" s="303"/>
      <c r="GZ12" s="303"/>
      <c r="HA12" s="303"/>
      <c r="HB12" s="303"/>
      <c r="HC12" s="303"/>
      <c r="HD12" s="303"/>
      <c r="HE12" s="303"/>
      <c r="HF12" s="303"/>
      <c r="HG12" s="303"/>
      <c r="HH12" s="303"/>
      <c r="HI12" s="303"/>
      <c r="HJ12" s="303"/>
      <c r="HK12" s="303"/>
      <c r="HL12" s="303"/>
      <c r="HM12" s="303"/>
      <c r="HN12" s="303"/>
      <c r="HO12" s="303"/>
      <c r="HP12" s="303"/>
      <c r="HQ12" s="303"/>
      <c r="HR12" s="303"/>
      <c r="HS12" s="303"/>
      <c r="HT12" s="303"/>
      <c r="HU12" s="303"/>
      <c r="HV12" s="303"/>
      <c r="HW12" s="303"/>
      <c r="HX12" s="303"/>
      <c r="HY12" s="303"/>
      <c r="HZ12" s="303"/>
      <c r="IA12" s="303"/>
      <c r="IB12" s="303"/>
      <c r="IC12" s="303"/>
      <c r="ID12" s="303"/>
      <c r="IE12" s="303"/>
      <c r="IF12" s="303"/>
      <c r="IG12" s="303"/>
      <c r="IH12" s="303"/>
      <c r="II12" s="303"/>
      <c r="IJ12" s="303"/>
      <c r="IK12" s="303"/>
      <c r="IL12" s="303"/>
      <c r="IM12" s="303"/>
      <c r="IN12" s="303"/>
      <c r="IO12" s="303"/>
      <c r="IP12" s="303"/>
      <c r="IQ12" s="303"/>
      <c r="IR12" s="303"/>
      <c r="IS12" s="303"/>
      <c r="IT12" s="303"/>
      <c r="IU12" s="303"/>
      <c r="IV12" s="303"/>
      <c r="IW12" s="303"/>
      <c r="IX12" s="303"/>
      <c r="IY12" s="303"/>
      <c r="IZ12" s="303"/>
      <c r="JA12" s="303"/>
      <c r="JB12" s="303"/>
      <c r="JC12" s="303"/>
      <c r="JD12" s="303"/>
      <c r="JE12" s="303"/>
      <c r="JF12" s="303"/>
      <c r="JG12" s="303"/>
      <c r="JH12" s="303"/>
      <c r="JI12" s="303"/>
      <c r="JJ12" s="303"/>
      <c r="JK12" s="303"/>
      <c r="JL12" s="303"/>
      <c r="JM12" s="303"/>
      <c r="JN12" s="303"/>
      <c r="JO12" s="303"/>
      <c r="JP12" s="303"/>
      <c r="JQ12" s="303"/>
      <c r="JR12" s="303"/>
      <c r="JS12" s="303"/>
      <c r="JT12" s="303"/>
      <c r="JU12" s="303"/>
      <c r="JV12" s="303"/>
      <c r="JW12" s="303"/>
      <c r="JX12" s="303"/>
      <c r="JY12" s="303"/>
      <c r="JZ12" s="303"/>
      <c r="KA12" s="303"/>
      <c r="KB12" s="303"/>
      <c r="KC12" s="303"/>
      <c r="KD12" s="303"/>
      <c r="KE12" s="303"/>
      <c r="KF12" s="303"/>
      <c r="KG12" s="303"/>
      <c r="KH12" s="303"/>
      <c r="KI12" s="303"/>
      <c r="KJ12" s="303"/>
      <c r="KK12" s="303"/>
      <c r="KL12" s="303"/>
      <c r="KM12" s="303"/>
      <c r="KN12" s="303"/>
      <c r="KO12" s="303"/>
      <c r="KP12" s="303"/>
      <c r="KQ12" s="303"/>
      <c r="KR12" s="303"/>
      <c r="KS12" s="303"/>
      <c r="KT12" s="303"/>
      <c r="KU12" s="303"/>
      <c r="KV12" s="303"/>
      <c r="KW12" s="303"/>
      <c r="KX12" s="303"/>
      <c r="KY12" s="303"/>
      <c r="KZ12" s="303"/>
      <c r="LA12" s="303"/>
      <c r="LB12" s="303"/>
      <c r="LC12" s="303"/>
      <c r="LD12" s="303"/>
      <c r="LE12" s="303"/>
      <c r="LF12" s="303"/>
      <c r="LG12" s="303"/>
      <c r="LH12" s="303"/>
      <c r="LI12" s="303"/>
      <c r="LJ12" s="303"/>
      <c r="LK12" s="303"/>
      <c r="LL12" s="303"/>
      <c r="LM12" s="303"/>
      <c r="LN12" s="303"/>
      <c r="LO12" s="303"/>
      <c r="LP12" s="303"/>
      <c r="LQ12" s="303"/>
      <c r="LR12" s="303"/>
      <c r="LS12" s="303"/>
      <c r="LT12" s="303"/>
      <c r="LU12" s="303"/>
      <c r="LV12" s="303"/>
      <c r="LW12" s="303"/>
      <c r="LX12" s="303"/>
      <c r="LY12" s="303"/>
      <c r="LZ12" s="303"/>
      <c r="MA12" s="303"/>
      <c r="MB12" s="303"/>
      <c r="MC12" s="303"/>
      <c r="MD12" s="303"/>
      <c r="ME12" s="303"/>
      <c r="MF12" s="303"/>
      <c r="MG12" s="303"/>
      <c r="MH12" s="303"/>
      <c r="MI12" s="303"/>
      <c r="MJ12" s="303"/>
      <c r="MK12" s="303"/>
      <c r="ML12" s="303"/>
      <c r="MM12" s="303"/>
      <c r="MN12" s="303"/>
      <c r="MO12" s="303"/>
      <c r="MP12" s="303"/>
      <c r="MQ12" s="303"/>
      <c r="MR12" s="303"/>
      <c r="MS12" s="303"/>
      <c r="MT12" s="303"/>
      <c r="MU12" s="303"/>
      <c r="MV12" s="303"/>
      <c r="MW12" s="303"/>
      <c r="MX12" s="303"/>
      <c r="MY12" s="303"/>
      <c r="MZ12" s="303"/>
      <c r="NA12" s="303"/>
      <c r="NB12" s="303"/>
      <c r="NC12" s="303"/>
      <c r="ND12" s="303"/>
      <c r="NE12" s="303"/>
      <c r="NF12" s="303"/>
      <c r="NG12" s="303"/>
      <c r="NH12" s="303"/>
      <c r="NI12" s="303"/>
      <c r="NJ12" s="303"/>
      <c r="NK12" s="303"/>
      <c r="NL12" s="303"/>
      <c r="NM12" s="303"/>
      <c r="NN12" s="303"/>
      <c r="NO12" s="303"/>
      <c r="NP12" s="303"/>
      <c r="NQ12" s="303"/>
      <c r="NR12" s="303"/>
      <c r="NS12" s="303"/>
      <c r="NT12" s="303"/>
      <c r="NU12" s="303"/>
      <c r="NV12" s="303"/>
      <c r="NW12" s="303"/>
      <c r="NX12" s="303"/>
      <c r="NY12" s="303"/>
      <c r="NZ12" s="303"/>
      <c r="OA12" s="303"/>
      <c r="OB12" s="303"/>
      <c r="OC12" s="303"/>
      <c r="OD12" s="303"/>
      <c r="OE12" s="303"/>
      <c r="OF12" s="303"/>
      <c r="OG12" s="303"/>
      <c r="OH12" s="303"/>
      <c r="OI12" s="303"/>
      <c r="OJ12" s="303"/>
      <c r="OK12" s="303"/>
      <c r="OL12" s="303"/>
      <c r="OM12" s="303"/>
      <c r="ON12" s="303"/>
      <c r="OO12" s="303"/>
      <c r="OP12" s="303"/>
      <c r="OQ12" s="303"/>
      <c r="OR12" s="303"/>
      <c r="OS12" s="303"/>
      <c r="OT12" s="303"/>
      <c r="OU12" s="303"/>
      <c r="OV12" s="303"/>
      <c r="OW12" s="303"/>
      <c r="OX12" s="303"/>
      <c r="OY12" s="303"/>
      <c r="OZ12" s="303"/>
      <c r="PA12" s="303"/>
      <c r="PB12" s="303"/>
      <c r="PC12" s="303"/>
      <c r="PD12" s="303"/>
      <c r="PE12" s="303"/>
      <c r="PF12" s="303"/>
      <c r="PG12" s="303"/>
      <c r="PH12" s="303"/>
      <c r="PI12" s="303"/>
      <c r="PJ12" s="303"/>
      <c r="PK12" s="303"/>
      <c r="PL12" s="303"/>
      <c r="PM12" s="303"/>
      <c r="PN12" s="303"/>
      <c r="PO12" s="303"/>
      <c r="PP12" s="303"/>
      <c r="PQ12" s="303"/>
      <c r="PR12" s="303"/>
      <c r="PS12" s="303"/>
      <c r="PT12" s="303"/>
      <c r="PU12" s="303"/>
      <c r="PV12" s="303"/>
      <c r="PW12" s="303"/>
      <c r="PX12" s="303"/>
      <c r="PY12" s="303"/>
      <c r="PZ12" s="303"/>
      <c r="QA12" s="303"/>
      <c r="QB12" s="303"/>
      <c r="QC12" s="303"/>
      <c r="QD12" s="303"/>
      <c r="QE12" s="303"/>
      <c r="QF12" s="303"/>
      <c r="QG12" s="303"/>
      <c r="QH12" s="303"/>
      <c r="QI12" s="303"/>
      <c r="QJ12" s="303"/>
      <c r="QK12" s="303"/>
      <c r="QL12" s="303"/>
      <c r="QM12" s="303"/>
      <c r="QN12" s="303"/>
      <c r="QO12" s="303"/>
      <c r="QP12" s="303"/>
      <c r="QQ12" s="303"/>
      <c r="QR12" s="303"/>
      <c r="QS12" s="303"/>
      <c r="QT12" s="303"/>
      <c r="QU12" s="303"/>
      <c r="QV12" s="303"/>
      <c r="QW12" s="303"/>
      <c r="QX12" s="303"/>
      <c r="QY12" s="303"/>
      <c r="QZ12" s="303"/>
      <c r="RA12" s="303"/>
      <c r="RB12" s="303"/>
      <c r="RC12" s="303"/>
      <c r="RD12" s="303"/>
      <c r="RE12" s="303"/>
      <c r="RF12" s="303"/>
      <c r="RG12" s="303"/>
      <c r="RH12" s="303"/>
      <c r="RI12" s="303"/>
      <c r="RJ12" s="303"/>
      <c r="RK12" s="303"/>
      <c r="RL12" s="303"/>
      <c r="RM12" s="303"/>
      <c r="RN12" s="303"/>
      <c r="RO12" s="303"/>
      <c r="RP12" s="303"/>
      <c r="RQ12" s="303"/>
      <c r="RR12" s="303"/>
      <c r="RS12" s="303"/>
      <c r="RT12" s="303"/>
      <c r="RU12" s="303"/>
      <c r="RV12" s="303"/>
      <c r="RW12" s="303"/>
      <c r="RX12" s="303"/>
      <c r="RY12" s="303"/>
      <c r="RZ12" s="303"/>
      <c r="SA12" s="303"/>
      <c r="SB12" s="303"/>
      <c r="SC12" s="303"/>
      <c r="SD12" s="303"/>
      <c r="SE12" s="303"/>
      <c r="SF12" s="303"/>
      <c r="SG12" s="303"/>
      <c r="SH12" s="303"/>
      <c r="SI12" s="303"/>
      <c r="SJ12" s="303"/>
      <c r="SK12" s="303"/>
      <c r="SL12" s="303"/>
      <c r="SM12" s="303"/>
      <c r="SN12" s="303"/>
      <c r="SO12" s="303"/>
      <c r="SP12" s="303"/>
      <c r="SQ12" s="303"/>
      <c r="SR12" s="303"/>
      <c r="SS12" s="303"/>
      <c r="ST12" s="303"/>
      <c r="SU12" s="303"/>
      <c r="SV12" s="303"/>
      <c r="SW12" s="303"/>
      <c r="SX12" s="303"/>
      <c r="SY12" s="303"/>
      <c r="SZ12" s="303"/>
      <c r="TA12" s="303"/>
      <c r="TB12" s="303"/>
      <c r="TC12" s="303"/>
      <c r="TD12" s="303"/>
      <c r="TE12" s="303"/>
      <c r="TF12" s="303"/>
      <c r="TG12" s="303"/>
      <c r="TH12" s="303"/>
      <c r="TI12" s="303"/>
      <c r="TJ12" s="303"/>
      <c r="TK12" s="303"/>
      <c r="TL12" s="303"/>
      <c r="TM12" s="303"/>
      <c r="TN12" s="303"/>
      <c r="TO12" s="303"/>
      <c r="TP12" s="303"/>
      <c r="TQ12" s="303"/>
      <c r="TR12" s="303"/>
      <c r="TS12" s="303"/>
      <c r="TT12" s="303"/>
      <c r="TU12" s="303"/>
      <c r="TV12" s="303"/>
      <c r="TW12" s="303"/>
      <c r="TX12" s="303"/>
      <c r="TY12" s="303"/>
      <c r="TZ12" s="303"/>
      <c r="UA12" s="303"/>
      <c r="UB12" s="303"/>
      <c r="UC12" s="303"/>
      <c r="UD12" s="303"/>
      <c r="UE12" s="303"/>
      <c r="UF12" s="303"/>
      <c r="UG12" s="303"/>
      <c r="UH12" s="303"/>
      <c r="UI12" s="303"/>
      <c r="UJ12" s="303"/>
      <c r="UK12" s="303"/>
      <c r="UL12" s="303"/>
      <c r="UM12" s="303"/>
      <c r="UN12" s="303"/>
      <c r="UO12" s="303"/>
      <c r="UP12" s="303"/>
      <c r="UQ12" s="303"/>
      <c r="UR12" s="303"/>
      <c r="US12" s="303"/>
      <c r="UT12" s="303"/>
      <c r="UU12" s="303"/>
      <c r="UV12" s="303"/>
      <c r="UW12" s="303"/>
      <c r="UX12" s="303"/>
      <c r="UY12" s="303"/>
      <c r="UZ12" s="303"/>
      <c r="VA12" s="303"/>
      <c r="VB12" s="303"/>
      <c r="VC12" s="303"/>
      <c r="VD12" s="303"/>
      <c r="VE12" s="303"/>
      <c r="VF12" s="303"/>
      <c r="VG12" s="303"/>
      <c r="VH12" s="303"/>
      <c r="VI12" s="303"/>
      <c r="VJ12" s="303"/>
      <c r="VK12" s="303"/>
      <c r="VL12" s="303"/>
      <c r="VM12" s="303"/>
      <c r="VN12" s="303"/>
      <c r="VO12" s="303"/>
      <c r="VP12" s="303"/>
      <c r="VQ12" s="303"/>
      <c r="VR12" s="303"/>
      <c r="VS12" s="303"/>
      <c r="VT12" s="303"/>
      <c r="VU12" s="303"/>
      <c r="VV12" s="303"/>
      <c r="VW12" s="303"/>
      <c r="VX12" s="303"/>
      <c r="VY12" s="303"/>
      <c r="VZ12" s="303"/>
      <c r="WA12" s="303"/>
      <c r="WB12" s="303"/>
      <c r="WC12" s="303"/>
      <c r="WD12" s="303"/>
      <c r="WE12" s="303"/>
      <c r="WF12" s="303"/>
      <c r="WG12" s="303"/>
      <c r="WH12" s="303"/>
      <c r="WI12" s="303"/>
      <c r="WJ12" s="303"/>
      <c r="WK12" s="303"/>
      <c r="WL12" s="303"/>
      <c r="WM12" s="303"/>
      <c r="WN12" s="303"/>
      <c r="WO12" s="303"/>
      <c r="WP12" s="303"/>
      <c r="WQ12" s="303"/>
      <c r="WR12" s="303"/>
      <c r="WS12" s="303"/>
      <c r="WT12" s="303"/>
      <c r="WU12" s="303"/>
      <c r="WV12" s="303"/>
      <c r="WW12" s="303"/>
      <c r="WX12" s="303"/>
      <c r="WY12" s="303"/>
      <c r="WZ12" s="303"/>
      <c r="XA12" s="303"/>
      <c r="XB12" s="303"/>
      <c r="XC12" s="303"/>
      <c r="XD12" s="303"/>
      <c r="XE12" s="303"/>
      <c r="XF12" s="303"/>
      <c r="XG12" s="303"/>
      <c r="XH12" s="303"/>
      <c r="XI12" s="303"/>
      <c r="XJ12" s="303"/>
      <c r="XK12" s="303"/>
      <c r="XL12" s="303"/>
      <c r="XM12" s="303"/>
      <c r="XN12" s="303"/>
      <c r="XO12" s="303"/>
      <c r="XP12" s="303"/>
      <c r="XQ12" s="303"/>
      <c r="XR12" s="303"/>
      <c r="XS12" s="303"/>
      <c r="XT12" s="303"/>
      <c r="XU12" s="303"/>
      <c r="XV12" s="303"/>
      <c r="XW12" s="303"/>
      <c r="XX12" s="303"/>
      <c r="XY12" s="303"/>
      <c r="XZ12" s="303"/>
      <c r="YA12" s="303"/>
      <c r="YB12" s="303"/>
      <c r="YC12" s="303"/>
      <c r="YD12" s="303"/>
      <c r="YE12" s="303"/>
      <c r="YF12" s="303"/>
      <c r="YG12" s="303"/>
      <c r="YH12" s="303"/>
      <c r="YI12" s="303"/>
      <c r="YJ12" s="303"/>
      <c r="YK12" s="303"/>
      <c r="YL12" s="303"/>
      <c r="YM12" s="303"/>
      <c r="YN12" s="303"/>
      <c r="YO12" s="303"/>
      <c r="YP12" s="303"/>
      <c r="YQ12" s="303"/>
      <c r="YR12" s="303"/>
      <c r="YS12" s="303"/>
      <c r="YT12" s="303"/>
      <c r="YU12" s="303"/>
      <c r="YV12" s="303"/>
      <c r="YW12" s="303"/>
      <c r="YX12" s="303"/>
      <c r="YY12" s="303"/>
      <c r="YZ12" s="303"/>
      <c r="ZA12" s="303"/>
      <c r="ZB12" s="303"/>
      <c r="ZC12" s="303"/>
      <c r="ZD12" s="303"/>
      <c r="ZE12" s="303"/>
      <c r="ZF12" s="303"/>
      <c r="ZG12" s="303"/>
      <c r="ZH12" s="303"/>
      <c r="ZI12" s="303"/>
      <c r="ZJ12" s="303"/>
      <c r="ZK12" s="303"/>
      <c r="ZL12" s="303"/>
      <c r="ZM12" s="303"/>
      <c r="ZN12" s="303"/>
      <c r="ZO12" s="303"/>
      <c r="ZP12" s="303"/>
      <c r="ZQ12" s="303"/>
      <c r="ZR12" s="303"/>
      <c r="ZS12" s="303"/>
      <c r="ZT12" s="303"/>
      <c r="ZU12" s="303"/>
      <c r="ZV12" s="303"/>
      <c r="ZW12" s="303"/>
      <c r="ZX12" s="303"/>
      <c r="ZY12" s="303"/>
      <c r="ZZ12" s="303"/>
      <c r="AAA12" s="303"/>
      <c r="AAB12" s="303"/>
      <c r="AAC12" s="303"/>
      <c r="AAD12" s="303"/>
      <c r="AAE12" s="303"/>
      <c r="AAF12" s="303"/>
      <c r="AAG12" s="303"/>
      <c r="AAH12" s="303"/>
      <c r="AAI12" s="303"/>
      <c r="AAJ12" s="303"/>
      <c r="AAK12" s="303"/>
      <c r="AAL12" s="303"/>
      <c r="AAM12" s="303"/>
      <c r="AAN12" s="303"/>
      <c r="AAO12" s="303"/>
      <c r="AAP12" s="303"/>
      <c r="AAQ12" s="303"/>
      <c r="AAR12" s="303"/>
      <c r="AAS12" s="303"/>
      <c r="AAT12" s="303"/>
      <c r="AAU12" s="303"/>
      <c r="AAV12" s="303"/>
      <c r="AAW12" s="303"/>
      <c r="AAX12" s="303"/>
      <c r="AAY12" s="303"/>
      <c r="AAZ12" s="303"/>
      <c r="ABA12" s="303"/>
      <c r="ABB12" s="303"/>
      <c r="ABC12" s="303"/>
      <c r="ABD12" s="303"/>
      <c r="ABE12" s="303"/>
      <c r="ABF12" s="303"/>
      <c r="ABG12" s="303"/>
      <c r="ABH12" s="303"/>
      <c r="ABI12" s="303"/>
      <c r="ABJ12" s="303"/>
      <c r="ABK12" s="303"/>
      <c r="ABL12" s="303"/>
      <c r="ABM12" s="303"/>
      <c r="ABN12" s="303"/>
      <c r="ABO12" s="303"/>
      <c r="ABP12" s="303"/>
      <c r="ABQ12" s="303"/>
      <c r="ABR12" s="303"/>
      <c r="ABS12" s="303"/>
      <c r="ABT12" s="303"/>
      <c r="ABU12" s="303"/>
      <c r="ABV12" s="303"/>
      <c r="ABW12" s="303"/>
      <c r="ABX12" s="303"/>
      <c r="ABY12" s="303"/>
      <c r="ABZ12" s="303"/>
      <c r="ACA12" s="303"/>
      <c r="ACB12" s="303"/>
      <c r="ACC12" s="303"/>
      <c r="ACD12" s="303"/>
      <c r="ACE12" s="303"/>
      <c r="ACF12" s="303"/>
      <c r="ACG12" s="303"/>
      <c r="ACH12" s="303"/>
      <c r="ACI12" s="303"/>
      <c r="ACJ12" s="303"/>
      <c r="ACK12" s="303"/>
      <c r="ACL12" s="303"/>
      <c r="ACM12" s="303"/>
      <c r="ACN12" s="303"/>
      <c r="ACO12" s="303"/>
      <c r="ACP12" s="303"/>
      <c r="ACQ12" s="303"/>
      <c r="ACR12" s="303"/>
      <c r="ACS12" s="303"/>
      <c r="ACT12" s="303"/>
      <c r="ACU12" s="303"/>
      <c r="ACV12" s="303"/>
      <c r="ACW12" s="303"/>
      <c r="ACX12" s="303"/>
      <c r="ACY12" s="303"/>
      <c r="ACZ12" s="303"/>
      <c r="ADA12" s="303"/>
      <c r="ADB12" s="303"/>
      <c r="ADC12" s="303"/>
      <c r="ADD12" s="303"/>
      <c r="ADE12" s="303"/>
      <c r="ADF12" s="303"/>
      <c r="ADG12" s="303"/>
      <c r="ADH12" s="303"/>
      <c r="ADI12" s="303"/>
      <c r="ADJ12" s="303"/>
      <c r="ADK12" s="303"/>
      <c r="ADL12" s="303"/>
      <c r="ADM12" s="303"/>
      <c r="ADN12" s="303"/>
      <c r="ADO12" s="303"/>
      <c r="ADP12" s="303"/>
      <c r="ADQ12" s="303"/>
      <c r="ADR12" s="303"/>
      <c r="ADS12" s="303"/>
      <c r="ADT12" s="303"/>
      <c r="ADU12" s="303"/>
      <c r="ADV12" s="303"/>
      <c r="ADW12" s="303"/>
      <c r="ADX12" s="303"/>
      <c r="ADY12" s="303"/>
      <c r="ADZ12" s="303"/>
      <c r="AEA12" s="303"/>
      <c r="AEB12" s="303"/>
      <c r="AEC12" s="303"/>
      <c r="AED12" s="303"/>
      <c r="AEE12" s="303"/>
      <c r="AEF12" s="303"/>
      <c r="AEG12" s="303"/>
      <c r="AEH12" s="303"/>
      <c r="AEI12" s="303"/>
      <c r="AEJ12" s="303"/>
      <c r="AEK12" s="303"/>
      <c r="AEL12" s="303"/>
      <c r="AEM12" s="303"/>
      <c r="AEN12" s="303"/>
      <c r="AEO12" s="303"/>
      <c r="AEP12" s="303"/>
      <c r="AEQ12" s="303"/>
      <c r="AER12" s="303"/>
      <c r="AES12" s="303"/>
      <c r="AET12" s="303"/>
      <c r="AEU12" s="303"/>
      <c r="AEV12" s="303"/>
      <c r="AEW12" s="303"/>
      <c r="AEX12" s="303"/>
      <c r="AEY12" s="303"/>
      <c r="AEZ12" s="303"/>
      <c r="AFA12" s="303"/>
      <c r="AFB12" s="303"/>
      <c r="AFC12" s="303"/>
      <c r="AFD12" s="303"/>
      <c r="AFE12" s="303"/>
      <c r="AFF12" s="303"/>
      <c r="AFG12" s="303"/>
      <c r="AFH12" s="303"/>
      <c r="AFI12" s="303"/>
      <c r="AFJ12" s="303"/>
      <c r="AFK12" s="303"/>
      <c r="AFL12" s="303"/>
      <c r="AFM12" s="303"/>
      <c r="AFN12" s="303"/>
      <c r="AFO12" s="303"/>
      <c r="AFP12" s="303"/>
      <c r="AFQ12" s="303"/>
      <c r="AFR12" s="303"/>
      <c r="AFS12" s="303"/>
      <c r="AFT12" s="303"/>
      <c r="AFU12" s="303"/>
      <c r="AFV12" s="303"/>
      <c r="AFW12" s="303"/>
      <c r="AFX12" s="303"/>
      <c r="AFY12" s="303"/>
      <c r="AFZ12" s="303"/>
      <c r="AGA12" s="303"/>
      <c r="AGB12" s="303"/>
      <c r="AGC12" s="303"/>
      <c r="AGD12" s="303"/>
      <c r="AGE12" s="303"/>
      <c r="AGF12" s="303"/>
      <c r="AGG12" s="303"/>
      <c r="AGH12" s="303"/>
      <c r="AGI12" s="303"/>
      <c r="AGJ12" s="303"/>
      <c r="AGK12" s="303"/>
      <c r="AGL12" s="303"/>
      <c r="AGM12" s="303"/>
      <c r="AGN12" s="303"/>
      <c r="AGO12" s="303"/>
      <c r="AGP12" s="303"/>
      <c r="AGQ12" s="303"/>
      <c r="AGR12" s="303"/>
      <c r="AGS12" s="303"/>
      <c r="AGT12" s="303"/>
      <c r="AGU12" s="303"/>
      <c r="AGV12" s="303"/>
      <c r="AGW12" s="303"/>
      <c r="AGX12" s="303"/>
      <c r="AGY12" s="303"/>
      <c r="AGZ12" s="303"/>
      <c r="AHA12" s="303"/>
      <c r="AHB12" s="303"/>
      <c r="AHC12" s="303"/>
      <c r="AHD12" s="303"/>
      <c r="AHE12" s="303"/>
      <c r="AHF12" s="303"/>
      <c r="AHG12" s="303"/>
      <c r="AHH12" s="303"/>
      <c r="AHI12" s="303"/>
      <c r="AHJ12" s="303"/>
      <c r="AHK12" s="303"/>
      <c r="AHL12" s="303"/>
      <c r="AHM12" s="303"/>
      <c r="AHN12" s="303"/>
      <c r="AHO12" s="303"/>
      <c r="AHP12" s="303"/>
      <c r="AHQ12" s="303"/>
      <c r="AHR12" s="303"/>
      <c r="AHS12" s="303"/>
      <c r="AHT12" s="303"/>
      <c r="AHU12" s="303"/>
      <c r="AHV12" s="303"/>
      <c r="AHW12" s="303"/>
      <c r="AHX12" s="303"/>
      <c r="AHY12" s="303"/>
      <c r="AHZ12" s="303"/>
      <c r="AIA12" s="303"/>
      <c r="AIB12" s="303"/>
      <c r="AIC12" s="303"/>
      <c r="AID12" s="303"/>
      <c r="AIE12" s="303"/>
      <c r="AIF12" s="303"/>
      <c r="AIG12" s="303"/>
      <c r="AIH12" s="303"/>
      <c r="AII12" s="303"/>
      <c r="AIJ12" s="303"/>
      <c r="AIK12" s="303"/>
      <c r="AIL12" s="303"/>
      <c r="AIM12" s="303"/>
      <c r="AIN12" s="303"/>
      <c r="AIO12" s="303"/>
      <c r="AIP12" s="303"/>
      <c r="AIQ12" s="303"/>
      <c r="AIR12" s="303"/>
      <c r="AIS12" s="303"/>
      <c r="AIT12" s="303"/>
      <c r="AIU12" s="303"/>
      <c r="AIV12" s="303"/>
      <c r="AIW12" s="303"/>
      <c r="AIX12" s="303"/>
      <c r="AIY12" s="303"/>
      <c r="AIZ12" s="303"/>
      <c r="AJA12" s="303"/>
      <c r="AJB12" s="303"/>
      <c r="AJC12" s="303"/>
      <c r="AJD12" s="303"/>
      <c r="AJE12" s="303"/>
      <c r="AJF12" s="303"/>
      <c r="AJG12" s="303"/>
      <c r="AJH12" s="303"/>
      <c r="AJI12" s="303"/>
      <c r="AJJ12" s="303"/>
      <c r="AJK12" s="303"/>
      <c r="AJL12" s="303"/>
      <c r="AJM12" s="303"/>
      <c r="AJN12" s="303"/>
      <c r="AJO12" s="303"/>
      <c r="AJP12" s="303"/>
      <c r="AJQ12" s="303"/>
      <c r="AJR12" s="303"/>
      <c r="AJS12" s="303"/>
      <c r="AJT12" s="303"/>
      <c r="AJU12" s="303"/>
      <c r="AJV12" s="303"/>
      <c r="AJW12" s="303"/>
      <c r="AJX12" s="303"/>
      <c r="AJY12" s="303"/>
      <c r="AJZ12" s="303"/>
      <c r="AKA12" s="303"/>
      <c r="AKB12" s="303"/>
      <c r="AKC12" s="303"/>
      <c r="AKD12" s="303"/>
      <c r="AKE12" s="303"/>
      <c r="AKF12" s="303"/>
      <c r="AKG12" s="303"/>
      <c r="AKH12" s="303"/>
      <c r="AKI12" s="303"/>
      <c r="AKJ12" s="303"/>
      <c r="AKK12" s="303"/>
      <c r="AKL12" s="303"/>
      <c r="AKM12" s="303"/>
      <c r="AKN12" s="303"/>
      <c r="AKO12" s="303"/>
      <c r="AKP12" s="303"/>
      <c r="AKQ12" s="303"/>
      <c r="AKR12" s="303"/>
      <c r="AKS12" s="303"/>
      <c r="AKT12" s="303"/>
      <c r="AKU12" s="303"/>
      <c r="AKV12" s="303"/>
      <c r="AKW12" s="303"/>
      <c r="AKX12" s="303"/>
      <c r="AKY12" s="303"/>
      <c r="AKZ12" s="303"/>
      <c r="ALA12" s="303"/>
      <c r="ALB12" s="303"/>
      <c r="ALC12" s="303"/>
      <c r="ALD12" s="303"/>
      <c r="ALE12" s="303"/>
      <c r="ALF12" s="303"/>
      <c r="ALG12" s="303"/>
      <c r="ALH12" s="303"/>
      <c r="ALI12" s="303"/>
      <c r="ALJ12" s="303"/>
      <c r="ALK12" s="303"/>
      <c r="ALL12" s="303"/>
      <c r="ALM12" s="303"/>
      <c r="ALN12" s="303"/>
      <c r="ALO12" s="303"/>
      <c r="ALP12" s="303"/>
      <c r="ALQ12" s="303"/>
      <c r="ALR12" s="303"/>
      <c r="ALS12" s="303"/>
      <c r="ALT12" s="303"/>
      <c r="ALU12" s="303"/>
      <c r="ALV12" s="303"/>
      <c r="ALW12" s="303"/>
      <c r="ALX12" s="303"/>
      <c r="ALY12" s="303"/>
      <c r="ALZ12" s="303"/>
      <c r="AMA12" s="303"/>
      <c r="AMB12" s="303"/>
      <c r="AMC12" s="303"/>
      <c r="AMD12" s="303"/>
      <c r="AME12" s="303"/>
      <c r="AMF12" s="303"/>
      <c r="AMG12" s="303"/>
      <c r="AMH12" s="303"/>
      <c r="AMI12" s="303"/>
      <c r="AMJ12" s="303"/>
      <c r="AMK12" s="303"/>
      <c r="AML12" s="303"/>
      <c r="AMM12" s="303"/>
      <c r="AMN12" s="303"/>
      <c r="AMO12" s="303"/>
      <c r="AMP12" s="303"/>
      <c r="AMQ12" s="303"/>
      <c r="AMR12" s="303"/>
      <c r="AMS12" s="303"/>
      <c r="AMT12" s="303"/>
      <c r="AMU12" s="303"/>
      <c r="AMV12" s="303"/>
      <c r="AMW12" s="303"/>
      <c r="AMX12" s="303"/>
      <c r="AMY12" s="303"/>
      <c r="AMZ12" s="303"/>
      <c r="ANA12" s="303"/>
      <c r="ANB12" s="303"/>
      <c r="ANC12" s="303"/>
      <c r="AND12" s="303"/>
      <c r="ANE12" s="303"/>
      <c r="ANF12" s="303"/>
      <c r="ANG12" s="303"/>
      <c r="ANH12" s="303"/>
      <c r="ANI12" s="303"/>
      <c r="ANJ12" s="303"/>
      <c r="ANK12" s="303"/>
      <c r="ANL12" s="303"/>
      <c r="ANM12" s="303"/>
      <c r="ANN12" s="303"/>
      <c r="ANO12" s="303"/>
      <c r="ANP12" s="303"/>
      <c r="ANQ12" s="303"/>
      <c r="ANR12" s="303"/>
      <c r="ANS12" s="303"/>
      <c r="ANT12" s="303"/>
      <c r="ANU12" s="303"/>
      <c r="ANV12" s="303"/>
      <c r="ANW12" s="303"/>
      <c r="ANX12" s="303"/>
      <c r="ANY12" s="303"/>
      <c r="ANZ12" s="303"/>
      <c r="AOA12" s="303"/>
      <c r="AOB12" s="303"/>
      <c r="AOC12" s="303"/>
      <c r="AOD12" s="303"/>
      <c r="AOE12" s="303"/>
      <c r="AOF12" s="303"/>
      <c r="AOG12" s="303"/>
      <c r="AOH12" s="303"/>
      <c r="AOI12" s="303"/>
      <c r="AOJ12" s="303"/>
      <c r="AOK12" s="303"/>
      <c r="AOL12" s="303"/>
      <c r="AOM12" s="303"/>
      <c r="AON12" s="303"/>
      <c r="AOO12" s="303"/>
      <c r="AOP12" s="303"/>
      <c r="AOQ12" s="303"/>
      <c r="AOR12" s="303"/>
      <c r="AOS12" s="303"/>
      <c r="AOT12" s="303"/>
      <c r="AOU12" s="303"/>
      <c r="AOV12" s="303"/>
      <c r="AOW12" s="303"/>
      <c r="AOX12" s="303"/>
      <c r="AOY12" s="303"/>
      <c r="AOZ12" s="303"/>
      <c r="APA12" s="303"/>
      <c r="APB12" s="303"/>
      <c r="APC12" s="303"/>
      <c r="APD12" s="303"/>
      <c r="APE12" s="303"/>
      <c r="APF12" s="303"/>
      <c r="APG12" s="303"/>
      <c r="APH12" s="303"/>
      <c r="API12" s="303"/>
      <c r="APJ12" s="303"/>
      <c r="APK12" s="303"/>
      <c r="APL12" s="303"/>
      <c r="APM12" s="303"/>
      <c r="APN12" s="303"/>
      <c r="APO12" s="303"/>
      <c r="APP12" s="303"/>
      <c r="APQ12" s="303"/>
      <c r="APR12" s="303"/>
      <c r="APS12" s="303"/>
      <c r="APT12" s="303"/>
      <c r="APU12" s="303"/>
      <c r="APV12" s="303"/>
      <c r="APW12" s="303"/>
      <c r="APX12" s="303"/>
      <c r="APY12" s="303"/>
      <c r="APZ12" s="303"/>
      <c r="AQA12" s="303"/>
      <c r="AQB12" s="303"/>
      <c r="AQC12" s="303"/>
      <c r="AQD12" s="303"/>
      <c r="AQE12" s="303"/>
      <c r="AQF12" s="303"/>
      <c r="AQG12" s="303"/>
      <c r="AQH12" s="303"/>
      <c r="AQI12" s="303"/>
      <c r="AQJ12" s="303"/>
      <c r="AQK12" s="303"/>
      <c r="AQL12" s="303"/>
      <c r="AQM12" s="303"/>
      <c r="AQN12" s="303"/>
      <c r="AQO12" s="303"/>
      <c r="AQP12" s="303"/>
      <c r="AQQ12" s="303"/>
      <c r="AQR12" s="303"/>
      <c r="AQS12" s="303"/>
      <c r="AQT12" s="303"/>
      <c r="AQU12" s="303"/>
      <c r="AQV12" s="303"/>
      <c r="AQW12" s="303"/>
      <c r="AQX12" s="303"/>
      <c r="AQY12" s="303"/>
      <c r="AQZ12" s="303"/>
      <c r="ARA12" s="303"/>
      <c r="ARB12" s="303"/>
      <c r="ARC12" s="303"/>
      <c r="ARD12" s="303"/>
      <c r="ARE12" s="303"/>
      <c r="ARF12" s="303"/>
      <c r="ARG12" s="303"/>
      <c r="ARH12" s="303"/>
      <c r="ARI12" s="303"/>
      <c r="ARJ12" s="303"/>
      <c r="ARK12" s="303"/>
      <c r="ARL12" s="303"/>
      <c r="ARM12" s="303"/>
      <c r="ARN12" s="303"/>
      <c r="ARO12" s="303"/>
      <c r="ARP12" s="303"/>
      <c r="ARQ12" s="303"/>
      <c r="ARR12" s="303"/>
      <c r="ARS12" s="303"/>
      <c r="ART12" s="303"/>
      <c r="ARU12" s="303"/>
      <c r="ARV12" s="303"/>
      <c r="ARW12" s="303"/>
      <c r="ARX12" s="303"/>
      <c r="ARY12" s="303"/>
      <c r="ARZ12" s="303"/>
      <c r="ASA12" s="303"/>
      <c r="ASB12" s="303"/>
      <c r="ASC12" s="303"/>
      <c r="ASD12" s="303"/>
      <c r="ASE12" s="303"/>
      <c r="ASF12" s="303"/>
      <c r="ASG12" s="303"/>
      <c r="ASH12" s="303"/>
      <c r="ASI12" s="303"/>
      <c r="ASJ12" s="303"/>
      <c r="ASK12" s="303"/>
      <c r="ASL12" s="303"/>
      <c r="ASM12" s="303"/>
      <c r="ASN12" s="303"/>
      <c r="ASO12" s="303"/>
      <c r="ASP12" s="303"/>
      <c r="ASQ12" s="303"/>
      <c r="ASR12" s="303"/>
      <c r="ASS12" s="303"/>
      <c r="AST12" s="303"/>
      <c r="ASU12" s="303"/>
      <c r="ASV12" s="303"/>
      <c r="ASW12" s="303"/>
      <c r="ASX12" s="303"/>
      <c r="ASY12" s="303"/>
      <c r="ASZ12" s="303"/>
      <c r="ATA12" s="303"/>
      <c r="ATB12" s="303"/>
      <c r="ATC12" s="303"/>
      <c r="ATD12" s="303"/>
      <c r="ATE12" s="303"/>
      <c r="ATF12" s="303"/>
      <c r="ATG12" s="303"/>
      <c r="ATH12" s="303"/>
      <c r="ATI12" s="303"/>
      <c r="ATJ12" s="303"/>
      <c r="ATK12" s="303"/>
      <c r="ATL12" s="303"/>
      <c r="ATM12" s="303"/>
      <c r="ATN12" s="303"/>
      <c r="ATO12" s="303"/>
      <c r="ATP12" s="303"/>
      <c r="ATQ12" s="303"/>
      <c r="ATR12" s="303"/>
      <c r="ATS12" s="303"/>
      <c r="ATT12" s="303"/>
      <c r="ATU12" s="303"/>
      <c r="ATV12" s="303"/>
      <c r="ATW12" s="303"/>
      <c r="ATX12" s="303"/>
      <c r="ATY12" s="303"/>
      <c r="ATZ12" s="303"/>
      <c r="AUA12" s="303"/>
      <c r="AUB12" s="303"/>
      <c r="AUC12" s="303"/>
      <c r="AUD12" s="303"/>
      <c r="AUE12" s="303"/>
      <c r="AUF12" s="303"/>
      <c r="AUG12" s="303"/>
      <c r="AUH12" s="303"/>
      <c r="AUI12" s="303"/>
      <c r="AUJ12" s="303"/>
      <c r="AUK12" s="303"/>
      <c r="AUL12" s="303"/>
      <c r="AUM12" s="303"/>
      <c r="AUN12" s="303"/>
      <c r="AUO12" s="303"/>
      <c r="AUP12" s="303"/>
      <c r="AUQ12" s="303"/>
      <c r="AUR12" s="303"/>
      <c r="AUS12" s="303"/>
      <c r="AUT12" s="303"/>
      <c r="AUU12" s="303"/>
      <c r="AUV12" s="303"/>
      <c r="AUW12" s="303"/>
      <c r="AUX12" s="303"/>
      <c r="AUY12" s="303"/>
      <c r="AUZ12" s="303"/>
      <c r="AVA12" s="303"/>
      <c r="AVB12" s="303"/>
      <c r="AVC12" s="303"/>
      <c r="AVD12" s="303"/>
      <c r="AVE12" s="303"/>
      <c r="AVF12" s="303"/>
      <c r="AVG12" s="303"/>
      <c r="AVH12" s="303"/>
      <c r="AVI12" s="303"/>
      <c r="AVJ12" s="303"/>
      <c r="AVK12" s="303"/>
      <c r="AVL12" s="303"/>
      <c r="AVM12" s="303"/>
      <c r="AVN12" s="303"/>
      <c r="AVO12" s="303"/>
      <c r="AVP12" s="303"/>
      <c r="AVQ12" s="303"/>
      <c r="AVR12" s="303"/>
      <c r="AVS12" s="303"/>
      <c r="AVT12" s="303"/>
      <c r="AVU12" s="303"/>
      <c r="AVV12" s="303"/>
      <c r="AVW12" s="303"/>
      <c r="AVX12" s="303"/>
      <c r="AVY12" s="303"/>
      <c r="AVZ12" s="303"/>
      <c r="AWA12" s="303"/>
      <c r="AWB12" s="303"/>
      <c r="AWC12" s="303"/>
      <c r="AWD12" s="303"/>
      <c r="AWE12" s="303"/>
      <c r="AWF12" s="303"/>
      <c r="AWG12" s="303"/>
      <c r="AWH12" s="303"/>
      <c r="AWI12" s="303"/>
      <c r="AWJ12" s="303"/>
      <c r="AWK12" s="303"/>
      <c r="AWL12" s="303"/>
      <c r="AWM12" s="303"/>
      <c r="AWN12" s="303"/>
      <c r="AWO12" s="303"/>
      <c r="AWP12" s="303"/>
      <c r="AWQ12" s="303"/>
      <c r="AWR12" s="303"/>
      <c r="AWS12" s="303"/>
      <c r="AWT12" s="303"/>
      <c r="AWU12" s="303"/>
      <c r="AWV12" s="303"/>
      <c r="AWW12" s="303"/>
      <c r="AWX12" s="303"/>
      <c r="AWY12" s="303"/>
      <c r="AWZ12" s="303"/>
      <c r="AXA12" s="303"/>
      <c r="AXB12" s="303"/>
      <c r="AXC12" s="303"/>
      <c r="AXD12" s="303"/>
      <c r="AXE12" s="303"/>
      <c r="AXF12" s="303"/>
      <c r="AXG12" s="303"/>
      <c r="AXH12" s="303"/>
      <c r="AXI12" s="303"/>
      <c r="AXJ12" s="303"/>
      <c r="AXK12" s="303"/>
      <c r="AXL12" s="303"/>
      <c r="AXM12" s="303"/>
      <c r="AXN12" s="303"/>
      <c r="AXO12" s="303"/>
      <c r="AXP12" s="303"/>
      <c r="AXQ12" s="303"/>
      <c r="AXR12" s="303"/>
      <c r="AXS12" s="303"/>
      <c r="AXT12" s="303"/>
      <c r="AXU12" s="303"/>
      <c r="AXV12" s="303"/>
      <c r="AXW12" s="303"/>
      <c r="AXX12" s="303"/>
      <c r="AXY12" s="303"/>
      <c r="AXZ12" s="303"/>
      <c r="AYA12" s="303"/>
      <c r="AYB12" s="303"/>
      <c r="AYC12" s="303"/>
      <c r="AYD12" s="303"/>
      <c r="AYE12" s="303"/>
      <c r="AYF12" s="303"/>
      <c r="AYG12" s="303"/>
      <c r="AYH12" s="303"/>
    </row>
    <row r="13" spans="1:1334" ht="24.75" x14ac:dyDescent="0.25">
      <c r="A13" s="304" t="s">
        <v>596</v>
      </c>
      <c r="B13" s="298" t="s">
        <v>1318</v>
      </c>
      <c r="C13" s="303"/>
      <c r="D13" s="303"/>
      <c r="E13" s="303"/>
      <c r="F13" s="303"/>
      <c r="G13" s="303"/>
      <c r="H13" s="303"/>
      <c r="I13" s="303"/>
      <c r="J13" s="303"/>
      <c r="K13" s="303"/>
      <c r="L13" s="303"/>
      <c r="M13" s="303"/>
      <c r="N13" s="303"/>
      <c r="O13" s="303"/>
      <c r="P13" s="303"/>
      <c r="Q13" s="303"/>
      <c r="R13" s="303"/>
      <c r="S13" s="303"/>
      <c r="T13" s="303"/>
      <c r="U13" s="303"/>
      <c r="V13" s="303"/>
      <c r="W13" s="303"/>
      <c r="X13" s="303"/>
      <c r="Y13" s="303"/>
      <c r="Z13" s="303"/>
      <c r="AA13" s="303"/>
      <c r="AB13" s="303"/>
      <c r="AC13" s="303"/>
      <c r="AD13" s="303"/>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303"/>
      <c r="BC13" s="303"/>
      <c r="BD13" s="303"/>
      <c r="BE13" s="303"/>
      <c r="BF13" s="303"/>
      <c r="BG13" s="303"/>
      <c r="BH13" s="303"/>
      <c r="BI13" s="303"/>
      <c r="BJ13" s="303"/>
      <c r="BK13" s="303"/>
      <c r="BL13" s="303"/>
      <c r="BM13" s="303"/>
      <c r="BN13" s="303"/>
      <c r="BO13" s="303"/>
      <c r="BP13" s="303"/>
      <c r="BQ13" s="303"/>
      <c r="BR13" s="303"/>
      <c r="BS13" s="303"/>
      <c r="BT13" s="303"/>
      <c r="BU13" s="303"/>
      <c r="BV13" s="303"/>
      <c r="BW13" s="303"/>
      <c r="BX13" s="303"/>
      <c r="BY13" s="303"/>
      <c r="BZ13" s="303"/>
      <c r="CA13" s="303"/>
      <c r="CB13" s="303"/>
      <c r="CC13" s="303"/>
      <c r="CD13" s="303"/>
      <c r="CE13" s="303"/>
      <c r="CF13" s="303"/>
      <c r="CG13" s="303"/>
      <c r="CH13" s="303"/>
      <c r="CI13" s="303"/>
      <c r="CJ13" s="303"/>
      <c r="CK13" s="303"/>
      <c r="CL13" s="303"/>
      <c r="CM13" s="303"/>
      <c r="CN13" s="303"/>
      <c r="CO13" s="303"/>
      <c r="CP13" s="303"/>
      <c r="CQ13" s="303"/>
      <c r="CR13" s="303"/>
      <c r="CS13" s="303"/>
      <c r="CT13" s="303"/>
      <c r="CU13" s="303"/>
      <c r="CV13" s="303"/>
      <c r="CW13" s="303"/>
      <c r="CX13" s="303"/>
      <c r="CY13" s="303"/>
      <c r="CZ13" s="303"/>
      <c r="DA13" s="303"/>
      <c r="DB13" s="303"/>
      <c r="DC13" s="303"/>
      <c r="DD13" s="303"/>
      <c r="DE13" s="303"/>
      <c r="DF13" s="303"/>
      <c r="DG13" s="303"/>
      <c r="DH13" s="303"/>
      <c r="DI13" s="303"/>
      <c r="DJ13" s="303"/>
      <c r="DK13" s="303"/>
      <c r="DL13" s="303"/>
      <c r="DM13" s="303"/>
      <c r="DN13" s="303"/>
      <c r="DO13" s="303"/>
      <c r="DP13" s="303"/>
      <c r="DQ13" s="303"/>
      <c r="DR13" s="303"/>
      <c r="DS13" s="303"/>
      <c r="DT13" s="303"/>
      <c r="DU13" s="303"/>
      <c r="DV13" s="303"/>
      <c r="DW13" s="303"/>
      <c r="DX13" s="303"/>
      <c r="DY13" s="303"/>
      <c r="DZ13" s="303"/>
      <c r="EA13" s="303"/>
      <c r="EB13" s="303"/>
      <c r="EC13" s="303"/>
      <c r="ED13" s="303"/>
      <c r="EE13" s="303"/>
      <c r="EF13" s="303"/>
      <c r="EG13" s="303"/>
      <c r="EH13" s="303"/>
      <c r="EI13" s="303"/>
      <c r="EJ13" s="303"/>
      <c r="EK13" s="303"/>
      <c r="EL13" s="303"/>
      <c r="EM13" s="303"/>
      <c r="EN13" s="303"/>
      <c r="EO13" s="303"/>
      <c r="EP13" s="303"/>
      <c r="EQ13" s="303"/>
      <c r="ER13" s="303"/>
      <c r="ES13" s="303"/>
      <c r="ET13" s="303"/>
      <c r="EU13" s="303"/>
      <c r="EV13" s="303"/>
      <c r="EW13" s="303"/>
      <c r="EX13" s="303"/>
      <c r="EY13" s="303"/>
      <c r="EZ13" s="303"/>
      <c r="FA13" s="303"/>
      <c r="FB13" s="303"/>
      <c r="FC13" s="303"/>
      <c r="FD13" s="303"/>
      <c r="FE13" s="303"/>
      <c r="FF13" s="303"/>
      <c r="FG13" s="303"/>
      <c r="FH13" s="303"/>
      <c r="FI13" s="303"/>
      <c r="FJ13" s="303"/>
      <c r="FK13" s="303"/>
      <c r="FL13" s="303"/>
      <c r="FM13" s="303"/>
      <c r="FN13" s="303"/>
      <c r="FO13" s="303"/>
      <c r="FP13" s="303"/>
      <c r="FQ13" s="303"/>
      <c r="FR13" s="303"/>
      <c r="FS13" s="303"/>
      <c r="FT13" s="303"/>
      <c r="FU13" s="303"/>
      <c r="FV13" s="303"/>
      <c r="FW13" s="303"/>
      <c r="FX13" s="303"/>
      <c r="FY13" s="303"/>
      <c r="FZ13" s="303"/>
      <c r="GA13" s="303"/>
      <c r="GB13" s="303"/>
      <c r="GC13" s="303"/>
      <c r="GD13" s="303"/>
      <c r="GE13" s="303"/>
      <c r="GF13" s="303"/>
      <c r="GG13" s="303"/>
      <c r="GH13" s="303"/>
      <c r="GI13" s="303"/>
      <c r="GJ13" s="303"/>
      <c r="GK13" s="303"/>
      <c r="GL13" s="303"/>
      <c r="GM13" s="303"/>
      <c r="GN13" s="303"/>
      <c r="GO13" s="303"/>
      <c r="GP13" s="303"/>
      <c r="GQ13" s="303"/>
      <c r="GR13" s="303"/>
      <c r="GS13" s="303"/>
      <c r="GT13" s="303"/>
      <c r="GU13" s="303"/>
      <c r="GV13" s="303"/>
      <c r="GW13" s="303"/>
      <c r="GX13" s="303"/>
      <c r="GY13" s="303"/>
      <c r="GZ13" s="303"/>
      <c r="HA13" s="303"/>
      <c r="HB13" s="303"/>
      <c r="HC13" s="303"/>
      <c r="HD13" s="303"/>
      <c r="HE13" s="303"/>
      <c r="HF13" s="303"/>
      <c r="HG13" s="303"/>
      <c r="HH13" s="303"/>
      <c r="HI13" s="303"/>
      <c r="HJ13" s="303"/>
      <c r="HK13" s="303"/>
      <c r="HL13" s="303"/>
      <c r="HM13" s="303"/>
      <c r="HN13" s="303"/>
      <c r="HO13" s="303"/>
      <c r="HP13" s="303"/>
      <c r="HQ13" s="303"/>
      <c r="HR13" s="303"/>
      <c r="HS13" s="303"/>
      <c r="HT13" s="303"/>
      <c r="HU13" s="303"/>
      <c r="HV13" s="303"/>
      <c r="HW13" s="303"/>
      <c r="HX13" s="303"/>
      <c r="HY13" s="303"/>
      <c r="HZ13" s="303"/>
      <c r="IA13" s="303"/>
      <c r="IB13" s="303"/>
      <c r="IC13" s="303"/>
      <c r="ID13" s="303"/>
      <c r="IE13" s="303"/>
      <c r="IF13" s="303"/>
      <c r="IG13" s="303"/>
      <c r="IH13" s="303"/>
      <c r="II13" s="303"/>
      <c r="IJ13" s="303"/>
      <c r="IK13" s="303"/>
      <c r="IL13" s="303"/>
      <c r="IM13" s="303"/>
      <c r="IN13" s="303"/>
      <c r="IO13" s="303"/>
      <c r="IP13" s="303"/>
      <c r="IQ13" s="303"/>
      <c r="IR13" s="303"/>
      <c r="IS13" s="303"/>
      <c r="IT13" s="303"/>
      <c r="IU13" s="303"/>
      <c r="IV13" s="303"/>
      <c r="IW13" s="303"/>
      <c r="IX13" s="303"/>
      <c r="IY13" s="303"/>
      <c r="IZ13" s="303"/>
      <c r="JA13" s="303"/>
      <c r="JB13" s="303"/>
      <c r="JC13" s="303"/>
      <c r="JD13" s="303"/>
      <c r="JE13" s="303"/>
      <c r="JF13" s="303"/>
      <c r="JG13" s="303"/>
      <c r="JH13" s="303"/>
      <c r="JI13" s="303"/>
      <c r="JJ13" s="303"/>
      <c r="JK13" s="303"/>
      <c r="JL13" s="303"/>
      <c r="JM13" s="303"/>
      <c r="JN13" s="303"/>
      <c r="JO13" s="303"/>
      <c r="JP13" s="303"/>
      <c r="JQ13" s="303"/>
      <c r="JR13" s="303"/>
      <c r="JS13" s="303"/>
      <c r="JT13" s="303"/>
      <c r="JU13" s="303"/>
      <c r="JV13" s="303"/>
      <c r="JW13" s="303"/>
      <c r="JX13" s="303"/>
      <c r="JY13" s="303"/>
      <c r="JZ13" s="303"/>
      <c r="KA13" s="303"/>
      <c r="KB13" s="303"/>
      <c r="KC13" s="303"/>
      <c r="KD13" s="303"/>
      <c r="KE13" s="303"/>
      <c r="KF13" s="303"/>
      <c r="KG13" s="303"/>
      <c r="KH13" s="303"/>
      <c r="KI13" s="303"/>
      <c r="KJ13" s="303"/>
      <c r="KK13" s="303"/>
      <c r="KL13" s="303"/>
      <c r="KM13" s="303"/>
      <c r="KN13" s="303"/>
      <c r="KO13" s="303"/>
      <c r="KP13" s="303"/>
      <c r="KQ13" s="303"/>
      <c r="KR13" s="303"/>
      <c r="KS13" s="303"/>
      <c r="KT13" s="303"/>
      <c r="KU13" s="303"/>
      <c r="KV13" s="303"/>
      <c r="KW13" s="303"/>
      <c r="KX13" s="303"/>
      <c r="KY13" s="303"/>
      <c r="KZ13" s="303"/>
      <c r="LA13" s="303"/>
      <c r="LB13" s="303"/>
      <c r="LC13" s="303"/>
      <c r="LD13" s="303"/>
      <c r="LE13" s="303"/>
      <c r="LF13" s="303"/>
      <c r="LG13" s="303"/>
      <c r="LH13" s="303"/>
      <c r="LI13" s="303"/>
      <c r="LJ13" s="303"/>
      <c r="LK13" s="303"/>
      <c r="LL13" s="303"/>
      <c r="LM13" s="303"/>
      <c r="LN13" s="303"/>
      <c r="LO13" s="303"/>
      <c r="LP13" s="303"/>
      <c r="LQ13" s="303"/>
      <c r="LR13" s="303"/>
      <c r="LS13" s="303"/>
      <c r="LT13" s="303"/>
      <c r="LU13" s="303"/>
      <c r="LV13" s="303"/>
      <c r="LW13" s="303"/>
      <c r="LX13" s="303"/>
      <c r="LY13" s="303"/>
      <c r="LZ13" s="303"/>
      <c r="MA13" s="303"/>
      <c r="MB13" s="303"/>
      <c r="MC13" s="303"/>
      <c r="MD13" s="303"/>
      <c r="ME13" s="303"/>
      <c r="MF13" s="303"/>
      <c r="MG13" s="303"/>
      <c r="MH13" s="303"/>
      <c r="MI13" s="303"/>
      <c r="MJ13" s="303"/>
      <c r="MK13" s="303"/>
      <c r="ML13" s="303"/>
      <c r="MM13" s="303"/>
      <c r="MN13" s="303"/>
      <c r="MO13" s="303"/>
      <c r="MP13" s="303"/>
      <c r="MQ13" s="303"/>
      <c r="MR13" s="303"/>
      <c r="MS13" s="303"/>
      <c r="MT13" s="303"/>
      <c r="MU13" s="303"/>
      <c r="MV13" s="303"/>
      <c r="MW13" s="303"/>
      <c r="MX13" s="303"/>
      <c r="MY13" s="303"/>
      <c r="MZ13" s="303"/>
      <c r="NA13" s="303"/>
      <c r="NB13" s="303"/>
      <c r="NC13" s="303"/>
      <c r="ND13" s="303"/>
      <c r="NE13" s="303"/>
      <c r="NF13" s="303"/>
      <c r="NG13" s="303"/>
      <c r="NH13" s="303"/>
      <c r="NI13" s="303"/>
      <c r="NJ13" s="303"/>
      <c r="NK13" s="303"/>
      <c r="NL13" s="303"/>
      <c r="NM13" s="303"/>
      <c r="NN13" s="303"/>
      <c r="NO13" s="303"/>
      <c r="NP13" s="303"/>
      <c r="NQ13" s="303"/>
      <c r="NR13" s="303"/>
      <c r="NS13" s="303"/>
      <c r="NT13" s="303"/>
      <c r="NU13" s="303"/>
      <c r="NV13" s="303"/>
      <c r="NW13" s="303"/>
      <c r="NX13" s="303"/>
      <c r="NY13" s="303"/>
      <c r="NZ13" s="303"/>
      <c r="OA13" s="303"/>
      <c r="OB13" s="303"/>
      <c r="OC13" s="303"/>
      <c r="OD13" s="303"/>
      <c r="OE13" s="303"/>
      <c r="OF13" s="303"/>
      <c r="OG13" s="303"/>
      <c r="OH13" s="303"/>
      <c r="OI13" s="303"/>
      <c r="OJ13" s="303"/>
      <c r="OK13" s="303"/>
      <c r="OL13" s="303"/>
      <c r="OM13" s="303"/>
      <c r="ON13" s="303"/>
      <c r="OO13" s="303"/>
      <c r="OP13" s="303"/>
      <c r="OQ13" s="303"/>
      <c r="OR13" s="303"/>
      <c r="OS13" s="303"/>
      <c r="OT13" s="303"/>
      <c r="OU13" s="303"/>
      <c r="OV13" s="303"/>
      <c r="OW13" s="303"/>
      <c r="OX13" s="303"/>
      <c r="OY13" s="303"/>
      <c r="OZ13" s="303"/>
      <c r="PA13" s="303"/>
      <c r="PB13" s="303"/>
      <c r="PC13" s="303"/>
      <c r="PD13" s="303"/>
      <c r="PE13" s="303"/>
      <c r="PF13" s="303"/>
      <c r="PG13" s="303"/>
      <c r="PH13" s="303"/>
      <c r="PI13" s="303"/>
      <c r="PJ13" s="303"/>
      <c r="PK13" s="303"/>
      <c r="PL13" s="303"/>
      <c r="PM13" s="303"/>
      <c r="PN13" s="303"/>
      <c r="PO13" s="303"/>
      <c r="PP13" s="303"/>
      <c r="PQ13" s="303"/>
      <c r="PR13" s="303"/>
      <c r="PS13" s="303"/>
      <c r="PT13" s="303"/>
      <c r="PU13" s="303"/>
      <c r="PV13" s="303"/>
      <c r="PW13" s="303"/>
      <c r="PX13" s="303"/>
      <c r="PY13" s="303"/>
      <c r="PZ13" s="303"/>
      <c r="QA13" s="303"/>
      <c r="QB13" s="303"/>
      <c r="QC13" s="303"/>
      <c r="QD13" s="303"/>
      <c r="QE13" s="303"/>
      <c r="QF13" s="303"/>
      <c r="QG13" s="303"/>
      <c r="QH13" s="303"/>
      <c r="QI13" s="303"/>
      <c r="QJ13" s="303"/>
      <c r="QK13" s="303"/>
      <c r="QL13" s="303"/>
      <c r="QM13" s="303"/>
      <c r="QN13" s="303"/>
      <c r="QO13" s="303"/>
      <c r="QP13" s="303"/>
      <c r="QQ13" s="303"/>
      <c r="QR13" s="303"/>
      <c r="QS13" s="303"/>
      <c r="QT13" s="303"/>
      <c r="QU13" s="303"/>
      <c r="QV13" s="303"/>
      <c r="QW13" s="303"/>
      <c r="QX13" s="303"/>
      <c r="QY13" s="303"/>
      <c r="QZ13" s="303"/>
      <c r="RA13" s="303"/>
      <c r="RB13" s="303"/>
      <c r="RC13" s="303"/>
      <c r="RD13" s="303"/>
      <c r="RE13" s="303"/>
      <c r="RF13" s="303"/>
      <c r="RG13" s="303"/>
      <c r="RH13" s="303"/>
      <c r="RI13" s="303"/>
      <c r="RJ13" s="303"/>
      <c r="RK13" s="303"/>
      <c r="RL13" s="303"/>
      <c r="RM13" s="303"/>
      <c r="RN13" s="303"/>
      <c r="RO13" s="303"/>
      <c r="RP13" s="303"/>
      <c r="RQ13" s="303"/>
      <c r="RR13" s="303"/>
      <c r="RS13" s="303"/>
      <c r="RT13" s="303"/>
      <c r="RU13" s="303"/>
      <c r="RV13" s="303"/>
      <c r="RW13" s="303"/>
      <c r="RX13" s="303"/>
      <c r="RY13" s="303"/>
      <c r="RZ13" s="303"/>
      <c r="SA13" s="303"/>
      <c r="SB13" s="303"/>
      <c r="SC13" s="303"/>
      <c r="SD13" s="303"/>
      <c r="SE13" s="303"/>
      <c r="SF13" s="303"/>
      <c r="SG13" s="303"/>
      <c r="SH13" s="303"/>
      <c r="SI13" s="303"/>
      <c r="SJ13" s="303"/>
      <c r="SK13" s="303"/>
      <c r="SL13" s="303"/>
      <c r="SM13" s="303"/>
      <c r="SN13" s="303"/>
      <c r="SO13" s="303"/>
      <c r="SP13" s="303"/>
      <c r="SQ13" s="303"/>
      <c r="SR13" s="303"/>
      <c r="SS13" s="303"/>
      <c r="ST13" s="303"/>
      <c r="SU13" s="303"/>
      <c r="SV13" s="303"/>
      <c r="SW13" s="303"/>
      <c r="SX13" s="303"/>
      <c r="SY13" s="303"/>
      <c r="SZ13" s="303"/>
      <c r="TA13" s="303"/>
      <c r="TB13" s="303"/>
      <c r="TC13" s="303"/>
      <c r="TD13" s="303"/>
      <c r="TE13" s="303"/>
      <c r="TF13" s="303"/>
      <c r="TG13" s="303"/>
      <c r="TH13" s="303"/>
      <c r="TI13" s="303"/>
      <c r="TJ13" s="303"/>
      <c r="TK13" s="303"/>
      <c r="TL13" s="303"/>
      <c r="TM13" s="303"/>
      <c r="TN13" s="303"/>
      <c r="TO13" s="303"/>
      <c r="TP13" s="303"/>
      <c r="TQ13" s="303"/>
      <c r="TR13" s="303"/>
      <c r="TS13" s="303"/>
      <c r="TT13" s="303"/>
      <c r="TU13" s="303"/>
      <c r="TV13" s="303"/>
      <c r="TW13" s="303"/>
      <c r="TX13" s="303"/>
      <c r="TY13" s="303"/>
      <c r="TZ13" s="303"/>
      <c r="UA13" s="303"/>
      <c r="UB13" s="303"/>
      <c r="UC13" s="303"/>
      <c r="UD13" s="303"/>
      <c r="UE13" s="303"/>
      <c r="UF13" s="303"/>
      <c r="UG13" s="303"/>
      <c r="UH13" s="303"/>
      <c r="UI13" s="303"/>
      <c r="UJ13" s="303"/>
      <c r="UK13" s="303"/>
      <c r="UL13" s="303"/>
      <c r="UM13" s="303"/>
      <c r="UN13" s="303"/>
      <c r="UO13" s="303"/>
      <c r="UP13" s="303"/>
      <c r="UQ13" s="303"/>
      <c r="UR13" s="303"/>
      <c r="US13" s="303"/>
      <c r="UT13" s="303"/>
      <c r="UU13" s="303"/>
      <c r="UV13" s="303"/>
      <c r="UW13" s="303"/>
      <c r="UX13" s="303"/>
      <c r="UY13" s="303"/>
      <c r="UZ13" s="303"/>
      <c r="VA13" s="303"/>
      <c r="VB13" s="303"/>
      <c r="VC13" s="303"/>
      <c r="VD13" s="303"/>
      <c r="VE13" s="303"/>
      <c r="VF13" s="303"/>
      <c r="VG13" s="303"/>
      <c r="VH13" s="303"/>
      <c r="VI13" s="303"/>
      <c r="VJ13" s="303"/>
      <c r="VK13" s="303"/>
      <c r="VL13" s="303"/>
      <c r="VM13" s="303"/>
      <c r="VN13" s="303"/>
      <c r="VO13" s="303"/>
      <c r="VP13" s="303"/>
      <c r="VQ13" s="303"/>
      <c r="VR13" s="303"/>
      <c r="VS13" s="303"/>
      <c r="VT13" s="303"/>
      <c r="VU13" s="303"/>
      <c r="VV13" s="303"/>
      <c r="VW13" s="303"/>
      <c r="VX13" s="303"/>
      <c r="VY13" s="303"/>
      <c r="VZ13" s="303"/>
      <c r="WA13" s="303"/>
      <c r="WB13" s="303"/>
      <c r="WC13" s="303"/>
      <c r="WD13" s="303"/>
      <c r="WE13" s="303"/>
      <c r="WF13" s="303"/>
      <c r="WG13" s="303"/>
      <c r="WH13" s="303"/>
      <c r="WI13" s="303"/>
      <c r="WJ13" s="303"/>
      <c r="WK13" s="303"/>
      <c r="WL13" s="303"/>
      <c r="WM13" s="303"/>
      <c r="WN13" s="303"/>
      <c r="WO13" s="303"/>
      <c r="WP13" s="303"/>
      <c r="WQ13" s="303"/>
      <c r="WR13" s="303"/>
      <c r="WS13" s="303"/>
      <c r="WT13" s="303"/>
      <c r="WU13" s="303"/>
      <c r="WV13" s="303"/>
      <c r="WW13" s="303"/>
      <c r="WX13" s="303"/>
      <c r="WY13" s="303"/>
      <c r="WZ13" s="303"/>
      <c r="XA13" s="303"/>
      <c r="XB13" s="303"/>
      <c r="XC13" s="303"/>
      <c r="XD13" s="303"/>
      <c r="XE13" s="303"/>
      <c r="XF13" s="303"/>
      <c r="XG13" s="303"/>
      <c r="XH13" s="303"/>
      <c r="XI13" s="303"/>
      <c r="XJ13" s="303"/>
      <c r="XK13" s="303"/>
      <c r="XL13" s="303"/>
      <c r="XM13" s="303"/>
      <c r="XN13" s="303"/>
      <c r="XO13" s="303"/>
      <c r="XP13" s="303"/>
      <c r="XQ13" s="303"/>
      <c r="XR13" s="303"/>
      <c r="XS13" s="303"/>
      <c r="XT13" s="303"/>
      <c r="XU13" s="303"/>
      <c r="XV13" s="303"/>
      <c r="XW13" s="303"/>
      <c r="XX13" s="303"/>
      <c r="XY13" s="303"/>
      <c r="XZ13" s="303"/>
      <c r="YA13" s="303"/>
      <c r="YB13" s="303"/>
      <c r="YC13" s="303"/>
      <c r="YD13" s="303"/>
      <c r="YE13" s="303"/>
      <c r="YF13" s="303"/>
      <c r="YG13" s="303"/>
      <c r="YH13" s="303"/>
      <c r="YI13" s="303"/>
      <c r="YJ13" s="303"/>
      <c r="YK13" s="303"/>
      <c r="YL13" s="303"/>
      <c r="YM13" s="303"/>
      <c r="YN13" s="303"/>
      <c r="YO13" s="303"/>
      <c r="YP13" s="303"/>
      <c r="YQ13" s="303"/>
      <c r="YR13" s="303"/>
      <c r="YS13" s="303"/>
      <c r="YT13" s="303"/>
      <c r="YU13" s="303"/>
      <c r="YV13" s="303"/>
      <c r="YW13" s="303"/>
      <c r="YX13" s="303"/>
      <c r="YY13" s="303"/>
      <c r="YZ13" s="303"/>
      <c r="ZA13" s="303"/>
      <c r="ZB13" s="303"/>
      <c r="ZC13" s="303"/>
      <c r="ZD13" s="303"/>
      <c r="ZE13" s="303"/>
      <c r="ZF13" s="303"/>
      <c r="ZG13" s="303"/>
      <c r="ZH13" s="303"/>
      <c r="ZI13" s="303"/>
      <c r="ZJ13" s="303"/>
      <c r="ZK13" s="303"/>
      <c r="ZL13" s="303"/>
      <c r="ZM13" s="303"/>
      <c r="ZN13" s="303"/>
      <c r="ZO13" s="303"/>
      <c r="ZP13" s="303"/>
      <c r="ZQ13" s="303"/>
      <c r="ZR13" s="303"/>
      <c r="ZS13" s="303"/>
      <c r="ZT13" s="303"/>
      <c r="ZU13" s="303"/>
      <c r="ZV13" s="303"/>
      <c r="ZW13" s="303"/>
      <c r="ZX13" s="303"/>
      <c r="ZY13" s="303"/>
      <c r="ZZ13" s="303"/>
      <c r="AAA13" s="303"/>
      <c r="AAB13" s="303"/>
      <c r="AAC13" s="303"/>
      <c r="AAD13" s="303"/>
      <c r="AAE13" s="303"/>
      <c r="AAF13" s="303"/>
      <c r="AAG13" s="303"/>
      <c r="AAH13" s="303"/>
      <c r="AAI13" s="303"/>
      <c r="AAJ13" s="303"/>
      <c r="AAK13" s="303"/>
      <c r="AAL13" s="303"/>
      <c r="AAM13" s="303"/>
      <c r="AAN13" s="303"/>
      <c r="AAO13" s="303"/>
      <c r="AAP13" s="303"/>
      <c r="AAQ13" s="303"/>
      <c r="AAR13" s="303"/>
      <c r="AAS13" s="303"/>
      <c r="AAT13" s="303"/>
      <c r="AAU13" s="303"/>
      <c r="AAV13" s="303"/>
      <c r="AAW13" s="303"/>
      <c r="AAX13" s="303"/>
      <c r="AAY13" s="303"/>
      <c r="AAZ13" s="303"/>
      <c r="ABA13" s="303"/>
      <c r="ABB13" s="303"/>
      <c r="ABC13" s="303"/>
      <c r="ABD13" s="303"/>
      <c r="ABE13" s="303"/>
      <c r="ABF13" s="303"/>
      <c r="ABG13" s="303"/>
      <c r="ABH13" s="303"/>
      <c r="ABI13" s="303"/>
      <c r="ABJ13" s="303"/>
      <c r="ABK13" s="303"/>
      <c r="ABL13" s="303"/>
      <c r="ABM13" s="303"/>
      <c r="ABN13" s="303"/>
      <c r="ABO13" s="303"/>
      <c r="ABP13" s="303"/>
      <c r="ABQ13" s="303"/>
      <c r="ABR13" s="303"/>
      <c r="ABS13" s="303"/>
      <c r="ABT13" s="303"/>
      <c r="ABU13" s="303"/>
      <c r="ABV13" s="303"/>
      <c r="ABW13" s="303"/>
      <c r="ABX13" s="303"/>
      <c r="ABY13" s="303"/>
      <c r="ABZ13" s="303"/>
      <c r="ACA13" s="303"/>
      <c r="ACB13" s="303"/>
      <c r="ACC13" s="303"/>
      <c r="ACD13" s="303"/>
      <c r="ACE13" s="303"/>
      <c r="ACF13" s="303"/>
      <c r="ACG13" s="303"/>
      <c r="ACH13" s="303"/>
      <c r="ACI13" s="303"/>
      <c r="ACJ13" s="303"/>
      <c r="ACK13" s="303"/>
      <c r="ACL13" s="303"/>
      <c r="ACM13" s="303"/>
      <c r="ACN13" s="303"/>
      <c r="ACO13" s="303"/>
      <c r="ACP13" s="303"/>
      <c r="ACQ13" s="303"/>
      <c r="ACR13" s="303"/>
      <c r="ACS13" s="303"/>
      <c r="ACT13" s="303"/>
      <c r="ACU13" s="303"/>
      <c r="ACV13" s="303"/>
      <c r="ACW13" s="303"/>
      <c r="ACX13" s="303"/>
      <c r="ACY13" s="303"/>
      <c r="ACZ13" s="303"/>
      <c r="ADA13" s="303"/>
      <c r="ADB13" s="303"/>
      <c r="ADC13" s="303"/>
      <c r="ADD13" s="303"/>
      <c r="ADE13" s="303"/>
      <c r="ADF13" s="303"/>
      <c r="ADG13" s="303"/>
      <c r="ADH13" s="303"/>
      <c r="ADI13" s="303"/>
      <c r="ADJ13" s="303"/>
      <c r="ADK13" s="303"/>
      <c r="ADL13" s="303"/>
      <c r="ADM13" s="303"/>
      <c r="ADN13" s="303"/>
      <c r="ADO13" s="303"/>
      <c r="ADP13" s="303"/>
      <c r="ADQ13" s="303"/>
      <c r="ADR13" s="303"/>
      <c r="ADS13" s="303"/>
      <c r="ADT13" s="303"/>
      <c r="ADU13" s="303"/>
      <c r="ADV13" s="303"/>
      <c r="ADW13" s="303"/>
      <c r="ADX13" s="303"/>
      <c r="ADY13" s="303"/>
      <c r="ADZ13" s="303"/>
      <c r="AEA13" s="303"/>
      <c r="AEB13" s="303"/>
      <c r="AEC13" s="303"/>
      <c r="AED13" s="303"/>
      <c r="AEE13" s="303"/>
      <c r="AEF13" s="303"/>
      <c r="AEG13" s="303"/>
      <c r="AEH13" s="303"/>
      <c r="AEI13" s="303"/>
      <c r="AEJ13" s="303"/>
      <c r="AEK13" s="303"/>
      <c r="AEL13" s="303"/>
      <c r="AEM13" s="303"/>
      <c r="AEN13" s="303"/>
      <c r="AEO13" s="303"/>
      <c r="AEP13" s="303"/>
      <c r="AEQ13" s="303"/>
      <c r="AER13" s="303"/>
      <c r="AES13" s="303"/>
      <c r="AET13" s="303"/>
      <c r="AEU13" s="303"/>
      <c r="AEV13" s="303"/>
      <c r="AEW13" s="303"/>
      <c r="AEX13" s="303"/>
      <c r="AEY13" s="303"/>
      <c r="AEZ13" s="303"/>
      <c r="AFA13" s="303"/>
      <c r="AFB13" s="303"/>
      <c r="AFC13" s="303"/>
      <c r="AFD13" s="303"/>
      <c r="AFE13" s="303"/>
      <c r="AFF13" s="303"/>
      <c r="AFG13" s="303"/>
      <c r="AFH13" s="303"/>
      <c r="AFI13" s="303"/>
      <c r="AFJ13" s="303"/>
      <c r="AFK13" s="303"/>
      <c r="AFL13" s="303"/>
      <c r="AFM13" s="303"/>
      <c r="AFN13" s="303"/>
      <c r="AFO13" s="303"/>
      <c r="AFP13" s="303"/>
      <c r="AFQ13" s="303"/>
      <c r="AFR13" s="303"/>
      <c r="AFS13" s="303"/>
      <c r="AFT13" s="303"/>
      <c r="AFU13" s="303"/>
      <c r="AFV13" s="303"/>
      <c r="AFW13" s="303"/>
      <c r="AFX13" s="303"/>
      <c r="AFY13" s="303"/>
      <c r="AFZ13" s="303"/>
      <c r="AGA13" s="303"/>
      <c r="AGB13" s="303"/>
      <c r="AGC13" s="303"/>
      <c r="AGD13" s="303"/>
      <c r="AGE13" s="303"/>
      <c r="AGF13" s="303"/>
      <c r="AGG13" s="303"/>
      <c r="AGH13" s="303"/>
      <c r="AGI13" s="303"/>
      <c r="AGJ13" s="303"/>
      <c r="AGK13" s="303"/>
      <c r="AGL13" s="303"/>
      <c r="AGM13" s="303"/>
      <c r="AGN13" s="303"/>
      <c r="AGO13" s="303"/>
      <c r="AGP13" s="303"/>
      <c r="AGQ13" s="303"/>
      <c r="AGR13" s="303"/>
      <c r="AGS13" s="303"/>
      <c r="AGT13" s="303"/>
      <c r="AGU13" s="303"/>
      <c r="AGV13" s="303"/>
      <c r="AGW13" s="303"/>
      <c r="AGX13" s="303"/>
      <c r="AGY13" s="303"/>
      <c r="AGZ13" s="303"/>
      <c r="AHA13" s="303"/>
      <c r="AHB13" s="303"/>
      <c r="AHC13" s="303"/>
      <c r="AHD13" s="303"/>
      <c r="AHE13" s="303"/>
      <c r="AHF13" s="303"/>
      <c r="AHG13" s="303"/>
      <c r="AHH13" s="303"/>
      <c r="AHI13" s="303"/>
      <c r="AHJ13" s="303"/>
      <c r="AHK13" s="303"/>
      <c r="AHL13" s="303"/>
      <c r="AHM13" s="303"/>
      <c r="AHN13" s="303"/>
      <c r="AHO13" s="303"/>
      <c r="AHP13" s="303"/>
      <c r="AHQ13" s="303"/>
      <c r="AHR13" s="303"/>
      <c r="AHS13" s="303"/>
      <c r="AHT13" s="303"/>
      <c r="AHU13" s="303"/>
      <c r="AHV13" s="303"/>
      <c r="AHW13" s="303"/>
      <c r="AHX13" s="303"/>
      <c r="AHY13" s="303"/>
      <c r="AHZ13" s="303"/>
      <c r="AIA13" s="303"/>
      <c r="AIB13" s="303"/>
      <c r="AIC13" s="303"/>
      <c r="AID13" s="303"/>
      <c r="AIE13" s="303"/>
      <c r="AIF13" s="303"/>
      <c r="AIG13" s="303"/>
      <c r="AIH13" s="303"/>
      <c r="AII13" s="303"/>
      <c r="AIJ13" s="303"/>
      <c r="AIK13" s="303"/>
      <c r="AIL13" s="303"/>
      <c r="AIM13" s="303"/>
      <c r="AIN13" s="303"/>
      <c r="AIO13" s="303"/>
      <c r="AIP13" s="303"/>
      <c r="AIQ13" s="303"/>
      <c r="AIR13" s="303"/>
      <c r="AIS13" s="303"/>
      <c r="AIT13" s="303"/>
      <c r="AIU13" s="303"/>
      <c r="AIV13" s="303"/>
      <c r="AIW13" s="303"/>
      <c r="AIX13" s="303"/>
      <c r="AIY13" s="303"/>
      <c r="AIZ13" s="303"/>
      <c r="AJA13" s="303"/>
      <c r="AJB13" s="303"/>
      <c r="AJC13" s="303"/>
      <c r="AJD13" s="303"/>
      <c r="AJE13" s="303"/>
      <c r="AJF13" s="303"/>
      <c r="AJG13" s="303"/>
      <c r="AJH13" s="303"/>
      <c r="AJI13" s="303"/>
      <c r="AJJ13" s="303"/>
      <c r="AJK13" s="303"/>
      <c r="AJL13" s="303"/>
      <c r="AJM13" s="303"/>
      <c r="AJN13" s="303"/>
      <c r="AJO13" s="303"/>
      <c r="AJP13" s="303"/>
      <c r="AJQ13" s="303"/>
      <c r="AJR13" s="303"/>
      <c r="AJS13" s="303"/>
      <c r="AJT13" s="303"/>
      <c r="AJU13" s="303"/>
      <c r="AJV13" s="303"/>
      <c r="AJW13" s="303"/>
      <c r="AJX13" s="303"/>
      <c r="AJY13" s="303"/>
      <c r="AJZ13" s="303"/>
      <c r="AKA13" s="303"/>
      <c r="AKB13" s="303"/>
      <c r="AKC13" s="303"/>
      <c r="AKD13" s="303"/>
      <c r="AKE13" s="303"/>
      <c r="AKF13" s="303"/>
      <c r="AKG13" s="303"/>
      <c r="AKH13" s="303"/>
      <c r="AKI13" s="303"/>
      <c r="AKJ13" s="303"/>
      <c r="AKK13" s="303"/>
      <c r="AKL13" s="303"/>
      <c r="AKM13" s="303"/>
      <c r="AKN13" s="303"/>
      <c r="AKO13" s="303"/>
      <c r="AKP13" s="303"/>
      <c r="AKQ13" s="303"/>
      <c r="AKR13" s="303"/>
      <c r="AKS13" s="303"/>
      <c r="AKT13" s="303"/>
      <c r="AKU13" s="303"/>
      <c r="AKV13" s="303"/>
      <c r="AKW13" s="303"/>
      <c r="AKX13" s="303"/>
      <c r="AKY13" s="303"/>
      <c r="AKZ13" s="303"/>
      <c r="ALA13" s="303"/>
      <c r="ALB13" s="303"/>
      <c r="ALC13" s="303"/>
      <c r="ALD13" s="303"/>
      <c r="ALE13" s="303"/>
      <c r="ALF13" s="303"/>
      <c r="ALG13" s="303"/>
      <c r="ALH13" s="303"/>
      <c r="ALI13" s="303"/>
      <c r="ALJ13" s="303"/>
      <c r="ALK13" s="303"/>
      <c r="ALL13" s="303"/>
      <c r="ALM13" s="303"/>
      <c r="ALN13" s="303"/>
      <c r="ALO13" s="303"/>
      <c r="ALP13" s="303"/>
      <c r="ALQ13" s="303"/>
      <c r="ALR13" s="303"/>
      <c r="ALS13" s="303"/>
      <c r="ALT13" s="303"/>
      <c r="ALU13" s="303"/>
      <c r="ALV13" s="303"/>
      <c r="ALW13" s="303"/>
      <c r="ALX13" s="303"/>
      <c r="ALY13" s="303"/>
      <c r="ALZ13" s="303"/>
      <c r="AMA13" s="303"/>
      <c r="AMB13" s="303"/>
      <c r="AMC13" s="303"/>
      <c r="AMD13" s="303"/>
      <c r="AME13" s="303"/>
      <c r="AMF13" s="303"/>
      <c r="AMG13" s="303"/>
      <c r="AMH13" s="303"/>
      <c r="AMI13" s="303"/>
      <c r="AMJ13" s="303"/>
      <c r="AMK13" s="303"/>
      <c r="AML13" s="303"/>
      <c r="AMM13" s="303"/>
      <c r="AMN13" s="303"/>
      <c r="AMO13" s="303"/>
      <c r="AMP13" s="303"/>
      <c r="AMQ13" s="303"/>
      <c r="AMR13" s="303"/>
      <c r="AMS13" s="303"/>
      <c r="AMT13" s="303"/>
      <c r="AMU13" s="303"/>
      <c r="AMV13" s="303"/>
      <c r="AMW13" s="303"/>
      <c r="AMX13" s="303"/>
      <c r="AMY13" s="303"/>
      <c r="AMZ13" s="303"/>
      <c r="ANA13" s="303"/>
      <c r="ANB13" s="303"/>
      <c r="ANC13" s="303"/>
      <c r="AND13" s="303"/>
      <c r="ANE13" s="303"/>
      <c r="ANF13" s="303"/>
      <c r="ANG13" s="303"/>
      <c r="ANH13" s="303"/>
      <c r="ANI13" s="303"/>
      <c r="ANJ13" s="303"/>
      <c r="ANK13" s="303"/>
      <c r="ANL13" s="303"/>
      <c r="ANM13" s="303"/>
      <c r="ANN13" s="303"/>
      <c r="ANO13" s="303"/>
      <c r="ANP13" s="303"/>
      <c r="ANQ13" s="303"/>
      <c r="ANR13" s="303"/>
      <c r="ANS13" s="303"/>
      <c r="ANT13" s="303"/>
      <c r="ANU13" s="303"/>
      <c r="ANV13" s="303"/>
      <c r="ANW13" s="303"/>
      <c r="ANX13" s="303"/>
      <c r="ANY13" s="303"/>
      <c r="ANZ13" s="303"/>
      <c r="AOA13" s="303"/>
      <c r="AOB13" s="303"/>
      <c r="AOC13" s="303"/>
      <c r="AOD13" s="303"/>
      <c r="AOE13" s="303"/>
      <c r="AOF13" s="303"/>
      <c r="AOG13" s="303"/>
      <c r="AOH13" s="303"/>
      <c r="AOI13" s="303"/>
      <c r="AOJ13" s="303"/>
      <c r="AOK13" s="303"/>
      <c r="AOL13" s="303"/>
      <c r="AOM13" s="303"/>
      <c r="AON13" s="303"/>
      <c r="AOO13" s="303"/>
      <c r="AOP13" s="303"/>
      <c r="AOQ13" s="303"/>
      <c r="AOR13" s="303"/>
      <c r="AOS13" s="303"/>
      <c r="AOT13" s="303"/>
      <c r="AOU13" s="303"/>
      <c r="AOV13" s="303"/>
      <c r="AOW13" s="303"/>
      <c r="AOX13" s="303"/>
      <c r="AOY13" s="303"/>
      <c r="AOZ13" s="303"/>
      <c r="APA13" s="303"/>
      <c r="APB13" s="303"/>
      <c r="APC13" s="303"/>
      <c r="APD13" s="303"/>
      <c r="APE13" s="303"/>
      <c r="APF13" s="303"/>
      <c r="APG13" s="303"/>
      <c r="APH13" s="303"/>
      <c r="API13" s="303"/>
      <c r="APJ13" s="303"/>
      <c r="APK13" s="303"/>
      <c r="APL13" s="303"/>
      <c r="APM13" s="303"/>
      <c r="APN13" s="303"/>
      <c r="APO13" s="303"/>
      <c r="APP13" s="303"/>
      <c r="APQ13" s="303"/>
      <c r="APR13" s="303"/>
      <c r="APS13" s="303"/>
      <c r="APT13" s="303"/>
      <c r="APU13" s="303"/>
      <c r="APV13" s="303"/>
      <c r="APW13" s="303"/>
      <c r="APX13" s="303"/>
      <c r="APY13" s="303"/>
      <c r="APZ13" s="303"/>
      <c r="AQA13" s="303"/>
      <c r="AQB13" s="303"/>
      <c r="AQC13" s="303"/>
      <c r="AQD13" s="303"/>
      <c r="AQE13" s="303"/>
      <c r="AQF13" s="303"/>
      <c r="AQG13" s="303"/>
      <c r="AQH13" s="303"/>
      <c r="AQI13" s="303"/>
      <c r="AQJ13" s="303"/>
      <c r="AQK13" s="303"/>
      <c r="AQL13" s="303"/>
      <c r="AQM13" s="303"/>
      <c r="AQN13" s="303"/>
      <c r="AQO13" s="303"/>
      <c r="AQP13" s="303"/>
      <c r="AQQ13" s="303"/>
      <c r="AQR13" s="303"/>
      <c r="AQS13" s="303"/>
      <c r="AQT13" s="303"/>
      <c r="AQU13" s="303"/>
      <c r="AQV13" s="303"/>
      <c r="AQW13" s="303"/>
      <c r="AQX13" s="303"/>
      <c r="AQY13" s="303"/>
      <c r="AQZ13" s="303"/>
      <c r="ARA13" s="303"/>
      <c r="ARB13" s="303"/>
      <c r="ARC13" s="303"/>
      <c r="ARD13" s="303"/>
      <c r="ARE13" s="303"/>
      <c r="ARF13" s="303"/>
      <c r="ARG13" s="303"/>
      <c r="ARH13" s="303"/>
      <c r="ARI13" s="303"/>
      <c r="ARJ13" s="303"/>
      <c r="ARK13" s="303"/>
      <c r="ARL13" s="303"/>
      <c r="ARM13" s="303"/>
      <c r="ARN13" s="303"/>
      <c r="ARO13" s="303"/>
      <c r="ARP13" s="303"/>
      <c r="ARQ13" s="303"/>
      <c r="ARR13" s="303"/>
      <c r="ARS13" s="303"/>
      <c r="ART13" s="303"/>
      <c r="ARU13" s="303"/>
      <c r="ARV13" s="303"/>
      <c r="ARW13" s="303"/>
      <c r="ARX13" s="303"/>
      <c r="ARY13" s="303"/>
      <c r="ARZ13" s="303"/>
      <c r="ASA13" s="303"/>
      <c r="ASB13" s="303"/>
      <c r="ASC13" s="303"/>
      <c r="ASD13" s="303"/>
      <c r="ASE13" s="303"/>
      <c r="ASF13" s="303"/>
      <c r="ASG13" s="303"/>
      <c r="ASH13" s="303"/>
      <c r="ASI13" s="303"/>
      <c r="ASJ13" s="303"/>
      <c r="ASK13" s="303"/>
      <c r="ASL13" s="303"/>
      <c r="ASM13" s="303"/>
      <c r="ASN13" s="303"/>
      <c r="ASO13" s="303"/>
      <c r="ASP13" s="303"/>
      <c r="ASQ13" s="303"/>
      <c r="ASR13" s="303"/>
      <c r="ASS13" s="303"/>
      <c r="AST13" s="303"/>
      <c r="ASU13" s="303"/>
      <c r="ASV13" s="303"/>
      <c r="ASW13" s="303"/>
      <c r="ASX13" s="303"/>
      <c r="ASY13" s="303"/>
      <c r="ASZ13" s="303"/>
      <c r="ATA13" s="303"/>
      <c r="ATB13" s="303"/>
      <c r="ATC13" s="303"/>
      <c r="ATD13" s="303"/>
      <c r="ATE13" s="303"/>
      <c r="ATF13" s="303"/>
      <c r="ATG13" s="303"/>
      <c r="ATH13" s="303"/>
      <c r="ATI13" s="303"/>
      <c r="ATJ13" s="303"/>
      <c r="ATK13" s="303"/>
      <c r="ATL13" s="303"/>
      <c r="ATM13" s="303"/>
      <c r="ATN13" s="303"/>
      <c r="ATO13" s="303"/>
      <c r="ATP13" s="303"/>
      <c r="ATQ13" s="303"/>
      <c r="ATR13" s="303"/>
      <c r="ATS13" s="303"/>
      <c r="ATT13" s="303"/>
      <c r="ATU13" s="303"/>
      <c r="ATV13" s="303"/>
      <c r="ATW13" s="303"/>
      <c r="ATX13" s="303"/>
      <c r="ATY13" s="303"/>
      <c r="ATZ13" s="303"/>
      <c r="AUA13" s="303"/>
      <c r="AUB13" s="303"/>
      <c r="AUC13" s="303"/>
      <c r="AUD13" s="303"/>
      <c r="AUE13" s="303"/>
      <c r="AUF13" s="303"/>
      <c r="AUG13" s="303"/>
      <c r="AUH13" s="303"/>
      <c r="AUI13" s="303"/>
      <c r="AUJ13" s="303"/>
      <c r="AUK13" s="303"/>
      <c r="AUL13" s="303"/>
      <c r="AUM13" s="303"/>
      <c r="AUN13" s="303"/>
      <c r="AUO13" s="303"/>
      <c r="AUP13" s="303"/>
      <c r="AUQ13" s="303"/>
      <c r="AUR13" s="303"/>
      <c r="AUS13" s="303"/>
      <c r="AUT13" s="303"/>
      <c r="AUU13" s="303"/>
      <c r="AUV13" s="303"/>
      <c r="AUW13" s="303"/>
      <c r="AUX13" s="303"/>
      <c r="AUY13" s="303"/>
      <c r="AUZ13" s="303"/>
      <c r="AVA13" s="303"/>
      <c r="AVB13" s="303"/>
      <c r="AVC13" s="303"/>
      <c r="AVD13" s="303"/>
      <c r="AVE13" s="303"/>
      <c r="AVF13" s="303"/>
      <c r="AVG13" s="303"/>
      <c r="AVH13" s="303"/>
      <c r="AVI13" s="303"/>
      <c r="AVJ13" s="303"/>
      <c r="AVK13" s="303"/>
      <c r="AVL13" s="303"/>
      <c r="AVM13" s="303"/>
      <c r="AVN13" s="303"/>
      <c r="AVO13" s="303"/>
      <c r="AVP13" s="303"/>
      <c r="AVQ13" s="303"/>
      <c r="AVR13" s="303"/>
      <c r="AVS13" s="303"/>
      <c r="AVT13" s="303"/>
      <c r="AVU13" s="303"/>
      <c r="AVV13" s="303"/>
      <c r="AVW13" s="303"/>
      <c r="AVX13" s="303"/>
      <c r="AVY13" s="303"/>
      <c r="AVZ13" s="303"/>
      <c r="AWA13" s="303"/>
      <c r="AWB13" s="303"/>
      <c r="AWC13" s="303"/>
      <c r="AWD13" s="303"/>
      <c r="AWE13" s="303"/>
      <c r="AWF13" s="303"/>
      <c r="AWG13" s="303"/>
      <c r="AWH13" s="303"/>
      <c r="AWI13" s="303"/>
      <c r="AWJ13" s="303"/>
      <c r="AWK13" s="303"/>
      <c r="AWL13" s="303"/>
      <c r="AWM13" s="303"/>
      <c r="AWN13" s="303"/>
      <c r="AWO13" s="303"/>
      <c r="AWP13" s="303"/>
      <c r="AWQ13" s="303"/>
      <c r="AWR13" s="303"/>
      <c r="AWS13" s="303"/>
      <c r="AWT13" s="303"/>
      <c r="AWU13" s="303"/>
      <c r="AWV13" s="303"/>
      <c r="AWW13" s="303"/>
      <c r="AWX13" s="303"/>
      <c r="AWY13" s="303"/>
      <c r="AWZ13" s="303"/>
      <c r="AXA13" s="303"/>
      <c r="AXB13" s="303"/>
      <c r="AXC13" s="303"/>
      <c r="AXD13" s="303"/>
      <c r="AXE13" s="303"/>
      <c r="AXF13" s="303"/>
      <c r="AXG13" s="303"/>
      <c r="AXH13" s="303"/>
      <c r="AXI13" s="303"/>
      <c r="AXJ13" s="303"/>
      <c r="AXK13" s="303"/>
      <c r="AXL13" s="303"/>
      <c r="AXM13" s="303"/>
      <c r="AXN13" s="303"/>
      <c r="AXO13" s="303"/>
      <c r="AXP13" s="303"/>
      <c r="AXQ13" s="303"/>
      <c r="AXR13" s="303"/>
      <c r="AXS13" s="303"/>
      <c r="AXT13" s="303"/>
      <c r="AXU13" s="303"/>
      <c r="AXV13" s="303"/>
      <c r="AXW13" s="303"/>
      <c r="AXX13" s="303"/>
      <c r="AXY13" s="303"/>
      <c r="AXZ13" s="303"/>
      <c r="AYA13" s="303"/>
      <c r="AYB13" s="303"/>
      <c r="AYC13" s="303"/>
      <c r="AYD13" s="303"/>
      <c r="AYE13" s="303"/>
      <c r="AYF13" s="303"/>
      <c r="AYG13" s="303"/>
      <c r="AYH13" s="303"/>
    </row>
    <row r="14" spans="1:1334" ht="120.75" x14ac:dyDescent="0.25">
      <c r="A14" s="304" t="s">
        <v>1108</v>
      </c>
      <c r="B14" s="298" t="s">
        <v>1109</v>
      </c>
      <c r="C14" s="303"/>
      <c r="D14" s="303"/>
      <c r="E14" s="303"/>
      <c r="F14" s="303"/>
      <c r="G14" s="303"/>
      <c r="H14" s="303"/>
      <c r="I14" s="303"/>
      <c r="J14" s="303"/>
      <c r="K14" s="303"/>
      <c r="L14" s="303"/>
      <c r="M14" s="303"/>
      <c r="N14" s="303"/>
      <c r="O14" s="303"/>
      <c r="P14" s="303"/>
      <c r="Q14" s="303"/>
      <c r="R14" s="303"/>
      <c r="S14" s="303"/>
      <c r="T14" s="303"/>
      <c r="U14" s="303"/>
      <c r="V14" s="303"/>
      <c r="W14" s="303"/>
      <c r="X14" s="303"/>
      <c r="Y14" s="303"/>
      <c r="Z14" s="303"/>
      <c r="AA14" s="303"/>
      <c r="AB14" s="303"/>
      <c r="AC14" s="303"/>
      <c r="AD14" s="303"/>
      <c r="AE14" s="303"/>
      <c r="AF14" s="303"/>
      <c r="AG14" s="303"/>
      <c r="AH14" s="303"/>
      <c r="AI14" s="303"/>
      <c r="AJ14" s="303"/>
      <c r="AK14" s="303"/>
      <c r="AL14" s="303"/>
      <c r="AM14" s="303"/>
      <c r="AN14" s="303"/>
      <c r="AO14" s="303"/>
      <c r="AP14" s="303"/>
      <c r="AQ14" s="303"/>
      <c r="AR14" s="303"/>
      <c r="AS14" s="303"/>
      <c r="AT14" s="303"/>
      <c r="AU14" s="303"/>
      <c r="AV14" s="303"/>
      <c r="AW14" s="303"/>
      <c r="AX14" s="303"/>
      <c r="AY14" s="303"/>
      <c r="AZ14" s="303"/>
      <c r="BA14" s="303"/>
      <c r="BB14" s="303"/>
      <c r="BC14" s="303"/>
      <c r="BD14" s="303"/>
      <c r="BE14" s="303"/>
      <c r="BF14" s="303"/>
      <c r="BG14" s="303"/>
      <c r="BH14" s="303"/>
      <c r="BI14" s="303"/>
      <c r="BJ14" s="303"/>
      <c r="BK14" s="303"/>
      <c r="BL14" s="303"/>
      <c r="BM14" s="303"/>
      <c r="BN14" s="303"/>
      <c r="BO14" s="303"/>
      <c r="BP14" s="303"/>
      <c r="BQ14" s="303"/>
      <c r="BR14" s="303"/>
      <c r="BS14" s="303"/>
      <c r="BT14" s="303"/>
      <c r="BU14" s="303"/>
      <c r="BV14" s="303"/>
      <c r="BW14" s="303"/>
      <c r="BX14" s="303"/>
      <c r="BY14" s="303"/>
      <c r="BZ14" s="303"/>
      <c r="CA14" s="303"/>
      <c r="CB14" s="303"/>
      <c r="CC14" s="303"/>
      <c r="CD14" s="303"/>
      <c r="CE14" s="303"/>
      <c r="CF14" s="303"/>
      <c r="CG14" s="303"/>
      <c r="CH14" s="303"/>
      <c r="CI14" s="303"/>
      <c r="CJ14" s="303"/>
      <c r="CK14" s="303"/>
      <c r="CL14" s="303"/>
      <c r="CM14" s="303"/>
      <c r="CN14" s="303"/>
      <c r="CO14" s="303"/>
      <c r="CP14" s="303"/>
      <c r="CQ14" s="303"/>
      <c r="CR14" s="303"/>
      <c r="CS14" s="303"/>
      <c r="CT14" s="303"/>
      <c r="CU14" s="303"/>
      <c r="CV14" s="303"/>
      <c r="CW14" s="303"/>
      <c r="CX14" s="303"/>
      <c r="CY14" s="303"/>
      <c r="CZ14" s="303"/>
      <c r="DA14" s="303"/>
      <c r="DB14" s="303"/>
      <c r="DC14" s="303"/>
      <c r="DD14" s="303"/>
      <c r="DE14" s="303"/>
      <c r="DF14" s="303"/>
      <c r="DG14" s="303"/>
      <c r="DH14" s="303"/>
      <c r="DI14" s="303"/>
      <c r="DJ14" s="303"/>
      <c r="DK14" s="303"/>
      <c r="DL14" s="303"/>
      <c r="DM14" s="303"/>
      <c r="DN14" s="303"/>
      <c r="DO14" s="303"/>
      <c r="DP14" s="303"/>
      <c r="DQ14" s="303"/>
      <c r="DR14" s="303"/>
      <c r="DS14" s="303"/>
      <c r="DT14" s="303"/>
      <c r="DU14" s="303"/>
      <c r="DV14" s="303"/>
      <c r="DW14" s="303"/>
      <c r="DX14" s="303"/>
      <c r="DY14" s="303"/>
      <c r="DZ14" s="303"/>
      <c r="EA14" s="303"/>
      <c r="EB14" s="303"/>
      <c r="EC14" s="303"/>
      <c r="ED14" s="303"/>
      <c r="EE14" s="303"/>
      <c r="EF14" s="303"/>
      <c r="EG14" s="303"/>
      <c r="EH14" s="303"/>
      <c r="EI14" s="303"/>
      <c r="EJ14" s="303"/>
      <c r="EK14" s="303"/>
      <c r="EL14" s="303"/>
      <c r="EM14" s="303"/>
      <c r="EN14" s="303"/>
      <c r="EO14" s="303"/>
      <c r="EP14" s="303"/>
      <c r="EQ14" s="303"/>
      <c r="ER14" s="303"/>
      <c r="ES14" s="303"/>
      <c r="ET14" s="303"/>
      <c r="EU14" s="303"/>
      <c r="EV14" s="303"/>
      <c r="EW14" s="303"/>
      <c r="EX14" s="303"/>
      <c r="EY14" s="303"/>
      <c r="EZ14" s="303"/>
      <c r="FA14" s="303"/>
      <c r="FB14" s="303"/>
      <c r="FC14" s="303"/>
      <c r="FD14" s="303"/>
      <c r="FE14" s="303"/>
      <c r="FF14" s="303"/>
      <c r="FG14" s="303"/>
      <c r="FH14" s="303"/>
      <c r="FI14" s="303"/>
      <c r="FJ14" s="303"/>
      <c r="FK14" s="303"/>
      <c r="FL14" s="303"/>
      <c r="FM14" s="303"/>
      <c r="FN14" s="303"/>
      <c r="FO14" s="303"/>
      <c r="FP14" s="303"/>
      <c r="FQ14" s="303"/>
      <c r="FR14" s="303"/>
      <c r="FS14" s="303"/>
      <c r="FT14" s="303"/>
      <c r="FU14" s="303"/>
      <c r="FV14" s="303"/>
      <c r="FW14" s="303"/>
      <c r="FX14" s="303"/>
      <c r="FY14" s="303"/>
      <c r="FZ14" s="303"/>
      <c r="GA14" s="303"/>
      <c r="GB14" s="303"/>
      <c r="GC14" s="303"/>
      <c r="GD14" s="303"/>
      <c r="GE14" s="303"/>
      <c r="GF14" s="303"/>
      <c r="GG14" s="303"/>
      <c r="GH14" s="303"/>
      <c r="GI14" s="303"/>
      <c r="GJ14" s="303"/>
      <c r="GK14" s="303"/>
      <c r="GL14" s="303"/>
      <c r="GM14" s="303"/>
      <c r="GN14" s="303"/>
      <c r="GO14" s="303"/>
      <c r="GP14" s="303"/>
      <c r="GQ14" s="303"/>
      <c r="GR14" s="303"/>
      <c r="GS14" s="303"/>
      <c r="GT14" s="303"/>
      <c r="GU14" s="303"/>
      <c r="GV14" s="303"/>
      <c r="GW14" s="303"/>
      <c r="GX14" s="303"/>
      <c r="GY14" s="303"/>
      <c r="GZ14" s="303"/>
      <c r="HA14" s="303"/>
      <c r="HB14" s="303"/>
      <c r="HC14" s="303"/>
      <c r="HD14" s="303"/>
      <c r="HE14" s="303"/>
      <c r="HF14" s="303"/>
      <c r="HG14" s="303"/>
      <c r="HH14" s="303"/>
      <c r="HI14" s="303"/>
      <c r="HJ14" s="303"/>
      <c r="HK14" s="303"/>
      <c r="HL14" s="303"/>
      <c r="HM14" s="303"/>
      <c r="HN14" s="303"/>
      <c r="HO14" s="303"/>
      <c r="HP14" s="303"/>
      <c r="HQ14" s="303"/>
      <c r="HR14" s="303"/>
      <c r="HS14" s="303"/>
      <c r="HT14" s="303"/>
      <c r="HU14" s="303"/>
      <c r="HV14" s="303"/>
      <c r="HW14" s="303"/>
      <c r="HX14" s="303"/>
      <c r="HY14" s="303"/>
      <c r="HZ14" s="303"/>
      <c r="IA14" s="303"/>
      <c r="IB14" s="303"/>
      <c r="IC14" s="303"/>
      <c r="ID14" s="303"/>
      <c r="IE14" s="303"/>
      <c r="IF14" s="303"/>
      <c r="IG14" s="303"/>
      <c r="IH14" s="303"/>
      <c r="II14" s="303"/>
      <c r="IJ14" s="303"/>
      <c r="IK14" s="303"/>
      <c r="IL14" s="303"/>
      <c r="IM14" s="303"/>
      <c r="IN14" s="303"/>
      <c r="IO14" s="303"/>
      <c r="IP14" s="303"/>
      <c r="IQ14" s="303"/>
      <c r="IR14" s="303"/>
      <c r="IS14" s="303"/>
      <c r="IT14" s="303"/>
      <c r="IU14" s="303"/>
      <c r="IV14" s="303"/>
      <c r="IW14" s="303"/>
      <c r="IX14" s="303"/>
      <c r="IY14" s="303"/>
      <c r="IZ14" s="303"/>
      <c r="JA14" s="303"/>
      <c r="JB14" s="303"/>
      <c r="JC14" s="303"/>
      <c r="JD14" s="303"/>
      <c r="JE14" s="303"/>
      <c r="JF14" s="303"/>
      <c r="JG14" s="303"/>
      <c r="JH14" s="303"/>
      <c r="JI14" s="303"/>
      <c r="JJ14" s="303"/>
      <c r="JK14" s="303"/>
      <c r="JL14" s="303"/>
      <c r="JM14" s="303"/>
      <c r="JN14" s="303"/>
      <c r="JO14" s="303"/>
      <c r="JP14" s="303"/>
      <c r="JQ14" s="303"/>
      <c r="JR14" s="303"/>
      <c r="JS14" s="303"/>
      <c r="JT14" s="303"/>
      <c r="JU14" s="303"/>
      <c r="JV14" s="303"/>
      <c r="JW14" s="303"/>
      <c r="JX14" s="303"/>
      <c r="JY14" s="303"/>
      <c r="JZ14" s="303"/>
      <c r="KA14" s="303"/>
      <c r="KB14" s="303"/>
      <c r="KC14" s="303"/>
      <c r="KD14" s="303"/>
      <c r="KE14" s="303"/>
      <c r="KF14" s="303"/>
      <c r="KG14" s="303"/>
      <c r="KH14" s="303"/>
      <c r="KI14" s="303"/>
      <c r="KJ14" s="303"/>
      <c r="KK14" s="303"/>
      <c r="KL14" s="303"/>
      <c r="KM14" s="303"/>
      <c r="KN14" s="303"/>
      <c r="KO14" s="303"/>
      <c r="KP14" s="303"/>
      <c r="KQ14" s="303"/>
      <c r="KR14" s="303"/>
      <c r="KS14" s="303"/>
      <c r="KT14" s="303"/>
      <c r="KU14" s="303"/>
      <c r="KV14" s="303"/>
      <c r="KW14" s="303"/>
      <c r="KX14" s="303"/>
      <c r="KY14" s="303"/>
      <c r="KZ14" s="303"/>
      <c r="LA14" s="303"/>
      <c r="LB14" s="303"/>
      <c r="LC14" s="303"/>
      <c r="LD14" s="303"/>
      <c r="LE14" s="303"/>
      <c r="LF14" s="303"/>
      <c r="LG14" s="303"/>
      <c r="LH14" s="303"/>
      <c r="LI14" s="303"/>
      <c r="LJ14" s="303"/>
      <c r="LK14" s="303"/>
      <c r="LL14" s="303"/>
      <c r="LM14" s="303"/>
      <c r="LN14" s="303"/>
      <c r="LO14" s="303"/>
      <c r="LP14" s="303"/>
      <c r="LQ14" s="303"/>
      <c r="LR14" s="303"/>
      <c r="LS14" s="303"/>
      <c r="LT14" s="303"/>
      <c r="LU14" s="303"/>
      <c r="LV14" s="303"/>
      <c r="LW14" s="303"/>
      <c r="LX14" s="303"/>
      <c r="LY14" s="303"/>
      <c r="LZ14" s="303"/>
      <c r="MA14" s="303"/>
      <c r="MB14" s="303"/>
      <c r="MC14" s="303"/>
      <c r="MD14" s="303"/>
      <c r="ME14" s="303"/>
      <c r="MF14" s="303"/>
      <c r="MG14" s="303"/>
      <c r="MH14" s="303"/>
      <c r="MI14" s="303"/>
      <c r="MJ14" s="303"/>
      <c r="MK14" s="303"/>
      <c r="ML14" s="303"/>
      <c r="MM14" s="303"/>
      <c r="MN14" s="303"/>
      <c r="MO14" s="303"/>
      <c r="MP14" s="303"/>
      <c r="MQ14" s="303"/>
      <c r="MR14" s="303"/>
      <c r="MS14" s="303"/>
      <c r="MT14" s="303"/>
      <c r="MU14" s="303"/>
      <c r="MV14" s="303"/>
      <c r="MW14" s="303"/>
      <c r="MX14" s="303"/>
      <c r="MY14" s="303"/>
      <c r="MZ14" s="303"/>
      <c r="NA14" s="303"/>
      <c r="NB14" s="303"/>
      <c r="NC14" s="303"/>
      <c r="ND14" s="303"/>
      <c r="NE14" s="303"/>
      <c r="NF14" s="303"/>
      <c r="NG14" s="303"/>
      <c r="NH14" s="303"/>
      <c r="NI14" s="303"/>
      <c r="NJ14" s="303"/>
      <c r="NK14" s="303"/>
      <c r="NL14" s="303"/>
      <c r="NM14" s="303"/>
      <c r="NN14" s="303"/>
      <c r="NO14" s="303"/>
      <c r="NP14" s="303"/>
      <c r="NQ14" s="303"/>
      <c r="NR14" s="303"/>
      <c r="NS14" s="303"/>
      <c r="NT14" s="303"/>
      <c r="NU14" s="303"/>
      <c r="NV14" s="303"/>
      <c r="NW14" s="303"/>
      <c r="NX14" s="303"/>
      <c r="NY14" s="303"/>
      <c r="NZ14" s="303"/>
      <c r="OA14" s="303"/>
      <c r="OB14" s="303"/>
      <c r="OC14" s="303"/>
      <c r="OD14" s="303"/>
      <c r="OE14" s="303"/>
      <c r="OF14" s="303"/>
      <c r="OG14" s="303"/>
      <c r="OH14" s="303"/>
      <c r="OI14" s="303"/>
      <c r="OJ14" s="303"/>
      <c r="OK14" s="303"/>
      <c r="OL14" s="303"/>
      <c r="OM14" s="303"/>
      <c r="ON14" s="303"/>
      <c r="OO14" s="303"/>
      <c r="OP14" s="303"/>
      <c r="OQ14" s="303"/>
      <c r="OR14" s="303"/>
      <c r="OS14" s="303"/>
      <c r="OT14" s="303"/>
      <c r="OU14" s="303"/>
      <c r="OV14" s="303"/>
      <c r="OW14" s="303"/>
      <c r="OX14" s="303"/>
      <c r="OY14" s="303"/>
      <c r="OZ14" s="303"/>
      <c r="PA14" s="303"/>
      <c r="PB14" s="303"/>
      <c r="PC14" s="303"/>
      <c r="PD14" s="303"/>
      <c r="PE14" s="303"/>
      <c r="PF14" s="303"/>
      <c r="PG14" s="303"/>
      <c r="PH14" s="303"/>
      <c r="PI14" s="303"/>
      <c r="PJ14" s="303"/>
      <c r="PK14" s="303"/>
      <c r="PL14" s="303"/>
      <c r="PM14" s="303"/>
      <c r="PN14" s="303"/>
      <c r="PO14" s="303"/>
      <c r="PP14" s="303"/>
      <c r="PQ14" s="303"/>
      <c r="PR14" s="303"/>
      <c r="PS14" s="303"/>
      <c r="PT14" s="303"/>
      <c r="PU14" s="303"/>
      <c r="PV14" s="303"/>
      <c r="PW14" s="303"/>
      <c r="PX14" s="303"/>
      <c r="PY14" s="303"/>
      <c r="PZ14" s="303"/>
      <c r="QA14" s="303"/>
      <c r="QB14" s="303"/>
      <c r="QC14" s="303"/>
      <c r="QD14" s="303"/>
      <c r="QE14" s="303"/>
      <c r="QF14" s="303"/>
      <c r="QG14" s="303"/>
      <c r="QH14" s="303"/>
      <c r="QI14" s="303"/>
      <c r="QJ14" s="303"/>
      <c r="QK14" s="303"/>
      <c r="QL14" s="303"/>
      <c r="QM14" s="303"/>
      <c r="QN14" s="303"/>
      <c r="QO14" s="303"/>
      <c r="QP14" s="303"/>
      <c r="QQ14" s="303"/>
      <c r="QR14" s="303"/>
      <c r="QS14" s="303"/>
      <c r="QT14" s="303"/>
      <c r="QU14" s="303"/>
      <c r="QV14" s="303"/>
      <c r="QW14" s="303"/>
      <c r="QX14" s="303"/>
      <c r="QY14" s="303"/>
      <c r="QZ14" s="303"/>
      <c r="RA14" s="303"/>
      <c r="RB14" s="303"/>
      <c r="RC14" s="303"/>
      <c r="RD14" s="303"/>
      <c r="RE14" s="303"/>
      <c r="RF14" s="303"/>
      <c r="RG14" s="303"/>
      <c r="RH14" s="303"/>
      <c r="RI14" s="303"/>
      <c r="RJ14" s="303"/>
      <c r="RK14" s="303"/>
      <c r="RL14" s="303"/>
      <c r="RM14" s="303"/>
      <c r="RN14" s="303"/>
      <c r="RO14" s="303"/>
      <c r="RP14" s="303"/>
      <c r="RQ14" s="303"/>
      <c r="RR14" s="303"/>
      <c r="RS14" s="303"/>
      <c r="RT14" s="303"/>
      <c r="RU14" s="303"/>
      <c r="RV14" s="303"/>
      <c r="RW14" s="303"/>
      <c r="RX14" s="303"/>
      <c r="RY14" s="303"/>
      <c r="RZ14" s="303"/>
      <c r="SA14" s="303"/>
      <c r="SB14" s="303"/>
      <c r="SC14" s="303"/>
      <c r="SD14" s="303"/>
      <c r="SE14" s="303"/>
      <c r="SF14" s="303"/>
      <c r="SG14" s="303"/>
      <c r="SH14" s="303"/>
      <c r="SI14" s="303"/>
      <c r="SJ14" s="303"/>
      <c r="SK14" s="303"/>
      <c r="SL14" s="303"/>
      <c r="SM14" s="303"/>
      <c r="SN14" s="303"/>
      <c r="SO14" s="303"/>
      <c r="SP14" s="303"/>
      <c r="SQ14" s="303"/>
      <c r="SR14" s="303"/>
      <c r="SS14" s="303"/>
      <c r="ST14" s="303"/>
      <c r="SU14" s="303"/>
      <c r="SV14" s="303"/>
      <c r="SW14" s="303"/>
      <c r="SX14" s="303"/>
      <c r="SY14" s="303"/>
      <c r="SZ14" s="303"/>
      <c r="TA14" s="303"/>
      <c r="TB14" s="303"/>
      <c r="TC14" s="303"/>
      <c r="TD14" s="303"/>
      <c r="TE14" s="303"/>
      <c r="TF14" s="303"/>
      <c r="TG14" s="303"/>
      <c r="TH14" s="303"/>
      <c r="TI14" s="303"/>
      <c r="TJ14" s="303"/>
      <c r="TK14" s="303"/>
      <c r="TL14" s="303"/>
      <c r="TM14" s="303"/>
      <c r="TN14" s="303"/>
      <c r="TO14" s="303"/>
      <c r="TP14" s="303"/>
      <c r="TQ14" s="303"/>
      <c r="TR14" s="303"/>
      <c r="TS14" s="303"/>
      <c r="TT14" s="303"/>
      <c r="TU14" s="303"/>
      <c r="TV14" s="303"/>
      <c r="TW14" s="303"/>
      <c r="TX14" s="303"/>
      <c r="TY14" s="303"/>
      <c r="TZ14" s="303"/>
      <c r="UA14" s="303"/>
      <c r="UB14" s="303"/>
      <c r="UC14" s="303"/>
      <c r="UD14" s="303"/>
      <c r="UE14" s="303"/>
      <c r="UF14" s="303"/>
      <c r="UG14" s="303"/>
      <c r="UH14" s="303"/>
      <c r="UI14" s="303"/>
      <c r="UJ14" s="303"/>
      <c r="UK14" s="303"/>
      <c r="UL14" s="303"/>
      <c r="UM14" s="303"/>
      <c r="UN14" s="303"/>
      <c r="UO14" s="303"/>
      <c r="UP14" s="303"/>
      <c r="UQ14" s="303"/>
      <c r="UR14" s="303"/>
      <c r="US14" s="303"/>
      <c r="UT14" s="303"/>
      <c r="UU14" s="303"/>
      <c r="UV14" s="303"/>
      <c r="UW14" s="303"/>
      <c r="UX14" s="303"/>
      <c r="UY14" s="303"/>
      <c r="UZ14" s="303"/>
      <c r="VA14" s="303"/>
      <c r="VB14" s="303"/>
      <c r="VC14" s="303"/>
      <c r="VD14" s="303"/>
      <c r="VE14" s="303"/>
      <c r="VF14" s="303"/>
      <c r="VG14" s="303"/>
      <c r="VH14" s="303"/>
      <c r="VI14" s="303"/>
      <c r="VJ14" s="303"/>
      <c r="VK14" s="303"/>
      <c r="VL14" s="303"/>
      <c r="VM14" s="303"/>
      <c r="VN14" s="303"/>
      <c r="VO14" s="303"/>
      <c r="VP14" s="303"/>
      <c r="VQ14" s="303"/>
      <c r="VR14" s="303"/>
      <c r="VS14" s="303"/>
      <c r="VT14" s="303"/>
      <c r="VU14" s="303"/>
      <c r="VV14" s="303"/>
      <c r="VW14" s="303"/>
      <c r="VX14" s="303"/>
      <c r="VY14" s="303"/>
      <c r="VZ14" s="303"/>
      <c r="WA14" s="303"/>
      <c r="WB14" s="303"/>
      <c r="WC14" s="303"/>
      <c r="WD14" s="303"/>
      <c r="WE14" s="303"/>
      <c r="WF14" s="303"/>
      <c r="WG14" s="303"/>
      <c r="WH14" s="303"/>
      <c r="WI14" s="303"/>
      <c r="WJ14" s="303"/>
      <c r="WK14" s="303"/>
      <c r="WL14" s="303"/>
      <c r="WM14" s="303"/>
      <c r="WN14" s="303"/>
      <c r="WO14" s="303"/>
      <c r="WP14" s="303"/>
      <c r="WQ14" s="303"/>
      <c r="WR14" s="303"/>
      <c r="WS14" s="303"/>
      <c r="WT14" s="303"/>
      <c r="WU14" s="303"/>
      <c r="WV14" s="303"/>
      <c r="WW14" s="303"/>
      <c r="WX14" s="303"/>
      <c r="WY14" s="303"/>
      <c r="WZ14" s="303"/>
      <c r="XA14" s="303"/>
      <c r="XB14" s="303"/>
      <c r="XC14" s="303"/>
      <c r="XD14" s="303"/>
      <c r="XE14" s="303"/>
      <c r="XF14" s="303"/>
      <c r="XG14" s="303"/>
      <c r="XH14" s="303"/>
      <c r="XI14" s="303"/>
      <c r="XJ14" s="303"/>
      <c r="XK14" s="303"/>
      <c r="XL14" s="303"/>
      <c r="XM14" s="303"/>
      <c r="XN14" s="303"/>
      <c r="XO14" s="303"/>
      <c r="XP14" s="303"/>
      <c r="XQ14" s="303"/>
      <c r="XR14" s="303"/>
      <c r="XS14" s="303"/>
      <c r="XT14" s="303"/>
      <c r="XU14" s="303"/>
      <c r="XV14" s="303"/>
      <c r="XW14" s="303"/>
      <c r="XX14" s="303"/>
      <c r="XY14" s="303"/>
      <c r="XZ14" s="303"/>
      <c r="YA14" s="303"/>
      <c r="YB14" s="303"/>
      <c r="YC14" s="303"/>
      <c r="YD14" s="303"/>
      <c r="YE14" s="303"/>
      <c r="YF14" s="303"/>
      <c r="YG14" s="303"/>
      <c r="YH14" s="303"/>
      <c r="YI14" s="303"/>
      <c r="YJ14" s="303"/>
      <c r="YK14" s="303"/>
      <c r="YL14" s="303"/>
      <c r="YM14" s="303"/>
      <c r="YN14" s="303"/>
      <c r="YO14" s="303"/>
      <c r="YP14" s="303"/>
      <c r="YQ14" s="303"/>
      <c r="YR14" s="303"/>
      <c r="YS14" s="303"/>
      <c r="YT14" s="303"/>
      <c r="YU14" s="303"/>
      <c r="YV14" s="303"/>
      <c r="YW14" s="303"/>
      <c r="YX14" s="303"/>
      <c r="YY14" s="303"/>
      <c r="YZ14" s="303"/>
      <c r="ZA14" s="303"/>
      <c r="ZB14" s="303"/>
      <c r="ZC14" s="303"/>
      <c r="ZD14" s="303"/>
      <c r="ZE14" s="303"/>
      <c r="ZF14" s="303"/>
      <c r="ZG14" s="303"/>
      <c r="ZH14" s="303"/>
      <c r="ZI14" s="303"/>
      <c r="ZJ14" s="303"/>
      <c r="ZK14" s="303"/>
      <c r="ZL14" s="303"/>
      <c r="ZM14" s="303"/>
      <c r="ZN14" s="303"/>
      <c r="ZO14" s="303"/>
      <c r="ZP14" s="303"/>
      <c r="ZQ14" s="303"/>
      <c r="ZR14" s="303"/>
      <c r="ZS14" s="303"/>
      <c r="ZT14" s="303"/>
      <c r="ZU14" s="303"/>
      <c r="ZV14" s="303"/>
      <c r="ZW14" s="303"/>
      <c r="ZX14" s="303"/>
      <c r="ZY14" s="303"/>
      <c r="ZZ14" s="303"/>
      <c r="AAA14" s="303"/>
      <c r="AAB14" s="303"/>
      <c r="AAC14" s="303"/>
      <c r="AAD14" s="303"/>
      <c r="AAE14" s="303"/>
      <c r="AAF14" s="303"/>
      <c r="AAG14" s="303"/>
      <c r="AAH14" s="303"/>
      <c r="AAI14" s="303"/>
      <c r="AAJ14" s="303"/>
      <c r="AAK14" s="303"/>
      <c r="AAL14" s="303"/>
      <c r="AAM14" s="303"/>
      <c r="AAN14" s="303"/>
      <c r="AAO14" s="303"/>
      <c r="AAP14" s="303"/>
      <c r="AAQ14" s="303"/>
      <c r="AAR14" s="303"/>
      <c r="AAS14" s="303"/>
      <c r="AAT14" s="303"/>
      <c r="AAU14" s="303"/>
      <c r="AAV14" s="303"/>
      <c r="AAW14" s="303"/>
      <c r="AAX14" s="303"/>
      <c r="AAY14" s="303"/>
      <c r="AAZ14" s="303"/>
      <c r="ABA14" s="303"/>
      <c r="ABB14" s="303"/>
      <c r="ABC14" s="303"/>
      <c r="ABD14" s="303"/>
      <c r="ABE14" s="303"/>
      <c r="ABF14" s="303"/>
      <c r="ABG14" s="303"/>
      <c r="ABH14" s="303"/>
      <c r="ABI14" s="303"/>
      <c r="ABJ14" s="303"/>
      <c r="ABK14" s="303"/>
      <c r="ABL14" s="303"/>
      <c r="ABM14" s="303"/>
      <c r="ABN14" s="303"/>
      <c r="ABO14" s="303"/>
      <c r="ABP14" s="303"/>
      <c r="ABQ14" s="303"/>
      <c r="ABR14" s="303"/>
      <c r="ABS14" s="303"/>
      <c r="ABT14" s="303"/>
      <c r="ABU14" s="303"/>
      <c r="ABV14" s="303"/>
      <c r="ABW14" s="303"/>
      <c r="ABX14" s="303"/>
      <c r="ABY14" s="303"/>
      <c r="ABZ14" s="303"/>
      <c r="ACA14" s="303"/>
      <c r="ACB14" s="303"/>
      <c r="ACC14" s="303"/>
      <c r="ACD14" s="303"/>
      <c r="ACE14" s="303"/>
      <c r="ACF14" s="303"/>
      <c r="ACG14" s="303"/>
      <c r="ACH14" s="303"/>
      <c r="ACI14" s="303"/>
      <c r="ACJ14" s="303"/>
      <c r="ACK14" s="303"/>
      <c r="ACL14" s="303"/>
      <c r="ACM14" s="303"/>
      <c r="ACN14" s="303"/>
      <c r="ACO14" s="303"/>
      <c r="ACP14" s="303"/>
      <c r="ACQ14" s="303"/>
      <c r="ACR14" s="303"/>
      <c r="ACS14" s="303"/>
      <c r="ACT14" s="303"/>
      <c r="ACU14" s="303"/>
      <c r="ACV14" s="303"/>
      <c r="ACW14" s="303"/>
      <c r="ACX14" s="303"/>
      <c r="ACY14" s="303"/>
      <c r="ACZ14" s="303"/>
      <c r="ADA14" s="303"/>
      <c r="ADB14" s="303"/>
      <c r="ADC14" s="303"/>
      <c r="ADD14" s="303"/>
      <c r="ADE14" s="303"/>
      <c r="ADF14" s="303"/>
      <c r="ADG14" s="303"/>
      <c r="ADH14" s="303"/>
      <c r="ADI14" s="303"/>
      <c r="ADJ14" s="303"/>
      <c r="ADK14" s="303"/>
      <c r="ADL14" s="303"/>
      <c r="ADM14" s="303"/>
      <c r="ADN14" s="303"/>
      <c r="ADO14" s="303"/>
      <c r="ADP14" s="303"/>
      <c r="ADQ14" s="303"/>
      <c r="ADR14" s="303"/>
      <c r="ADS14" s="303"/>
      <c r="ADT14" s="303"/>
      <c r="ADU14" s="303"/>
      <c r="ADV14" s="303"/>
      <c r="ADW14" s="303"/>
      <c r="ADX14" s="303"/>
      <c r="ADY14" s="303"/>
      <c r="ADZ14" s="303"/>
      <c r="AEA14" s="303"/>
      <c r="AEB14" s="303"/>
      <c r="AEC14" s="303"/>
      <c r="AED14" s="303"/>
      <c r="AEE14" s="303"/>
      <c r="AEF14" s="303"/>
      <c r="AEG14" s="303"/>
      <c r="AEH14" s="303"/>
      <c r="AEI14" s="303"/>
      <c r="AEJ14" s="303"/>
      <c r="AEK14" s="303"/>
      <c r="AEL14" s="303"/>
      <c r="AEM14" s="303"/>
      <c r="AEN14" s="303"/>
      <c r="AEO14" s="303"/>
      <c r="AEP14" s="303"/>
      <c r="AEQ14" s="303"/>
      <c r="AER14" s="303"/>
      <c r="AES14" s="303"/>
      <c r="AET14" s="303"/>
      <c r="AEU14" s="303"/>
      <c r="AEV14" s="303"/>
      <c r="AEW14" s="303"/>
      <c r="AEX14" s="303"/>
      <c r="AEY14" s="303"/>
      <c r="AEZ14" s="303"/>
      <c r="AFA14" s="303"/>
      <c r="AFB14" s="303"/>
      <c r="AFC14" s="303"/>
      <c r="AFD14" s="303"/>
      <c r="AFE14" s="303"/>
      <c r="AFF14" s="303"/>
      <c r="AFG14" s="303"/>
      <c r="AFH14" s="303"/>
      <c r="AFI14" s="303"/>
      <c r="AFJ14" s="303"/>
      <c r="AFK14" s="303"/>
      <c r="AFL14" s="303"/>
      <c r="AFM14" s="303"/>
      <c r="AFN14" s="303"/>
      <c r="AFO14" s="303"/>
      <c r="AFP14" s="303"/>
      <c r="AFQ14" s="303"/>
      <c r="AFR14" s="303"/>
      <c r="AFS14" s="303"/>
      <c r="AFT14" s="303"/>
      <c r="AFU14" s="303"/>
      <c r="AFV14" s="303"/>
      <c r="AFW14" s="303"/>
      <c r="AFX14" s="303"/>
      <c r="AFY14" s="303"/>
      <c r="AFZ14" s="303"/>
      <c r="AGA14" s="303"/>
      <c r="AGB14" s="303"/>
      <c r="AGC14" s="303"/>
      <c r="AGD14" s="303"/>
      <c r="AGE14" s="303"/>
      <c r="AGF14" s="303"/>
      <c r="AGG14" s="303"/>
      <c r="AGH14" s="303"/>
      <c r="AGI14" s="303"/>
      <c r="AGJ14" s="303"/>
      <c r="AGK14" s="303"/>
      <c r="AGL14" s="303"/>
      <c r="AGM14" s="303"/>
      <c r="AGN14" s="303"/>
      <c r="AGO14" s="303"/>
      <c r="AGP14" s="303"/>
      <c r="AGQ14" s="303"/>
      <c r="AGR14" s="303"/>
      <c r="AGS14" s="303"/>
      <c r="AGT14" s="303"/>
      <c r="AGU14" s="303"/>
      <c r="AGV14" s="303"/>
      <c r="AGW14" s="303"/>
      <c r="AGX14" s="303"/>
      <c r="AGY14" s="303"/>
      <c r="AGZ14" s="303"/>
      <c r="AHA14" s="303"/>
      <c r="AHB14" s="303"/>
      <c r="AHC14" s="303"/>
      <c r="AHD14" s="303"/>
      <c r="AHE14" s="303"/>
      <c r="AHF14" s="303"/>
      <c r="AHG14" s="303"/>
      <c r="AHH14" s="303"/>
      <c r="AHI14" s="303"/>
      <c r="AHJ14" s="303"/>
      <c r="AHK14" s="303"/>
      <c r="AHL14" s="303"/>
      <c r="AHM14" s="303"/>
      <c r="AHN14" s="303"/>
      <c r="AHO14" s="303"/>
      <c r="AHP14" s="303"/>
      <c r="AHQ14" s="303"/>
      <c r="AHR14" s="303"/>
      <c r="AHS14" s="303"/>
      <c r="AHT14" s="303"/>
      <c r="AHU14" s="303"/>
      <c r="AHV14" s="303"/>
      <c r="AHW14" s="303"/>
      <c r="AHX14" s="303"/>
      <c r="AHY14" s="303"/>
      <c r="AHZ14" s="303"/>
      <c r="AIA14" s="303"/>
      <c r="AIB14" s="303"/>
      <c r="AIC14" s="303"/>
      <c r="AID14" s="303"/>
      <c r="AIE14" s="303"/>
      <c r="AIF14" s="303"/>
      <c r="AIG14" s="303"/>
      <c r="AIH14" s="303"/>
      <c r="AII14" s="303"/>
      <c r="AIJ14" s="303"/>
      <c r="AIK14" s="303"/>
      <c r="AIL14" s="303"/>
      <c r="AIM14" s="303"/>
      <c r="AIN14" s="303"/>
      <c r="AIO14" s="303"/>
      <c r="AIP14" s="303"/>
      <c r="AIQ14" s="303"/>
      <c r="AIR14" s="303"/>
      <c r="AIS14" s="303"/>
      <c r="AIT14" s="303"/>
      <c r="AIU14" s="303"/>
      <c r="AIV14" s="303"/>
      <c r="AIW14" s="303"/>
      <c r="AIX14" s="303"/>
      <c r="AIY14" s="303"/>
      <c r="AIZ14" s="303"/>
      <c r="AJA14" s="303"/>
      <c r="AJB14" s="303"/>
      <c r="AJC14" s="303"/>
      <c r="AJD14" s="303"/>
      <c r="AJE14" s="303"/>
      <c r="AJF14" s="303"/>
      <c r="AJG14" s="303"/>
      <c r="AJH14" s="303"/>
      <c r="AJI14" s="303"/>
      <c r="AJJ14" s="303"/>
      <c r="AJK14" s="303"/>
      <c r="AJL14" s="303"/>
      <c r="AJM14" s="303"/>
      <c r="AJN14" s="303"/>
      <c r="AJO14" s="303"/>
      <c r="AJP14" s="303"/>
      <c r="AJQ14" s="303"/>
      <c r="AJR14" s="303"/>
      <c r="AJS14" s="303"/>
      <c r="AJT14" s="303"/>
      <c r="AJU14" s="303"/>
      <c r="AJV14" s="303"/>
      <c r="AJW14" s="303"/>
      <c r="AJX14" s="303"/>
      <c r="AJY14" s="303"/>
      <c r="AJZ14" s="303"/>
      <c r="AKA14" s="303"/>
      <c r="AKB14" s="303"/>
      <c r="AKC14" s="303"/>
      <c r="AKD14" s="303"/>
      <c r="AKE14" s="303"/>
      <c r="AKF14" s="303"/>
      <c r="AKG14" s="303"/>
      <c r="AKH14" s="303"/>
      <c r="AKI14" s="303"/>
      <c r="AKJ14" s="303"/>
      <c r="AKK14" s="303"/>
      <c r="AKL14" s="303"/>
      <c r="AKM14" s="303"/>
      <c r="AKN14" s="303"/>
      <c r="AKO14" s="303"/>
      <c r="AKP14" s="303"/>
      <c r="AKQ14" s="303"/>
      <c r="AKR14" s="303"/>
      <c r="AKS14" s="303"/>
      <c r="AKT14" s="303"/>
      <c r="AKU14" s="303"/>
      <c r="AKV14" s="303"/>
      <c r="AKW14" s="303"/>
      <c r="AKX14" s="303"/>
      <c r="AKY14" s="303"/>
      <c r="AKZ14" s="303"/>
      <c r="ALA14" s="303"/>
      <c r="ALB14" s="303"/>
      <c r="ALC14" s="303"/>
      <c r="ALD14" s="303"/>
      <c r="ALE14" s="303"/>
      <c r="ALF14" s="303"/>
      <c r="ALG14" s="303"/>
      <c r="ALH14" s="303"/>
      <c r="ALI14" s="303"/>
      <c r="ALJ14" s="303"/>
      <c r="ALK14" s="303"/>
      <c r="ALL14" s="303"/>
      <c r="ALM14" s="303"/>
      <c r="ALN14" s="303"/>
      <c r="ALO14" s="303"/>
      <c r="ALP14" s="303"/>
      <c r="ALQ14" s="303"/>
      <c r="ALR14" s="303"/>
      <c r="ALS14" s="303"/>
      <c r="ALT14" s="303"/>
      <c r="ALU14" s="303"/>
      <c r="ALV14" s="303"/>
      <c r="ALW14" s="303"/>
      <c r="ALX14" s="303"/>
      <c r="ALY14" s="303"/>
      <c r="ALZ14" s="303"/>
      <c r="AMA14" s="303"/>
      <c r="AMB14" s="303"/>
      <c r="AMC14" s="303"/>
      <c r="AMD14" s="303"/>
      <c r="AME14" s="303"/>
      <c r="AMF14" s="303"/>
      <c r="AMG14" s="303"/>
      <c r="AMH14" s="303"/>
      <c r="AMI14" s="303"/>
      <c r="AMJ14" s="303"/>
      <c r="AMK14" s="303"/>
      <c r="AML14" s="303"/>
      <c r="AMM14" s="303"/>
      <c r="AMN14" s="303"/>
      <c r="AMO14" s="303"/>
      <c r="AMP14" s="303"/>
      <c r="AMQ14" s="303"/>
      <c r="AMR14" s="303"/>
      <c r="AMS14" s="303"/>
      <c r="AMT14" s="303"/>
      <c r="AMU14" s="303"/>
      <c r="AMV14" s="303"/>
      <c r="AMW14" s="303"/>
      <c r="AMX14" s="303"/>
      <c r="AMY14" s="303"/>
      <c r="AMZ14" s="303"/>
      <c r="ANA14" s="303"/>
      <c r="ANB14" s="303"/>
      <c r="ANC14" s="303"/>
      <c r="AND14" s="303"/>
      <c r="ANE14" s="303"/>
      <c r="ANF14" s="303"/>
      <c r="ANG14" s="303"/>
      <c r="ANH14" s="303"/>
      <c r="ANI14" s="303"/>
      <c r="ANJ14" s="303"/>
      <c r="ANK14" s="303"/>
      <c r="ANL14" s="303"/>
      <c r="ANM14" s="303"/>
      <c r="ANN14" s="303"/>
      <c r="ANO14" s="303"/>
      <c r="ANP14" s="303"/>
      <c r="ANQ14" s="303"/>
      <c r="ANR14" s="303"/>
      <c r="ANS14" s="303"/>
      <c r="ANT14" s="303"/>
      <c r="ANU14" s="303"/>
      <c r="ANV14" s="303"/>
      <c r="ANW14" s="303"/>
      <c r="ANX14" s="303"/>
      <c r="ANY14" s="303"/>
      <c r="ANZ14" s="303"/>
      <c r="AOA14" s="303"/>
      <c r="AOB14" s="303"/>
      <c r="AOC14" s="303"/>
      <c r="AOD14" s="303"/>
      <c r="AOE14" s="303"/>
      <c r="AOF14" s="303"/>
      <c r="AOG14" s="303"/>
      <c r="AOH14" s="303"/>
      <c r="AOI14" s="303"/>
      <c r="AOJ14" s="303"/>
      <c r="AOK14" s="303"/>
      <c r="AOL14" s="303"/>
      <c r="AOM14" s="303"/>
      <c r="AON14" s="303"/>
      <c r="AOO14" s="303"/>
      <c r="AOP14" s="303"/>
      <c r="AOQ14" s="303"/>
      <c r="AOR14" s="303"/>
      <c r="AOS14" s="303"/>
      <c r="AOT14" s="303"/>
      <c r="AOU14" s="303"/>
      <c r="AOV14" s="303"/>
      <c r="AOW14" s="303"/>
      <c r="AOX14" s="303"/>
      <c r="AOY14" s="303"/>
      <c r="AOZ14" s="303"/>
      <c r="APA14" s="303"/>
      <c r="APB14" s="303"/>
      <c r="APC14" s="303"/>
      <c r="APD14" s="303"/>
      <c r="APE14" s="303"/>
      <c r="APF14" s="303"/>
      <c r="APG14" s="303"/>
      <c r="APH14" s="303"/>
      <c r="API14" s="303"/>
      <c r="APJ14" s="303"/>
      <c r="APK14" s="303"/>
      <c r="APL14" s="303"/>
      <c r="APM14" s="303"/>
      <c r="APN14" s="303"/>
      <c r="APO14" s="303"/>
      <c r="APP14" s="303"/>
      <c r="APQ14" s="303"/>
      <c r="APR14" s="303"/>
      <c r="APS14" s="303"/>
      <c r="APT14" s="303"/>
      <c r="APU14" s="303"/>
      <c r="APV14" s="303"/>
      <c r="APW14" s="303"/>
      <c r="APX14" s="303"/>
      <c r="APY14" s="303"/>
      <c r="APZ14" s="303"/>
      <c r="AQA14" s="303"/>
      <c r="AQB14" s="303"/>
      <c r="AQC14" s="303"/>
      <c r="AQD14" s="303"/>
      <c r="AQE14" s="303"/>
      <c r="AQF14" s="303"/>
      <c r="AQG14" s="303"/>
      <c r="AQH14" s="303"/>
      <c r="AQI14" s="303"/>
      <c r="AQJ14" s="303"/>
      <c r="AQK14" s="303"/>
      <c r="AQL14" s="303"/>
      <c r="AQM14" s="303"/>
      <c r="AQN14" s="303"/>
      <c r="AQO14" s="303"/>
      <c r="AQP14" s="303"/>
      <c r="AQQ14" s="303"/>
      <c r="AQR14" s="303"/>
      <c r="AQS14" s="303"/>
      <c r="AQT14" s="303"/>
      <c r="AQU14" s="303"/>
      <c r="AQV14" s="303"/>
      <c r="AQW14" s="303"/>
      <c r="AQX14" s="303"/>
      <c r="AQY14" s="303"/>
      <c r="AQZ14" s="303"/>
      <c r="ARA14" s="303"/>
      <c r="ARB14" s="303"/>
      <c r="ARC14" s="303"/>
      <c r="ARD14" s="303"/>
      <c r="ARE14" s="303"/>
      <c r="ARF14" s="303"/>
      <c r="ARG14" s="303"/>
      <c r="ARH14" s="303"/>
      <c r="ARI14" s="303"/>
      <c r="ARJ14" s="303"/>
      <c r="ARK14" s="303"/>
      <c r="ARL14" s="303"/>
      <c r="ARM14" s="303"/>
      <c r="ARN14" s="303"/>
      <c r="ARO14" s="303"/>
      <c r="ARP14" s="303"/>
      <c r="ARQ14" s="303"/>
      <c r="ARR14" s="303"/>
      <c r="ARS14" s="303"/>
      <c r="ART14" s="303"/>
      <c r="ARU14" s="303"/>
      <c r="ARV14" s="303"/>
      <c r="ARW14" s="303"/>
      <c r="ARX14" s="303"/>
      <c r="ARY14" s="303"/>
      <c r="ARZ14" s="303"/>
      <c r="ASA14" s="303"/>
      <c r="ASB14" s="303"/>
      <c r="ASC14" s="303"/>
      <c r="ASD14" s="303"/>
      <c r="ASE14" s="303"/>
      <c r="ASF14" s="303"/>
      <c r="ASG14" s="303"/>
      <c r="ASH14" s="303"/>
      <c r="ASI14" s="303"/>
      <c r="ASJ14" s="303"/>
      <c r="ASK14" s="303"/>
      <c r="ASL14" s="303"/>
      <c r="ASM14" s="303"/>
      <c r="ASN14" s="303"/>
      <c r="ASO14" s="303"/>
      <c r="ASP14" s="303"/>
      <c r="ASQ14" s="303"/>
      <c r="ASR14" s="303"/>
      <c r="ASS14" s="303"/>
      <c r="AST14" s="303"/>
      <c r="ASU14" s="303"/>
      <c r="ASV14" s="303"/>
      <c r="ASW14" s="303"/>
      <c r="ASX14" s="303"/>
      <c r="ASY14" s="303"/>
      <c r="ASZ14" s="303"/>
      <c r="ATA14" s="303"/>
      <c r="ATB14" s="303"/>
      <c r="ATC14" s="303"/>
      <c r="ATD14" s="303"/>
      <c r="ATE14" s="303"/>
      <c r="ATF14" s="303"/>
      <c r="ATG14" s="303"/>
      <c r="ATH14" s="303"/>
      <c r="ATI14" s="303"/>
      <c r="ATJ14" s="303"/>
      <c r="ATK14" s="303"/>
      <c r="ATL14" s="303"/>
      <c r="ATM14" s="303"/>
      <c r="ATN14" s="303"/>
      <c r="ATO14" s="303"/>
      <c r="ATP14" s="303"/>
      <c r="ATQ14" s="303"/>
      <c r="ATR14" s="303"/>
      <c r="ATS14" s="303"/>
      <c r="ATT14" s="303"/>
      <c r="ATU14" s="303"/>
      <c r="ATV14" s="303"/>
      <c r="ATW14" s="303"/>
      <c r="ATX14" s="303"/>
      <c r="ATY14" s="303"/>
      <c r="ATZ14" s="303"/>
      <c r="AUA14" s="303"/>
      <c r="AUB14" s="303"/>
      <c r="AUC14" s="303"/>
      <c r="AUD14" s="303"/>
      <c r="AUE14" s="303"/>
      <c r="AUF14" s="303"/>
      <c r="AUG14" s="303"/>
      <c r="AUH14" s="303"/>
      <c r="AUI14" s="303"/>
      <c r="AUJ14" s="303"/>
      <c r="AUK14" s="303"/>
      <c r="AUL14" s="303"/>
      <c r="AUM14" s="303"/>
      <c r="AUN14" s="303"/>
      <c r="AUO14" s="303"/>
      <c r="AUP14" s="303"/>
      <c r="AUQ14" s="303"/>
      <c r="AUR14" s="303"/>
      <c r="AUS14" s="303"/>
      <c r="AUT14" s="303"/>
      <c r="AUU14" s="303"/>
      <c r="AUV14" s="303"/>
      <c r="AUW14" s="303"/>
      <c r="AUX14" s="303"/>
      <c r="AUY14" s="303"/>
      <c r="AUZ14" s="303"/>
      <c r="AVA14" s="303"/>
      <c r="AVB14" s="303"/>
      <c r="AVC14" s="303"/>
      <c r="AVD14" s="303"/>
      <c r="AVE14" s="303"/>
      <c r="AVF14" s="303"/>
      <c r="AVG14" s="303"/>
      <c r="AVH14" s="303"/>
      <c r="AVI14" s="303"/>
      <c r="AVJ14" s="303"/>
      <c r="AVK14" s="303"/>
      <c r="AVL14" s="303"/>
      <c r="AVM14" s="303"/>
      <c r="AVN14" s="303"/>
      <c r="AVO14" s="303"/>
      <c r="AVP14" s="303"/>
      <c r="AVQ14" s="303"/>
      <c r="AVR14" s="303"/>
      <c r="AVS14" s="303"/>
      <c r="AVT14" s="303"/>
      <c r="AVU14" s="303"/>
      <c r="AVV14" s="303"/>
      <c r="AVW14" s="303"/>
      <c r="AVX14" s="303"/>
      <c r="AVY14" s="303"/>
      <c r="AVZ14" s="303"/>
      <c r="AWA14" s="303"/>
      <c r="AWB14" s="303"/>
      <c r="AWC14" s="303"/>
      <c r="AWD14" s="303"/>
      <c r="AWE14" s="303"/>
      <c r="AWF14" s="303"/>
      <c r="AWG14" s="303"/>
      <c r="AWH14" s="303"/>
      <c r="AWI14" s="303"/>
      <c r="AWJ14" s="303"/>
      <c r="AWK14" s="303"/>
      <c r="AWL14" s="303"/>
      <c r="AWM14" s="303"/>
      <c r="AWN14" s="303"/>
      <c r="AWO14" s="303"/>
      <c r="AWP14" s="303"/>
      <c r="AWQ14" s="303"/>
      <c r="AWR14" s="303"/>
      <c r="AWS14" s="303"/>
      <c r="AWT14" s="303"/>
      <c r="AWU14" s="303"/>
      <c r="AWV14" s="303"/>
      <c r="AWW14" s="303"/>
      <c r="AWX14" s="303"/>
      <c r="AWY14" s="303"/>
      <c r="AWZ14" s="303"/>
      <c r="AXA14" s="303"/>
      <c r="AXB14" s="303"/>
      <c r="AXC14" s="303"/>
      <c r="AXD14" s="303"/>
      <c r="AXE14" s="303"/>
      <c r="AXF14" s="303"/>
      <c r="AXG14" s="303"/>
      <c r="AXH14" s="303"/>
      <c r="AXI14" s="303"/>
      <c r="AXJ14" s="303"/>
      <c r="AXK14" s="303"/>
      <c r="AXL14" s="303"/>
      <c r="AXM14" s="303"/>
      <c r="AXN14" s="303"/>
      <c r="AXO14" s="303"/>
      <c r="AXP14" s="303"/>
      <c r="AXQ14" s="303"/>
      <c r="AXR14" s="303"/>
      <c r="AXS14" s="303"/>
      <c r="AXT14" s="303"/>
      <c r="AXU14" s="303"/>
      <c r="AXV14" s="303"/>
      <c r="AXW14" s="303"/>
      <c r="AXX14" s="303"/>
      <c r="AXY14" s="303"/>
      <c r="AXZ14" s="303"/>
      <c r="AYA14" s="303"/>
      <c r="AYB14" s="303"/>
      <c r="AYC14" s="303"/>
      <c r="AYD14" s="303"/>
      <c r="AYE14" s="303"/>
      <c r="AYF14" s="303"/>
      <c r="AYG14" s="303"/>
      <c r="AYH14" s="303"/>
    </row>
    <row r="15" spans="1:1334" x14ac:dyDescent="0.25">
      <c r="A15" s="304" t="s">
        <v>1072</v>
      </c>
      <c r="B15" s="298" t="s">
        <v>1317</v>
      </c>
      <c r="C15" s="303"/>
      <c r="D15" s="303"/>
      <c r="E15" s="303"/>
      <c r="F15" s="303"/>
      <c r="G15" s="303"/>
      <c r="H15" s="303"/>
      <c r="I15" s="303"/>
      <c r="J15" s="303"/>
      <c r="K15" s="303"/>
      <c r="L15" s="303"/>
      <c r="M15" s="303"/>
      <c r="N15" s="303"/>
      <c r="O15" s="303"/>
      <c r="P15" s="303"/>
      <c r="Q15" s="303"/>
      <c r="R15" s="303"/>
      <c r="S15" s="303"/>
      <c r="T15" s="303"/>
      <c r="U15" s="303"/>
      <c r="V15" s="303"/>
      <c r="W15" s="303"/>
      <c r="X15" s="303"/>
      <c r="Y15" s="303"/>
      <c r="Z15" s="303"/>
      <c r="AA15" s="303"/>
      <c r="AB15" s="303"/>
      <c r="AC15" s="303"/>
      <c r="AD15" s="303"/>
      <c r="AE15" s="303"/>
      <c r="AF15" s="303"/>
      <c r="AG15" s="303"/>
      <c r="AH15" s="303"/>
      <c r="AI15" s="303"/>
      <c r="AJ15" s="303"/>
      <c r="AK15" s="303"/>
      <c r="AL15" s="303"/>
      <c r="AM15" s="303"/>
      <c r="AN15" s="303"/>
      <c r="AO15" s="303"/>
      <c r="AP15" s="303"/>
      <c r="AQ15" s="303"/>
      <c r="AR15" s="303"/>
      <c r="AS15" s="303"/>
      <c r="AT15" s="303"/>
      <c r="AU15" s="303"/>
      <c r="AV15" s="303"/>
      <c r="AW15" s="303"/>
      <c r="AX15" s="303"/>
      <c r="AY15" s="303"/>
      <c r="AZ15" s="303"/>
      <c r="BA15" s="303"/>
      <c r="BB15" s="303"/>
      <c r="BC15" s="303"/>
      <c r="BD15" s="303"/>
      <c r="BE15" s="303"/>
      <c r="BF15" s="303"/>
      <c r="BG15" s="303"/>
      <c r="BH15" s="303"/>
      <c r="BI15" s="303"/>
      <c r="BJ15" s="303"/>
      <c r="BK15" s="303"/>
      <c r="BL15" s="303"/>
      <c r="BM15" s="303"/>
      <c r="BN15" s="303"/>
      <c r="BO15" s="303"/>
      <c r="BP15" s="303"/>
      <c r="BQ15" s="303"/>
      <c r="BR15" s="303"/>
      <c r="BS15" s="303"/>
      <c r="BT15" s="303"/>
      <c r="BU15" s="303"/>
      <c r="BV15" s="303"/>
      <c r="BW15" s="303"/>
      <c r="BX15" s="303"/>
      <c r="BY15" s="303"/>
      <c r="BZ15" s="303"/>
      <c r="CA15" s="303"/>
      <c r="CB15" s="303"/>
      <c r="CC15" s="303"/>
      <c r="CD15" s="303"/>
      <c r="CE15" s="303"/>
      <c r="CF15" s="303"/>
      <c r="CG15" s="303"/>
      <c r="CH15" s="303"/>
      <c r="CI15" s="303"/>
      <c r="CJ15" s="303"/>
      <c r="CK15" s="303"/>
      <c r="CL15" s="303"/>
      <c r="CM15" s="303"/>
      <c r="CN15" s="303"/>
      <c r="CO15" s="303"/>
      <c r="CP15" s="303"/>
      <c r="CQ15" s="303"/>
      <c r="CR15" s="303"/>
      <c r="CS15" s="303"/>
      <c r="CT15" s="303"/>
      <c r="CU15" s="303"/>
      <c r="CV15" s="303"/>
      <c r="CW15" s="303"/>
      <c r="CX15" s="303"/>
      <c r="CY15" s="303"/>
      <c r="CZ15" s="303"/>
      <c r="DA15" s="303"/>
      <c r="DB15" s="303"/>
      <c r="DC15" s="303"/>
      <c r="DD15" s="303"/>
      <c r="DE15" s="303"/>
      <c r="DF15" s="303"/>
      <c r="DG15" s="303"/>
      <c r="DH15" s="303"/>
      <c r="DI15" s="303"/>
      <c r="DJ15" s="303"/>
      <c r="DK15" s="303"/>
      <c r="DL15" s="303"/>
      <c r="DM15" s="303"/>
      <c r="DN15" s="303"/>
      <c r="DO15" s="303"/>
      <c r="DP15" s="303"/>
      <c r="DQ15" s="303"/>
      <c r="DR15" s="303"/>
      <c r="DS15" s="303"/>
      <c r="DT15" s="303"/>
      <c r="DU15" s="303"/>
      <c r="DV15" s="303"/>
      <c r="DW15" s="303"/>
      <c r="DX15" s="303"/>
      <c r="DY15" s="303"/>
      <c r="DZ15" s="303"/>
      <c r="EA15" s="303"/>
      <c r="EB15" s="303"/>
      <c r="EC15" s="303"/>
      <c r="ED15" s="303"/>
      <c r="EE15" s="303"/>
      <c r="EF15" s="303"/>
      <c r="EG15" s="303"/>
      <c r="EH15" s="303"/>
      <c r="EI15" s="303"/>
      <c r="EJ15" s="303"/>
      <c r="EK15" s="303"/>
      <c r="EL15" s="303"/>
      <c r="EM15" s="303"/>
      <c r="EN15" s="303"/>
      <c r="EO15" s="303"/>
      <c r="EP15" s="303"/>
      <c r="EQ15" s="303"/>
      <c r="ER15" s="303"/>
      <c r="ES15" s="303"/>
      <c r="ET15" s="303"/>
      <c r="EU15" s="303"/>
      <c r="EV15" s="303"/>
      <c r="EW15" s="303"/>
      <c r="EX15" s="303"/>
      <c r="EY15" s="303"/>
      <c r="EZ15" s="303"/>
      <c r="FA15" s="303"/>
      <c r="FB15" s="303"/>
      <c r="FC15" s="303"/>
      <c r="FD15" s="303"/>
      <c r="FE15" s="303"/>
      <c r="FF15" s="303"/>
      <c r="FG15" s="303"/>
      <c r="FH15" s="303"/>
      <c r="FI15" s="303"/>
      <c r="FJ15" s="303"/>
      <c r="FK15" s="303"/>
      <c r="FL15" s="303"/>
      <c r="FM15" s="303"/>
      <c r="FN15" s="303"/>
      <c r="FO15" s="303"/>
      <c r="FP15" s="303"/>
      <c r="FQ15" s="303"/>
      <c r="FR15" s="303"/>
      <c r="FS15" s="303"/>
      <c r="FT15" s="303"/>
      <c r="FU15" s="303"/>
      <c r="FV15" s="303"/>
      <c r="FW15" s="303"/>
      <c r="FX15" s="303"/>
      <c r="FY15" s="303"/>
      <c r="FZ15" s="303"/>
      <c r="GA15" s="303"/>
      <c r="GB15" s="303"/>
      <c r="GC15" s="303"/>
      <c r="GD15" s="303"/>
      <c r="GE15" s="303"/>
      <c r="GF15" s="303"/>
      <c r="GG15" s="303"/>
      <c r="GH15" s="303"/>
      <c r="GI15" s="303"/>
      <c r="GJ15" s="303"/>
      <c r="GK15" s="303"/>
      <c r="GL15" s="303"/>
      <c r="GM15" s="303"/>
      <c r="GN15" s="303"/>
      <c r="GO15" s="303"/>
      <c r="GP15" s="303"/>
      <c r="GQ15" s="303"/>
      <c r="GR15" s="303"/>
      <c r="GS15" s="303"/>
      <c r="GT15" s="303"/>
      <c r="GU15" s="303"/>
      <c r="GV15" s="303"/>
      <c r="GW15" s="303"/>
      <c r="GX15" s="303"/>
      <c r="GY15" s="303"/>
      <c r="GZ15" s="303"/>
      <c r="HA15" s="303"/>
      <c r="HB15" s="303"/>
      <c r="HC15" s="303"/>
      <c r="HD15" s="303"/>
      <c r="HE15" s="303"/>
      <c r="HF15" s="303"/>
      <c r="HG15" s="303"/>
      <c r="HH15" s="303"/>
      <c r="HI15" s="303"/>
      <c r="HJ15" s="303"/>
      <c r="HK15" s="303"/>
      <c r="HL15" s="303"/>
      <c r="HM15" s="303"/>
      <c r="HN15" s="303"/>
      <c r="HO15" s="303"/>
      <c r="HP15" s="303"/>
      <c r="HQ15" s="303"/>
      <c r="HR15" s="303"/>
      <c r="HS15" s="303"/>
      <c r="HT15" s="303"/>
      <c r="HU15" s="303"/>
      <c r="HV15" s="303"/>
      <c r="HW15" s="303"/>
      <c r="HX15" s="303"/>
      <c r="HY15" s="303"/>
      <c r="HZ15" s="303"/>
      <c r="IA15" s="303"/>
      <c r="IB15" s="303"/>
      <c r="IC15" s="303"/>
      <c r="ID15" s="303"/>
      <c r="IE15" s="303"/>
      <c r="IF15" s="303"/>
      <c r="IG15" s="303"/>
      <c r="IH15" s="303"/>
      <c r="II15" s="303"/>
      <c r="IJ15" s="303"/>
      <c r="IK15" s="303"/>
      <c r="IL15" s="303"/>
      <c r="IM15" s="303"/>
      <c r="IN15" s="303"/>
      <c r="IO15" s="303"/>
      <c r="IP15" s="303"/>
      <c r="IQ15" s="303"/>
      <c r="IR15" s="303"/>
      <c r="IS15" s="303"/>
      <c r="IT15" s="303"/>
      <c r="IU15" s="303"/>
      <c r="IV15" s="303"/>
      <c r="IW15" s="303"/>
      <c r="IX15" s="303"/>
      <c r="IY15" s="303"/>
      <c r="IZ15" s="303"/>
      <c r="JA15" s="303"/>
      <c r="JB15" s="303"/>
      <c r="JC15" s="303"/>
      <c r="JD15" s="303"/>
      <c r="JE15" s="303"/>
      <c r="JF15" s="303"/>
      <c r="JG15" s="303"/>
      <c r="JH15" s="303"/>
      <c r="JI15" s="303"/>
      <c r="JJ15" s="303"/>
      <c r="JK15" s="303"/>
      <c r="JL15" s="303"/>
      <c r="JM15" s="303"/>
      <c r="JN15" s="303"/>
      <c r="JO15" s="303"/>
      <c r="JP15" s="303"/>
      <c r="JQ15" s="303"/>
      <c r="JR15" s="303"/>
      <c r="JS15" s="303"/>
      <c r="JT15" s="303"/>
      <c r="JU15" s="303"/>
      <c r="JV15" s="303"/>
      <c r="JW15" s="303"/>
      <c r="JX15" s="303"/>
      <c r="JY15" s="303"/>
      <c r="JZ15" s="303"/>
      <c r="KA15" s="303"/>
      <c r="KB15" s="303"/>
      <c r="KC15" s="303"/>
      <c r="KD15" s="303"/>
      <c r="KE15" s="303"/>
      <c r="KF15" s="303"/>
      <c r="KG15" s="303"/>
      <c r="KH15" s="303"/>
      <c r="KI15" s="303"/>
      <c r="KJ15" s="303"/>
      <c r="KK15" s="303"/>
      <c r="KL15" s="303"/>
      <c r="KM15" s="303"/>
      <c r="KN15" s="303"/>
      <c r="KO15" s="303"/>
      <c r="KP15" s="303"/>
      <c r="KQ15" s="303"/>
      <c r="KR15" s="303"/>
      <c r="KS15" s="303"/>
      <c r="KT15" s="303"/>
      <c r="KU15" s="303"/>
      <c r="KV15" s="303"/>
      <c r="KW15" s="303"/>
      <c r="KX15" s="303"/>
      <c r="KY15" s="303"/>
      <c r="KZ15" s="303"/>
      <c r="LA15" s="303"/>
      <c r="LB15" s="303"/>
      <c r="LC15" s="303"/>
      <c r="LD15" s="303"/>
      <c r="LE15" s="303"/>
      <c r="LF15" s="303"/>
      <c r="LG15" s="303"/>
      <c r="LH15" s="303"/>
      <c r="LI15" s="303"/>
      <c r="LJ15" s="303"/>
      <c r="LK15" s="303"/>
      <c r="LL15" s="303"/>
      <c r="LM15" s="303"/>
      <c r="LN15" s="303"/>
      <c r="LO15" s="303"/>
      <c r="LP15" s="303"/>
      <c r="LQ15" s="303"/>
      <c r="LR15" s="303"/>
      <c r="LS15" s="303"/>
      <c r="LT15" s="303"/>
      <c r="LU15" s="303"/>
      <c r="LV15" s="303"/>
      <c r="LW15" s="303"/>
      <c r="LX15" s="303"/>
      <c r="LY15" s="303"/>
      <c r="LZ15" s="303"/>
      <c r="MA15" s="303"/>
      <c r="MB15" s="303"/>
      <c r="MC15" s="303"/>
      <c r="MD15" s="303"/>
      <c r="ME15" s="303"/>
      <c r="MF15" s="303"/>
      <c r="MG15" s="303"/>
      <c r="MH15" s="303"/>
      <c r="MI15" s="303"/>
      <c r="MJ15" s="303"/>
      <c r="MK15" s="303"/>
      <c r="ML15" s="303"/>
      <c r="MM15" s="303"/>
      <c r="MN15" s="303"/>
      <c r="MO15" s="303"/>
      <c r="MP15" s="303"/>
      <c r="MQ15" s="303"/>
      <c r="MR15" s="303"/>
      <c r="MS15" s="303"/>
      <c r="MT15" s="303"/>
      <c r="MU15" s="303"/>
      <c r="MV15" s="303"/>
      <c r="MW15" s="303"/>
      <c r="MX15" s="303"/>
      <c r="MY15" s="303"/>
      <c r="MZ15" s="303"/>
      <c r="NA15" s="303"/>
      <c r="NB15" s="303"/>
      <c r="NC15" s="303"/>
      <c r="ND15" s="303"/>
      <c r="NE15" s="303"/>
      <c r="NF15" s="303"/>
      <c r="NG15" s="303"/>
      <c r="NH15" s="303"/>
      <c r="NI15" s="303"/>
      <c r="NJ15" s="303"/>
      <c r="NK15" s="303"/>
      <c r="NL15" s="303"/>
      <c r="NM15" s="303"/>
      <c r="NN15" s="303"/>
      <c r="NO15" s="303"/>
      <c r="NP15" s="303"/>
      <c r="NQ15" s="303"/>
      <c r="NR15" s="303"/>
      <c r="NS15" s="303"/>
      <c r="NT15" s="303"/>
      <c r="NU15" s="303"/>
      <c r="NV15" s="303"/>
      <c r="NW15" s="303"/>
      <c r="NX15" s="303"/>
      <c r="NY15" s="303"/>
      <c r="NZ15" s="303"/>
      <c r="OA15" s="303"/>
      <c r="OB15" s="303"/>
      <c r="OC15" s="303"/>
      <c r="OD15" s="303"/>
      <c r="OE15" s="303"/>
      <c r="OF15" s="303"/>
      <c r="OG15" s="303"/>
      <c r="OH15" s="303"/>
      <c r="OI15" s="303"/>
      <c r="OJ15" s="303"/>
      <c r="OK15" s="303"/>
      <c r="OL15" s="303"/>
      <c r="OM15" s="303"/>
      <c r="ON15" s="303"/>
      <c r="OO15" s="303"/>
      <c r="OP15" s="303"/>
      <c r="OQ15" s="303"/>
      <c r="OR15" s="303"/>
      <c r="OS15" s="303"/>
      <c r="OT15" s="303"/>
      <c r="OU15" s="303"/>
      <c r="OV15" s="303"/>
      <c r="OW15" s="303"/>
      <c r="OX15" s="303"/>
      <c r="OY15" s="303"/>
      <c r="OZ15" s="303"/>
      <c r="PA15" s="303"/>
      <c r="PB15" s="303"/>
      <c r="PC15" s="303"/>
      <c r="PD15" s="303"/>
      <c r="PE15" s="303"/>
      <c r="PF15" s="303"/>
      <c r="PG15" s="303"/>
      <c r="PH15" s="303"/>
      <c r="PI15" s="303"/>
      <c r="PJ15" s="303"/>
      <c r="PK15" s="303"/>
      <c r="PL15" s="303"/>
      <c r="PM15" s="303"/>
      <c r="PN15" s="303"/>
      <c r="PO15" s="303"/>
      <c r="PP15" s="303"/>
      <c r="PQ15" s="303"/>
      <c r="PR15" s="303"/>
      <c r="PS15" s="303"/>
      <c r="PT15" s="303"/>
      <c r="PU15" s="303"/>
      <c r="PV15" s="303"/>
      <c r="PW15" s="303"/>
      <c r="PX15" s="303"/>
      <c r="PY15" s="303"/>
      <c r="PZ15" s="303"/>
      <c r="QA15" s="303"/>
      <c r="QB15" s="303"/>
      <c r="QC15" s="303"/>
      <c r="QD15" s="303"/>
      <c r="QE15" s="303"/>
      <c r="QF15" s="303"/>
      <c r="QG15" s="303"/>
      <c r="QH15" s="303"/>
      <c r="QI15" s="303"/>
      <c r="QJ15" s="303"/>
      <c r="QK15" s="303"/>
      <c r="QL15" s="303"/>
      <c r="QM15" s="303"/>
      <c r="QN15" s="303"/>
      <c r="QO15" s="303"/>
      <c r="QP15" s="303"/>
      <c r="QQ15" s="303"/>
      <c r="QR15" s="303"/>
      <c r="QS15" s="303"/>
      <c r="QT15" s="303"/>
      <c r="QU15" s="303"/>
      <c r="QV15" s="303"/>
      <c r="QW15" s="303"/>
      <c r="QX15" s="303"/>
      <c r="QY15" s="303"/>
      <c r="QZ15" s="303"/>
      <c r="RA15" s="303"/>
      <c r="RB15" s="303"/>
      <c r="RC15" s="303"/>
      <c r="RD15" s="303"/>
      <c r="RE15" s="303"/>
      <c r="RF15" s="303"/>
      <c r="RG15" s="303"/>
      <c r="RH15" s="303"/>
      <c r="RI15" s="303"/>
      <c r="RJ15" s="303"/>
      <c r="RK15" s="303"/>
      <c r="RL15" s="303"/>
      <c r="RM15" s="303"/>
      <c r="RN15" s="303"/>
      <c r="RO15" s="303"/>
      <c r="RP15" s="303"/>
      <c r="RQ15" s="303"/>
      <c r="RR15" s="303"/>
      <c r="RS15" s="303"/>
      <c r="RT15" s="303"/>
      <c r="RU15" s="303"/>
      <c r="RV15" s="303"/>
      <c r="RW15" s="303"/>
      <c r="RX15" s="303"/>
      <c r="RY15" s="303"/>
      <c r="RZ15" s="303"/>
      <c r="SA15" s="303"/>
      <c r="SB15" s="303"/>
      <c r="SC15" s="303"/>
      <c r="SD15" s="303"/>
      <c r="SE15" s="303"/>
      <c r="SF15" s="303"/>
      <c r="SG15" s="303"/>
      <c r="SH15" s="303"/>
      <c r="SI15" s="303"/>
      <c r="SJ15" s="303"/>
      <c r="SK15" s="303"/>
      <c r="SL15" s="303"/>
      <c r="SM15" s="303"/>
      <c r="SN15" s="303"/>
      <c r="SO15" s="303"/>
      <c r="SP15" s="303"/>
      <c r="SQ15" s="303"/>
      <c r="SR15" s="303"/>
      <c r="SS15" s="303"/>
      <c r="ST15" s="303"/>
      <c r="SU15" s="303"/>
      <c r="SV15" s="303"/>
      <c r="SW15" s="303"/>
      <c r="SX15" s="303"/>
      <c r="SY15" s="303"/>
      <c r="SZ15" s="303"/>
      <c r="TA15" s="303"/>
      <c r="TB15" s="303"/>
      <c r="TC15" s="303"/>
      <c r="TD15" s="303"/>
      <c r="TE15" s="303"/>
      <c r="TF15" s="303"/>
      <c r="TG15" s="303"/>
      <c r="TH15" s="303"/>
      <c r="TI15" s="303"/>
      <c r="TJ15" s="303"/>
      <c r="TK15" s="303"/>
      <c r="TL15" s="303"/>
      <c r="TM15" s="303"/>
      <c r="TN15" s="303"/>
      <c r="TO15" s="303"/>
      <c r="TP15" s="303"/>
      <c r="TQ15" s="303"/>
      <c r="TR15" s="303"/>
      <c r="TS15" s="303"/>
      <c r="TT15" s="303"/>
      <c r="TU15" s="303"/>
      <c r="TV15" s="303"/>
      <c r="TW15" s="303"/>
      <c r="TX15" s="303"/>
      <c r="TY15" s="303"/>
      <c r="TZ15" s="303"/>
      <c r="UA15" s="303"/>
      <c r="UB15" s="303"/>
      <c r="UC15" s="303"/>
      <c r="UD15" s="303"/>
      <c r="UE15" s="303"/>
      <c r="UF15" s="303"/>
      <c r="UG15" s="303"/>
      <c r="UH15" s="303"/>
      <c r="UI15" s="303"/>
      <c r="UJ15" s="303"/>
      <c r="UK15" s="303"/>
      <c r="UL15" s="303"/>
      <c r="UM15" s="303"/>
      <c r="UN15" s="303"/>
      <c r="UO15" s="303"/>
      <c r="UP15" s="303"/>
      <c r="UQ15" s="303"/>
      <c r="UR15" s="303"/>
      <c r="US15" s="303"/>
      <c r="UT15" s="303"/>
      <c r="UU15" s="303"/>
      <c r="UV15" s="303"/>
      <c r="UW15" s="303"/>
      <c r="UX15" s="303"/>
      <c r="UY15" s="303"/>
      <c r="UZ15" s="303"/>
      <c r="VA15" s="303"/>
      <c r="VB15" s="303"/>
      <c r="VC15" s="303"/>
      <c r="VD15" s="303"/>
      <c r="VE15" s="303"/>
      <c r="VF15" s="303"/>
      <c r="VG15" s="303"/>
      <c r="VH15" s="303"/>
      <c r="VI15" s="303"/>
      <c r="VJ15" s="303"/>
      <c r="VK15" s="303"/>
      <c r="VL15" s="303"/>
      <c r="VM15" s="303"/>
      <c r="VN15" s="303"/>
      <c r="VO15" s="303"/>
      <c r="VP15" s="303"/>
      <c r="VQ15" s="303"/>
      <c r="VR15" s="303"/>
      <c r="VS15" s="303"/>
      <c r="VT15" s="303"/>
      <c r="VU15" s="303"/>
      <c r="VV15" s="303"/>
      <c r="VW15" s="303"/>
      <c r="VX15" s="303"/>
      <c r="VY15" s="303"/>
      <c r="VZ15" s="303"/>
      <c r="WA15" s="303"/>
      <c r="WB15" s="303"/>
      <c r="WC15" s="303"/>
      <c r="WD15" s="303"/>
      <c r="WE15" s="303"/>
      <c r="WF15" s="303"/>
      <c r="WG15" s="303"/>
      <c r="WH15" s="303"/>
      <c r="WI15" s="303"/>
      <c r="WJ15" s="303"/>
      <c r="WK15" s="303"/>
      <c r="WL15" s="303"/>
      <c r="WM15" s="303"/>
      <c r="WN15" s="303"/>
      <c r="WO15" s="303"/>
      <c r="WP15" s="303"/>
      <c r="WQ15" s="303"/>
      <c r="WR15" s="303"/>
      <c r="WS15" s="303"/>
      <c r="WT15" s="303"/>
      <c r="WU15" s="303"/>
      <c r="WV15" s="303"/>
      <c r="WW15" s="303"/>
      <c r="WX15" s="303"/>
      <c r="WY15" s="303"/>
      <c r="WZ15" s="303"/>
      <c r="XA15" s="303"/>
      <c r="XB15" s="303"/>
      <c r="XC15" s="303"/>
      <c r="XD15" s="303"/>
      <c r="XE15" s="303"/>
      <c r="XF15" s="303"/>
      <c r="XG15" s="303"/>
      <c r="XH15" s="303"/>
      <c r="XI15" s="303"/>
      <c r="XJ15" s="303"/>
      <c r="XK15" s="303"/>
      <c r="XL15" s="303"/>
      <c r="XM15" s="303"/>
      <c r="XN15" s="303"/>
      <c r="XO15" s="303"/>
      <c r="XP15" s="303"/>
      <c r="XQ15" s="303"/>
      <c r="XR15" s="303"/>
      <c r="XS15" s="303"/>
      <c r="XT15" s="303"/>
      <c r="XU15" s="303"/>
      <c r="XV15" s="303"/>
      <c r="XW15" s="303"/>
      <c r="XX15" s="303"/>
      <c r="XY15" s="303"/>
      <c r="XZ15" s="303"/>
      <c r="YA15" s="303"/>
      <c r="YB15" s="303"/>
      <c r="YC15" s="303"/>
      <c r="YD15" s="303"/>
      <c r="YE15" s="303"/>
      <c r="YF15" s="303"/>
      <c r="YG15" s="303"/>
      <c r="YH15" s="303"/>
      <c r="YI15" s="303"/>
      <c r="YJ15" s="303"/>
      <c r="YK15" s="303"/>
      <c r="YL15" s="303"/>
      <c r="YM15" s="303"/>
      <c r="YN15" s="303"/>
      <c r="YO15" s="303"/>
      <c r="YP15" s="303"/>
      <c r="YQ15" s="303"/>
      <c r="YR15" s="303"/>
      <c r="YS15" s="303"/>
      <c r="YT15" s="303"/>
      <c r="YU15" s="303"/>
      <c r="YV15" s="303"/>
      <c r="YW15" s="303"/>
      <c r="YX15" s="303"/>
      <c r="YY15" s="303"/>
      <c r="YZ15" s="303"/>
      <c r="ZA15" s="303"/>
      <c r="ZB15" s="303"/>
      <c r="ZC15" s="303"/>
      <c r="ZD15" s="303"/>
      <c r="ZE15" s="303"/>
      <c r="ZF15" s="303"/>
      <c r="ZG15" s="303"/>
      <c r="ZH15" s="303"/>
      <c r="ZI15" s="303"/>
      <c r="ZJ15" s="303"/>
      <c r="ZK15" s="303"/>
      <c r="ZL15" s="303"/>
      <c r="ZM15" s="303"/>
      <c r="ZN15" s="303"/>
      <c r="ZO15" s="303"/>
      <c r="ZP15" s="303"/>
      <c r="ZQ15" s="303"/>
      <c r="ZR15" s="303"/>
      <c r="ZS15" s="303"/>
      <c r="ZT15" s="303"/>
      <c r="ZU15" s="303"/>
      <c r="ZV15" s="303"/>
      <c r="ZW15" s="303"/>
      <c r="ZX15" s="303"/>
      <c r="ZY15" s="303"/>
      <c r="ZZ15" s="303"/>
      <c r="AAA15" s="303"/>
      <c r="AAB15" s="303"/>
      <c r="AAC15" s="303"/>
      <c r="AAD15" s="303"/>
      <c r="AAE15" s="303"/>
      <c r="AAF15" s="303"/>
      <c r="AAG15" s="303"/>
      <c r="AAH15" s="303"/>
      <c r="AAI15" s="303"/>
      <c r="AAJ15" s="303"/>
      <c r="AAK15" s="303"/>
      <c r="AAL15" s="303"/>
      <c r="AAM15" s="303"/>
      <c r="AAN15" s="303"/>
      <c r="AAO15" s="303"/>
      <c r="AAP15" s="303"/>
      <c r="AAQ15" s="303"/>
      <c r="AAR15" s="303"/>
      <c r="AAS15" s="303"/>
      <c r="AAT15" s="303"/>
      <c r="AAU15" s="303"/>
      <c r="AAV15" s="303"/>
      <c r="AAW15" s="303"/>
      <c r="AAX15" s="303"/>
      <c r="AAY15" s="303"/>
      <c r="AAZ15" s="303"/>
      <c r="ABA15" s="303"/>
      <c r="ABB15" s="303"/>
      <c r="ABC15" s="303"/>
      <c r="ABD15" s="303"/>
      <c r="ABE15" s="303"/>
      <c r="ABF15" s="303"/>
      <c r="ABG15" s="303"/>
      <c r="ABH15" s="303"/>
      <c r="ABI15" s="303"/>
      <c r="ABJ15" s="303"/>
      <c r="ABK15" s="303"/>
      <c r="ABL15" s="303"/>
      <c r="ABM15" s="303"/>
      <c r="ABN15" s="303"/>
      <c r="ABO15" s="303"/>
      <c r="ABP15" s="303"/>
      <c r="ABQ15" s="303"/>
      <c r="ABR15" s="303"/>
      <c r="ABS15" s="303"/>
      <c r="ABT15" s="303"/>
      <c r="ABU15" s="303"/>
      <c r="ABV15" s="303"/>
      <c r="ABW15" s="303"/>
      <c r="ABX15" s="303"/>
      <c r="ABY15" s="303"/>
      <c r="ABZ15" s="303"/>
      <c r="ACA15" s="303"/>
      <c r="ACB15" s="303"/>
      <c r="ACC15" s="303"/>
      <c r="ACD15" s="303"/>
      <c r="ACE15" s="303"/>
      <c r="ACF15" s="303"/>
      <c r="ACG15" s="303"/>
      <c r="ACH15" s="303"/>
      <c r="ACI15" s="303"/>
      <c r="ACJ15" s="303"/>
      <c r="ACK15" s="303"/>
      <c r="ACL15" s="303"/>
      <c r="ACM15" s="303"/>
      <c r="ACN15" s="303"/>
      <c r="ACO15" s="303"/>
      <c r="ACP15" s="303"/>
      <c r="ACQ15" s="303"/>
      <c r="ACR15" s="303"/>
      <c r="ACS15" s="303"/>
      <c r="ACT15" s="303"/>
      <c r="ACU15" s="303"/>
      <c r="ACV15" s="303"/>
      <c r="ACW15" s="303"/>
      <c r="ACX15" s="303"/>
      <c r="ACY15" s="303"/>
      <c r="ACZ15" s="303"/>
      <c r="ADA15" s="303"/>
      <c r="ADB15" s="303"/>
      <c r="ADC15" s="303"/>
      <c r="ADD15" s="303"/>
      <c r="ADE15" s="303"/>
      <c r="ADF15" s="303"/>
      <c r="ADG15" s="303"/>
      <c r="ADH15" s="303"/>
      <c r="ADI15" s="303"/>
      <c r="ADJ15" s="303"/>
      <c r="ADK15" s="303"/>
      <c r="ADL15" s="303"/>
      <c r="ADM15" s="303"/>
      <c r="ADN15" s="303"/>
      <c r="ADO15" s="303"/>
      <c r="ADP15" s="303"/>
      <c r="ADQ15" s="303"/>
      <c r="ADR15" s="303"/>
      <c r="ADS15" s="303"/>
      <c r="ADT15" s="303"/>
      <c r="ADU15" s="303"/>
      <c r="ADV15" s="303"/>
      <c r="ADW15" s="303"/>
      <c r="ADX15" s="303"/>
      <c r="ADY15" s="303"/>
      <c r="ADZ15" s="303"/>
      <c r="AEA15" s="303"/>
      <c r="AEB15" s="303"/>
      <c r="AEC15" s="303"/>
      <c r="AED15" s="303"/>
      <c r="AEE15" s="303"/>
      <c r="AEF15" s="303"/>
      <c r="AEG15" s="303"/>
      <c r="AEH15" s="303"/>
      <c r="AEI15" s="303"/>
      <c r="AEJ15" s="303"/>
      <c r="AEK15" s="303"/>
      <c r="AEL15" s="303"/>
      <c r="AEM15" s="303"/>
      <c r="AEN15" s="303"/>
      <c r="AEO15" s="303"/>
      <c r="AEP15" s="303"/>
      <c r="AEQ15" s="303"/>
      <c r="AER15" s="303"/>
      <c r="AES15" s="303"/>
      <c r="AET15" s="303"/>
      <c r="AEU15" s="303"/>
      <c r="AEV15" s="303"/>
      <c r="AEW15" s="303"/>
      <c r="AEX15" s="303"/>
      <c r="AEY15" s="303"/>
      <c r="AEZ15" s="303"/>
      <c r="AFA15" s="303"/>
      <c r="AFB15" s="303"/>
      <c r="AFC15" s="303"/>
      <c r="AFD15" s="303"/>
      <c r="AFE15" s="303"/>
      <c r="AFF15" s="303"/>
      <c r="AFG15" s="303"/>
      <c r="AFH15" s="303"/>
      <c r="AFI15" s="303"/>
      <c r="AFJ15" s="303"/>
      <c r="AFK15" s="303"/>
      <c r="AFL15" s="303"/>
      <c r="AFM15" s="303"/>
      <c r="AFN15" s="303"/>
      <c r="AFO15" s="303"/>
      <c r="AFP15" s="303"/>
      <c r="AFQ15" s="303"/>
      <c r="AFR15" s="303"/>
      <c r="AFS15" s="303"/>
      <c r="AFT15" s="303"/>
      <c r="AFU15" s="303"/>
      <c r="AFV15" s="303"/>
      <c r="AFW15" s="303"/>
      <c r="AFX15" s="303"/>
      <c r="AFY15" s="303"/>
      <c r="AFZ15" s="303"/>
      <c r="AGA15" s="303"/>
      <c r="AGB15" s="303"/>
      <c r="AGC15" s="303"/>
      <c r="AGD15" s="303"/>
      <c r="AGE15" s="303"/>
      <c r="AGF15" s="303"/>
      <c r="AGG15" s="303"/>
      <c r="AGH15" s="303"/>
      <c r="AGI15" s="303"/>
      <c r="AGJ15" s="303"/>
      <c r="AGK15" s="303"/>
      <c r="AGL15" s="303"/>
      <c r="AGM15" s="303"/>
      <c r="AGN15" s="303"/>
      <c r="AGO15" s="303"/>
      <c r="AGP15" s="303"/>
      <c r="AGQ15" s="303"/>
      <c r="AGR15" s="303"/>
      <c r="AGS15" s="303"/>
      <c r="AGT15" s="303"/>
      <c r="AGU15" s="303"/>
      <c r="AGV15" s="303"/>
      <c r="AGW15" s="303"/>
      <c r="AGX15" s="303"/>
      <c r="AGY15" s="303"/>
      <c r="AGZ15" s="303"/>
      <c r="AHA15" s="303"/>
      <c r="AHB15" s="303"/>
      <c r="AHC15" s="303"/>
      <c r="AHD15" s="303"/>
      <c r="AHE15" s="303"/>
      <c r="AHF15" s="303"/>
      <c r="AHG15" s="303"/>
      <c r="AHH15" s="303"/>
      <c r="AHI15" s="303"/>
      <c r="AHJ15" s="303"/>
      <c r="AHK15" s="303"/>
      <c r="AHL15" s="303"/>
      <c r="AHM15" s="303"/>
      <c r="AHN15" s="303"/>
      <c r="AHO15" s="303"/>
      <c r="AHP15" s="303"/>
      <c r="AHQ15" s="303"/>
      <c r="AHR15" s="303"/>
      <c r="AHS15" s="303"/>
      <c r="AHT15" s="303"/>
      <c r="AHU15" s="303"/>
      <c r="AHV15" s="303"/>
      <c r="AHW15" s="303"/>
      <c r="AHX15" s="303"/>
      <c r="AHY15" s="303"/>
      <c r="AHZ15" s="303"/>
      <c r="AIA15" s="303"/>
      <c r="AIB15" s="303"/>
      <c r="AIC15" s="303"/>
      <c r="AID15" s="303"/>
      <c r="AIE15" s="303"/>
      <c r="AIF15" s="303"/>
      <c r="AIG15" s="303"/>
      <c r="AIH15" s="303"/>
      <c r="AII15" s="303"/>
      <c r="AIJ15" s="303"/>
      <c r="AIK15" s="303"/>
      <c r="AIL15" s="303"/>
      <c r="AIM15" s="303"/>
      <c r="AIN15" s="303"/>
      <c r="AIO15" s="303"/>
      <c r="AIP15" s="303"/>
      <c r="AIQ15" s="303"/>
      <c r="AIR15" s="303"/>
      <c r="AIS15" s="303"/>
      <c r="AIT15" s="303"/>
      <c r="AIU15" s="303"/>
      <c r="AIV15" s="303"/>
      <c r="AIW15" s="303"/>
      <c r="AIX15" s="303"/>
      <c r="AIY15" s="303"/>
      <c r="AIZ15" s="303"/>
      <c r="AJA15" s="303"/>
      <c r="AJB15" s="303"/>
      <c r="AJC15" s="303"/>
      <c r="AJD15" s="303"/>
      <c r="AJE15" s="303"/>
      <c r="AJF15" s="303"/>
      <c r="AJG15" s="303"/>
      <c r="AJH15" s="303"/>
      <c r="AJI15" s="303"/>
      <c r="AJJ15" s="303"/>
      <c r="AJK15" s="303"/>
      <c r="AJL15" s="303"/>
      <c r="AJM15" s="303"/>
      <c r="AJN15" s="303"/>
      <c r="AJO15" s="303"/>
      <c r="AJP15" s="303"/>
      <c r="AJQ15" s="303"/>
      <c r="AJR15" s="303"/>
      <c r="AJS15" s="303"/>
      <c r="AJT15" s="303"/>
      <c r="AJU15" s="303"/>
      <c r="AJV15" s="303"/>
      <c r="AJW15" s="303"/>
      <c r="AJX15" s="303"/>
      <c r="AJY15" s="303"/>
      <c r="AJZ15" s="303"/>
      <c r="AKA15" s="303"/>
      <c r="AKB15" s="303"/>
      <c r="AKC15" s="303"/>
      <c r="AKD15" s="303"/>
      <c r="AKE15" s="303"/>
      <c r="AKF15" s="303"/>
      <c r="AKG15" s="303"/>
      <c r="AKH15" s="303"/>
      <c r="AKI15" s="303"/>
      <c r="AKJ15" s="303"/>
      <c r="AKK15" s="303"/>
      <c r="AKL15" s="303"/>
      <c r="AKM15" s="303"/>
      <c r="AKN15" s="303"/>
      <c r="AKO15" s="303"/>
      <c r="AKP15" s="303"/>
      <c r="AKQ15" s="303"/>
      <c r="AKR15" s="303"/>
      <c r="AKS15" s="303"/>
      <c r="AKT15" s="303"/>
      <c r="AKU15" s="303"/>
      <c r="AKV15" s="303"/>
      <c r="AKW15" s="303"/>
      <c r="AKX15" s="303"/>
      <c r="AKY15" s="303"/>
      <c r="AKZ15" s="303"/>
      <c r="ALA15" s="303"/>
      <c r="ALB15" s="303"/>
      <c r="ALC15" s="303"/>
      <c r="ALD15" s="303"/>
      <c r="ALE15" s="303"/>
      <c r="ALF15" s="303"/>
      <c r="ALG15" s="303"/>
      <c r="ALH15" s="303"/>
      <c r="ALI15" s="303"/>
      <c r="ALJ15" s="303"/>
      <c r="ALK15" s="303"/>
      <c r="ALL15" s="303"/>
      <c r="ALM15" s="303"/>
      <c r="ALN15" s="303"/>
      <c r="ALO15" s="303"/>
      <c r="ALP15" s="303"/>
      <c r="ALQ15" s="303"/>
      <c r="ALR15" s="303"/>
      <c r="ALS15" s="303"/>
      <c r="ALT15" s="303"/>
      <c r="ALU15" s="303"/>
      <c r="ALV15" s="303"/>
      <c r="ALW15" s="303"/>
      <c r="ALX15" s="303"/>
      <c r="ALY15" s="303"/>
      <c r="ALZ15" s="303"/>
      <c r="AMA15" s="303"/>
      <c r="AMB15" s="303"/>
      <c r="AMC15" s="303"/>
      <c r="AMD15" s="303"/>
      <c r="AME15" s="303"/>
      <c r="AMF15" s="303"/>
      <c r="AMG15" s="303"/>
      <c r="AMH15" s="303"/>
      <c r="AMI15" s="303"/>
      <c r="AMJ15" s="303"/>
      <c r="AMK15" s="303"/>
      <c r="AML15" s="303"/>
      <c r="AMM15" s="303"/>
      <c r="AMN15" s="303"/>
      <c r="AMO15" s="303"/>
      <c r="AMP15" s="303"/>
      <c r="AMQ15" s="303"/>
      <c r="AMR15" s="303"/>
      <c r="AMS15" s="303"/>
      <c r="AMT15" s="303"/>
      <c r="AMU15" s="303"/>
      <c r="AMV15" s="303"/>
      <c r="AMW15" s="303"/>
      <c r="AMX15" s="303"/>
      <c r="AMY15" s="303"/>
      <c r="AMZ15" s="303"/>
      <c r="ANA15" s="303"/>
      <c r="ANB15" s="303"/>
      <c r="ANC15" s="303"/>
      <c r="AND15" s="303"/>
      <c r="ANE15" s="303"/>
      <c r="ANF15" s="303"/>
      <c r="ANG15" s="303"/>
      <c r="ANH15" s="303"/>
      <c r="ANI15" s="303"/>
      <c r="ANJ15" s="303"/>
      <c r="ANK15" s="303"/>
      <c r="ANL15" s="303"/>
      <c r="ANM15" s="303"/>
      <c r="ANN15" s="303"/>
      <c r="ANO15" s="303"/>
      <c r="ANP15" s="303"/>
      <c r="ANQ15" s="303"/>
      <c r="ANR15" s="303"/>
      <c r="ANS15" s="303"/>
      <c r="ANT15" s="303"/>
      <c r="ANU15" s="303"/>
      <c r="ANV15" s="303"/>
      <c r="ANW15" s="303"/>
      <c r="ANX15" s="303"/>
      <c r="ANY15" s="303"/>
      <c r="ANZ15" s="303"/>
      <c r="AOA15" s="303"/>
      <c r="AOB15" s="303"/>
      <c r="AOC15" s="303"/>
      <c r="AOD15" s="303"/>
      <c r="AOE15" s="303"/>
      <c r="AOF15" s="303"/>
      <c r="AOG15" s="303"/>
      <c r="AOH15" s="303"/>
      <c r="AOI15" s="303"/>
      <c r="AOJ15" s="303"/>
      <c r="AOK15" s="303"/>
      <c r="AOL15" s="303"/>
      <c r="AOM15" s="303"/>
      <c r="AON15" s="303"/>
      <c r="AOO15" s="303"/>
      <c r="AOP15" s="303"/>
      <c r="AOQ15" s="303"/>
      <c r="AOR15" s="303"/>
      <c r="AOS15" s="303"/>
      <c r="AOT15" s="303"/>
      <c r="AOU15" s="303"/>
      <c r="AOV15" s="303"/>
      <c r="AOW15" s="303"/>
      <c r="AOX15" s="303"/>
      <c r="AOY15" s="303"/>
      <c r="AOZ15" s="303"/>
      <c r="APA15" s="303"/>
      <c r="APB15" s="303"/>
      <c r="APC15" s="303"/>
      <c r="APD15" s="303"/>
      <c r="APE15" s="303"/>
      <c r="APF15" s="303"/>
      <c r="APG15" s="303"/>
      <c r="APH15" s="303"/>
      <c r="API15" s="303"/>
      <c r="APJ15" s="303"/>
      <c r="APK15" s="303"/>
      <c r="APL15" s="303"/>
      <c r="APM15" s="303"/>
      <c r="APN15" s="303"/>
      <c r="APO15" s="303"/>
      <c r="APP15" s="303"/>
      <c r="APQ15" s="303"/>
      <c r="APR15" s="303"/>
      <c r="APS15" s="303"/>
      <c r="APT15" s="303"/>
      <c r="APU15" s="303"/>
      <c r="APV15" s="303"/>
      <c r="APW15" s="303"/>
      <c r="APX15" s="303"/>
      <c r="APY15" s="303"/>
      <c r="APZ15" s="303"/>
      <c r="AQA15" s="303"/>
      <c r="AQB15" s="303"/>
      <c r="AQC15" s="303"/>
      <c r="AQD15" s="303"/>
      <c r="AQE15" s="303"/>
      <c r="AQF15" s="303"/>
      <c r="AQG15" s="303"/>
      <c r="AQH15" s="303"/>
      <c r="AQI15" s="303"/>
      <c r="AQJ15" s="303"/>
      <c r="AQK15" s="303"/>
      <c r="AQL15" s="303"/>
      <c r="AQM15" s="303"/>
      <c r="AQN15" s="303"/>
      <c r="AQO15" s="303"/>
      <c r="AQP15" s="303"/>
      <c r="AQQ15" s="303"/>
      <c r="AQR15" s="303"/>
      <c r="AQS15" s="303"/>
      <c r="AQT15" s="303"/>
      <c r="AQU15" s="303"/>
      <c r="AQV15" s="303"/>
      <c r="AQW15" s="303"/>
      <c r="AQX15" s="303"/>
      <c r="AQY15" s="303"/>
      <c r="AQZ15" s="303"/>
      <c r="ARA15" s="303"/>
      <c r="ARB15" s="303"/>
      <c r="ARC15" s="303"/>
      <c r="ARD15" s="303"/>
      <c r="ARE15" s="303"/>
      <c r="ARF15" s="303"/>
      <c r="ARG15" s="303"/>
      <c r="ARH15" s="303"/>
      <c r="ARI15" s="303"/>
      <c r="ARJ15" s="303"/>
      <c r="ARK15" s="303"/>
      <c r="ARL15" s="303"/>
      <c r="ARM15" s="303"/>
      <c r="ARN15" s="303"/>
      <c r="ARO15" s="303"/>
      <c r="ARP15" s="303"/>
      <c r="ARQ15" s="303"/>
      <c r="ARR15" s="303"/>
      <c r="ARS15" s="303"/>
      <c r="ART15" s="303"/>
      <c r="ARU15" s="303"/>
      <c r="ARV15" s="303"/>
      <c r="ARW15" s="303"/>
      <c r="ARX15" s="303"/>
      <c r="ARY15" s="303"/>
      <c r="ARZ15" s="303"/>
      <c r="ASA15" s="303"/>
      <c r="ASB15" s="303"/>
      <c r="ASC15" s="303"/>
      <c r="ASD15" s="303"/>
      <c r="ASE15" s="303"/>
      <c r="ASF15" s="303"/>
      <c r="ASG15" s="303"/>
      <c r="ASH15" s="303"/>
      <c r="ASI15" s="303"/>
      <c r="ASJ15" s="303"/>
      <c r="ASK15" s="303"/>
      <c r="ASL15" s="303"/>
      <c r="ASM15" s="303"/>
      <c r="ASN15" s="303"/>
      <c r="ASO15" s="303"/>
      <c r="ASP15" s="303"/>
      <c r="ASQ15" s="303"/>
      <c r="ASR15" s="303"/>
      <c r="ASS15" s="303"/>
      <c r="AST15" s="303"/>
      <c r="ASU15" s="303"/>
      <c r="ASV15" s="303"/>
      <c r="ASW15" s="303"/>
      <c r="ASX15" s="303"/>
      <c r="ASY15" s="303"/>
      <c r="ASZ15" s="303"/>
      <c r="ATA15" s="303"/>
      <c r="ATB15" s="303"/>
      <c r="ATC15" s="303"/>
      <c r="ATD15" s="303"/>
      <c r="ATE15" s="303"/>
      <c r="ATF15" s="303"/>
      <c r="ATG15" s="303"/>
      <c r="ATH15" s="303"/>
      <c r="ATI15" s="303"/>
      <c r="ATJ15" s="303"/>
      <c r="ATK15" s="303"/>
      <c r="ATL15" s="303"/>
      <c r="ATM15" s="303"/>
      <c r="ATN15" s="303"/>
      <c r="ATO15" s="303"/>
      <c r="ATP15" s="303"/>
      <c r="ATQ15" s="303"/>
      <c r="ATR15" s="303"/>
      <c r="ATS15" s="303"/>
      <c r="ATT15" s="303"/>
      <c r="ATU15" s="303"/>
      <c r="ATV15" s="303"/>
      <c r="ATW15" s="303"/>
      <c r="ATX15" s="303"/>
      <c r="ATY15" s="303"/>
      <c r="ATZ15" s="303"/>
      <c r="AUA15" s="303"/>
      <c r="AUB15" s="303"/>
      <c r="AUC15" s="303"/>
      <c r="AUD15" s="303"/>
      <c r="AUE15" s="303"/>
      <c r="AUF15" s="303"/>
      <c r="AUG15" s="303"/>
      <c r="AUH15" s="303"/>
      <c r="AUI15" s="303"/>
      <c r="AUJ15" s="303"/>
      <c r="AUK15" s="303"/>
      <c r="AUL15" s="303"/>
      <c r="AUM15" s="303"/>
      <c r="AUN15" s="303"/>
      <c r="AUO15" s="303"/>
      <c r="AUP15" s="303"/>
      <c r="AUQ15" s="303"/>
      <c r="AUR15" s="303"/>
      <c r="AUS15" s="303"/>
      <c r="AUT15" s="303"/>
      <c r="AUU15" s="303"/>
      <c r="AUV15" s="303"/>
      <c r="AUW15" s="303"/>
      <c r="AUX15" s="303"/>
      <c r="AUY15" s="303"/>
      <c r="AUZ15" s="303"/>
      <c r="AVA15" s="303"/>
      <c r="AVB15" s="303"/>
      <c r="AVC15" s="303"/>
      <c r="AVD15" s="303"/>
      <c r="AVE15" s="303"/>
      <c r="AVF15" s="303"/>
      <c r="AVG15" s="303"/>
      <c r="AVH15" s="303"/>
      <c r="AVI15" s="303"/>
      <c r="AVJ15" s="303"/>
      <c r="AVK15" s="303"/>
      <c r="AVL15" s="303"/>
      <c r="AVM15" s="303"/>
      <c r="AVN15" s="303"/>
      <c r="AVO15" s="303"/>
      <c r="AVP15" s="303"/>
      <c r="AVQ15" s="303"/>
      <c r="AVR15" s="303"/>
      <c r="AVS15" s="303"/>
      <c r="AVT15" s="303"/>
      <c r="AVU15" s="303"/>
      <c r="AVV15" s="303"/>
      <c r="AVW15" s="303"/>
      <c r="AVX15" s="303"/>
      <c r="AVY15" s="303"/>
      <c r="AVZ15" s="303"/>
      <c r="AWA15" s="303"/>
      <c r="AWB15" s="303"/>
      <c r="AWC15" s="303"/>
      <c r="AWD15" s="303"/>
      <c r="AWE15" s="303"/>
      <c r="AWF15" s="303"/>
      <c r="AWG15" s="303"/>
      <c r="AWH15" s="303"/>
      <c r="AWI15" s="303"/>
      <c r="AWJ15" s="303"/>
      <c r="AWK15" s="303"/>
      <c r="AWL15" s="303"/>
      <c r="AWM15" s="303"/>
      <c r="AWN15" s="303"/>
      <c r="AWO15" s="303"/>
      <c r="AWP15" s="303"/>
      <c r="AWQ15" s="303"/>
      <c r="AWR15" s="303"/>
      <c r="AWS15" s="303"/>
      <c r="AWT15" s="303"/>
      <c r="AWU15" s="303"/>
      <c r="AWV15" s="303"/>
      <c r="AWW15" s="303"/>
      <c r="AWX15" s="303"/>
      <c r="AWY15" s="303"/>
      <c r="AWZ15" s="303"/>
      <c r="AXA15" s="303"/>
      <c r="AXB15" s="303"/>
      <c r="AXC15" s="303"/>
      <c r="AXD15" s="303"/>
      <c r="AXE15" s="303"/>
      <c r="AXF15" s="303"/>
      <c r="AXG15" s="303"/>
      <c r="AXH15" s="303"/>
      <c r="AXI15" s="303"/>
      <c r="AXJ15" s="303"/>
      <c r="AXK15" s="303"/>
      <c r="AXL15" s="303"/>
      <c r="AXM15" s="303"/>
      <c r="AXN15" s="303"/>
      <c r="AXO15" s="303"/>
      <c r="AXP15" s="303"/>
      <c r="AXQ15" s="303"/>
      <c r="AXR15" s="303"/>
      <c r="AXS15" s="303"/>
      <c r="AXT15" s="303"/>
      <c r="AXU15" s="303"/>
      <c r="AXV15" s="303"/>
      <c r="AXW15" s="303"/>
      <c r="AXX15" s="303"/>
      <c r="AXY15" s="303"/>
      <c r="AXZ15" s="303"/>
      <c r="AYA15" s="303"/>
      <c r="AYB15" s="303"/>
      <c r="AYC15" s="303"/>
      <c r="AYD15" s="303"/>
      <c r="AYE15" s="303"/>
      <c r="AYF15" s="303"/>
      <c r="AYG15" s="303"/>
      <c r="AYH15" s="303"/>
    </row>
    <row r="16" spans="1:1334" ht="24.75" x14ac:dyDescent="0.25">
      <c r="A16" s="304" t="s">
        <v>1073</v>
      </c>
      <c r="B16" s="298" t="s">
        <v>1074</v>
      </c>
      <c r="C16" s="303"/>
      <c r="D16" s="303"/>
      <c r="E16" s="303"/>
      <c r="F16" s="303"/>
      <c r="G16" s="303"/>
      <c r="H16" s="303"/>
      <c r="I16" s="303"/>
      <c r="J16" s="303"/>
      <c r="K16" s="303"/>
      <c r="L16" s="303"/>
      <c r="M16" s="303"/>
      <c r="N16" s="303"/>
      <c r="O16" s="303"/>
      <c r="P16" s="303"/>
      <c r="Q16" s="303"/>
      <c r="R16" s="303"/>
      <c r="S16" s="303"/>
      <c r="T16" s="303"/>
      <c r="U16" s="303"/>
      <c r="V16" s="303"/>
      <c r="W16" s="303"/>
      <c r="X16" s="303"/>
      <c r="Y16" s="303"/>
      <c r="Z16" s="303"/>
      <c r="AA16" s="303"/>
      <c r="AB16" s="303"/>
      <c r="AC16" s="303"/>
      <c r="AD16" s="303"/>
      <c r="AE16" s="303"/>
      <c r="AF16" s="303"/>
      <c r="AG16" s="303"/>
      <c r="AH16" s="303"/>
      <c r="AI16" s="303"/>
      <c r="AJ16" s="303"/>
      <c r="AK16" s="303"/>
      <c r="AL16" s="303"/>
      <c r="AM16" s="303"/>
      <c r="AN16" s="303"/>
      <c r="AO16" s="303"/>
      <c r="AP16" s="303"/>
      <c r="AQ16" s="303"/>
      <c r="AR16" s="303"/>
      <c r="AS16" s="303"/>
      <c r="AT16" s="303"/>
      <c r="AU16" s="303"/>
      <c r="AV16" s="303"/>
      <c r="AW16" s="303"/>
      <c r="AX16" s="303"/>
      <c r="AY16" s="303"/>
      <c r="AZ16" s="303"/>
      <c r="BA16" s="303"/>
      <c r="BB16" s="303"/>
      <c r="BC16" s="303"/>
      <c r="BD16" s="303"/>
      <c r="BE16" s="303"/>
      <c r="BF16" s="303"/>
      <c r="BG16" s="303"/>
      <c r="BH16" s="303"/>
      <c r="BI16" s="303"/>
      <c r="BJ16" s="303"/>
      <c r="BK16" s="303"/>
      <c r="BL16" s="303"/>
      <c r="BM16" s="303"/>
      <c r="BN16" s="303"/>
      <c r="BO16" s="303"/>
      <c r="BP16" s="303"/>
      <c r="BQ16" s="303"/>
      <c r="BR16" s="303"/>
      <c r="BS16" s="303"/>
      <c r="BT16" s="303"/>
      <c r="BU16" s="303"/>
      <c r="BV16" s="303"/>
      <c r="BW16" s="303"/>
      <c r="BX16" s="303"/>
      <c r="BY16" s="303"/>
      <c r="BZ16" s="303"/>
      <c r="CA16" s="303"/>
      <c r="CB16" s="303"/>
      <c r="CC16" s="303"/>
      <c r="CD16" s="303"/>
      <c r="CE16" s="303"/>
      <c r="CF16" s="303"/>
      <c r="CG16" s="303"/>
      <c r="CH16" s="303"/>
      <c r="CI16" s="303"/>
      <c r="CJ16" s="303"/>
      <c r="CK16" s="303"/>
      <c r="CL16" s="303"/>
      <c r="CM16" s="303"/>
      <c r="CN16" s="303"/>
      <c r="CO16" s="303"/>
      <c r="CP16" s="303"/>
      <c r="CQ16" s="303"/>
      <c r="CR16" s="303"/>
      <c r="CS16" s="303"/>
      <c r="CT16" s="303"/>
      <c r="CU16" s="303"/>
      <c r="CV16" s="303"/>
      <c r="CW16" s="303"/>
      <c r="CX16" s="303"/>
      <c r="CY16" s="303"/>
      <c r="CZ16" s="303"/>
      <c r="DA16" s="303"/>
      <c r="DB16" s="303"/>
      <c r="DC16" s="303"/>
      <c r="DD16" s="303"/>
      <c r="DE16" s="303"/>
      <c r="DF16" s="303"/>
      <c r="DG16" s="303"/>
      <c r="DH16" s="303"/>
      <c r="DI16" s="303"/>
      <c r="DJ16" s="303"/>
      <c r="DK16" s="303"/>
      <c r="DL16" s="303"/>
      <c r="DM16" s="303"/>
      <c r="DN16" s="303"/>
      <c r="DO16" s="303"/>
      <c r="DP16" s="303"/>
      <c r="DQ16" s="303"/>
      <c r="DR16" s="303"/>
      <c r="DS16" s="303"/>
      <c r="DT16" s="303"/>
      <c r="DU16" s="303"/>
      <c r="DV16" s="303"/>
      <c r="DW16" s="303"/>
      <c r="DX16" s="303"/>
      <c r="DY16" s="303"/>
      <c r="DZ16" s="303"/>
      <c r="EA16" s="303"/>
      <c r="EB16" s="303"/>
      <c r="EC16" s="303"/>
      <c r="ED16" s="303"/>
      <c r="EE16" s="303"/>
      <c r="EF16" s="303"/>
      <c r="EG16" s="303"/>
      <c r="EH16" s="303"/>
      <c r="EI16" s="303"/>
      <c r="EJ16" s="303"/>
      <c r="EK16" s="303"/>
      <c r="EL16" s="303"/>
      <c r="EM16" s="303"/>
      <c r="EN16" s="303"/>
      <c r="EO16" s="303"/>
      <c r="EP16" s="303"/>
      <c r="EQ16" s="303"/>
      <c r="ER16" s="303"/>
      <c r="ES16" s="303"/>
      <c r="ET16" s="303"/>
      <c r="EU16" s="303"/>
      <c r="EV16" s="303"/>
      <c r="EW16" s="303"/>
      <c r="EX16" s="303"/>
      <c r="EY16" s="303"/>
      <c r="EZ16" s="303"/>
      <c r="FA16" s="303"/>
      <c r="FB16" s="303"/>
      <c r="FC16" s="303"/>
      <c r="FD16" s="303"/>
      <c r="FE16" s="303"/>
      <c r="FF16" s="303"/>
      <c r="FG16" s="303"/>
      <c r="FH16" s="303"/>
      <c r="FI16" s="303"/>
      <c r="FJ16" s="303"/>
      <c r="FK16" s="303"/>
      <c r="FL16" s="303"/>
      <c r="FM16" s="303"/>
      <c r="FN16" s="303"/>
      <c r="FO16" s="303"/>
      <c r="FP16" s="303"/>
      <c r="FQ16" s="303"/>
      <c r="FR16" s="303"/>
      <c r="FS16" s="303"/>
      <c r="FT16" s="303"/>
      <c r="FU16" s="303"/>
      <c r="FV16" s="303"/>
      <c r="FW16" s="303"/>
      <c r="FX16" s="303"/>
      <c r="FY16" s="303"/>
      <c r="FZ16" s="303"/>
      <c r="GA16" s="303"/>
      <c r="GB16" s="303"/>
      <c r="GC16" s="303"/>
      <c r="GD16" s="303"/>
      <c r="GE16" s="303"/>
      <c r="GF16" s="303"/>
      <c r="GG16" s="303"/>
      <c r="GH16" s="303"/>
      <c r="GI16" s="303"/>
      <c r="GJ16" s="303"/>
      <c r="GK16" s="303"/>
      <c r="GL16" s="303"/>
      <c r="GM16" s="303"/>
      <c r="GN16" s="303"/>
      <c r="GO16" s="303"/>
      <c r="GP16" s="303"/>
      <c r="GQ16" s="303"/>
      <c r="GR16" s="303"/>
      <c r="GS16" s="303"/>
      <c r="GT16" s="303"/>
      <c r="GU16" s="303"/>
      <c r="GV16" s="303"/>
      <c r="GW16" s="303"/>
      <c r="GX16" s="303"/>
      <c r="GY16" s="303"/>
      <c r="GZ16" s="303"/>
      <c r="HA16" s="303"/>
      <c r="HB16" s="303"/>
      <c r="HC16" s="303"/>
      <c r="HD16" s="303"/>
      <c r="HE16" s="303"/>
      <c r="HF16" s="303"/>
      <c r="HG16" s="303"/>
      <c r="HH16" s="303"/>
      <c r="HI16" s="303"/>
      <c r="HJ16" s="303"/>
      <c r="HK16" s="303"/>
      <c r="HL16" s="303"/>
      <c r="HM16" s="303"/>
      <c r="HN16" s="303"/>
      <c r="HO16" s="303"/>
      <c r="HP16" s="303"/>
      <c r="HQ16" s="303"/>
      <c r="HR16" s="303"/>
      <c r="HS16" s="303"/>
      <c r="HT16" s="303"/>
      <c r="HU16" s="303"/>
      <c r="HV16" s="303"/>
      <c r="HW16" s="303"/>
      <c r="HX16" s="303"/>
      <c r="HY16" s="303"/>
      <c r="HZ16" s="303"/>
      <c r="IA16" s="303"/>
      <c r="IB16" s="303"/>
      <c r="IC16" s="303"/>
      <c r="ID16" s="303"/>
      <c r="IE16" s="303"/>
      <c r="IF16" s="303"/>
      <c r="IG16" s="303"/>
      <c r="IH16" s="303"/>
      <c r="II16" s="303"/>
      <c r="IJ16" s="303"/>
      <c r="IK16" s="303"/>
      <c r="IL16" s="303"/>
      <c r="IM16" s="303"/>
      <c r="IN16" s="303"/>
      <c r="IO16" s="303"/>
      <c r="IP16" s="303"/>
      <c r="IQ16" s="303"/>
      <c r="IR16" s="303"/>
      <c r="IS16" s="303"/>
      <c r="IT16" s="303"/>
      <c r="IU16" s="303"/>
      <c r="IV16" s="303"/>
      <c r="IW16" s="303"/>
      <c r="IX16" s="303"/>
      <c r="IY16" s="303"/>
      <c r="IZ16" s="303"/>
      <c r="JA16" s="303"/>
      <c r="JB16" s="303"/>
      <c r="JC16" s="303"/>
      <c r="JD16" s="303"/>
      <c r="JE16" s="303"/>
      <c r="JF16" s="303"/>
      <c r="JG16" s="303"/>
      <c r="JH16" s="303"/>
      <c r="JI16" s="303"/>
      <c r="JJ16" s="303"/>
      <c r="JK16" s="303"/>
      <c r="JL16" s="303"/>
      <c r="JM16" s="303"/>
      <c r="JN16" s="303"/>
      <c r="JO16" s="303"/>
      <c r="JP16" s="303"/>
      <c r="JQ16" s="303"/>
      <c r="JR16" s="303"/>
      <c r="JS16" s="303"/>
      <c r="JT16" s="303"/>
      <c r="JU16" s="303"/>
      <c r="JV16" s="303"/>
      <c r="JW16" s="303"/>
      <c r="JX16" s="303"/>
      <c r="JY16" s="303"/>
      <c r="JZ16" s="303"/>
      <c r="KA16" s="303"/>
      <c r="KB16" s="303"/>
      <c r="KC16" s="303"/>
      <c r="KD16" s="303"/>
      <c r="KE16" s="303"/>
      <c r="KF16" s="303"/>
      <c r="KG16" s="303"/>
      <c r="KH16" s="303"/>
      <c r="KI16" s="303"/>
      <c r="KJ16" s="303"/>
      <c r="KK16" s="303"/>
      <c r="KL16" s="303"/>
      <c r="KM16" s="303"/>
      <c r="KN16" s="303"/>
      <c r="KO16" s="303"/>
      <c r="KP16" s="303"/>
      <c r="KQ16" s="303"/>
      <c r="KR16" s="303"/>
      <c r="KS16" s="303"/>
      <c r="KT16" s="303"/>
      <c r="KU16" s="303"/>
      <c r="KV16" s="303"/>
      <c r="KW16" s="303"/>
      <c r="KX16" s="303"/>
      <c r="KY16" s="303"/>
      <c r="KZ16" s="303"/>
      <c r="LA16" s="303"/>
      <c r="LB16" s="303"/>
      <c r="LC16" s="303"/>
      <c r="LD16" s="303"/>
      <c r="LE16" s="303"/>
      <c r="LF16" s="303"/>
      <c r="LG16" s="303"/>
      <c r="LH16" s="303"/>
      <c r="LI16" s="303"/>
      <c r="LJ16" s="303"/>
      <c r="LK16" s="303"/>
      <c r="LL16" s="303"/>
      <c r="LM16" s="303"/>
      <c r="LN16" s="303"/>
      <c r="LO16" s="303"/>
      <c r="LP16" s="303"/>
      <c r="LQ16" s="303"/>
      <c r="LR16" s="303"/>
      <c r="LS16" s="303"/>
      <c r="LT16" s="303"/>
      <c r="LU16" s="303"/>
      <c r="LV16" s="303"/>
      <c r="LW16" s="303"/>
      <c r="LX16" s="303"/>
      <c r="LY16" s="303"/>
      <c r="LZ16" s="303"/>
      <c r="MA16" s="303"/>
      <c r="MB16" s="303"/>
      <c r="MC16" s="303"/>
      <c r="MD16" s="303"/>
      <c r="ME16" s="303"/>
      <c r="MF16" s="303"/>
      <c r="MG16" s="303"/>
      <c r="MH16" s="303"/>
      <c r="MI16" s="303"/>
      <c r="MJ16" s="303"/>
      <c r="MK16" s="303"/>
      <c r="ML16" s="303"/>
      <c r="MM16" s="303"/>
      <c r="MN16" s="303"/>
      <c r="MO16" s="303"/>
      <c r="MP16" s="303"/>
      <c r="MQ16" s="303"/>
      <c r="MR16" s="303"/>
      <c r="MS16" s="303"/>
      <c r="MT16" s="303"/>
      <c r="MU16" s="303"/>
      <c r="MV16" s="303"/>
      <c r="MW16" s="303"/>
      <c r="MX16" s="303"/>
      <c r="MY16" s="303"/>
      <c r="MZ16" s="303"/>
      <c r="NA16" s="303"/>
      <c r="NB16" s="303"/>
      <c r="NC16" s="303"/>
      <c r="ND16" s="303"/>
      <c r="NE16" s="303"/>
      <c r="NF16" s="303"/>
      <c r="NG16" s="303"/>
      <c r="NH16" s="303"/>
      <c r="NI16" s="303"/>
      <c r="NJ16" s="303"/>
      <c r="NK16" s="303"/>
      <c r="NL16" s="303"/>
      <c r="NM16" s="303"/>
      <c r="NN16" s="303"/>
      <c r="NO16" s="303"/>
      <c r="NP16" s="303"/>
      <c r="NQ16" s="303"/>
      <c r="NR16" s="303"/>
      <c r="NS16" s="303"/>
      <c r="NT16" s="303"/>
      <c r="NU16" s="303"/>
      <c r="NV16" s="303"/>
      <c r="NW16" s="303"/>
      <c r="NX16" s="303"/>
      <c r="NY16" s="303"/>
      <c r="NZ16" s="303"/>
      <c r="OA16" s="303"/>
      <c r="OB16" s="303"/>
      <c r="OC16" s="303"/>
      <c r="OD16" s="303"/>
      <c r="OE16" s="303"/>
      <c r="OF16" s="303"/>
      <c r="OG16" s="303"/>
      <c r="OH16" s="303"/>
      <c r="OI16" s="303"/>
      <c r="OJ16" s="303"/>
      <c r="OK16" s="303"/>
      <c r="OL16" s="303"/>
      <c r="OM16" s="303"/>
      <c r="ON16" s="303"/>
      <c r="OO16" s="303"/>
      <c r="OP16" s="303"/>
      <c r="OQ16" s="303"/>
      <c r="OR16" s="303"/>
      <c r="OS16" s="303"/>
      <c r="OT16" s="303"/>
      <c r="OU16" s="303"/>
      <c r="OV16" s="303"/>
      <c r="OW16" s="303"/>
      <c r="OX16" s="303"/>
      <c r="OY16" s="303"/>
      <c r="OZ16" s="303"/>
      <c r="PA16" s="303"/>
      <c r="PB16" s="303"/>
      <c r="PC16" s="303"/>
      <c r="PD16" s="303"/>
      <c r="PE16" s="303"/>
      <c r="PF16" s="303"/>
      <c r="PG16" s="303"/>
      <c r="PH16" s="303"/>
      <c r="PI16" s="303"/>
      <c r="PJ16" s="303"/>
      <c r="PK16" s="303"/>
      <c r="PL16" s="303"/>
      <c r="PM16" s="303"/>
      <c r="PN16" s="303"/>
      <c r="PO16" s="303"/>
      <c r="PP16" s="303"/>
      <c r="PQ16" s="303"/>
      <c r="PR16" s="303"/>
      <c r="PS16" s="303"/>
      <c r="PT16" s="303"/>
      <c r="PU16" s="303"/>
      <c r="PV16" s="303"/>
      <c r="PW16" s="303"/>
      <c r="PX16" s="303"/>
      <c r="PY16" s="303"/>
      <c r="PZ16" s="303"/>
      <c r="QA16" s="303"/>
      <c r="QB16" s="303"/>
      <c r="QC16" s="303"/>
      <c r="QD16" s="303"/>
      <c r="QE16" s="303"/>
      <c r="QF16" s="303"/>
      <c r="QG16" s="303"/>
      <c r="QH16" s="303"/>
      <c r="QI16" s="303"/>
      <c r="QJ16" s="303"/>
      <c r="QK16" s="303"/>
      <c r="QL16" s="303"/>
      <c r="QM16" s="303"/>
      <c r="QN16" s="303"/>
      <c r="QO16" s="303"/>
      <c r="QP16" s="303"/>
      <c r="QQ16" s="303"/>
      <c r="QR16" s="303"/>
      <c r="QS16" s="303"/>
      <c r="QT16" s="303"/>
      <c r="QU16" s="303"/>
      <c r="QV16" s="303"/>
      <c r="QW16" s="303"/>
      <c r="QX16" s="303"/>
      <c r="QY16" s="303"/>
      <c r="QZ16" s="303"/>
      <c r="RA16" s="303"/>
      <c r="RB16" s="303"/>
      <c r="RC16" s="303"/>
      <c r="RD16" s="303"/>
      <c r="RE16" s="303"/>
      <c r="RF16" s="303"/>
      <c r="RG16" s="303"/>
      <c r="RH16" s="303"/>
      <c r="RI16" s="303"/>
      <c r="RJ16" s="303"/>
      <c r="RK16" s="303"/>
      <c r="RL16" s="303"/>
      <c r="RM16" s="303"/>
      <c r="RN16" s="303"/>
      <c r="RO16" s="303"/>
      <c r="RP16" s="303"/>
      <c r="RQ16" s="303"/>
      <c r="RR16" s="303"/>
      <c r="RS16" s="303"/>
      <c r="RT16" s="303"/>
      <c r="RU16" s="303"/>
      <c r="RV16" s="303"/>
      <c r="RW16" s="303"/>
      <c r="RX16" s="303"/>
      <c r="RY16" s="303"/>
      <c r="RZ16" s="303"/>
      <c r="SA16" s="303"/>
      <c r="SB16" s="303"/>
      <c r="SC16" s="303"/>
      <c r="SD16" s="303"/>
      <c r="SE16" s="303"/>
      <c r="SF16" s="303"/>
      <c r="SG16" s="303"/>
      <c r="SH16" s="303"/>
      <c r="SI16" s="303"/>
      <c r="SJ16" s="303"/>
      <c r="SK16" s="303"/>
      <c r="SL16" s="303"/>
      <c r="SM16" s="303"/>
      <c r="SN16" s="303"/>
      <c r="SO16" s="303"/>
      <c r="SP16" s="303"/>
      <c r="SQ16" s="303"/>
      <c r="SR16" s="303"/>
      <c r="SS16" s="303"/>
      <c r="ST16" s="303"/>
      <c r="SU16" s="303"/>
      <c r="SV16" s="303"/>
      <c r="SW16" s="303"/>
      <c r="SX16" s="303"/>
      <c r="SY16" s="303"/>
      <c r="SZ16" s="303"/>
      <c r="TA16" s="303"/>
      <c r="TB16" s="303"/>
      <c r="TC16" s="303"/>
      <c r="TD16" s="303"/>
      <c r="TE16" s="303"/>
      <c r="TF16" s="303"/>
      <c r="TG16" s="303"/>
      <c r="TH16" s="303"/>
      <c r="TI16" s="303"/>
      <c r="TJ16" s="303"/>
      <c r="TK16" s="303"/>
      <c r="TL16" s="303"/>
      <c r="TM16" s="303"/>
      <c r="TN16" s="303"/>
      <c r="TO16" s="303"/>
      <c r="TP16" s="303"/>
      <c r="TQ16" s="303"/>
      <c r="TR16" s="303"/>
      <c r="TS16" s="303"/>
      <c r="TT16" s="303"/>
      <c r="TU16" s="303"/>
      <c r="TV16" s="303"/>
      <c r="TW16" s="303"/>
      <c r="TX16" s="303"/>
      <c r="TY16" s="303"/>
      <c r="TZ16" s="303"/>
      <c r="UA16" s="303"/>
      <c r="UB16" s="303"/>
      <c r="UC16" s="303"/>
      <c r="UD16" s="303"/>
      <c r="UE16" s="303"/>
      <c r="UF16" s="303"/>
      <c r="UG16" s="303"/>
      <c r="UH16" s="303"/>
      <c r="UI16" s="303"/>
      <c r="UJ16" s="303"/>
      <c r="UK16" s="303"/>
      <c r="UL16" s="303"/>
      <c r="UM16" s="303"/>
      <c r="UN16" s="303"/>
      <c r="UO16" s="303"/>
      <c r="UP16" s="303"/>
      <c r="UQ16" s="303"/>
      <c r="UR16" s="303"/>
      <c r="US16" s="303"/>
      <c r="UT16" s="303"/>
      <c r="UU16" s="303"/>
      <c r="UV16" s="303"/>
      <c r="UW16" s="303"/>
      <c r="UX16" s="303"/>
      <c r="UY16" s="303"/>
      <c r="UZ16" s="303"/>
      <c r="VA16" s="303"/>
      <c r="VB16" s="303"/>
      <c r="VC16" s="303"/>
      <c r="VD16" s="303"/>
      <c r="VE16" s="303"/>
      <c r="VF16" s="303"/>
      <c r="VG16" s="303"/>
      <c r="VH16" s="303"/>
      <c r="VI16" s="303"/>
      <c r="VJ16" s="303"/>
      <c r="VK16" s="303"/>
      <c r="VL16" s="303"/>
      <c r="VM16" s="303"/>
      <c r="VN16" s="303"/>
      <c r="VO16" s="303"/>
      <c r="VP16" s="303"/>
      <c r="VQ16" s="303"/>
      <c r="VR16" s="303"/>
      <c r="VS16" s="303"/>
      <c r="VT16" s="303"/>
      <c r="VU16" s="303"/>
      <c r="VV16" s="303"/>
      <c r="VW16" s="303"/>
      <c r="VX16" s="303"/>
      <c r="VY16" s="303"/>
      <c r="VZ16" s="303"/>
      <c r="WA16" s="303"/>
      <c r="WB16" s="303"/>
      <c r="WC16" s="303"/>
      <c r="WD16" s="303"/>
      <c r="WE16" s="303"/>
      <c r="WF16" s="303"/>
      <c r="WG16" s="303"/>
      <c r="WH16" s="303"/>
      <c r="WI16" s="303"/>
      <c r="WJ16" s="303"/>
      <c r="WK16" s="303"/>
      <c r="WL16" s="303"/>
      <c r="WM16" s="303"/>
      <c r="WN16" s="303"/>
      <c r="WO16" s="303"/>
      <c r="WP16" s="303"/>
      <c r="WQ16" s="303"/>
      <c r="WR16" s="303"/>
      <c r="WS16" s="303"/>
      <c r="WT16" s="303"/>
      <c r="WU16" s="303"/>
      <c r="WV16" s="303"/>
      <c r="WW16" s="303"/>
      <c r="WX16" s="303"/>
      <c r="WY16" s="303"/>
      <c r="WZ16" s="303"/>
      <c r="XA16" s="303"/>
      <c r="XB16" s="303"/>
      <c r="XC16" s="303"/>
      <c r="XD16" s="303"/>
      <c r="XE16" s="303"/>
      <c r="XF16" s="303"/>
      <c r="XG16" s="303"/>
      <c r="XH16" s="303"/>
      <c r="XI16" s="303"/>
      <c r="XJ16" s="303"/>
      <c r="XK16" s="303"/>
      <c r="XL16" s="303"/>
      <c r="XM16" s="303"/>
      <c r="XN16" s="303"/>
      <c r="XO16" s="303"/>
      <c r="XP16" s="303"/>
      <c r="XQ16" s="303"/>
      <c r="XR16" s="303"/>
      <c r="XS16" s="303"/>
      <c r="XT16" s="303"/>
      <c r="XU16" s="303"/>
      <c r="XV16" s="303"/>
      <c r="XW16" s="303"/>
      <c r="XX16" s="303"/>
      <c r="XY16" s="303"/>
      <c r="XZ16" s="303"/>
      <c r="YA16" s="303"/>
      <c r="YB16" s="303"/>
      <c r="YC16" s="303"/>
      <c r="YD16" s="303"/>
      <c r="YE16" s="303"/>
      <c r="YF16" s="303"/>
      <c r="YG16" s="303"/>
      <c r="YH16" s="303"/>
      <c r="YI16" s="303"/>
      <c r="YJ16" s="303"/>
      <c r="YK16" s="303"/>
      <c r="YL16" s="303"/>
      <c r="YM16" s="303"/>
      <c r="YN16" s="303"/>
      <c r="YO16" s="303"/>
      <c r="YP16" s="303"/>
      <c r="YQ16" s="303"/>
      <c r="YR16" s="303"/>
      <c r="YS16" s="303"/>
      <c r="YT16" s="303"/>
      <c r="YU16" s="303"/>
      <c r="YV16" s="303"/>
      <c r="YW16" s="303"/>
      <c r="YX16" s="303"/>
      <c r="YY16" s="303"/>
      <c r="YZ16" s="303"/>
      <c r="ZA16" s="303"/>
      <c r="ZB16" s="303"/>
      <c r="ZC16" s="303"/>
      <c r="ZD16" s="303"/>
      <c r="ZE16" s="303"/>
      <c r="ZF16" s="303"/>
      <c r="ZG16" s="303"/>
      <c r="ZH16" s="303"/>
      <c r="ZI16" s="303"/>
      <c r="ZJ16" s="303"/>
      <c r="ZK16" s="303"/>
      <c r="ZL16" s="303"/>
      <c r="ZM16" s="303"/>
      <c r="ZN16" s="303"/>
      <c r="ZO16" s="303"/>
      <c r="ZP16" s="303"/>
      <c r="ZQ16" s="303"/>
      <c r="ZR16" s="303"/>
      <c r="ZS16" s="303"/>
      <c r="ZT16" s="303"/>
      <c r="ZU16" s="303"/>
      <c r="ZV16" s="303"/>
      <c r="ZW16" s="303"/>
      <c r="ZX16" s="303"/>
      <c r="ZY16" s="303"/>
      <c r="ZZ16" s="303"/>
      <c r="AAA16" s="303"/>
      <c r="AAB16" s="303"/>
      <c r="AAC16" s="303"/>
      <c r="AAD16" s="303"/>
      <c r="AAE16" s="303"/>
      <c r="AAF16" s="303"/>
      <c r="AAG16" s="303"/>
      <c r="AAH16" s="303"/>
      <c r="AAI16" s="303"/>
      <c r="AAJ16" s="303"/>
      <c r="AAK16" s="303"/>
      <c r="AAL16" s="303"/>
      <c r="AAM16" s="303"/>
      <c r="AAN16" s="303"/>
      <c r="AAO16" s="303"/>
      <c r="AAP16" s="303"/>
      <c r="AAQ16" s="303"/>
      <c r="AAR16" s="303"/>
      <c r="AAS16" s="303"/>
      <c r="AAT16" s="303"/>
      <c r="AAU16" s="303"/>
      <c r="AAV16" s="303"/>
      <c r="AAW16" s="303"/>
      <c r="AAX16" s="303"/>
      <c r="AAY16" s="303"/>
      <c r="AAZ16" s="303"/>
      <c r="ABA16" s="303"/>
      <c r="ABB16" s="303"/>
      <c r="ABC16" s="303"/>
      <c r="ABD16" s="303"/>
      <c r="ABE16" s="303"/>
      <c r="ABF16" s="303"/>
      <c r="ABG16" s="303"/>
      <c r="ABH16" s="303"/>
      <c r="ABI16" s="303"/>
      <c r="ABJ16" s="303"/>
      <c r="ABK16" s="303"/>
      <c r="ABL16" s="303"/>
      <c r="ABM16" s="303"/>
      <c r="ABN16" s="303"/>
      <c r="ABO16" s="303"/>
      <c r="ABP16" s="303"/>
      <c r="ABQ16" s="303"/>
      <c r="ABR16" s="303"/>
      <c r="ABS16" s="303"/>
      <c r="ABT16" s="303"/>
      <c r="ABU16" s="303"/>
      <c r="ABV16" s="303"/>
      <c r="ABW16" s="303"/>
      <c r="ABX16" s="303"/>
      <c r="ABY16" s="303"/>
      <c r="ABZ16" s="303"/>
      <c r="ACA16" s="303"/>
      <c r="ACB16" s="303"/>
      <c r="ACC16" s="303"/>
      <c r="ACD16" s="303"/>
      <c r="ACE16" s="303"/>
      <c r="ACF16" s="303"/>
      <c r="ACG16" s="303"/>
      <c r="ACH16" s="303"/>
      <c r="ACI16" s="303"/>
      <c r="ACJ16" s="303"/>
      <c r="ACK16" s="303"/>
      <c r="ACL16" s="303"/>
      <c r="ACM16" s="303"/>
      <c r="ACN16" s="303"/>
      <c r="ACO16" s="303"/>
      <c r="ACP16" s="303"/>
      <c r="ACQ16" s="303"/>
      <c r="ACR16" s="303"/>
      <c r="ACS16" s="303"/>
      <c r="ACT16" s="303"/>
      <c r="ACU16" s="303"/>
      <c r="ACV16" s="303"/>
      <c r="ACW16" s="303"/>
      <c r="ACX16" s="303"/>
      <c r="ACY16" s="303"/>
      <c r="ACZ16" s="303"/>
      <c r="ADA16" s="303"/>
      <c r="ADB16" s="303"/>
      <c r="ADC16" s="303"/>
      <c r="ADD16" s="303"/>
      <c r="ADE16" s="303"/>
      <c r="ADF16" s="303"/>
      <c r="ADG16" s="303"/>
      <c r="ADH16" s="303"/>
      <c r="ADI16" s="303"/>
      <c r="ADJ16" s="303"/>
      <c r="ADK16" s="303"/>
      <c r="ADL16" s="303"/>
      <c r="ADM16" s="303"/>
      <c r="ADN16" s="303"/>
      <c r="ADO16" s="303"/>
      <c r="ADP16" s="303"/>
      <c r="ADQ16" s="303"/>
      <c r="ADR16" s="303"/>
      <c r="ADS16" s="303"/>
      <c r="ADT16" s="303"/>
      <c r="ADU16" s="303"/>
      <c r="ADV16" s="303"/>
      <c r="ADW16" s="303"/>
      <c r="ADX16" s="303"/>
      <c r="ADY16" s="303"/>
      <c r="ADZ16" s="303"/>
      <c r="AEA16" s="303"/>
      <c r="AEB16" s="303"/>
      <c r="AEC16" s="303"/>
      <c r="AED16" s="303"/>
      <c r="AEE16" s="303"/>
      <c r="AEF16" s="303"/>
      <c r="AEG16" s="303"/>
      <c r="AEH16" s="303"/>
      <c r="AEI16" s="303"/>
      <c r="AEJ16" s="303"/>
      <c r="AEK16" s="303"/>
      <c r="AEL16" s="303"/>
      <c r="AEM16" s="303"/>
      <c r="AEN16" s="303"/>
      <c r="AEO16" s="303"/>
      <c r="AEP16" s="303"/>
      <c r="AEQ16" s="303"/>
      <c r="AER16" s="303"/>
      <c r="AES16" s="303"/>
      <c r="AET16" s="303"/>
      <c r="AEU16" s="303"/>
      <c r="AEV16" s="303"/>
      <c r="AEW16" s="303"/>
      <c r="AEX16" s="303"/>
      <c r="AEY16" s="303"/>
      <c r="AEZ16" s="303"/>
      <c r="AFA16" s="303"/>
      <c r="AFB16" s="303"/>
      <c r="AFC16" s="303"/>
      <c r="AFD16" s="303"/>
      <c r="AFE16" s="303"/>
      <c r="AFF16" s="303"/>
      <c r="AFG16" s="303"/>
      <c r="AFH16" s="303"/>
      <c r="AFI16" s="303"/>
      <c r="AFJ16" s="303"/>
      <c r="AFK16" s="303"/>
      <c r="AFL16" s="303"/>
      <c r="AFM16" s="303"/>
      <c r="AFN16" s="303"/>
      <c r="AFO16" s="303"/>
      <c r="AFP16" s="303"/>
      <c r="AFQ16" s="303"/>
      <c r="AFR16" s="303"/>
      <c r="AFS16" s="303"/>
      <c r="AFT16" s="303"/>
      <c r="AFU16" s="303"/>
      <c r="AFV16" s="303"/>
      <c r="AFW16" s="303"/>
      <c r="AFX16" s="303"/>
      <c r="AFY16" s="303"/>
      <c r="AFZ16" s="303"/>
      <c r="AGA16" s="303"/>
      <c r="AGB16" s="303"/>
      <c r="AGC16" s="303"/>
      <c r="AGD16" s="303"/>
      <c r="AGE16" s="303"/>
      <c r="AGF16" s="303"/>
      <c r="AGG16" s="303"/>
      <c r="AGH16" s="303"/>
      <c r="AGI16" s="303"/>
      <c r="AGJ16" s="303"/>
      <c r="AGK16" s="303"/>
      <c r="AGL16" s="303"/>
      <c r="AGM16" s="303"/>
      <c r="AGN16" s="303"/>
      <c r="AGO16" s="303"/>
      <c r="AGP16" s="303"/>
      <c r="AGQ16" s="303"/>
      <c r="AGR16" s="303"/>
      <c r="AGS16" s="303"/>
      <c r="AGT16" s="303"/>
      <c r="AGU16" s="303"/>
      <c r="AGV16" s="303"/>
      <c r="AGW16" s="303"/>
      <c r="AGX16" s="303"/>
      <c r="AGY16" s="303"/>
      <c r="AGZ16" s="303"/>
      <c r="AHA16" s="303"/>
      <c r="AHB16" s="303"/>
      <c r="AHC16" s="303"/>
      <c r="AHD16" s="303"/>
      <c r="AHE16" s="303"/>
      <c r="AHF16" s="303"/>
      <c r="AHG16" s="303"/>
      <c r="AHH16" s="303"/>
      <c r="AHI16" s="303"/>
      <c r="AHJ16" s="303"/>
      <c r="AHK16" s="303"/>
      <c r="AHL16" s="303"/>
      <c r="AHM16" s="303"/>
      <c r="AHN16" s="303"/>
      <c r="AHO16" s="303"/>
      <c r="AHP16" s="303"/>
      <c r="AHQ16" s="303"/>
      <c r="AHR16" s="303"/>
      <c r="AHS16" s="303"/>
      <c r="AHT16" s="303"/>
      <c r="AHU16" s="303"/>
      <c r="AHV16" s="303"/>
      <c r="AHW16" s="303"/>
      <c r="AHX16" s="303"/>
      <c r="AHY16" s="303"/>
      <c r="AHZ16" s="303"/>
      <c r="AIA16" s="303"/>
      <c r="AIB16" s="303"/>
      <c r="AIC16" s="303"/>
      <c r="AID16" s="303"/>
      <c r="AIE16" s="303"/>
      <c r="AIF16" s="303"/>
      <c r="AIG16" s="303"/>
      <c r="AIH16" s="303"/>
      <c r="AII16" s="303"/>
      <c r="AIJ16" s="303"/>
      <c r="AIK16" s="303"/>
      <c r="AIL16" s="303"/>
      <c r="AIM16" s="303"/>
      <c r="AIN16" s="303"/>
      <c r="AIO16" s="303"/>
      <c r="AIP16" s="303"/>
      <c r="AIQ16" s="303"/>
      <c r="AIR16" s="303"/>
      <c r="AIS16" s="303"/>
      <c r="AIT16" s="303"/>
      <c r="AIU16" s="303"/>
      <c r="AIV16" s="303"/>
      <c r="AIW16" s="303"/>
      <c r="AIX16" s="303"/>
      <c r="AIY16" s="303"/>
      <c r="AIZ16" s="303"/>
      <c r="AJA16" s="303"/>
      <c r="AJB16" s="303"/>
      <c r="AJC16" s="303"/>
      <c r="AJD16" s="303"/>
      <c r="AJE16" s="303"/>
      <c r="AJF16" s="303"/>
      <c r="AJG16" s="303"/>
      <c r="AJH16" s="303"/>
      <c r="AJI16" s="303"/>
      <c r="AJJ16" s="303"/>
      <c r="AJK16" s="303"/>
      <c r="AJL16" s="303"/>
      <c r="AJM16" s="303"/>
      <c r="AJN16" s="303"/>
      <c r="AJO16" s="303"/>
      <c r="AJP16" s="303"/>
      <c r="AJQ16" s="303"/>
      <c r="AJR16" s="303"/>
      <c r="AJS16" s="303"/>
      <c r="AJT16" s="303"/>
      <c r="AJU16" s="303"/>
      <c r="AJV16" s="303"/>
      <c r="AJW16" s="303"/>
      <c r="AJX16" s="303"/>
      <c r="AJY16" s="303"/>
      <c r="AJZ16" s="303"/>
      <c r="AKA16" s="303"/>
      <c r="AKB16" s="303"/>
      <c r="AKC16" s="303"/>
      <c r="AKD16" s="303"/>
      <c r="AKE16" s="303"/>
      <c r="AKF16" s="303"/>
      <c r="AKG16" s="303"/>
      <c r="AKH16" s="303"/>
      <c r="AKI16" s="303"/>
      <c r="AKJ16" s="303"/>
      <c r="AKK16" s="303"/>
      <c r="AKL16" s="303"/>
      <c r="AKM16" s="303"/>
      <c r="AKN16" s="303"/>
      <c r="AKO16" s="303"/>
      <c r="AKP16" s="303"/>
      <c r="AKQ16" s="303"/>
      <c r="AKR16" s="303"/>
      <c r="AKS16" s="303"/>
      <c r="AKT16" s="303"/>
      <c r="AKU16" s="303"/>
      <c r="AKV16" s="303"/>
      <c r="AKW16" s="303"/>
      <c r="AKX16" s="303"/>
      <c r="AKY16" s="303"/>
      <c r="AKZ16" s="303"/>
      <c r="ALA16" s="303"/>
      <c r="ALB16" s="303"/>
      <c r="ALC16" s="303"/>
      <c r="ALD16" s="303"/>
      <c r="ALE16" s="303"/>
      <c r="ALF16" s="303"/>
      <c r="ALG16" s="303"/>
      <c r="ALH16" s="303"/>
      <c r="ALI16" s="303"/>
      <c r="ALJ16" s="303"/>
      <c r="ALK16" s="303"/>
      <c r="ALL16" s="303"/>
      <c r="ALM16" s="303"/>
      <c r="ALN16" s="303"/>
      <c r="ALO16" s="303"/>
      <c r="ALP16" s="303"/>
      <c r="ALQ16" s="303"/>
      <c r="ALR16" s="303"/>
      <c r="ALS16" s="303"/>
      <c r="ALT16" s="303"/>
      <c r="ALU16" s="303"/>
      <c r="ALV16" s="303"/>
      <c r="ALW16" s="303"/>
      <c r="ALX16" s="303"/>
      <c r="ALY16" s="303"/>
      <c r="ALZ16" s="303"/>
      <c r="AMA16" s="303"/>
      <c r="AMB16" s="303"/>
      <c r="AMC16" s="303"/>
      <c r="AMD16" s="303"/>
      <c r="AME16" s="303"/>
      <c r="AMF16" s="303"/>
      <c r="AMG16" s="303"/>
      <c r="AMH16" s="303"/>
      <c r="AMI16" s="303"/>
      <c r="AMJ16" s="303"/>
      <c r="AMK16" s="303"/>
      <c r="AML16" s="303"/>
      <c r="AMM16" s="303"/>
      <c r="AMN16" s="303"/>
      <c r="AMO16" s="303"/>
      <c r="AMP16" s="303"/>
      <c r="AMQ16" s="303"/>
      <c r="AMR16" s="303"/>
      <c r="AMS16" s="303"/>
      <c r="AMT16" s="303"/>
      <c r="AMU16" s="303"/>
      <c r="AMV16" s="303"/>
      <c r="AMW16" s="303"/>
      <c r="AMX16" s="303"/>
      <c r="AMY16" s="303"/>
      <c r="AMZ16" s="303"/>
      <c r="ANA16" s="303"/>
      <c r="ANB16" s="303"/>
      <c r="ANC16" s="303"/>
      <c r="AND16" s="303"/>
      <c r="ANE16" s="303"/>
      <c r="ANF16" s="303"/>
      <c r="ANG16" s="303"/>
      <c r="ANH16" s="303"/>
      <c r="ANI16" s="303"/>
      <c r="ANJ16" s="303"/>
      <c r="ANK16" s="303"/>
      <c r="ANL16" s="303"/>
      <c r="ANM16" s="303"/>
      <c r="ANN16" s="303"/>
      <c r="ANO16" s="303"/>
      <c r="ANP16" s="303"/>
      <c r="ANQ16" s="303"/>
      <c r="ANR16" s="303"/>
      <c r="ANS16" s="303"/>
      <c r="ANT16" s="303"/>
      <c r="ANU16" s="303"/>
      <c r="ANV16" s="303"/>
      <c r="ANW16" s="303"/>
      <c r="ANX16" s="303"/>
      <c r="ANY16" s="303"/>
      <c r="ANZ16" s="303"/>
      <c r="AOA16" s="303"/>
      <c r="AOB16" s="303"/>
      <c r="AOC16" s="303"/>
      <c r="AOD16" s="303"/>
      <c r="AOE16" s="303"/>
      <c r="AOF16" s="303"/>
      <c r="AOG16" s="303"/>
      <c r="AOH16" s="303"/>
      <c r="AOI16" s="303"/>
      <c r="AOJ16" s="303"/>
      <c r="AOK16" s="303"/>
      <c r="AOL16" s="303"/>
      <c r="AOM16" s="303"/>
      <c r="AON16" s="303"/>
      <c r="AOO16" s="303"/>
      <c r="AOP16" s="303"/>
      <c r="AOQ16" s="303"/>
      <c r="AOR16" s="303"/>
      <c r="AOS16" s="303"/>
      <c r="AOT16" s="303"/>
      <c r="AOU16" s="303"/>
      <c r="AOV16" s="303"/>
      <c r="AOW16" s="303"/>
      <c r="AOX16" s="303"/>
      <c r="AOY16" s="303"/>
      <c r="AOZ16" s="303"/>
      <c r="APA16" s="303"/>
      <c r="APB16" s="303"/>
      <c r="APC16" s="303"/>
      <c r="APD16" s="303"/>
      <c r="APE16" s="303"/>
      <c r="APF16" s="303"/>
      <c r="APG16" s="303"/>
      <c r="APH16" s="303"/>
      <c r="API16" s="303"/>
      <c r="APJ16" s="303"/>
      <c r="APK16" s="303"/>
      <c r="APL16" s="303"/>
      <c r="APM16" s="303"/>
      <c r="APN16" s="303"/>
      <c r="APO16" s="303"/>
      <c r="APP16" s="303"/>
      <c r="APQ16" s="303"/>
      <c r="APR16" s="303"/>
      <c r="APS16" s="303"/>
      <c r="APT16" s="303"/>
      <c r="APU16" s="303"/>
      <c r="APV16" s="303"/>
      <c r="APW16" s="303"/>
      <c r="APX16" s="303"/>
      <c r="APY16" s="303"/>
      <c r="APZ16" s="303"/>
      <c r="AQA16" s="303"/>
      <c r="AQB16" s="303"/>
      <c r="AQC16" s="303"/>
      <c r="AQD16" s="303"/>
      <c r="AQE16" s="303"/>
      <c r="AQF16" s="303"/>
      <c r="AQG16" s="303"/>
      <c r="AQH16" s="303"/>
      <c r="AQI16" s="303"/>
      <c r="AQJ16" s="303"/>
      <c r="AQK16" s="303"/>
      <c r="AQL16" s="303"/>
      <c r="AQM16" s="303"/>
      <c r="AQN16" s="303"/>
      <c r="AQO16" s="303"/>
      <c r="AQP16" s="303"/>
      <c r="AQQ16" s="303"/>
      <c r="AQR16" s="303"/>
      <c r="AQS16" s="303"/>
      <c r="AQT16" s="303"/>
      <c r="AQU16" s="303"/>
      <c r="AQV16" s="303"/>
      <c r="AQW16" s="303"/>
      <c r="AQX16" s="303"/>
      <c r="AQY16" s="303"/>
      <c r="AQZ16" s="303"/>
      <c r="ARA16" s="303"/>
      <c r="ARB16" s="303"/>
      <c r="ARC16" s="303"/>
      <c r="ARD16" s="303"/>
      <c r="ARE16" s="303"/>
      <c r="ARF16" s="303"/>
      <c r="ARG16" s="303"/>
      <c r="ARH16" s="303"/>
      <c r="ARI16" s="303"/>
      <c r="ARJ16" s="303"/>
      <c r="ARK16" s="303"/>
      <c r="ARL16" s="303"/>
      <c r="ARM16" s="303"/>
      <c r="ARN16" s="303"/>
      <c r="ARO16" s="303"/>
      <c r="ARP16" s="303"/>
      <c r="ARQ16" s="303"/>
      <c r="ARR16" s="303"/>
      <c r="ARS16" s="303"/>
      <c r="ART16" s="303"/>
      <c r="ARU16" s="303"/>
      <c r="ARV16" s="303"/>
      <c r="ARW16" s="303"/>
      <c r="ARX16" s="303"/>
      <c r="ARY16" s="303"/>
      <c r="ARZ16" s="303"/>
      <c r="ASA16" s="303"/>
      <c r="ASB16" s="303"/>
      <c r="ASC16" s="303"/>
      <c r="ASD16" s="303"/>
      <c r="ASE16" s="303"/>
      <c r="ASF16" s="303"/>
      <c r="ASG16" s="303"/>
      <c r="ASH16" s="303"/>
      <c r="ASI16" s="303"/>
      <c r="ASJ16" s="303"/>
      <c r="ASK16" s="303"/>
      <c r="ASL16" s="303"/>
      <c r="ASM16" s="303"/>
      <c r="ASN16" s="303"/>
      <c r="ASO16" s="303"/>
      <c r="ASP16" s="303"/>
      <c r="ASQ16" s="303"/>
      <c r="ASR16" s="303"/>
      <c r="ASS16" s="303"/>
      <c r="AST16" s="303"/>
      <c r="ASU16" s="303"/>
      <c r="ASV16" s="303"/>
      <c r="ASW16" s="303"/>
      <c r="ASX16" s="303"/>
      <c r="ASY16" s="303"/>
      <c r="ASZ16" s="303"/>
      <c r="ATA16" s="303"/>
      <c r="ATB16" s="303"/>
      <c r="ATC16" s="303"/>
      <c r="ATD16" s="303"/>
      <c r="ATE16" s="303"/>
      <c r="ATF16" s="303"/>
      <c r="ATG16" s="303"/>
      <c r="ATH16" s="303"/>
      <c r="ATI16" s="303"/>
      <c r="ATJ16" s="303"/>
      <c r="ATK16" s="303"/>
      <c r="ATL16" s="303"/>
      <c r="ATM16" s="303"/>
      <c r="ATN16" s="303"/>
      <c r="ATO16" s="303"/>
      <c r="ATP16" s="303"/>
      <c r="ATQ16" s="303"/>
      <c r="ATR16" s="303"/>
      <c r="ATS16" s="303"/>
      <c r="ATT16" s="303"/>
      <c r="ATU16" s="303"/>
      <c r="ATV16" s="303"/>
      <c r="ATW16" s="303"/>
      <c r="ATX16" s="303"/>
      <c r="ATY16" s="303"/>
      <c r="ATZ16" s="303"/>
      <c r="AUA16" s="303"/>
      <c r="AUB16" s="303"/>
      <c r="AUC16" s="303"/>
      <c r="AUD16" s="303"/>
      <c r="AUE16" s="303"/>
      <c r="AUF16" s="303"/>
      <c r="AUG16" s="303"/>
      <c r="AUH16" s="303"/>
      <c r="AUI16" s="303"/>
      <c r="AUJ16" s="303"/>
      <c r="AUK16" s="303"/>
      <c r="AUL16" s="303"/>
      <c r="AUM16" s="303"/>
      <c r="AUN16" s="303"/>
      <c r="AUO16" s="303"/>
      <c r="AUP16" s="303"/>
      <c r="AUQ16" s="303"/>
      <c r="AUR16" s="303"/>
      <c r="AUS16" s="303"/>
      <c r="AUT16" s="303"/>
      <c r="AUU16" s="303"/>
      <c r="AUV16" s="303"/>
      <c r="AUW16" s="303"/>
      <c r="AUX16" s="303"/>
      <c r="AUY16" s="303"/>
      <c r="AUZ16" s="303"/>
      <c r="AVA16" s="303"/>
      <c r="AVB16" s="303"/>
      <c r="AVC16" s="303"/>
      <c r="AVD16" s="303"/>
      <c r="AVE16" s="303"/>
      <c r="AVF16" s="303"/>
      <c r="AVG16" s="303"/>
      <c r="AVH16" s="303"/>
      <c r="AVI16" s="303"/>
      <c r="AVJ16" s="303"/>
      <c r="AVK16" s="303"/>
      <c r="AVL16" s="303"/>
      <c r="AVM16" s="303"/>
      <c r="AVN16" s="303"/>
      <c r="AVO16" s="303"/>
      <c r="AVP16" s="303"/>
      <c r="AVQ16" s="303"/>
      <c r="AVR16" s="303"/>
      <c r="AVS16" s="303"/>
      <c r="AVT16" s="303"/>
      <c r="AVU16" s="303"/>
      <c r="AVV16" s="303"/>
      <c r="AVW16" s="303"/>
      <c r="AVX16" s="303"/>
      <c r="AVY16" s="303"/>
      <c r="AVZ16" s="303"/>
      <c r="AWA16" s="303"/>
      <c r="AWB16" s="303"/>
      <c r="AWC16" s="303"/>
      <c r="AWD16" s="303"/>
      <c r="AWE16" s="303"/>
      <c r="AWF16" s="303"/>
      <c r="AWG16" s="303"/>
      <c r="AWH16" s="303"/>
      <c r="AWI16" s="303"/>
      <c r="AWJ16" s="303"/>
      <c r="AWK16" s="303"/>
      <c r="AWL16" s="303"/>
      <c r="AWM16" s="303"/>
      <c r="AWN16" s="303"/>
      <c r="AWO16" s="303"/>
      <c r="AWP16" s="303"/>
      <c r="AWQ16" s="303"/>
      <c r="AWR16" s="303"/>
      <c r="AWS16" s="303"/>
      <c r="AWT16" s="303"/>
      <c r="AWU16" s="303"/>
      <c r="AWV16" s="303"/>
      <c r="AWW16" s="303"/>
      <c r="AWX16" s="303"/>
      <c r="AWY16" s="303"/>
      <c r="AWZ16" s="303"/>
      <c r="AXA16" s="303"/>
      <c r="AXB16" s="303"/>
      <c r="AXC16" s="303"/>
      <c r="AXD16" s="303"/>
      <c r="AXE16" s="303"/>
      <c r="AXF16" s="303"/>
      <c r="AXG16" s="303"/>
      <c r="AXH16" s="303"/>
      <c r="AXI16" s="303"/>
      <c r="AXJ16" s="303"/>
      <c r="AXK16" s="303"/>
      <c r="AXL16" s="303"/>
      <c r="AXM16" s="303"/>
      <c r="AXN16" s="303"/>
      <c r="AXO16" s="303"/>
      <c r="AXP16" s="303"/>
      <c r="AXQ16" s="303"/>
      <c r="AXR16" s="303"/>
      <c r="AXS16" s="303"/>
      <c r="AXT16" s="303"/>
      <c r="AXU16" s="303"/>
      <c r="AXV16" s="303"/>
      <c r="AXW16" s="303"/>
      <c r="AXX16" s="303"/>
      <c r="AXY16" s="303"/>
      <c r="AXZ16" s="303"/>
      <c r="AYA16" s="303"/>
      <c r="AYB16" s="303"/>
      <c r="AYC16" s="303"/>
      <c r="AYD16" s="303"/>
      <c r="AYE16" s="303"/>
      <c r="AYF16" s="303"/>
      <c r="AYG16" s="303"/>
      <c r="AYH16" s="303"/>
    </row>
    <row r="17" spans="1:1334" ht="24.75" x14ac:dyDescent="0.25">
      <c r="A17" s="304" t="s">
        <v>1098</v>
      </c>
      <c r="B17" s="298" t="s">
        <v>1071</v>
      </c>
      <c r="C17" s="303"/>
      <c r="D17" s="303"/>
      <c r="E17" s="303"/>
      <c r="F17" s="303"/>
      <c r="G17" s="303"/>
      <c r="H17" s="303"/>
      <c r="I17" s="303"/>
      <c r="J17" s="303"/>
      <c r="K17" s="303"/>
      <c r="L17" s="303"/>
      <c r="M17" s="303"/>
      <c r="N17" s="303"/>
      <c r="O17" s="303"/>
      <c r="P17" s="303"/>
      <c r="Q17" s="303"/>
      <c r="R17" s="303"/>
      <c r="S17" s="303"/>
      <c r="T17" s="303"/>
      <c r="U17" s="303"/>
      <c r="V17" s="303"/>
      <c r="W17" s="303"/>
      <c r="X17" s="303"/>
      <c r="Y17" s="303"/>
      <c r="Z17" s="303"/>
      <c r="AA17" s="303"/>
      <c r="AB17" s="303"/>
      <c r="AC17" s="303"/>
      <c r="AD17" s="303"/>
      <c r="AE17" s="303"/>
      <c r="AF17" s="303"/>
      <c r="AG17" s="303"/>
      <c r="AH17" s="303"/>
      <c r="AI17" s="303"/>
      <c r="AJ17" s="303"/>
      <c r="AK17" s="303"/>
      <c r="AL17" s="303"/>
      <c r="AM17" s="303"/>
      <c r="AN17" s="303"/>
      <c r="AO17" s="303"/>
      <c r="AP17" s="303"/>
      <c r="AQ17" s="303"/>
      <c r="AR17" s="303"/>
      <c r="AS17" s="303"/>
      <c r="AT17" s="303"/>
      <c r="AU17" s="303"/>
      <c r="AV17" s="303"/>
      <c r="AW17" s="303"/>
      <c r="AX17" s="303"/>
      <c r="AY17" s="303"/>
      <c r="AZ17" s="303"/>
      <c r="BA17" s="303"/>
      <c r="BB17" s="303"/>
      <c r="BC17" s="303"/>
      <c r="BD17" s="303"/>
      <c r="BE17" s="303"/>
      <c r="BF17" s="303"/>
      <c r="BG17" s="303"/>
      <c r="BH17" s="303"/>
      <c r="BI17" s="303"/>
      <c r="BJ17" s="303"/>
      <c r="BK17" s="303"/>
      <c r="BL17" s="303"/>
      <c r="BM17" s="303"/>
      <c r="BN17" s="303"/>
      <c r="BO17" s="303"/>
      <c r="BP17" s="303"/>
      <c r="BQ17" s="303"/>
      <c r="BR17" s="303"/>
      <c r="BS17" s="303"/>
      <c r="BT17" s="303"/>
      <c r="BU17" s="303"/>
      <c r="BV17" s="303"/>
      <c r="BW17" s="303"/>
      <c r="BX17" s="303"/>
      <c r="BY17" s="303"/>
      <c r="BZ17" s="303"/>
      <c r="CA17" s="303"/>
      <c r="CB17" s="303"/>
      <c r="CC17" s="303"/>
      <c r="CD17" s="303"/>
      <c r="CE17" s="303"/>
      <c r="CF17" s="303"/>
      <c r="CG17" s="303"/>
      <c r="CH17" s="303"/>
      <c r="CI17" s="303"/>
      <c r="CJ17" s="303"/>
      <c r="CK17" s="303"/>
      <c r="CL17" s="303"/>
      <c r="CM17" s="303"/>
      <c r="CN17" s="303"/>
      <c r="CO17" s="303"/>
      <c r="CP17" s="303"/>
      <c r="CQ17" s="303"/>
      <c r="CR17" s="303"/>
      <c r="CS17" s="303"/>
      <c r="CT17" s="303"/>
      <c r="CU17" s="303"/>
      <c r="CV17" s="303"/>
      <c r="CW17" s="303"/>
      <c r="CX17" s="303"/>
      <c r="CY17" s="303"/>
      <c r="CZ17" s="303"/>
      <c r="DA17" s="303"/>
      <c r="DB17" s="303"/>
      <c r="DC17" s="303"/>
      <c r="DD17" s="303"/>
      <c r="DE17" s="303"/>
      <c r="DF17" s="303"/>
      <c r="DG17" s="303"/>
      <c r="DH17" s="303"/>
      <c r="DI17" s="303"/>
      <c r="DJ17" s="303"/>
      <c r="DK17" s="303"/>
      <c r="DL17" s="303"/>
      <c r="DM17" s="303"/>
      <c r="DN17" s="303"/>
      <c r="DO17" s="303"/>
      <c r="DP17" s="303"/>
      <c r="DQ17" s="303"/>
      <c r="DR17" s="303"/>
      <c r="DS17" s="303"/>
      <c r="DT17" s="303"/>
      <c r="DU17" s="303"/>
      <c r="DV17" s="303"/>
      <c r="DW17" s="303"/>
      <c r="DX17" s="303"/>
      <c r="DY17" s="303"/>
      <c r="DZ17" s="303"/>
      <c r="EA17" s="303"/>
      <c r="EB17" s="303"/>
      <c r="EC17" s="303"/>
      <c r="ED17" s="303"/>
      <c r="EE17" s="303"/>
      <c r="EF17" s="303"/>
      <c r="EG17" s="303"/>
      <c r="EH17" s="303"/>
      <c r="EI17" s="303"/>
      <c r="EJ17" s="303"/>
      <c r="EK17" s="303"/>
      <c r="EL17" s="303"/>
      <c r="EM17" s="303"/>
      <c r="EN17" s="303"/>
      <c r="EO17" s="303"/>
      <c r="EP17" s="303"/>
      <c r="EQ17" s="303"/>
      <c r="ER17" s="303"/>
      <c r="ES17" s="303"/>
      <c r="ET17" s="303"/>
      <c r="EU17" s="303"/>
      <c r="EV17" s="303"/>
      <c r="EW17" s="303"/>
      <c r="EX17" s="303"/>
      <c r="EY17" s="303"/>
      <c r="EZ17" s="303"/>
      <c r="FA17" s="303"/>
      <c r="FB17" s="303"/>
      <c r="FC17" s="303"/>
      <c r="FD17" s="303"/>
      <c r="FE17" s="303"/>
      <c r="FF17" s="303"/>
      <c r="FG17" s="303"/>
      <c r="FH17" s="303"/>
      <c r="FI17" s="303"/>
      <c r="FJ17" s="303"/>
      <c r="FK17" s="303"/>
      <c r="FL17" s="303"/>
      <c r="FM17" s="303"/>
      <c r="FN17" s="303"/>
      <c r="FO17" s="303"/>
      <c r="FP17" s="303"/>
      <c r="FQ17" s="303"/>
      <c r="FR17" s="303"/>
      <c r="FS17" s="303"/>
      <c r="FT17" s="303"/>
      <c r="FU17" s="303"/>
      <c r="FV17" s="303"/>
      <c r="FW17" s="303"/>
      <c r="FX17" s="303"/>
      <c r="FY17" s="303"/>
      <c r="FZ17" s="303"/>
      <c r="GA17" s="303"/>
      <c r="GB17" s="303"/>
      <c r="GC17" s="303"/>
      <c r="GD17" s="303"/>
      <c r="GE17" s="303"/>
      <c r="GF17" s="303"/>
      <c r="GG17" s="303"/>
      <c r="GH17" s="303"/>
      <c r="GI17" s="303"/>
      <c r="GJ17" s="303"/>
      <c r="GK17" s="303"/>
      <c r="GL17" s="303"/>
      <c r="GM17" s="303"/>
      <c r="GN17" s="303"/>
      <c r="GO17" s="303"/>
      <c r="GP17" s="303"/>
      <c r="GQ17" s="303"/>
      <c r="GR17" s="303"/>
      <c r="GS17" s="303"/>
      <c r="GT17" s="303"/>
      <c r="GU17" s="303"/>
      <c r="GV17" s="303"/>
      <c r="GW17" s="303"/>
      <c r="GX17" s="303"/>
      <c r="GY17" s="303"/>
      <c r="GZ17" s="303"/>
      <c r="HA17" s="303"/>
      <c r="HB17" s="303"/>
      <c r="HC17" s="303"/>
      <c r="HD17" s="303"/>
      <c r="HE17" s="303"/>
      <c r="HF17" s="303"/>
      <c r="HG17" s="303"/>
      <c r="HH17" s="303"/>
      <c r="HI17" s="303"/>
      <c r="HJ17" s="303"/>
      <c r="HK17" s="303"/>
      <c r="HL17" s="303"/>
      <c r="HM17" s="303"/>
      <c r="HN17" s="303"/>
      <c r="HO17" s="303"/>
      <c r="HP17" s="303"/>
      <c r="HQ17" s="303"/>
      <c r="HR17" s="303"/>
      <c r="HS17" s="303"/>
      <c r="HT17" s="303"/>
      <c r="HU17" s="303"/>
      <c r="HV17" s="303"/>
      <c r="HW17" s="303"/>
      <c r="HX17" s="303"/>
      <c r="HY17" s="303"/>
      <c r="HZ17" s="303"/>
      <c r="IA17" s="303"/>
      <c r="IB17" s="303"/>
      <c r="IC17" s="303"/>
      <c r="ID17" s="303"/>
      <c r="IE17" s="303"/>
      <c r="IF17" s="303"/>
      <c r="IG17" s="303"/>
      <c r="IH17" s="303"/>
      <c r="II17" s="303"/>
      <c r="IJ17" s="303"/>
      <c r="IK17" s="303"/>
      <c r="IL17" s="303"/>
      <c r="IM17" s="303"/>
      <c r="IN17" s="303"/>
      <c r="IO17" s="303"/>
      <c r="IP17" s="303"/>
      <c r="IQ17" s="303"/>
      <c r="IR17" s="303"/>
      <c r="IS17" s="303"/>
      <c r="IT17" s="303"/>
      <c r="IU17" s="303"/>
      <c r="IV17" s="303"/>
      <c r="IW17" s="303"/>
      <c r="IX17" s="303"/>
      <c r="IY17" s="303"/>
      <c r="IZ17" s="303"/>
      <c r="JA17" s="303"/>
      <c r="JB17" s="303"/>
      <c r="JC17" s="303"/>
      <c r="JD17" s="303"/>
      <c r="JE17" s="303"/>
      <c r="JF17" s="303"/>
      <c r="JG17" s="303"/>
      <c r="JH17" s="303"/>
      <c r="JI17" s="303"/>
      <c r="JJ17" s="303"/>
      <c r="JK17" s="303"/>
      <c r="JL17" s="303"/>
      <c r="JM17" s="303"/>
      <c r="JN17" s="303"/>
      <c r="JO17" s="303"/>
      <c r="JP17" s="303"/>
      <c r="JQ17" s="303"/>
      <c r="JR17" s="303"/>
      <c r="JS17" s="303"/>
      <c r="JT17" s="303"/>
      <c r="JU17" s="303"/>
      <c r="JV17" s="303"/>
      <c r="JW17" s="303"/>
      <c r="JX17" s="303"/>
      <c r="JY17" s="303"/>
      <c r="JZ17" s="303"/>
      <c r="KA17" s="303"/>
      <c r="KB17" s="303"/>
      <c r="KC17" s="303"/>
      <c r="KD17" s="303"/>
      <c r="KE17" s="303"/>
      <c r="KF17" s="303"/>
      <c r="KG17" s="303"/>
      <c r="KH17" s="303"/>
      <c r="KI17" s="303"/>
      <c r="KJ17" s="303"/>
      <c r="KK17" s="303"/>
      <c r="KL17" s="303"/>
      <c r="KM17" s="303"/>
      <c r="KN17" s="303"/>
      <c r="KO17" s="303"/>
      <c r="KP17" s="303"/>
      <c r="KQ17" s="303"/>
      <c r="KR17" s="303"/>
      <c r="KS17" s="303"/>
      <c r="KT17" s="303"/>
      <c r="KU17" s="303"/>
      <c r="KV17" s="303"/>
      <c r="KW17" s="303"/>
      <c r="KX17" s="303"/>
      <c r="KY17" s="303"/>
      <c r="KZ17" s="303"/>
      <c r="LA17" s="303"/>
      <c r="LB17" s="303"/>
      <c r="LC17" s="303"/>
      <c r="LD17" s="303"/>
      <c r="LE17" s="303"/>
      <c r="LF17" s="303"/>
      <c r="LG17" s="303"/>
      <c r="LH17" s="303"/>
      <c r="LI17" s="303"/>
      <c r="LJ17" s="303"/>
      <c r="LK17" s="303"/>
      <c r="LL17" s="303"/>
      <c r="LM17" s="303"/>
      <c r="LN17" s="303"/>
      <c r="LO17" s="303"/>
      <c r="LP17" s="303"/>
      <c r="LQ17" s="303"/>
      <c r="LR17" s="303"/>
      <c r="LS17" s="303"/>
      <c r="LT17" s="303"/>
      <c r="LU17" s="303"/>
      <c r="LV17" s="303"/>
      <c r="LW17" s="303"/>
      <c r="LX17" s="303"/>
      <c r="LY17" s="303"/>
      <c r="LZ17" s="303"/>
      <c r="MA17" s="303"/>
      <c r="MB17" s="303"/>
      <c r="MC17" s="303"/>
      <c r="MD17" s="303"/>
      <c r="ME17" s="303"/>
      <c r="MF17" s="303"/>
      <c r="MG17" s="303"/>
      <c r="MH17" s="303"/>
      <c r="MI17" s="303"/>
      <c r="MJ17" s="303"/>
      <c r="MK17" s="303"/>
      <c r="ML17" s="303"/>
      <c r="MM17" s="303"/>
      <c r="MN17" s="303"/>
      <c r="MO17" s="303"/>
      <c r="MP17" s="303"/>
      <c r="MQ17" s="303"/>
      <c r="MR17" s="303"/>
      <c r="MS17" s="303"/>
      <c r="MT17" s="303"/>
      <c r="MU17" s="303"/>
      <c r="MV17" s="303"/>
      <c r="MW17" s="303"/>
      <c r="MX17" s="303"/>
      <c r="MY17" s="303"/>
      <c r="MZ17" s="303"/>
      <c r="NA17" s="303"/>
      <c r="NB17" s="303"/>
      <c r="NC17" s="303"/>
      <c r="ND17" s="303"/>
      <c r="NE17" s="303"/>
      <c r="NF17" s="303"/>
      <c r="NG17" s="303"/>
      <c r="NH17" s="303"/>
      <c r="NI17" s="303"/>
      <c r="NJ17" s="303"/>
      <c r="NK17" s="303"/>
      <c r="NL17" s="303"/>
      <c r="NM17" s="303"/>
      <c r="NN17" s="303"/>
      <c r="NO17" s="303"/>
      <c r="NP17" s="303"/>
      <c r="NQ17" s="303"/>
      <c r="NR17" s="303"/>
      <c r="NS17" s="303"/>
      <c r="NT17" s="303"/>
      <c r="NU17" s="303"/>
      <c r="NV17" s="303"/>
      <c r="NW17" s="303"/>
      <c r="NX17" s="303"/>
      <c r="NY17" s="303"/>
      <c r="NZ17" s="303"/>
      <c r="OA17" s="303"/>
      <c r="OB17" s="303"/>
      <c r="OC17" s="303"/>
      <c r="OD17" s="303"/>
      <c r="OE17" s="303"/>
      <c r="OF17" s="303"/>
      <c r="OG17" s="303"/>
      <c r="OH17" s="303"/>
      <c r="OI17" s="303"/>
      <c r="OJ17" s="303"/>
      <c r="OK17" s="303"/>
      <c r="OL17" s="303"/>
      <c r="OM17" s="303"/>
      <c r="ON17" s="303"/>
      <c r="OO17" s="303"/>
      <c r="OP17" s="303"/>
      <c r="OQ17" s="303"/>
      <c r="OR17" s="303"/>
      <c r="OS17" s="303"/>
      <c r="OT17" s="303"/>
      <c r="OU17" s="303"/>
      <c r="OV17" s="303"/>
      <c r="OW17" s="303"/>
      <c r="OX17" s="303"/>
      <c r="OY17" s="303"/>
      <c r="OZ17" s="303"/>
      <c r="PA17" s="303"/>
      <c r="PB17" s="303"/>
      <c r="PC17" s="303"/>
      <c r="PD17" s="303"/>
      <c r="PE17" s="303"/>
      <c r="PF17" s="303"/>
      <c r="PG17" s="303"/>
      <c r="PH17" s="303"/>
      <c r="PI17" s="303"/>
      <c r="PJ17" s="303"/>
      <c r="PK17" s="303"/>
      <c r="PL17" s="303"/>
      <c r="PM17" s="303"/>
      <c r="PN17" s="303"/>
      <c r="PO17" s="303"/>
      <c r="PP17" s="303"/>
      <c r="PQ17" s="303"/>
      <c r="PR17" s="303"/>
      <c r="PS17" s="303"/>
      <c r="PT17" s="303"/>
      <c r="PU17" s="303"/>
      <c r="PV17" s="303"/>
      <c r="PW17" s="303"/>
      <c r="PX17" s="303"/>
      <c r="PY17" s="303"/>
      <c r="PZ17" s="303"/>
      <c r="QA17" s="303"/>
      <c r="QB17" s="303"/>
      <c r="QC17" s="303"/>
      <c r="QD17" s="303"/>
      <c r="QE17" s="303"/>
      <c r="QF17" s="303"/>
      <c r="QG17" s="303"/>
      <c r="QH17" s="303"/>
      <c r="QI17" s="303"/>
      <c r="QJ17" s="303"/>
      <c r="QK17" s="303"/>
      <c r="QL17" s="303"/>
      <c r="QM17" s="303"/>
      <c r="QN17" s="303"/>
      <c r="QO17" s="303"/>
      <c r="QP17" s="303"/>
      <c r="QQ17" s="303"/>
      <c r="QR17" s="303"/>
      <c r="QS17" s="303"/>
      <c r="QT17" s="303"/>
      <c r="QU17" s="303"/>
      <c r="QV17" s="303"/>
      <c r="QW17" s="303"/>
      <c r="QX17" s="303"/>
      <c r="QY17" s="303"/>
      <c r="QZ17" s="303"/>
      <c r="RA17" s="303"/>
      <c r="RB17" s="303"/>
      <c r="RC17" s="303"/>
      <c r="RD17" s="303"/>
      <c r="RE17" s="303"/>
      <c r="RF17" s="303"/>
      <c r="RG17" s="303"/>
      <c r="RH17" s="303"/>
      <c r="RI17" s="303"/>
      <c r="RJ17" s="303"/>
      <c r="RK17" s="303"/>
      <c r="RL17" s="303"/>
      <c r="RM17" s="303"/>
      <c r="RN17" s="303"/>
      <c r="RO17" s="303"/>
      <c r="RP17" s="303"/>
      <c r="RQ17" s="303"/>
      <c r="RR17" s="303"/>
      <c r="RS17" s="303"/>
      <c r="RT17" s="303"/>
      <c r="RU17" s="303"/>
      <c r="RV17" s="303"/>
      <c r="RW17" s="303"/>
      <c r="RX17" s="303"/>
      <c r="RY17" s="303"/>
      <c r="RZ17" s="303"/>
      <c r="SA17" s="303"/>
      <c r="SB17" s="303"/>
      <c r="SC17" s="303"/>
      <c r="SD17" s="303"/>
      <c r="SE17" s="303"/>
      <c r="SF17" s="303"/>
      <c r="SG17" s="303"/>
      <c r="SH17" s="303"/>
      <c r="SI17" s="303"/>
      <c r="SJ17" s="303"/>
      <c r="SK17" s="303"/>
      <c r="SL17" s="303"/>
      <c r="SM17" s="303"/>
      <c r="SN17" s="303"/>
      <c r="SO17" s="303"/>
      <c r="SP17" s="303"/>
      <c r="SQ17" s="303"/>
      <c r="SR17" s="303"/>
      <c r="SS17" s="303"/>
      <c r="ST17" s="303"/>
      <c r="SU17" s="303"/>
      <c r="SV17" s="303"/>
      <c r="SW17" s="303"/>
      <c r="SX17" s="303"/>
      <c r="SY17" s="303"/>
      <c r="SZ17" s="303"/>
      <c r="TA17" s="303"/>
      <c r="TB17" s="303"/>
      <c r="TC17" s="303"/>
      <c r="TD17" s="303"/>
      <c r="TE17" s="303"/>
      <c r="TF17" s="303"/>
      <c r="TG17" s="303"/>
      <c r="TH17" s="303"/>
      <c r="TI17" s="303"/>
      <c r="TJ17" s="303"/>
      <c r="TK17" s="303"/>
      <c r="TL17" s="303"/>
      <c r="TM17" s="303"/>
      <c r="TN17" s="303"/>
      <c r="TO17" s="303"/>
      <c r="TP17" s="303"/>
      <c r="TQ17" s="303"/>
      <c r="TR17" s="303"/>
      <c r="TS17" s="303"/>
      <c r="TT17" s="303"/>
      <c r="TU17" s="303"/>
      <c r="TV17" s="303"/>
      <c r="TW17" s="303"/>
      <c r="TX17" s="303"/>
      <c r="TY17" s="303"/>
      <c r="TZ17" s="303"/>
      <c r="UA17" s="303"/>
      <c r="UB17" s="303"/>
      <c r="UC17" s="303"/>
      <c r="UD17" s="303"/>
      <c r="UE17" s="303"/>
      <c r="UF17" s="303"/>
      <c r="UG17" s="303"/>
      <c r="UH17" s="303"/>
      <c r="UI17" s="303"/>
      <c r="UJ17" s="303"/>
      <c r="UK17" s="303"/>
      <c r="UL17" s="303"/>
      <c r="UM17" s="303"/>
      <c r="UN17" s="303"/>
      <c r="UO17" s="303"/>
      <c r="UP17" s="303"/>
      <c r="UQ17" s="303"/>
      <c r="UR17" s="303"/>
      <c r="US17" s="303"/>
      <c r="UT17" s="303"/>
      <c r="UU17" s="303"/>
      <c r="UV17" s="303"/>
      <c r="UW17" s="303"/>
      <c r="UX17" s="303"/>
      <c r="UY17" s="303"/>
      <c r="UZ17" s="303"/>
      <c r="VA17" s="303"/>
      <c r="VB17" s="303"/>
      <c r="VC17" s="303"/>
      <c r="VD17" s="303"/>
      <c r="VE17" s="303"/>
      <c r="VF17" s="303"/>
      <c r="VG17" s="303"/>
      <c r="VH17" s="303"/>
      <c r="VI17" s="303"/>
      <c r="VJ17" s="303"/>
      <c r="VK17" s="303"/>
      <c r="VL17" s="303"/>
      <c r="VM17" s="303"/>
      <c r="VN17" s="303"/>
      <c r="VO17" s="303"/>
      <c r="VP17" s="303"/>
      <c r="VQ17" s="303"/>
      <c r="VR17" s="303"/>
      <c r="VS17" s="303"/>
      <c r="VT17" s="303"/>
      <c r="VU17" s="303"/>
      <c r="VV17" s="303"/>
      <c r="VW17" s="303"/>
      <c r="VX17" s="303"/>
      <c r="VY17" s="303"/>
      <c r="VZ17" s="303"/>
      <c r="WA17" s="303"/>
      <c r="WB17" s="303"/>
      <c r="WC17" s="303"/>
      <c r="WD17" s="303"/>
      <c r="WE17" s="303"/>
      <c r="WF17" s="303"/>
      <c r="WG17" s="303"/>
      <c r="WH17" s="303"/>
      <c r="WI17" s="303"/>
      <c r="WJ17" s="303"/>
      <c r="WK17" s="303"/>
      <c r="WL17" s="303"/>
      <c r="WM17" s="303"/>
      <c r="WN17" s="303"/>
      <c r="WO17" s="303"/>
      <c r="WP17" s="303"/>
      <c r="WQ17" s="303"/>
      <c r="WR17" s="303"/>
      <c r="WS17" s="303"/>
      <c r="WT17" s="303"/>
      <c r="WU17" s="303"/>
      <c r="WV17" s="303"/>
      <c r="WW17" s="303"/>
      <c r="WX17" s="303"/>
      <c r="WY17" s="303"/>
      <c r="WZ17" s="303"/>
      <c r="XA17" s="303"/>
      <c r="XB17" s="303"/>
      <c r="XC17" s="303"/>
      <c r="XD17" s="303"/>
      <c r="XE17" s="303"/>
      <c r="XF17" s="303"/>
      <c r="XG17" s="303"/>
      <c r="XH17" s="303"/>
      <c r="XI17" s="303"/>
      <c r="XJ17" s="303"/>
      <c r="XK17" s="303"/>
      <c r="XL17" s="303"/>
      <c r="XM17" s="303"/>
      <c r="XN17" s="303"/>
      <c r="XO17" s="303"/>
      <c r="XP17" s="303"/>
      <c r="XQ17" s="303"/>
      <c r="XR17" s="303"/>
      <c r="XS17" s="303"/>
      <c r="XT17" s="303"/>
      <c r="XU17" s="303"/>
      <c r="XV17" s="303"/>
      <c r="XW17" s="303"/>
      <c r="XX17" s="303"/>
      <c r="XY17" s="303"/>
      <c r="XZ17" s="303"/>
      <c r="YA17" s="303"/>
      <c r="YB17" s="303"/>
      <c r="YC17" s="303"/>
      <c r="YD17" s="303"/>
      <c r="YE17" s="303"/>
      <c r="YF17" s="303"/>
      <c r="YG17" s="303"/>
      <c r="YH17" s="303"/>
      <c r="YI17" s="303"/>
      <c r="YJ17" s="303"/>
      <c r="YK17" s="303"/>
      <c r="YL17" s="303"/>
      <c r="YM17" s="303"/>
      <c r="YN17" s="303"/>
      <c r="YO17" s="303"/>
      <c r="YP17" s="303"/>
      <c r="YQ17" s="303"/>
      <c r="YR17" s="303"/>
      <c r="YS17" s="303"/>
      <c r="YT17" s="303"/>
      <c r="YU17" s="303"/>
      <c r="YV17" s="303"/>
      <c r="YW17" s="303"/>
      <c r="YX17" s="303"/>
      <c r="YY17" s="303"/>
      <c r="YZ17" s="303"/>
      <c r="ZA17" s="303"/>
      <c r="ZB17" s="303"/>
      <c r="ZC17" s="303"/>
      <c r="ZD17" s="303"/>
      <c r="ZE17" s="303"/>
      <c r="ZF17" s="303"/>
      <c r="ZG17" s="303"/>
      <c r="ZH17" s="303"/>
      <c r="ZI17" s="303"/>
      <c r="ZJ17" s="303"/>
      <c r="ZK17" s="303"/>
      <c r="ZL17" s="303"/>
      <c r="ZM17" s="303"/>
      <c r="ZN17" s="303"/>
      <c r="ZO17" s="303"/>
      <c r="ZP17" s="303"/>
      <c r="ZQ17" s="303"/>
      <c r="ZR17" s="303"/>
      <c r="ZS17" s="303"/>
      <c r="ZT17" s="303"/>
      <c r="ZU17" s="303"/>
      <c r="ZV17" s="303"/>
      <c r="ZW17" s="303"/>
      <c r="ZX17" s="303"/>
      <c r="ZY17" s="303"/>
      <c r="ZZ17" s="303"/>
      <c r="AAA17" s="303"/>
      <c r="AAB17" s="303"/>
      <c r="AAC17" s="303"/>
      <c r="AAD17" s="303"/>
      <c r="AAE17" s="303"/>
      <c r="AAF17" s="303"/>
      <c r="AAG17" s="303"/>
      <c r="AAH17" s="303"/>
      <c r="AAI17" s="303"/>
      <c r="AAJ17" s="303"/>
      <c r="AAK17" s="303"/>
      <c r="AAL17" s="303"/>
      <c r="AAM17" s="303"/>
      <c r="AAN17" s="303"/>
      <c r="AAO17" s="303"/>
      <c r="AAP17" s="303"/>
      <c r="AAQ17" s="303"/>
      <c r="AAR17" s="303"/>
      <c r="AAS17" s="303"/>
      <c r="AAT17" s="303"/>
      <c r="AAU17" s="303"/>
      <c r="AAV17" s="303"/>
      <c r="AAW17" s="303"/>
      <c r="AAX17" s="303"/>
      <c r="AAY17" s="303"/>
      <c r="AAZ17" s="303"/>
      <c r="ABA17" s="303"/>
      <c r="ABB17" s="303"/>
      <c r="ABC17" s="303"/>
      <c r="ABD17" s="303"/>
      <c r="ABE17" s="303"/>
      <c r="ABF17" s="303"/>
      <c r="ABG17" s="303"/>
      <c r="ABH17" s="303"/>
      <c r="ABI17" s="303"/>
      <c r="ABJ17" s="303"/>
      <c r="ABK17" s="303"/>
      <c r="ABL17" s="303"/>
      <c r="ABM17" s="303"/>
      <c r="ABN17" s="303"/>
      <c r="ABO17" s="303"/>
      <c r="ABP17" s="303"/>
      <c r="ABQ17" s="303"/>
      <c r="ABR17" s="303"/>
      <c r="ABS17" s="303"/>
      <c r="ABT17" s="303"/>
      <c r="ABU17" s="303"/>
      <c r="ABV17" s="303"/>
      <c r="ABW17" s="303"/>
      <c r="ABX17" s="303"/>
      <c r="ABY17" s="303"/>
      <c r="ABZ17" s="303"/>
      <c r="ACA17" s="303"/>
      <c r="ACB17" s="303"/>
      <c r="ACC17" s="303"/>
      <c r="ACD17" s="303"/>
      <c r="ACE17" s="303"/>
      <c r="ACF17" s="303"/>
      <c r="ACG17" s="303"/>
      <c r="ACH17" s="303"/>
      <c r="ACI17" s="303"/>
      <c r="ACJ17" s="303"/>
      <c r="ACK17" s="303"/>
      <c r="ACL17" s="303"/>
      <c r="ACM17" s="303"/>
      <c r="ACN17" s="303"/>
      <c r="ACO17" s="303"/>
      <c r="ACP17" s="303"/>
      <c r="ACQ17" s="303"/>
      <c r="ACR17" s="303"/>
      <c r="ACS17" s="303"/>
      <c r="ACT17" s="303"/>
      <c r="ACU17" s="303"/>
      <c r="ACV17" s="303"/>
      <c r="ACW17" s="303"/>
      <c r="ACX17" s="303"/>
      <c r="ACY17" s="303"/>
      <c r="ACZ17" s="303"/>
      <c r="ADA17" s="303"/>
      <c r="ADB17" s="303"/>
      <c r="ADC17" s="303"/>
      <c r="ADD17" s="303"/>
      <c r="ADE17" s="303"/>
      <c r="ADF17" s="303"/>
      <c r="ADG17" s="303"/>
      <c r="ADH17" s="303"/>
      <c r="ADI17" s="303"/>
      <c r="ADJ17" s="303"/>
      <c r="ADK17" s="303"/>
      <c r="ADL17" s="303"/>
      <c r="ADM17" s="303"/>
      <c r="ADN17" s="303"/>
      <c r="ADO17" s="303"/>
      <c r="ADP17" s="303"/>
      <c r="ADQ17" s="303"/>
      <c r="ADR17" s="303"/>
      <c r="ADS17" s="303"/>
      <c r="ADT17" s="303"/>
      <c r="ADU17" s="303"/>
      <c r="ADV17" s="303"/>
      <c r="ADW17" s="303"/>
      <c r="ADX17" s="303"/>
      <c r="ADY17" s="303"/>
      <c r="ADZ17" s="303"/>
      <c r="AEA17" s="303"/>
      <c r="AEB17" s="303"/>
      <c r="AEC17" s="303"/>
      <c r="AED17" s="303"/>
      <c r="AEE17" s="303"/>
      <c r="AEF17" s="303"/>
      <c r="AEG17" s="303"/>
      <c r="AEH17" s="303"/>
      <c r="AEI17" s="303"/>
      <c r="AEJ17" s="303"/>
      <c r="AEK17" s="303"/>
      <c r="AEL17" s="303"/>
      <c r="AEM17" s="303"/>
      <c r="AEN17" s="303"/>
      <c r="AEO17" s="303"/>
      <c r="AEP17" s="303"/>
      <c r="AEQ17" s="303"/>
      <c r="AER17" s="303"/>
      <c r="AES17" s="303"/>
      <c r="AET17" s="303"/>
      <c r="AEU17" s="303"/>
      <c r="AEV17" s="303"/>
      <c r="AEW17" s="303"/>
      <c r="AEX17" s="303"/>
      <c r="AEY17" s="303"/>
      <c r="AEZ17" s="303"/>
      <c r="AFA17" s="303"/>
      <c r="AFB17" s="303"/>
      <c r="AFC17" s="303"/>
      <c r="AFD17" s="303"/>
      <c r="AFE17" s="303"/>
      <c r="AFF17" s="303"/>
      <c r="AFG17" s="303"/>
      <c r="AFH17" s="303"/>
      <c r="AFI17" s="303"/>
      <c r="AFJ17" s="303"/>
      <c r="AFK17" s="303"/>
      <c r="AFL17" s="303"/>
      <c r="AFM17" s="303"/>
      <c r="AFN17" s="303"/>
      <c r="AFO17" s="303"/>
      <c r="AFP17" s="303"/>
      <c r="AFQ17" s="303"/>
      <c r="AFR17" s="303"/>
      <c r="AFS17" s="303"/>
      <c r="AFT17" s="303"/>
      <c r="AFU17" s="303"/>
      <c r="AFV17" s="303"/>
      <c r="AFW17" s="303"/>
      <c r="AFX17" s="303"/>
      <c r="AFY17" s="303"/>
      <c r="AFZ17" s="303"/>
      <c r="AGA17" s="303"/>
      <c r="AGB17" s="303"/>
      <c r="AGC17" s="303"/>
      <c r="AGD17" s="303"/>
      <c r="AGE17" s="303"/>
      <c r="AGF17" s="303"/>
      <c r="AGG17" s="303"/>
      <c r="AGH17" s="303"/>
      <c r="AGI17" s="303"/>
      <c r="AGJ17" s="303"/>
      <c r="AGK17" s="303"/>
      <c r="AGL17" s="303"/>
      <c r="AGM17" s="303"/>
      <c r="AGN17" s="303"/>
      <c r="AGO17" s="303"/>
      <c r="AGP17" s="303"/>
      <c r="AGQ17" s="303"/>
      <c r="AGR17" s="303"/>
      <c r="AGS17" s="303"/>
      <c r="AGT17" s="303"/>
      <c r="AGU17" s="303"/>
      <c r="AGV17" s="303"/>
      <c r="AGW17" s="303"/>
      <c r="AGX17" s="303"/>
      <c r="AGY17" s="303"/>
      <c r="AGZ17" s="303"/>
      <c r="AHA17" s="303"/>
      <c r="AHB17" s="303"/>
      <c r="AHC17" s="303"/>
      <c r="AHD17" s="303"/>
      <c r="AHE17" s="303"/>
      <c r="AHF17" s="303"/>
      <c r="AHG17" s="303"/>
      <c r="AHH17" s="303"/>
      <c r="AHI17" s="303"/>
      <c r="AHJ17" s="303"/>
      <c r="AHK17" s="303"/>
      <c r="AHL17" s="303"/>
      <c r="AHM17" s="303"/>
      <c r="AHN17" s="303"/>
      <c r="AHO17" s="303"/>
      <c r="AHP17" s="303"/>
      <c r="AHQ17" s="303"/>
      <c r="AHR17" s="303"/>
      <c r="AHS17" s="303"/>
      <c r="AHT17" s="303"/>
      <c r="AHU17" s="303"/>
      <c r="AHV17" s="303"/>
      <c r="AHW17" s="303"/>
      <c r="AHX17" s="303"/>
      <c r="AHY17" s="303"/>
      <c r="AHZ17" s="303"/>
      <c r="AIA17" s="303"/>
      <c r="AIB17" s="303"/>
      <c r="AIC17" s="303"/>
      <c r="AID17" s="303"/>
      <c r="AIE17" s="303"/>
      <c r="AIF17" s="303"/>
      <c r="AIG17" s="303"/>
      <c r="AIH17" s="303"/>
      <c r="AII17" s="303"/>
      <c r="AIJ17" s="303"/>
      <c r="AIK17" s="303"/>
      <c r="AIL17" s="303"/>
      <c r="AIM17" s="303"/>
      <c r="AIN17" s="303"/>
      <c r="AIO17" s="303"/>
      <c r="AIP17" s="303"/>
      <c r="AIQ17" s="303"/>
      <c r="AIR17" s="303"/>
      <c r="AIS17" s="303"/>
      <c r="AIT17" s="303"/>
      <c r="AIU17" s="303"/>
      <c r="AIV17" s="303"/>
      <c r="AIW17" s="303"/>
      <c r="AIX17" s="303"/>
      <c r="AIY17" s="303"/>
      <c r="AIZ17" s="303"/>
      <c r="AJA17" s="303"/>
      <c r="AJB17" s="303"/>
      <c r="AJC17" s="303"/>
      <c r="AJD17" s="303"/>
      <c r="AJE17" s="303"/>
      <c r="AJF17" s="303"/>
      <c r="AJG17" s="303"/>
      <c r="AJH17" s="303"/>
      <c r="AJI17" s="303"/>
      <c r="AJJ17" s="303"/>
      <c r="AJK17" s="303"/>
      <c r="AJL17" s="303"/>
      <c r="AJM17" s="303"/>
      <c r="AJN17" s="303"/>
      <c r="AJO17" s="303"/>
      <c r="AJP17" s="303"/>
      <c r="AJQ17" s="303"/>
      <c r="AJR17" s="303"/>
      <c r="AJS17" s="303"/>
      <c r="AJT17" s="303"/>
      <c r="AJU17" s="303"/>
      <c r="AJV17" s="303"/>
      <c r="AJW17" s="303"/>
      <c r="AJX17" s="303"/>
      <c r="AJY17" s="303"/>
      <c r="AJZ17" s="303"/>
      <c r="AKA17" s="303"/>
      <c r="AKB17" s="303"/>
      <c r="AKC17" s="303"/>
      <c r="AKD17" s="303"/>
      <c r="AKE17" s="303"/>
      <c r="AKF17" s="303"/>
      <c r="AKG17" s="303"/>
      <c r="AKH17" s="303"/>
      <c r="AKI17" s="303"/>
      <c r="AKJ17" s="303"/>
      <c r="AKK17" s="303"/>
      <c r="AKL17" s="303"/>
      <c r="AKM17" s="303"/>
      <c r="AKN17" s="303"/>
      <c r="AKO17" s="303"/>
      <c r="AKP17" s="303"/>
      <c r="AKQ17" s="303"/>
      <c r="AKR17" s="303"/>
      <c r="AKS17" s="303"/>
      <c r="AKT17" s="303"/>
      <c r="AKU17" s="303"/>
      <c r="AKV17" s="303"/>
      <c r="AKW17" s="303"/>
      <c r="AKX17" s="303"/>
      <c r="AKY17" s="303"/>
      <c r="AKZ17" s="303"/>
      <c r="ALA17" s="303"/>
      <c r="ALB17" s="303"/>
      <c r="ALC17" s="303"/>
      <c r="ALD17" s="303"/>
      <c r="ALE17" s="303"/>
      <c r="ALF17" s="303"/>
      <c r="ALG17" s="303"/>
      <c r="ALH17" s="303"/>
      <c r="ALI17" s="303"/>
      <c r="ALJ17" s="303"/>
      <c r="ALK17" s="303"/>
      <c r="ALL17" s="303"/>
      <c r="ALM17" s="303"/>
      <c r="ALN17" s="303"/>
      <c r="ALO17" s="303"/>
      <c r="ALP17" s="303"/>
      <c r="ALQ17" s="303"/>
      <c r="ALR17" s="303"/>
      <c r="ALS17" s="303"/>
      <c r="ALT17" s="303"/>
      <c r="ALU17" s="303"/>
      <c r="ALV17" s="303"/>
      <c r="ALW17" s="303"/>
      <c r="ALX17" s="303"/>
      <c r="ALY17" s="303"/>
      <c r="ALZ17" s="303"/>
      <c r="AMA17" s="303"/>
      <c r="AMB17" s="303"/>
      <c r="AMC17" s="303"/>
      <c r="AMD17" s="303"/>
      <c r="AME17" s="303"/>
      <c r="AMF17" s="303"/>
      <c r="AMG17" s="303"/>
      <c r="AMH17" s="303"/>
      <c r="AMI17" s="303"/>
      <c r="AMJ17" s="303"/>
      <c r="AMK17" s="303"/>
      <c r="AML17" s="303"/>
      <c r="AMM17" s="303"/>
      <c r="AMN17" s="303"/>
      <c r="AMO17" s="303"/>
      <c r="AMP17" s="303"/>
      <c r="AMQ17" s="303"/>
      <c r="AMR17" s="303"/>
      <c r="AMS17" s="303"/>
      <c r="AMT17" s="303"/>
      <c r="AMU17" s="303"/>
      <c r="AMV17" s="303"/>
      <c r="AMW17" s="303"/>
      <c r="AMX17" s="303"/>
      <c r="AMY17" s="303"/>
      <c r="AMZ17" s="303"/>
      <c r="ANA17" s="303"/>
      <c r="ANB17" s="303"/>
      <c r="ANC17" s="303"/>
      <c r="AND17" s="303"/>
      <c r="ANE17" s="303"/>
      <c r="ANF17" s="303"/>
      <c r="ANG17" s="303"/>
      <c r="ANH17" s="303"/>
      <c r="ANI17" s="303"/>
      <c r="ANJ17" s="303"/>
      <c r="ANK17" s="303"/>
      <c r="ANL17" s="303"/>
      <c r="ANM17" s="303"/>
      <c r="ANN17" s="303"/>
      <c r="ANO17" s="303"/>
      <c r="ANP17" s="303"/>
      <c r="ANQ17" s="303"/>
      <c r="ANR17" s="303"/>
      <c r="ANS17" s="303"/>
      <c r="ANT17" s="303"/>
      <c r="ANU17" s="303"/>
      <c r="ANV17" s="303"/>
      <c r="ANW17" s="303"/>
      <c r="ANX17" s="303"/>
      <c r="ANY17" s="303"/>
      <c r="ANZ17" s="303"/>
      <c r="AOA17" s="303"/>
      <c r="AOB17" s="303"/>
      <c r="AOC17" s="303"/>
      <c r="AOD17" s="303"/>
      <c r="AOE17" s="303"/>
      <c r="AOF17" s="303"/>
      <c r="AOG17" s="303"/>
      <c r="AOH17" s="303"/>
      <c r="AOI17" s="303"/>
      <c r="AOJ17" s="303"/>
      <c r="AOK17" s="303"/>
      <c r="AOL17" s="303"/>
      <c r="AOM17" s="303"/>
      <c r="AON17" s="303"/>
      <c r="AOO17" s="303"/>
      <c r="AOP17" s="303"/>
      <c r="AOQ17" s="303"/>
      <c r="AOR17" s="303"/>
      <c r="AOS17" s="303"/>
      <c r="AOT17" s="303"/>
      <c r="AOU17" s="303"/>
      <c r="AOV17" s="303"/>
      <c r="AOW17" s="303"/>
      <c r="AOX17" s="303"/>
      <c r="AOY17" s="303"/>
      <c r="AOZ17" s="303"/>
      <c r="APA17" s="303"/>
      <c r="APB17" s="303"/>
      <c r="APC17" s="303"/>
      <c r="APD17" s="303"/>
      <c r="APE17" s="303"/>
      <c r="APF17" s="303"/>
      <c r="APG17" s="303"/>
      <c r="APH17" s="303"/>
      <c r="API17" s="303"/>
      <c r="APJ17" s="303"/>
      <c r="APK17" s="303"/>
      <c r="APL17" s="303"/>
      <c r="APM17" s="303"/>
      <c r="APN17" s="303"/>
      <c r="APO17" s="303"/>
      <c r="APP17" s="303"/>
      <c r="APQ17" s="303"/>
      <c r="APR17" s="303"/>
      <c r="APS17" s="303"/>
      <c r="APT17" s="303"/>
      <c r="APU17" s="303"/>
      <c r="APV17" s="303"/>
      <c r="APW17" s="303"/>
      <c r="APX17" s="303"/>
      <c r="APY17" s="303"/>
      <c r="APZ17" s="303"/>
      <c r="AQA17" s="303"/>
      <c r="AQB17" s="303"/>
      <c r="AQC17" s="303"/>
      <c r="AQD17" s="303"/>
      <c r="AQE17" s="303"/>
      <c r="AQF17" s="303"/>
      <c r="AQG17" s="303"/>
      <c r="AQH17" s="303"/>
      <c r="AQI17" s="303"/>
      <c r="AQJ17" s="303"/>
      <c r="AQK17" s="303"/>
      <c r="AQL17" s="303"/>
      <c r="AQM17" s="303"/>
      <c r="AQN17" s="303"/>
      <c r="AQO17" s="303"/>
      <c r="AQP17" s="303"/>
      <c r="AQQ17" s="303"/>
      <c r="AQR17" s="303"/>
      <c r="AQS17" s="303"/>
      <c r="AQT17" s="303"/>
      <c r="AQU17" s="303"/>
      <c r="AQV17" s="303"/>
      <c r="AQW17" s="303"/>
      <c r="AQX17" s="303"/>
      <c r="AQY17" s="303"/>
      <c r="AQZ17" s="303"/>
      <c r="ARA17" s="303"/>
      <c r="ARB17" s="303"/>
      <c r="ARC17" s="303"/>
      <c r="ARD17" s="303"/>
      <c r="ARE17" s="303"/>
      <c r="ARF17" s="303"/>
      <c r="ARG17" s="303"/>
      <c r="ARH17" s="303"/>
      <c r="ARI17" s="303"/>
      <c r="ARJ17" s="303"/>
      <c r="ARK17" s="303"/>
      <c r="ARL17" s="303"/>
      <c r="ARM17" s="303"/>
      <c r="ARN17" s="303"/>
      <c r="ARO17" s="303"/>
      <c r="ARP17" s="303"/>
      <c r="ARQ17" s="303"/>
      <c r="ARR17" s="303"/>
      <c r="ARS17" s="303"/>
      <c r="ART17" s="303"/>
      <c r="ARU17" s="303"/>
      <c r="ARV17" s="303"/>
      <c r="ARW17" s="303"/>
      <c r="ARX17" s="303"/>
      <c r="ARY17" s="303"/>
      <c r="ARZ17" s="303"/>
      <c r="ASA17" s="303"/>
      <c r="ASB17" s="303"/>
      <c r="ASC17" s="303"/>
      <c r="ASD17" s="303"/>
      <c r="ASE17" s="303"/>
      <c r="ASF17" s="303"/>
      <c r="ASG17" s="303"/>
      <c r="ASH17" s="303"/>
      <c r="ASI17" s="303"/>
      <c r="ASJ17" s="303"/>
      <c r="ASK17" s="303"/>
      <c r="ASL17" s="303"/>
      <c r="ASM17" s="303"/>
      <c r="ASN17" s="303"/>
      <c r="ASO17" s="303"/>
      <c r="ASP17" s="303"/>
      <c r="ASQ17" s="303"/>
      <c r="ASR17" s="303"/>
      <c r="ASS17" s="303"/>
      <c r="AST17" s="303"/>
      <c r="ASU17" s="303"/>
      <c r="ASV17" s="303"/>
      <c r="ASW17" s="303"/>
      <c r="ASX17" s="303"/>
      <c r="ASY17" s="303"/>
      <c r="ASZ17" s="303"/>
      <c r="ATA17" s="303"/>
      <c r="ATB17" s="303"/>
      <c r="ATC17" s="303"/>
      <c r="ATD17" s="303"/>
      <c r="ATE17" s="303"/>
      <c r="ATF17" s="303"/>
      <c r="ATG17" s="303"/>
      <c r="ATH17" s="303"/>
      <c r="ATI17" s="303"/>
      <c r="ATJ17" s="303"/>
      <c r="ATK17" s="303"/>
      <c r="ATL17" s="303"/>
      <c r="ATM17" s="303"/>
      <c r="ATN17" s="303"/>
      <c r="ATO17" s="303"/>
      <c r="ATP17" s="303"/>
      <c r="ATQ17" s="303"/>
      <c r="ATR17" s="303"/>
      <c r="ATS17" s="303"/>
      <c r="ATT17" s="303"/>
      <c r="ATU17" s="303"/>
      <c r="ATV17" s="303"/>
      <c r="ATW17" s="303"/>
      <c r="ATX17" s="303"/>
      <c r="ATY17" s="303"/>
      <c r="ATZ17" s="303"/>
      <c r="AUA17" s="303"/>
      <c r="AUB17" s="303"/>
      <c r="AUC17" s="303"/>
      <c r="AUD17" s="303"/>
      <c r="AUE17" s="303"/>
      <c r="AUF17" s="303"/>
      <c r="AUG17" s="303"/>
      <c r="AUH17" s="303"/>
      <c r="AUI17" s="303"/>
      <c r="AUJ17" s="303"/>
      <c r="AUK17" s="303"/>
      <c r="AUL17" s="303"/>
      <c r="AUM17" s="303"/>
      <c r="AUN17" s="303"/>
      <c r="AUO17" s="303"/>
      <c r="AUP17" s="303"/>
      <c r="AUQ17" s="303"/>
      <c r="AUR17" s="303"/>
      <c r="AUS17" s="303"/>
      <c r="AUT17" s="303"/>
      <c r="AUU17" s="303"/>
      <c r="AUV17" s="303"/>
      <c r="AUW17" s="303"/>
      <c r="AUX17" s="303"/>
      <c r="AUY17" s="303"/>
      <c r="AUZ17" s="303"/>
      <c r="AVA17" s="303"/>
      <c r="AVB17" s="303"/>
      <c r="AVC17" s="303"/>
      <c r="AVD17" s="303"/>
      <c r="AVE17" s="303"/>
      <c r="AVF17" s="303"/>
      <c r="AVG17" s="303"/>
      <c r="AVH17" s="303"/>
      <c r="AVI17" s="303"/>
      <c r="AVJ17" s="303"/>
      <c r="AVK17" s="303"/>
      <c r="AVL17" s="303"/>
      <c r="AVM17" s="303"/>
      <c r="AVN17" s="303"/>
      <c r="AVO17" s="303"/>
      <c r="AVP17" s="303"/>
      <c r="AVQ17" s="303"/>
      <c r="AVR17" s="303"/>
      <c r="AVS17" s="303"/>
      <c r="AVT17" s="303"/>
      <c r="AVU17" s="303"/>
      <c r="AVV17" s="303"/>
      <c r="AVW17" s="303"/>
      <c r="AVX17" s="303"/>
      <c r="AVY17" s="303"/>
      <c r="AVZ17" s="303"/>
      <c r="AWA17" s="303"/>
      <c r="AWB17" s="303"/>
      <c r="AWC17" s="303"/>
      <c r="AWD17" s="303"/>
      <c r="AWE17" s="303"/>
      <c r="AWF17" s="303"/>
      <c r="AWG17" s="303"/>
      <c r="AWH17" s="303"/>
      <c r="AWI17" s="303"/>
      <c r="AWJ17" s="303"/>
      <c r="AWK17" s="303"/>
      <c r="AWL17" s="303"/>
      <c r="AWM17" s="303"/>
      <c r="AWN17" s="303"/>
      <c r="AWO17" s="303"/>
      <c r="AWP17" s="303"/>
      <c r="AWQ17" s="303"/>
      <c r="AWR17" s="303"/>
      <c r="AWS17" s="303"/>
      <c r="AWT17" s="303"/>
      <c r="AWU17" s="303"/>
      <c r="AWV17" s="303"/>
      <c r="AWW17" s="303"/>
      <c r="AWX17" s="303"/>
      <c r="AWY17" s="303"/>
      <c r="AWZ17" s="303"/>
      <c r="AXA17" s="303"/>
      <c r="AXB17" s="303"/>
      <c r="AXC17" s="303"/>
      <c r="AXD17" s="303"/>
      <c r="AXE17" s="303"/>
      <c r="AXF17" s="303"/>
      <c r="AXG17" s="303"/>
      <c r="AXH17" s="303"/>
      <c r="AXI17" s="303"/>
      <c r="AXJ17" s="303"/>
      <c r="AXK17" s="303"/>
      <c r="AXL17" s="303"/>
      <c r="AXM17" s="303"/>
      <c r="AXN17" s="303"/>
      <c r="AXO17" s="303"/>
      <c r="AXP17" s="303"/>
      <c r="AXQ17" s="303"/>
      <c r="AXR17" s="303"/>
      <c r="AXS17" s="303"/>
      <c r="AXT17" s="303"/>
      <c r="AXU17" s="303"/>
      <c r="AXV17" s="303"/>
      <c r="AXW17" s="303"/>
      <c r="AXX17" s="303"/>
      <c r="AXY17" s="303"/>
      <c r="AXZ17" s="303"/>
      <c r="AYA17" s="303"/>
      <c r="AYB17" s="303"/>
      <c r="AYC17" s="303"/>
      <c r="AYD17" s="303"/>
      <c r="AYE17" s="303"/>
      <c r="AYF17" s="303"/>
      <c r="AYG17" s="303"/>
      <c r="AYH17" s="303"/>
    </row>
    <row r="18" spans="1:1334" x14ac:dyDescent="0.25">
      <c r="A18" s="304" t="s">
        <v>1075</v>
      </c>
      <c r="B18" s="298" t="s">
        <v>1076</v>
      </c>
      <c r="C18" s="303"/>
      <c r="D18" s="303"/>
      <c r="E18" s="303"/>
      <c r="F18" s="303"/>
      <c r="G18" s="303"/>
      <c r="H18" s="303"/>
      <c r="I18" s="303"/>
      <c r="J18" s="303"/>
      <c r="K18" s="303"/>
      <c r="L18" s="303"/>
      <c r="M18" s="303"/>
      <c r="N18" s="303"/>
      <c r="O18" s="303"/>
      <c r="P18" s="303"/>
      <c r="Q18" s="303"/>
      <c r="R18" s="303"/>
      <c r="S18" s="303"/>
      <c r="T18" s="303"/>
      <c r="U18" s="303"/>
      <c r="V18" s="303"/>
      <c r="W18" s="303"/>
      <c r="X18" s="303"/>
      <c r="Y18" s="303"/>
      <c r="Z18" s="303"/>
      <c r="AA18" s="303"/>
      <c r="AB18" s="303"/>
      <c r="AC18" s="303"/>
      <c r="AD18" s="303"/>
      <c r="AE18" s="303"/>
      <c r="AF18" s="303"/>
      <c r="AG18" s="303"/>
      <c r="AH18" s="303"/>
      <c r="AI18" s="303"/>
      <c r="AJ18" s="303"/>
      <c r="AK18" s="303"/>
      <c r="AL18" s="303"/>
      <c r="AM18" s="303"/>
      <c r="AN18" s="303"/>
      <c r="AO18" s="303"/>
      <c r="AP18" s="303"/>
      <c r="AQ18" s="303"/>
      <c r="AR18" s="303"/>
      <c r="AS18" s="303"/>
      <c r="AT18" s="303"/>
      <c r="AU18" s="303"/>
      <c r="AV18" s="303"/>
      <c r="AW18" s="303"/>
      <c r="AX18" s="303"/>
      <c r="AY18" s="303"/>
      <c r="AZ18" s="303"/>
      <c r="BA18" s="303"/>
      <c r="BB18" s="303"/>
      <c r="BC18" s="303"/>
      <c r="BD18" s="303"/>
      <c r="BE18" s="303"/>
      <c r="BF18" s="303"/>
      <c r="BG18" s="303"/>
      <c r="BH18" s="303"/>
      <c r="BI18" s="303"/>
      <c r="BJ18" s="303"/>
      <c r="BK18" s="303"/>
      <c r="BL18" s="303"/>
      <c r="BM18" s="303"/>
      <c r="BN18" s="303"/>
      <c r="BO18" s="303"/>
      <c r="BP18" s="303"/>
      <c r="BQ18" s="303"/>
      <c r="BR18" s="303"/>
      <c r="BS18" s="303"/>
      <c r="BT18" s="303"/>
      <c r="BU18" s="303"/>
      <c r="BV18" s="303"/>
      <c r="BW18" s="303"/>
      <c r="BX18" s="303"/>
      <c r="BY18" s="303"/>
      <c r="BZ18" s="303"/>
      <c r="CA18" s="303"/>
      <c r="CB18" s="303"/>
      <c r="CC18" s="303"/>
      <c r="CD18" s="303"/>
      <c r="CE18" s="303"/>
      <c r="CF18" s="303"/>
      <c r="CG18" s="303"/>
      <c r="CH18" s="303"/>
      <c r="CI18" s="303"/>
      <c r="CJ18" s="303"/>
      <c r="CK18" s="303"/>
      <c r="CL18" s="303"/>
      <c r="CM18" s="303"/>
      <c r="CN18" s="303"/>
      <c r="CO18" s="303"/>
      <c r="CP18" s="303"/>
      <c r="CQ18" s="303"/>
      <c r="CR18" s="303"/>
      <c r="CS18" s="303"/>
      <c r="CT18" s="303"/>
      <c r="CU18" s="303"/>
      <c r="CV18" s="303"/>
      <c r="CW18" s="303"/>
      <c r="CX18" s="303"/>
      <c r="CY18" s="303"/>
      <c r="CZ18" s="303"/>
      <c r="DA18" s="303"/>
      <c r="DB18" s="303"/>
      <c r="DC18" s="303"/>
      <c r="DD18" s="303"/>
      <c r="DE18" s="303"/>
      <c r="DF18" s="303"/>
      <c r="DG18" s="303"/>
      <c r="DH18" s="303"/>
      <c r="DI18" s="303"/>
      <c r="DJ18" s="303"/>
      <c r="DK18" s="303"/>
      <c r="DL18" s="303"/>
      <c r="DM18" s="303"/>
      <c r="DN18" s="303"/>
      <c r="DO18" s="303"/>
      <c r="DP18" s="303"/>
      <c r="DQ18" s="303"/>
      <c r="DR18" s="303"/>
      <c r="DS18" s="303"/>
      <c r="DT18" s="303"/>
      <c r="DU18" s="303"/>
      <c r="DV18" s="303"/>
      <c r="DW18" s="303"/>
      <c r="DX18" s="303"/>
      <c r="DY18" s="303"/>
      <c r="DZ18" s="303"/>
      <c r="EA18" s="303"/>
      <c r="EB18" s="303"/>
      <c r="EC18" s="303"/>
      <c r="ED18" s="303"/>
      <c r="EE18" s="303"/>
      <c r="EF18" s="303"/>
      <c r="EG18" s="303"/>
      <c r="EH18" s="303"/>
      <c r="EI18" s="303"/>
      <c r="EJ18" s="303"/>
      <c r="EK18" s="303"/>
      <c r="EL18" s="303"/>
      <c r="EM18" s="303"/>
      <c r="EN18" s="303"/>
      <c r="EO18" s="303"/>
      <c r="EP18" s="303"/>
      <c r="EQ18" s="303"/>
      <c r="ER18" s="303"/>
      <c r="ES18" s="303"/>
      <c r="ET18" s="303"/>
      <c r="EU18" s="303"/>
      <c r="EV18" s="303"/>
      <c r="EW18" s="303"/>
      <c r="EX18" s="303"/>
      <c r="EY18" s="303"/>
      <c r="EZ18" s="303"/>
      <c r="FA18" s="303"/>
      <c r="FB18" s="303"/>
      <c r="FC18" s="303"/>
      <c r="FD18" s="303"/>
      <c r="FE18" s="303"/>
      <c r="FF18" s="303"/>
      <c r="FG18" s="303"/>
      <c r="FH18" s="303"/>
      <c r="FI18" s="303"/>
      <c r="FJ18" s="303"/>
      <c r="FK18" s="303"/>
      <c r="FL18" s="303"/>
      <c r="FM18" s="303"/>
      <c r="FN18" s="303"/>
      <c r="FO18" s="303"/>
      <c r="FP18" s="303"/>
      <c r="FQ18" s="303"/>
      <c r="FR18" s="303"/>
      <c r="FS18" s="303"/>
      <c r="FT18" s="303"/>
      <c r="FU18" s="303"/>
      <c r="FV18" s="303"/>
      <c r="FW18" s="303"/>
      <c r="FX18" s="303"/>
      <c r="FY18" s="303"/>
      <c r="FZ18" s="303"/>
      <c r="GA18" s="303"/>
      <c r="GB18" s="303"/>
      <c r="GC18" s="303"/>
      <c r="GD18" s="303"/>
      <c r="GE18" s="303"/>
      <c r="GF18" s="303"/>
      <c r="GG18" s="303"/>
      <c r="GH18" s="303"/>
      <c r="GI18" s="303"/>
      <c r="GJ18" s="303"/>
      <c r="GK18" s="303"/>
      <c r="GL18" s="303"/>
      <c r="GM18" s="303"/>
      <c r="GN18" s="303"/>
      <c r="GO18" s="303"/>
      <c r="GP18" s="303"/>
      <c r="GQ18" s="303"/>
      <c r="GR18" s="303"/>
      <c r="GS18" s="303"/>
      <c r="GT18" s="303"/>
      <c r="GU18" s="303"/>
      <c r="GV18" s="303"/>
      <c r="GW18" s="303"/>
      <c r="GX18" s="303"/>
      <c r="GY18" s="303"/>
      <c r="GZ18" s="303"/>
      <c r="HA18" s="303"/>
      <c r="HB18" s="303"/>
      <c r="HC18" s="303"/>
      <c r="HD18" s="303"/>
      <c r="HE18" s="303"/>
      <c r="HF18" s="303"/>
      <c r="HG18" s="303"/>
      <c r="HH18" s="303"/>
      <c r="HI18" s="303"/>
      <c r="HJ18" s="303"/>
      <c r="HK18" s="303"/>
      <c r="HL18" s="303"/>
      <c r="HM18" s="303"/>
      <c r="HN18" s="303"/>
      <c r="HO18" s="303"/>
      <c r="HP18" s="303"/>
      <c r="HQ18" s="303"/>
      <c r="HR18" s="303"/>
      <c r="HS18" s="303"/>
      <c r="HT18" s="303"/>
      <c r="HU18" s="303"/>
      <c r="HV18" s="303"/>
      <c r="HW18" s="303"/>
      <c r="HX18" s="303"/>
      <c r="HY18" s="303"/>
      <c r="HZ18" s="303"/>
      <c r="IA18" s="303"/>
      <c r="IB18" s="303"/>
      <c r="IC18" s="303"/>
      <c r="ID18" s="303"/>
      <c r="IE18" s="303"/>
      <c r="IF18" s="303"/>
      <c r="IG18" s="303"/>
      <c r="IH18" s="303"/>
      <c r="II18" s="303"/>
      <c r="IJ18" s="303"/>
      <c r="IK18" s="303"/>
      <c r="IL18" s="303"/>
      <c r="IM18" s="303"/>
      <c r="IN18" s="303"/>
      <c r="IO18" s="303"/>
      <c r="IP18" s="303"/>
      <c r="IQ18" s="303"/>
      <c r="IR18" s="303"/>
      <c r="IS18" s="303"/>
      <c r="IT18" s="303"/>
      <c r="IU18" s="303"/>
      <c r="IV18" s="303"/>
      <c r="IW18" s="303"/>
      <c r="IX18" s="303"/>
      <c r="IY18" s="303"/>
      <c r="IZ18" s="303"/>
      <c r="JA18" s="303"/>
      <c r="JB18" s="303"/>
      <c r="JC18" s="303"/>
      <c r="JD18" s="303"/>
      <c r="JE18" s="303"/>
      <c r="JF18" s="303"/>
      <c r="JG18" s="303"/>
      <c r="JH18" s="303"/>
      <c r="JI18" s="303"/>
      <c r="JJ18" s="303"/>
      <c r="JK18" s="303"/>
      <c r="JL18" s="303"/>
      <c r="JM18" s="303"/>
      <c r="JN18" s="303"/>
      <c r="JO18" s="303"/>
      <c r="JP18" s="303"/>
      <c r="JQ18" s="303"/>
      <c r="JR18" s="303"/>
      <c r="JS18" s="303"/>
      <c r="JT18" s="303"/>
      <c r="JU18" s="303"/>
      <c r="JV18" s="303"/>
      <c r="JW18" s="303"/>
      <c r="JX18" s="303"/>
      <c r="JY18" s="303"/>
      <c r="JZ18" s="303"/>
      <c r="KA18" s="303"/>
      <c r="KB18" s="303"/>
      <c r="KC18" s="303"/>
      <c r="KD18" s="303"/>
      <c r="KE18" s="303"/>
      <c r="KF18" s="303"/>
      <c r="KG18" s="303"/>
      <c r="KH18" s="303"/>
      <c r="KI18" s="303"/>
      <c r="KJ18" s="303"/>
      <c r="KK18" s="303"/>
      <c r="KL18" s="303"/>
      <c r="KM18" s="303"/>
      <c r="KN18" s="303"/>
      <c r="KO18" s="303"/>
      <c r="KP18" s="303"/>
      <c r="KQ18" s="303"/>
      <c r="KR18" s="303"/>
      <c r="KS18" s="303"/>
      <c r="KT18" s="303"/>
      <c r="KU18" s="303"/>
      <c r="KV18" s="303"/>
      <c r="KW18" s="303"/>
      <c r="KX18" s="303"/>
      <c r="KY18" s="303"/>
      <c r="KZ18" s="303"/>
      <c r="LA18" s="303"/>
      <c r="LB18" s="303"/>
      <c r="LC18" s="303"/>
      <c r="LD18" s="303"/>
      <c r="LE18" s="303"/>
      <c r="LF18" s="303"/>
      <c r="LG18" s="303"/>
      <c r="LH18" s="303"/>
      <c r="LI18" s="303"/>
      <c r="LJ18" s="303"/>
      <c r="LK18" s="303"/>
      <c r="LL18" s="303"/>
      <c r="LM18" s="303"/>
      <c r="LN18" s="303"/>
      <c r="LO18" s="303"/>
      <c r="LP18" s="303"/>
      <c r="LQ18" s="303"/>
      <c r="LR18" s="303"/>
      <c r="LS18" s="303"/>
      <c r="LT18" s="303"/>
      <c r="LU18" s="303"/>
      <c r="LV18" s="303"/>
      <c r="LW18" s="303"/>
      <c r="LX18" s="303"/>
      <c r="LY18" s="303"/>
      <c r="LZ18" s="303"/>
      <c r="MA18" s="303"/>
      <c r="MB18" s="303"/>
      <c r="MC18" s="303"/>
      <c r="MD18" s="303"/>
      <c r="ME18" s="303"/>
      <c r="MF18" s="303"/>
      <c r="MG18" s="303"/>
      <c r="MH18" s="303"/>
      <c r="MI18" s="303"/>
      <c r="MJ18" s="303"/>
      <c r="MK18" s="303"/>
      <c r="ML18" s="303"/>
      <c r="MM18" s="303"/>
      <c r="MN18" s="303"/>
      <c r="MO18" s="303"/>
      <c r="MP18" s="303"/>
      <c r="MQ18" s="303"/>
      <c r="MR18" s="303"/>
      <c r="MS18" s="303"/>
      <c r="MT18" s="303"/>
      <c r="MU18" s="303"/>
      <c r="MV18" s="303"/>
      <c r="MW18" s="303"/>
      <c r="MX18" s="303"/>
      <c r="MY18" s="303"/>
      <c r="MZ18" s="303"/>
      <c r="NA18" s="303"/>
      <c r="NB18" s="303"/>
      <c r="NC18" s="303"/>
      <c r="ND18" s="303"/>
      <c r="NE18" s="303"/>
      <c r="NF18" s="303"/>
      <c r="NG18" s="303"/>
      <c r="NH18" s="303"/>
      <c r="NI18" s="303"/>
      <c r="NJ18" s="303"/>
      <c r="NK18" s="303"/>
      <c r="NL18" s="303"/>
      <c r="NM18" s="303"/>
      <c r="NN18" s="303"/>
      <c r="NO18" s="303"/>
      <c r="NP18" s="303"/>
      <c r="NQ18" s="303"/>
      <c r="NR18" s="303"/>
      <c r="NS18" s="303"/>
      <c r="NT18" s="303"/>
      <c r="NU18" s="303"/>
      <c r="NV18" s="303"/>
      <c r="NW18" s="303"/>
      <c r="NX18" s="303"/>
      <c r="NY18" s="303"/>
      <c r="NZ18" s="303"/>
      <c r="OA18" s="303"/>
      <c r="OB18" s="303"/>
      <c r="OC18" s="303"/>
      <c r="OD18" s="303"/>
      <c r="OE18" s="303"/>
      <c r="OF18" s="303"/>
      <c r="OG18" s="303"/>
      <c r="OH18" s="303"/>
      <c r="OI18" s="303"/>
      <c r="OJ18" s="303"/>
      <c r="OK18" s="303"/>
      <c r="OL18" s="303"/>
      <c r="OM18" s="303"/>
      <c r="ON18" s="303"/>
      <c r="OO18" s="303"/>
      <c r="OP18" s="303"/>
      <c r="OQ18" s="303"/>
      <c r="OR18" s="303"/>
      <c r="OS18" s="303"/>
      <c r="OT18" s="303"/>
      <c r="OU18" s="303"/>
      <c r="OV18" s="303"/>
      <c r="OW18" s="303"/>
      <c r="OX18" s="303"/>
      <c r="OY18" s="303"/>
      <c r="OZ18" s="303"/>
      <c r="PA18" s="303"/>
      <c r="PB18" s="303"/>
      <c r="PC18" s="303"/>
      <c r="PD18" s="303"/>
      <c r="PE18" s="303"/>
      <c r="PF18" s="303"/>
      <c r="PG18" s="303"/>
      <c r="PH18" s="303"/>
      <c r="PI18" s="303"/>
      <c r="PJ18" s="303"/>
      <c r="PK18" s="303"/>
      <c r="PL18" s="303"/>
      <c r="PM18" s="303"/>
      <c r="PN18" s="303"/>
      <c r="PO18" s="303"/>
      <c r="PP18" s="303"/>
      <c r="PQ18" s="303"/>
      <c r="PR18" s="303"/>
      <c r="PS18" s="303"/>
      <c r="PT18" s="303"/>
      <c r="PU18" s="303"/>
      <c r="PV18" s="303"/>
      <c r="PW18" s="303"/>
      <c r="PX18" s="303"/>
      <c r="PY18" s="303"/>
      <c r="PZ18" s="303"/>
      <c r="QA18" s="303"/>
      <c r="QB18" s="303"/>
      <c r="QC18" s="303"/>
      <c r="QD18" s="303"/>
      <c r="QE18" s="303"/>
      <c r="QF18" s="303"/>
      <c r="QG18" s="303"/>
      <c r="QH18" s="303"/>
      <c r="QI18" s="303"/>
      <c r="QJ18" s="303"/>
      <c r="QK18" s="303"/>
      <c r="QL18" s="303"/>
      <c r="QM18" s="303"/>
      <c r="QN18" s="303"/>
      <c r="QO18" s="303"/>
      <c r="QP18" s="303"/>
      <c r="QQ18" s="303"/>
      <c r="QR18" s="303"/>
      <c r="QS18" s="303"/>
      <c r="QT18" s="303"/>
      <c r="QU18" s="303"/>
      <c r="QV18" s="303"/>
      <c r="QW18" s="303"/>
      <c r="QX18" s="303"/>
      <c r="QY18" s="303"/>
      <c r="QZ18" s="303"/>
      <c r="RA18" s="303"/>
      <c r="RB18" s="303"/>
      <c r="RC18" s="303"/>
      <c r="RD18" s="303"/>
      <c r="RE18" s="303"/>
      <c r="RF18" s="303"/>
      <c r="RG18" s="303"/>
      <c r="RH18" s="303"/>
      <c r="RI18" s="303"/>
      <c r="RJ18" s="303"/>
      <c r="RK18" s="303"/>
      <c r="RL18" s="303"/>
      <c r="RM18" s="303"/>
      <c r="RN18" s="303"/>
      <c r="RO18" s="303"/>
      <c r="RP18" s="303"/>
      <c r="RQ18" s="303"/>
      <c r="RR18" s="303"/>
      <c r="RS18" s="303"/>
      <c r="RT18" s="303"/>
      <c r="RU18" s="303"/>
      <c r="RV18" s="303"/>
      <c r="RW18" s="303"/>
      <c r="RX18" s="303"/>
      <c r="RY18" s="303"/>
      <c r="RZ18" s="303"/>
      <c r="SA18" s="303"/>
      <c r="SB18" s="303"/>
      <c r="SC18" s="303"/>
      <c r="SD18" s="303"/>
      <c r="SE18" s="303"/>
      <c r="SF18" s="303"/>
      <c r="SG18" s="303"/>
      <c r="SH18" s="303"/>
      <c r="SI18" s="303"/>
      <c r="SJ18" s="303"/>
      <c r="SK18" s="303"/>
      <c r="SL18" s="303"/>
      <c r="SM18" s="303"/>
      <c r="SN18" s="303"/>
      <c r="SO18" s="303"/>
      <c r="SP18" s="303"/>
      <c r="SQ18" s="303"/>
      <c r="SR18" s="303"/>
      <c r="SS18" s="303"/>
      <c r="ST18" s="303"/>
      <c r="SU18" s="303"/>
      <c r="SV18" s="303"/>
      <c r="SW18" s="303"/>
      <c r="SX18" s="303"/>
      <c r="SY18" s="303"/>
      <c r="SZ18" s="303"/>
      <c r="TA18" s="303"/>
      <c r="TB18" s="303"/>
      <c r="TC18" s="303"/>
      <c r="TD18" s="303"/>
      <c r="TE18" s="303"/>
      <c r="TF18" s="303"/>
      <c r="TG18" s="303"/>
      <c r="TH18" s="303"/>
      <c r="TI18" s="303"/>
      <c r="TJ18" s="303"/>
      <c r="TK18" s="303"/>
      <c r="TL18" s="303"/>
      <c r="TM18" s="303"/>
      <c r="TN18" s="303"/>
      <c r="TO18" s="303"/>
      <c r="TP18" s="303"/>
      <c r="TQ18" s="303"/>
      <c r="TR18" s="303"/>
      <c r="TS18" s="303"/>
      <c r="TT18" s="303"/>
      <c r="TU18" s="303"/>
      <c r="TV18" s="303"/>
      <c r="TW18" s="303"/>
      <c r="TX18" s="303"/>
      <c r="TY18" s="303"/>
      <c r="TZ18" s="303"/>
      <c r="UA18" s="303"/>
      <c r="UB18" s="303"/>
      <c r="UC18" s="303"/>
      <c r="UD18" s="303"/>
      <c r="UE18" s="303"/>
      <c r="UF18" s="303"/>
      <c r="UG18" s="303"/>
      <c r="UH18" s="303"/>
      <c r="UI18" s="303"/>
      <c r="UJ18" s="303"/>
      <c r="UK18" s="303"/>
      <c r="UL18" s="303"/>
      <c r="UM18" s="303"/>
      <c r="UN18" s="303"/>
      <c r="UO18" s="303"/>
      <c r="UP18" s="303"/>
      <c r="UQ18" s="303"/>
      <c r="UR18" s="303"/>
      <c r="US18" s="303"/>
      <c r="UT18" s="303"/>
      <c r="UU18" s="303"/>
      <c r="UV18" s="303"/>
      <c r="UW18" s="303"/>
      <c r="UX18" s="303"/>
      <c r="UY18" s="303"/>
      <c r="UZ18" s="303"/>
      <c r="VA18" s="303"/>
      <c r="VB18" s="303"/>
      <c r="VC18" s="303"/>
      <c r="VD18" s="303"/>
      <c r="VE18" s="303"/>
      <c r="VF18" s="303"/>
      <c r="VG18" s="303"/>
      <c r="VH18" s="303"/>
      <c r="VI18" s="303"/>
      <c r="VJ18" s="303"/>
      <c r="VK18" s="303"/>
      <c r="VL18" s="303"/>
      <c r="VM18" s="303"/>
      <c r="VN18" s="303"/>
      <c r="VO18" s="303"/>
      <c r="VP18" s="303"/>
      <c r="VQ18" s="303"/>
      <c r="VR18" s="303"/>
      <c r="VS18" s="303"/>
      <c r="VT18" s="303"/>
      <c r="VU18" s="303"/>
      <c r="VV18" s="303"/>
      <c r="VW18" s="303"/>
      <c r="VX18" s="303"/>
      <c r="VY18" s="303"/>
      <c r="VZ18" s="303"/>
      <c r="WA18" s="303"/>
      <c r="WB18" s="303"/>
      <c r="WC18" s="303"/>
      <c r="WD18" s="303"/>
      <c r="WE18" s="303"/>
      <c r="WF18" s="303"/>
      <c r="WG18" s="303"/>
      <c r="WH18" s="303"/>
      <c r="WI18" s="303"/>
      <c r="WJ18" s="303"/>
      <c r="WK18" s="303"/>
      <c r="WL18" s="303"/>
      <c r="WM18" s="303"/>
      <c r="WN18" s="303"/>
      <c r="WO18" s="303"/>
      <c r="WP18" s="303"/>
      <c r="WQ18" s="303"/>
      <c r="WR18" s="303"/>
      <c r="WS18" s="303"/>
      <c r="WT18" s="303"/>
      <c r="WU18" s="303"/>
      <c r="WV18" s="303"/>
      <c r="WW18" s="303"/>
      <c r="WX18" s="303"/>
      <c r="WY18" s="303"/>
      <c r="WZ18" s="303"/>
      <c r="XA18" s="303"/>
      <c r="XB18" s="303"/>
      <c r="XC18" s="303"/>
      <c r="XD18" s="303"/>
      <c r="XE18" s="303"/>
      <c r="XF18" s="303"/>
      <c r="XG18" s="303"/>
      <c r="XH18" s="303"/>
      <c r="XI18" s="303"/>
      <c r="XJ18" s="303"/>
      <c r="XK18" s="303"/>
      <c r="XL18" s="303"/>
      <c r="XM18" s="303"/>
      <c r="XN18" s="303"/>
      <c r="XO18" s="303"/>
      <c r="XP18" s="303"/>
      <c r="XQ18" s="303"/>
      <c r="XR18" s="303"/>
      <c r="XS18" s="303"/>
      <c r="XT18" s="303"/>
      <c r="XU18" s="303"/>
      <c r="XV18" s="303"/>
      <c r="XW18" s="303"/>
      <c r="XX18" s="303"/>
      <c r="XY18" s="303"/>
      <c r="XZ18" s="303"/>
      <c r="YA18" s="303"/>
      <c r="YB18" s="303"/>
      <c r="YC18" s="303"/>
      <c r="YD18" s="303"/>
      <c r="YE18" s="303"/>
      <c r="YF18" s="303"/>
      <c r="YG18" s="303"/>
      <c r="YH18" s="303"/>
      <c r="YI18" s="303"/>
      <c r="YJ18" s="303"/>
      <c r="YK18" s="303"/>
      <c r="YL18" s="303"/>
      <c r="YM18" s="303"/>
      <c r="YN18" s="303"/>
      <c r="YO18" s="303"/>
      <c r="YP18" s="303"/>
      <c r="YQ18" s="303"/>
      <c r="YR18" s="303"/>
      <c r="YS18" s="303"/>
      <c r="YT18" s="303"/>
      <c r="YU18" s="303"/>
      <c r="YV18" s="303"/>
      <c r="YW18" s="303"/>
      <c r="YX18" s="303"/>
      <c r="YY18" s="303"/>
      <c r="YZ18" s="303"/>
      <c r="ZA18" s="303"/>
      <c r="ZB18" s="303"/>
      <c r="ZC18" s="303"/>
      <c r="ZD18" s="303"/>
      <c r="ZE18" s="303"/>
      <c r="ZF18" s="303"/>
      <c r="ZG18" s="303"/>
      <c r="ZH18" s="303"/>
      <c r="ZI18" s="303"/>
      <c r="ZJ18" s="303"/>
      <c r="ZK18" s="303"/>
      <c r="ZL18" s="303"/>
      <c r="ZM18" s="303"/>
      <c r="ZN18" s="303"/>
      <c r="ZO18" s="303"/>
      <c r="ZP18" s="303"/>
      <c r="ZQ18" s="303"/>
      <c r="ZR18" s="303"/>
      <c r="ZS18" s="303"/>
      <c r="ZT18" s="303"/>
      <c r="ZU18" s="303"/>
      <c r="ZV18" s="303"/>
      <c r="ZW18" s="303"/>
      <c r="ZX18" s="303"/>
      <c r="ZY18" s="303"/>
      <c r="ZZ18" s="303"/>
      <c r="AAA18" s="303"/>
      <c r="AAB18" s="303"/>
      <c r="AAC18" s="303"/>
      <c r="AAD18" s="303"/>
      <c r="AAE18" s="303"/>
      <c r="AAF18" s="303"/>
      <c r="AAG18" s="303"/>
      <c r="AAH18" s="303"/>
      <c r="AAI18" s="303"/>
      <c r="AAJ18" s="303"/>
      <c r="AAK18" s="303"/>
      <c r="AAL18" s="303"/>
      <c r="AAM18" s="303"/>
      <c r="AAN18" s="303"/>
      <c r="AAO18" s="303"/>
      <c r="AAP18" s="303"/>
      <c r="AAQ18" s="303"/>
      <c r="AAR18" s="303"/>
      <c r="AAS18" s="303"/>
      <c r="AAT18" s="303"/>
      <c r="AAU18" s="303"/>
      <c r="AAV18" s="303"/>
      <c r="AAW18" s="303"/>
      <c r="AAX18" s="303"/>
      <c r="AAY18" s="303"/>
      <c r="AAZ18" s="303"/>
      <c r="ABA18" s="303"/>
      <c r="ABB18" s="303"/>
      <c r="ABC18" s="303"/>
      <c r="ABD18" s="303"/>
      <c r="ABE18" s="303"/>
      <c r="ABF18" s="303"/>
      <c r="ABG18" s="303"/>
      <c r="ABH18" s="303"/>
      <c r="ABI18" s="303"/>
      <c r="ABJ18" s="303"/>
      <c r="ABK18" s="303"/>
      <c r="ABL18" s="303"/>
      <c r="ABM18" s="303"/>
      <c r="ABN18" s="303"/>
      <c r="ABO18" s="303"/>
      <c r="ABP18" s="303"/>
      <c r="ABQ18" s="303"/>
      <c r="ABR18" s="303"/>
      <c r="ABS18" s="303"/>
      <c r="ABT18" s="303"/>
      <c r="ABU18" s="303"/>
      <c r="ABV18" s="303"/>
      <c r="ABW18" s="303"/>
      <c r="ABX18" s="303"/>
      <c r="ABY18" s="303"/>
      <c r="ABZ18" s="303"/>
      <c r="ACA18" s="303"/>
      <c r="ACB18" s="303"/>
      <c r="ACC18" s="303"/>
      <c r="ACD18" s="303"/>
      <c r="ACE18" s="303"/>
      <c r="ACF18" s="303"/>
      <c r="ACG18" s="303"/>
      <c r="ACH18" s="303"/>
      <c r="ACI18" s="303"/>
      <c r="ACJ18" s="303"/>
      <c r="ACK18" s="303"/>
      <c r="ACL18" s="303"/>
      <c r="ACM18" s="303"/>
      <c r="ACN18" s="303"/>
      <c r="ACO18" s="303"/>
      <c r="ACP18" s="303"/>
      <c r="ACQ18" s="303"/>
      <c r="ACR18" s="303"/>
      <c r="ACS18" s="303"/>
      <c r="ACT18" s="303"/>
      <c r="ACU18" s="303"/>
      <c r="ACV18" s="303"/>
      <c r="ACW18" s="303"/>
      <c r="ACX18" s="303"/>
      <c r="ACY18" s="303"/>
      <c r="ACZ18" s="303"/>
      <c r="ADA18" s="303"/>
      <c r="ADB18" s="303"/>
      <c r="ADC18" s="303"/>
      <c r="ADD18" s="303"/>
      <c r="ADE18" s="303"/>
      <c r="ADF18" s="303"/>
      <c r="ADG18" s="303"/>
      <c r="ADH18" s="303"/>
      <c r="ADI18" s="303"/>
      <c r="ADJ18" s="303"/>
      <c r="ADK18" s="303"/>
      <c r="ADL18" s="303"/>
      <c r="ADM18" s="303"/>
      <c r="ADN18" s="303"/>
      <c r="ADO18" s="303"/>
      <c r="ADP18" s="303"/>
      <c r="ADQ18" s="303"/>
      <c r="ADR18" s="303"/>
      <c r="ADS18" s="303"/>
      <c r="ADT18" s="303"/>
      <c r="ADU18" s="303"/>
      <c r="ADV18" s="303"/>
      <c r="ADW18" s="303"/>
      <c r="ADX18" s="303"/>
      <c r="ADY18" s="303"/>
      <c r="ADZ18" s="303"/>
      <c r="AEA18" s="303"/>
      <c r="AEB18" s="303"/>
      <c r="AEC18" s="303"/>
      <c r="AED18" s="303"/>
      <c r="AEE18" s="303"/>
      <c r="AEF18" s="303"/>
      <c r="AEG18" s="303"/>
      <c r="AEH18" s="303"/>
      <c r="AEI18" s="303"/>
      <c r="AEJ18" s="303"/>
      <c r="AEK18" s="303"/>
      <c r="AEL18" s="303"/>
      <c r="AEM18" s="303"/>
      <c r="AEN18" s="303"/>
      <c r="AEO18" s="303"/>
      <c r="AEP18" s="303"/>
      <c r="AEQ18" s="303"/>
      <c r="AER18" s="303"/>
      <c r="AES18" s="303"/>
      <c r="AET18" s="303"/>
      <c r="AEU18" s="303"/>
      <c r="AEV18" s="303"/>
      <c r="AEW18" s="303"/>
      <c r="AEX18" s="303"/>
      <c r="AEY18" s="303"/>
      <c r="AEZ18" s="303"/>
      <c r="AFA18" s="303"/>
      <c r="AFB18" s="303"/>
      <c r="AFC18" s="303"/>
      <c r="AFD18" s="303"/>
      <c r="AFE18" s="303"/>
      <c r="AFF18" s="303"/>
      <c r="AFG18" s="303"/>
      <c r="AFH18" s="303"/>
      <c r="AFI18" s="303"/>
      <c r="AFJ18" s="303"/>
      <c r="AFK18" s="303"/>
      <c r="AFL18" s="303"/>
      <c r="AFM18" s="303"/>
      <c r="AFN18" s="303"/>
      <c r="AFO18" s="303"/>
      <c r="AFP18" s="303"/>
      <c r="AFQ18" s="303"/>
      <c r="AFR18" s="303"/>
      <c r="AFS18" s="303"/>
      <c r="AFT18" s="303"/>
      <c r="AFU18" s="303"/>
      <c r="AFV18" s="303"/>
      <c r="AFW18" s="303"/>
      <c r="AFX18" s="303"/>
      <c r="AFY18" s="303"/>
      <c r="AFZ18" s="303"/>
      <c r="AGA18" s="303"/>
      <c r="AGB18" s="303"/>
      <c r="AGC18" s="303"/>
      <c r="AGD18" s="303"/>
      <c r="AGE18" s="303"/>
      <c r="AGF18" s="303"/>
      <c r="AGG18" s="303"/>
      <c r="AGH18" s="303"/>
      <c r="AGI18" s="303"/>
      <c r="AGJ18" s="303"/>
      <c r="AGK18" s="303"/>
      <c r="AGL18" s="303"/>
      <c r="AGM18" s="303"/>
      <c r="AGN18" s="303"/>
      <c r="AGO18" s="303"/>
      <c r="AGP18" s="303"/>
      <c r="AGQ18" s="303"/>
      <c r="AGR18" s="303"/>
      <c r="AGS18" s="303"/>
      <c r="AGT18" s="303"/>
      <c r="AGU18" s="303"/>
      <c r="AGV18" s="303"/>
      <c r="AGW18" s="303"/>
      <c r="AGX18" s="303"/>
      <c r="AGY18" s="303"/>
      <c r="AGZ18" s="303"/>
      <c r="AHA18" s="303"/>
      <c r="AHB18" s="303"/>
      <c r="AHC18" s="303"/>
      <c r="AHD18" s="303"/>
      <c r="AHE18" s="303"/>
      <c r="AHF18" s="303"/>
      <c r="AHG18" s="303"/>
      <c r="AHH18" s="303"/>
      <c r="AHI18" s="303"/>
      <c r="AHJ18" s="303"/>
      <c r="AHK18" s="303"/>
      <c r="AHL18" s="303"/>
      <c r="AHM18" s="303"/>
      <c r="AHN18" s="303"/>
      <c r="AHO18" s="303"/>
      <c r="AHP18" s="303"/>
      <c r="AHQ18" s="303"/>
      <c r="AHR18" s="303"/>
      <c r="AHS18" s="303"/>
      <c r="AHT18" s="303"/>
      <c r="AHU18" s="303"/>
      <c r="AHV18" s="303"/>
      <c r="AHW18" s="303"/>
      <c r="AHX18" s="303"/>
      <c r="AHY18" s="303"/>
      <c r="AHZ18" s="303"/>
      <c r="AIA18" s="303"/>
      <c r="AIB18" s="303"/>
      <c r="AIC18" s="303"/>
      <c r="AID18" s="303"/>
      <c r="AIE18" s="303"/>
      <c r="AIF18" s="303"/>
      <c r="AIG18" s="303"/>
      <c r="AIH18" s="303"/>
      <c r="AII18" s="303"/>
      <c r="AIJ18" s="303"/>
      <c r="AIK18" s="303"/>
      <c r="AIL18" s="303"/>
      <c r="AIM18" s="303"/>
      <c r="AIN18" s="303"/>
      <c r="AIO18" s="303"/>
      <c r="AIP18" s="303"/>
      <c r="AIQ18" s="303"/>
      <c r="AIR18" s="303"/>
      <c r="AIS18" s="303"/>
      <c r="AIT18" s="303"/>
      <c r="AIU18" s="303"/>
      <c r="AIV18" s="303"/>
      <c r="AIW18" s="303"/>
      <c r="AIX18" s="303"/>
      <c r="AIY18" s="303"/>
      <c r="AIZ18" s="303"/>
      <c r="AJA18" s="303"/>
      <c r="AJB18" s="303"/>
      <c r="AJC18" s="303"/>
      <c r="AJD18" s="303"/>
      <c r="AJE18" s="303"/>
      <c r="AJF18" s="303"/>
      <c r="AJG18" s="303"/>
      <c r="AJH18" s="303"/>
      <c r="AJI18" s="303"/>
      <c r="AJJ18" s="303"/>
      <c r="AJK18" s="303"/>
      <c r="AJL18" s="303"/>
      <c r="AJM18" s="303"/>
      <c r="AJN18" s="303"/>
      <c r="AJO18" s="303"/>
      <c r="AJP18" s="303"/>
      <c r="AJQ18" s="303"/>
      <c r="AJR18" s="303"/>
      <c r="AJS18" s="303"/>
      <c r="AJT18" s="303"/>
      <c r="AJU18" s="303"/>
      <c r="AJV18" s="303"/>
      <c r="AJW18" s="303"/>
      <c r="AJX18" s="303"/>
      <c r="AJY18" s="303"/>
      <c r="AJZ18" s="303"/>
      <c r="AKA18" s="303"/>
      <c r="AKB18" s="303"/>
      <c r="AKC18" s="303"/>
      <c r="AKD18" s="303"/>
      <c r="AKE18" s="303"/>
      <c r="AKF18" s="303"/>
      <c r="AKG18" s="303"/>
      <c r="AKH18" s="303"/>
      <c r="AKI18" s="303"/>
      <c r="AKJ18" s="303"/>
      <c r="AKK18" s="303"/>
      <c r="AKL18" s="303"/>
      <c r="AKM18" s="303"/>
      <c r="AKN18" s="303"/>
      <c r="AKO18" s="303"/>
      <c r="AKP18" s="303"/>
      <c r="AKQ18" s="303"/>
      <c r="AKR18" s="303"/>
      <c r="AKS18" s="303"/>
      <c r="AKT18" s="303"/>
      <c r="AKU18" s="303"/>
      <c r="AKV18" s="303"/>
      <c r="AKW18" s="303"/>
      <c r="AKX18" s="303"/>
      <c r="AKY18" s="303"/>
      <c r="AKZ18" s="303"/>
      <c r="ALA18" s="303"/>
      <c r="ALB18" s="303"/>
      <c r="ALC18" s="303"/>
      <c r="ALD18" s="303"/>
      <c r="ALE18" s="303"/>
      <c r="ALF18" s="303"/>
      <c r="ALG18" s="303"/>
      <c r="ALH18" s="303"/>
      <c r="ALI18" s="303"/>
      <c r="ALJ18" s="303"/>
      <c r="ALK18" s="303"/>
      <c r="ALL18" s="303"/>
      <c r="ALM18" s="303"/>
      <c r="ALN18" s="303"/>
      <c r="ALO18" s="303"/>
      <c r="ALP18" s="303"/>
      <c r="ALQ18" s="303"/>
      <c r="ALR18" s="303"/>
      <c r="ALS18" s="303"/>
      <c r="ALT18" s="303"/>
      <c r="ALU18" s="303"/>
      <c r="ALV18" s="303"/>
      <c r="ALW18" s="303"/>
      <c r="ALX18" s="303"/>
      <c r="ALY18" s="303"/>
      <c r="ALZ18" s="303"/>
      <c r="AMA18" s="303"/>
      <c r="AMB18" s="303"/>
      <c r="AMC18" s="303"/>
      <c r="AMD18" s="303"/>
      <c r="AME18" s="303"/>
      <c r="AMF18" s="303"/>
      <c r="AMG18" s="303"/>
      <c r="AMH18" s="303"/>
      <c r="AMI18" s="303"/>
      <c r="AMJ18" s="303"/>
      <c r="AMK18" s="303"/>
      <c r="AML18" s="303"/>
      <c r="AMM18" s="303"/>
      <c r="AMN18" s="303"/>
      <c r="AMO18" s="303"/>
      <c r="AMP18" s="303"/>
      <c r="AMQ18" s="303"/>
      <c r="AMR18" s="303"/>
      <c r="AMS18" s="303"/>
      <c r="AMT18" s="303"/>
      <c r="AMU18" s="303"/>
      <c r="AMV18" s="303"/>
      <c r="AMW18" s="303"/>
      <c r="AMX18" s="303"/>
      <c r="AMY18" s="303"/>
      <c r="AMZ18" s="303"/>
      <c r="ANA18" s="303"/>
      <c r="ANB18" s="303"/>
      <c r="ANC18" s="303"/>
      <c r="AND18" s="303"/>
      <c r="ANE18" s="303"/>
      <c r="ANF18" s="303"/>
      <c r="ANG18" s="303"/>
      <c r="ANH18" s="303"/>
      <c r="ANI18" s="303"/>
      <c r="ANJ18" s="303"/>
      <c r="ANK18" s="303"/>
      <c r="ANL18" s="303"/>
      <c r="ANM18" s="303"/>
      <c r="ANN18" s="303"/>
      <c r="ANO18" s="303"/>
      <c r="ANP18" s="303"/>
      <c r="ANQ18" s="303"/>
      <c r="ANR18" s="303"/>
      <c r="ANS18" s="303"/>
      <c r="ANT18" s="303"/>
      <c r="ANU18" s="303"/>
      <c r="ANV18" s="303"/>
      <c r="ANW18" s="303"/>
      <c r="ANX18" s="303"/>
      <c r="ANY18" s="303"/>
      <c r="ANZ18" s="303"/>
      <c r="AOA18" s="303"/>
      <c r="AOB18" s="303"/>
      <c r="AOC18" s="303"/>
      <c r="AOD18" s="303"/>
      <c r="AOE18" s="303"/>
      <c r="AOF18" s="303"/>
      <c r="AOG18" s="303"/>
      <c r="AOH18" s="303"/>
      <c r="AOI18" s="303"/>
      <c r="AOJ18" s="303"/>
      <c r="AOK18" s="303"/>
      <c r="AOL18" s="303"/>
      <c r="AOM18" s="303"/>
      <c r="AON18" s="303"/>
      <c r="AOO18" s="303"/>
      <c r="AOP18" s="303"/>
      <c r="AOQ18" s="303"/>
      <c r="AOR18" s="303"/>
      <c r="AOS18" s="303"/>
      <c r="AOT18" s="303"/>
      <c r="AOU18" s="303"/>
      <c r="AOV18" s="303"/>
      <c r="AOW18" s="303"/>
      <c r="AOX18" s="303"/>
      <c r="AOY18" s="303"/>
      <c r="AOZ18" s="303"/>
      <c r="APA18" s="303"/>
      <c r="APB18" s="303"/>
      <c r="APC18" s="303"/>
      <c r="APD18" s="303"/>
      <c r="APE18" s="303"/>
      <c r="APF18" s="303"/>
      <c r="APG18" s="303"/>
      <c r="APH18" s="303"/>
      <c r="API18" s="303"/>
      <c r="APJ18" s="303"/>
      <c r="APK18" s="303"/>
      <c r="APL18" s="303"/>
      <c r="APM18" s="303"/>
      <c r="APN18" s="303"/>
      <c r="APO18" s="303"/>
      <c r="APP18" s="303"/>
      <c r="APQ18" s="303"/>
      <c r="APR18" s="303"/>
      <c r="APS18" s="303"/>
      <c r="APT18" s="303"/>
      <c r="APU18" s="303"/>
      <c r="APV18" s="303"/>
      <c r="APW18" s="303"/>
      <c r="APX18" s="303"/>
      <c r="APY18" s="303"/>
      <c r="APZ18" s="303"/>
      <c r="AQA18" s="303"/>
      <c r="AQB18" s="303"/>
      <c r="AQC18" s="303"/>
      <c r="AQD18" s="303"/>
      <c r="AQE18" s="303"/>
      <c r="AQF18" s="303"/>
      <c r="AQG18" s="303"/>
      <c r="AQH18" s="303"/>
      <c r="AQI18" s="303"/>
      <c r="AQJ18" s="303"/>
      <c r="AQK18" s="303"/>
      <c r="AQL18" s="303"/>
      <c r="AQM18" s="303"/>
      <c r="AQN18" s="303"/>
      <c r="AQO18" s="303"/>
      <c r="AQP18" s="303"/>
      <c r="AQQ18" s="303"/>
      <c r="AQR18" s="303"/>
      <c r="AQS18" s="303"/>
      <c r="AQT18" s="303"/>
      <c r="AQU18" s="303"/>
      <c r="AQV18" s="303"/>
      <c r="AQW18" s="303"/>
      <c r="AQX18" s="303"/>
      <c r="AQY18" s="303"/>
      <c r="AQZ18" s="303"/>
      <c r="ARA18" s="303"/>
      <c r="ARB18" s="303"/>
      <c r="ARC18" s="303"/>
      <c r="ARD18" s="303"/>
      <c r="ARE18" s="303"/>
      <c r="ARF18" s="303"/>
      <c r="ARG18" s="303"/>
      <c r="ARH18" s="303"/>
      <c r="ARI18" s="303"/>
      <c r="ARJ18" s="303"/>
      <c r="ARK18" s="303"/>
      <c r="ARL18" s="303"/>
      <c r="ARM18" s="303"/>
      <c r="ARN18" s="303"/>
      <c r="ARO18" s="303"/>
      <c r="ARP18" s="303"/>
      <c r="ARQ18" s="303"/>
      <c r="ARR18" s="303"/>
      <c r="ARS18" s="303"/>
      <c r="ART18" s="303"/>
      <c r="ARU18" s="303"/>
      <c r="ARV18" s="303"/>
      <c r="ARW18" s="303"/>
      <c r="ARX18" s="303"/>
      <c r="ARY18" s="303"/>
      <c r="ARZ18" s="303"/>
      <c r="ASA18" s="303"/>
      <c r="ASB18" s="303"/>
      <c r="ASC18" s="303"/>
      <c r="ASD18" s="303"/>
      <c r="ASE18" s="303"/>
      <c r="ASF18" s="303"/>
      <c r="ASG18" s="303"/>
      <c r="ASH18" s="303"/>
      <c r="ASI18" s="303"/>
      <c r="ASJ18" s="303"/>
      <c r="ASK18" s="303"/>
      <c r="ASL18" s="303"/>
      <c r="ASM18" s="303"/>
      <c r="ASN18" s="303"/>
      <c r="ASO18" s="303"/>
      <c r="ASP18" s="303"/>
      <c r="ASQ18" s="303"/>
      <c r="ASR18" s="303"/>
      <c r="ASS18" s="303"/>
      <c r="AST18" s="303"/>
      <c r="ASU18" s="303"/>
      <c r="ASV18" s="303"/>
      <c r="ASW18" s="303"/>
      <c r="ASX18" s="303"/>
      <c r="ASY18" s="303"/>
      <c r="ASZ18" s="303"/>
      <c r="ATA18" s="303"/>
      <c r="ATB18" s="303"/>
      <c r="ATC18" s="303"/>
      <c r="ATD18" s="303"/>
      <c r="ATE18" s="303"/>
      <c r="ATF18" s="303"/>
      <c r="ATG18" s="303"/>
      <c r="ATH18" s="303"/>
      <c r="ATI18" s="303"/>
      <c r="ATJ18" s="303"/>
      <c r="ATK18" s="303"/>
      <c r="ATL18" s="303"/>
      <c r="ATM18" s="303"/>
      <c r="ATN18" s="303"/>
      <c r="ATO18" s="303"/>
      <c r="ATP18" s="303"/>
      <c r="ATQ18" s="303"/>
      <c r="ATR18" s="303"/>
      <c r="ATS18" s="303"/>
      <c r="ATT18" s="303"/>
      <c r="ATU18" s="303"/>
      <c r="ATV18" s="303"/>
      <c r="ATW18" s="303"/>
      <c r="ATX18" s="303"/>
      <c r="ATY18" s="303"/>
      <c r="ATZ18" s="303"/>
      <c r="AUA18" s="303"/>
      <c r="AUB18" s="303"/>
      <c r="AUC18" s="303"/>
      <c r="AUD18" s="303"/>
      <c r="AUE18" s="303"/>
      <c r="AUF18" s="303"/>
      <c r="AUG18" s="303"/>
      <c r="AUH18" s="303"/>
      <c r="AUI18" s="303"/>
      <c r="AUJ18" s="303"/>
      <c r="AUK18" s="303"/>
      <c r="AUL18" s="303"/>
      <c r="AUM18" s="303"/>
      <c r="AUN18" s="303"/>
      <c r="AUO18" s="303"/>
      <c r="AUP18" s="303"/>
      <c r="AUQ18" s="303"/>
      <c r="AUR18" s="303"/>
      <c r="AUS18" s="303"/>
      <c r="AUT18" s="303"/>
      <c r="AUU18" s="303"/>
      <c r="AUV18" s="303"/>
      <c r="AUW18" s="303"/>
      <c r="AUX18" s="303"/>
      <c r="AUY18" s="303"/>
      <c r="AUZ18" s="303"/>
      <c r="AVA18" s="303"/>
      <c r="AVB18" s="303"/>
      <c r="AVC18" s="303"/>
      <c r="AVD18" s="303"/>
      <c r="AVE18" s="303"/>
      <c r="AVF18" s="303"/>
      <c r="AVG18" s="303"/>
      <c r="AVH18" s="303"/>
      <c r="AVI18" s="303"/>
      <c r="AVJ18" s="303"/>
      <c r="AVK18" s="303"/>
      <c r="AVL18" s="303"/>
      <c r="AVM18" s="303"/>
      <c r="AVN18" s="303"/>
      <c r="AVO18" s="303"/>
      <c r="AVP18" s="303"/>
      <c r="AVQ18" s="303"/>
      <c r="AVR18" s="303"/>
      <c r="AVS18" s="303"/>
      <c r="AVT18" s="303"/>
      <c r="AVU18" s="303"/>
      <c r="AVV18" s="303"/>
      <c r="AVW18" s="303"/>
      <c r="AVX18" s="303"/>
      <c r="AVY18" s="303"/>
      <c r="AVZ18" s="303"/>
      <c r="AWA18" s="303"/>
      <c r="AWB18" s="303"/>
      <c r="AWC18" s="303"/>
      <c r="AWD18" s="303"/>
      <c r="AWE18" s="303"/>
      <c r="AWF18" s="303"/>
      <c r="AWG18" s="303"/>
      <c r="AWH18" s="303"/>
      <c r="AWI18" s="303"/>
      <c r="AWJ18" s="303"/>
      <c r="AWK18" s="303"/>
      <c r="AWL18" s="303"/>
      <c r="AWM18" s="303"/>
      <c r="AWN18" s="303"/>
      <c r="AWO18" s="303"/>
      <c r="AWP18" s="303"/>
      <c r="AWQ18" s="303"/>
      <c r="AWR18" s="303"/>
      <c r="AWS18" s="303"/>
      <c r="AWT18" s="303"/>
      <c r="AWU18" s="303"/>
      <c r="AWV18" s="303"/>
      <c r="AWW18" s="303"/>
      <c r="AWX18" s="303"/>
      <c r="AWY18" s="303"/>
      <c r="AWZ18" s="303"/>
      <c r="AXA18" s="303"/>
      <c r="AXB18" s="303"/>
      <c r="AXC18" s="303"/>
      <c r="AXD18" s="303"/>
      <c r="AXE18" s="303"/>
      <c r="AXF18" s="303"/>
      <c r="AXG18" s="303"/>
      <c r="AXH18" s="303"/>
      <c r="AXI18" s="303"/>
      <c r="AXJ18" s="303"/>
      <c r="AXK18" s="303"/>
      <c r="AXL18" s="303"/>
      <c r="AXM18" s="303"/>
      <c r="AXN18" s="303"/>
      <c r="AXO18" s="303"/>
      <c r="AXP18" s="303"/>
      <c r="AXQ18" s="303"/>
      <c r="AXR18" s="303"/>
      <c r="AXS18" s="303"/>
      <c r="AXT18" s="303"/>
      <c r="AXU18" s="303"/>
      <c r="AXV18" s="303"/>
      <c r="AXW18" s="303"/>
      <c r="AXX18" s="303"/>
      <c r="AXY18" s="303"/>
      <c r="AXZ18" s="303"/>
      <c r="AYA18" s="303"/>
      <c r="AYB18" s="303"/>
      <c r="AYC18" s="303"/>
      <c r="AYD18" s="303"/>
      <c r="AYE18" s="303"/>
      <c r="AYF18" s="303"/>
      <c r="AYG18" s="303"/>
      <c r="AYH18" s="303"/>
    </row>
    <row r="19" spans="1:1334" x14ac:dyDescent="0.25">
      <c r="A19" s="304" t="s">
        <v>1077</v>
      </c>
      <c r="B19" s="298" t="s">
        <v>1321</v>
      </c>
      <c r="C19" s="303"/>
      <c r="D19" s="303"/>
      <c r="E19" s="303"/>
      <c r="F19" s="303"/>
      <c r="G19" s="303"/>
      <c r="H19" s="303"/>
      <c r="I19" s="303"/>
      <c r="J19" s="303"/>
      <c r="K19" s="303"/>
      <c r="L19" s="303"/>
      <c r="M19" s="303"/>
      <c r="N19" s="303"/>
      <c r="O19" s="303"/>
      <c r="P19" s="303"/>
      <c r="Q19" s="303"/>
      <c r="R19" s="303"/>
      <c r="S19" s="303"/>
      <c r="T19" s="303"/>
      <c r="U19" s="303"/>
      <c r="V19" s="303"/>
      <c r="W19" s="303"/>
      <c r="X19" s="303"/>
      <c r="Y19" s="303"/>
      <c r="Z19" s="303"/>
      <c r="AA19" s="303"/>
      <c r="AB19" s="303"/>
      <c r="AC19" s="303"/>
      <c r="AD19" s="303"/>
      <c r="AE19" s="303"/>
      <c r="AF19" s="303"/>
      <c r="AG19" s="303"/>
      <c r="AH19" s="303"/>
      <c r="AI19" s="303"/>
      <c r="AJ19" s="303"/>
      <c r="AK19" s="303"/>
      <c r="AL19" s="303"/>
      <c r="AM19" s="303"/>
      <c r="AN19" s="303"/>
      <c r="AO19" s="303"/>
      <c r="AP19" s="303"/>
      <c r="AQ19" s="303"/>
      <c r="AR19" s="303"/>
      <c r="AS19" s="303"/>
      <c r="AT19" s="303"/>
      <c r="AU19" s="303"/>
      <c r="AV19" s="303"/>
      <c r="AW19" s="303"/>
      <c r="AX19" s="303"/>
      <c r="AY19" s="303"/>
      <c r="AZ19" s="303"/>
      <c r="BA19" s="303"/>
      <c r="BB19" s="303"/>
      <c r="BC19" s="303"/>
      <c r="BD19" s="303"/>
      <c r="BE19" s="303"/>
      <c r="BF19" s="303"/>
      <c r="BG19" s="303"/>
      <c r="BH19" s="303"/>
      <c r="BI19" s="303"/>
      <c r="BJ19" s="303"/>
      <c r="BK19" s="303"/>
      <c r="BL19" s="303"/>
      <c r="BM19" s="303"/>
      <c r="BN19" s="303"/>
      <c r="BO19" s="303"/>
      <c r="BP19" s="303"/>
      <c r="BQ19" s="303"/>
      <c r="BR19" s="303"/>
      <c r="BS19" s="303"/>
      <c r="BT19" s="303"/>
      <c r="BU19" s="303"/>
      <c r="BV19" s="303"/>
      <c r="BW19" s="303"/>
      <c r="BX19" s="303"/>
      <c r="BY19" s="303"/>
      <c r="BZ19" s="303"/>
      <c r="CA19" s="303"/>
      <c r="CB19" s="303"/>
      <c r="CC19" s="303"/>
      <c r="CD19" s="303"/>
      <c r="CE19" s="303"/>
      <c r="CF19" s="303"/>
      <c r="CG19" s="303"/>
      <c r="CH19" s="303"/>
      <c r="CI19" s="303"/>
      <c r="CJ19" s="303"/>
      <c r="CK19" s="303"/>
      <c r="CL19" s="303"/>
      <c r="CM19" s="303"/>
      <c r="CN19" s="303"/>
      <c r="CO19" s="303"/>
      <c r="CP19" s="303"/>
      <c r="CQ19" s="303"/>
      <c r="CR19" s="303"/>
      <c r="CS19" s="303"/>
      <c r="CT19" s="303"/>
      <c r="CU19" s="303"/>
      <c r="CV19" s="303"/>
      <c r="CW19" s="303"/>
      <c r="CX19" s="303"/>
      <c r="CY19" s="303"/>
      <c r="CZ19" s="303"/>
      <c r="DA19" s="303"/>
      <c r="DB19" s="303"/>
      <c r="DC19" s="303"/>
      <c r="DD19" s="303"/>
      <c r="DE19" s="303"/>
      <c r="DF19" s="303"/>
      <c r="DG19" s="303"/>
      <c r="DH19" s="303"/>
      <c r="DI19" s="303"/>
      <c r="DJ19" s="303"/>
      <c r="DK19" s="303"/>
      <c r="DL19" s="303"/>
      <c r="DM19" s="303"/>
      <c r="DN19" s="303"/>
      <c r="DO19" s="303"/>
      <c r="DP19" s="303"/>
      <c r="DQ19" s="303"/>
      <c r="DR19" s="303"/>
      <c r="DS19" s="303"/>
      <c r="DT19" s="303"/>
      <c r="DU19" s="303"/>
      <c r="DV19" s="303"/>
      <c r="DW19" s="303"/>
      <c r="DX19" s="303"/>
      <c r="DY19" s="303"/>
      <c r="DZ19" s="303"/>
      <c r="EA19" s="303"/>
      <c r="EB19" s="303"/>
      <c r="EC19" s="303"/>
      <c r="ED19" s="303"/>
      <c r="EE19" s="303"/>
      <c r="EF19" s="303"/>
      <c r="EG19" s="303"/>
      <c r="EH19" s="303"/>
      <c r="EI19" s="303"/>
      <c r="EJ19" s="303"/>
      <c r="EK19" s="303"/>
      <c r="EL19" s="303"/>
      <c r="EM19" s="303"/>
      <c r="EN19" s="303"/>
      <c r="EO19" s="303"/>
      <c r="EP19" s="303"/>
      <c r="EQ19" s="303"/>
      <c r="ER19" s="303"/>
      <c r="ES19" s="303"/>
      <c r="ET19" s="303"/>
      <c r="EU19" s="303"/>
      <c r="EV19" s="303"/>
      <c r="EW19" s="303"/>
      <c r="EX19" s="303"/>
      <c r="EY19" s="303"/>
      <c r="EZ19" s="303"/>
      <c r="FA19" s="303"/>
      <c r="FB19" s="303"/>
      <c r="FC19" s="303"/>
      <c r="FD19" s="303"/>
      <c r="FE19" s="303"/>
      <c r="FF19" s="303"/>
      <c r="FG19" s="303"/>
      <c r="FH19" s="303"/>
      <c r="FI19" s="303"/>
      <c r="FJ19" s="303"/>
      <c r="FK19" s="303"/>
      <c r="FL19" s="303"/>
      <c r="FM19" s="303"/>
      <c r="FN19" s="303"/>
      <c r="FO19" s="303"/>
      <c r="FP19" s="303"/>
      <c r="FQ19" s="303"/>
      <c r="FR19" s="303"/>
      <c r="FS19" s="303"/>
      <c r="FT19" s="303"/>
      <c r="FU19" s="303"/>
      <c r="FV19" s="303"/>
      <c r="FW19" s="303"/>
      <c r="FX19" s="303"/>
      <c r="FY19" s="303"/>
      <c r="FZ19" s="303"/>
      <c r="GA19" s="303"/>
      <c r="GB19" s="303"/>
      <c r="GC19" s="303"/>
      <c r="GD19" s="303"/>
      <c r="GE19" s="303"/>
      <c r="GF19" s="303"/>
      <c r="GG19" s="303"/>
      <c r="GH19" s="303"/>
      <c r="GI19" s="303"/>
      <c r="GJ19" s="303"/>
      <c r="GK19" s="303"/>
      <c r="GL19" s="303"/>
      <c r="GM19" s="303"/>
      <c r="GN19" s="303"/>
      <c r="GO19" s="303"/>
      <c r="GP19" s="303"/>
      <c r="GQ19" s="303"/>
      <c r="GR19" s="303"/>
      <c r="GS19" s="303"/>
      <c r="GT19" s="303"/>
      <c r="GU19" s="303"/>
      <c r="GV19" s="303"/>
      <c r="GW19" s="303"/>
      <c r="GX19" s="303"/>
      <c r="GY19" s="303"/>
      <c r="GZ19" s="303"/>
      <c r="HA19" s="303"/>
      <c r="HB19" s="303"/>
      <c r="HC19" s="303"/>
      <c r="HD19" s="303"/>
      <c r="HE19" s="303"/>
      <c r="HF19" s="303"/>
      <c r="HG19" s="303"/>
      <c r="HH19" s="303"/>
      <c r="HI19" s="303"/>
      <c r="HJ19" s="303"/>
      <c r="HK19" s="303"/>
      <c r="HL19" s="303"/>
      <c r="HM19" s="303"/>
      <c r="HN19" s="303"/>
      <c r="HO19" s="303"/>
      <c r="HP19" s="303"/>
      <c r="HQ19" s="303"/>
      <c r="HR19" s="303"/>
      <c r="HS19" s="303"/>
      <c r="HT19" s="303"/>
      <c r="HU19" s="303"/>
      <c r="HV19" s="303"/>
      <c r="HW19" s="303"/>
      <c r="HX19" s="303"/>
      <c r="HY19" s="303"/>
      <c r="HZ19" s="303"/>
      <c r="IA19" s="303"/>
      <c r="IB19" s="303"/>
      <c r="IC19" s="303"/>
      <c r="ID19" s="303"/>
      <c r="IE19" s="303"/>
      <c r="IF19" s="303"/>
      <c r="IG19" s="303"/>
      <c r="IH19" s="303"/>
      <c r="II19" s="303"/>
      <c r="IJ19" s="303"/>
      <c r="IK19" s="303"/>
      <c r="IL19" s="303"/>
      <c r="IM19" s="303"/>
      <c r="IN19" s="303"/>
      <c r="IO19" s="303"/>
      <c r="IP19" s="303"/>
      <c r="IQ19" s="303"/>
      <c r="IR19" s="303"/>
      <c r="IS19" s="303"/>
      <c r="IT19" s="303"/>
      <c r="IU19" s="303"/>
      <c r="IV19" s="303"/>
      <c r="IW19" s="303"/>
      <c r="IX19" s="303"/>
      <c r="IY19" s="303"/>
      <c r="IZ19" s="303"/>
      <c r="JA19" s="303"/>
      <c r="JB19" s="303"/>
      <c r="JC19" s="303"/>
      <c r="JD19" s="303"/>
      <c r="JE19" s="303"/>
      <c r="JF19" s="303"/>
      <c r="JG19" s="303"/>
      <c r="JH19" s="303"/>
      <c r="JI19" s="303"/>
      <c r="JJ19" s="303"/>
      <c r="JK19" s="303"/>
      <c r="JL19" s="303"/>
      <c r="JM19" s="303"/>
      <c r="JN19" s="303"/>
      <c r="JO19" s="303"/>
      <c r="JP19" s="303"/>
      <c r="JQ19" s="303"/>
      <c r="JR19" s="303"/>
      <c r="JS19" s="303"/>
      <c r="JT19" s="303"/>
      <c r="JU19" s="303"/>
      <c r="JV19" s="303"/>
      <c r="JW19" s="303"/>
      <c r="JX19" s="303"/>
      <c r="JY19" s="303"/>
      <c r="JZ19" s="303"/>
      <c r="KA19" s="303"/>
      <c r="KB19" s="303"/>
      <c r="KC19" s="303"/>
      <c r="KD19" s="303"/>
      <c r="KE19" s="303"/>
      <c r="KF19" s="303"/>
      <c r="KG19" s="303"/>
      <c r="KH19" s="303"/>
      <c r="KI19" s="303"/>
      <c r="KJ19" s="303"/>
      <c r="KK19" s="303"/>
      <c r="KL19" s="303"/>
      <c r="KM19" s="303"/>
      <c r="KN19" s="303"/>
      <c r="KO19" s="303"/>
      <c r="KP19" s="303"/>
      <c r="KQ19" s="303"/>
      <c r="KR19" s="303"/>
      <c r="KS19" s="303"/>
      <c r="KT19" s="303"/>
      <c r="KU19" s="303"/>
      <c r="KV19" s="303"/>
      <c r="KW19" s="303"/>
      <c r="KX19" s="303"/>
      <c r="KY19" s="303"/>
      <c r="KZ19" s="303"/>
      <c r="LA19" s="303"/>
      <c r="LB19" s="303"/>
      <c r="LC19" s="303"/>
      <c r="LD19" s="303"/>
      <c r="LE19" s="303"/>
      <c r="LF19" s="303"/>
      <c r="LG19" s="303"/>
      <c r="LH19" s="303"/>
      <c r="LI19" s="303"/>
      <c r="LJ19" s="303"/>
      <c r="LK19" s="303"/>
      <c r="LL19" s="303"/>
      <c r="LM19" s="303"/>
      <c r="LN19" s="303"/>
      <c r="LO19" s="303"/>
      <c r="LP19" s="303"/>
      <c r="LQ19" s="303"/>
      <c r="LR19" s="303"/>
      <c r="LS19" s="303"/>
      <c r="LT19" s="303"/>
      <c r="LU19" s="303"/>
      <c r="LV19" s="303"/>
      <c r="LW19" s="303"/>
      <c r="LX19" s="303"/>
      <c r="LY19" s="303"/>
      <c r="LZ19" s="303"/>
      <c r="MA19" s="303"/>
      <c r="MB19" s="303"/>
      <c r="MC19" s="303"/>
      <c r="MD19" s="303"/>
      <c r="ME19" s="303"/>
      <c r="MF19" s="303"/>
      <c r="MG19" s="303"/>
      <c r="MH19" s="303"/>
      <c r="MI19" s="303"/>
      <c r="MJ19" s="303"/>
      <c r="MK19" s="303"/>
      <c r="ML19" s="303"/>
      <c r="MM19" s="303"/>
      <c r="MN19" s="303"/>
      <c r="MO19" s="303"/>
      <c r="MP19" s="303"/>
      <c r="MQ19" s="303"/>
      <c r="MR19" s="303"/>
      <c r="MS19" s="303"/>
      <c r="MT19" s="303"/>
      <c r="MU19" s="303"/>
      <c r="MV19" s="303"/>
      <c r="MW19" s="303"/>
      <c r="MX19" s="303"/>
      <c r="MY19" s="303"/>
      <c r="MZ19" s="303"/>
      <c r="NA19" s="303"/>
      <c r="NB19" s="303"/>
      <c r="NC19" s="303"/>
      <c r="ND19" s="303"/>
      <c r="NE19" s="303"/>
      <c r="NF19" s="303"/>
      <c r="NG19" s="303"/>
      <c r="NH19" s="303"/>
      <c r="NI19" s="303"/>
      <c r="NJ19" s="303"/>
      <c r="NK19" s="303"/>
      <c r="NL19" s="303"/>
      <c r="NM19" s="303"/>
      <c r="NN19" s="303"/>
      <c r="NO19" s="303"/>
      <c r="NP19" s="303"/>
      <c r="NQ19" s="303"/>
      <c r="NR19" s="303"/>
      <c r="NS19" s="303"/>
      <c r="NT19" s="303"/>
      <c r="NU19" s="303"/>
      <c r="NV19" s="303"/>
      <c r="NW19" s="303"/>
      <c r="NX19" s="303"/>
      <c r="NY19" s="303"/>
      <c r="NZ19" s="303"/>
      <c r="OA19" s="303"/>
      <c r="OB19" s="303"/>
      <c r="OC19" s="303"/>
      <c r="OD19" s="303"/>
      <c r="OE19" s="303"/>
      <c r="OF19" s="303"/>
      <c r="OG19" s="303"/>
      <c r="OH19" s="303"/>
      <c r="OI19" s="303"/>
      <c r="OJ19" s="303"/>
      <c r="OK19" s="303"/>
      <c r="OL19" s="303"/>
      <c r="OM19" s="303"/>
      <c r="ON19" s="303"/>
      <c r="OO19" s="303"/>
      <c r="OP19" s="303"/>
      <c r="OQ19" s="303"/>
      <c r="OR19" s="303"/>
      <c r="OS19" s="303"/>
      <c r="OT19" s="303"/>
      <c r="OU19" s="303"/>
      <c r="OV19" s="303"/>
      <c r="OW19" s="303"/>
      <c r="OX19" s="303"/>
      <c r="OY19" s="303"/>
      <c r="OZ19" s="303"/>
      <c r="PA19" s="303"/>
      <c r="PB19" s="303"/>
      <c r="PC19" s="303"/>
      <c r="PD19" s="303"/>
      <c r="PE19" s="303"/>
      <c r="PF19" s="303"/>
      <c r="PG19" s="303"/>
      <c r="PH19" s="303"/>
      <c r="PI19" s="303"/>
      <c r="PJ19" s="303"/>
      <c r="PK19" s="303"/>
      <c r="PL19" s="303"/>
      <c r="PM19" s="303"/>
      <c r="PN19" s="303"/>
      <c r="PO19" s="303"/>
      <c r="PP19" s="303"/>
      <c r="PQ19" s="303"/>
      <c r="PR19" s="303"/>
      <c r="PS19" s="303"/>
      <c r="PT19" s="303"/>
      <c r="PU19" s="303"/>
      <c r="PV19" s="303"/>
      <c r="PW19" s="303"/>
      <c r="PX19" s="303"/>
      <c r="PY19" s="303"/>
      <c r="PZ19" s="303"/>
      <c r="QA19" s="303"/>
      <c r="QB19" s="303"/>
      <c r="QC19" s="303"/>
      <c r="QD19" s="303"/>
      <c r="QE19" s="303"/>
      <c r="QF19" s="303"/>
      <c r="QG19" s="303"/>
      <c r="QH19" s="303"/>
      <c r="QI19" s="303"/>
      <c r="QJ19" s="303"/>
      <c r="QK19" s="303"/>
      <c r="QL19" s="303"/>
      <c r="QM19" s="303"/>
      <c r="QN19" s="303"/>
      <c r="QO19" s="303"/>
      <c r="QP19" s="303"/>
      <c r="QQ19" s="303"/>
      <c r="QR19" s="303"/>
      <c r="QS19" s="303"/>
      <c r="QT19" s="303"/>
      <c r="QU19" s="303"/>
      <c r="QV19" s="303"/>
      <c r="QW19" s="303"/>
      <c r="QX19" s="303"/>
      <c r="QY19" s="303"/>
      <c r="QZ19" s="303"/>
      <c r="RA19" s="303"/>
      <c r="RB19" s="303"/>
      <c r="RC19" s="303"/>
      <c r="RD19" s="303"/>
      <c r="RE19" s="303"/>
      <c r="RF19" s="303"/>
      <c r="RG19" s="303"/>
      <c r="RH19" s="303"/>
      <c r="RI19" s="303"/>
      <c r="RJ19" s="303"/>
      <c r="RK19" s="303"/>
      <c r="RL19" s="303"/>
      <c r="RM19" s="303"/>
      <c r="RN19" s="303"/>
      <c r="RO19" s="303"/>
      <c r="RP19" s="303"/>
      <c r="RQ19" s="303"/>
      <c r="RR19" s="303"/>
      <c r="RS19" s="303"/>
      <c r="RT19" s="303"/>
      <c r="RU19" s="303"/>
      <c r="RV19" s="303"/>
      <c r="RW19" s="303"/>
      <c r="RX19" s="303"/>
      <c r="RY19" s="303"/>
      <c r="RZ19" s="303"/>
      <c r="SA19" s="303"/>
      <c r="SB19" s="303"/>
      <c r="SC19" s="303"/>
      <c r="SD19" s="303"/>
      <c r="SE19" s="303"/>
      <c r="SF19" s="303"/>
      <c r="SG19" s="303"/>
      <c r="SH19" s="303"/>
      <c r="SI19" s="303"/>
      <c r="SJ19" s="303"/>
      <c r="SK19" s="303"/>
      <c r="SL19" s="303"/>
      <c r="SM19" s="303"/>
      <c r="SN19" s="303"/>
      <c r="SO19" s="303"/>
      <c r="SP19" s="303"/>
      <c r="SQ19" s="303"/>
      <c r="SR19" s="303"/>
      <c r="SS19" s="303"/>
      <c r="ST19" s="303"/>
      <c r="SU19" s="303"/>
      <c r="SV19" s="303"/>
      <c r="SW19" s="303"/>
      <c r="SX19" s="303"/>
      <c r="SY19" s="303"/>
      <c r="SZ19" s="303"/>
      <c r="TA19" s="303"/>
      <c r="TB19" s="303"/>
      <c r="TC19" s="303"/>
      <c r="TD19" s="303"/>
      <c r="TE19" s="303"/>
      <c r="TF19" s="303"/>
      <c r="TG19" s="303"/>
      <c r="TH19" s="303"/>
      <c r="TI19" s="303"/>
      <c r="TJ19" s="303"/>
      <c r="TK19" s="303"/>
      <c r="TL19" s="303"/>
      <c r="TM19" s="303"/>
      <c r="TN19" s="303"/>
      <c r="TO19" s="303"/>
      <c r="TP19" s="303"/>
      <c r="TQ19" s="303"/>
      <c r="TR19" s="303"/>
      <c r="TS19" s="303"/>
      <c r="TT19" s="303"/>
      <c r="TU19" s="303"/>
      <c r="TV19" s="303"/>
      <c r="TW19" s="303"/>
      <c r="TX19" s="303"/>
      <c r="TY19" s="303"/>
      <c r="TZ19" s="303"/>
      <c r="UA19" s="303"/>
      <c r="UB19" s="303"/>
      <c r="UC19" s="303"/>
      <c r="UD19" s="303"/>
      <c r="UE19" s="303"/>
      <c r="UF19" s="303"/>
      <c r="UG19" s="303"/>
      <c r="UH19" s="303"/>
      <c r="UI19" s="303"/>
      <c r="UJ19" s="303"/>
      <c r="UK19" s="303"/>
      <c r="UL19" s="303"/>
      <c r="UM19" s="303"/>
      <c r="UN19" s="303"/>
      <c r="UO19" s="303"/>
      <c r="UP19" s="303"/>
      <c r="UQ19" s="303"/>
      <c r="UR19" s="303"/>
      <c r="US19" s="303"/>
      <c r="UT19" s="303"/>
      <c r="UU19" s="303"/>
      <c r="UV19" s="303"/>
      <c r="UW19" s="303"/>
      <c r="UX19" s="303"/>
      <c r="UY19" s="303"/>
      <c r="UZ19" s="303"/>
      <c r="VA19" s="303"/>
      <c r="VB19" s="303"/>
      <c r="VC19" s="303"/>
      <c r="VD19" s="303"/>
      <c r="VE19" s="303"/>
      <c r="VF19" s="303"/>
      <c r="VG19" s="303"/>
      <c r="VH19" s="303"/>
      <c r="VI19" s="303"/>
      <c r="VJ19" s="303"/>
      <c r="VK19" s="303"/>
      <c r="VL19" s="303"/>
      <c r="VM19" s="303"/>
      <c r="VN19" s="303"/>
      <c r="VO19" s="303"/>
      <c r="VP19" s="303"/>
      <c r="VQ19" s="303"/>
      <c r="VR19" s="303"/>
      <c r="VS19" s="303"/>
      <c r="VT19" s="303"/>
      <c r="VU19" s="303"/>
      <c r="VV19" s="303"/>
      <c r="VW19" s="303"/>
      <c r="VX19" s="303"/>
      <c r="VY19" s="303"/>
      <c r="VZ19" s="303"/>
      <c r="WA19" s="303"/>
      <c r="WB19" s="303"/>
      <c r="WC19" s="303"/>
      <c r="WD19" s="303"/>
      <c r="WE19" s="303"/>
      <c r="WF19" s="303"/>
      <c r="WG19" s="303"/>
      <c r="WH19" s="303"/>
      <c r="WI19" s="303"/>
      <c r="WJ19" s="303"/>
      <c r="WK19" s="303"/>
      <c r="WL19" s="303"/>
      <c r="WM19" s="303"/>
      <c r="WN19" s="303"/>
      <c r="WO19" s="303"/>
      <c r="WP19" s="303"/>
      <c r="WQ19" s="303"/>
      <c r="WR19" s="303"/>
      <c r="WS19" s="303"/>
      <c r="WT19" s="303"/>
      <c r="WU19" s="303"/>
      <c r="WV19" s="303"/>
      <c r="WW19" s="303"/>
      <c r="WX19" s="303"/>
      <c r="WY19" s="303"/>
      <c r="WZ19" s="303"/>
      <c r="XA19" s="303"/>
      <c r="XB19" s="303"/>
      <c r="XC19" s="303"/>
      <c r="XD19" s="303"/>
      <c r="XE19" s="303"/>
      <c r="XF19" s="303"/>
      <c r="XG19" s="303"/>
      <c r="XH19" s="303"/>
      <c r="XI19" s="303"/>
      <c r="XJ19" s="303"/>
      <c r="XK19" s="303"/>
      <c r="XL19" s="303"/>
      <c r="XM19" s="303"/>
      <c r="XN19" s="303"/>
      <c r="XO19" s="303"/>
      <c r="XP19" s="303"/>
      <c r="XQ19" s="303"/>
      <c r="XR19" s="303"/>
      <c r="XS19" s="303"/>
      <c r="XT19" s="303"/>
      <c r="XU19" s="303"/>
      <c r="XV19" s="303"/>
      <c r="XW19" s="303"/>
      <c r="XX19" s="303"/>
      <c r="XY19" s="303"/>
      <c r="XZ19" s="303"/>
      <c r="YA19" s="303"/>
      <c r="YB19" s="303"/>
      <c r="YC19" s="303"/>
      <c r="YD19" s="303"/>
      <c r="YE19" s="303"/>
      <c r="YF19" s="303"/>
      <c r="YG19" s="303"/>
      <c r="YH19" s="303"/>
      <c r="YI19" s="303"/>
      <c r="YJ19" s="303"/>
      <c r="YK19" s="303"/>
      <c r="YL19" s="303"/>
      <c r="YM19" s="303"/>
      <c r="YN19" s="303"/>
      <c r="YO19" s="303"/>
      <c r="YP19" s="303"/>
      <c r="YQ19" s="303"/>
      <c r="YR19" s="303"/>
      <c r="YS19" s="303"/>
      <c r="YT19" s="303"/>
      <c r="YU19" s="303"/>
      <c r="YV19" s="303"/>
      <c r="YW19" s="303"/>
      <c r="YX19" s="303"/>
      <c r="YY19" s="303"/>
      <c r="YZ19" s="303"/>
      <c r="ZA19" s="303"/>
      <c r="ZB19" s="303"/>
      <c r="ZC19" s="303"/>
      <c r="ZD19" s="303"/>
      <c r="ZE19" s="303"/>
      <c r="ZF19" s="303"/>
      <c r="ZG19" s="303"/>
      <c r="ZH19" s="303"/>
      <c r="ZI19" s="303"/>
      <c r="ZJ19" s="303"/>
      <c r="ZK19" s="303"/>
      <c r="ZL19" s="303"/>
      <c r="ZM19" s="303"/>
      <c r="ZN19" s="303"/>
      <c r="ZO19" s="303"/>
      <c r="ZP19" s="303"/>
      <c r="ZQ19" s="303"/>
      <c r="ZR19" s="303"/>
      <c r="ZS19" s="303"/>
      <c r="ZT19" s="303"/>
      <c r="ZU19" s="303"/>
      <c r="ZV19" s="303"/>
      <c r="ZW19" s="303"/>
      <c r="ZX19" s="303"/>
      <c r="ZY19" s="303"/>
      <c r="ZZ19" s="303"/>
      <c r="AAA19" s="303"/>
      <c r="AAB19" s="303"/>
      <c r="AAC19" s="303"/>
      <c r="AAD19" s="303"/>
      <c r="AAE19" s="303"/>
      <c r="AAF19" s="303"/>
      <c r="AAG19" s="303"/>
      <c r="AAH19" s="303"/>
      <c r="AAI19" s="303"/>
      <c r="AAJ19" s="303"/>
      <c r="AAK19" s="303"/>
      <c r="AAL19" s="303"/>
      <c r="AAM19" s="303"/>
      <c r="AAN19" s="303"/>
      <c r="AAO19" s="303"/>
      <c r="AAP19" s="303"/>
      <c r="AAQ19" s="303"/>
      <c r="AAR19" s="303"/>
      <c r="AAS19" s="303"/>
      <c r="AAT19" s="303"/>
      <c r="AAU19" s="303"/>
      <c r="AAV19" s="303"/>
      <c r="AAW19" s="303"/>
      <c r="AAX19" s="303"/>
      <c r="AAY19" s="303"/>
      <c r="AAZ19" s="303"/>
      <c r="ABA19" s="303"/>
      <c r="ABB19" s="303"/>
      <c r="ABC19" s="303"/>
      <c r="ABD19" s="303"/>
      <c r="ABE19" s="303"/>
      <c r="ABF19" s="303"/>
      <c r="ABG19" s="303"/>
      <c r="ABH19" s="303"/>
      <c r="ABI19" s="303"/>
      <c r="ABJ19" s="303"/>
      <c r="ABK19" s="303"/>
      <c r="ABL19" s="303"/>
      <c r="ABM19" s="303"/>
      <c r="ABN19" s="303"/>
      <c r="ABO19" s="303"/>
      <c r="ABP19" s="303"/>
      <c r="ABQ19" s="303"/>
      <c r="ABR19" s="303"/>
      <c r="ABS19" s="303"/>
      <c r="ABT19" s="303"/>
      <c r="ABU19" s="303"/>
      <c r="ABV19" s="303"/>
      <c r="ABW19" s="303"/>
      <c r="ABX19" s="303"/>
      <c r="ABY19" s="303"/>
      <c r="ABZ19" s="303"/>
      <c r="ACA19" s="303"/>
      <c r="ACB19" s="303"/>
      <c r="ACC19" s="303"/>
      <c r="ACD19" s="303"/>
      <c r="ACE19" s="303"/>
      <c r="ACF19" s="303"/>
      <c r="ACG19" s="303"/>
      <c r="ACH19" s="303"/>
      <c r="ACI19" s="303"/>
      <c r="ACJ19" s="303"/>
      <c r="ACK19" s="303"/>
      <c r="ACL19" s="303"/>
      <c r="ACM19" s="303"/>
      <c r="ACN19" s="303"/>
      <c r="ACO19" s="303"/>
      <c r="ACP19" s="303"/>
      <c r="ACQ19" s="303"/>
      <c r="ACR19" s="303"/>
      <c r="ACS19" s="303"/>
      <c r="ACT19" s="303"/>
      <c r="ACU19" s="303"/>
      <c r="ACV19" s="303"/>
      <c r="ACW19" s="303"/>
      <c r="ACX19" s="303"/>
      <c r="ACY19" s="303"/>
      <c r="ACZ19" s="303"/>
      <c r="ADA19" s="303"/>
      <c r="ADB19" s="303"/>
      <c r="ADC19" s="303"/>
      <c r="ADD19" s="303"/>
      <c r="ADE19" s="303"/>
      <c r="ADF19" s="303"/>
      <c r="ADG19" s="303"/>
      <c r="ADH19" s="303"/>
      <c r="ADI19" s="303"/>
      <c r="ADJ19" s="303"/>
      <c r="ADK19" s="303"/>
      <c r="ADL19" s="303"/>
      <c r="ADM19" s="303"/>
      <c r="ADN19" s="303"/>
      <c r="ADO19" s="303"/>
      <c r="ADP19" s="303"/>
      <c r="ADQ19" s="303"/>
      <c r="ADR19" s="303"/>
      <c r="ADS19" s="303"/>
      <c r="ADT19" s="303"/>
      <c r="ADU19" s="303"/>
      <c r="ADV19" s="303"/>
      <c r="ADW19" s="303"/>
      <c r="ADX19" s="303"/>
      <c r="ADY19" s="303"/>
      <c r="ADZ19" s="303"/>
      <c r="AEA19" s="303"/>
      <c r="AEB19" s="303"/>
      <c r="AEC19" s="303"/>
      <c r="AED19" s="303"/>
      <c r="AEE19" s="303"/>
      <c r="AEF19" s="303"/>
      <c r="AEG19" s="303"/>
      <c r="AEH19" s="303"/>
      <c r="AEI19" s="303"/>
      <c r="AEJ19" s="303"/>
      <c r="AEK19" s="303"/>
      <c r="AEL19" s="303"/>
      <c r="AEM19" s="303"/>
      <c r="AEN19" s="303"/>
      <c r="AEO19" s="303"/>
      <c r="AEP19" s="303"/>
      <c r="AEQ19" s="303"/>
      <c r="AER19" s="303"/>
      <c r="AES19" s="303"/>
      <c r="AET19" s="303"/>
      <c r="AEU19" s="303"/>
      <c r="AEV19" s="303"/>
      <c r="AEW19" s="303"/>
      <c r="AEX19" s="303"/>
      <c r="AEY19" s="303"/>
      <c r="AEZ19" s="303"/>
      <c r="AFA19" s="303"/>
      <c r="AFB19" s="303"/>
      <c r="AFC19" s="303"/>
      <c r="AFD19" s="303"/>
      <c r="AFE19" s="303"/>
      <c r="AFF19" s="303"/>
      <c r="AFG19" s="303"/>
      <c r="AFH19" s="303"/>
      <c r="AFI19" s="303"/>
      <c r="AFJ19" s="303"/>
      <c r="AFK19" s="303"/>
      <c r="AFL19" s="303"/>
      <c r="AFM19" s="303"/>
      <c r="AFN19" s="303"/>
      <c r="AFO19" s="303"/>
      <c r="AFP19" s="303"/>
      <c r="AFQ19" s="303"/>
      <c r="AFR19" s="303"/>
      <c r="AFS19" s="303"/>
      <c r="AFT19" s="303"/>
      <c r="AFU19" s="303"/>
      <c r="AFV19" s="303"/>
      <c r="AFW19" s="303"/>
      <c r="AFX19" s="303"/>
      <c r="AFY19" s="303"/>
      <c r="AFZ19" s="303"/>
      <c r="AGA19" s="303"/>
      <c r="AGB19" s="303"/>
      <c r="AGC19" s="303"/>
      <c r="AGD19" s="303"/>
      <c r="AGE19" s="303"/>
      <c r="AGF19" s="303"/>
      <c r="AGG19" s="303"/>
      <c r="AGH19" s="303"/>
      <c r="AGI19" s="303"/>
      <c r="AGJ19" s="303"/>
      <c r="AGK19" s="303"/>
      <c r="AGL19" s="303"/>
      <c r="AGM19" s="303"/>
      <c r="AGN19" s="303"/>
      <c r="AGO19" s="303"/>
      <c r="AGP19" s="303"/>
      <c r="AGQ19" s="303"/>
      <c r="AGR19" s="303"/>
      <c r="AGS19" s="303"/>
      <c r="AGT19" s="303"/>
      <c r="AGU19" s="303"/>
      <c r="AGV19" s="303"/>
      <c r="AGW19" s="303"/>
      <c r="AGX19" s="303"/>
      <c r="AGY19" s="303"/>
      <c r="AGZ19" s="303"/>
      <c r="AHA19" s="303"/>
      <c r="AHB19" s="303"/>
      <c r="AHC19" s="303"/>
      <c r="AHD19" s="303"/>
      <c r="AHE19" s="303"/>
      <c r="AHF19" s="303"/>
      <c r="AHG19" s="303"/>
      <c r="AHH19" s="303"/>
      <c r="AHI19" s="303"/>
      <c r="AHJ19" s="303"/>
      <c r="AHK19" s="303"/>
      <c r="AHL19" s="303"/>
      <c r="AHM19" s="303"/>
      <c r="AHN19" s="303"/>
      <c r="AHO19" s="303"/>
      <c r="AHP19" s="303"/>
      <c r="AHQ19" s="303"/>
      <c r="AHR19" s="303"/>
      <c r="AHS19" s="303"/>
      <c r="AHT19" s="303"/>
      <c r="AHU19" s="303"/>
      <c r="AHV19" s="303"/>
      <c r="AHW19" s="303"/>
      <c r="AHX19" s="303"/>
      <c r="AHY19" s="303"/>
      <c r="AHZ19" s="303"/>
      <c r="AIA19" s="303"/>
      <c r="AIB19" s="303"/>
      <c r="AIC19" s="303"/>
      <c r="AID19" s="303"/>
      <c r="AIE19" s="303"/>
      <c r="AIF19" s="303"/>
      <c r="AIG19" s="303"/>
      <c r="AIH19" s="303"/>
      <c r="AII19" s="303"/>
      <c r="AIJ19" s="303"/>
      <c r="AIK19" s="303"/>
      <c r="AIL19" s="303"/>
      <c r="AIM19" s="303"/>
      <c r="AIN19" s="303"/>
      <c r="AIO19" s="303"/>
      <c r="AIP19" s="303"/>
      <c r="AIQ19" s="303"/>
      <c r="AIR19" s="303"/>
      <c r="AIS19" s="303"/>
      <c r="AIT19" s="303"/>
      <c r="AIU19" s="303"/>
      <c r="AIV19" s="303"/>
      <c r="AIW19" s="303"/>
      <c r="AIX19" s="303"/>
      <c r="AIY19" s="303"/>
      <c r="AIZ19" s="303"/>
      <c r="AJA19" s="303"/>
      <c r="AJB19" s="303"/>
      <c r="AJC19" s="303"/>
      <c r="AJD19" s="303"/>
      <c r="AJE19" s="303"/>
      <c r="AJF19" s="303"/>
      <c r="AJG19" s="303"/>
      <c r="AJH19" s="303"/>
      <c r="AJI19" s="303"/>
      <c r="AJJ19" s="303"/>
      <c r="AJK19" s="303"/>
      <c r="AJL19" s="303"/>
      <c r="AJM19" s="303"/>
      <c r="AJN19" s="303"/>
      <c r="AJO19" s="303"/>
      <c r="AJP19" s="303"/>
      <c r="AJQ19" s="303"/>
      <c r="AJR19" s="303"/>
      <c r="AJS19" s="303"/>
      <c r="AJT19" s="303"/>
      <c r="AJU19" s="303"/>
      <c r="AJV19" s="303"/>
      <c r="AJW19" s="303"/>
      <c r="AJX19" s="303"/>
      <c r="AJY19" s="303"/>
      <c r="AJZ19" s="303"/>
      <c r="AKA19" s="303"/>
      <c r="AKB19" s="303"/>
      <c r="AKC19" s="303"/>
      <c r="AKD19" s="303"/>
      <c r="AKE19" s="303"/>
      <c r="AKF19" s="303"/>
      <c r="AKG19" s="303"/>
      <c r="AKH19" s="303"/>
      <c r="AKI19" s="303"/>
      <c r="AKJ19" s="303"/>
      <c r="AKK19" s="303"/>
      <c r="AKL19" s="303"/>
      <c r="AKM19" s="303"/>
      <c r="AKN19" s="303"/>
      <c r="AKO19" s="303"/>
      <c r="AKP19" s="303"/>
      <c r="AKQ19" s="303"/>
      <c r="AKR19" s="303"/>
      <c r="AKS19" s="303"/>
      <c r="AKT19" s="303"/>
      <c r="AKU19" s="303"/>
      <c r="AKV19" s="303"/>
      <c r="AKW19" s="303"/>
      <c r="AKX19" s="303"/>
      <c r="AKY19" s="303"/>
      <c r="AKZ19" s="303"/>
      <c r="ALA19" s="303"/>
      <c r="ALB19" s="303"/>
      <c r="ALC19" s="303"/>
      <c r="ALD19" s="303"/>
      <c r="ALE19" s="303"/>
      <c r="ALF19" s="303"/>
      <c r="ALG19" s="303"/>
      <c r="ALH19" s="303"/>
      <c r="ALI19" s="303"/>
      <c r="ALJ19" s="303"/>
      <c r="ALK19" s="303"/>
      <c r="ALL19" s="303"/>
      <c r="ALM19" s="303"/>
      <c r="ALN19" s="303"/>
      <c r="ALO19" s="303"/>
      <c r="ALP19" s="303"/>
      <c r="ALQ19" s="303"/>
      <c r="ALR19" s="303"/>
      <c r="ALS19" s="303"/>
      <c r="ALT19" s="303"/>
      <c r="ALU19" s="303"/>
      <c r="ALV19" s="303"/>
      <c r="ALW19" s="303"/>
      <c r="ALX19" s="303"/>
      <c r="ALY19" s="303"/>
      <c r="ALZ19" s="303"/>
      <c r="AMA19" s="303"/>
      <c r="AMB19" s="303"/>
      <c r="AMC19" s="303"/>
      <c r="AMD19" s="303"/>
      <c r="AME19" s="303"/>
      <c r="AMF19" s="303"/>
      <c r="AMG19" s="303"/>
      <c r="AMH19" s="303"/>
      <c r="AMI19" s="303"/>
      <c r="AMJ19" s="303"/>
      <c r="AMK19" s="303"/>
      <c r="AML19" s="303"/>
      <c r="AMM19" s="303"/>
      <c r="AMN19" s="303"/>
      <c r="AMO19" s="303"/>
      <c r="AMP19" s="303"/>
      <c r="AMQ19" s="303"/>
      <c r="AMR19" s="303"/>
      <c r="AMS19" s="303"/>
      <c r="AMT19" s="303"/>
      <c r="AMU19" s="303"/>
      <c r="AMV19" s="303"/>
      <c r="AMW19" s="303"/>
      <c r="AMX19" s="303"/>
      <c r="AMY19" s="303"/>
      <c r="AMZ19" s="303"/>
      <c r="ANA19" s="303"/>
      <c r="ANB19" s="303"/>
      <c r="ANC19" s="303"/>
      <c r="AND19" s="303"/>
      <c r="ANE19" s="303"/>
      <c r="ANF19" s="303"/>
      <c r="ANG19" s="303"/>
      <c r="ANH19" s="303"/>
      <c r="ANI19" s="303"/>
      <c r="ANJ19" s="303"/>
      <c r="ANK19" s="303"/>
      <c r="ANL19" s="303"/>
      <c r="ANM19" s="303"/>
      <c r="ANN19" s="303"/>
      <c r="ANO19" s="303"/>
      <c r="ANP19" s="303"/>
      <c r="ANQ19" s="303"/>
      <c r="ANR19" s="303"/>
      <c r="ANS19" s="303"/>
      <c r="ANT19" s="303"/>
      <c r="ANU19" s="303"/>
      <c r="ANV19" s="303"/>
      <c r="ANW19" s="303"/>
      <c r="ANX19" s="303"/>
      <c r="ANY19" s="303"/>
      <c r="ANZ19" s="303"/>
      <c r="AOA19" s="303"/>
      <c r="AOB19" s="303"/>
      <c r="AOC19" s="303"/>
      <c r="AOD19" s="303"/>
      <c r="AOE19" s="303"/>
      <c r="AOF19" s="303"/>
      <c r="AOG19" s="303"/>
      <c r="AOH19" s="303"/>
      <c r="AOI19" s="303"/>
      <c r="AOJ19" s="303"/>
      <c r="AOK19" s="303"/>
      <c r="AOL19" s="303"/>
      <c r="AOM19" s="303"/>
      <c r="AON19" s="303"/>
      <c r="AOO19" s="303"/>
      <c r="AOP19" s="303"/>
      <c r="AOQ19" s="303"/>
      <c r="AOR19" s="303"/>
      <c r="AOS19" s="303"/>
      <c r="AOT19" s="303"/>
      <c r="AOU19" s="303"/>
      <c r="AOV19" s="303"/>
      <c r="AOW19" s="303"/>
      <c r="AOX19" s="303"/>
      <c r="AOY19" s="303"/>
      <c r="AOZ19" s="303"/>
      <c r="APA19" s="303"/>
      <c r="APB19" s="303"/>
      <c r="APC19" s="303"/>
      <c r="APD19" s="303"/>
      <c r="APE19" s="303"/>
      <c r="APF19" s="303"/>
      <c r="APG19" s="303"/>
      <c r="APH19" s="303"/>
      <c r="API19" s="303"/>
      <c r="APJ19" s="303"/>
      <c r="APK19" s="303"/>
      <c r="APL19" s="303"/>
      <c r="APM19" s="303"/>
      <c r="APN19" s="303"/>
      <c r="APO19" s="303"/>
      <c r="APP19" s="303"/>
      <c r="APQ19" s="303"/>
      <c r="APR19" s="303"/>
      <c r="APS19" s="303"/>
      <c r="APT19" s="303"/>
      <c r="APU19" s="303"/>
      <c r="APV19" s="303"/>
      <c r="APW19" s="303"/>
      <c r="APX19" s="303"/>
      <c r="APY19" s="303"/>
      <c r="APZ19" s="303"/>
      <c r="AQA19" s="303"/>
      <c r="AQB19" s="303"/>
      <c r="AQC19" s="303"/>
      <c r="AQD19" s="303"/>
      <c r="AQE19" s="303"/>
      <c r="AQF19" s="303"/>
      <c r="AQG19" s="303"/>
      <c r="AQH19" s="303"/>
      <c r="AQI19" s="303"/>
      <c r="AQJ19" s="303"/>
      <c r="AQK19" s="303"/>
      <c r="AQL19" s="303"/>
      <c r="AQM19" s="303"/>
      <c r="AQN19" s="303"/>
      <c r="AQO19" s="303"/>
      <c r="AQP19" s="303"/>
      <c r="AQQ19" s="303"/>
      <c r="AQR19" s="303"/>
      <c r="AQS19" s="303"/>
      <c r="AQT19" s="303"/>
      <c r="AQU19" s="303"/>
      <c r="AQV19" s="303"/>
      <c r="AQW19" s="303"/>
      <c r="AQX19" s="303"/>
      <c r="AQY19" s="303"/>
      <c r="AQZ19" s="303"/>
      <c r="ARA19" s="303"/>
      <c r="ARB19" s="303"/>
      <c r="ARC19" s="303"/>
      <c r="ARD19" s="303"/>
      <c r="ARE19" s="303"/>
      <c r="ARF19" s="303"/>
      <c r="ARG19" s="303"/>
      <c r="ARH19" s="303"/>
      <c r="ARI19" s="303"/>
      <c r="ARJ19" s="303"/>
      <c r="ARK19" s="303"/>
      <c r="ARL19" s="303"/>
      <c r="ARM19" s="303"/>
      <c r="ARN19" s="303"/>
      <c r="ARO19" s="303"/>
      <c r="ARP19" s="303"/>
      <c r="ARQ19" s="303"/>
      <c r="ARR19" s="303"/>
      <c r="ARS19" s="303"/>
      <c r="ART19" s="303"/>
      <c r="ARU19" s="303"/>
      <c r="ARV19" s="303"/>
      <c r="ARW19" s="303"/>
      <c r="ARX19" s="303"/>
      <c r="ARY19" s="303"/>
      <c r="ARZ19" s="303"/>
      <c r="ASA19" s="303"/>
      <c r="ASB19" s="303"/>
      <c r="ASC19" s="303"/>
      <c r="ASD19" s="303"/>
      <c r="ASE19" s="303"/>
      <c r="ASF19" s="303"/>
      <c r="ASG19" s="303"/>
      <c r="ASH19" s="303"/>
      <c r="ASI19" s="303"/>
      <c r="ASJ19" s="303"/>
      <c r="ASK19" s="303"/>
      <c r="ASL19" s="303"/>
      <c r="ASM19" s="303"/>
      <c r="ASN19" s="303"/>
      <c r="ASO19" s="303"/>
      <c r="ASP19" s="303"/>
      <c r="ASQ19" s="303"/>
      <c r="ASR19" s="303"/>
      <c r="ASS19" s="303"/>
      <c r="AST19" s="303"/>
      <c r="ASU19" s="303"/>
      <c r="ASV19" s="303"/>
      <c r="ASW19" s="303"/>
      <c r="ASX19" s="303"/>
      <c r="ASY19" s="303"/>
      <c r="ASZ19" s="303"/>
      <c r="ATA19" s="303"/>
      <c r="ATB19" s="303"/>
      <c r="ATC19" s="303"/>
      <c r="ATD19" s="303"/>
      <c r="ATE19" s="303"/>
      <c r="ATF19" s="303"/>
      <c r="ATG19" s="303"/>
      <c r="ATH19" s="303"/>
      <c r="ATI19" s="303"/>
      <c r="ATJ19" s="303"/>
      <c r="ATK19" s="303"/>
      <c r="ATL19" s="303"/>
      <c r="ATM19" s="303"/>
      <c r="ATN19" s="303"/>
      <c r="ATO19" s="303"/>
      <c r="ATP19" s="303"/>
      <c r="ATQ19" s="303"/>
      <c r="ATR19" s="303"/>
      <c r="ATS19" s="303"/>
      <c r="ATT19" s="303"/>
      <c r="ATU19" s="303"/>
      <c r="ATV19" s="303"/>
      <c r="ATW19" s="303"/>
      <c r="ATX19" s="303"/>
      <c r="ATY19" s="303"/>
      <c r="ATZ19" s="303"/>
      <c r="AUA19" s="303"/>
      <c r="AUB19" s="303"/>
      <c r="AUC19" s="303"/>
      <c r="AUD19" s="303"/>
      <c r="AUE19" s="303"/>
      <c r="AUF19" s="303"/>
      <c r="AUG19" s="303"/>
      <c r="AUH19" s="303"/>
      <c r="AUI19" s="303"/>
      <c r="AUJ19" s="303"/>
      <c r="AUK19" s="303"/>
      <c r="AUL19" s="303"/>
      <c r="AUM19" s="303"/>
      <c r="AUN19" s="303"/>
      <c r="AUO19" s="303"/>
      <c r="AUP19" s="303"/>
      <c r="AUQ19" s="303"/>
      <c r="AUR19" s="303"/>
      <c r="AUS19" s="303"/>
      <c r="AUT19" s="303"/>
      <c r="AUU19" s="303"/>
      <c r="AUV19" s="303"/>
      <c r="AUW19" s="303"/>
      <c r="AUX19" s="303"/>
      <c r="AUY19" s="303"/>
      <c r="AUZ19" s="303"/>
      <c r="AVA19" s="303"/>
      <c r="AVB19" s="303"/>
      <c r="AVC19" s="303"/>
      <c r="AVD19" s="303"/>
      <c r="AVE19" s="303"/>
      <c r="AVF19" s="303"/>
      <c r="AVG19" s="303"/>
      <c r="AVH19" s="303"/>
      <c r="AVI19" s="303"/>
      <c r="AVJ19" s="303"/>
      <c r="AVK19" s="303"/>
      <c r="AVL19" s="303"/>
      <c r="AVM19" s="303"/>
      <c r="AVN19" s="303"/>
      <c r="AVO19" s="303"/>
      <c r="AVP19" s="303"/>
      <c r="AVQ19" s="303"/>
      <c r="AVR19" s="303"/>
      <c r="AVS19" s="303"/>
      <c r="AVT19" s="303"/>
      <c r="AVU19" s="303"/>
      <c r="AVV19" s="303"/>
      <c r="AVW19" s="303"/>
      <c r="AVX19" s="303"/>
      <c r="AVY19" s="303"/>
      <c r="AVZ19" s="303"/>
      <c r="AWA19" s="303"/>
      <c r="AWB19" s="303"/>
      <c r="AWC19" s="303"/>
      <c r="AWD19" s="303"/>
      <c r="AWE19" s="303"/>
      <c r="AWF19" s="303"/>
      <c r="AWG19" s="303"/>
      <c r="AWH19" s="303"/>
      <c r="AWI19" s="303"/>
      <c r="AWJ19" s="303"/>
      <c r="AWK19" s="303"/>
      <c r="AWL19" s="303"/>
      <c r="AWM19" s="303"/>
      <c r="AWN19" s="303"/>
      <c r="AWO19" s="303"/>
      <c r="AWP19" s="303"/>
      <c r="AWQ19" s="303"/>
      <c r="AWR19" s="303"/>
      <c r="AWS19" s="303"/>
      <c r="AWT19" s="303"/>
      <c r="AWU19" s="303"/>
      <c r="AWV19" s="303"/>
      <c r="AWW19" s="303"/>
      <c r="AWX19" s="303"/>
      <c r="AWY19" s="303"/>
      <c r="AWZ19" s="303"/>
      <c r="AXA19" s="303"/>
      <c r="AXB19" s="303"/>
      <c r="AXC19" s="303"/>
      <c r="AXD19" s="303"/>
      <c r="AXE19" s="303"/>
      <c r="AXF19" s="303"/>
      <c r="AXG19" s="303"/>
      <c r="AXH19" s="303"/>
      <c r="AXI19" s="303"/>
      <c r="AXJ19" s="303"/>
      <c r="AXK19" s="303"/>
      <c r="AXL19" s="303"/>
      <c r="AXM19" s="303"/>
      <c r="AXN19" s="303"/>
      <c r="AXO19" s="303"/>
      <c r="AXP19" s="303"/>
      <c r="AXQ19" s="303"/>
      <c r="AXR19" s="303"/>
      <c r="AXS19" s="303"/>
      <c r="AXT19" s="303"/>
      <c r="AXU19" s="303"/>
      <c r="AXV19" s="303"/>
      <c r="AXW19" s="303"/>
      <c r="AXX19" s="303"/>
      <c r="AXY19" s="303"/>
      <c r="AXZ19" s="303"/>
      <c r="AYA19" s="303"/>
      <c r="AYB19" s="303"/>
      <c r="AYC19" s="303"/>
      <c r="AYD19" s="303"/>
      <c r="AYE19" s="303"/>
      <c r="AYF19" s="303"/>
      <c r="AYG19" s="303"/>
      <c r="AYH19" s="303"/>
    </row>
    <row r="20" spans="1:1334" ht="36.75" x14ac:dyDescent="0.25">
      <c r="A20" s="304" t="s">
        <v>1099</v>
      </c>
      <c r="B20" s="298" t="s">
        <v>1104</v>
      </c>
      <c r="C20" s="303"/>
      <c r="D20" s="303"/>
      <c r="E20" s="303"/>
      <c r="F20" s="303"/>
      <c r="G20" s="303"/>
      <c r="H20" s="303"/>
      <c r="I20" s="303"/>
      <c r="J20" s="303"/>
      <c r="K20" s="303"/>
      <c r="L20" s="303"/>
      <c r="M20" s="303"/>
      <c r="N20" s="303"/>
      <c r="O20" s="303"/>
      <c r="P20" s="303"/>
      <c r="Q20" s="303"/>
      <c r="R20" s="303"/>
      <c r="S20" s="303"/>
      <c r="T20" s="303"/>
      <c r="U20" s="303"/>
      <c r="V20" s="303"/>
      <c r="W20" s="303"/>
      <c r="X20" s="303"/>
      <c r="Y20" s="303"/>
      <c r="Z20" s="303"/>
      <c r="AA20" s="303"/>
      <c r="AB20" s="303"/>
      <c r="AC20" s="303"/>
      <c r="AD20" s="303"/>
      <c r="AE20" s="303"/>
      <c r="AF20" s="303"/>
      <c r="AG20" s="303"/>
      <c r="AH20" s="303"/>
      <c r="AI20" s="303"/>
      <c r="AJ20" s="303"/>
      <c r="AK20" s="303"/>
      <c r="AL20" s="303"/>
      <c r="AM20" s="303"/>
      <c r="AN20" s="303"/>
      <c r="AO20" s="303"/>
      <c r="AP20" s="303"/>
      <c r="AQ20" s="303"/>
      <c r="AR20" s="303"/>
      <c r="AS20" s="303"/>
      <c r="AT20" s="303"/>
      <c r="AU20" s="303"/>
      <c r="AV20" s="303"/>
      <c r="AW20" s="303"/>
      <c r="AX20" s="303"/>
      <c r="AY20" s="303"/>
      <c r="AZ20" s="303"/>
      <c r="BA20" s="303"/>
      <c r="BB20" s="303"/>
      <c r="BC20" s="303"/>
      <c r="BD20" s="303"/>
      <c r="BE20" s="303"/>
      <c r="BF20" s="303"/>
      <c r="BG20" s="303"/>
      <c r="BH20" s="303"/>
      <c r="BI20" s="303"/>
      <c r="BJ20" s="303"/>
      <c r="BK20" s="303"/>
      <c r="BL20" s="303"/>
      <c r="BM20" s="303"/>
      <c r="BN20" s="303"/>
      <c r="BO20" s="303"/>
      <c r="BP20" s="303"/>
      <c r="BQ20" s="303"/>
      <c r="BR20" s="303"/>
      <c r="BS20" s="303"/>
      <c r="BT20" s="303"/>
      <c r="BU20" s="303"/>
      <c r="BV20" s="303"/>
      <c r="BW20" s="303"/>
      <c r="BX20" s="303"/>
      <c r="BY20" s="303"/>
      <c r="BZ20" s="303"/>
      <c r="CA20" s="303"/>
      <c r="CB20" s="303"/>
      <c r="CC20" s="303"/>
      <c r="CD20" s="303"/>
      <c r="CE20" s="303"/>
      <c r="CF20" s="303"/>
      <c r="CG20" s="303"/>
      <c r="CH20" s="303"/>
      <c r="CI20" s="303"/>
      <c r="CJ20" s="303"/>
      <c r="CK20" s="303"/>
      <c r="CL20" s="303"/>
      <c r="CM20" s="303"/>
      <c r="CN20" s="303"/>
      <c r="CO20" s="303"/>
      <c r="CP20" s="303"/>
      <c r="CQ20" s="303"/>
      <c r="CR20" s="303"/>
      <c r="CS20" s="303"/>
      <c r="CT20" s="303"/>
      <c r="CU20" s="303"/>
      <c r="CV20" s="303"/>
      <c r="CW20" s="303"/>
      <c r="CX20" s="303"/>
      <c r="CY20" s="303"/>
      <c r="CZ20" s="303"/>
      <c r="DA20" s="303"/>
      <c r="DB20" s="303"/>
      <c r="DC20" s="303"/>
      <c r="DD20" s="303"/>
      <c r="DE20" s="303"/>
      <c r="DF20" s="303"/>
      <c r="DG20" s="303"/>
      <c r="DH20" s="303"/>
      <c r="DI20" s="303"/>
      <c r="DJ20" s="303"/>
      <c r="DK20" s="303"/>
      <c r="DL20" s="303"/>
      <c r="DM20" s="303"/>
      <c r="DN20" s="303"/>
      <c r="DO20" s="303"/>
      <c r="DP20" s="303"/>
      <c r="DQ20" s="303"/>
      <c r="DR20" s="303"/>
      <c r="DS20" s="303"/>
      <c r="DT20" s="303"/>
      <c r="DU20" s="303"/>
      <c r="DV20" s="303"/>
      <c r="DW20" s="303"/>
      <c r="DX20" s="303"/>
      <c r="DY20" s="303"/>
      <c r="DZ20" s="303"/>
      <c r="EA20" s="303"/>
      <c r="EB20" s="303"/>
      <c r="EC20" s="303"/>
      <c r="ED20" s="303"/>
      <c r="EE20" s="303"/>
      <c r="EF20" s="303"/>
      <c r="EG20" s="303"/>
      <c r="EH20" s="303"/>
      <c r="EI20" s="303"/>
      <c r="EJ20" s="303"/>
      <c r="EK20" s="303"/>
      <c r="EL20" s="303"/>
      <c r="EM20" s="303"/>
      <c r="EN20" s="303"/>
      <c r="EO20" s="303"/>
      <c r="EP20" s="303"/>
      <c r="EQ20" s="303"/>
      <c r="ER20" s="303"/>
      <c r="ES20" s="303"/>
      <c r="ET20" s="303"/>
      <c r="EU20" s="303"/>
      <c r="EV20" s="303"/>
      <c r="EW20" s="303"/>
      <c r="EX20" s="303"/>
      <c r="EY20" s="303"/>
      <c r="EZ20" s="303"/>
      <c r="FA20" s="303"/>
      <c r="FB20" s="303"/>
      <c r="FC20" s="303"/>
      <c r="FD20" s="303"/>
      <c r="FE20" s="303"/>
      <c r="FF20" s="303"/>
      <c r="FG20" s="303"/>
      <c r="FH20" s="303"/>
      <c r="FI20" s="303"/>
      <c r="FJ20" s="303"/>
      <c r="FK20" s="303"/>
      <c r="FL20" s="303"/>
      <c r="FM20" s="303"/>
      <c r="FN20" s="303"/>
      <c r="FO20" s="303"/>
      <c r="FP20" s="303"/>
      <c r="FQ20" s="303"/>
      <c r="FR20" s="303"/>
      <c r="FS20" s="303"/>
      <c r="FT20" s="303"/>
      <c r="FU20" s="303"/>
      <c r="FV20" s="303"/>
      <c r="FW20" s="303"/>
      <c r="FX20" s="303"/>
      <c r="FY20" s="303"/>
      <c r="FZ20" s="303"/>
      <c r="GA20" s="303"/>
      <c r="GB20" s="303"/>
      <c r="GC20" s="303"/>
      <c r="GD20" s="303"/>
      <c r="GE20" s="303"/>
      <c r="GF20" s="303"/>
      <c r="GG20" s="303"/>
      <c r="GH20" s="303"/>
      <c r="GI20" s="303"/>
      <c r="GJ20" s="303"/>
      <c r="GK20" s="303"/>
      <c r="GL20" s="303"/>
      <c r="GM20" s="303"/>
      <c r="GN20" s="303"/>
      <c r="GO20" s="303"/>
      <c r="GP20" s="303"/>
      <c r="GQ20" s="303"/>
      <c r="GR20" s="303"/>
      <c r="GS20" s="303"/>
      <c r="GT20" s="303"/>
      <c r="GU20" s="303"/>
      <c r="GV20" s="303"/>
      <c r="GW20" s="303"/>
      <c r="GX20" s="303"/>
      <c r="GY20" s="303"/>
      <c r="GZ20" s="303"/>
      <c r="HA20" s="303"/>
      <c r="HB20" s="303"/>
      <c r="HC20" s="303"/>
      <c r="HD20" s="303"/>
      <c r="HE20" s="303"/>
      <c r="HF20" s="303"/>
      <c r="HG20" s="303"/>
      <c r="HH20" s="303"/>
      <c r="HI20" s="303"/>
      <c r="HJ20" s="303"/>
      <c r="HK20" s="303"/>
      <c r="HL20" s="303"/>
      <c r="HM20" s="303"/>
      <c r="HN20" s="303"/>
      <c r="HO20" s="303"/>
      <c r="HP20" s="303"/>
      <c r="HQ20" s="303"/>
      <c r="HR20" s="303"/>
      <c r="HS20" s="303"/>
      <c r="HT20" s="303"/>
      <c r="HU20" s="303"/>
      <c r="HV20" s="303"/>
      <c r="HW20" s="303"/>
      <c r="HX20" s="303"/>
      <c r="HY20" s="303"/>
      <c r="HZ20" s="303"/>
      <c r="IA20" s="303"/>
      <c r="IB20" s="303"/>
      <c r="IC20" s="303"/>
      <c r="ID20" s="303"/>
      <c r="IE20" s="303"/>
      <c r="IF20" s="303"/>
      <c r="IG20" s="303"/>
      <c r="IH20" s="303"/>
      <c r="II20" s="303"/>
      <c r="IJ20" s="303"/>
      <c r="IK20" s="303"/>
      <c r="IL20" s="303"/>
      <c r="IM20" s="303"/>
      <c r="IN20" s="303"/>
      <c r="IO20" s="303"/>
      <c r="IP20" s="303"/>
      <c r="IQ20" s="303"/>
      <c r="IR20" s="303"/>
      <c r="IS20" s="303"/>
      <c r="IT20" s="303"/>
      <c r="IU20" s="303"/>
      <c r="IV20" s="303"/>
      <c r="IW20" s="303"/>
      <c r="IX20" s="303"/>
      <c r="IY20" s="303"/>
      <c r="IZ20" s="303"/>
      <c r="JA20" s="303"/>
      <c r="JB20" s="303"/>
      <c r="JC20" s="303"/>
      <c r="JD20" s="303"/>
      <c r="JE20" s="303"/>
      <c r="JF20" s="303"/>
      <c r="JG20" s="303"/>
      <c r="JH20" s="303"/>
      <c r="JI20" s="303"/>
      <c r="JJ20" s="303"/>
      <c r="JK20" s="303"/>
      <c r="JL20" s="303"/>
      <c r="JM20" s="303"/>
      <c r="JN20" s="303"/>
      <c r="JO20" s="303"/>
      <c r="JP20" s="303"/>
      <c r="JQ20" s="303"/>
      <c r="JR20" s="303"/>
      <c r="JS20" s="303"/>
      <c r="JT20" s="303"/>
      <c r="JU20" s="303"/>
      <c r="JV20" s="303"/>
      <c r="JW20" s="303"/>
      <c r="JX20" s="303"/>
      <c r="JY20" s="303"/>
      <c r="JZ20" s="303"/>
      <c r="KA20" s="303"/>
      <c r="KB20" s="303"/>
      <c r="KC20" s="303"/>
      <c r="KD20" s="303"/>
      <c r="KE20" s="303"/>
      <c r="KF20" s="303"/>
      <c r="KG20" s="303"/>
      <c r="KH20" s="303"/>
      <c r="KI20" s="303"/>
      <c r="KJ20" s="303"/>
      <c r="KK20" s="303"/>
      <c r="KL20" s="303"/>
      <c r="KM20" s="303"/>
      <c r="KN20" s="303"/>
      <c r="KO20" s="303"/>
      <c r="KP20" s="303"/>
      <c r="KQ20" s="303"/>
      <c r="KR20" s="303"/>
      <c r="KS20" s="303"/>
      <c r="KT20" s="303"/>
      <c r="KU20" s="303"/>
      <c r="KV20" s="303"/>
      <c r="KW20" s="303"/>
      <c r="KX20" s="303"/>
      <c r="KY20" s="303"/>
      <c r="KZ20" s="303"/>
      <c r="LA20" s="303"/>
      <c r="LB20" s="303"/>
      <c r="LC20" s="303"/>
      <c r="LD20" s="303"/>
      <c r="LE20" s="303"/>
      <c r="LF20" s="303"/>
      <c r="LG20" s="303"/>
      <c r="LH20" s="303"/>
      <c r="LI20" s="303"/>
      <c r="LJ20" s="303"/>
      <c r="LK20" s="303"/>
      <c r="LL20" s="303"/>
      <c r="LM20" s="303"/>
      <c r="LN20" s="303"/>
      <c r="LO20" s="303"/>
      <c r="LP20" s="303"/>
      <c r="LQ20" s="303"/>
      <c r="LR20" s="303"/>
      <c r="LS20" s="303"/>
      <c r="LT20" s="303"/>
      <c r="LU20" s="303"/>
      <c r="LV20" s="303"/>
      <c r="LW20" s="303"/>
      <c r="LX20" s="303"/>
      <c r="LY20" s="303"/>
      <c r="LZ20" s="303"/>
      <c r="MA20" s="303"/>
      <c r="MB20" s="303"/>
      <c r="MC20" s="303"/>
      <c r="MD20" s="303"/>
      <c r="ME20" s="303"/>
      <c r="MF20" s="303"/>
      <c r="MG20" s="303"/>
      <c r="MH20" s="303"/>
      <c r="MI20" s="303"/>
      <c r="MJ20" s="303"/>
      <c r="MK20" s="303"/>
      <c r="ML20" s="303"/>
      <c r="MM20" s="303"/>
      <c r="MN20" s="303"/>
      <c r="MO20" s="303"/>
      <c r="MP20" s="303"/>
      <c r="MQ20" s="303"/>
      <c r="MR20" s="303"/>
      <c r="MS20" s="303"/>
      <c r="MT20" s="303"/>
      <c r="MU20" s="303"/>
      <c r="MV20" s="303"/>
      <c r="MW20" s="303"/>
      <c r="MX20" s="303"/>
      <c r="MY20" s="303"/>
      <c r="MZ20" s="303"/>
      <c r="NA20" s="303"/>
      <c r="NB20" s="303"/>
      <c r="NC20" s="303"/>
      <c r="ND20" s="303"/>
      <c r="NE20" s="303"/>
      <c r="NF20" s="303"/>
      <c r="NG20" s="303"/>
      <c r="NH20" s="303"/>
      <c r="NI20" s="303"/>
      <c r="NJ20" s="303"/>
      <c r="NK20" s="303"/>
      <c r="NL20" s="303"/>
      <c r="NM20" s="303"/>
      <c r="NN20" s="303"/>
      <c r="NO20" s="303"/>
      <c r="NP20" s="303"/>
      <c r="NQ20" s="303"/>
      <c r="NR20" s="303"/>
      <c r="NS20" s="303"/>
      <c r="NT20" s="303"/>
      <c r="NU20" s="303"/>
      <c r="NV20" s="303"/>
      <c r="NW20" s="303"/>
      <c r="NX20" s="303"/>
      <c r="NY20" s="303"/>
      <c r="NZ20" s="303"/>
      <c r="OA20" s="303"/>
      <c r="OB20" s="303"/>
      <c r="OC20" s="303"/>
      <c r="OD20" s="303"/>
      <c r="OE20" s="303"/>
      <c r="OF20" s="303"/>
      <c r="OG20" s="303"/>
      <c r="OH20" s="303"/>
      <c r="OI20" s="303"/>
      <c r="OJ20" s="303"/>
      <c r="OK20" s="303"/>
      <c r="OL20" s="303"/>
      <c r="OM20" s="303"/>
      <c r="ON20" s="303"/>
      <c r="OO20" s="303"/>
      <c r="OP20" s="303"/>
      <c r="OQ20" s="303"/>
      <c r="OR20" s="303"/>
      <c r="OS20" s="303"/>
      <c r="OT20" s="303"/>
      <c r="OU20" s="303"/>
      <c r="OV20" s="303"/>
      <c r="OW20" s="303"/>
      <c r="OX20" s="303"/>
      <c r="OY20" s="303"/>
      <c r="OZ20" s="303"/>
      <c r="PA20" s="303"/>
      <c r="PB20" s="303"/>
      <c r="PC20" s="303"/>
      <c r="PD20" s="303"/>
      <c r="PE20" s="303"/>
      <c r="PF20" s="303"/>
      <c r="PG20" s="303"/>
      <c r="PH20" s="303"/>
      <c r="PI20" s="303"/>
      <c r="PJ20" s="303"/>
      <c r="PK20" s="303"/>
      <c r="PL20" s="303"/>
      <c r="PM20" s="303"/>
      <c r="PN20" s="303"/>
      <c r="PO20" s="303"/>
      <c r="PP20" s="303"/>
      <c r="PQ20" s="303"/>
      <c r="PR20" s="303"/>
      <c r="PS20" s="303"/>
      <c r="PT20" s="303"/>
      <c r="PU20" s="303"/>
      <c r="PV20" s="303"/>
      <c r="PW20" s="303"/>
      <c r="PX20" s="303"/>
      <c r="PY20" s="303"/>
      <c r="PZ20" s="303"/>
      <c r="QA20" s="303"/>
      <c r="QB20" s="303"/>
      <c r="QC20" s="303"/>
      <c r="QD20" s="303"/>
      <c r="QE20" s="303"/>
      <c r="QF20" s="303"/>
      <c r="QG20" s="303"/>
      <c r="QH20" s="303"/>
      <c r="QI20" s="303"/>
      <c r="QJ20" s="303"/>
      <c r="QK20" s="303"/>
      <c r="QL20" s="303"/>
      <c r="QM20" s="303"/>
      <c r="QN20" s="303"/>
      <c r="QO20" s="303"/>
      <c r="QP20" s="303"/>
      <c r="QQ20" s="303"/>
      <c r="QR20" s="303"/>
      <c r="QS20" s="303"/>
      <c r="QT20" s="303"/>
      <c r="QU20" s="303"/>
      <c r="QV20" s="303"/>
      <c r="QW20" s="303"/>
      <c r="QX20" s="303"/>
      <c r="QY20" s="303"/>
      <c r="QZ20" s="303"/>
      <c r="RA20" s="303"/>
      <c r="RB20" s="303"/>
      <c r="RC20" s="303"/>
      <c r="RD20" s="303"/>
      <c r="RE20" s="303"/>
      <c r="RF20" s="303"/>
      <c r="RG20" s="303"/>
      <c r="RH20" s="303"/>
      <c r="RI20" s="303"/>
      <c r="RJ20" s="303"/>
      <c r="RK20" s="303"/>
      <c r="RL20" s="303"/>
      <c r="RM20" s="303"/>
      <c r="RN20" s="303"/>
      <c r="RO20" s="303"/>
      <c r="RP20" s="303"/>
      <c r="RQ20" s="303"/>
      <c r="RR20" s="303"/>
      <c r="RS20" s="303"/>
      <c r="RT20" s="303"/>
      <c r="RU20" s="303"/>
      <c r="RV20" s="303"/>
      <c r="RW20" s="303"/>
      <c r="RX20" s="303"/>
      <c r="RY20" s="303"/>
      <c r="RZ20" s="303"/>
      <c r="SA20" s="303"/>
      <c r="SB20" s="303"/>
      <c r="SC20" s="303"/>
      <c r="SD20" s="303"/>
      <c r="SE20" s="303"/>
      <c r="SF20" s="303"/>
      <c r="SG20" s="303"/>
      <c r="SH20" s="303"/>
      <c r="SI20" s="303"/>
      <c r="SJ20" s="303"/>
      <c r="SK20" s="303"/>
      <c r="SL20" s="303"/>
      <c r="SM20" s="303"/>
      <c r="SN20" s="303"/>
      <c r="SO20" s="303"/>
      <c r="SP20" s="303"/>
      <c r="SQ20" s="303"/>
      <c r="SR20" s="303"/>
      <c r="SS20" s="303"/>
      <c r="ST20" s="303"/>
      <c r="SU20" s="303"/>
      <c r="SV20" s="303"/>
      <c r="SW20" s="303"/>
      <c r="SX20" s="303"/>
      <c r="SY20" s="303"/>
      <c r="SZ20" s="303"/>
      <c r="TA20" s="303"/>
      <c r="TB20" s="303"/>
      <c r="TC20" s="303"/>
      <c r="TD20" s="303"/>
      <c r="TE20" s="303"/>
      <c r="TF20" s="303"/>
      <c r="TG20" s="303"/>
      <c r="TH20" s="303"/>
      <c r="TI20" s="303"/>
      <c r="TJ20" s="303"/>
      <c r="TK20" s="303"/>
      <c r="TL20" s="303"/>
      <c r="TM20" s="303"/>
      <c r="TN20" s="303"/>
      <c r="TO20" s="303"/>
      <c r="TP20" s="303"/>
      <c r="TQ20" s="303"/>
      <c r="TR20" s="303"/>
      <c r="TS20" s="303"/>
      <c r="TT20" s="303"/>
      <c r="TU20" s="303"/>
      <c r="TV20" s="303"/>
      <c r="TW20" s="303"/>
      <c r="TX20" s="303"/>
      <c r="TY20" s="303"/>
      <c r="TZ20" s="303"/>
      <c r="UA20" s="303"/>
      <c r="UB20" s="303"/>
      <c r="UC20" s="303"/>
      <c r="UD20" s="303"/>
      <c r="UE20" s="303"/>
      <c r="UF20" s="303"/>
      <c r="UG20" s="303"/>
      <c r="UH20" s="303"/>
      <c r="UI20" s="303"/>
      <c r="UJ20" s="303"/>
      <c r="UK20" s="303"/>
      <c r="UL20" s="303"/>
      <c r="UM20" s="303"/>
      <c r="UN20" s="303"/>
      <c r="UO20" s="303"/>
      <c r="UP20" s="303"/>
      <c r="UQ20" s="303"/>
      <c r="UR20" s="303"/>
      <c r="US20" s="303"/>
      <c r="UT20" s="303"/>
      <c r="UU20" s="303"/>
      <c r="UV20" s="303"/>
      <c r="UW20" s="303"/>
      <c r="UX20" s="303"/>
      <c r="UY20" s="303"/>
      <c r="UZ20" s="303"/>
      <c r="VA20" s="303"/>
      <c r="VB20" s="303"/>
      <c r="VC20" s="303"/>
      <c r="VD20" s="303"/>
      <c r="VE20" s="303"/>
      <c r="VF20" s="303"/>
      <c r="VG20" s="303"/>
      <c r="VH20" s="303"/>
      <c r="VI20" s="303"/>
      <c r="VJ20" s="303"/>
      <c r="VK20" s="303"/>
      <c r="VL20" s="303"/>
      <c r="VM20" s="303"/>
      <c r="VN20" s="303"/>
      <c r="VO20" s="303"/>
      <c r="VP20" s="303"/>
      <c r="VQ20" s="303"/>
      <c r="VR20" s="303"/>
      <c r="VS20" s="303"/>
      <c r="VT20" s="303"/>
      <c r="VU20" s="303"/>
      <c r="VV20" s="303"/>
      <c r="VW20" s="303"/>
      <c r="VX20" s="303"/>
      <c r="VY20" s="303"/>
      <c r="VZ20" s="303"/>
      <c r="WA20" s="303"/>
      <c r="WB20" s="303"/>
      <c r="WC20" s="303"/>
      <c r="WD20" s="303"/>
      <c r="WE20" s="303"/>
      <c r="WF20" s="303"/>
      <c r="WG20" s="303"/>
      <c r="WH20" s="303"/>
      <c r="WI20" s="303"/>
      <c r="WJ20" s="303"/>
      <c r="WK20" s="303"/>
      <c r="WL20" s="303"/>
      <c r="WM20" s="303"/>
      <c r="WN20" s="303"/>
      <c r="WO20" s="303"/>
      <c r="WP20" s="303"/>
      <c r="WQ20" s="303"/>
      <c r="WR20" s="303"/>
      <c r="WS20" s="303"/>
      <c r="WT20" s="303"/>
      <c r="WU20" s="303"/>
      <c r="WV20" s="303"/>
      <c r="WW20" s="303"/>
      <c r="WX20" s="303"/>
      <c r="WY20" s="303"/>
      <c r="WZ20" s="303"/>
      <c r="XA20" s="303"/>
      <c r="XB20" s="303"/>
      <c r="XC20" s="303"/>
      <c r="XD20" s="303"/>
      <c r="XE20" s="303"/>
      <c r="XF20" s="303"/>
      <c r="XG20" s="303"/>
      <c r="XH20" s="303"/>
      <c r="XI20" s="303"/>
      <c r="XJ20" s="303"/>
      <c r="XK20" s="303"/>
      <c r="XL20" s="303"/>
      <c r="XM20" s="303"/>
      <c r="XN20" s="303"/>
      <c r="XO20" s="303"/>
      <c r="XP20" s="303"/>
      <c r="XQ20" s="303"/>
      <c r="XR20" s="303"/>
      <c r="XS20" s="303"/>
      <c r="XT20" s="303"/>
      <c r="XU20" s="303"/>
      <c r="XV20" s="303"/>
      <c r="XW20" s="303"/>
      <c r="XX20" s="303"/>
      <c r="XY20" s="303"/>
      <c r="XZ20" s="303"/>
      <c r="YA20" s="303"/>
      <c r="YB20" s="303"/>
      <c r="YC20" s="303"/>
      <c r="YD20" s="303"/>
      <c r="YE20" s="303"/>
      <c r="YF20" s="303"/>
      <c r="YG20" s="303"/>
      <c r="YH20" s="303"/>
      <c r="YI20" s="303"/>
      <c r="YJ20" s="303"/>
      <c r="YK20" s="303"/>
      <c r="YL20" s="303"/>
      <c r="YM20" s="303"/>
      <c r="YN20" s="303"/>
      <c r="YO20" s="303"/>
      <c r="YP20" s="303"/>
      <c r="YQ20" s="303"/>
      <c r="YR20" s="303"/>
      <c r="YS20" s="303"/>
      <c r="YT20" s="303"/>
      <c r="YU20" s="303"/>
      <c r="YV20" s="303"/>
      <c r="YW20" s="303"/>
      <c r="YX20" s="303"/>
      <c r="YY20" s="303"/>
      <c r="YZ20" s="303"/>
      <c r="ZA20" s="303"/>
      <c r="ZB20" s="303"/>
      <c r="ZC20" s="303"/>
      <c r="ZD20" s="303"/>
      <c r="ZE20" s="303"/>
      <c r="ZF20" s="303"/>
      <c r="ZG20" s="303"/>
      <c r="ZH20" s="303"/>
      <c r="ZI20" s="303"/>
      <c r="ZJ20" s="303"/>
      <c r="ZK20" s="303"/>
      <c r="ZL20" s="303"/>
      <c r="ZM20" s="303"/>
      <c r="ZN20" s="303"/>
      <c r="ZO20" s="303"/>
      <c r="ZP20" s="303"/>
      <c r="ZQ20" s="303"/>
      <c r="ZR20" s="303"/>
      <c r="ZS20" s="303"/>
      <c r="ZT20" s="303"/>
      <c r="ZU20" s="303"/>
      <c r="ZV20" s="303"/>
      <c r="ZW20" s="303"/>
      <c r="ZX20" s="303"/>
      <c r="ZY20" s="303"/>
      <c r="ZZ20" s="303"/>
      <c r="AAA20" s="303"/>
      <c r="AAB20" s="303"/>
      <c r="AAC20" s="303"/>
      <c r="AAD20" s="303"/>
      <c r="AAE20" s="303"/>
      <c r="AAF20" s="303"/>
      <c r="AAG20" s="303"/>
      <c r="AAH20" s="303"/>
      <c r="AAI20" s="303"/>
      <c r="AAJ20" s="303"/>
      <c r="AAK20" s="303"/>
      <c r="AAL20" s="303"/>
      <c r="AAM20" s="303"/>
      <c r="AAN20" s="303"/>
      <c r="AAO20" s="303"/>
      <c r="AAP20" s="303"/>
      <c r="AAQ20" s="303"/>
      <c r="AAR20" s="303"/>
      <c r="AAS20" s="303"/>
      <c r="AAT20" s="303"/>
      <c r="AAU20" s="303"/>
      <c r="AAV20" s="303"/>
      <c r="AAW20" s="303"/>
      <c r="AAX20" s="303"/>
      <c r="AAY20" s="303"/>
      <c r="AAZ20" s="303"/>
      <c r="ABA20" s="303"/>
      <c r="ABB20" s="303"/>
      <c r="ABC20" s="303"/>
      <c r="ABD20" s="303"/>
      <c r="ABE20" s="303"/>
      <c r="ABF20" s="303"/>
      <c r="ABG20" s="303"/>
      <c r="ABH20" s="303"/>
      <c r="ABI20" s="303"/>
      <c r="ABJ20" s="303"/>
      <c r="ABK20" s="303"/>
      <c r="ABL20" s="303"/>
      <c r="ABM20" s="303"/>
      <c r="ABN20" s="303"/>
      <c r="ABO20" s="303"/>
      <c r="ABP20" s="303"/>
      <c r="ABQ20" s="303"/>
      <c r="ABR20" s="303"/>
      <c r="ABS20" s="303"/>
      <c r="ABT20" s="303"/>
      <c r="ABU20" s="303"/>
      <c r="ABV20" s="303"/>
      <c r="ABW20" s="303"/>
      <c r="ABX20" s="303"/>
      <c r="ABY20" s="303"/>
      <c r="ABZ20" s="303"/>
      <c r="ACA20" s="303"/>
      <c r="ACB20" s="303"/>
      <c r="ACC20" s="303"/>
      <c r="ACD20" s="303"/>
      <c r="ACE20" s="303"/>
      <c r="ACF20" s="303"/>
      <c r="ACG20" s="303"/>
      <c r="ACH20" s="303"/>
      <c r="ACI20" s="303"/>
      <c r="ACJ20" s="303"/>
      <c r="ACK20" s="303"/>
      <c r="ACL20" s="303"/>
      <c r="ACM20" s="303"/>
      <c r="ACN20" s="303"/>
      <c r="ACO20" s="303"/>
      <c r="ACP20" s="303"/>
      <c r="ACQ20" s="303"/>
      <c r="ACR20" s="303"/>
      <c r="ACS20" s="303"/>
      <c r="ACT20" s="303"/>
      <c r="ACU20" s="303"/>
      <c r="ACV20" s="303"/>
      <c r="ACW20" s="303"/>
      <c r="ACX20" s="303"/>
      <c r="ACY20" s="303"/>
      <c r="ACZ20" s="303"/>
      <c r="ADA20" s="303"/>
      <c r="ADB20" s="303"/>
      <c r="ADC20" s="303"/>
      <c r="ADD20" s="303"/>
      <c r="ADE20" s="303"/>
      <c r="ADF20" s="303"/>
      <c r="ADG20" s="303"/>
      <c r="ADH20" s="303"/>
      <c r="ADI20" s="303"/>
      <c r="ADJ20" s="303"/>
      <c r="ADK20" s="303"/>
      <c r="ADL20" s="303"/>
      <c r="ADM20" s="303"/>
      <c r="ADN20" s="303"/>
      <c r="ADO20" s="303"/>
      <c r="ADP20" s="303"/>
      <c r="ADQ20" s="303"/>
      <c r="ADR20" s="303"/>
      <c r="ADS20" s="303"/>
      <c r="ADT20" s="303"/>
      <c r="ADU20" s="303"/>
      <c r="ADV20" s="303"/>
      <c r="ADW20" s="303"/>
      <c r="ADX20" s="303"/>
      <c r="ADY20" s="303"/>
      <c r="ADZ20" s="303"/>
      <c r="AEA20" s="303"/>
      <c r="AEB20" s="303"/>
      <c r="AEC20" s="303"/>
      <c r="AED20" s="303"/>
      <c r="AEE20" s="303"/>
      <c r="AEF20" s="303"/>
      <c r="AEG20" s="303"/>
      <c r="AEH20" s="303"/>
      <c r="AEI20" s="303"/>
      <c r="AEJ20" s="303"/>
      <c r="AEK20" s="303"/>
      <c r="AEL20" s="303"/>
      <c r="AEM20" s="303"/>
      <c r="AEN20" s="303"/>
      <c r="AEO20" s="303"/>
      <c r="AEP20" s="303"/>
      <c r="AEQ20" s="303"/>
      <c r="AER20" s="303"/>
      <c r="AES20" s="303"/>
      <c r="AET20" s="303"/>
      <c r="AEU20" s="303"/>
      <c r="AEV20" s="303"/>
      <c r="AEW20" s="303"/>
      <c r="AEX20" s="303"/>
      <c r="AEY20" s="303"/>
      <c r="AEZ20" s="303"/>
      <c r="AFA20" s="303"/>
      <c r="AFB20" s="303"/>
      <c r="AFC20" s="303"/>
      <c r="AFD20" s="303"/>
      <c r="AFE20" s="303"/>
      <c r="AFF20" s="303"/>
      <c r="AFG20" s="303"/>
      <c r="AFH20" s="303"/>
      <c r="AFI20" s="303"/>
      <c r="AFJ20" s="303"/>
      <c r="AFK20" s="303"/>
      <c r="AFL20" s="303"/>
      <c r="AFM20" s="303"/>
      <c r="AFN20" s="303"/>
      <c r="AFO20" s="303"/>
      <c r="AFP20" s="303"/>
      <c r="AFQ20" s="303"/>
      <c r="AFR20" s="303"/>
      <c r="AFS20" s="303"/>
      <c r="AFT20" s="303"/>
      <c r="AFU20" s="303"/>
      <c r="AFV20" s="303"/>
      <c r="AFW20" s="303"/>
      <c r="AFX20" s="303"/>
      <c r="AFY20" s="303"/>
      <c r="AFZ20" s="303"/>
      <c r="AGA20" s="303"/>
      <c r="AGB20" s="303"/>
      <c r="AGC20" s="303"/>
      <c r="AGD20" s="303"/>
      <c r="AGE20" s="303"/>
      <c r="AGF20" s="303"/>
      <c r="AGG20" s="303"/>
      <c r="AGH20" s="303"/>
      <c r="AGI20" s="303"/>
      <c r="AGJ20" s="303"/>
      <c r="AGK20" s="303"/>
      <c r="AGL20" s="303"/>
      <c r="AGM20" s="303"/>
      <c r="AGN20" s="303"/>
      <c r="AGO20" s="303"/>
      <c r="AGP20" s="303"/>
      <c r="AGQ20" s="303"/>
      <c r="AGR20" s="303"/>
      <c r="AGS20" s="303"/>
      <c r="AGT20" s="303"/>
      <c r="AGU20" s="303"/>
      <c r="AGV20" s="303"/>
      <c r="AGW20" s="303"/>
      <c r="AGX20" s="303"/>
      <c r="AGY20" s="303"/>
      <c r="AGZ20" s="303"/>
      <c r="AHA20" s="303"/>
      <c r="AHB20" s="303"/>
      <c r="AHC20" s="303"/>
      <c r="AHD20" s="303"/>
      <c r="AHE20" s="303"/>
      <c r="AHF20" s="303"/>
      <c r="AHG20" s="303"/>
      <c r="AHH20" s="303"/>
      <c r="AHI20" s="303"/>
      <c r="AHJ20" s="303"/>
      <c r="AHK20" s="303"/>
      <c r="AHL20" s="303"/>
      <c r="AHM20" s="303"/>
      <c r="AHN20" s="303"/>
      <c r="AHO20" s="303"/>
      <c r="AHP20" s="303"/>
      <c r="AHQ20" s="303"/>
      <c r="AHR20" s="303"/>
      <c r="AHS20" s="303"/>
      <c r="AHT20" s="303"/>
      <c r="AHU20" s="303"/>
      <c r="AHV20" s="303"/>
      <c r="AHW20" s="303"/>
      <c r="AHX20" s="303"/>
      <c r="AHY20" s="303"/>
      <c r="AHZ20" s="303"/>
      <c r="AIA20" s="303"/>
      <c r="AIB20" s="303"/>
      <c r="AIC20" s="303"/>
      <c r="AID20" s="303"/>
      <c r="AIE20" s="303"/>
      <c r="AIF20" s="303"/>
      <c r="AIG20" s="303"/>
      <c r="AIH20" s="303"/>
      <c r="AII20" s="303"/>
      <c r="AIJ20" s="303"/>
      <c r="AIK20" s="303"/>
      <c r="AIL20" s="303"/>
      <c r="AIM20" s="303"/>
      <c r="AIN20" s="303"/>
      <c r="AIO20" s="303"/>
      <c r="AIP20" s="303"/>
      <c r="AIQ20" s="303"/>
      <c r="AIR20" s="303"/>
      <c r="AIS20" s="303"/>
      <c r="AIT20" s="303"/>
      <c r="AIU20" s="303"/>
      <c r="AIV20" s="303"/>
      <c r="AIW20" s="303"/>
      <c r="AIX20" s="303"/>
      <c r="AIY20" s="303"/>
      <c r="AIZ20" s="303"/>
      <c r="AJA20" s="303"/>
      <c r="AJB20" s="303"/>
      <c r="AJC20" s="303"/>
      <c r="AJD20" s="303"/>
      <c r="AJE20" s="303"/>
      <c r="AJF20" s="303"/>
      <c r="AJG20" s="303"/>
      <c r="AJH20" s="303"/>
      <c r="AJI20" s="303"/>
      <c r="AJJ20" s="303"/>
      <c r="AJK20" s="303"/>
      <c r="AJL20" s="303"/>
      <c r="AJM20" s="303"/>
      <c r="AJN20" s="303"/>
      <c r="AJO20" s="303"/>
      <c r="AJP20" s="303"/>
      <c r="AJQ20" s="303"/>
      <c r="AJR20" s="303"/>
      <c r="AJS20" s="303"/>
      <c r="AJT20" s="303"/>
      <c r="AJU20" s="303"/>
      <c r="AJV20" s="303"/>
      <c r="AJW20" s="303"/>
      <c r="AJX20" s="303"/>
      <c r="AJY20" s="303"/>
      <c r="AJZ20" s="303"/>
      <c r="AKA20" s="303"/>
      <c r="AKB20" s="303"/>
      <c r="AKC20" s="303"/>
      <c r="AKD20" s="303"/>
      <c r="AKE20" s="303"/>
      <c r="AKF20" s="303"/>
      <c r="AKG20" s="303"/>
      <c r="AKH20" s="303"/>
      <c r="AKI20" s="303"/>
      <c r="AKJ20" s="303"/>
      <c r="AKK20" s="303"/>
      <c r="AKL20" s="303"/>
      <c r="AKM20" s="303"/>
      <c r="AKN20" s="303"/>
      <c r="AKO20" s="303"/>
      <c r="AKP20" s="303"/>
      <c r="AKQ20" s="303"/>
      <c r="AKR20" s="303"/>
      <c r="AKS20" s="303"/>
      <c r="AKT20" s="303"/>
      <c r="AKU20" s="303"/>
      <c r="AKV20" s="303"/>
      <c r="AKW20" s="303"/>
      <c r="AKX20" s="303"/>
      <c r="AKY20" s="303"/>
      <c r="AKZ20" s="303"/>
      <c r="ALA20" s="303"/>
      <c r="ALB20" s="303"/>
      <c r="ALC20" s="303"/>
      <c r="ALD20" s="303"/>
      <c r="ALE20" s="303"/>
      <c r="ALF20" s="303"/>
      <c r="ALG20" s="303"/>
      <c r="ALH20" s="303"/>
      <c r="ALI20" s="303"/>
      <c r="ALJ20" s="303"/>
      <c r="ALK20" s="303"/>
      <c r="ALL20" s="303"/>
      <c r="ALM20" s="303"/>
      <c r="ALN20" s="303"/>
      <c r="ALO20" s="303"/>
      <c r="ALP20" s="303"/>
      <c r="ALQ20" s="303"/>
      <c r="ALR20" s="303"/>
      <c r="ALS20" s="303"/>
      <c r="ALT20" s="303"/>
      <c r="ALU20" s="303"/>
      <c r="ALV20" s="303"/>
      <c r="ALW20" s="303"/>
      <c r="ALX20" s="303"/>
      <c r="ALY20" s="303"/>
      <c r="ALZ20" s="303"/>
      <c r="AMA20" s="303"/>
      <c r="AMB20" s="303"/>
      <c r="AMC20" s="303"/>
      <c r="AMD20" s="303"/>
      <c r="AME20" s="303"/>
      <c r="AMF20" s="303"/>
      <c r="AMG20" s="303"/>
      <c r="AMH20" s="303"/>
      <c r="AMI20" s="303"/>
      <c r="AMJ20" s="303"/>
      <c r="AMK20" s="303"/>
      <c r="AML20" s="303"/>
      <c r="AMM20" s="303"/>
      <c r="AMN20" s="303"/>
      <c r="AMO20" s="303"/>
      <c r="AMP20" s="303"/>
      <c r="AMQ20" s="303"/>
      <c r="AMR20" s="303"/>
      <c r="AMS20" s="303"/>
      <c r="AMT20" s="303"/>
      <c r="AMU20" s="303"/>
      <c r="AMV20" s="303"/>
      <c r="AMW20" s="303"/>
      <c r="AMX20" s="303"/>
      <c r="AMY20" s="303"/>
      <c r="AMZ20" s="303"/>
      <c r="ANA20" s="303"/>
      <c r="ANB20" s="303"/>
      <c r="ANC20" s="303"/>
      <c r="AND20" s="303"/>
      <c r="ANE20" s="303"/>
      <c r="ANF20" s="303"/>
      <c r="ANG20" s="303"/>
      <c r="ANH20" s="303"/>
      <c r="ANI20" s="303"/>
      <c r="ANJ20" s="303"/>
      <c r="ANK20" s="303"/>
      <c r="ANL20" s="303"/>
      <c r="ANM20" s="303"/>
      <c r="ANN20" s="303"/>
      <c r="ANO20" s="303"/>
      <c r="ANP20" s="303"/>
      <c r="ANQ20" s="303"/>
      <c r="ANR20" s="303"/>
      <c r="ANS20" s="303"/>
      <c r="ANT20" s="303"/>
      <c r="ANU20" s="303"/>
      <c r="ANV20" s="303"/>
      <c r="ANW20" s="303"/>
      <c r="ANX20" s="303"/>
      <c r="ANY20" s="303"/>
      <c r="ANZ20" s="303"/>
      <c r="AOA20" s="303"/>
      <c r="AOB20" s="303"/>
      <c r="AOC20" s="303"/>
      <c r="AOD20" s="303"/>
      <c r="AOE20" s="303"/>
      <c r="AOF20" s="303"/>
      <c r="AOG20" s="303"/>
      <c r="AOH20" s="303"/>
      <c r="AOI20" s="303"/>
      <c r="AOJ20" s="303"/>
      <c r="AOK20" s="303"/>
      <c r="AOL20" s="303"/>
      <c r="AOM20" s="303"/>
      <c r="AON20" s="303"/>
      <c r="AOO20" s="303"/>
      <c r="AOP20" s="303"/>
      <c r="AOQ20" s="303"/>
      <c r="AOR20" s="303"/>
      <c r="AOS20" s="303"/>
      <c r="AOT20" s="303"/>
      <c r="AOU20" s="303"/>
      <c r="AOV20" s="303"/>
      <c r="AOW20" s="303"/>
      <c r="AOX20" s="303"/>
      <c r="AOY20" s="303"/>
      <c r="AOZ20" s="303"/>
      <c r="APA20" s="303"/>
      <c r="APB20" s="303"/>
      <c r="APC20" s="303"/>
      <c r="APD20" s="303"/>
      <c r="APE20" s="303"/>
      <c r="APF20" s="303"/>
      <c r="APG20" s="303"/>
      <c r="APH20" s="303"/>
      <c r="API20" s="303"/>
      <c r="APJ20" s="303"/>
      <c r="APK20" s="303"/>
      <c r="APL20" s="303"/>
      <c r="APM20" s="303"/>
      <c r="APN20" s="303"/>
      <c r="APO20" s="303"/>
      <c r="APP20" s="303"/>
      <c r="APQ20" s="303"/>
      <c r="APR20" s="303"/>
      <c r="APS20" s="303"/>
      <c r="APT20" s="303"/>
      <c r="APU20" s="303"/>
      <c r="APV20" s="303"/>
      <c r="APW20" s="303"/>
      <c r="APX20" s="303"/>
      <c r="APY20" s="303"/>
      <c r="APZ20" s="303"/>
      <c r="AQA20" s="303"/>
      <c r="AQB20" s="303"/>
      <c r="AQC20" s="303"/>
      <c r="AQD20" s="303"/>
      <c r="AQE20" s="303"/>
      <c r="AQF20" s="303"/>
      <c r="AQG20" s="303"/>
      <c r="AQH20" s="303"/>
      <c r="AQI20" s="303"/>
      <c r="AQJ20" s="303"/>
      <c r="AQK20" s="303"/>
      <c r="AQL20" s="303"/>
      <c r="AQM20" s="303"/>
      <c r="AQN20" s="303"/>
      <c r="AQO20" s="303"/>
      <c r="AQP20" s="303"/>
      <c r="AQQ20" s="303"/>
      <c r="AQR20" s="303"/>
      <c r="AQS20" s="303"/>
      <c r="AQT20" s="303"/>
      <c r="AQU20" s="303"/>
      <c r="AQV20" s="303"/>
      <c r="AQW20" s="303"/>
      <c r="AQX20" s="303"/>
      <c r="AQY20" s="303"/>
      <c r="AQZ20" s="303"/>
      <c r="ARA20" s="303"/>
      <c r="ARB20" s="303"/>
      <c r="ARC20" s="303"/>
      <c r="ARD20" s="303"/>
      <c r="ARE20" s="303"/>
      <c r="ARF20" s="303"/>
      <c r="ARG20" s="303"/>
      <c r="ARH20" s="303"/>
      <c r="ARI20" s="303"/>
      <c r="ARJ20" s="303"/>
      <c r="ARK20" s="303"/>
      <c r="ARL20" s="303"/>
      <c r="ARM20" s="303"/>
      <c r="ARN20" s="303"/>
      <c r="ARO20" s="303"/>
      <c r="ARP20" s="303"/>
      <c r="ARQ20" s="303"/>
      <c r="ARR20" s="303"/>
      <c r="ARS20" s="303"/>
      <c r="ART20" s="303"/>
      <c r="ARU20" s="303"/>
      <c r="ARV20" s="303"/>
      <c r="ARW20" s="303"/>
      <c r="ARX20" s="303"/>
      <c r="ARY20" s="303"/>
      <c r="ARZ20" s="303"/>
      <c r="ASA20" s="303"/>
      <c r="ASB20" s="303"/>
      <c r="ASC20" s="303"/>
      <c r="ASD20" s="303"/>
      <c r="ASE20" s="303"/>
      <c r="ASF20" s="303"/>
      <c r="ASG20" s="303"/>
      <c r="ASH20" s="303"/>
      <c r="ASI20" s="303"/>
      <c r="ASJ20" s="303"/>
      <c r="ASK20" s="303"/>
      <c r="ASL20" s="303"/>
      <c r="ASM20" s="303"/>
      <c r="ASN20" s="303"/>
      <c r="ASO20" s="303"/>
      <c r="ASP20" s="303"/>
      <c r="ASQ20" s="303"/>
      <c r="ASR20" s="303"/>
      <c r="ASS20" s="303"/>
      <c r="AST20" s="303"/>
      <c r="ASU20" s="303"/>
      <c r="ASV20" s="303"/>
      <c r="ASW20" s="303"/>
      <c r="ASX20" s="303"/>
      <c r="ASY20" s="303"/>
      <c r="ASZ20" s="303"/>
      <c r="ATA20" s="303"/>
      <c r="ATB20" s="303"/>
      <c r="ATC20" s="303"/>
      <c r="ATD20" s="303"/>
      <c r="ATE20" s="303"/>
      <c r="ATF20" s="303"/>
      <c r="ATG20" s="303"/>
      <c r="ATH20" s="303"/>
      <c r="ATI20" s="303"/>
      <c r="ATJ20" s="303"/>
      <c r="ATK20" s="303"/>
      <c r="ATL20" s="303"/>
      <c r="ATM20" s="303"/>
      <c r="ATN20" s="303"/>
      <c r="ATO20" s="303"/>
      <c r="ATP20" s="303"/>
      <c r="ATQ20" s="303"/>
      <c r="ATR20" s="303"/>
      <c r="ATS20" s="303"/>
      <c r="ATT20" s="303"/>
      <c r="ATU20" s="303"/>
      <c r="ATV20" s="303"/>
      <c r="ATW20" s="303"/>
      <c r="ATX20" s="303"/>
      <c r="ATY20" s="303"/>
      <c r="ATZ20" s="303"/>
      <c r="AUA20" s="303"/>
      <c r="AUB20" s="303"/>
      <c r="AUC20" s="303"/>
      <c r="AUD20" s="303"/>
      <c r="AUE20" s="303"/>
      <c r="AUF20" s="303"/>
      <c r="AUG20" s="303"/>
      <c r="AUH20" s="303"/>
      <c r="AUI20" s="303"/>
      <c r="AUJ20" s="303"/>
      <c r="AUK20" s="303"/>
      <c r="AUL20" s="303"/>
      <c r="AUM20" s="303"/>
      <c r="AUN20" s="303"/>
      <c r="AUO20" s="303"/>
      <c r="AUP20" s="303"/>
      <c r="AUQ20" s="303"/>
      <c r="AUR20" s="303"/>
      <c r="AUS20" s="303"/>
      <c r="AUT20" s="303"/>
      <c r="AUU20" s="303"/>
      <c r="AUV20" s="303"/>
      <c r="AUW20" s="303"/>
      <c r="AUX20" s="303"/>
      <c r="AUY20" s="303"/>
      <c r="AUZ20" s="303"/>
      <c r="AVA20" s="303"/>
      <c r="AVB20" s="303"/>
      <c r="AVC20" s="303"/>
      <c r="AVD20" s="303"/>
      <c r="AVE20" s="303"/>
      <c r="AVF20" s="303"/>
      <c r="AVG20" s="303"/>
      <c r="AVH20" s="303"/>
      <c r="AVI20" s="303"/>
      <c r="AVJ20" s="303"/>
      <c r="AVK20" s="303"/>
      <c r="AVL20" s="303"/>
      <c r="AVM20" s="303"/>
      <c r="AVN20" s="303"/>
      <c r="AVO20" s="303"/>
      <c r="AVP20" s="303"/>
      <c r="AVQ20" s="303"/>
      <c r="AVR20" s="303"/>
      <c r="AVS20" s="303"/>
      <c r="AVT20" s="303"/>
      <c r="AVU20" s="303"/>
      <c r="AVV20" s="303"/>
      <c r="AVW20" s="303"/>
      <c r="AVX20" s="303"/>
      <c r="AVY20" s="303"/>
      <c r="AVZ20" s="303"/>
      <c r="AWA20" s="303"/>
      <c r="AWB20" s="303"/>
      <c r="AWC20" s="303"/>
      <c r="AWD20" s="303"/>
      <c r="AWE20" s="303"/>
      <c r="AWF20" s="303"/>
      <c r="AWG20" s="303"/>
      <c r="AWH20" s="303"/>
      <c r="AWI20" s="303"/>
      <c r="AWJ20" s="303"/>
      <c r="AWK20" s="303"/>
      <c r="AWL20" s="303"/>
      <c r="AWM20" s="303"/>
      <c r="AWN20" s="303"/>
      <c r="AWO20" s="303"/>
      <c r="AWP20" s="303"/>
      <c r="AWQ20" s="303"/>
      <c r="AWR20" s="303"/>
      <c r="AWS20" s="303"/>
      <c r="AWT20" s="303"/>
      <c r="AWU20" s="303"/>
      <c r="AWV20" s="303"/>
      <c r="AWW20" s="303"/>
      <c r="AWX20" s="303"/>
      <c r="AWY20" s="303"/>
      <c r="AWZ20" s="303"/>
      <c r="AXA20" s="303"/>
      <c r="AXB20" s="303"/>
      <c r="AXC20" s="303"/>
      <c r="AXD20" s="303"/>
      <c r="AXE20" s="303"/>
      <c r="AXF20" s="303"/>
      <c r="AXG20" s="303"/>
      <c r="AXH20" s="303"/>
      <c r="AXI20" s="303"/>
      <c r="AXJ20" s="303"/>
      <c r="AXK20" s="303"/>
      <c r="AXL20" s="303"/>
      <c r="AXM20" s="303"/>
      <c r="AXN20" s="303"/>
      <c r="AXO20" s="303"/>
      <c r="AXP20" s="303"/>
      <c r="AXQ20" s="303"/>
      <c r="AXR20" s="303"/>
      <c r="AXS20" s="303"/>
      <c r="AXT20" s="303"/>
      <c r="AXU20" s="303"/>
      <c r="AXV20" s="303"/>
      <c r="AXW20" s="303"/>
      <c r="AXX20" s="303"/>
      <c r="AXY20" s="303"/>
      <c r="AXZ20" s="303"/>
      <c r="AYA20" s="303"/>
      <c r="AYB20" s="303"/>
      <c r="AYC20" s="303"/>
      <c r="AYD20" s="303"/>
      <c r="AYE20" s="303"/>
      <c r="AYF20" s="303"/>
      <c r="AYG20" s="303"/>
      <c r="AYH20" s="303"/>
    </row>
    <row r="21" spans="1:1334" ht="36.75" x14ac:dyDescent="0.25">
      <c r="A21" s="304" t="s">
        <v>1079</v>
      </c>
      <c r="B21" s="298" t="s">
        <v>1105</v>
      </c>
      <c r="C21" s="303"/>
      <c r="D21" s="303"/>
      <c r="E21" s="303"/>
      <c r="F21" s="303"/>
      <c r="G21" s="303"/>
      <c r="H21" s="303"/>
      <c r="I21" s="303"/>
      <c r="J21" s="303"/>
      <c r="K21" s="303"/>
      <c r="L21" s="303"/>
      <c r="M21" s="303"/>
      <c r="N21" s="303"/>
      <c r="O21" s="303"/>
      <c r="P21" s="303"/>
      <c r="Q21" s="303"/>
      <c r="R21" s="303"/>
      <c r="S21" s="303"/>
      <c r="T21" s="303"/>
      <c r="U21" s="303"/>
      <c r="V21" s="303"/>
      <c r="W21" s="303"/>
      <c r="X21" s="303"/>
      <c r="Y21" s="303"/>
      <c r="Z21" s="303"/>
      <c r="AA21" s="303"/>
      <c r="AB21" s="303"/>
      <c r="AC21" s="303"/>
      <c r="AD21" s="303"/>
      <c r="AE21" s="303"/>
      <c r="AF21" s="303"/>
      <c r="AG21" s="303"/>
      <c r="AH21" s="303"/>
      <c r="AI21" s="303"/>
      <c r="AJ21" s="303"/>
      <c r="AK21" s="303"/>
      <c r="AL21" s="303"/>
      <c r="AM21" s="303"/>
      <c r="AN21" s="303"/>
      <c r="AO21" s="303"/>
      <c r="AP21" s="303"/>
      <c r="AQ21" s="303"/>
      <c r="AR21" s="303"/>
      <c r="AS21" s="303"/>
      <c r="AT21" s="303"/>
      <c r="AU21" s="303"/>
      <c r="AV21" s="303"/>
      <c r="AW21" s="303"/>
      <c r="AX21" s="303"/>
      <c r="AY21" s="303"/>
      <c r="AZ21" s="303"/>
      <c r="BA21" s="303"/>
      <c r="BB21" s="303"/>
      <c r="BC21" s="303"/>
      <c r="BD21" s="303"/>
      <c r="BE21" s="303"/>
      <c r="BF21" s="303"/>
      <c r="BG21" s="303"/>
      <c r="BH21" s="303"/>
      <c r="BI21" s="303"/>
      <c r="BJ21" s="303"/>
      <c r="BK21" s="303"/>
      <c r="BL21" s="303"/>
      <c r="BM21" s="303"/>
      <c r="BN21" s="303"/>
      <c r="BO21" s="303"/>
      <c r="BP21" s="303"/>
      <c r="BQ21" s="303"/>
      <c r="BR21" s="303"/>
      <c r="BS21" s="303"/>
      <c r="BT21" s="303"/>
      <c r="BU21" s="303"/>
      <c r="BV21" s="303"/>
      <c r="BW21" s="303"/>
      <c r="BX21" s="303"/>
      <c r="BY21" s="303"/>
      <c r="BZ21" s="303"/>
      <c r="CA21" s="303"/>
      <c r="CB21" s="303"/>
      <c r="CC21" s="303"/>
      <c r="CD21" s="303"/>
      <c r="CE21" s="303"/>
      <c r="CF21" s="303"/>
      <c r="CG21" s="303"/>
      <c r="CH21" s="303"/>
      <c r="CI21" s="303"/>
      <c r="CJ21" s="303"/>
      <c r="CK21" s="303"/>
      <c r="CL21" s="303"/>
      <c r="CM21" s="303"/>
      <c r="CN21" s="303"/>
      <c r="CO21" s="303"/>
      <c r="CP21" s="303"/>
      <c r="CQ21" s="303"/>
      <c r="CR21" s="303"/>
      <c r="CS21" s="303"/>
      <c r="CT21" s="303"/>
      <c r="CU21" s="303"/>
      <c r="CV21" s="303"/>
      <c r="CW21" s="303"/>
      <c r="CX21" s="303"/>
      <c r="CY21" s="303"/>
      <c r="CZ21" s="303"/>
      <c r="DA21" s="303"/>
      <c r="DB21" s="303"/>
      <c r="DC21" s="303"/>
      <c r="DD21" s="303"/>
      <c r="DE21" s="303"/>
      <c r="DF21" s="303"/>
      <c r="DG21" s="303"/>
      <c r="DH21" s="303"/>
      <c r="DI21" s="303"/>
      <c r="DJ21" s="303"/>
      <c r="DK21" s="303"/>
      <c r="DL21" s="303"/>
      <c r="DM21" s="303"/>
      <c r="DN21" s="303"/>
      <c r="DO21" s="303"/>
      <c r="DP21" s="303"/>
      <c r="DQ21" s="303"/>
      <c r="DR21" s="303"/>
      <c r="DS21" s="303"/>
      <c r="DT21" s="303"/>
      <c r="DU21" s="303"/>
      <c r="DV21" s="303"/>
      <c r="DW21" s="303"/>
      <c r="DX21" s="303"/>
      <c r="DY21" s="303"/>
      <c r="DZ21" s="303"/>
      <c r="EA21" s="303"/>
      <c r="EB21" s="303"/>
      <c r="EC21" s="303"/>
      <c r="ED21" s="303"/>
      <c r="EE21" s="303"/>
      <c r="EF21" s="303"/>
      <c r="EG21" s="303"/>
      <c r="EH21" s="303"/>
      <c r="EI21" s="303"/>
      <c r="EJ21" s="303"/>
      <c r="EK21" s="303"/>
      <c r="EL21" s="303"/>
      <c r="EM21" s="303"/>
      <c r="EN21" s="303"/>
      <c r="EO21" s="303"/>
      <c r="EP21" s="303"/>
      <c r="EQ21" s="303"/>
      <c r="ER21" s="303"/>
      <c r="ES21" s="303"/>
      <c r="ET21" s="303"/>
      <c r="EU21" s="303"/>
      <c r="EV21" s="303"/>
      <c r="EW21" s="303"/>
      <c r="EX21" s="303"/>
      <c r="EY21" s="303"/>
      <c r="EZ21" s="303"/>
      <c r="FA21" s="303"/>
      <c r="FB21" s="303"/>
      <c r="FC21" s="303"/>
      <c r="FD21" s="303"/>
      <c r="FE21" s="303"/>
      <c r="FF21" s="303"/>
      <c r="FG21" s="303"/>
      <c r="FH21" s="303"/>
      <c r="FI21" s="303"/>
      <c r="FJ21" s="303"/>
      <c r="FK21" s="303"/>
      <c r="FL21" s="303"/>
      <c r="FM21" s="303"/>
      <c r="FN21" s="303"/>
      <c r="FO21" s="303"/>
      <c r="FP21" s="303"/>
      <c r="FQ21" s="303"/>
      <c r="FR21" s="303"/>
      <c r="FS21" s="303"/>
      <c r="FT21" s="303"/>
      <c r="FU21" s="303"/>
      <c r="FV21" s="303"/>
      <c r="FW21" s="303"/>
      <c r="FX21" s="303"/>
      <c r="FY21" s="303"/>
      <c r="FZ21" s="303"/>
      <c r="GA21" s="303"/>
      <c r="GB21" s="303"/>
      <c r="GC21" s="303"/>
      <c r="GD21" s="303"/>
      <c r="GE21" s="303"/>
      <c r="GF21" s="303"/>
      <c r="GG21" s="303"/>
      <c r="GH21" s="303"/>
      <c r="GI21" s="303"/>
      <c r="GJ21" s="303"/>
      <c r="GK21" s="303"/>
      <c r="GL21" s="303"/>
      <c r="GM21" s="303"/>
      <c r="GN21" s="303"/>
      <c r="GO21" s="303"/>
      <c r="GP21" s="303"/>
      <c r="GQ21" s="303"/>
      <c r="GR21" s="303"/>
      <c r="GS21" s="303"/>
      <c r="GT21" s="303"/>
      <c r="GU21" s="303"/>
      <c r="GV21" s="303"/>
      <c r="GW21" s="303"/>
      <c r="GX21" s="303"/>
      <c r="GY21" s="303"/>
      <c r="GZ21" s="303"/>
      <c r="HA21" s="303"/>
      <c r="HB21" s="303"/>
      <c r="HC21" s="303"/>
      <c r="HD21" s="303"/>
      <c r="HE21" s="303"/>
      <c r="HF21" s="303"/>
      <c r="HG21" s="303"/>
      <c r="HH21" s="303"/>
      <c r="HI21" s="303"/>
      <c r="HJ21" s="303"/>
      <c r="HK21" s="303"/>
      <c r="HL21" s="303"/>
      <c r="HM21" s="303"/>
      <c r="HN21" s="303"/>
      <c r="HO21" s="303"/>
      <c r="HP21" s="303"/>
      <c r="HQ21" s="303"/>
      <c r="HR21" s="303"/>
      <c r="HS21" s="303"/>
      <c r="HT21" s="303"/>
      <c r="HU21" s="303"/>
      <c r="HV21" s="303"/>
      <c r="HW21" s="303"/>
      <c r="HX21" s="303"/>
      <c r="HY21" s="303"/>
      <c r="HZ21" s="303"/>
      <c r="IA21" s="303"/>
      <c r="IB21" s="303"/>
      <c r="IC21" s="303"/>
      <c r="ID21" s="303"/>
      <c r="IE21" s="303"/>
      <c r="IF21" s="303"/>
      <c r="IG21" s="303"/>
      <c r="IH21" s="303"/>
      <c r="II21" s="303"/>
      <c r="IJ21" s="303"/>
      <c r="IK21" s="303"/>
      <c r="IL21" s="303"/>
      <c r="IM21" s="303"/>
      <c r="IN21" s="303"/>
      <c r="IO21" s="303"/>
      <c r="IP21" s="303"/>
      <c r="IQ21" s="303"/>
      <c r="IR21" s="303"/>
      <c r="IS21" s="303"/>
      <c r="IT21" s="303"/>
      <c r="IU21" s="303"/>
      <c r="IV21" s="303"/>
      <c r="IW21" s="303"/>
      <c r="IX21" s="303"/>
      <c r="IY21" s="303"/>
      <c r="IZ21" s="303"/>
      <c r="JA21" s="303"/>
      <c r="JB21" s="303"/>
      <c r="JC21" s="303"/>
      <c r="JD21" s="303"/>
      <c r="JE21" s="303"/>
      <c r="JF21" s="303"/>
      <c r="JG21" s="303"/>
      <c r="JH21" s="303"/>
      <c r="JI21" s="303"/>
      <c r="JJ21" s="303"/>
      <c r="JK21" s="303"/>
      <c r="JL21" s="303"/>
      <c r="JM21" s="303"/>
      <c r="JN21" s="303"/>
      <c r="JO21" s="303"/>
      <c r="JP21" s="303"/>
      <c r="JQ21" s="303"/>
      <c r="JR21" s="303"/>
      <c r="JS21" s="303"/>
      <c r="JT21" s="303"/>
      <c r="JU21" s="303"/>
      <c r="JV21" s="303"/>
      <c r="JW21" s="303"/>
      <c r="JX21" s="303"/>
      <c r="JY21" s="303"/>
      <c r="JZ21" s="303"/>
      <c r="KA21" s="303"/>
      <c r="KB21" s="303"/>
      <c r="KC21" s="303"/>
      <c r="KD21" s="303"/>
      <c r="KE21" s="303"/>
      <c r="KF21" s="303"/>
      <c r="KG21" s="303"/>
      <c r="KH21" s="303"/>
      <c r="KI21" s="303"/>
      <c r="KJ21" s="303"/>
      <c r="KK21" s="303"/>
      <c r="KL21" s="303"/>
      <c r="KM21" s="303"/>
      <c r="KN21" s="303"/>
      <c r="KO21" s="303"/>
      <c r="KP21" s="303"/>
      <c r="KQ21" s="303"/>
      <c r="KR21" s="303"/>
      <c r="KS21" s="303"/>
      <c r="KT21" s="303"/>
      <c r="KU21" s="303"/>
      <c r="KV21" s="303"/>
      <c r="KW21" s="303"/>
      <c r="KX21" s="303"/>
      <c r="KY21" s="303"/>
      <c r="KZ21" s="303"/>
      <c r="LA21" s="303"/>
      <c r="LB21" s="303"/>
      <c r="LC21" s="303"/>
      <c r="LD21" s="303"/>
      <c r="LE21" s="303"/>
      <c r="LF21" s="303"/>
      <c r="LG21" s="303"/>
      <c r="LH21" s="303"/>
      <c r="LI21" s="303"/>
      <c r="LJ21" s="303"/>
      <c r="LK21" s="303"/>
      <c r="LL21" s="303"/>
      <c r="LM21" s="303"/>
      <c r="LN21" s="303"/>
      <c r="LO21" s="303"/>
      <c r="LP21" s="303"/>
      <c r="LQ21" s="303"/>
      <c r="LR21" s="303"/>
      <c r="LS21" s="303"/>
      <c r="LT21" s="303"/>
      <c r="LU21" s="303"/>
      <c r="LV21" s="303"/>
      <c r="LW21" s="303"/>
      <c r="LX21" s="303"/>
      <c r="LY21" s="303"/>
      <c r="LZ21" s="303"/>
      <c r="MA21" s="303"/>
      <c r="MB21" s="303"/>
      <c r="MC21" s="303"/>
      <c r="MD21" s="303"/>
      <c r="ME21" s="303"/>
      <c r="MF21" s="303"/>
      <c r="MG21" s="303"/>
      <c r="MH21" s="303"/>
      <c r="MI21" s="303"/>
      <c r="MJ21" s="303"/>
      <c r="MK21" s="303"/>
      <c r="ML21" s="303"/>
      <c r="MM21" s="303"/>
      <c r="MN21" s="303"/>
      <c r="MO21" s="303"/>
      <c r="MP21" s="303"/>
      <c r="MQ21" s="303"/>
      <c r="MR21" s="303"/>
      <c r="MS21" s="303"/>
      <c r="MT21" s="303"/>
      <c r="MU21" s="303"/>
      <c r="MV21" s="303"/>
      <c r="MW21" s="303"/>
      <c r="MX21" s="303"/>
      <c r="MY21" s="303"/>
      <c r="MZ21" s="303"/>
      <c r="NA21" s="303"/>
      <c r="NB21" s="303"/>
      <c r="NC21" s="303"/>
      <c r="ND21" s="303"/>
      <c r="NE21" s="303"/>
      <c r="NF21" s="303"/>
      <c r="NG21" s="303"/>
      <c r="NH21" s="303"/>
      <c r="NI21" s="303"/>
      <c r="NJ21" s="303"/>
      <c r="NK21" s="303"/>
      <c r="NL21" s="303"/>
      <c r="NM21" s="303"/>
      <c r="NN21" s="303"/>
      <c r="NO21" s="303"/>
      <c r="NP21" s="303"/>
      <c r="NQ21" s="303"/>
      <c r="NR21" s="303"/>
      <c r="NS21" s="303"/>
      <c r="NT21" s="303"/>
      <c r="NU21" s="303"/>
      <c r="NV21" s="303"/>
      <c r="NW21" s="303"/>
      <c r="NX21" s="303"/>
      <c r="NY21" s="303"/>
      <c r="NZ21" s="303"/>
      <c r="OA21" s="303"/>
      <c r="OB21" s="303"/>
      <c r="OC21" s="303"/>
      <c r="OD21" s="303"/>
      <c r="OE21" s="303"/>
      <c r="OF21" s="303"/>
      <c r="OG21" s="303"/>
      <c r="OH21" s="303"/>
      <c r="OI21" s="303"/>
      <c r="OJ21" s="303"/>
      <c r="OK21" s="303"/>
      <c r="OL21" s="303"/>
      <c r="OM21" s="303"/>
      <c r="ON21" s="303"/>
      <c r="OO21" s="303"/>
      <c r="OP21" s="303"/>
      <c r="OQ21" s="303"/>
      <c r="OR21" s="303"/>
      <c r="OS21" s="303"/>
      <c r="OT21" s="303"/>
      <c r="OU21" s="303"/>
      <c r="OV21" s="303"/>
      <c r="OW21" s="303"/>
      <c r="OX21" s="303"/>
      <c r="OY21" s="303"/>
      <c r="OZ21" s="303"/>
      <c r="PA21" s="303"/>
      <c r="PB21" s="303"/>
      <c r="PC21" s="303"/>
      <c r="PD21" s="303"/>
      <c r="PE21" s="303"/>
      <c r="PF21" s="303"/>
      <c r="PG21" s="303"/>
      <c r="PH21" s="303"/>
      <c r="PI21" s="303"/>
      <c r="PJ21" s="303"/>
      <c r="PK21" s="303"/>
      <c r="PL21" s="303"/>
      <c r="PM21" s="303"/>
      <c r="PN21" s="303"/>
      <c r="PO21" s="303"/>
      <c r="PP21" s="303"/>
      <c r="PQ21" s="303"/>
      <c r="PR21" s="303"/>
      <c r="PS21" s="303"/>
      <c r="PT21" s="303"/>
      <c r="PU21" s="303"/>
      <c r="PV21" s="303"/>
      <c r="PW21" s="303"/>
      <c r="PX21" s="303"/>
      <c r="PY21" s="303"/>
      <c r="PZ21" s="303"/>
      <c r="QA21" s="303"/>
      <c r="QB21" s="303"/>
      <c r="QC21" s="303"/>
      <c r="QD21" s="303"/>
      <c r="QE21" s="303"/>
      <c r="QF21" s="303"/>
      <c r="QG21" s="303"/>
      <c r="QH21" s="303"/>
      <c r="QI21" s="303"/>
      <c r="QJ21" s="303"/>
      <c r="QK21" s="303"/>
      <c r="QL21" s="303"/>
      <c r="QM21" s="303"/>
      <c r="QN21" s="303"/>
      <c r="QO21" s="303"/>
      <c r="QP21" s="303"/>
      <c r="QQ21" s="303"/>
      <c r="QR21" s="303"/>
      <c r="QS21" s="303"/>
      <c r="QT21" s="303"/>
      <c r="QU21" s="303"/>
      <c r="QV21" s="303"/>
      <c r="QW21" s="303"/>
      <c r="QX21" s="303"/>
      <c r="QY21" s="303"/>
      <c r="QZ21" s="303"/>
      <c r="RA21" s="303"/>
      <c r="RB21" s="303"/>
      <c r="RC21" s="303"/>
      <c r="RD21" s="303"/>
      <c r="RE21" s="303"/>
      <c r="RF21" s="303"/>
      <c r="RG21" s="303"/>
      <c r="RH21" s="303"/>
      <c r="RI21" s="303"/>
      <c r="RJ21" s="303"/>
      <c r="RK21" s="303"/>
      <c r="RL21" s="303"/>
      <c r="RM21" s="303"/>
      <c r="RN21" s="303"/>
      <c r="RO21" s="303"/>
      <c r="RP21" s="303"/>
      <c r="RQ21" s="303"/>
      <c r="RR21" s="303"/>
      <c r="RS21" s="303"/>
      <c r="RT21" s="303"/>
      <c r="RU21" s="303"/>
      <c r="RV21" s="303"/>
      <c r="RW21" s="303"/>
      <c r="RX21" s="303"/>
      <c r="RY21" s="303"/>
      <c r="RZ21" s="303"/>
      <c r="SA21" s="303"/>
      <c r="SB21" s="303"/>
      <c r="SC21" s="303"/>
      <c r="SD21" s="303"/>
      <c r="SE21" s="303"/>
      <c r="SF21" s="303"/>
      <c r="SG21" s="303"/>
      <c r="SH21" s="303"/>
      <c r="SI21" s="303"/>
      <c r="SJ21" s="303"/>
      <c r="SK21" s="303"/>
      <c r="SL21" s="303"/>
      <c r="SM21" s="303"/>
      <c r="SN21" s="303"/>
      <c r="SO21" s="303"/>
      <c r="SP21" s="303"/>
      <c r="SQ21" s="303"/>
      <c r="SR21" s="303"/>
      <c r="SS21" s="303"/>
      <c r="ST21" s="303"/>
      <c r="SU21" s="303"/>
      <c r="SV21" s="303"/>
      <c r="SW21" s="303"/>
      <c r="SX21" s="303"/>
      <c r="SY21" s="303"/>
      <c r="SZ21" s="303"/>
      <c r="TA21" s="303"/>
      <c r="TB21" s="303"/>
      <c r="TC21" s="303"/>
      <c r="TD21" s="303"/>
      <c r="TE21" s="303"/>
      <c r="TF21" s="303"/>
      <c r="TG21" s="303"/>
      <c r="TH21" s="303"/>
      <c r="TI21" s="303"/>
      <c r="TJ21" s="303"/>
      <c r="TK21" s="303"/>
      <c r="TL21" s="303"/>
      <c r="TM21" s="303"/>
      <c r="TN21" s="303"/>
      <c r="TO21" s="303"/>
      <c r="TP21" s="303"/>
      <c r="TQ21" s="303"/>
      <c r="TR21" s="303"/>
      <c r="TS21" s="303"/>
      <c r="TT21" s="303"/>
      <c r="TU21" s="303"/>
      <c r="TV21" s="303"/>
      <c r="TW21" s="303"/>
      <c r="TX21" s="303"/>
      <c r="TY21" s="303"/>
      <c r="TZ21" s="303"/>
      <c r="UA21" s="303"/>
      <c r="UB21" s="303"/>
      <c r="UC21" s="303"/>
      <c r="UD21" s="303"/>
      <c r="UE21" s="303"/>
      <c r="UF21" s="303"/>
      <c r="UG21" s="303"/>
      <c r="UH21" s="303"/>
      <c r="UI21" s="303"/>
      <c r="UJ21" s="303"/>
      <c r="UK21" s="303"/>
      <c r="UL21" s="303"/>
      <c r="UM21" s="303"/>
      <c r="UN21" s="303"/>
      <c r="UO21" s="303"/>
      <c r="UP21" s="303"/>
      <c r="UQ21" s="303"/>
      <c r="UR21" s="303"/>
      <c r="US21" s="303"/>
      <c r="UT21" s="303"/>
      <c r="UU21" s="303"/>
      <c r="UV21" s="303"/>
      <c r="UW21" s="303"/>
      <c r="UX21" s="303"/>
      <c r="UY21" s="303"/>
      <c r="UZ21" s="303"/>
      <c r="VA21" s="303"/>
      <c r="VB21" s="303"/>
      <c r="VC21" s="303"/>
      <c r="VD21" s="303"/>
      <c r="VE21" s="303"/>
      <c r="VF21" s="303"/>
      <c r="VG21" s="303"/>
      <c r="VH21" s="303"/>
      <c r="VI21" s="303"/>
      <c r="VJ21" s="303"/>
      <c r="VK21" s="303"/>
      <c r="VL21" s="303"/>
      <c r="VM21" s="303"/>
      <c r="VN21" s="303"/>
      <c r="VO21" s="303"/>
      <c r="VP21" s="303"/>
      <c r="VQ21" s="303"/>
      <c r="VR21" s="303"/>
      <c r="VS21" s="303"/>
      <c r="VT21" s="303"/>
      <c r="VU21" s="303"/>
      <c r="VV21" s="303"/>
      <c r="VW21" s="303"/>
      <c r="VX21" s="303"/>
      <c r="VY21" s="303"/>
      <c r="VZ21" s="303"/>
      <c r="WA21" s="303"/>
      <c r="WB21" s="303"/>
      <c r="WC21" s="303"/>
      <c r="WD21" s="303"/>
      <c r="WE21" s="303"/>
      <c r="WF21" s="303"/>
      <c r="WG21" s="303"/>
      <c r="WH21" s="303"/>
      <c r="WI21" s="303"/>
      <c r="WJ21" s="303"/>
      <c r="WK21" s="303"/>
      <c r="WL21" s="303"/>
      <c r="WM21" s="303"/>
      <c r="WN21" s="303"/>
      <c r="WO21" s="303"/>
      <c r="WP21" s="303"/>
      <c r="WQ21" s="303"/>
      <c r="WR21" s="303"/>
      <c r="WS21" s="303"/>
      <c r="WT21" s="303"/>
      <c r="WU21" s="303"/>
      <c r="WV21" s="303"/>
      <c r="WW21" s="303"/>
      <c r="WX21" s="303"/>
      <c r="WY21" s="303"/>
      <c r="WZ21" s="303"/>
      <c r="XA21" s="303"/>
      <c r="XB21" s="303"/>
      <c r="XC21" s="303"/>
      <c r="XD21" s="303"/>
      <c r="XE21" s="303"/>
      <c r="XF21" s="303"/>
      <c r="XG21" s="303"/>
      <c r="XH21" s="303"/>
      <c r="XI21" s="303"/>
      <c r="XJ21" s="303"/>
      <c r="XK21" s="303"/>
      <c r="XL21" s="303"/>
      <c r="XM21" s="303"/>
      <c r="XN21" s="303"/>
      <c r="XO21" s="303"/>
      <c r="XP21" s="303"/>
      <c r="XQ21" s="303"/>
      <c r="XR21" s="303"/>
      <c r="XS21" s="303"/>
      <c r="XT21" s="303"/>
      <c r="XU21" s="303"/>
      <c r="XV21" s="303"/>
      <c r="XW21" s="303"/>
      <c r="XX21" s="303"/>
      <c r="XY21" s="303"/>
      <c r="XZ21" s="303"/>
      <c r="YA21" s="303"/>
      <c r="YB21" s="303"/>
      <c r="YC21" s="303"/>
      <c r="YD21" s="303"/>
      <c r="YE21" s="303"/>
      <c r="YF21" s="303"/>
      <c r="YG21" s="303"/>
      <c r="YH21" s="303"/>
      <c r="YI21" s="303"/>
      <c r="YJ21" s="303"/>
      <c r="YK21" s="303"/>
      <c r="YL21" s="303"/>
      <c r="YM21" s="303"/>
      <c r="YN21" s="303"/>
      <c r="YO21" s="303"/>
      <c r="YP21" s="303"/>
      <c r="YQ21" s="303"/>
      <c r="YR21" s="303"/>
      <c r="YS21" s="303"/>
      <c r="YT21" s="303"/>
      <c r="YU21" s="303"/>
      <c r="YV21" s="303"/>
      <c r="YW21" s="303"/>
      <c r="YX21" s="303"/>
      <c r="YY21" s="303"/>
      <c r="YZ21" s="303"/>
      <c r="ZA21" s="303"/>
      <c r="ZB21" s="303"/>
      <c r="ZC21" s="303"/>
      <c r="ZD21" s="303"/>
      <c r="ZE21" s="303"/>
      <c r="ZF21" s="303"/>
      <c r="ZG21" s="303"/>
      <c r="ZH21" s="303"/>
      <c r="ZI21" s="303"/>
      <c r="ZJ21" s="303"/>
      <c r="ZK21" s="303"/>
      <c r="ZL21" s="303"/>
      <c r="ZM21" s="303"/>
      <c r="ZN21" s="303"/>
      <c r="ZO21" s="303"/>
      <c r="ZP21" s="303"/>
      <c r="ZQ21" s="303"/>
      <c r="ZR21" s="303"/>
      <c r="ZS21" s="303"/>
      <c r="ZT21" s="303"/>
      <c r="ZU21" s="303"/>
      <c r="ZV21" s="303"/>
      <c r="ZW21" s="303"/>
      <c r="ZX21" s="303"/>
      <c r="ZY21" s="303"/>
      <c r="ZZ21" s="303"/>
      <c r="AAA21" s="303"/>
      <c r="AAB21" s="303"/>
      <c r="AAC21" s="303"/>
      <c r="AAD21" s="303"/>
      <c r="AAE21" s="303"/>
      <c r="AAF21" s="303"/>
      <c r="AAG21" s="303"/>
      <c r="AAH21" s="303"/>
      <c r="AAI21" s="303"/>
      <c r="AAJ21" s="303"/>
      <c r="AAK21" s="303"/>
      <c r="AAL21" s="303"/>
      <c r="AAM21" s="303"/>
      <c r="AAN21" s="303"/>
      <c r="AAO21" s="303"/>
      <c r="AAP21" s="303"/>
      <c r="AAQ21" s="303"/>
      <c r="AAR21" s="303"/>
      <c r="AAS21" s="303"/>
      <c r="AAT21" s="303"/>
      <c r="AAU21" s="303"/>
      <c r="AAV21" s="303"/>
      <c r="AAW21" s="303"/>
      <c r="AAX21" s="303"/>
      <c r="AAY21" s="303"/>
      <c r="AAZ21" s="303"/>
      <c r="ABA21" s="303"/>
      <c r="ABB21" s="303"/>
      <c r="ABC21" s="303"/>
      <c r="ABD21" s="303"/>
      <c r="ABE21" s="303"/>
      <c r="ABF21" s="303"/>
      <c r="ABG21" s="303"/>
      <c r="ABH21" s="303"/>
      <c r="ABI21" s="303"/>
      <c r="ABJ21" s="303"/>
      <c r="ABK21" s="303"/>
      <c r="ABL21" s="303"/>
      <c r="ABM21" s="303"/>
      <c r="ABN21" s="303"/>
      <c r="ABO21" s="303"/>
      <c r="ABP21" s="303"/>
      <c r="ABQ21" s="303"/>
      <c r="ABR21" s="303"/>
      <c r="ABS21" s="303"/>
      <c r="ABT21" s="303"/>
      <c r="ABU21" s="303"/>
      <c r="ABV21" s="303"/>
      <c r="ABW21" s="303"/>
      <c r="ABX21" s="303"/>
      <c r="ABY21" s="303"/>
      <c r="ABZ21" s="303"/>
      <c r="ACA21" s="303"/>
      <c r="ACB21" s="303"/>
      <c r="ACC21" s="303"/>
      <c r="ACD21" s="303"/>
      <c r="ACE21" s="303"/>
      <c r="ACF21" s="303"/>
      <c r="ACG21" s="303"/>
      <c r="ACH21" s="303"/>
      <c r="ACI21" s="303"/>
      <c r="ACJ21" s="303"/>
      <c r="ACK21" s="303"/>
      <c r="ACL21" s="303"/>
      <c r="ACM21" s="303"/>
      <c r="ACN21" s="303"/>
      <c r="ACO21" s="303"/>
      <c r="ACP21" s="303"/>
      <c r="ACQ21" s="303"/>
      <c r="ACR21" s="303"/>
      <c r="ACS21" s="303"/>
      <c r="ACT21" s="303"/>
      <c r="ACU21" s="303"/>
      <c r="ACV21" s="303"/>
      <c r="ACW21" s="303"/>
      <c r="ACX21" s="303"/>
      <c r="ACY21" s="303"/>
      <c r="ACZ21" s="303"/>
      <c r="ADA21" s="303"/>
      <c r="ADB21" s="303"/>
      <c r="ADC21" s="303"/>
      <c r="ADD21" s="303"/>
      <c r="ADE21" s="303"/>
      <c r="ADF21" s="303"/>
      <c r="ADG21" s="303"/>
      <c r="ADH21" s="303"/>
      <c r="ADI21" s="303"/>
      <c r="ADJ21" s="303"/>
      <c r="ADK21" s="303"/>
      <c r="ADL21" s="303"/>
      <c r="ADM21" s="303"/>
      <c r="ADN21" s="303"/>
      <c r="ADO21" s="303"/>
      <c r="ADP21" s="303"/>
      <c r="ADQ21" s="303"/>
      <c r="ADR21" s="303"/>
      <c r="ADS21" s="303"/>
      <c r="ADT21" s="303"/>
      <c r="ADU21" s="303"/>
      <c r="ADV21" s="303"/>
      <c r="ADW21" s="303"/>
      <c r="ADX21" s="303"/>
      <c r="ADY21" s="303"/>
      <c r="ADZ21" s="303"/>
      <c r="AEA21" s="303"/>
      <c r="AEB21" s="303"/>
      <c r="AEC21" s="303"/>
      <c r="AED21" s="303"/>
      <c r="AEE21" s="303"/>
      <c r="AEF21" s="303"/>
      <c r="AEG21" s="303"/>
      <c r="AEH21" s="303"/>
      <c r="AEI21" s="303"/>
      <c r="AEJ21" s="303"/>
      <c r="AEK21" s="303"/>
      <c r="AEL21" s="303"/>
      <c r="AEM21" s="303"/>
      <c r="AEN21" s="303"/>
      <c r="AEO21" s="303"/>
      <c r="AEP21" s="303"/>
      <c r="AEQ21" s="303"/>
      <c r="AER21" s="303"/>
      <c r="AES21" s="303"/>
      <c r="AET21" s="303"/>
      <c r="AEU21" s="303"/>
      <c r="AEV21" s="303"/>
      <c r="AEW21" s="303"/>
      <c r="AEX21" s="303"/>
      <c r="AEY21" s="303"/>
      <c r="AEZ21" s="303"/>
      <c r="AFA21" s="303"/>
      <c r="AFB21" s="303"/>
      <c r="AFC21" s="303"/>
      <c r="AFD21" s="303"/>
      <c r="AFE21" s="303"/>
      <c r="AFF21" s="303"/>
      <c r="AFG21" s="303"/>
      <c r="AFH21" s="303"/>
      <c r="AFI21" s="303"/>
      <c r="AFJ21" s="303"/>
      <c r="AFK21" s="303"/>
      <c r="AFL21" s="303"/>
      <c r="AFM21" s="303"/>
      <c r="AFN21" s="303"/>
      <c r="AFO21" s="303"/>
      <c r="AFP21" s="303"/>
      <c r="AFQ21" s="303"/>
      <c r="AFR21" s="303"/>
      <c r="AFS21" s="303"/>
      <c r="AFT21" s="303"/>
      <c r="AFU21" s="303"/>
      <c r="AFV21" s="303"/>
      <c r="AFW21" s="303"/>
      <c r="AFX21" s="303"/>
      <c r="AFY21" s="303"/>
      <c r="AFZ21" s="303"/>
      <c r="AGA21" s="303"/>
      <c r="AGB21" s="303"/>
      <c r="AGC21" s="303"/>
      <c r="AGD21" s="303"/>
      <c r="AGE21" s="303"/>
      <c r="AGF21" s="303"/>
      <c r="AGG21" s="303"/>
      <c r="AGH21" s="303"/>
      <c r="AGI21" s="303"/>
      <c r="AGJ21" s="303"/>
      <c r="AGK21" s="303"/>
      <c r="AGL21" s="303"/>
      <c r="AGM21" s="303"/>
      <c r="AGN21" s="303"/>
      <c r="AGO21" s="303"/>
      <c r="AGP21" s="303"/>
      <c r="AGQ21" s="303"/>
      <c r="AGR21" s="303"/>
      <c r="AGS21" s="303"/>
      <c r="AGT21" s="303"/>
      <c r="AGU21" s="303"/>
      <c r="AGV21" s="303"/>
      <c r="AGW21" s="303"/>
      <c r="AGX21" s="303"/>
      <c r="AGY21" s="303"/>
      <c r="AGZ21" s="303"/>
      <c r="AHA21" s="303"/>
      <c r="AHB21" s="303"/>
      <c r="AHC21" s="303"/>
      <c r="AHD21" s="303"/>
      <c r="AHE21" s="303"/>
      <c r="AHF21" s="303"/>
      <c r="AHG21" s="303"/>
      <c r="AHH21" s="303"/>
      <c r="AHI21" s="303"/>
      <c r="AHJ21" s="303"/>
      <c r="AHK21" s="303"/>
      <c r="AHL21" s="303"/>
      <c r="AHM21" s="303"/>
      <c r="AHN21" s="303"/>
      <c r="AHO21" s="303"/>
      <c r="AHP21" s="303"/>
      <c r="AHQ21" s="303"/>
      <c r="AHR21" s="303"/>
      <c r="AHS21" s="303"/>
      <c r="AHT21" s="303"/>
      <c r="AHU21" s="303"/>
      <c r="AHV21" s="303"/>
      <c r="AHW21" s="303"/>
      <c r="AHX21" s="303"/>
      <c r="AHY21" s="303"/>
      <c r="AHZ21" s="303"/>
      <c r="AIA21" s="303"/>
      <c r="AIB21" s="303"/>
      <c r="AIC21" s="303"/>
      <c r="AID21" s="303"/>
      <c r="AIE21" s="303"/>
      <c r="AIF21" s="303"/>
      <c r="AIG21" s="303"/>
      <c r="AIH21" s="303"/>
      <c r="AII21" s="303"/>
      <c r="AIJ21" s="303"/>
      <c r="AIK21" s="303"/>
      <c r="AIL21" s="303"/>
      <c r="AIM21" s="303"/>
      <c r="AIN21" s="303"/>
      <c r="AIO21" s="303"/>
      <c r="AIP21" s="303"/>
      <c r="AIQ21" s="303"/>
      <c r="AIR21" s="303"/>
      <c r="AIS21" s="303"/>
      <c r="AIT21" s="303"/>
      <c r="AIU21" s="303"/>
      <c r="AIV21" s="303"/>
      <c r="AIW21" s="303"/>
      <c r="AIX21" s="303"/>
      <c r="AIY21" s="303"/>
      <c r="AIZ21" s="303"/>
      <c r="AJA21" s="303"/>
      <c r="AJB21" s="303"/>
      <c r="AJC21" s="303"/>
      <c r="AJD21" s="303"/>
      <c r="AJE21" s="303"/>
      <c r="AJF21" s="303"/>
      <c r="AJG21" s="303"/>
      <c r="AJH21" s="303"/>
      <c r="AJI21" s="303"/>
      <c r="AJJ21" s="303"/>
      <c r="AJK21" s="303"/>
      <c r="AJL21" s="303"/>
      <c r="AJM21" s="303"/>
      <c r="AJN21" s="303"/>
      <c r="AJO21" s="303"/>
      <c r="AJP21" s="303"/>
      <c r="AJQ21" s="303"/>
      <c r="AJR21" s="303"/>
      <c r="AJS21" s="303"/>
      <c r="AJT21" s="303"/>
      <c r="AJU21" s="303"/>
      <c r="AJV21" s="303"/>
      <c r="AJW21" s="303"/>
      <c r="AJX21" s="303"/>
      <c r="AJY21" s="303"/>
      <c r="AJZ21" s="303"/>
      <c r="AKA21" s="303"/>
      <c r="AKB21" s="303"/>
      <c r="AKC21" s="303"/>
      <c r="AKD21" s="303"/>
      <c r="AKE21" s="303"/>
      <c r="AKF21" s="303"/>
      <c r="AKG21" s="303"/>
      <c r="AKH21" s="303"/>
      <c r="AKI21" s="303"/>
      <c r="AKJ21" s="303"/>
      <c r="AKK21" s="303"/>
      <c r="AKL21" s="303"/>
      <c r="AKM21" s="303"/>
      <c r="AKN21" s="303"/>
      <c r="AKO21" s="303"/>
      <c r="AKP21" s="303"/>
      <c r="AKQ21" s="303"/>
      <c r="AKR21" s="303"/>
      <c r="AKS21" s="303"/>
      <c r="AKT21" s="303"/>
      <c r="AKU21" s="303"/>
      <c r="AKV21" s="303"/>
      <c r="AKW21" s="303"/>
      <c r="AKX21" s="303"/>
      <c r="AKY21" s="303"/>
      <c r="AKZ21" s="303"/>
      <c r="ALA21" s="303"/>
      <c r="ALB21" s="303"/>
      <c r="ALC21" s="303"/>
      <c r="ALD21" s="303"/>
      <c r="ALE21" s="303"/>
      <c r="ALF21" s="303"/>
      <c r="ALG21" s="303"/>
      <c r="ALH21" s="303"/>
      <c r="ALI21" s="303"/>
      <c r="ALJ21" s="303"/>
      <c r="ALK21" s="303"/>
      <c r="ALL21" s="303"/>
      <c r="ALM21" s="303"/>
      <c r="ALN21" s="303"/>
      <c r="ALO21" s="303"/>
      <c r="ALP21" s="303"/>
      <c r="ALQ21" s="303"/>
      <c r="ALR21" s="303"/>
      <c r="ALS21" s="303"/>
      <c r="ALT21" s="303"/>
      <c r="ALU21" s="303"/>
      <c r="ALV21" s="303"/>
      <c r="ALW21" s="303"/>
      <c r="ALX21" s="303"/>
      <c r="ALY21" s="303"/>
      <c r="ALZ21" s="303"/>
      <c r="AMA21" s="303"/>
      <c r="AMB21" s="303"/>
      <c r="AMC21" s="303"/>
      <c r="AMD21" s="303"/>
      <c r="AME21" s="303"/>
      <c r="AMF21" s="303"/>
      <c r="AMG21" s="303"/>
      <c r="AMH21" s="303"/>
      <c r="AMI21" s="303"/>
      <c r="AMJ21" s="303"/>
      <c r="AMK21" s="303"/>
      <c r="AML21" s="303"/>
      <c r="AMM21" s="303"/>
      <c r="AMN21" s="303"/>
      <c r="AMO21" s="303"/>
      <c r="AMP21" s="303"/>
      <c r="AMQ21" s="303"/>
      <c r="AMR21" s="303"/>
      <c r="AMS21" s="303"/>
      <c r="AMT21" s="303"/>
      <c r="AMU21" s="303"/>
      <c r="AMV21" s="303"/>
      <c r="AMW21" s="303"/>
      <c r="AMX21" s="303"/>
      <c r="AMY21" s="303"/>
      <c r="AMZ21" s="303"/>
      <c r="ANA21" s="303"/>
      <c r="ANB21" s="303"/>
      <c r="ANC21" s="303"/>
      <c r="AND21" s="303"/>
      <c r="ANE21" s="303"/>
      <c r="ANF21" s="303"/>
      <c r="ANG21" s="303"/>
      <c r="ANH21" s="303"/>
      <c r="ANI21" s="303"/>
      <c r="ANJ21" s="303"/>
      <c r="ANK21" s="303"/>
      <c r="ANL21" s="303"/>
      <c r="ANM21" s="303"/>
      <c r="ANN21" s="303"/>
      <c r="ANO21" s="303"/>
      <c r="ANP21" s="303"/>
      <c r="ANQ21" s="303"/>
      <c r="ANR21" s="303"/>
      <c r="ANS21" s="303"/>
      <c r="ANT21" s="303"/>
      <c r="ANU21" s="303"/>
      <c r="ANV21" s="303"/>
      <c r="ANW21" s="303"/>
      <c r="ANX21" s="303"/>
      <c r="ANY21" s="303"/>
      <c r="ANZ21" s="303"/>
      <c r="AOA21" s="303"/>
      <c r="AOB21" s="303"/>
      <c r="AOC21" s="303"/>
      <c r="AOD21" s="303"/>
      <c r="AOE21" s="303"/>
      <c r="AOF21" s="303"/>
      <c r="AOG21" s="303"/>
      <c r="AOH21" s="303"/>
      <c r="AOI21" s="303"/>
      <c r="AOJ21" s="303"/>
      <c r="AOK21" s="303"/>
      <c r="AOL21" s="303"/>
      <c r="AOM21" s="303"/>
      <c r="AON21" s="303"/>
      <c r="AOO21" s="303"/>
      <c r="AOP21" s="303"/>
      <c r="AOQ21" s="303"/>
      <c r="AOR21" s="303"/>
      <c r="AOS21" s="303"/>
      <c r="AOT21" s="303"/>
      <c r="AOU21" s="303"/>
      <c r="AOV21" s="303"/>
      <c r="AOW21" s="303"/>
      <c r="AOX21" s="303"/>
      <c r="AOY21" s="303"/>
      <c r="AOZ21" s="303"/>
      <c r="APA21" s="303"/>
      <c r="APB21" s="303"/>
      <c r="APC21" s="303"/>
      <c r="APD21" s="303"/>
      <c r="APE21" s="303"/>
      <c r="APF21" s="303"/>
      <c r="APG21" s="303"/>
      <c r="APH21" s="303"/>
      <c r="API21" s="303"/>
      <c r="APJ21" s="303"/>
      <c r="APK21" s="303"/>
      <c r="APL21" s="303"/>
      <c r="APM21" s="303"/>
      <c r="APN21" s="303"/>
      <c r="APO21" s="303"/>
      <c r="APP21" s="303"/>
      <c r="APQ21" s="303"/>
      <c r="APR21" s="303"/>
      <c r="APS21" s="303"/>
      <c r="APT21" s="303"/>
      <c r="APU21" s="303"/>
      <c r="APV21" s="303"/>
      <c r="APW21" s="303"/>
      <c r="APX21" s="303"/>
      <c r="APY21" s="303"/>
      <c r="APZ21" s="303"/>
      <c r="AQA21" s="303"/>
      <c r="AQB21" s="303"/>
      <c r="AQC21" s="303"/>
      <c r="AQD21" s="303"/>
      <c r="AQE21" s="303"/>
      <c r="AQF21" s="303"/>
      <c r="AQG21" s="303"/>
      <c r="AQH21" s="303"/>
      <c r="AQI21" s="303"/>
      <c r="AQJ21" s="303"/>
      <c r="AQK21" s="303"/>
      <c r="AQL21" s="303"/>
      <c r="AQM21" s="303"/>
      <c r="AQN21" s="303"/>
      <c r="AQO21" s="303"/>
      <c r="AQP21" s="303"/>
      <c r="AQQ21" s="303"/>
      <c r="AQR21" s="303"/>
      <c r="AQS21" s="303"/>
      <c r="AQT21" s="303"/>
      <c r="AQU21" s="303"/>
      <c r="AQV21" s="303"/>
      <c r="AQW21" s="303"/>
      <c r="AQX21" s="303"/>
      <c r="AQY21" s="303"/>
      <c r="AQZ21" s="303"/>
      <c r="ARA21" s="303"/>
      <c r="ARB21" s="303"/>
      <c r="ARC21" s="303"/>
      <c r="ARD21" s="303"/>
      <c r="ARE21" s="303"/>
      <c r="ARF21" s="303"/>
      <c r="ARG21" s="303"/>
      <c r="ARH21" s="303"/>
      <c r="ARI21" s="303"/>
      <c r="ARJ21" s="303"/>
      <c r="ARK21" s="303"/>
      <c r="ARL21" s="303"/>
      <c r="ARM21" s="303"/>
      <c r="ARN21" s="303"/>
      <c r="ARO21" s="303"/>
      <c r="ARP21" s="303"/>
      <c r="ARQ21" s="303"/>
      <c r="ARR21" s="303"/>
      <c r="ARS21" s="303"/>
      <c r="ART21" s="303"/>
      <c r="ARU21" s="303"/>
      <c r="ARV21" s="303"/>
      <c r="ARW21" s="303"/>
      <c r="ARX21" s="303"/>
      <c r="ARY21" s="303"/>
      <c r="ARZ21" s="303"/>
      <c r="ASA21" s="303"/>
      <c r="ASB21" s="303"/>
      <c r="ASC21" s="303"/>
      <c r="ASD21" s="303"/>
      <c r="ASE21" s="303"/>
      <c r="ASF21" s="303"/>
      <c r="ASG21" s="303"/>
      <c r="ASH21" s="303"/>
      <c r="ASI21" s="303"/>
      <c r="ASJ21" s="303"/>
      <c r="ASK21" s="303"/>
      <c r="ASL21" s="303"/>
      <c r="ASM21" s="303"/>
      <c r="ASN21" s="303"/>
      <c r="ASO21" s="303"/>
      <c r="ASP21" s="303"/>
      <c r="ASQ21" s="303"/>
      <c r="ASR21" s="303"/>
      <c r="ASS21" s="303"/>
      <c r="AST21" s="303"/>
      <c r="ASU21" s="303"/>
      <c r="ASV21" s="303"/>
      <c r="ASW21" s="303"/>
      <c r="ASX21" s="303"/>
      <c r="ASY21" s="303"/>
      <c r="ASZ21" s="303"/>
      <c r="ATA21" s="303"/>
      <c r="ATB21" s="303"/>
      <c r="ATC21" s="303"/>
      <c r="ATD21" s="303"/>
      <c r="ATE21" s="303"/>
      <c r="ATF21" s="303"/>
      <c r="ATG21" s="303"/>
      <c r="ATH21" s="303"/>
      <c r="ATI21" s="303"/>
      <c r="ATJ21" s="303"/>
      <c r="ATK21" s="303"/>
      <c r="ATL21" s="303"/>
      <c r="ATM21" s="303"/>
      <c r="ATN21" s="303"/>
      <c r="ATO21" s="303"/>
      <c r="ATP21" s="303"/>
      <c r="ATQ21" s="303"/>
      <c r="ATR21" s="303"/>
      <c r="ATS21" s="303"/>
      <c r="ATT21" s="303"/>
      <c r="ATU21" s="303"/>
      <c r="ATV21" s="303"/>
      <c r="ATW21" s="303"/>
      <c r="ATX21" s="303"/>
      <c r="ATY21" s="303"/>
      <c r="ATZ21" s="303"/>
      <c r="AUA21" s="303"/>
      <c r="AUB21" s="303"/>
      <c r="AUC21" s="303"/>
      <c r="AUD21" s="303"/>
      <c r="AUE21" s="303"/>
      <c r="AUF21" s="303"/>
      <c r="AUG21" s="303"/>
      <c r="AUH21" s="303"/>
      <c r="AUI21" s="303"/>
      <c r="AUJ21" s="303"/>
      <c r="AUK21" s="303"/>
      <c r="AUL21" s="303"/>
      <c r="AUM21" s="303"/>
      <c r="AUN21" s="303"/>
      <c r="AUO21" s="303"/>
      <c r="AUP21" s="303"/>
      <c r="AUQ21" s="303"/>
      <c r="AUR21" s="303"/>
      <c r="AUS21" s="303"/>
      <c r="AUT21" s="303"/>
      <c r="AUU21" s="303"/>
      <c r="AUV21" s="303"/>
      <c r="AUW21" s="303"/>
      <c r="AUX21" s="303"/>
      <c r="AUY21" s="303"/>
      <c r="AUZ21" s="303"/>
      <c r="AVA21" s="303"/>
      <c r="AVB21" s="303"/>
      <c r="AVC21" s="303"/>
      <c r="AVD21" s="303"/>
      <c r="AVE21" s="303"/>
      <c r="AVF21" s="303"/>
      <c r="AVG21" s="303"/>
      <c r="AVH21" s="303"/>
      <c r="AVI21" s="303"/>
      <c r="AVJ21" s="303"/>
      <c r="AVK21" s="303"/>
      <c r="AVL21" s="303"/>
      <c r="AVM21" s="303"/>
      <c r="AVN21" s="303"/>
      <c r="AVO21" s="303"/>
      <c r="AVP21" s="303"/>
      <c r="AVQ21" s="303"/>
      <c r="AVR21" s="303"/>
      <c r="AVS21" s="303"/>
      <c r="AVT21" s="303"/>
      <c r="AVU21" s="303"/>
      <c r="AVV21" s="303"/>
      <c r="AVW21" s="303"/>
      <c r="AVX21" s="303"/>
      <c r="AVY21" s="303"/>
      <c r="AVZ21" s="303"/>
      <c r="AWA21" s="303"/>
      <c r="AWB21" s="303"/>
      <c r="AWC21" s="303"/>
      <c r="AWD21" s="303"/>
      <c r="AWE21" s="303"/>
      <c r="AWF21" s="303"/>
      <c r="AWG21" s="303"/>
      <c r="AWH21" s="303"/>
      <c r="AWI21" s="303"/>
      <c r="AWJ21" s="303"/>
      <c r="AWK21" s="303"/>
      <c r="AWL21" s="303"/>
      <c r="AWM21" s="303"/>
      <c r="AWN21" s="303"/>
      <c r="AWO21" s="303"/>
      <c r="AWP21" s="303"/>
      <c r="AWQ21" s="303"/>
      <c r="AWR21" s="303"/>
      <c r="AWS21" s="303"/>
      <c r="AWT21" s="303"/>
      <c r="AWU21" s="303"/>
      <c r="AWV21" s="303"/>
      <c r="AWW21" s="303"/>
      <c r="AWX21" s="303"/>
      <c r="AWY21" s="303"/>
      <c r="AWZ21" s="303"/>
      <c r="AXA21" s="303"/>
      <c r="AXB21" s="303"/>
      <c r="AXC21" s="303"/>
      <c r="AXD21" s="303"/>
      <c r="AXE21" s="303"/>
      <c r="AXF21" s="303"/>
      <c r="AXG21" s="303"/>
      <c r="AXH21" s="303"/>
      <c r="AXI21" s="303"/>
      <c r="AXJ21" s="303"/>
      <c r="AXK21" s="303"/>
      <c r="AXL21" s="303"/>
      <c r="AXM21" s="303"/>
      <c r="AXN21" s="303"/>
      <c r="AXO21" s="303"/>
      <c r="AXP21" s="303"/>
      <c r="AXQ21" s="303"/>
      <c r="AXR21" s="303"/>
      <c r="AXS21" s="303"/>
      <c r="AXT21" s="303"/>
      <c r="AXU21" s="303"/>
      <c r="AXV21" s="303"/>
      <c r="AXW21" s="303"/>
      <c r="AXX21" s="303"/>
      <c r="AXY21" s="303"/>
      <c r="AXZ21" s="303"/>
      <c r="AYA21" s="303"/>
      <c r="AYB21" s="303"/>
      <c r="AYC21" s="303"/>
      <c r="AYD21" s="303"/>
      <c r="AYE21" s="303"/>
      <c r="AYF21" s="303"/>
      <c r="AYG21" s="303"/>
      <c r="AYH21" s="303"/>
    </row>
    <row r="22" spans="1:1334" ht="48.75" x14ac:dyDescent="0.25">
      <c r="A22" s="304" t="s">
        <v>1091</v>
      </c>
      <c r="B22" s="298" t="s">
        <v>1092</v>
      </c>
      <c r="C22" s="303"/>
      <c r="D22" s="303"/>
      <c r="E22" s="303"/>
      <c r="F22" s="303"/>
      <c r="G22" s="303"/>
      <c r="H22" s="303"/>
      <c r="I22" s="303"/>
      <c r="J22" s="303"/>
      <c r="K22" s="303"/>
      <c r="L22" s="303"/>
      <c r="M22" s="303"/>
      <c r="N22" s="303"/>
      <c r="O22" s="303"/>
      <c r="P22" s="303"/>
      <c r="Q22" s="303"/>
      <c r="R22" s="303"/>
      <c r="S22" s="303"/>
      <c r="T22" s="303"/>
      <c r="U22" s="303"/>
      <c r="V22" s="303"/>
      <c r="W22" s="303"/>
      <c r="X22" s="303"/>
      <c r="Y22" s="303"/>
      <c r="Z22" s="303"/>
      <c r="AA22" s="303"/>
      <c r="AB22" s="303"/>
      <c r="AC22" s="303"/>
      <c r="AD22" s="303"/>
      <c r="AE22" s="303"/>
      <c r="AF22" s="303"/>
      <c r="AG22" s="303"/>
      <c r="AH22" s="303"/>
      <c r="AI22" s="303"/>
      <c r="AJ22" s="303"/>
      <c r="AK22" s="303"/>
      <c r="AL22" s="303"/>
      <c r="AM22" s="303"/>
      <c r="AN22" s="303"/>
      <c r="AO22" s="303"/>
      <c r="AP22" s="303"/>
      <c r="AQ22" s="303"/>
      <c r="AR22" s="303"/>
      <c r="AS22" s="303"/>
      <c r="AT22" s="303"/>
      <c r="AU22" s="303"/>
      <c r="AV22" s="303"/>
      <c r="AW22" s="303"/>
      <c r="AX22" s="303"/>
      <c r="AY22" s="303"/>
      <c r="AZ22" s="303"/>
      <c r="BA22" s="303"/>
      <c r="BB22" s="303"/>
      <c r="BC22" s="303"/>
      <c r="BD22" s="303"/>
      <c r="BE22" s="303"/>
      <c r="BF22" s="303"/>
      <c r="BG22" s="303"/>
      <c r="BH22" s="303"/>
      <c r="BI22" s="303"/>
      <c r="BJ22" s="303"/>
      <c r="BK22" s="303"/>
      <c r="BL22" s="303"/>
      <c r="BM22" s="303"/>
      <c r="BN22" s="303"/>
      <c r="BO22" s="303"/>
      <c r="BP22" s="303"/>
      <c r="BQ22" s="303"/>
      <c r="BR22" s="303"/>
      <c r="BS22" s="303"/>
      <c r="BT22" s="303"/>
      <c r="BU22" s="303"/>
      <c r="BV22" s="303"/>
      <c r="BW22" s="303"/>
      <c r="BX22" s="303"/>
      <c r="BY22" s="303"/>
      <c r="BZ22" s="303"/>
      <c r="CA22" s="303"/>
      <c r="CB22" s="303"/>
      <c r="CC22" s="303"/>
      <c r="CD22" s="303"/>
      <c r="CE22" s="303"/>
      <c r="CF22" s="303"/>
      <c r="CG22" s="303"/>
      <c r="CH22" s="303"/>
      <c r="CI22" s="303"/>
      <c r="CJ22" s="303"/>
      <c r="CK22" s="303"/>
      <c r="CL22" s="303"/>
      <c r="CM22" s="303"/>
      <c r="CN22" s="303"/>
      <c r="CO22" s="303"/>
      <c r="CP22" s="303"/>
      <c r="CQ22" s="303"/>
      <c r="CR22" s="303"/>
      <c r="CS22" s="303"/>
      <c r="CT22" s="303"/>
      <c r="CU22" s="303"/>
      <c r="CV22" s="303"/>
      <c r="CW22" s="303"/>
      <c r="CX22" s="303"/>
      <c r="CY22" s="303"/>
      <c r="CZ22" s="303"/>
      <c r="DA22" s="303"/>
      <c r="DB22" s="303"/>
      <c r="DC22" s="303"/>
      <c r="DD22" s="303"/>
      <c r="DE22" s="303"/>
      <c r="DF22" s="303"/>
      <c r="DG22" s="303"/>
      <c r="DH22" s="303"/>
      <c r="DI22" s="303"/>
      <c r="DJ22" s="303"/>
      <c r="DK22" s="303"/>
      <c r="DL22" s="303"/>
      <c r="DM22" s="303"/>
      <c r="DN22" s="303"/>
      <c r="DO22" s="303"/>
      <c r="DP22" s="303"/>
      <c r="DQ22" s="303"/>
      <c r="DR22" s="303"/>
      <c r="DS22" s="303"/>
      <c r="DT22" s="303"/>
      <c r="DU22" s="303"/>
      <c r="DV22" s="303"/>
      <c r="DW22" s="303"/>
      <c r="DX22" s="303"/>
      <c r="DY22" s="303"/>
      <c r="DZ22" s="303"/>
      <c r="EA22" s="303"/>
      <c r="EB22" s="303"/>
      <c r="EC22" s="303"/>
      <c r="ED22" s="303"/>
      <c r="EE22" s="303"/>
      <c r="EF22" s="303"/>
      <c r="EG22" s="303"/>
      <c r="EH22" s="303"/>
      <c r="EI22" s="303"/>
      <c r="EJ22" s="303"/>
      <c r="EK22" s="303"/>
      <c r="EL22" s="303"/>
      <c r="EM22" s="303"/>
      <c r="EN22" s="303"/>
      <c r="EO22" s="303"/>
      <c r="EP22" s="303"/>
      <c r="EQ22" s="303"/>
      <c r="ER22" s="303"/>
      <c r="ES22" s="303"/>
      <c r="ET22" s="303"/>
      <c r="EU22" s="303"/>
      <c r="EV22" s="303"/>
      <c r="EW22" s="303"/>
      <c r="EX22" s="303"/>
      <c r="EY22" s="303"/>
      <c r="EZ22" s="303"/>
      <c r="FA22" s="303"/>
      <c r="FB22" s="303"/>
      <c r="FC22" s="303"/>
      <c r="FD22" s="303"/>
      <c r="FE22" s="303"/>
      <c r="FF22" s="303"/>
      <c r="FG22" s="303"/>
      <c r="FH22" s="303"/>
      <c r="FI22" s="303"/>
      <c r="FJ22" s="303"/>
      <c r="FK22" s="303"/>
      <c r="FL22" s="303"/>
      <c r="FM22" s="303"/>
      <c r="FN22" s="303"/>
      <c r="FO22" s="303"/>
      <c r="FP22" s="303"/>
      <c r="FQ22" s="303"/>
      <c r="FR22" s="303"/>
      <c r="FS22" s="303"/>
      <c r="FT22" s="303"/>
      <c r="FU22" s="303"/>
      <c r="FV22" s="303"/>
      <c r="FW22" s="303"/>
      <c r="FX22" s="303"/>
      <c r="FY22" s="303"/>
      <c r="FZ22" s="303"/>
      <c r="GA22" s="303"/>
      <c r="GB22" s="303"/>
      <c r="GC22" s="303"/>
      <c r="GD22" s="303"/>
      <c r="GE22" s="303"/>
      <c r="GF22" s="303"/>
      <c r="GG22" s="303"/>
      <c r="GH22" s="303"/>
      <c r="GI22" s="303"/>
      <c r="GJ22" s="303"/>
      <c r="GK22" s="303"/>
      <c r="GL22" s="303"/>
      <c r="GM22" s="303"/>
      <c r="GN22" s="303"/>
      <c r="GO22" s="303"/>
      <c r="GP22" s="303"/>
      <c r="GQ22" s="303"/>
      <c r="GR22" s="303"/>
      <c r="GS22" s="303"/>
      <c r="GT22" s="303"/>
      <c r="GU22" s="303"/>
      <c r="GV22" s="303"/>
      <c r="GW22" s="303"/>
      <c r="GX22" s="303"/>
      <c r="GY22" s="303"/>
      <c r="GZ22" s="303"/>
      <c r="HA22" s="303"/>
      <c r="HB22" s="303"/>
      <c r="HC22" s="303"/>
      <c r="HD22" s="303"/>
      <c r="HE22" s="303"/>
      <c r="HF22" s="303"/>
      <c r="HG22" s="303"/>
      <c r="HH22" s="303"/>
      <c r="HI22" s="303"/>
      <c r="HJ22" s="303"/>
      <c r="HK22" s="303"/>
      <c r="HL22" s="303"/>
      <c r="HM22" s="303"/>
      <c r="HN22" s="303"/>
      <c r="HO22" s="303"/>
      <c r="HP22" s="303"/>
      <c r="HQ22" s="303"/>
      <c r="HR22" s="303"/>
      <c r="HS22" s="303"/>
      <c r="HT22" s="303"/>
      <c r="HU22" s="303"/>
      <c r="HV22" s="303"/>
      <c r="HW22" s="303"/>
      <c r="HX22" s="303"/>
      <c r="HY22" s="303"/>
      <c r="HZ22" s="303"/>
      <c r="IA22" s="303"/>
      <c r="IB22" s="303"/>
      <c r="IC22" s="303"/>
      <c r="ID22" s="303"/>
      <c r="IE22" s="303"/>
      <c r="IF22" s="303"/>
      <c r="IG22" s="303"/>
      <c r="IH22" s="303"/>
      <c r="II22" s="303"/>
      <c r="IJ22" s="303"/>
      <c r="IK22" s="303"/>
      <c r="IL22" s="303"/>
      <c r="IM22" s="303"/>
      <c r="IN22" s="303"/>
      <c r="IO22" s="303"/>
      <c r="IP22" s="303"/>
      <c r="IQ22" s="303"/>
      <c r="IR22" s="303"/>
      <c r="IS22" s="303"/>
      <c r="IT22" s="303"/>
      <c r="IU22" s="303"/>
      <c r="IV22" s="303"/>
      <c r="IW22" s="303"/>
      <c r="IX22" s="303"/>
      <c r="IY22" s="303"/>
      <c r="IZ22" s="303"/>
      <c r="JA22" s="303"/>
      <c r="JB22" s="303"/>
      <c r="JC22" s="303"/>
      <c r="JD22" s="303"/>
      <c r="JE22" s="303"/>
      <c r="JF22" s="303"/>
      <c r="JG22" s="303"/>
      <c r="JH22" s="303"/>
      <c r="JI22" s="303"/>
      <c r="JJ22" s="303"/>
      <c r="JK22" s="303"/>
      <c r="JL22" s="303"/>
      <c r="JM22" s="303"/>
      <c r="JN22" s="303"/>
      <c r="JO22" s="303"/>
      <c r="JP22" s="303"/>
      <c r="JQ22" s="303"/>
      <c r="JR22" s="303"/>
      <c r="JS22" s="303"/>
      <c r="JT22" s="303"/>
      <c r="JU22" s="303"/>
      <c r="JV22" s="303"/>
      <c r="JW22" s="303"/>
      <c r="JX22" s="303"/>
      <c r="JY22" s="303"/>
      <c r="JZ22" s="303"/>
      <c r="KA22" s="303"/>
      <c r="KB22" s="303"/>
      <c r="KC22" s="303"/>
      <c r="KD22" s="303"/>
      <c r="KE22" s="303"/>
      <c r="KF22" s="303"/>
      <c r="KG22" s="303"/>
      <c r="KH22" s="303"/>
      <c r="KI22" s="303"/>
      <c r="KJ22" s="303"/>
      <c r="KK22" s="303"/>
      <c r="KL22" s="303"/>
      <c r="KM22" s="303"/>
      <c r="KN22" s="303"/>
      <c r="KO22" s="303"/>
      <c r="KP22" s="303"/>
      <c r="KQ22" s="303"/>
      <c r="KR22" s="303"/>
      <c r="KS22" s="303"/>
      <c r="KT22" s="303"/>
      <c r="KU22" s="303"/>
      <c r="KV22" s="303"/>
      <c r="KW22" s="303"/>
      <c r="KX22" s="303"/>
      <c r="KY22" s="303"/>
      <c r="KZ22" s="303"/>
      <c r="LA22" s="303"/>
      <c r="LB22" s="303"/>
      <c r="LC22" s="303"/>
      <c r="LD22" s="303"/>
      <c r="LE22" s="303"/>
      <c r="LF22" s="303"/>
      <c r="LG22" s="303"/>
      <c r="LH22" s="303"/>
      <c r="LI22" s="303"/>
      <c r="LJ22" s="303"/>
      <c r="LK22" s="303"/>
      <c r="LL22" s="303"/>
      <c r="LM22" s="303"/>
      <c r="LN22" s="303"/>
      <c r="LO22" s="303"/>
      <c r="LP22" s="303"/>
      <c r="LQ22" s="303"/>
      <c r="LR22" s="303"/>
      <c r="LS22" s="303"/>
      <c r="LT22" s="303"/>
      <c r="LU22" s="303"/>
      <c r="LV22" s="303"/>
      <c r="LW22" s="303"/>
      <c r="LX22" s="303"/>
      <c r="LY22" s="303"/>
      <c r="LZ22" s="303"/>
      <c r="MA22" s="303"/>
      <c r="MB22" s="303"/>
      <c r="MC22" s="303"/>
      <c r="MD22" s="303"/>
      <c r="ME22" s="303"/>
      <c r="MF22" s="303"/>
      <c r="MG22" s="303"/>
      <c r="MH22" s="303"/>
      <c r="MI22" s="303"/>
      <c r="MJ22" s="303"/>
      <c r="MK22" s="303"/>
      <c r="ML22" s="303"/>
      <c r="MM22" s="303"/>
      <c r="MN22" s="303"/>
      <c r="MO22" s="303"/>
      <c r="MP22" s="303"/>
      <c r="MQ22" s="303"/>
      <c r="MR22" s="303"/>
      <c r="MS22" s="303"/>
      <c r="MT22" s="303"/>
      <c r="MU22" s="303"/>
      <c r="MV22" s="303"/>
      <c r="MW22" s="303"/>
      <c r="MX22" s="303"/>
      <c r="MY22" s="303"/>
      <c r="MZ22" s="303"/>
      <c r="NA22" s="303"/>
      <c r="NB22" s="303"/>
      <c r="NC22" s="303"/>
      <c r="ND22" s="303"/>
      <c r="NE22" s="303"/>
      <c r="NF22" s="303"/>
      <c r="NG22" s="303"/>
      <c r="NH22" s="303"/>
      <c r="NI22" s="303"/>
      <c r="NJ22" s="303"/>
      <c r="NK22" s="303"/>
      <c r="NL22" s="303"/>
      <c r="NM22" s="303"/>
      <c r="NN22" s="303"/>
      <c r="NO22" s="303"/>
      <c r="NP22" s="303"/>
      <c r="NQ22" s="303"/>
      <c r="NR22" s="303"/>
      <c r="NS22" s="303"/>
      <c r="NT22" s="303"/>
      <c r="NU22" s="303"/>
      <c r="NV22" s="303"/>
      <c r="NW22" s="303"/>
      <c r="NX22" s="303"/>
      <c r="NY22" s="303"/>
      <c r="NZ22" s="303"/>
      <c r="OA22" s="303"/>
      <c r="OB22" s="303"/>
      <c r="OC22" s="303"/>
      <c r="OD22" s="303"/>
      <c r="OE22" s="303"/>
      <c r="OF22" s="303"/>
      <c r="OG22" s="303"/>
      <c r="OH22" s="303"/>
      <c r="OI22" s="303"/>
      <c r="OJ22" s="303"/>
      <c r="OK22" s="303"/>
      <c r="OL22" s="303"/>
      <c r="OM22" s="303"/>
      <c r="ON22" s="303"/>
      <c r="OO22" s="303"/>
      <c r="OP22" s="303"/>
      <c r="OQ22" s="303"/>
      <c r="OR22" s="303"/>
      <c r="OS22" s="303"/>
      <c r="OT22" s="303"/>
      <c r="OU22" s="303"/>
      <c r="OV22" s="303"/>
      <c r="OW22" s="303"/>
      <c r="OX22" s="303"/>
      <c r="OY22" s="303"/>
      <c r="OZ22" s="303"/>
      <c r="PA22" s="303"/>
      <c r="PB22" s="303"/>
      <c r="PC22" s="303"/>
      <c r="PD22" s="303"/>
      <c r="PE22" s="303"/>
      <c r="PF22" s="303"/>
      <c r="PG22" s="303"/>
      <c r="PH22" s="303"/>
      <c r="PI22" s="303"/>
      <c r="PJ22" s="303"/>
      <c r="PK22" s="303"/>
      <c r="PL22" s="303"/>
      <c r="PM22" s="303"/>
      <c r="PN22" s="303"/>
      <c r="PO22" s="303"/>
      <c r="PP22" s="303"/>
      <c r="PQ22" s="303"/>
      <c r="PR22" s="303"/>
      <c r="PS22" s="303"/>
      <c r="PT22" s="303"/>
      <c r="PU22" s="303"/>
      <c r="PV22" s="303"/>
      <c r="PW22" s="303"/>
      <c r="PX22" s="303"/>
      <c r="PY22" s="303"/>
      <c r="PZ22" s="303"/>
      <c r="QA22" s="303"/>
      <c r="QB22" s="303"/>
      <c r="QC22" s="303"/>
      <c r="QD22" s="303"/>
      <c r="QE22" s="303"/>
      <c r="QF22" s="303"/>
      <c r="QG22" s="303"/>
      <c r="QH22" s="303"/>
      <c r="QI22" s="303"/>
      <c r="QJ22" s="303"/>
      <c r="QK22" s="303"/>
      <c r="QL22" s="303"/>
      <c r="QM22" s="303"/>
      <c r="QN22" s="303"/>
      <c r="QO22" s="303"/>
      <c r="QP22" s="303"/>
      <c r="QQ22" s="303"/>
      <c r="QR22" s="303"/>
      <c r="QS22" s="303"/>
      <c r="QT22" s="303"/>
      <c r="QU22" s="303"/>
      <c r="QV22" s="303"/>
      <c r="QW22" s="303"/>
      <c r="QX22" s="303"/>
      <c r="QY22" s="303"/>
      <c r="QZ22" s="303"/>
      <c r="RA22" s="303"/>
      <c r="RB22" s="303"/>
      <c r="RC22" s="303"/>
      <c r="RD22" s="303"/>
      <c r="RE22" s="303"/>
      <c r="RF22" s="303"/>
      <c r="RG22" s="303"/>
      <c r="RH22" s="303"/>
      <c r="RI22" s="303"/>
      <c r="RJ22" s="303"/>
      <c r="RK22" s="303"/>
      <c r="RL22" s="303"/>
      <c r="RM22" s="303"/>
      <c r="RN22" s="303"/>
      <c r="RO22" s="303"/>
      <c r="RP22" s="303"/>
      <c r="RQ22" s="303"/>
      <c r="RR22" s="303"/>
      <c r="RS22" s="303"/>
      <c r="RT22" s="303"/>
      <c r="RU22" s="303"/>
      <c r="RV22" s="303"/>
      <c r="RW22" s="303"/>
      <c r="RX22" s="303"/>
      <c r="RY22" s="303"/>
      <c r="RZ22" s="303"/>
      <c r="SA22" s="303"/>
      <c r="SB22" s="303"/>
      <c r="SC22" s="303"/>
      <c r="SD22" s="303"/>
      <c r="SE22" s="303"/>
      <c r="SF22" s="303"/>
      <c r="SG22" s="303"/>
      <c r="SH22" s="303"/>
      <c r="SI22" s="303"/>
      <c r="SJ22" s="303"/>
      <c r="SK22" s="303"/>
      <c r="SL22" s="303"/>
      <c r="SM22" s="303"/>
      <c r="SN22" s="303"/>
      <c r="SO22" s="303"/>
      <c r="SP22" s="303"/>
      <c r="SQ22" s="303"/>
      <c r="SR22" s="303"/>
      <c r="SS22" s="303"/>
      <c r="ST22" s="303"/>
      <c r="SU22" s="303"/>
      <c r="SV22" s="303"/>
      <c r="SW22" s="303"/>
      <c r="SX22" s="303"/>
      <c r="SY22" s="303"/>
      <c r="SZ22" s="303"/>
      <c r="TA22" s="303"/>
      <c r="TB22" s="303"/>
      <c r="TC22" s="303"/>
      <c r="TD22" s="303"/>
      <c r="TE22" s="303"/>
      <c r="TF22" s="303"/>
      <c r="TG22" s="303"/>
      <c r="TH22" s="303"/>
      <c r="TI22" s="303"/>
      <c r="TJ22" s="303"/>
      <c r="TK22" s="303"/>
      <c r="TL22" s="303"/>
      <c r="TM22" s="303"/>
      <c r="TN22" s="303"/>
      <c r="TO22" s="303"/>
      <c r="TP22" s="303"/>
      <c r="TQ22" s="303"/>
      <c r="TR22" s="303"/>
      <c r="TS22" s="303"/>
      <c r="TT22" s="303"/>
      <c r="TU22" s="303"/>
      <c r="TV22" s="303"/>
      <c r="TW22" s="303"/>
      <c r="TX22" s="303"/>
      <c r="TY22" s="303"/>
      <c r="TZ22" s="303"/>
      <c r="UA22" s="303"/>
      <c r="UB22" s="303"/>
      <c r="UC22" s="303"/>
      <c r="UD22" s="303"/>
      <c r="UE22" s="303"/>
      <c r="UF22" s="303"/>
      <c r="UG22" s="303"/>
      <c r="UH22" s="303"/>
      <c r="UI22" s="303"/>
      <c r="UJ22" s="303"/>
      <c r="UK22" s="303"/>
      <c r="UL22" s="303"/>
      <c r="UM22" s="303"/>
      <c r="UN22" s="303"/>
      <c r="UO22" s="303"/>
      <c r="UP22" s="303"/>
      <c r="UQ22" s="303"/>
      <c r="UR22" s="303"/>
      <c r="US22" s="303"/>
      <c r="UT22" s="303"/>
      <c r="UU22" s="303"/>
      <c r="UV22" s="303"/>
      <c r="UW22" s="303"/>
      <c r="UX22" s="303"/>
      <c r="UY22" s="303"/>
      <c r="UZ22" s="303"/>
      <c r="VA22" s="303"/>
      <c r="VB22" s="303"/>
      <c r="VC22" s="303"/>
      <c r="VD22" s="303"/>
      <c r="VE22" s="303"/>
      <c r="VF22" s="303"/>
      <c r="VG22" s="303"/>
      <c r="VH22" s="303"/>
      <c r="VI22" s="303"/>
      <c r="VJ22" s="303"/>
      <c r="VK22" s="303"/>
      <c r="VL22" s="303"/>
      <c r="VM22" s="303"/>
      <c r="VN22" s="303"/>
      <c r="VO22" s="303"/>
      <c r="VP22" s="303"/>
      <c r="VQ22" s="303"/>
      <c r="VR22" s="303"/>
      <c r="VS22" s="303"/>
      <c r="VT22" s="303"/>
      <c r="VU22" s="303"/>
      <c r="VV22" s="303"/>
      <c r="VW22" s="303"/>
      <c r="VX22" s="303"/>
      <c r="VY22" s="303"/>
      <c r="VZ22" s="303"/>
      <c r="WA22" s="303"/>
      <c r="WB22" s="303"/>
      <c r="WC22" s="303"/>
      <c r="WD22" s="303"/>
      <c r="WE22" s="303"/>
      <c r="WF22" s="303"/>
      <c r="WG22" s="303"/>
      <c r="WH22" s="303"/>
      <c r="WI22" s="303"/>
      <c r="WJ22" s="303"/>
      <c r="WK22" s="303"/>
      <c r="WL22" s="303"/>
      <c r="WM22" s="303"/>
      <c r="WN22" s="303"/>
      <c r="WO22" s="303"/>
      <c r="WP22" s="303"/>
      <c r="WQ22" s="303"/>
      <c r="WR22" s="303"/>
      <c r="WS22" s="303"/>
      <c r="WT22" s="303"/>
      <c r="WU22" s="303"/>
      <c r="WV22" s="303"/>
      <c r="WW22" s="303"/>
      <c r="WX22" s="303"/>
      <c r="WY22" s="303"/>
      <c r="WZ22" s="303"/>
      <c r="XA22" s="303"/>
      <c r="XB22" s="303"/>
      <c r="XC22" s="303"/>
      <c r="XD22" s="303"/>
      <c r="XE22" s="303"/>
      <c r="XF22" s="303"/>
      <c r="XG22" s="303"/>
      <c r="XH22" s="303"/>
      <c r="XI22" s="303"/>
      <c r="XJ22" s="303"/>
      <c r="XK22" s="303"/>
      <c r="XL22" s="303"/>
      <c r="XM22" s="303"/>
      <c r="XN22" s="303"/>
      <c r="XO22" s="303"/>
      <c r="XP22" s="303"/>
      <c r="XQ22" s="303"/>
      <c r="XR22" s="303"/>
      <c r="XS22" s="303"/>
      <c r="XT22" s="303"/>
      <c r="XU22" s="303"/>
      <c r="XV22" s="303"/>
      <c r="XW22" s="303"/>
      <c r="XX22" s="303"/>
      <c r="XY22" s="303"/>
      <c r="XZ22" s="303"/>
      <c r="YA22" s="303"/>
      <c r="YB22" s="303"/>
      <c r="YC22" s="303"/>
      <c r="YD22" s="303"/>
      <c r="YE22" s="303"/>
      <c r="YF22" s="303"/>
      <c r="YG22" s="303"/>
      <c r="YH22" s="303"/>
      <c r="YI22" s="303"/>
      <c r="YJ22" s="303"/>
      <c r="YK22" s="303"/>
      <c r="YL22" s="303"/>
      <c r="YM22" s="303"/>
      <c r="YN22" s="303"/>
      <c r="YO22" s="303"/>
      <c r="YP22" s="303"/>
      <c r="YQ22" s="303"/>
      <c r="YR22" s="303"/>
      <c r="YS22" s="303"/>
      <c r="YT22" s="303"/>
      <c r="YU22" s="303"/>
      <c r="YV22" s="303"/>
      <c r="YW22" s="303"/>
      <c r="YX22" s="303"/>
      <c r="YY22" s="303"/>
      <c r="YZ22" s="303"/>
      <c r="ZA22" s="303"/>
      <c r="ZB22" s="303"/>
      <c r="ZC22" s="303"/>
      <c r="ZD22" s="303"/>
      <c r="ZE22" s="303"/>
      <c r="ZF22" s="303"/>
      <c r="ZG22" s="303"/>
      <c r="ZH22" s="303"/>
      <c r="ZI22" s="303"/>
      <c r="ZJ22" s="303"/>
      <c r="ZK22" s="303"/>
      <c r="ZL22" s="303"/>
      <c r="ZM22" s="303"/>
      <c r="ZN22" s="303"/>
      <c r="ZO22" s="303"/>
      <c r="ZP22" s="303"/>
      <c r="ZQ22" s="303"/>
      <c r="ZR22" s="303"/>
      <c r="ZS22" s="303"/>
      <c r="ZT22" s="303"/>
      <c r="ZU22" s="303"/>
      <c r="ZV22" s="303"/>
      <c r="ZW22" s="303"/>
      <c r="ZX22" s="303"/>
      <c r="ZY22" s="303"/>
      <c r="ZZ22" s="303"/>
      <c r="AAA22" s="303"/>
      <c r="AAB22" s="303"/>
      <c r="AAC22" s="303"/>
      <c r="AAD22" s="303"/>
      <c r="AAE22" s="303"/>
      <c r="AAF22" s="303"/>
      <c r="AAG22" s="303"/>
      <c r="AAH22" s="303"/>
      <c r="AAI22" s="303"/>
      <c r="AAJ22" s="303"/>
      <c r="AAK22" s="303"/>
      <c r="AAL22" s="303"/>
      <c r="AAM22" s="303"/>
      <c r="AAN22" s="303"/>
      <c r="AAO22" s="303"/>
      <c r="AAP22" s="303"/>
      <c r="AAQ22" s="303"/>
      <c r="AAR22" s="303"/>
      <c r="AAS22" s="303"/>
      <c r="AAT22" s="303"/>
      <c r="AAU22" s="303"/>
      <c r="AAV22" s="303"/>
      <c r="AAW22" s="303"/>
      <c r="AAX22" s="303"/>
      <c r="AAY22" s="303"/>
      <c r="AAZ22" s="303"/>
      <c r="ABA22" s="303"/>
      <c r="ABB22" s="303"/>
      <c r="ABC22" s="303"/>
      <c r="ABD22" s="303"/>
      <c r="ABE22" s="303"/>
      <c r="ABF22" s="303"/>
      <c r="ABG22" s="303"/>
      <c r="ABH22" s="303"/>
      <c r="ABI22" s="303"/>
      <c r="ABJ22" s="303"/>
      <c r="ABK22" s="303"/>
      <c r="ABL22" s="303"/>
      <c r="ABM22" s="303"/>
      <c r="ABN22" s="303"/>
      <c r="ABO22" s="303"/>
      <c r="ABP22" s="303"/>
      <c r="ABQ22" s="303"/>
      <c r="ABR22" s="303"/>
      <c r="ABS22" s="303"/>
      <c r="ABT22" s="303"/>
      <c r="ABU22" s="303"/>
      <c r="ABV22" s="303"/>
      <c r="ABW22" s="303"/>
      <c r="ABX22" s="303"/>
      <c r="ABY22" s="303"/>
      <c r="ABZ22" s="303"/>
      <c r="ACA22" s="303"/>
      <c r="ACB22" s="303"/>
      <c r="ACC22" s="303"/>
      <c r="ACD22" s="303"/>
      <c r="ACE22" s="303"/>
      <c r="ACF22" s="303"/>
      <c r="ACG22" s="303"/>
      <c r="ACH22" s="303"/>
      <c r="ACI22" s="303"/>
      <c r="ACJ22" s="303"/>
      <c r="ACK22" s="303"/>
      <c r="ACL22" s="303"/>
      <c r="ACM22" s="303"/>
      <c r="ACN22" s="303"/>
      <c r="ACO22" s="303"/>
      <c r="ACP22" s="303"/>
      <c r="ACQ22" s="303"/>
      <c r="ACR22" s="303"/>
      <c r="ACS22" s="303"/>
      <c r="ACT22" s="303"/>
      <c r="ACU22" s="303"/>
      <c r="ACV22" s="303"/>
      <c r="ACW22" s="303"/>
      <c r="ACX22" s="303"/>
      <c r="ACY22" s="303"/>
      <c r="ACZ22" s="303"/>
      <c r="ADA22" s="303"/>
      <c r="ADB22" s="303"/>
      <c r="ADC22" s="303"/>
      <c r="ADD22" s="303"/>
      <c r="ADE22" s="303"/>
      <c r="ADF22" s="303"/>
      <c r="ADG22" s="303"/>
      <c r="ADH22" s="303"/>
      <c r="ADI22" s="303"/>
      <c r="ADJ22" s="303"/>
      <c r="ADK22" s="303"/>
      <c r="ADL22" s="303"/>
      <c r="ADM22" s="303"/>
      <c r="ADN22" s="303"/>
      <c r="ADO22" s="303"/>
      <c r="ADP22" s="303"/>
      <c r="ADQ22" s="303"/>
      <c r="ADR22" s="303"/>
      <c r="ADS22" s="303"/>
      <c r="ADT22" s="303"/>
      <c r="ADU22" s="303"/>
      <c r="ADV22" s="303"/>
      <c r="ADW22" s="303"/>
      <c r="ADX22" s="303"/>
      <c r="ADY22" s="303"/>
      <c r="ADZ22" s="303"/>
      <c r="AEA22" s="303"/>
      <c r="AEB22" s="303"/>
      <c r="AEC22" s="303"/>
      <c r="AED22" s="303"/>
      <c r="AEE22" s="303"/>
      <c r="AEF22" s="303"/>
      <c r="AEG22" s="303"/>
      <c r="AEH22" s="303"/>
      <c r="AEI22" s="303"/>
      <c r="AEJ22" s="303"/>
      <c r="AEK22" s="303"/>
      <c r="AEL22" s="303"/>
      <c r="AEM22" s="303"/>
      <c r="AEN22" s="303"/>
      <c r="AEO22" s="303"/>
      <c r="AEP22" s="303"/>
      <c r="AEQ22" s="303"/>
      <c r="AER22" s="303"/>
      <c r="AES22" s="303"/>
      <c r="AET22" s="303"/>
      <c r="AEU22" s="303"/>
      <c r="AEV22" s="303"/>
      <c r="AEW22" s="303"/>
      <c r="AEX22" s="303"/>
      <c r="AEY22" s="303"/>
      <c r="AEZ22" s="303"/>
      <c r="AFA22" s="303"/>
      <c r="AFB22" s="303"/>
      <c r="AFC22" s="303"/>
      <c r="AFD22" s="303"/>
      <c r="AFE22" s="303"/>
      <c r="AFF22" s="303"/>
      <c r="AFG22" s="303"/>
      <c r="AFH22" s="303"/>
      <c r="AFI22" s="303"/>
      <c r="AFJ22" s="303"/>
      <c r="AFK22" s="303"/>
      <c r="AFL22" s="303"/>
      <c r="AFM22" s="303"/>
      <c r="AFN22" s="303"/>
      <c r="AFO22" s="303"/>
      <c r="AFP22" s="303"/>
      <c r="AFQ22" s="303"/>
      <c r="AFR22" s="303"/>
      <c r="AFS22" s="303"/>
      <c r="AFT22" s="303"/>
      <c r="AFU22" s="303"/>
      <c r="AFV22" s="303"/>
      <c r="AFW22" s="303"/>
      <c r="AFX22" s="303"/>
      <c r="AFY22" s="303"/>
      <c r="AFZ22" s="303"/>
      <c r="AGA22" s="303"/>
      <c r="AGB22" s="303"/>
      <c r="AGC22" s="303"/>
      <c r="AGD22" s="303"/>
      <c r="AGE22" s="303"/>
      <c r="AGF22" s="303"/>
      <c r="AGG22" s="303"/>
      <c r="AGH22" s="303"/>
      <c r="AGI22" s="303"/>
      <c r="AGJ22" s="303"/>
      <c r="AGK22" s="303"/>
      <c r="AGL22" s="303"/>
      <c r="AGM22" s="303"/>
      <c r="AGN22" s="303"/>
      <c r="AGO22" s="303"/>
      <c r="AGP22" s="303"/>
      <c r="AGQ22" s="303"/>
      <c r="AGR22" s="303"/>
      <c r="AGS22" s="303"/>
      <c r="AGT22" s="303"/>
      <c r="AGU22" s="303"/>
      <c r="AGV22" s="303"/>
      <c r="AGW22" s="303"/>
      <c r="AGX22" s="303"/>
      <c r="AGY22" s="303"/>
      <c r="AGZ22" s="303"/>
      <c r="AHA22" s="303"/>
      <c r="AHB22" s="303"/>
      <c r="AHC22" s="303"/>
      <c r="AHD22" s="303"/>
      <c r="AHE22" s="303"/>
      <c r="AHF22" s="303"/>
      <c r="AHG22" s="303"/>
      <c r="AHH22" s="303"/>
      <c r="AHI22" s="303"/>
      <c r="AHJ22" s="303"/>
      <c r="AHK22" s="303"/>
      <c r="AHL22" s="303"/>
      <c r="AHM22" s="303"/>
      <c r="AHN22" s="303"/>
      <c r="AHO22" s="303"/>
      <c r="AHP22" s="303"/>
      <c r="AHQ22" s="303"/>
      <c r="AHR22" s="303"/>
      <c r="AHS22" s="303"/>
      <c r="AHT22" s="303"/>
      <c r="AHU22" s="303"/>
      <c r="AHV22" s="303"/>
      <c r="AHW22" s="303"/>
      <c r="AHX22" s="303"/>
      <c r="AHY22" s="303"/>
      <c r="AHZ22" s="303"/>
      <c r="AIA22" s="303"/>
      <c r="AIB22" s="303"/>
      <c r="AIC22" s="303"/>
      <c r="AID22" s="303"/>
      <c r="AIE22" s="303"/>
      <c r="AIF22" s="303"/>
      <c r="AIG22" s="303"/>
      <c r="AIH22" s="303"/>
      <c r="AII22" s="303"/>
      <c r="AIJ22" s="303"/>
      <c r="AIK22" s="303"/>
      <c r="AIL22" s="303"/>
      <c r="AIM22" s="303"/>
      <c r="AIN22" s="303"/>
      <c r="AIO22" s="303"/>
      <c r="AIP22" s="303"/>
      <c r="AIQ22" s="303"/>
      <c r="AIR22" s="303"/>
      <c r="AIS22" s="303"/>
      <c r="AIT22" s="303"/>
      <c r="AIU22" s="303"/>
      <c r="AIV22" s="303"/>
      <c r="AIW22" s="303"/>
      <c r="AIX22" s="303"/>
      <c r="AIY22" s="303"/>
      <c r="AIZ22" s="303"/>
      <c r="AJA22" s="303"/>
      <c r="AJB22" s="303"/>
      <c r="AJC22" s="303"/>
      <c r="AJD22" s="303"/>
      <c r="AJE22" s="303"/>
      <c r="AJF22" s="303"/>
      <c r="AJG22" s="303"/>
      <c r="AJH22" s="303"/>
      <c r="AJI22" s="303"/>
      <c r="AJJ22" s="303"/>
      <c r="AJK22" s="303"/>
      <c r="AJL22" s="303"/>
      <c r="AJM22" s="303"/>
      <c r="AJN22" s="303"/>
      <c r="AJO22" s="303"/>
      <c r="AJP22" s="303"/>
      <c r="AJQ22" s="303"/>
      <c r="AJR22" s="303"/>
      <c r="AJS22" s="303"/>
      <c r="AJT22" s="303"/>
      <c r="AJU22" s="303"/>
      <c r="AJV22" s="303"/>
      <c r="AJW22" s="303"/>
      <c r="AJX22" s="303"/>
      <c r="AJY22" s="303"/>
      <c r="AJZ22" s="303"/>
      <c r="AKA22" s="303"/>
      <c r="AKB22" s="303"/>
      <c r="AKC22" s="303"/>
      <c r="AKD22" s="303"/>
      <c r="AKE22" s="303"/>
      <c r="AKF22" s="303"/>
      <c r="AKG22" s="303"/>
      <c r="AKH22" s="303"/>
      <c r="AKI22" s="303"/>
      <c r="AKJ22" s="303"/>
      <c r="AKK22" s="303"/>
      <c r="AKL22" s="303"/>
      <c r="AKM22" s="303"/>
      <c r="AKN22" s="303"/>
      <c r="AKO22" s="303"/>
      <c r="AKP22" s="303"/>
      <c r="AKQ22" s="303"/>
      <c r="AKR22" s="303"/>
      <c r="AKS22" s="303"/>
      <c r="AKT22" s="303"/>
      <c r="AKU22" s="303"/>
      <c r="AKV22" s="303"/>
      <c r="AKW22" s="303"/>
      <c r="AKX22" s="303"/>
      <c r="AKY22" s="303"/>
      <c r="AKZ22" s="303"/>
      <c r="ALA22" s="303"/>
      <c r="ALB22" s="303"/>
      <c r="ALC22" s="303"/>
      <c r="ALD22" s="303"/>
      <c r="ALE22" s="303"/>
      <c r="ALF22" s="303"/>
      <c r="ALG22" s="303"/>
      <c r="ALH22" s="303"/>
      <c r="ALI22" s="303"/>
      <c r="ALJ22" s="303"/>
      <c r="ALK22" s="303"/>
      <c r="ALL22" s="303"/>
      <c r="ALM22" s="303"/>
      <c r="ALN22" s="303"/>
      <c r="ALO22" s="303"/>
      <c r="ALP22" s="303"/>
      <c r="ALQ22" s="303"/>
      <c r="ALR22" s="303"/>
      <c r="ALS22" s="303"/>
      <c r="ALT22" s="303"/>
      <c r="ALU22" s="303"/>
      <c r="ALV22" s="303"/>
      <c r="ALW22" s="303"/>
      <c r="ALX22" s="303"/>
      <c r="ALY22" s="303"/>
      <c r="ALZ22" s="303"/>
      <c r="AMA22" s="303"/>
      <c r="AMB22" s="303"/>
      <c r="AMC22" s="303"/>
      <c r="AMD22" s="303"/>
      <c r="AME22" s="303"/>
      <c r="AMF22" s="303"/>
      <c r="AMG22" s="303"/>
      <c r="AMH22" s="303"/>
      <c r="AMI22" s="303"/>
      <c r="AMJ22" s="303"/>
      <c r="AMK22" s="303"/>
      <c r="AML22" s="303"/>
      <c r="AMM22" s="303"/>
      <c r="AMN22" s="303"/>
      <c r="AMO22" s="303"/>
      <c r="AMP22" s="303"/>
      <c r="AMQ22" s="303"/>
      <c r="AMR22" s="303"/>
      <c r="AMS22" s="303"/>
      <c r="AMT22" s="303"/>
      <c r="AMU22" s="303"/>
      <c r="AMV22" s="303"/>
      <c r="AMW22" s="303"/>
      <c r="AMX22" s="303"/>
      <c r="AMY22" s="303"/>
      <c r="AMZ22" s="303"/>
      <c r="ANA22" s="303"/>
      <c r="ANB22" s="303"/>
      <c r="ANC22" s="303"/>
      <c r="AND22" s="303"/>
      <c r="ANE22" s="303"/>
      <c r="ANF22" s="303"/>
      <c r="ANG22" s="303"/>
      <c r="ANH22" s="303"/>
      <c r="ANI22" s="303"/>
      <c r="ANJ22" s="303"/>
      <c r="ANK22" s="303"/>
      <c r="ANL22" s="303"/>
      <c r="ANM22" s="303"/>
      <c r="ANN22" s="303"/>
      <c r="ANO22" s="303"/>
      <c r="ANP22" s="303"/>
      <c r="ANQ22" s="303"/>
      <c r="ANR22" s="303"/>
      <c r="ANS22" s="303"/>
      <c r="ANT22" s="303"/>
      <c r="ANU22" s="303"/>
      <c r="ANV22" s="303"/>
      <c r="ANW22" s="303"/>
      <c r="ANX22" s="303"/>
      <c r="ANY22" s="303"/>
      <c r="ANZ22" s="303"/>
      <c r="AOA22" s="303"/>
      <c r="AOB22" s="303"/>
      <c r="AOC22" s="303"/>
      <c r="AOD22" s="303"/>
      <c r="AOE22" s="303"/>
      <c r="AOF22" s="303"/>
      <c r="AOG22" s="303"/>
      <c r="AOH22" s="303"/>
      <c r="AOI22" s="303"/>
      <c r="AOJ22" s="303"/>
      <c r="AOK22" s="303"/>
      <c r="AOL22" s="303"/>
      <c r="AOM22" s="303"/>
      <c r="AON22" s="303"/>
      <c r="AOO22" s="303"/>
      <c r="AOP22" s="303"/>
      <c r="AOQ22" s="303"/>
      <c r="AOR22" s="303"/>
      <c r="AOS22" s="303"/>
      <c r="AOT22" s="303"/>
      <c r="AOU22" s="303"/>
      <c r="AOV22" s="303"/>
      <c r="AOW22" s="303"/>
      <c r="AOX22" s="303"/>
      <c r="AOY22" s="303"/>
      <c r="AOZ22" s="303"/>
      <c r="APA22" s="303"/>
      <c r="APB22" s="303"/>
      <c r="APC22" s="303"/>
      <c r="APD22" s="303"/>
      <c r="APE22" s="303"/>
      <c r="APF22" s="303"/>
      <c r="APG22" s="303"/>
      <c r="APH22" s="303"/>
      <c r="API22" s="303"/>
      <c r="APJ22" s="303"/>
      <c r="APK22" s="303"/>
      <c r="APL22" s="303"/>
      <c r="APM22" s="303"/>
      <c r="APN22" s="303"/>
      <c r="APO22" s="303"/>
      <c r="APP22" s="303"/>
      <c r="APQ22" s="303"/>
      <c r="APR22" s="303"/>
      <c r="APS22" s="303"/>
      <c r="APT22" s="303"/>
      <c r="APU22" s="303"/>
      <c r="APV22" s="303"/>
      <c r="APW22" s="303"/>
      <c r="APX22" s="303"/>
      <c r="APY22" s="303"/>
      <c r="APZ22" s="303"/>
      <c r="AQA22" s="303"/>
      <c r="AQB22" s="303"/>
      <c r="AQC22" s="303"/>
      <c r="AQD22" s="303"/>
      <c r="AQE22" s="303"/>
      <c r="AQF22" s="303"/>
      <c r="AQG22" s="303"/>
      <c r="AQH22" s="303"/>
      <c r="AQI22" s="303"/>
      <c r="AQJ22" s="303"/>
      <c r="AQK22" s="303"/>
      <c r="AQL22" s="303"/>
      <c r="AQM22" s="303"/>
      <c r="AQN22" s="303"/>
      <c r="AQO22" s="303"/>
      <c r="AQP22" s="303"/>
      <c r="AQQ22" s="303"/>
      <c r="AQR22" s="303"/>
      <c r="AQS22" s="303"/>
      <c r="AQT22" s="303"/>
      <c r="AQU22" s="303"/>
      <c r="AQV22" s="303"/>
      <c r="AQW22" s="303"/>
      <c r="AQX22" s="303"/>
      <c r="AQY22" s="303"/>
      <c r="AQZ22" s="303"/>
      <c r="ARA22" s="303"/>
      <c r="ARB22" s="303"/>
      <c r="ARC22" s="303"/>
      <c r="ARD22" s="303"/>
      <c r="ARE22" s="303"/>
      <c r="ARF22" s="303"/>
      <c r="ARG22" s="303"/>
      <c r="ARH22" s="303"/>
      <c r="ARI22" s="303"/>
      <c r="ARJ22" s="303"/>
      <c r="ARK22" s="303"/>
      <c r="ARL22" s="303"/>
      <c r="ARM22" s="303"/>
      <c r="ARN22" s="303"/>
      <c r="ARO22" s="303"/>
      <c r="ARP22" s="303"/>
      <c r="ARQ22" s="303"/>
      <c r="ARR22" s="303"/>
      <c r="ARS22" s="303"/>
      <c r="ART22" s="303"/>
      <c r="ARU22" s="303"/>
      <c r="ARV22" s="303"/>
      <c r="ARW22" s="303"/>
      <c r="ARX22" s="303"/>
      <c r="ARY22" s="303"/>
      <c r="ARZ22" s="303"/>
      <c r="ASA22" s="303"/>
      <c r="ASB22" s="303"/>
      <c r="ASC22" s="303"/>
      <c r="ASD22" s="303"/>
      <c r="ASE22" s="303"/>
      <c r="ASF22" s="303"/>
      <c r="ASG22" s="303"/>
      <c r="ASH22" s="303"/>
      <c r="ASI22" s="303"/>
      <c r="ASJ22" s="303"/>
      <c r="ASK22" s="303"/>
      <c r="ASL22" s="303"/>
      <c r="ASM22" s="303"/>
      <c r="ASN22" s="303"/>
      <c r="ASO22" s="303"/>
      <c r="ASP22" s="303"/>
      <c r="ASQ22" s="303"/>
      <c r="ASR22" s="303"/>
      <c r="ASS22" s="303"/>
      <c r="AST22" s="303"/>
      <c r="ASU22" s="303"/>
      <c r="ASV22" s="303"/>
      <c r="ASW22" s="303"/>
      <c r="ASX22" s="303"/>
      <c r="ASY22" s="303"/>
      <c r="ASZ22" s="303"/>
      <c r="ATA22" s="303"/>
      <c r="ATB22" s="303"/>
      <c r="ATC22" s="303"/>
      <c r="ATD22" s="303"/>
      <c r="ATE22" s="303"/>
      <c r="ATF22" s="303"/>
      <c r="ATG22" s="303"/>
      <c r="ATH22" s="303"/>
      <c r="ATI22" s="303"/>
      <c r="ATJ22" s="303"/>
      <c r="ATK22" s="303"/>
      <c r="ATL22" s="303"/>
      <c r="ATM22" s="303"/>
      <c r="ATN22" s="303"/>
      <c r="ATO22" s="303"/>
      <c r="ATP22" s="303"/>
      <c r="ATQ22" s="303"/>
      <c r="ATR22" s="303"/>
      <c r="ATS22" s="303"/>
      <c r="ATT22" s="303"/>
      <c r="ATU22" s="303"/>
      <c r="ATV22" s="303"/>
      <c r="ATW22" s="303"/>
      <c r="ATX22" s="303"/>
      <c r="ATY22" s="303"/>
      <c r="ATZ22" s="303"/>
      <c r="AUA22" s="303"/>
      <c r="AUB22" s="303"/>
      <c r="AUC22" s="303"/>
      <c r="AUD22" s="303"/>
      <c r="AUE22" s="303"/>
      <c r="AUF22" s="303"/>
      <c r="AUG22" s="303"/>
      <c r="AUH22" s="303"/>
      <c r="AUI22" s="303"/>
      <c r="AUJ22" s="303"/>
      <c r="AUK22" s="303"/>
      <c r="AUL22" s="303"/>
      <c r="AUM22" s="303"/>
      <c r="AUN22" s="303"/>
      <c r="AUO22" s="303"/>
      <c r="AUP22" s="303"/>
      <c r="AUQ22" s="303"/>
      <c r="AUR22" s="303"/>
      <c r="AUS22" s="303"/>
      <c r="AUT22" s="303"/>
      <c r="AUU22" s="303"/>
      <c r="AUV22" s="303"/>
      <c r="AUW22" s="303"/>
      <c r="AUX22" s="303"/>
      <c r="AUY22" s="303"/>
      <c r="AUZ22" s="303"/>
      <c r="AVA22" s="303"/>
      <c r="AVB22" s="303"/>
      <c r="AVC22" s="303"/>
      <c r="AVD22" s="303"/>
      <c r="AVE22" s="303"/>
      <c r="AVF22" s="303"/>
      <c r="AVG22" s="303"/>
      <c r="AVH22" s="303"/>
      <c r="AVI22" s="303"/>
      <c r="AVJ22" s="303"/>
      <c r="AVK22" s="303"/>
      <c r="AVL22" s="303"/>
      <c r="AVM22" s="303"/>
      <c r="AVN22" s="303"/>
      <c r="AVO22" s="303"/>
      <c r="AVP22" s="303"/>
      <c r="AVQ22" s="303"/>
      <c r="AVR22" s="303"/>
      <c r="AVS22" s="303"/>
      <c r="AVT22" s="303"/>
      <c r="AVU22" s="303"/>
      <c r="AVV22" s="303"/>
      <c r="AVW22" s="303"/>
      <c r="AVX22" s="303"/>
      <c r="AVY22" s="303"/>
      <c r="AVZ22" s="303"/>
      <c r="AWA22" s="303"/>
      <c r="AWB22" s="303"/>
      <c r="AWC22" s="303"/>
      <c r="AWD22" s="303"/>
      <c r="AWE22" s="303"/>
      <c r="AWF22" s="303"/>
      <c r="AWG22" s="303"/>
      <c r="AWH22" s="303"/>
      <c r="AWI22" s="303"/>
      <c r="AWJ22" s="303"/>
      <c r="AWK22" s="303"/>
      <c r="AWL22" s="303"/>
      <c r="AWM22" s="303"/>
      <c r="AWN22" s="303"/>
      <c r="AWO22" s="303"/>
      <c r="AWP22" s="303"/>
      <c r="AWQ22" s="303"/>
      <c r="AWR22" s="303"/>
      <c r="AWS22" s="303"/>
      <c r="AWT22" s="303"/>
      <c r="AWU22" s="303"/>
      <c r="AWV22" s="303"/>
      <c r="AWW22" s="303"/>
      <c r="AWX22" s="303"/>
      <c r="AWY22" s="303"/>
      <c r="AWZ22" s="303"/>
      <c r="AXA22" s="303"/>
      <c r="AXB22" s="303"/>
      <c r="AXC22" s="303"/>
      <c r="AXD22" s="303"/>
      <c r="AXE22" s="303"/>
      <c r="AXF22" s="303"/>
      <c r="AXG22" s="303"/>
      <c r="AXH22" s="303"/>
      <c r="AXI22" s="303"/>
      <c r="AXJ22" s="303"/>
      <c r="AXK22" s="303"/>
      <c r="AXL22" s="303"/>
      <c r="AXM22" s="303"/>
      <c r="AXN22" s="303"/>
      <c r="AXO22" s="303"/>
      <c r="AXP22" s="303"/>
      <c r="AXQ22" s="303"/>
      <c r="AXR22" s="303"/>
      <c r="AXS22" s="303"/>
      <c r="AXT22" s="303"/>
      <c r="AXU22" s="303"/>
      <c r="AXV22" s="303"/>
      <c r="AXW22" s="303"/>
      <c r="AXX22" s="303"/>
      <c r="AXY22" s="303"/>
      <c r="AXZ22" s="303"/>
      <c r="AYA22" s="303"/>
      <c r="AYB22" s="303"/>
      <c r="AYC22" s="303"/>
      <c r="AYD22" s="303"/>
      <c r="AYE22" s="303"/>
      <c r="AYF22" s="303"/>
      <c r="AYG22" s="303"/>
      <c r="AYH22" s="303"/>
    </row>
    <row r="23" spans="1:1334" ht="24.75" x14ac:dyDescent="0.25">
      <c r="A23" s="304" t="s">
        <v>1281</v>
      </c>
      <c r="B23" s="298" t="s">
        <v>1282</v>
      </c>
      <c r="C23" s="303"/>
      <c r="D23" s="303"/>
      <c r="E23" s="303"/>
      <c r="F23" s="303"/>
      <c r="G23" s="303"/>
      <c r="H23" s="303"/>
      <c r="I23" s="303"/>
      <c r="J23" s="303"/>
      <c r="K23" s="303"/>
      <c r="L23" s="303"/>
      <c r="M23" s="303"/>
      <c r="N23" s="303"/>
      <c r="O23" s="303"/>
      <c r="P23" s="303"/>
      <c r="Q23" s="303"/>
      <c r="R23" s="303"/>
      <c r="S23" s="303"/>
      <c r="T23" s="303"/>
      <c r="U23" s="303"/>
      <c r="V23" s="303"/>
      <c r="W23" s="303"/>
      <c r="X23" s="303"/>
      <c r="Y23" s="303"/>
      <c r="Z23" s="303"/>
      <c r="AA23" s="303"/>
      <c r="AB23" s="303"/>
      <c r="AC23" s="303"/>
      <c r="AD23" s="303"/>
      <c r="AE23" s="303"/>
      <c r="AF23" s="303"/>
      <c r="AG23" s="303"/>
      <c r="AH23" s="303"/>
      <c r="AI23" s="303"/>
      <c r="AJ23" s="303"/>
      <c r="AK23" s="303"/>
      <c r="AL23" s="303"/>
      <c r="AM23" s="303"/>
      <c r="AN23" s="303"/>
      <c r="AO23" s="303"/>
      <c r="AP23" s="303"/>
      <c r="AQ23" s="303"/>
      <c r="AR23" s="303"/>
      <c r="AS23" s="303"/>
      <c r="AT23" s="303"/>
      <c r="AU23" s="303"/>
      <c r="AV23" s="303"/>
      <c r="AW23" s="303"/>
      <c r="AX23" s="303"/>
      <c r="AY23" s="303"/>
      <c r="AZ23" s="303"/>
      <c r="BA23" s="303"/>
      <c r="BB23" s="303"/>
      <c r="BC23" s="303"/>
      <c r="BD23" s="303"/>
      <c r="BE23" s="303"/>
      <c r="BF23" s="303"/>
      <c r="BG23" s="303"/>
      <c r="BH23" s="303"/>
      <c r="BI23" s="303"/>
      <c r="BJ23" s="303"/>
      <c r="BK23" s="303"/>
      <c r="BL23" s="303"/>
      <c r="BM23" s="303"/>
      <c r="BN23" s="303"/>
      <c r="BO23" s="303"/>
      <c r="BP23" s="303"/>
      <c r="BQ23" s="303"/>
      <c r="BR23" s="303"/>
      <c r="BS23" s="303"/>
      <c r="BT23" s="303"/>
      <c r="BU23" s="303"/>
      <c r="BV23" s="303"/>
      <c r="BW23" s="303"/>
      <c r="BX23" s="303"/>
      <c r="BY23" s="303"/>
      <c r="BZ23" s="303"/>
      <c r="CA23" s="303"/>
      <c r="CB23" s="303"/>
      <c r="CC23" s="303"/>
      <c r="CD23" s="303"/>
      <c r="CE23" s="303"/>
      <c r="CF23" s="303"/>
      <c r="CG23" s="303"/>
      <c r="CH23" s="303"/>
      <c r="CI23" s="303"/>
      <c r="CJ23" s="303"/>
      <c r="CK23" s="303"/>
      <c r="CL23" s="303"/>
      <c r="CM23" s="303"/>
      <c r="CN23" s="303"/>
      <c r="CO23" s="303"/>
      <c r="CP23" s="303"/>
      <c r="CQ23" s="303"/>
      <c r="CR23" s="303"/>
      <c r="CS23" s="303"/>
      <c r="CT23" s="303"/>
      <c r="CU23" s="303"/>
      <c r="CV23" s="303"/>
      <c r="CW23" s="303"/>
      <c r="CX23" s="303"/>
      <c r="CY23" s="303"/>
      <c r="CZ23" s="303"/>
      <c r="DA23" s="303"/>
      <c r="DB23" s="303"/>
      <c r="DC23" s="303"/>
      <c r="DD23" s="303"/>
      <c r="DE23" s="303"/>
      <c r="DF23" s="303"/>
      <c r="DG23" s="303"/>
      <c r="DH23" s="303"/>
      <c r="DI23" s="303"/>
      <c r="DJ23" s="303"/>
      <c r="DK23" s="303"/>
      <c r="DL23" s="303"/>
      <c r="DM23" s="303"/>
      <c r="DN23" s="303"/>
      <c r="DO23" s="303"/>
      <c r="DP23" s="303"/>
      <c r="DQ23" s="303"/>
      <c r="DR23" s="303"/>
      <c r="DS23" s="303"/>
      <c r="DT23" s="303"/>
      <c r="DU23" s="303"/>
      <c r="DV23" s="303"/>
      <c r="DW23" s="303"/>
      <c r="DX23" s="303"/>
      <c r="DY23" s="303"/>
      <c r="DZ23" s="303"/>
      <c r="EA23" s="303"/>
      <c r="EB23" s="303"/>
      <c r="EC23" s="303"/>
      <c r="ED23" s="303"/>
      <c r="EE23" s="303"/>
      <c r="EF23" s="303"/>
      <c r="EG23" s="303"/>
      <c r="EH23" s="303"/>
      <c r="EI23" s="303"/>
      <c r="EJ23" s="303"/>
      <c r="EK23" s="303"/>
      <c r="EL23" s="303"/>
      <c r="EM23" s="303"/>
      <c r="EN23" s="303"/>
      <c r="EO23" s="303"/>
      <c r="EP23" s="303"/>
      <c r="EQ23" s="303"/>
      <c r="ER23" s="303"/>
      <c r="ES23" s="303"/>
      <c r="ET23" s="303"/>
      <c r="EU23" s="303"/>
      <c r="EV23" s="303"/>
      <c r="EW23" s="303"/>
      <c r="EX23" s="303"/>
      <c r="EY23" s="303"/>
      <c r="EZ23" s="303"/>
      <c r="FA23" s="303"/>
      <c r="FB23" s="303"/>
      <c r="FC23" s="303"/>
      <c r="FD23" s="303"/>
      <c r="FE23" s="303"/>
      <c r="FF23" s="303"/>
      <c r="FG23" s="303"/>
      <c r="FH23" s="303"/>
      <c r="FI23" s="303"/>
      <c r="FJ23" s="303"/>
      <c r="FK23" s="303"/>
      <c r="FL23" s="303"/>
      <c r="FM23" s="303"/>
      <c r="FN23" s="303"/>
      <c r="FO23" s="303"/>
      <c r="FP23" s="303"/>
      <c r="FQ23" s="303"/>
      <c r="FR23" s="303"/>
      <c r="FS23" s="303"/>
      <c r="FT23" s="303"/>
      <c r="FU23" s="303"/>
      <c r="FV23" s="303"/>
      <c r="FW23" s="303"/>
      <c r="FX23" s="303"/>
      <c r="FY23" s="303"/>
      <c r="FZ23" s="303"/>
      <c r="GA23" s="303"/>
      <c r="GB23" s="303"/>
      <c r="GC23" s="303"/>
      <c r="GD23" s="303"/>
      <c r="GE23" s="303"/>
      <c r="GF23" s="303"/>
      <c r="GG23" s="303"/>
      <c r="GH23" s="303"/>
      <c r="GI23" s="303"/>
      <c r="GJ23" s="303"/>
      <c r="GK23" s="303"/>
      <c r="GL23" s="303"/>
      <c r="GM23" s="303"/>
      <c r="GN23" s="303"/>
      <c r="GO23" s="303"/>
      <c r="GP23" s="303"/>
      <c r="GQ23" s="303"/>
      <c r="GR23" s="303"/>
      <c r="GS23" s="303"/>
      <c r="GT23" s="303"/>
      <c r="GU23" s="303"/>
      <c r="GV23" s="303"/>
      <c r="GW23" s="303"/>
      <c r="GX23" s="303"/>
      <c r="GY23" s="303"/>
      <c r="GZ23" s="303"/>
      <c r="HA23" s="303"/>
      <c r="HB23" s="303"/>
      <c r="HC23" s="303"/>
      <c r="HD23" s="303"/>
      <c r="HE23" s="303"/>
      <c r="HF23" s="303"/>
      <c r="HG23" s="303"/>
      <c r="HH23" s="303"/>
      <c r="HI23" s="303"/>
      <c r="HJ23" s="303"/>
      <c r="HK23" s="303"/>
      <c r="HL23" s="303"/>
      <c r="HM23" s="303"/>
      <c r="HN23" s="303"/>
      <c r="HO23" s="303"/>
      <c r="HP23" s="303"/>
      <c r="HQ23" s="303"/>
      <c r="HR23" s="303"/>
      <c r="HS23" s="303"/>
      <c r="HT23" s="303"/>
      <c r="HU23" s="303"/>
      <c r="HV23" s="303"/>
      <c r="HW23" s="303"/>
      <c r="HX23" s="303"/>
      <c r="HY23" s="303"/>
      <c r="HZ23" s="303"/>
      <c r="IA23" s="303"/>
      <c r="IB23" s="303"/>
      <c r="IC23" s="303"/>
      <c r="ID23" s="303"/>
      <c r="IE23" s="303"/>
      <c r="IF23" s="303"/>
      <c r="IG23" s="303"/>
      <c r="IH23" s="303"/>
      <c r="II23" s="303"/>
      <c r="IJ23" s="303"/>
      <c r="IK23" s="303"/>
      <c r="IL23" s="303"/>
      <c r="IM23" s="303"/>
      <c r="IN23" s="303"/>
      <c r="IO23" s="303"/>
      <c r="IP23" s="303"/>
      <c r="IQ23" s="303"/>
      <c r="IR23" s="303"/>
      <c r="IS23" s="303"/>
      <c r="IT23" s="303"/>
      <c r="IU23" s="303"/>
      <c r="IV23" s="303"/>
      <c r="IW23" s="303"/>
      <c r="IX23" s="303"/>
      <c r="IY23" s="303"/>
      <c r="IZ23" s="303"/>
      <c r="JA23" s="303"/>
      <c r="JB23" s="303"/>
      <c r="JC23" s="303"/>
      <c r="JD23" s="303"/>
      <c r="JE23" s="303"/>
      <c r="JF23" s="303"/>
      <c r="JG23" s="303"/>
      <c r="JH23" s="303"/>
      <c r="JI23" s="303"/>
      <c r="JJ23" s="303"/>
      <c r="JK23" s="303"/>
      <c r="JL23" s="303"/>
      <c r="JM23" s="303"/>
      <c r="JN23" s="303"/>
      <c r="JO23" s="303"/>
      <c r="JP23" s="303"/>
      <c r="JQ23" s="303"/>
      <c r="JR23" s="303"/>
      <c r="JS23" s="303"/>
      <c r="JT23" s="303"/>
      <c r="JU23" s="303"/>
      <c r="JV23" s="303"/>
      <c r="JW23" s="303"/>
      <c r="JX23" s="303"/>
      <c r="JY23" s="303"/>
      <c r="JZ23" s="303"/>
      <c r="KA23" s="303"/>
      <c r="KB23" s="303"/>
      <c r="KC23" s="303"/>
      <c r="KD23" s="303"/>
      <c r="KE23" s="303"/>
      <c r="KF23" s="303"/>
      <c r="KG23" s="303"/>
      <c r="KH23" s="303"/>
      <c r="KI23" s="303"/>
      <c r="KJ23" s="303"/>
      <c r="KK23" s="303"/>
      <c r="KL23" s="303"/>
      <c r="KM23" s="303"/>
      <c r="KN23" s="303"/>
      <c r="KO23" s="303"/>
      <c r="KP23" s="303"/>
      <c r="KQ23" s="303"/>
      <c r="KR23" s="303"/>
      <c r="KS23" s="303"/>
      <c r="KT23" s="303"/>
      <c r="KU23" s="303"/>
      <c r="KV23" s="303"/>
      <c r="KW23" s="303"/>
      <c r="KX23" s="303"/>
      <c r="KY23" s="303"/>
      <c r="KZ23" s="303"/>
      <c r="LA23" s="303"/>
      <c r="LB23" s="303"/>
      <c r="LC23" s="303"/>
      <c r="LD23" s="303"/>
      <c r="LE23" s="303"/>
      <c r="LF23" s="303"/>
      <c r="LG23" s="303"/>
      <c r="LH23" s="303"/>
      <c r="LI23" s="303"/>
      <c r="LJ23" s="303"/>
      <c r="LK23" s="303"/>
      <c r="LL23" s="303"/>
      <c r="LM23" s="303"/>
      <c r="LN23" s="303"/>
      <c r="LO23" s="303"/>
      <c r="LP23" s="303"/>
      <c r="LQ23" s="303"/>
      <c r="LR23" s="303"/>
      <c r="LS23" s="303"/>
      <c r="LT23" s="303"/>
      <c r="LU23" s="303"/>
      <c r="LV23" s="303"/>
      <c r="LW23" s="303"/>
      <c r="LX23" s="303"/>
      <c r="LY23" s="303"/>
      <c r="LZ23" s="303"/>
      <c r="MA23" s="303"/>
      <c r="MB23" s="303"/>
      <c r="MC23" s="303"/>
      <c r="MD23" s="303"/>
      <c r="ME23" s="303"/>
      <c r="MF23" s="303"/>
      <c r="MG23" s="303"/>
      <c r="MH23" s="303"/>
      <c r="MI23" s="303"/>
      <c r="MJ23" s="303"/>
      <c r="MK23" s="303"/>
      <c r="ML23" s="303"/>
      <c r="MM23" s="303"/>
      <c r="MN23" s="303"/>
      <c r="MO23" s="303"/>
      <c r="MP23" s="303"/>
      <c r="MQ23" s="303"/>
      <c r="MR23" s="303"/>
      <c r="MS23" s="303"/>
      <c r="MT23" s="303"/>
      <c r="MU23" s="303"/>
      <c r="MV23" s="303"/>
      <c r="MW23" s="303"/>
      <c r="MX23" s="303"/>
      <c r="MY23" s="303"/>
      <c r="MZ23" s="303"/>
      <c r="NA23" s="303"/>
      <c r="NB23" s="303"/>
      <c r="NC23" s="303"/>
      <c r="ND23" s="303"/>
      <c r="NE23" s="303"/>
      <c r="NF23" s="303"/>
      <c r="NG23" s="303"/>
      <c r="NH23" s="303"/>
      <c r="NI23" s="303"/>
      <c r="NJ23" s="303"/>
      <c r="NK23" s="303"/>
      <c r="NL23" s="303"/>
      <c r="NM23" s="303"/>
      <c r="NN23" s="303"/>
      <c r="NO23" s="303"/>
      <c r="NP23" s="303"/>
      <c r="NQ23" s="303"/>
      <c r="NR23" s="303"/>
      <c r="NS23" s="303"/>
      <c r="NT23" s="303"/>
      <c r="NU23" s="303"/>
      <c r="NV23" s="303"/>
      <c r="NW23" s="303"/>
      <c r="NX23" s="303"/>
      <c r="NY23" s="303"/>
      <c r="NZ23" s="303"/>
      <c r="OA23" s="303"/>
      <c r="OB23" s="303"/>
      <c r="OC23" s="303"/>
      <c r="OD23" s="303"/>
      <c r="OE23" s="303"/>
      <c r="OF23" s="303"/>
      <c r="OG23" s="303"/>
      <c r="OH23" s="303"/>
      <c r="OI23" s="303"/>
      <c r="OJ23" s="303"/>
      <c r="OK23" s="303"/>
      <c r="OL23" s="303"/>
      <c r="OM23" s="303"/>
      <c r="ON23" s="303"/>
      <c r="OO23" s="303"/>
      <c r="OP23" s="303"/>
      <c r="OQ23" s="303"/>
      <c r="OR23" s="303"/>
      <c r="OS23" s="303"/>
      <c r="OT23" s="303"/>
      <c r="OU23" s="303"/>
      <c r="OV23" s="303"/>
      <c r="OW23" s="303"/>
      <c r="OX23" s="303"/>
      <c r="OY23" s="303"/>
      <c r="OZ23" s="303"/>
      <c r="PA23" s="303"/>
      <c r="PB23" s="303"/>
      <c r="PC23" s="303"/>
      <c r="PD23" s="303"/>
      <c r="PE23" s="303"/>
      <c r="PF23" s="303"/>
      <c r="PG23" s="303"/>
      <c r="PH23" s="303"/>
      <c r="PI23" s="303"/>
      <c r="PJ23" s="303"/>
      <c r="PK23" s="303"/>
      <c r="PL23" s="303"/>
      <c r="PM23" s="303"/>
      <c r="PN23" s="303"/>
      <c r="PO23" s="303"/>
      <c r="PP23" s="303"/>
      <c r="PQ23" s="303"/>
      <c r="PR23" s="303"/>
      <c r="PS23" s="303"/>
      <c r="PT23" s="303"/>
      <c r="PU23" s="303"/>
      <c r="PV23" s="303"/>
      <c r="PW23" s="303"/>
      <c r="PX23" s="303"/>
      <c r="PY23" s="303"/>
      <c r="PZ23" s="303"/>
      <c r="QA23" s="303"/>
      <c r="QB23" s="303"/>
      <c r="QC23" s="303"/>
      <c r="QD23" s="303"/>
      <c r="QE23" s="303"/>
      <c r="QF23" s="303"/>
      <c r="QG23" s="303"/>
      <c r="QH23" s="303"/>
      <c r="QI23" s="303"/>
      <c r="QJ23" s="303"/>
      <c r="QK23" s="303"/>
      <c r="QL23" s="303"/>
      <c r="QM23" s="303"/>
      <c r="QN23" s="303"/>
      <c r="QO23" s="303"/>
      <c r="QP23" s="303"/>
      <c r="QQ23" s="303"/>
      <c r="QR23" s="303"/>
      <c r="QS23" s="303"/>
      <c r="QT23" s="303"/>
      <c r="QU23" s="303"/>
      <c r="QV23" s="303"/>
      <c r="QW23" s="303"/>
      <c r="QX23" s="303"/>
      <c r="QY23" s="303"/>
      <c r="QZ23" s="303"/>
      <c r="RA23" s="303"/>
      <c r="RB23" s="303"/>
      <c r="RC23" s="303"/>
      <c r="RD23" s="303"/>
      <c r="RE23" s="303"/>
      <c r="RF23" s="303"/>
      <c r="RG23" s="303"/>
      <c r="RH23" s="303"/>
      <c r="RI23" s="303"/>
      <c r="RJ23" s="303"/>
      <c r="RK23" s="303"/>
      <c r="RL23" s="303"/>
      <c r="RM23" s="303"/>
      <c r="RN23" s="303"/>
      <c r="RO23" s="303"/>
      <c r="RP23" s="303"/>
      <c r="RQ23" s="303"/>
      <c r="RR23" s="303"/>
      <c r="RS23" s="303"/>
      <c r="RT23" s="303"/>
      <c r="RU23" s="303"/>
      <c r="RV23" s="303"/>
      <c r="RW23" s="303"/>
      <c r="RX23" s="303"/>
      <c r="RY23" s="303"/>
      <c r="RZ23" s="303"/>
      <c r="SA23" s="303"/>
      <c r="SB23" s="303"/>
      <c r="SC23" s="303"/>
      <c r="SD23" s="303"/>
      <c r="SE23" s="303"/>
      <c r="SF23" s="303"/>
      <c r="SG23" s="303"/>
      <c r="SH23" s="303"/>
      <c r="SI23" s="303"/>
      <c r="SJ23" s="303"/>
      <c r="SK23" s="303"/>
      <c r="SL23" s="303"/>
      <c r="SM23" s="303"/>
      <c r="SN23" s="303"/>
      <c r="SO23" s="303"/>
      <c r="SP23" s="303"/>
      <c r="SQ23" s="303"/>
      <c r="SR23" s="303"/>
      <c r="SS23" s="303"/>
      <c r="ST23" s="303"/>
      <c r="SU23" s="303"/>
      <c r="SV23" s="303"/>
      <c r="SW23" s="303"/>
      <c r="SX23" s="303"/>
      <c r="SY23" s="303"/>
      <c r="SZ23" s="303"/>
      <c r="TA23" s="303"/>
      <c r="TB23" s="303"/>
      <c r="TC23" s="303"/>
      <c r="TD23" s="303"/>
      <c r="TE23" s="303"/>
      <c r="TF23" s="303"/>
      <c r="TG23" s="303"/>
      <c r="TH23" s="303"/>
      <c r="TI23" s="303"/>
      <c r="TJ23" s="303"/>
      <c r="TK23" s="303"/>
      <c r="TL23" s="303"/>
      <c r="TM23" s="303"/>
      <c r="TN23" s="303"/>
      <c r="TO23" s="303"/>
      <c r="TP23" s="303"/>
      <c r="TQ23" s="303"/>
      <c r="TR23" s="303"/>
      <c r="TS23" s="303"/>
      <c r="TT23" s="303"/>
      <c r="TU23" s="303"/>
      <c r="TV23" s="303"/>
      <c r="TW23" s="303"/>
      <c r="TX23" s="303"/>
      <c r="TY23" s="303"/>
      <c r="TZ23" s="303"/>
      <c r="UA23" s="303"/>
      <c r="UB23" s="303"/>
      <c r="UC23" s="303"/>
      <c r="UD23" s="303"/>
      <c r="UE23" s="303"/>
      <c r="UF23" s="303"/>
      <c r="UG23" s="303"/>
      <c r="UH23" s="303"/>
      <c r="UI23" s="303"/>
      <c r="UJ23" s="303"/>
      <c r="UK23" s="303"/>
      <c r="UL23" s="303"/>
      <c r="UM23" s="303"/>
      <c r="UN23" s="303"/>
      <c r="UO23" s="303"/>
      <c r="UP23" s="303"/>
      <c r="UQ23" s="303"/>
      <c r="UR23" s="303"/>
      <c r="US23" s="303"/>
      <c r="UT23" s="303"/>
      <c r="UU23" s="303"/>
      <c r="UV23" s="303"/>
      <c r="UW23" s="303"/>
      <c r="UX23" s="303"/>
      <c r="UY23" s="303"/>
      <c r="UZ23" s="303"/>
      <c r="VA23" s="303"/>
      <c r="VB23" s="303"/>
      <c r="VC23" s="303"/>
      <c r="VD23" s="303"/>
      <c r="VE23" s="303"/>
      <c r="VF23" s="303"/>
      <c r="VG23" s="303"/>
      <c r="VH23" s="303"/>
      <c r="VI23" s="303"/>
      <c r="VJ23" s="303"/>
      <c r="VK23" s="303"/>
      <c r="VL23" s="303"/>
      <c r="VM23" s="303"/>
      <c r="VN23" s="303"/>
      <c r="VO23" s="303"/>
      <c r="VP23" s="303"/>
      <c r="VQ23" s="303"/>
      <c r="VR23" s="303"/>
      <c r="VS23" s="303"/>
      <c r="VT23" s="303"/>
      <c r="VU23" s="303"/>
      <c r="VV23" s="303"/>
      <c r="VW23" s="303"/>
      <c r="VX23" s="303"/>
      <c r="VY23" s="303"/>
      <c r="VZ23" s="303"/>
      <c r="WA23" s="303"/>
      <c r="WB23" s="303"/>
      <c r="WC23" s="303"/>
      <c r="WD23" s="303"/>
      <c r="WE23" s="303"/>
      <c r="WF23" s="303"/>
      <c r="WG23" s="303"/>
      <c r="WH23" s="303"/>
      <c r="WI23" s="303"/>
      <c r="WJ23" s="303"/>
      <c r="WK23" s="303"/>
      <c r="WL23" s="303"/>
      <c r="WM23" s="303"/>
      <c r="WN23" s="303"/>
      <c r="WO23" s="303"/>
      <c r="WP23" s="303"/>
      <c r="WQ23" s="303"/>
      <c r="WR23" s="303"/>
      <c r="WS23" s="303"/>
      <c r="WT23" s="303"/>
      <c r="WU23" s="303"/>
      <c r="WV23" s="303"/>
      <c r="WW23" s="303"/>
      <c r="WX23" s="303"/>
      <c r="WY23" s="303"/>
      <c r="WZ23" s="303"/>
      <c r="XA23" s="303"/>
      <c r="XB23" s="303"/>
      <c r="XC23" s="303"/>
      <c r="XD23" s="303"/>
      <c r="XE23" s="303"/>
      <c r="XF23" s="303"/>
      <c r="XG23" s="303"/>
      <c r="XH23" s="303"/>
      <c r="XI23" s="303"/>
      <c r="XJ23" s="303"/>
      <c r="XK23" s="303"/>
      <c r="XL23" s="303"/>
      <c r="XM23" s="303"/>
      <c r="XN23" s="303"/>
      <c r="XO23" s="303"/>
      <c r="XP23" s="303"/>
      <c r="XQ23" s="303"/>
      <c r="XR23" s="303"/>
      <c r="XS23" s="303"/>
      <c r="XT23" s="303"/>
      <c r="XU23" s="303"/>
      <c r="XV23" s="303"/>
      <c r="XW23" s="303"/>
      <c r="XX23" s="303"/>
      <c r="XY23" s="303"/>
      <c r="XZ23" s="303"/>
      <c r="YA23" s="303"/>
      <c r="YB23" s="303"/>
      <c r="YC23" s="303"/>
      <c r="YD23" s="303"/>
      <c r="YE23" s="303"/>
      <c r="YF23" s="303"/>
      <c r="YG23" s="303"/>
      <c r="YH23" s="303"/>
      <c r="YI23" s="303"/>
      <c r="YJ23" s="303"/>
      <c r="YK23" s="303"/>
      <c r="YL23" s="303"/>
      <c r="YM23" s="303"/>
      <c r="YN23" s="303"/>
      <c r="YO23" s="303"/>
      <c r="YP23" s="303"/>
      <c r="YQ23" s="303"/>
      <c r="YR23" s="303"/>
      <c r="YS23" s="303"/>
      <c r="YT23" s="303"/>
      <c r="YU23" s="303"/>
      <c r="YV23" s="303"/>
      <c r="YW23" s="303"/>
      <c r="YX23" s="303"/>
      <c r="YY23" s="303"/>
      <c r="YZ23" s="303"/>
      <c r="ZA23" s="303"/>
      <c r="ZB23" s="303"/>
      <c r="ZC23" s="303"/>
      <c r="ZD23" s="303"/>
      <c r="ZE23" s="303"/>
      <c r="ZF23" s="303"/>
      <c r="ZG23" s="303"/>
      <c r="ZH23" s="303"/>
      <c r="ZI23" s="303"/>
      <c r="ZJ23" s="303"/>
      <c r="ZK23" s="303"/>
      <c r="ZL23" s="303"/>
      <c r="ZM23" s="303"/>
      <c r="ZN23" s="303"/>
      <c r="ZO23" s="303"/>
      <c r="ZP23" s="303"/>
      <c r="ZQ23" s="303"/>
      <c r="ZR23" s="303"/>
      <c r="ZS23" s="303"/>
      <c r="ZT23" s="303"/>
      <c r="ZU23" s="303"/>
      <c r="ZV23" s="303"/>
      <c r="ZW23" s="303"/>
      <c r="ZX23" s="303"/>
      <c r="ZY23" s="303"/>
      <c r="ZZ23" s="303"/>
      <c r="AAA23" s="303"/>
      <c r="AAB23" s="303"/>
      <c r="AAC23" s="303"/>
      <c r="AAD23" s="303"/>
      <c r="AAE23" s="303"/>
      <c r="AAF23" s="303"/>
      <c r="AAG23" s="303"/>
      <c r="AAH23" s="303"/>
      <c r="AAI23" s="303"/>
      <c r="AAJ23" s="303"/>
      <c r="AAK23" s="303"/>
      <c r="AAL23" s="303"/>
      <c r="AAM23" s="303"/>
      <c r="AAN23" s="303"/>
      <c r="AAO23" s="303"/>
      <c r="AAP23" s="303"/>
      <c r="AAQ23" s="303"/>
      <c r="AAR23" s="303"/>
      <c r="AAS23" s="303"/>
      <c r="AAT23" s="303"/>
      <c r="AAU23" s="303"/>
      <c r="AAV23" s="303"/>
      <c r="AAW23" s="303"/>
      <c r="AAX23" s="303"/>
      <c r="AAY23" s="303"/>
      <c r="AAZ23" s="303"/>
      <c r="ABA23" s="303"/>
      <c r="ABB23" s="303"/>
      <c r="ABC23" s="303"/>
      <c r="ABD23" s="303"/>
      <c r="ABE23" s="303"/>
      <c r="ABF23" s="303"/>
      <c r="ABG23" s="303"/>
      <c r="ABH23" s="303"/>
      <c r="ABI23" s="303"/>
      <c r="ABJ23" s="303"/>
      <c r="ABK23" s="303"/>
      <c r="ABL23" s="303"/>
      <c r="ABM23" s="303"/>
      <c r="ABN23" s="303"/>
      <c r="ABO23" s="303"/>
      <c r="ABP23" s="303"/>
      <c r="ABQ23" s="303"/>
      <c r="ABR23" s="303"/>
      <c r="ABS23" s="303"/>
      <c r="ABT23" s="303"/>
      <c r="ABU23" s="303"/>
      <c r="ABV23" s="303"/>
      <c r="ABW23" s="303"/>
      <c r="ABX23" s="303"/>
      <c r="ABY23" s="303"/>
      <c r="ABZ23" s="303"/>
      <c r="ACA23" s="303"/>
      <c r="ACB23" s="303"/>
      <c r="ACC23" s="303"/>
      <c r="ACD23" s="303"/>
      <c r="ACE23" s="303"/>
      <c r="ACF23" s="303"/>
      <c r="ACG23" s="303"/>
      <c r="ACH23" s="303"/>
      <c r="ACI23" s="303"/>
      <c r="ACJ23" s="303"/>
      <c r="ACK23" s="303"/>
      <c r="ACL23" s="303"/>
      <c r="ACM23" s="303"/>
      <c r="ACN23" s="303"/>
      <c r="ACO23" s="303"/>
      <c r="ACP23" s="303"/>
      <c r="ACQ23" s="303"/>
      <c r="ACR23" s="303"/>
      <c r="ACS23" s="303"/>
      <c r="ACT23" s="303"/>
      <c r="ACU23" s="303"/>
      <c r="ACV23" s="303"/>
      <c r="ACW23" s="303"/>
      <c r="ACX23" s="303"/>
      <c r="ACY23" s="303"/>
      <c r="ACZ23" s="303"/>
      <c r="ADA23" s="303"/>
      <c r="ADB23" s="303"/>
      <c r="ADC23" s="303"/>
      <c r="ADD23" s="303"/>
      <c r="ADE23" s="303"/>
      <c r="ADF23" s="303"/>
      <c r="ADG23" s="303"/>
      <c r="ADH23" s="303"/>
      <c r="ADI23" s="303"/>
      <c r="ADJ23" s="303"/>
      <c r="ADK23" s="303"/>
      <c r="ADL23" s="303"/>
      <c r="ADM23" s="303"/>
      <c r="ADN23" s="303"/>
      <c r="ADO23" s="303"/>
      <c r="ADP23" s="303"/>
      <c r="ADQ23" s="303"/>
      <c r="ADR23" s="303"/>
      <c r="ADS23" s="303"/>
      <c r="ADT23" s="303"/>
      <c r="ADU23" s="303"/>
      <c r="ADV23" s="303"/>
      <c r="ADW23" s="303"/>
      <c r="ADX23" s="303"/>
      <c r="ADY23" s="303"/>
      <c r="ADZ23" s="303"/>
      <c r="AEA23" s="303"/>
      <c r="AEB23" s="303"/>
      <c r="AEC23" s="303"/>
      <c r="AED23" s="303"/>
      <c r="AEE23" s="303"/>
      <c r="AEF23" s="303"/>
      <c r="AEG23" s="303"/>
      <c r="AEH23" s="303"/>
      <c r="AEI23" s="303"/>
      <c r="AEJ23" s="303"/>
      <c r="AEK23" s="303"/>
      <c r="AEL23" s="303"/>
      <c r="AEM23" s="303"/>
      <c r="AEN23" s="303"/>
      <c r="AEO23" s="303"/>
      <c r="AEP23" s="303"/>
      <c r="AEQ23" s="303"/>
      <c r="AER23" s="303"/>
      <c r="AES23" s="303"/>
      <c r="AET23" s="303"/>
      <c r="AEU23" s="303"/>
      <c r="AEV23" s="303"/>
      <c r="AEW23" s="303"/>
      <c r="AEX23" s="303"/>
      <c r="AEY23" s="303"/>
      <c r="AEZ23" s="303"/>
      <c r="AFA23" s="303"/>
      <c r="AFB23" s="303"/>
      <c r="AFC23" s="303"/>
      <c r="AFD23" s="303"/>
      <c r="AFE23" s="303"/>
      <c r="AFF23" s="303"/>
      <c r="AFG23" s="303"/>
      <c r="AFH23" s="303"/>
      <c r="AFI23" s="303"/>
      <c r="AFJ23" s="303"/>
      <c r="AFK23" s="303"/>
      <c r="AFL23" s="303"/>
      <c r="AFM23" s="303"/>
      <c r="AFN23" s="303"/>
      <c r="AFO23" s="303"/>
      <c r="AFP23" s="303"/>
      <c r="AFQ23" s="303"/>
      <c r="AFR23" s="303"/>
      <c r="AFS23" s="303"/>
      <c r="AFT23" s="303"/>
      <c r="AFU23" s="303"/>
      <c r="AFV23" s="303"/>
      <c r="AFW23" s="303"/>
      <c r="AFX23" s="303"/>
      <c r="AFY23" s="303"/>
      <c r="AFZ23" s="303"/>
      <c r="AGA23" s="303"/>
      <c r="AGB23" s="303"/>
      <c r="AGC23" s="303"/>
      <c r="AGD23" s="303"/>
      <c r="AGE23" s="303"/>
      <c r="AGF23" s="303"/>
      <c r="AGG23" s="303"/>
      <c r="AGH23" s="303"/>
      <c r="AGI23" s="303"/>
      <c r="AGJ23" s="303"/>
      <c r="AGK23" s="303"/>
      <c r="AGL23" s="303"/>
      <c r="AGM23" s="303"/>
      <c r="AGN23" s="303"/>
      <c r="AGO23" s="303"/>
      <c r="AGP23" s="303"/>
      <c r="AGQ23" s="303"/>
      <c r="AGR23" s="303"/>
      <c r="AGS23" s="303"/>
      <c r="AGT23" s="303"/>
      <c r="AGU23" s="303"/>
      <c r="AGV23" s="303"/>
      <c r="AGW23" s="303"/>
      <c r="AGX23" s="303"/>
      <c r="AGY23" s="303"/>
      <c r="AGZ23" s="303"/>
      <c r="AHA23" s="303"/>
      <c r="AHB23" s="303"/>
      <c r="AHC23" s="303"/>
      <c r="AHD23" s="303"/>
      <c r="AHE23" s="303"/>
      <c r="AHF23" s="303"/>
      <c r="AHG23" s="303"/>
      <c r="AHH23" s="303"/>
      <c r="AHI23" s="303"/>
      <c r="AHJ23" s="303"/>
      <c r="AHK23" s="303"/>
      <c r="AHL23" s="303"/>
      <c r="AHM23" s="303"/>
      <c r="AHN23" s="303"/>
      <c r="AHO23" s="303"/>
      <c r="AHP23" s="303"/>
      <c r="AHQ23" s="303"/>
      <c r="AHR23" s="303"/>
      <c r="AHS23" s="303"/>
      <c r="AHT23" s="303"/>
      <c r="AHU23" s="303"/>
      <c r="AHV23" s="303"/>
      <c r="AHW23" s="303"/>
      <c r="AHX23" s="303"/>
      <c r="AHY23" s="303"/>
      <c r="AHZ23" s="303"/>
      <c r="AIA23" s="303"/>
      <c r="AIB23" s="303"/>
      <c r="AIC23" s="303"/>
      <c r="AID23" s="303"/>
      <c r="AIE23" s="303"/>
      <c r="AIF23" s="303"/>
      <c r="AIG23" s="303"/>
      <c r="AIH23" s="303"/>
      <c r="AII23" s="303"/>
      <c r="AIJ23" s="303"/>
      <c r="AIK23" s="303"/>
      <c r="AIL23" s="303"/>
      <c r="AIM23" s="303"/>
      <c r="AIN23" s="303"/>
      <c r="AIO23" s="303"/>
      <c r="AIP23" s="303"/>
      <c r="AIQ23" s="303"/>
      <c r="AIR23" s="303"/>
      <c r="AIS23" s="303"/>
      <c r="AIT23" s="303"/>
      <c r="AIU23" s="303"/>
      <c r="AIV23" s="303"/>
      <c r="AIW23" s="303"/>
      <c r="AIX23" s="303"/>
      <c r="AIY23" s="303"/>
      <c r="AIZ23" s="303"/>
      <c r="AJA23" s="303"/>
      <c r="AJB23" s="303"/>
      <c r="AJC23" s="303"/>
      <c r="AJD23" s="303"/>
      <c r="AJE23" s="303"/>
      <c r="AJF23" s="303"/>
      <c r="AJG23" s="303"/>
      <c r="AJH23" s="303"/>
      <c r="AJI23" s="303"/>
      <c r="AJJ23" s="303"/>
      <c r="AJK23" s="303"/>
      <c r="AJL23" s="303"/>
      <c r="AJM23" s="303"/>
      <c r="AJN23" s="303"/>
      <c r="AJO23" s="303"/>
      <c r="AJP23" s="303"/>
      <c r="AJQ23" s="303"/>
      <c r="AJR23" s="303"/>
      <c r="AJS23" s="303"/>
      <c r="AJT23" s="303"/>
      <c r="AJU23" s="303"/>
      <c r="AJV23" s="303"/>
      <c r="AJW23" s="303"/>
      <c r="AJX23" s="303"/>
      <c r="AJY23" s="303"/>
      <c r="AJZ23" s="303"/>
      <c r="AKA23" s="303"/>
      <c r="AKB23" s="303"/>
      <c r="AKC23" s="303"/>
      <c r="AKD23" s="303"/>
      <c r="AKE23" s="303"/>
      <c r="AKF23" s="303"/>
      <c r="AKG23" s="303"/>
      <c r="AKH23" s="303"/>
      <c r="AKI23" s="303"/>
      <c r="AKJ23" s="303"/>
      <c r="AKK23" s="303"/>
      <c r="AKL23" s="303"/>
      <c r="AKM23" s="303"/>
      <c r="AKN23" s="303"/>
      <c r="AKO23" s="303"/>
      <c r="AKP23" s="303"/>
      <c r="AKQ23" s="303"/>
      <c r="AKR23" s="303"/>
      <c r="AKS23" s="303"/>
      <c r="AKT23" s="303"/>
      <c r="AKU23" s="303"/>
      <c r="AKV23" s="303"/>
      <c r="AKW23" s="303"/>
      <c r="AKX23" s="303"/>
      <c r="AKY23" s="303"/>
      <c r="AKZ23" s="303"/>
      <c r="ALA23" s="303"/>
      <c r="ALB23" s="303"/>
      <c r="ALC23" s="303"/>
      <c r="ALD23" s="303"/>
      <c r="ALE23" s="303"/>
      <c r="ALF23" s="303"/>
      <c r="ALG23" s="303"/>
      <c r="ALH23" s="303"/>
      <c r="ALI23" s="303"/>
      <c r="ALJ23" s="303"/>
      <c r="ALK23" s="303"/>
      <c r="ALL23" s="303"/>
      <c r="ALM23" s="303"/>
      <c r="ALN23" s="303"/>
      <c r="ALO23" s="303"/>
      <c r="ALP23" s="303"/>
      <c r="ALQ23" s="303"/>
      <c r="ALR23" s="303"/>
      <c r="ALS23" s="303"/>
      <c r="ALT23" s="303"/>
      <c r="ALU23" s="303"/>
      <c r="ALV23" s="303"/>
      <c r="ALW23" s="303"/>
      <c r="ALX23" s="303"/>
      <c r="ALY23" s="303"/>
      <c r="ALZ23" s="303"/>
      <c r="AMA23" s="303"/>
      <c r="AMB23" s="303"/>
      <c r="AMC23" s="303"/>
      <c r="AMD23" s="303"/>
      <c r="AME23" s="303"/>
      <c r="AMF23" s="303"/>
      <c r="AMG23" s="303"/>
      <c r="AMH23" s="303"/>
      <c r="AMI23" s="303"/>
      <c r="AMJ23" s="303"/>
      <c r="AMK23" s="303"/>
      <c r="AML23" s="303"/>
      <c r="AMM23" s="303"/>
      <c r="AMN23" s="303"/>
      <c r="AMO23" s="303"/>
      <c r="AMP23" s="303"/>
      <c r="AMQ23" s="303"/>
      <c r="AMR23" s="303"/>
      <c r="AMS23" s="303"/>
      <c r="AMT23" s="303"/>
      <c r="AMU23" s="303"/>
      <c r="AMV23" s="303"/>
      <c r="AMW23" s="303"/>
      <c r="AMX23" s="303"/>
      <c r="AMY23" s="303"/>
      <c r="AMZ23" s="303"/>
      <c r="ANA23" s="303"/>
      <c r="ANB23" s="303"/>
      <c r="ANC23" s="303"/>
      <c r="AND23" s="303"/>
      <c r="ANE23" s="303"/>
      <c r="ANF23" s="303"/>
      <c r="ANG23" s="303"/>
      <c r="ANH23" s="303"/>
      <c r="ANI23" s="303"/>
      <c r="ANJ23" s="303"/>
      <c r="ANK23" s="303"/>
      <c r="ANL23" s="303"/>
      <c r="ANM23" s="303"/>
      <c r="ANN23" s="303"/>
      <c r="ANO23" s="303"/>
      <c r="ANP23" s="303"/>
      <c r="ANQ23" s="303"/>
      <c r="ANR23" s="303"/>
      <c r="ANS23" s="303"/>
      <c r="ANT23" s="303"/>
      <c r="ANU23" s="303"/>
      <c r="ANV23" s="303"/>
      <c r="ANW23" s="303"/>
      <c r="ANX23" s="303"/>
      <c r="ANY23" s="303"/>
      <c r="ANZ23" s="303"/>
      <c r="AOA23" s="303"/>
      <c r="AOB23" s="303"/>
      <c r="AOC23" s="303"/>
      <c r="AOD23" s="303"/>
      <c r="AOE23" s="303"/>
      <c r="AOF23" s="303"/>
      <c r="AOG23" s="303"/>
      <c r="AOH23" s="303"/>
      <c r="AOI23" s="303"/>
      <c r="AOJ23" s="303"/>
      <c r="AOK23" s="303"/>
      <c r="AOL23" s="303"/>
      <c r="AOM23" s="303"/>
      <c r="AON23" s="303"/>
      <c r="AOO23" s="303"/>
      <c r="AOP23" s="303"/>
      <c r="AOQ23" s="303"/>
      <c r="AOR23" s="303"/>
      <c r="AOS23" s="303"/>
      <c r="AOT23" s="303"/>
      <c r="AOU23" s="303"/>
      <c r="AOV23" s="303"/>
      <c r="AOW23" s="303"/>
      <c r="AOX23" s="303"/>
      <c r="AOY23" s="303"/>
      <c r="AOZ23" s="303"/>
      <c r="APA23" s="303"/>
      <c r="APB23" s="303"/>
      <c r="APC23" s="303"/>
      <c r="APD23" s="303"/>
      <c r="APE23" s="303"/>
      <c r="APF23" s="303"/>
      <c r="APG23" s="303"/>
      <c r="APH23" s="303"/>
      <c r="API23" s="303"/>
      <c r="APJ23" s="303"/>
      <c r="APK23" s="303"/>
      <c r="APL23" s="303"/>
      <c r="APM23" s="303"/>
      <c r="APN23" s="303"/>
      <c r="APO23" s="303"/>
      <c r="APP23" s="303"/>
      <c r="APQ23" s="303"/>
      <c r="APR23" s="303"/>
      <c r="APS23" s="303"/>
      <c r="APT23" s="303"/>
      <c r="APU23" s="303"/>
      <c r="APV23" s="303"/>
      <c r="APW23" s="303"/>
      <c r="APX23" s="303"/>
      <c r="APY23" s="303"/>
      <c r="APZ23" s="303"/>
      <c r="AQA23" s="303"/>
      <c r="AQB23" s="303"/>
      <c r="AQC23" s="303"/>
      <c r="AQD23" s="303"/>
      <c r="AQE23" s="303"/>
      <c r="AQF23" s="303"/>
      <c r="AQG23" s="303"/>
      <c r="AQH23" s="303"/>
      <c r="AQI23" s="303"/>
      <c r="AQJ23" s="303"/>
      <c r="AQK23" s="303"/>
      <c r="AQL23" s="303"/>
      <c r="AQM23" s="303"/>
      <c r="AQN23" s="303"/>
      <c r="AQO23" s="303"/>
      <c r="AQP23" s="303"/>
      <c r="AQQ23" s="303"/>
      <c r="AQR23" s="303"/>
      <c r="AQS23" s="303"/>
      <c r="AQT23" s="303"/>
      <c r="AQU23" s="303"/>
      <c r="AQV23" s="303"/>
      <c r="AQW23" s="303"/>
      <c r="AQX23" s="303"/>
      <c r="AQY23" s="303"/>
      <c r="AQZ23" s="303"/>
      <c r="ARA23" s="303"/>
      <c r="ARB23" s="303"/>
      <c r="ARC23" s="303"/>
      <c r="ARD23" s="303"/>
      <c r="ARE23" s="303"/>
      <c r="ARF23" s="303"/>
      <c r="ARG23" s="303"/>
      <c r="ARH23" s="303"/>
      <c r="ARI23" s="303"/>
      <c r="ARJ23" s="303"/>
      <c r="ARK23" s="303"/>
      <c r="ARL23" s="303"/>
      <c r="ARM23" s="303"/>
      <c r="ARN23" s="303"/>
      <c r="ARO23" s="303"/>
      <c r="ARP23" s="303"/>
      <c r="ARQ23" s="303"/>
      <c r="ARR23" s="303"/>
      <c r="ARS23" s="303"/>
      <c r="ART23" s="303"/>
      <c r="ARU23" s="303"/>
      <c r="ARV23" s="303"/>
      <c r="ARW23" s="303"/>
      <c r="ARX23" s="303"/>
      <c r="ARY23" s="303"/>
      <c r="ARZ23" s="303"/>
      <c r="ASA23" s="303"/>
      <c r="ASB23" s="303"/>
      <c r="ASC23" s="303"/>
      <c r="ASD23" s="303"/>
      <c r="ASE23" s="303"/>
      <c r="ASF23" s="303"/>
      <c r="ASG23" s="303"/>
      <c r="ASH23" s="303"/>
      <c r="ASI23" s="303"/>
      <c r="ASJ23" s="303"/>
      <c r="ASK23" s="303"/>
      <c r="ASL23" s="303"/>
      <c r="ASM23" s="303"/>
      <c r="ASN23" s="303"/>
      <c r="ASO23" s="303"/>
      <c r="ASP23" s="303"/>
      <c r="ASQ23" s="303"/>
      <c r="ASR23" s="303"/>
      <c r="ASS23" s="303"/>
      <c r="AST23" s="303"/>
      <c r="ASU23" s="303"/>
      <c r="ASV23" s="303"/>
      <c r="ASW23" s="303"/>
      <c r="ASX23" s="303"/>
      <c r="ASY23" s="303"/>
      <c r="ASZ23" s="303"/>
      <c r="ATA23" s="303"/>
      <c r="ATB23" s="303"/>
      <c r="ATC23" s="303"/>
      <c r="ATD23" s="303"/>
      <c r="ATE23" s="303"/>
      <c r="ATF23" s="303"/>
      <c r="ATG23" s="303"/>
      <c r="ATH23" s="303"/>
      <c r="ATI23" s="303"/>
      <c r="ATJ23" s="303"/>
      <c r="ATK23" s="303"/>
      <c r="ATL23" s="303"/>
      <c r="ATM23" s="303"/>
      <c r="ATN23" s="303"/>
      <c r="ATO23" s="303"/>
      <c r="ATP23" s="303"/>
      <c r="ATQ23" s="303"/>
      <c r="ATR23" s="303"/>
      <c r="ATS23" s="303"/>
      <c r="ATT23" s="303"/>
      <c r="ATU23" s="303"/>
      <c r="ATV23" s="303"/>
      <c r="ATW23" s="303"/>
      <c r="ATX23" s="303"/>
      <c r="ATY23" s="303"/>
      <c r="ATZ23" s="303"/>
      <c r="AUA23" s="303"/>
      <c r="AUB23" s="303"/>
      <c r="AUC23" s="303"/>
      <c r="AUD23" s="303"/>
      <c r="AUE23" s="303"/>
      <c r="AUF23" s="303"/>
      <c r="AUG23" s="303"/>
      <c r="AUH23" s="303"/>
      <c r="AUI23" s="303"/>
      <c r="AUJ23" s="303"/>
      <c r="AUK23" s="303"/>
      <c r="AUL23" s="303"/>
      <c r="AUM23" s="303"/>
      <c r="AUN23" s="303"/>
      <c r="AUO23" s="303"/>
      <c r="AUP23" s="303"/>
      <c r="AUQ23" s="303"/>
      <c r="AUR23" s="303"/>
      <c r="AUS23" s="303"/>
      <c r="AUT23" s="303"/>
      <c r="AUU23" s="303"/>
      <c r="AUV23" s="303"/>
      <c r="AUW23" s="303"/>
      <c r="AUX23" s="303"/>
      <c r="AUY23" s="303"/>
      <c r="AUZ23" s="303"/>
      <c r="AVA23" s="303"/>
      <c r="AVB23" s="303"/>
      <c r="AVC23" s="303"/>
      <c r="AVD23" s="303"/>
      <c r="AVE23" s="303"/>
      <c r="AVF23" s="303"/>
      <c r="AVG23" s="303"/>
      <c r="AVH23" s="303"/>
      <c r="AVI23" s="303"/>
      <c r="AVJ23" s="303"/>
      <c r="AVK23" s="303"/>
      <c r="AVL23" s="303"/>
      <c r="AVM23" s="303"/>
      <c r="AVN23" s="303"/>
      <c r="AVO23" s="303"/>
      <c r="AVP23" s="303"/>
      <c r="AVQ23" s="303"/>
      <c r="AVR23" s="303"/>
      <c r="AVS23" s="303"/>
      <c r="AVT23" s="303"/>
      <c r="AVU23" s="303"/>
      <c r="AVV23" s="303"/>
      <c r="AVW23" s="303"/>
      <c r="AVX23" s="303"/>
      <c r="AVY23" s="303"/>
      <c r="AVZ23" s="303"/>
      <c r="AWA23" s="303"/>
      <c r="AWB23" s="303"/>
      <c r="AWC23" s="303"/>
      <c r="AWD23" s="303"/>
      <c r="AWE23" s="303"/>
      <c r="AWF23" s="303"/>
      <c r="AWG23" s="303"/>
      <c r="AWH23" s="303"/>
      <c r="AWI23" s="303"/>
      <c r="AWJ23" s="303"/>
      <c r="AWK23" s="303"/>
      <c r="AWL23" s="303"/>
      <c r="AWM23" s="303"/>
      <c r="AWN23" s="303"/>
      <c r="AWO23" s="303"/>
      <c r="AWP23" s="303"/>
      <c r="AWQ23" s="303"/>
      <c r="AWR23" s="303"/>
      <c r="AWS23" s="303"/>
      <c r="AWT23" s="303"/>
      <c r="AWU23" s="303"/>
      <c r="AWV23" s="303"/>
      <c r="AWW23" s="303"/>
      <c r="AWX23" s="303"/>
      <c r="AWY23" s="303"/>
      <c r="AWZ23" s="303"/>
      <c r="AXA23" s="303"/>
      <c r="AXB23" s="303"/>
      <c r="AXC23" s="303"/>
      <c r="AXD23" s="303"/>
      <c r="AXE23" s="303"/>
      <c r="AXF23" s="303"/>
      <c r="AXG23" s="303"/>
      <c r="AXH23" s="303"/>
      <c r="AXI23" s="303"/>
      <c r="AXJ23" s="303"/>
      <c r="AXK23" s="303"/>
      <c r="AXL23" s="303"/>
      <c r="AXM23" s="303"/>
      <c r="AXN23" s="303"/>
      <c r="AXO23" s="303"/>
      <c r="AXP23" s="303"/>
      <c r="AXQ23" s="303"/>
      <c r="AXR23" s="303"/>
      <c r="AXS23" s="303"/>
      <c r="AXT23" s="303"/>
      <c r="AXU23" s="303"/>
      <c r="AXV23" s="303"/>
      <c r="AXW23" s="303"/>
      <c r="AXX23" s="303"/>
      <c r="AXY23" s="303"/>
      <c r="AXZ23" s="303"/>
      <c r="AYA23" s="303"/>
      <c r="AYB23" s="303"/>
      <c r="AYC23" s="303"/>
      <c r="AYD23" s="303"/>
      <c r="AYE23" s="303"/>
      <c r="AYF23" s="303"/>
      <c r="AYG23" s="303"/>
      <c r="AYH23" s="303"/>
    </row>
    <row r="24" spans="1:1334" x14ac:dyDescent="0.25">
      <c r="A24" s="304" t="s">
        <v>1341</v>
      </c>
      <c r="B24" s="298" t="s">
        <v>1322</v>
      </c>
      <c r="C24" s="303"/>
      <c r="D24" s="303"/>
      <c r="E24" s="303"/>
      <c r="F24" s="303"/>
      <c r="G24" s="303"/>
      <c r="H24" s="303"/>
      <c r="I24" s="303"/>
      <c r="J24" s="303"/>
      <c r="K24" s="303"/>
      <c r="L24" s="303"/>
      <c r="M24" s="303"/>
      <c r="N24" s="303"/>
      <c r="O24" s="303"/>
      <c r="P24" s="303"/>
      <c r="Q24" s="303"/>
      <c r="R24" s="303"/>
      <c r="S24" s="303"/>
      <c r="T24" s="303"/>
      <c r="U24" s="303"/>
      <c r="V24" s="303"/>
      <c r="W24" s="303"/>
      <c r="X24" s="303"/>
      <c r="Y24" s="303"/>
      <c r="Z24" s="303"/>
      <c r="AA24" s="303"/>
      <c r="AB24" s="303"/>
      <c r="AC24" s="303"/>
      <c r="AD24" s="303"/>
      <c r="AE24" s="303"/>
      <c r="AF24" s="303"/>
      <c r="AG24" s="303"/>
      <c r="AH24" s="303"/>
      <c r="AI24" s="303"/>
      <c r="AJ24" s="303"/>
      <c r="AK24" s="303"/>
      <c r="AL24" s="303"/>
      <c r="AM24" s="303"/>
      <c r="AN24" s="303"/>
      <c r="AO24" s="303"/>
      <c r="AP24" s="303"/>
      <c r="AQ24" s="303"/>
      <c r="AR24" s="303"/>
      <c r="AS24" s="303"/>
      <c r="AT24" s="303"/>
      <c r="AU24" s="303"/>
      <c r="AV24" s="303"/>
      <c r="AW24" s="303"/>
      <c r="AX24" s="303"/>
      <c r="AY24" s="303"/>
      <c r="AZ24" s="303"/>
      <c r="BA24" s="303"/>
      <c r="BB24" s="303"/>
      <c r="BC24" s="303"/>
      <c r="BD24" s="303"/>
      <c r="BE24" s="303"/>
      <c r="BF24" s="303"/>
      <c r="BG24" s="303"/>
      <c r="BH24" s="303"/>
      <c r="BI24" s="303"/>
      <c r="BJ24" s="303"/>
      <c r="BK24" s="303"/>
      <c r="BL24" s="303"/>
      <c r="BM24" s="303"/>
      <c r="BN24" s="303"/>
      <c r="BO24" s="303"/>
      <c r="BP24" s="303"/>
      <c r="BQ24" s="303"/>
      <c r="BR24" s="303"/>
      <c r="BS24" s="303"/>
      <c r="BT24" s="303"/>
      <c r="BU24" s="303"/>
      <c r="BV24" s="303"/>
      <c r="BW24" s="303"/>
      <c r="BX24" s="303"/>
      <c r="BY24" s="303"/>
      <c r="BZ24" s="303"/>
      <c r="CA24" s="303"/>
      <c r="CB24" s="303"/>
      <c r="CC24" s="303"/>
      <c r="CD24" s="303"/>
      <c r="CE24" s="303"/>
      <c r="CF24" s="303"/>
      <c r="CG24" s="303"/>
      <c r="CH24" s="303"/>
      <c r="CI24" s="303"/>
      <c r="CJ24" s="303"/>
      <c r="CK24" s="303"/>
      <c r="CL24" s="303"/>
      <c r="CM24" s="303"/>
      <c r="CN24" s="303"/>
      <c r="CO24" s="303"/>
      <c r="CP24" s="303"/>
      <c r="CQ24" s="303"/>
      <c r="CR24" s="303"/>
      <c r="CS24" s="303"/>
      <c r="CT24" s="303"/>
      <c r="CU24" s="303"/>
      <c r="CV24" s="303"/>
      <c r="CW24" s="303"/>
      <c r="CX24" s="303"/>
      <c r="CY24" s="303"/>
      <c r="CZ24" s="303"/>
      <c r="DA24" s="303"/>
      <c r="DB24" s="303"/>
      <c r="DC24" s="303"/>
      <c r="DD24" s="303"/>
      <c r="DE24" s="303"/>
      <c r="DF24" s="303"/>
      <c r="DG24" s="303"/>
      <c r="DH24" s="303"/>
      <c r="DI24" s="303"/>
      <c r="DJ24" s="303"/>
      <c r="DK24" s="303"/>
      <c r="DL24" s="303"/>
      <c r="DM24" s="303"/>
      <c r="DN24" s="303"/>
      <c r="DO24" s="303"/>
      <c r="DP24" s="303"/>
      <c r="DQ24" s="303"/>
      <c r="DR24" s="303"/>
      <c r="DS24" s="303"/>
      <c r="DT24" s="303"/>
      <c r="DU24" s="303"/>
      <c r="DV24" s="303"/>
      <c r="DW24" s="303"/>
      <c r="DX24" s="303"/>
      <c r="DY24" s="303"/>
      <c r="DZ24" s="303"/>
      <c r="EA24" s="303"/>
      <c r="EB24" s="303"/>
      <c r="EC24" s="303"/>
      <c r="ED24" s="303"/>
      <c r="EE24" s="303"/>
      <c r="EF24" s="303"/>
      <c r="EG24" s="303"/>
      <c r="EH24" s="303"/>
      <c r="EI24" s="303"/>
      <c r="EJ24" s="303"/>
      <c r="EK24" s="303"/>
      <c r="EL24" s="303"/>
      <c r="EM24" s="303"/>
      <c r="EN24" s="303"/>
      <c r="EO24" s="303"/>
      <c r="EP24" s="303"/>
      <c r="EQ24" s="303"/>
      <c r="ER24" s="303"/>
      <c r="ES24" s="303"/>
      <c r="ET24" s="303"/>
      <c r="EU24" s="303"/>
      <c r="EV24" s="303"/>
      <c r="EW24" s="303"/>
      <c r="EX24" s="303"/>
      <c r="EY24" s="303"/>
      <c r="EZ24" s="303"/>
      <c r="FA24" s="303"/>
      <c r="FB24" s="303"/>
      <c r="FC24" s="303"/>
      <c r="FD24" s="303"/>
      <c r="FE24" s="303"/>
      <c r="FF24" s="303"/>
      <c r="FG24" s="303"/>
      <c r="FH24" s="303"/>
      <c r="FI24" s="303"/>
      <c r="FJ24" s="303"/>
      <c r="FK24" s="303"/>
      <c r="FL24" s="303"/>
      <c r="FM24" s="303"/>
      <c r="FN24" s="303"/>
      <c r="FO24" s="303"/>
      <c r="FP24" s="303"/>
      <c r="FQ24" s="303"/>
      <c r="FR24" s="303"/>
      <c r="FS24" s="303"/>
      <c r="FT24" s="303"/>
      <c r="FU24" s="303"/>
      <c r="FV24" s="303"/>
      <c r="FW24" s="303"/>
      <c r="FX24" s="303"/>
      <c r="FY24" s="303"/>
      <c r="FZ24" s="303"/>
      <c r="GA24" s="303"/>
      <c r="GB24" s="303"/>
      <c r="GC24" s="303"/>
      <c r="GD24" s="303"/>
      <c r="GE24" s="303"/>
      <c r="GF24" s="303"/>
      <c r="GG24" s="303"/>
      <c r="GH24" s="303"/>
      <c r="GI24" s="303"/>
      <c r="GJ24" s="303"/>
      <c r="GK24" s="303"/>
      <c r="GL24" s="303"/>
      <c r="GM24" s="303"/>
      <c r="GN24" s="303"/>
      <c r="GO24" s="303"/>
      <c r="GP24" s="303"/>
      <c r="GQ24" s="303"/>
      <c r="GR24" s="303"/>
      <c r="GS24" s="303"/>
      <c r="GT24" s="303"/>
      <c r="GU24" s="303"/>
      <c r="GV24" s="303"/>
      <c r="GW24" s="303"/>
      <c r="GX24" s="303"/>
      <c r="GY24" s="303"/>
      <c r="GZ24" s="303"/>
      <c r="HA24" s="303"/>
      <c r="HB24" s="303"/>
      <c r="HC24" s="303"/>
      <c r="HD24" s="303"/>
      <c r="HE24" s="303"/>
      <c r="HF24" s="303"/>
      <c r="HG24" s="303"/>
      <c r="HH24" s="303"/>
      <c r="HI24" s="303"/>
      <c r="HJ24" s="303"/>
      <c r="HK24" s="303"/>
      <c r="HL24" s="303"/>
      <c r="HM24" s="303"/>
      <c r="HN24" s="303"/>
      <c r="HO24" s="303"/>
      <c r="HP24" s="303"/>
      <c r="HQ24" s="303"/>
      <c r="HR24" s="303"/>
      <c r="HS24" s="303"/>
      <c r="HT24" s="303"/>
      <c r="HU24" s="303"/>
      <c r="HV24" s="303"/>
      <c r="HW24" s="303"/>
      <c r="HX24" s="303"/>
      <c r="HY24" s="303"/>
      <c r="HZ24" s="303"/>
      <c r="IA24" s="303"/>
      <c r="IB24" s="303"/>
      <c r="IC24" s="303"/>
      <c r="ID24" s="303"/>
      <c r="IE24" s="303"/>
      <c r="IF24" s="303"/>
      <c r="IG24" s="303"/>
      <c r="IH24" s="303"/>
      <c r="II24" s="303"/>
      <c r="IJ24" s="303"/>
      <c r="IK24" s="303"/>
      <c r="IL24" s="303"/>
      <c r="IM24" s="303"/>
      <c r="IN24" s="303"/>
      <c r="IO24" s="303"/>
      <c r="IP24" s="303"/>
      <c r="IQ24" s="303"/>
      <c r="IR24" s="303"/>
      <c r="IS24" s="303"/>
      <c r="IT24" s="303"/>
      <c r="IU24" s="303"/>
      <c r="IV24" s="303"/>
      <c r="IW24" s="303"/>
      <c r="IX24" s="303"/>
      <c r="IY24" s="303"/>
      <c r="IZ24" s="303"/>
      <c r="JA24" s="303"/>
      <c r="JB24" s="303"/>
      <c r="JC24" s="303"/>
      <c r="JD24" s="303"/>
      <c r="JE24" s="303"/>
      <c r="JF24" s="303"/>
      <c r="JG24" s="303"/>
      <c r="JH24" s="303"/>
      <c r="JI24" s="303"/>
      <c r="JJ24" s="303"/>
      <c r="JK24" s="303"/>
      <c r="JL24" s="303"/>
      <c r="JM24" s="303"/>
      <c r="JN24" s="303"/>
      <c r="JO24" s="303"/>
      <c r="JP24" s="303"/>
      <c r="JQ24" s="303"/>
      <c r="JR24" s="303"/>
      <c r="JS24" s="303"/>
      <c r="JT24" s="303"/>
      <c r="JU24" s="303"/>
      <c r="JV24" s="303"/>
      <c r="JW24" s="303"/>
      <c r="JX24" s="303"/>
      <c r="JY24" s="303"/>
      <c r="JZ24" s="303"/>
      <c r="KA24" s="303"/>
      <c r="KB24" s="303"/>
      <c r="KC24" s="303"/>
      <c r="KD24" s="303"/>
      <c r="KE24" s="303"/>
      <c r="KF24" s="303"/>
      <c r="KG24" s="303"/>
      <c r="KH24" s="303"/>
      <c r="KI24" s="303"/>
      <c r="KJ24" s="303"/>
      <c r="KK24" s="303"/>
      <c r="KL24" s="303"/>
      <c r="KM24" s="303"/>
      <c r="KN24" s="303"/>
      <c r="KO24" s="303"/>
      <c r="KP24" s="303"/>
      <c r="KQ24" s="303"/>
      <c r="KR24" s="303"/>
      <c r="KS24" s="303"/>
      <c r="KT24" s="303"/>
      <c r="KU24" s="303"/>
      <c r="KV24" s="303"/>
      <c r="KW24" s="303"/>
      <c r="KX24" s="303"/>
      <c r="KY24" s="303"/>
      <c r="KZ24" s="303"/>
      <c r="LA24" s="303"/>
      <c r="LB24" s="303"/>
      <c r="LC24" s="303"/>
      <c r="LD24" s="303"/>
      <c r="LE24" s="303"/>
      <c r="LF24" s="303"/>
      <c r="LG24" s="303"/>
      <c r="LH24" s="303"/>
      <c r="LI24" s="303"/>
      <c r="LJ24" s="303"/>
      <c r="LK24" s="303"/>
      <c r="LL24" s="303"/>
      <c r="LM24" s="303"/>
      <c r="LN24" s="303"/>
      <c r="LO24" s="303"/>
      <c r="LP24" s="303"/>
      <c r="LQ24" s="303"/>
      <c r="LR24" s="303"/>
      <c r="LS24" s="303"/>
      <c r="LT24" s="303"/>
      <c r="LU24" s="303"/>
      <c r="LV24" s="303"/>
      <c r="LW24" s="303"/>
      <c r="LX24" s="303"/>
      <c r="LY24" s="303"/>
      <c r="LZ24" s="303"/>
      <c r="MA24" s="303"/>
      <c r="MB24" s="303"/>
      <c r="MC24" s="303"/>
      <c r="MD24" s="303"/>
      <c r="ME24" s="303"/>
      <c r="MF24" s="303"/>
      <c r="MG24" s="303"/>
      <c r="MH24" s="303"/>
      <c r="MI24" s="303"/>
      <c r="MJ24" s="303"/>
      <c r="MK24" s="303"/>
      <c r="ML24" s="303"/>
      <c r="MM24" s="303"/>
      <c r="MN24" s="303"/>
      <c r="MO24" s="303"/>
      <c r="MP24" s="303"/>
      <c r="MQ24" s="303"/>
      <c r="MR24" s="303"/>
      <c r="MS24" s="303"/>
      <c r="MT24" s="303"/>
      <c r="MU24" s="303"/>
      <c r="MV24" s="303"/>
      <c r="MW24" s="303"/>
      <c r="MX24" s="303"/>
      <c r="MY24" s="303"/>
      <c r="MZ24" s="303"/>
      <c r="NA24" s="303"/>
      <c r="NB24" s="303"/>
      <c r="NC24" s="303"/>
      <c r="ND24" s="303"/>
      <c r="NE24" s="303"/>
      <c r="NF24" s="303"/>
      <c r="NG24" s="303"/>
      <c r="NH24" s="303"/>
      <c r="NI24" s="303"/>
      <c r="NJ24" s="303"/>
      <c r="NK24" s="303"/>
      <c r="NL24" s="303"/>
      <c r="NM24" s="303"/>
      <c r="NN24" s="303"/>
      <c r="NO24" s="303"/>
      <c r="NP24" s="303"/>
      <c r="NQ24" s="303"/>
      <c r="NR24" s="303"/>
      <c r="NS24" s="303"/>
      <c r="NT24" s="303"/>
      <c r="NU24" s="303"/>
      <c r="NV24" s="303"/>
      <c r="NW24" s="303"/>
      <c r="NX24" s="303"/>
      <c r="NY24" s="303"/>
      <c r="NZ24" s="303"/>
      <c r="OA24" s="303"/>
      <c r="OB24" s="303"/>
      <c r="OC24" s="303"/>
      <c r="OD24" s="303"/>
      <c r="OE24" s="303"/>
      <c r="OF24" s="303"/>
      <c r="OG24" s="303"/>
      <c r="OH24" s="303"/>
      <c r="OI24" s="303"/>
      <c r="OJ24" s="303"/>
      <c r="OK24" s="303"/>
      <c r="OL24" s="303"/>
      <c r="OM24" s="303"/>
      <c r="ON24" s="303"/>
      <c r="OO24" s="303"/>
      <c r="OP24" s="303"/>
      <c r="OQ24" s="303"/>
      <c r="OR24" s="303"/>
      <c r="OS24" s="303"/>
      <c r="OT24" s="303"/>
      <c r="OU24" s="303"/>
      <c r="OV24" s="303"/>
      <c r="OW24" s="303"/>
      <c r="OX24" s="303"/>
      <c r="OY24" s="303"/>
      <c r="OZ24" s="303"/>
      <c r="PA24" s="303"/>
      <c r="PB24" s="303"/>
      <c r="PC24" s="303"/>
      <c r="PD24" s="303"/>
      <c r="PE24" s="303"/>
      <c r="PF24" s="303"/>
      <c r="PG24" s="303"/>
      <c r="PH24" s="303"/>
      <c r="PI24" s="303"/>
      <c r="PJ24" s="303"/>
      <c r="PK24" s="303"/>
      <c r="PL24" s="303"/>
      <c r="PM24" s="303"/>
      <c r="PN24" s="303"/>
      <c r="PO24" s="303"/>
      <c r="PP24" s="303"/>
      <c r="PQ24" s="303"/>
      <c r="PR24" s="303"/>
      <c r="PS24" s="303"/>
      <c r="PT24" s="303"/>
      <c r="PU24" s="303"/>
      <c r="PV24" s="303"/>
      <c r="PW24" s="303"/>
      <c r="PX24" s="303"/>
      <c r="PY24" s="303"/>
      <c r="PZ24" s="303"/>
      <c r="QA24" s="303"/>
      <c r="QB24" s="303"/>
      <c r="QC24" s="303"/>
      <c r="QD24" s="303"/>
      <c r="QE24" s="303"/>
      <c r="QF24" s="303"/>
      <c r="QG24" s="303"/>
      <c r="QH24" s="303"/>
      <c r="QI24" s="303"/>
      <c r="QJ24" s="303"/>
      <c r="QK24" s="303"/>
      <c r="QL24" s="303"/>
      <c r="QM24" s="303"/>
      <c r="QN24" s="303"/>
      <c r="QO24" s="303"/>
      <c r="QP24" s="303"/>
      <c r="QQ24" s="303"/>
      <c r="QR24" s="303"/>
      <c r="QS24" s="303"/>
      <c r="QT24" s="303"/>
      <c r="QU24" s="303"/>
      <c r="QV24" s="303"/>
      <c r="QW24" s="303"/>
      <c r="QX24" s="303"/>
      <c r="QY24" s="303"/>
      <c r="QZ24" s="303"/>
      <c r="RA24" s="303"/>
      <c r="RB24" s="303"/>
      <c r="RC24" s="303"/>
      <c r="RD24" s="303"/>
      <c r="RE24" s="303"/>
      <c r="RF24" s="303"/>
      <c r="RG24" s="303"/>
      <c r="RH24" s="303"/>
      <c r="RI24" s="303"/>
      <c r="RJ24" s="303"/>
      <c r="RK24" s="303"/>
      <c r="RL24" s="303"/>
      <c r="RM24" s="303"/>
      <c r="RN24" s="303"/>
      <c r="RO24" s="303"/>
      <c r="RP24" s="303"/>
      <c r="RQ24" s="303"/>
      <c r="RR24" s="303"/>
      <c r="RS24" s="303"/>
      <c r="RT24" s="303"/>
      <c r="RU24" s="303"/>
      <c r="RV24" s="303"/>
      <c r="RW24" s="303"/>
      <c r="RX24" s="303"/>
      <c r="RY24" s="303"/>
      <c r="RZ24" s="303"/>
      <c r="SA24" s="303"/>
      <c r="SB24" s="303"/>
      <c r="SC24" s="303"/>
      <c r="SD24" s="303"/>
      <c r="SE24" s="303"/>
      <c r="SF24" s="303"/>
      <c r="SG24" s="303"/>
      <c r="SH24" s="303"/>
      <c r="SI24" s="303"/>
      <c r="SJ24" s="303"/>
      <c r="SK24" s="303"/>
      <c r="SL24" s="303"/>
      <c r="SM24" s="303"/>
      <c r="SN24" s="303"/>
      <c r="SO24" s="303"/>
      <c r="SP24" s="303"/>
      <c r="SQ24" s="303"/>
      <c r="SR24" s="303"/>
      <c r="SS24" s="303"/>
      <c r="ST24" s="303"/>
      <c r="SU24" s="303"/>
      <c r="SV24" s="303"/>
      <c r="SW24" s="303"/>
      <c r="SX24" s="303"/>
      <c r="SY24" s="303"/>
      <c r="SZ24" s="303"/>
      <c r="TA24" s="303"/>
      <c r="TB24" s="303"/>
      <c r="TC24" s="303"/>
      <c r="TD24" s="303"/>
      <c r="TE24" s="303"/>
      <c r="TF24" s="303"/>
      <c r="TG24" s="303"/>
      <c r="TH24" s="303"/>
      <c r="TI24" s="303"/>
      <c r="TJ24" s="303"/>
      <c r="TK24" s="303"/>
      <c r="TL24" s="303"/>
      <c r="TM24" s="303"/>
      <c r="TN24" s="303"/>
      <c r="TO24" s="303"/>
      <c r="TP24" s="303"/>
      <c r="TQ24" s="303"/>
      <c r="TR24" s="303"/>
      <c r="TS24" s="303"/>
      <c r="TT24" s="303"/>
      <c r="TU24" s="303"/>
      <c r="TV24" s="303"/>
      <c r="TW24" s="303"/>
      <c r="TX24" s="303"/>
      <c r="TY24" s="303"/>
      <c r="TZ24" s="303"/>
      <c r="UA24" s="303"/>
      <c r="UB24" s="303"/>
      <c r="UC24" s="303"/>
      <c r="UD24" s="303"/>
      <c r="UE24" s="303"/>
      <c r="UF24" s="303"/>
      <c r="UG24" s="303"/>
      <c r="UH24" s="303"/>
      <c r="UI24" s="303"/>
      <c r="UJ24" s="303"/>
      <c r="UK24" s="303"/>
      <c r="UL24" s="303"/>
      <c r="UM24" s="303"/>
      <c r="UN24" s="303"/>
      <c r="UO24" s="303"/>
      <c r="UP24" s="303"/>
      <c r="UQ24" s="303"/>
      <c r="UR24" s="303"/>
      <c r="US24" s="303"/>
      <c r="UT24" s="303"/>
      <c r="UU24" s="303"/>
      <c r="UV24" s="303"/>
      <c r="UW24" s="303"/>
      <c r="UX24" s="303"/>
      <c r="UY24" s="303"/>
      <c r="UZ24" s="303"/>
      <c r="VA24" s="303"/>
      <c r="VB24" s="303"/>
      <c r="VC24" s="303"/>
      <c r="VD24" s="303"/>
      <c r="VE24" s="303"/>
      <c r="VF24" s="303"/>
      <c r="VG24" s="303"/>
      <c r="VH24" s="303"/>
      <c r="VI24" s="303"/>
      <c r="VJ24" s="303"/>
      <c r="VK24" s="303"/>
      <c r="VL24" s="303"/>
      <c r="VM24" s="303"/>
      <c r="VN24" s="303"/>
      <c r="VO24" s="303"/>
      <c r="VP24" s="303"/>
      <c r="VQ24" s="303"/>
      <c r="VR24" s="303"/>
      <c r="VS24" s="303"/>
      <c r="VT24" s="303"/>
      <c r="VU24" s="303"/>
      <c r="VV24" s="303"/>
      <c r="VW24" s="303"/>
      <c r="VX24" s="303"/>
      <c r="VY24" s="303"/>
      <c r="VZ24" s="303"/>
      <c r="WA24" s="303"/>
      <c r="WB24" s="303"/>
      <c r="WC24" s="303"/>
      <c r="WD24" s="303"/>
      <c r="WE24" s="303"/>
      <c r="WF24" s="303"/>
      <c r="WG24" s="303"/>
      <c r="WH24" s="303"/>
      <c r="WI24" s="303"/>
      <c r="WJ24" s="303"/>
      <c r="WK24" s="303"/>
      <c r="WL24" s="303"/>
      <c r="WM24" s="303"/>
      <c r="WN24" s="303"/>
      <c r="WO24" s="303"/>
      <c r="WP24" s="303"/>
      <c r="WQ24" s="303"/>
      <c r="WR24" s="303"/>
      <c r="WS24" s="303"/>
      <c r="WT24" s="303"/>
      <c r="WU24" s="303"/>
      <c r="WV24" s="303"/>
      <c r="WW24" s="303"/>
      <c r="WX24" s="303"/>
      <c r="WY24" s="303"/>
      <c r="WZ24" s="303"/>
      <c r="XA24" s="303"/>
      <c r="XB24" s="303"/>
      <c r="XC24" s="303"/>
      <c r="XD24" s="303"/>
      <c r="XE24" s="303"/>
      <c r="XF24" s="303"/>
      <c r="XG24" s="303"/>
      <c r="XH24" s="303"/>
      <c r="XI24" s="303"/>
      <c r="XJ24" s="303"/>
      <c r="XK24" s="303"/>
      <c r="XL24" s="303"/>
      <c r="XM24" s="303"/>
      <c r="XN24" s="303"/>
      <c r="XO24" s="303"/>
      <c r="XP24" s="303"/>
      <c r="XQ24" s="303"/>
      <c r="XR24" s="303"/>
      <c r="XS24" s="303"/>
      <c r="XT24" s="303"/>
      <c r="XU24" s="303"/>
      <c r="XV24" s="303"/>
      <c r="XW24" s="303"/>
      <c r="XX24" s="303"/>
      <c r="XY24" s="303"/>
      <c r="XZ24" s="303"/>
      <c r="YA24" s="303"/>
      <c r="YB24" s="303"/>
      <c r="YC24" s="303"/>
      <c r="YD24" s="303"/>
      <c r="YE24" s="303"/>
      <c r="YF24" s="303"/>
      <c r="YG24" s="303"/>
      <c r="YH24" s="303"/>
      <c r="YI24" s="303"/>
      <c r="YJ24" s="303"/>
      <c r="YK24" s="303"/>
      <c r="YL24" s="303"/>
      <c r="YM24" s="303"/>
      <c r="YN24" s="303"/>
      <c r="YO24" s="303"/>
      <c r="YP24" s="303"/>
      <c r="YQ24" s="303"/>
      <c r="YR24" s="303"/>
      <c r="YS24" s="303"/>
      <c r="YT24" s="303"/>
      <c r="YU24" s="303"/>
      <c r="YV24" s="303"/>
      <c r="YW24" s="303"/>
      <c r="YX24" s="303"/>
      <c r="YY24" s="303"/>
      <c r="YZ24" s="303"/>
      <c r="ZA24" s="303"/>
      <c r="ZB24" s="303"/>
      <c r="ZC24" s="303"/>
      <c r="ZD24" s="303"/>
      <c r="ZE24" s="303"/>
      <c r="ZF24" s="303"/>
      <c r="ZG24" s="303"/>
      <c r="ZH24" s="303"/>
      <c r="ZI24" s="303"/>
      <c r="ZJ24" s="303"/>
      <c r="ZK24" s="303"/>
      <c r="ZL24" s="303"/>
      <c r="ZM24" s="303"/>
      <c r="ZN24" s="303"/>
      <c r="ZO24" s="303"/>
      <c r="ZP24" s="303"/>
      <c r="ZQ24" s="303"/>
      <c r="ZR24" s="303"/>
      <c r="ZS24" s="303"/>
      <c r="ZT24" s="303"/>
      <c r="ZU24" s="303"/>
      <c r="ZV24" s="303"/>
      <c r="ZW24" s="303"/>
      <c r="ZX24" s="303"/>
      <c r="ZY24" s="303"/>
      <c r="ZZ24" s="303"/>
      <c r="AAA24" s="303"/>
      <c r="AAB24" s="303"/>
      <c r="AAC24" s="303"/>
      <c r="AAD24" s="303"/>
      <c r="AAE24" s="303"/>
      <c r="AAF24" s="303"/>
      <c r="AAG24" s="303"/>
      <c r="AAH24" s="303"/>
      <c r="AAI24" s="303"/>
      <c r="AAJ24" s="303"/>
      <c r="AAK24" s="303"/>
      <c r="AAL24" s="303"/>
      <c r="AAM24" s="303"/>
      <c r="AAN24" s="303"/>
      <c r="AAO24" s="303"/>
      <c r="AAP24" s="303"/>
      <c r="AAQ24" s="303"/>
      <c r="AAR24" s="303"/>
      <c r="AAS24" s="303"/>
      <c r="AAT24" s="303"/>
      <c r="AAU24" s="303"/>
      <c r="AAV24" s="303"/>
      <c r="AAW24" s="303"/>
      <c r="AAX24" s="303"/>
      <c r="AAY24" s="303"/>
      <c r="AAZ24" s="303"/>
      <c r="ABA24" s="303"/>
      <c r="ABB24" s="303"/>
      <c r="ABC24" s="303"/>
      <c r="ABD24" s="303"/>
      <c r="ABE24" s="303"/>
      <c r="ABF24" s="303"/>
      <c r="ABG24" s="303"/>
      <c r="ABH24" s="303"/>
      <c r="ABI24" s="303"/>
      <c r="ABJ24" s="303"/>
      <c r="ABK24" s="303"/>
      <c r="ABL24" s="303"/>
      <c r="ABM24" s="303"/>
      <c r="ABN24" s="303"/>
      <c r="ABO24" s="303"/>
      <c r="ABP24" s="303"/>
      <c r="ABQ24" s="303"/>
      <c r="ABR24" s="303"/>
      <c r="ABS24" s="303"/>
      <c r="ABT24" s="303"/>
      <c r="ABU24" s="303"/>
      <c r="ABV24" s="303"/>
      <c r="ABW24" s="303"/>
      <c r="ABX24" s="303"/>
      <c r="ABY24" s="303"/>
      <c r="ABZ24" s="303"/>
      <c r="ACA24" s="303"/>
      <c r="ACB24" s="303"/>
      <c r="ACC24" s="303"/>
      <c r="ACD24" s="303"/>
      <c r="ACE24" s="303"/>
      <c r="ACF24" s="303"/>
      <c r="ACG24" s="303"/>
      <c r="ACH24" s="303"/>
      <c r="ACI24" s="303"/>
      <c r="ACJ24" s="303"/>
      <c r="ACK24" s="303"/>
      <c r="ACL24" s="303"/>
      <c r="ACM24" s="303"/>
      <c r="ACN24" s="303"/>
      <c r="ACO24" s="303"/>
      <c r="ACP24" s="303"/>
      <c r="ACQ24" s="303"/>
      <c r="ACR24" s="303"/>
      <c r="ACS24" s="303"/>
      <c r="ACT24" s="303"/>
      <c r="ACU24" s="303"/>
      <c r="ACV24" s="303"/>
      <c r="ACW24" s="303"/>
      <c r="ACX24" s="303"/>
      <c r="ACY24" s="303"/>
      <c r="ACZ24" s="303"/>
      <c r="ADA24" s="303"/>
      <c r="ADB24" s="303"/>
      <c r="ADC24" s="303"/>
      <c r="ADD24" s="303"/>
      <c r="ADE24" s="303"/>
      <c r="ADF24" s="303"/>
      <c r="ADG24" s="303"/>
      <c r="ADH24" s="303"/>
      <c r="ADI24" s="303"/>
      <c r="ADJ24" s="303"/>
      <c r="ADK24" s="303"/>
      <c r="ADL24" s="303"/>
      <c r="ADM24" s="303"/>
      <c r="ADN24" s="303"/>
      <c r="ADO24" s="303"/>
      <c r="ADP24" s="303"/>
      <c r="ADQ24" s="303"/>
      <c r="ADR24" s="303"/>
      <c r="ADS24" s="303"/>
      <c r="ADT24" s="303"/>
      <c r="ADU24" s="303"/>
      <c r="ADV24" s="303"/>
      <c r="ADW24" s="303"/>
      <c r="ADX24" s="303"/>
      <c r="ADY24" s="303"/>
      <c r="ADZ24" s="303"/>
      <c r="AEA24" s="303"/>
      <c r="AEB24" s="303"/>
      <c r="AEC24" s="303"/>
      <c r="AED24" s="303"/>
      <c r="AEE24" s="303"/>
      <c r="AEF24" s="303"/>
      <c r="AEG24" s="303"/>
      <c r="AEH24" s="303"/>
      <c r="AEI24" s="303"/>
      <c r="AEJ24" s="303"/>
      <c r="AEK24" s="303"/>
      <c r="AEL24" s="303"/>
      <c r="AEM24" s="303"/>
      <c r="AEN24" s="303"/>
      <c r="AEO24" s="303"/>
      <c r="AEP24" s="303"/>
      <c r="AEQ24" s="303"/>
      <c r="AER24" s="303"/>
      <c r="AES24" s="303"/>
      <c r="AET24" s="303"/>
      <c r="AEU24" s="303"/>
      <c r="AEV24" s="303"/>
      <c r="AEW24" s="303"/>
      <c r="AEX24" s="303"/>
      <c r="AEY24" s="303"/>
      <c r="AEZ24" s="303"/>
      <c r="AFA24" s="303"/>
      <c r="AFB24" s="303"/>
      <c r="AFC24" s="303"/>
      <c r="AFD24" s="303"/>
      <c r="AFE24" s="303"/>
      <c r="AFF24" s="303"/>
      <c r="AFG24" s="303"/>
      <c r="AFH24" s="303"/>
      <c r="AFI24" s="303"/>
      <c r="AFJ24" s="303"/>
      <c r="AFK24" s="303"/>
      <c r="AFL24" s="303"/>
      <c r="AFM24" s="303"/>
      <c r="AFN24" s="303"/>
      <c r="AFO24" s="303"/>
      <c r="AFP24" s="303"/>
      <c r="AFQ24" s="303"/>
      <c r="AFR24" s="303"/>
      <c r="AFS24" s="303"/>
      <c r="AFT24" s="303"/>
      <c r="AFU24" s="303"/>
      <c r="AFV24" s="303"/>
      <c r="AFW24" s="303"/>
      <c r="AFX24" s="303"/>
      <c r="AFY24" s="303"/>
      <c r="AFZ24" s="303"/>
      <c r="AGA24" s="303"/>
      <c r="AGB24" s="303"/>
      <c r="AGC24" s="303"/>
      <c r="AGD24" s="303"/>
      <c r="AGE24" s="303"/>
      <c r="AGF24" s="303"/>
      <c r="AGG24" s="303"/>
      <c r="AGH24" s="303"/>
      <c r="AGI24" s="303"/>
      <c r="AGJ24" s="303"/>
      <c r="AGK24" s="303"/>
      <c r="AGL24" s="303"/>
      <c r="AGM24" s="303"/>
      <c r="AGN24" s="303"/>
      <c r="AGO24" s="303"/>
      <c r="AGP24" s="303"/>
      <c r="AGQ24" s="303"/>
      <c r="AGR24" s="303"/>
      <c r="AGS24" s="303"/>
      <c r="AGT24" s="303"/>
      <c r="AGU24" s="303"/>
      <c r="AGV24" s="303"/>
      <c r="AGW24" s="303"/>
      <c r="AGX24" s="303"/>
      <c r="AGY24" s="303"/>
      <c r="AGZ24" s="303"/>
      <c r="AHA24" s="303"/>
      <c r="AHB24" s="303"/>
      <c r="AHC24" s="303"/>
      <c r="AHD24" s="303"/>
      <c r="AHE24" s="303"/>
      <c r="AHF24" s="303"/>
      <c r="AHG24" s="303"/>
      <c r="AHH24" s="303"/>
      <c r="AHI24" s="303"/>
      <c r="AHJ24" s="303"/>
      <c r="AHK24" s="303"/>
      <c r="AHL24" s="303"/>
      <c r="AHM24" s="303"/>
      <c r="AHN24" s="303"/>
      <c r="AHO24" s="303"/>
      <c r="AHP24" s="303"/>
      <c r="AHQ24" s="303"/>
      <c r="AHR24" s="303"/>
      <c r="AHS24" s="303"/>
      <c r="AHT24" s="303"/>
      <c r="AHU24" s="303"/>
      <c r="AHV24" s="303"/>
      <c r="AHW24" s="303"/>
      <c r="AHX24" s="303"/>
      <c r="AHY24" s="303"/>
      <c r="AHZ24" s="303"/>
      <c r="AIA24" s="303"/>
      <c r="AIB24" s="303"/>
      <c r="AIC24" s="303"/>
      <c r="AID24" s="303"/>
      <c r="AIE24" s="303"/>
      <c r="AIF24" s="303"/>
      <c r="AIG24" s="303"/>
      <c r="AIH24" s="303"/>
      <c r="AII24" s="303"/>
      <c r="AIJ24" s="303"/>
      <c r="AIK24" s="303"/>
      <c r="AIL24" s="303"/>
      <c r="AIM24" s="303"/>
      <c r="AIN24" s="303"/>
      <c r="AIO24" s="303"/>
      <c r="AIP24" s="303"/>
      <c r="AIQ24" s="303"/>
      <c r="AIR24" s="303"/>
      <c r="AIS24" s="303"/>
      <c r="AIT24" s="303"/>
      <c r="AIU24" s="303"/>
      <c r="AIV24" s="303"/>
      <c r="AIW24" s="303"/>
      <c r="AIX24" s="303"/>
      <c r="AIY24" s="303"/>
      <c r="AIZ24" s="303"/>
      <c r="AJA24" s="303"/>
      <c r="AJB24" s="303"/>
      <c r="AJC24" s="303"/>
      <c r="AJD24" s="303"/>
      <c r="AJE24" s="303"/>
      <c r="AJF24" s="303"/>
      <c r="AJG24" s="303"/>
      <c r="AJH24" s="303"/>
      <c r="AJI24" s="303"/>
      <c r="AJJ24" s="303"/>
      <c r="AJK24" s="303"/>
      <c r="AJL24" s="303"/>
      <c r="AJM24" s="303"/>
      <c r="AJN24" s="303"/>
      <c r="AJO24" s="303"/>
      <c r="AJP24" s="303"/>
      <c r="AJQ24" s="303"/>
      <c r="AJR24" s="303"/>
      <c r="AJS24" s="303"/>
      <c r="AJT24" s="303"/>
      <c r="AJU24" s="303"/>
      <c r="AJV24" s="303"/>
      <c r="AJW24" s="303"/>
      <c r="AJX24" s="303"/>
      <c r="AJY24" s="303"/>
      <c r="AJZ24" s="303"/>
      <c r="AKA24" s="303"/>
      <c r="AKB24" s="303"/>
      <c r="AKC24" s="303"/>
      <c r="AKD24" s="303"/>
      <c r="AKE24" s="303"/>
      <c r="AKF24" s="303"/>
      <c r="AKG24" s="303"/>
      <c r="AKH24" s="303"/>
      <c r="AKI24" s="303"/>
      <c r="AKJ24" s="303"/>
      <c r="AKK24" s="303"/>
      <c r="AKL24" s="303"/>
      <c r="AKM24" s="303"/>
      <c r="AKN24" s="303"/>
      <c r="AKO24" s="303"/>
      <c r="AKP24" s="303"/>
      <c r="AKQ24" s="303"/>
      <c r="AKR24" s="303"/>
      <c r="AKS24" s="303"/>
      <c r="AKT24" s="303"/>
      <c r="AKU24" s="303"/>
      <c r="AKV24" s="303"/>
      <c r="AKW24" s="303"/>
      <c r="AKX24" s="303"/>
      <c r="AKY24" s="303"/>
      <c r="AKZ24" s="303"/>
      <c r="ALA24" s="303"/>
      <c r="ALB24" s="303"/>
      <c r="ALC24" s="303"/>
      <c r="ALD24" s="303"/>
      <c r="ALE24" s="303"/>
      <c r="ALF24" s="303"/>
      <c r="ALG24" s="303"/>
      <c r="ALH24" s="303"/>
      <c r="ALI24" s="303"/>
      <c r="ALJ24" s="303"/>
      <c r="ALK24" s="303"/>
      <c r="ALL24" s="303"/>
      <c r="ALM24" s="303"/>
      <c r="ALN24" s="303"/>
      <c r="ALO24" s="303"/>
      <c r="ALP24" s="303"/>
      <c r="ALQ24" s="303"/>
      <c r="ALR24" s="303"/>
      <c r="ALS24" s="303"/>
      <c r="ALT24" s="303"/>
      <c r="ALU24" s="303"/>
      <c r="ALV24" s="303"/>
      <c r="ALW24" s="303"/>
      <c r="ALX24" s="303"/>
      <c r="ALY24" s="303"/>
      <c r="ALZ24" s="303"/>
      <c r="AMA24" s="303"/>
      <c r="AMB24" s="303"/>
      <c r="AMC24" s="303"/>
      <c r="AMD24" s="303"/>
      <c r="AME24" s="303"/>
      <c r="AMF24" s="303"/>
      <c r="AMG24" s="303"/>
      <c r="AMH24" s="303"/>
      <c r="AMI24" s="303"/>
      <c r="AMJ24" s="303"/>
      <c r="AMK24" s="303"/>
      <c r="AML24" s="303"/>
      <c r="AMM24" s="303"/>
      <c r="AMN24" s="303"/>
      <c r="AMO24" s="303"/>
      <c r="AMP24" s="303"/>
      <c r="AMQ24" s="303"/>
      <c r="AMR24" s="303"/>
      <c r="AMS24" s="303"/>
      <c r="AMT24" s="303"/>
      <c r="AMU24" s="303"/>
      <c r="AMV24" s="303"/>
      <c r="AMW24" s="303"/>
      <c r="AMX24" s="303"/>
      <c r="AMY24" s="303"/>
      <c r="AMZ24" s="303"/>
      <c r="ANA24" s="303"/>
      <c r="ANB24" s="303"/>
      <c r="ANC24" s="303"/>
      <c r="AND24" s="303"/>
      <c r="ANE24" s="303"/>
      <c r="ANF24" s="303"/>
      <c r="ANG24" s="303"/>
      <c r="ANH24" s="303"/>
      <c r="ANI24" s="303"/>
      <c r="ANJ24" s="303"/>
      <c r="ANK24" s="303"/>
      <c r="ANL24" s="303"/>
      <c r="ANM24" s="303"/>
      <c r="ANN24" s="303"/>
      <c r="ANO24" s="303"/>
      <c r="ANP24" s="303"/>
      <c r="ANQ24" s="303"/>
      <c r="ANR24" s="303"/>
      <c r="ANS24" s="303"/>
      <c r="ANT24" s="303"/>
      <c r="ANU24" s="303"/>
      <c r="ANV24" s="303"/>
      <c r="ANW24" s="303"/>
      <c r="ANX24" s="303"/>
      <c r="ANY24" s="303"/>
      <c r="ANZ24" s="303"/>
      <c r="AOA24" s="303"/>
      <c r="AOB24" s="303"/>
      <c r="AOC24" s="303"/>
      <c r="AOD24" s="303"/>
      <c r="AOE24" s="303"/>
      <c r="AOF24" s="303"/>
      <c r="AOG24" s="303"/>
      <c r="AOH24" s="303"/>
      <c r="AOI24" s="303"/>
      <c r="AOJ24" s="303"/>
      <c r="AOK24" s="303"/>
      <c r="AOL24" s="303"/>
      <c r="AOM24" s="303"/>
      <c r="AON24" s="303"/>
      <c r="AOO24" s="303"/>
      <c r="AOP24" s="303"/>
      <c r="AOQ24" s="303"/>
      <c r="AOR24" s="303"/>
      <c r="AOS24" s="303"/>
      <c r="AOT24" s="303"/>
      <c r="AOU24" s="303"/>
      <c r="AOV24" s="303"/>
      <c r="AOW24" s="303"/>
      <c r="AOX24" s="303"/>
      <c r="AOY24" s="303"/>
      <c r="AOZ24" s="303"/>
      <c r="APA24" s="303"/>
      <c r="APB24" s="303"/>
      <c r="APC24" s="303"/>
      <c r="APD24" s="303"/>
      <c r="APE24" s="303"/>
      <c r="APF24" s="303"/>
      <c r="APG24" s="303"/>
      <c r="APH24" s="303"/>
      <c r="API24" s="303"/>
      <c r="APJ24" s="303"/>
      <c r="APK24" s="303"/>
      <c r="APL24" s="303"/>
      <c r="APM24" s="303"/>
      <c r="APN24" s="303"/>
      <c r="APO24" s="303"/>
      <c r="APP24" s="303"/>
      <c r="APQ24" s="303"/>
      <c r="APR24" s="303"/>
      <c r="APS24" s="303"/>
      <c r="APT24" s="303"/>
      <c r="APU24" s="303"/>
      <c r="APV24" s="303"/>
      <c r="APW24" s="303"/>
      <c r="APX24" s="303"/>
      <c r="APY24" s="303"/>
      <c r="APZ24" s="303"/>
      <c r="AQA24" s="303"/>
      <c r="AQB24" s="303"/>
      <c r="AQC24" s="303"/>
      <c r="AQD24" s="303"/>
      <c r="AQE24" s="303"/>
      <c r="AQF24" s="303"/>
      <c r="AQG24" s="303"/>
      <c r="AQH24" s="303"/>
      <c r="AQI24" s="303"/>
      <c r="AQJ24" s="303"/>
      <c r="AQK24" s="303"/>
      <c r="AQL24" s="303"/>
      <c r="AQM24" s="303"/>
      <c r="AQN24" s="303"/>
      <c r="AQO24" s="303"/>
      <c r="AQP24" s="303"/>
      <c r="AQQ24" s="303"/>
      <c r="AQR24" s="303"/>
      <c r="AQS24" s="303"/>
      <c r="AQT24" s="303"/>
      <c r="AQU24" s="303"/>
      <c r="AQV24" s="303"/>
      <c r="AQW24" s="303"/>
      <c r="AQX24" s="303"/>
      <c r="AQY24" s="303"/>
      <c r="AQZ24" s="303"/>
      <c r="ARA24" s="303"/>
      <c r="ARB24" s="303"/>
      <c r="ARC24" s="303"/>
      <c r="ARD24" s="303"/>
      <c r="ARE24" s="303"/>
      <c r="ARF24" s="303"/>
      <c r="ARG24" s="303"/>
      <c r="ARH24" s="303"/>
      <c r="ARI24" s="303"/>
      <c r="ARJ24" s="303"/>
      <c r="ARK24" s="303"/>
      <c r="ARL24" s="303"/>
      <c r="ARM24" s="303"/>
      <c r="ARN24" s="303"/>
      <c r="ARO24" s="303"/>
      <c r="ARP24" s="303"/>
      <c r="ARQ24" s="303"/>
      <c r="ARR24" s="303"/>
      <c r="ARS24" s="303"/>
      <c r="ART24" s="303"/>
      <c r="ARU24" s="303"/>
      <c r="ARV24" s="303"/>
      <c r="ARW24" s="303"/>
      <c r="ARX24" s="303"/>
      <c r="ARY24" s="303"/>
      <c r="ARZ24" s="303"/>
      <c r="ASA24" s="303"/>
      <c r="ASB24" s="303"/>
      <c r="ASC24" s="303"/>
      <c r="ASD24" s="303"/>
      <c r="ASE24" s="303"/>
      <c r="ASF24" s="303"/>
      <c r="ASG24" s="303"/>
      <c r="ASH24" s="303"/>
      <c r="ASI24" s="303"/>
      <c r="ASJ24" s="303"/>
      <c r="ASK24" s="303"/>
      <c r="ASL24" s="303"/>
      <c r="ASM24" s="303"/>
      <c r="ASN24" s="303"/>
      <c r="ASO24" s="303"/>
      <c r="ASP24" s="303"/>
      <c r="ASQ24" s="303"/>
      <c r="ASR24" s="303"/>
      <c r="ASS24" s="303"/>
      <c r="AST24" s="303"/>
      <c r="ASU24" s="303"/>
      <c r="ASV24" s="303"/>
      <c r="ASW24" s="303"/>
      <c r="ASX24" s="303"/>
      <c r="ASY24" s="303"/>
      <c r="ASZ24" s="303"/>
      <c r="ATA24" s="303"/>
      <c r="ATB24" s="303"/>
      <c r="ATC24" s="303"/>
      <c r="ATD24" s="303"/>
      <c r="ATE24" s="303"/>
      <c r="ATF24" s="303"/>
      <c r="ATG24" s="303"/>
      <c r="ATH24" s="303"/>
      <c r="ATI24" s="303"/>
      <c r="ATJ24" s="303"/>
      <c r="ATK24" s="303"/>
      <c r="ATL24" s="303"/>
      <c r="ATM24" s="303"/>
      <c r="ATN24" s="303"/>
      <c r="ATO24" s="303"/>
      <c r="ATP24" s="303"/>
      <c r="ATQ24" s="303"/>
      <c r="ATR24" s="303"/>
      <c r="ATS24" s="303"/>
      <c r="ATT24" s="303"/>
      <c r="ATU24" s="303"/>
      <c r="ATV24" s="303"/>
      <c r="ATW24" s="303"/>
      <c r="ATX24" s="303"/>
      <c r="ATY24" s="303"/>
      <c r="ATZ24" s="303"/>
      <c r="AUA24" s="303"/>
      <c r="AUB24" s="303"/>
      <c r="AUC24" s="303"/>
      <c r="AUD24" s="303"/>
      <c r="AUE24" s="303"/>
      <c r="AUF24" s="303"/>
      <c r="AUG24" s="303"/>
      <c r="AUH24" s="303"/>
      <c r="AUI24" s="303"/>
      <c r="AUJ24" s="303"/>
      <c r="AUK24" s="303"/>
      <c r="AUL24" s="303"/>
      <c r="AUM24" s="303"/>
      <c r="AUN24" s="303"/>
      <c r="AUO24" s="303"/>
      <c r="AUP24" s="303"/>
      <c r="AUQ24" s="303"/>
      <c r="AUR24" s="303"/>
      <c r="AUS24" s="303"/>
      <c r="AUT24" s="303"/>
      <c r="AUU24" s="303"/>
      <c r="AUV24" s="303"/>
      <c r="AUW24" s="303"/>
      <c r="AUX24" s="303"/>
      <c r="AUY24" s="303"/>
      <c r="AUZ24" s="303"/>
      <c r="AVA24" s="303"/>
      <c r="AVB24" s="303"/>
      <c r="AVC24" s="303"/>
      <c r="AVD24" s="303"/>
      <c r="AVE24" s="303"/>
      <c r="AVF24" s="303"/>
      <c r="AVG24" s="303"/>
      <c r="AVH24" s="303"/>
      <c r="AVI24" s="303"/>
      <c r="AVJ24" s="303"/>
      <c r="AVK24" s="303"/>
      <c r="AVL24" s="303"/>
      <c r="AVM24" s="303"/>
      <c r="AVN24" s="303"/>
      <c r="AVO24" s="303"/>
      <c r="AVP24" s="303"/>
      <c r="AVQ24" s="303"/>
      <c r="AVR24" s="303"/>
      <c r="AVS24" s="303"/>
      <c r="AVT24" s="303"/>
      <c r="AVU24" s="303"/>
      <c r="AVV24" s="303"/>
      <c r="AVW24" s="303"/>
      <c r="AVX24" s="303"/>
      <c r="AVY24" s="303"/>
      <c r="AVZ24" s="303"/>
      <c r="AWA24" s="303"/>
      <c r="AWB24" s="303"/>
      <c r="AWC24" s="303"/>
      <c r="AWD24" s="303"/>
      <c r="AWE24" s="303"/>
      <c r="AWF24" s="303"/>
      <c r="AWG24" s="303"/>
      <c r="AWH24" s="303"/>
      <c r="AWI24" s="303"/>
      <c r="AWJ24" s="303"/>
      <c r="AWK24" s="303"/>
      <c r="AWL24" s="303"/>
      <c r="AWM24" s="303"/>
      <c r="AWN24" s="303"/>
      <c r="AWO24" s="303"/>
      <c r="AWP24" s="303"/>
      <c r="AWQ24" s="303"/>
      <c r="AWR24" s="303"/>
      <c r="AWS24" s="303"/>
      <c r="AWT24" s="303"/>
      <c r="AWU24" s="303"/>
      <c r="AWV24" s="303"/>
      <c r="AWW24" s="303"/>
      <c r="AWX24" s="303"/>
      <c r="AWY24" s="303"/>
      <c r="AWZ24" s="303"/>
      <c r="AXA24" s="303"/>
      <c r="AXB24" s="303"/>
      <c r="AXC24" s="303"/>
      <c r="AXD24" s="303"/>
      <c r="AXE24" s="303"/>
      <c r="AXF24" s="303"/>
      <c r="AXG24" s="303"/>
      <c r="AXH24" s="303"/>
      <c r="AXI24" s="303"/>
      <c r="AXJ24" s="303"/>
      <c r="AXK24" s="303"/>
      <c r="AXL24" s="303"/>
      <c r="AXM24" s="303"/>
      <c r="AXN24" s="303"/>
      <c r="AXO24" s="303"/>
      <c r="AXP24" s="303"/>
      <c r="AXQ24" s="303"/>
      <c r="AXR24" s="303"/>
      <c r="AXS24" s="303"/>
      <c r="AXT24" s="303"/>
      <c r="AXU24" s="303"/>
      <c r="AXV24" s="303"/>
      <c r="AXW24" s="303"/>
      <c r="AXX24" s="303"/>
      <c r="AXY24" s="303"/>
      <c r="AXZ24" s="303"/>
      <c r="AYA24" s="303"/>
      <c r="AYB24" s="303"/>
      <c r="AYC24" s="303"/>
      <c r="AYD24" s="303"/>
      <c r="AYE24" s="303"/>
      <c r="AYF24" s="303"/>
      <c r="AYG24" s="303"/>
      <c r="AYH24" s="303"/>
    </row>
    <row r="25" spans="1:1334" x14ac:dyDescent="0.25">
      <c r="A25" s="304" t="s">
        <v>1342</v>
      </c>
      <c r="B25" s="298" t="s">
        <v>1319</v>
      </c>
      <c r="C25" s="303"/>
      <c r="D25" s="303"/>
      <c r="E25" s="303"/>
      <c r="F25" s="303"/>
      <c r="G25" s="303"/>
      <c r="H25" s="303"/>
      <c r="I25" s="303"/>
      <c r="J25" s="303"/>
      <c r="K25" s="303"/>
      <c r="L25" s="303"/>
      <c r="M25" s="303"/>
      <c r="N25" s="303"/>
      <c r="O25" s="303"/>
      <c r="P25" s="303"/>
      <c r="Q25" s="303"/>
      <c r="R25" s="303"/>
      <c r="S25" s="303"/>
      <c r="T25" s="303"/>
      <c r="U25" s="303"/>
      <c r="V25" s="303"/>
      <c r="W25" s="303"/>
      <c r="X25" s="303"/>
      <c r="Y25" s="303"/>
      <c r="Z25" s="303"/>
      <c r="AA25" s="303"/>
      <c r="AB25" s="303"/>
      <c r="AC25" s="303"/>
      <c r="AD25" s="303"/>
      <c r="AE25" s="303"/>
      <c r="AF25" s="303"/>
      <c r="AG25" s="303"/>
      <c r="AH25" s="303"/>
      <c r="AI25" s="303"/>
      <c r="AJ25" s="303"/>
      <c r="AK25" s="303"/>
      <c r="AL25" s="303"/>
      <c r="AM25" s="303"/>
      <c r="AN25" s="303"/>
      <c r="AO25" s="303"/>
      <c r="AP25" s="303"/>
      <c r="AQ25" s="303"/>
      <c r="AR25" s="303"/>
      <c r="AS25" s="303"/>
      <c r="AT25" s="303"/>
      <c r="AU25" s="303"/>
      <c r="AV25" s="303"/>
      <c r="AW25" s="303"/>
      <c r="AX25" s="303"/>
      <c r="AY25" s="303"/>
      <c r="AZ25" s="303"/>
      <c r="BA25" s="303"/>
      <c r="BB25" s="303"/>
      <c r="BC25" s="303"/>
      <c r="BD25" s="303"/>
      <c r="BE25" s="303"/>
      <c r="BF25" s="303"/>
      <c r="BG25" s="303"/>
      <c r="BH25" s="303"/>
      <c r="BI25" s="303"/>
      <c r="BJ25" s="303"/>
      <c r="BK25" s="303"/>
      <c r="BL25" s="303"/>
      <c r="BM25" s="303"/>
      <c r="BN25" s="303"/>
      <c r="BO25" s="303"/>
      <c r="BP25" s="303"/>
      <c r="BQ25" s="303"/>
      <c r="BR25" s="303"/>
      <c r="BS25" s="303"/>
      <c r="BT25" s="303"/>
      <c r="BU25" s="303"/>
      <c r="BV25" s="303"/>
      <c r="BW25" s="303"/>
      <c r="BX25" s="303"/>
      <c r="BY25" s="303"/>
      <c r="BZ25" s="303"/>
      <c r="CA25" s="303"/>
      <c r="CB25" s="303"/>
      <c r="CC25" s="303"/>
      <c r="CD25" s="303"/>
      <c r="CE25" s="303"/>
      <c r="CF25" s="303"/>
      <c r="CG25" s="303"/>
      <c r="CH25" s="303"/>
      <c r="CI25" s="303"/>
      <c r="CJ25" s="303"/>
      <c r="CK25" s="303"/>
      <c r="CL25" s="303"/>
      <c r="CM25" s="303"/>
      <c r="CN25" s="303"/>
      <c r="CO25" s="303"/>
      <c r="CP25" s="303"/>
      <c r="CQ25" s="303"/>
      <c r="CR25" s="303"/>
      <c r="CS25" s="303"/>
      <c r="CT25" s="303"/>
      <c r="CU25" s="303"/>
      <c r="CV25" s="303"/>
      <c r="CW25" s="303"/>
      <c r="CX25" s="303"/>
      <c r="CY25" s="303"/>
      <c r="CZ25" s="303"/>
      <c r="DA25" s="303"/>
      <c r="DB25" s="303"/>
      <c r="DC25" s="303"/>
      <c r="DD25" s="303"/>
      <c r="DE25" s="303"/>
      <c r="DF25" s="303"/>
      <c r="DG25" s="303"/>
      <c r="DH25" s="303"/>
      <c r="DI25" s="303"/>
      <c r="DJ25" s="303"/>
      <c r="DK25" s="303"/>
      <c r="DL25" s="303"/>
      <c r="DM25" s="303"/>
      <c r="DN25" s="303"/>
      <c r="DO25" s="303"/>
      <c r="DP25" s="303"/>
      <c r="DQ25" s="303"/>
      <c r="DR25" s="303"/>
      <c r="DS25" s="303"/>
      <c r="DT25" s="303"/>
      <c r="DU25" s="303"/>
      <c r="DV25" s="303"/>
      <c r="DW25" s="303"/>
      <c r="DX25" s="303"/>
      <c r="DY25" s="303"/>
      <c r="DZ25" s="303"/>
      <c r="EA25" s="303"/>
      <c r="EB25" s="303"/>
      <c r="EC25" s="303"/>
      <c r="ED25" s="303"/>
      <c r="EE25" s="303"/>
      <c r="EF25" s="303"/>
      <c r="EG25" s="303"/>
      <c r="EH25" s="303"/>
      <c r="EI25" s="303"/>
      <c r="EJ25" s="303"/>
      <c r="EK25" s="303"/>
      <c r="EL25" s="303"/>
      <c r="EM25" s="303"/>
      <c r="EN25" s="303"/>
      <c r="EO25" s="303"/>
      <c r="EP25" s="303"/>
      <c r="EQ25" s="303"/>
      <c r="ER25" s="303"/>
      <c r="ES25" s="303"/>
      <c r="ET25" s="303"/>
      <c r="EU25" s="303"/>
      <c r="EV25" s="303"/>
      <c r="EW25" s="303"/>
      <c r="EX25" s="303"/>
      <c r="EY25" s="303"/>
      <c r="EZ25" s="303"/>
      <c r="FA25" s="303"/>
      <c r="FB25" s="303"/>
      <c r="FC25" s="303"/>
      <c r="FD25" s="303"/>
      <c r="FE25" s="303"/>
      <c r="FF25" s="303"/>
      <c r="FG25" s="303"/>
      <c r="FH25" s="303"/>
      <c r="FI25" s="303"/>
      <c r="FJ25" s="303"/>
      <c r="FK25" s="303"/>
      <c r="FL25" s="303"/>
      <c r="FM25" s="303"/>
      <c r="FN25" s="303"/>
      <c r="FO25" s="303"/>
      <c r="FP25" s="303"/>
      <c r="FQ25" s="303"/>
      <c r="FR25" s="303"/>
      <c r="FS25" s="303"/>
      <c r="FT25" s="303"/>
      <c r="FU25" s="303"/>
      <c r="FV25" s="303"/>
      <c r="FW25" s="303"/>
      <c r="FX25" s="303"/>
      <c r="FY25" s="303"/>
      <c r="FZ25" s="303"/>
      <c r="GA25" s="303"/>
      <c r="GB25" s="303"/>
      <c r="GC25" s="303"/>
      <c r="GD25" s="303"/>
      <c r="GE25" s="303"/>
      <c r="GF25" s="303"/>
      <c r="GG25" s="303"/>
      <c r="GH25" s="303"/>
      <c r="GI25" s="303"/>
      <c r="GJ25" s="303"/>
      <c r="GK25" s="303"/>
      <c r="GL25" s="303"/>
      <c r="GM25" s="303"/>
      <c r="GN25" s="303"/>
      <c r="GO25" s="303"/>
      <c r="GP25" s="303"/>
      <c r="GQ25" s="303"/>
      <c r="GR25" s="303"/>
      <c r="GS25" s="303"/>
      <c r="GT25" s="303"/>
      <c r="GU25" s="303"/>
      <c r="GV25" s="303"/>
      <c r="GW25" s="303"/>
      <c r="GX25" s="303"/>
      <c r="GY25" s="303"/>
      <c r="GZ25" s="303"/>
      <c r="HA25" s="303"/>
      <c r="HB25" s="303"/>
      <c r="HC25" s="303"/>
      <c r="HD25" s="303"/>
      <c r="HE25" s="303"/>
      <c r="HF25" s="303"/>
      <c r="HG25" s="303"/>
      <c r="HH25" s="303"/>
      <c r="HI25" s="303"/>
      <c r="HJ25" s="303"/>
      <c r="HK25" s="303"/>
      <c r="HL25" s="303"/>
      <c r="HM25" s="303"/>
      <c r="HN25" s="303"/>
      <c r="HO25" s="303"/>
      <c r="HP25" s="303"/>
      <c r="HQ25" s="303"/>
      <c r="HR25" s="303"/>
      <c r="HS25" s="303"/>
      <c r="HT25" s="303"/>
      <c r="HU25" s="303"/>
      <c r="HV25" s="303"/>
      <c r="HW25" s="303"/>
      <c r="HX25" s="303"/>
      <c r="HY25" s="303"/>
      <c r="HZ25" s="303"/>
      <c r="IA25" s="303"/>
      <c r="IB25" s="303"/>
      <c r="IC25" s="303"/>
      <c r="ID25" s="303"/>
      <c r="IE25" s="303"/>
      <c r="IF25" s="303"/>
      <c r="IG25" s="303"/>
      <c r="IH25" s="303"/>
      <c r="II25" s="303"/>
      <c r="IJ25" s="303"/>
      <c r="IK25" s="303"/>
      <c r="IL25" s="303"/>
      <c r="IM25" s="303"/>
      <c r="IN25" s="303"/>
      <c r="IO25" s="303"/>
      <c r="IP25" s="303"/>
      <c r="IQ25" s="303"/>
      <c r="IR25" s="303"/>
      <c r="IS25" s="303"/>
      <c r="IT25" s="303"/>
      <c r="IU25" s="303"/>
      <c r="IV25" s="303"/>
      <c r="IW25" s="303"/>
      <c r="IX25" s="303"/>
      <c r="IY25" s="303"/>
      <c r="IZ25" s="303"/>
      <c r="JA25" s="303"/>
      <c r="JB25" s="303"/>
      <c r="JC25" s="303"/>
      <c r="JD25" s="303"/>
      <c r="JE25" s="303"/>
      <c r="JF25" s="303"/>
      <c r="JG25" s="303"/>
      <c r="JH25" s="303"/>
      <c r="JI25" s="303"/>
      <c r="JJ25" s="303"/>
      <c r="JK25" s="303"/>
      <c r="JL25" s="303"/>
      <c r="JM25" s="303"/>
      <c r="JN25" s="303"/>
      <c r="JO25" s="303"/>
      <c r="JP25" s="303"/>
      <c r="JQ25" s="303"/>
      <c r="JR25" s="303"/>
      <c r="JS25" s="303"/>
      <c r="JT25" s="303"/>
      <c r="JU25" s="303"/>
      <c r="JV25" s="303"/>
      <c r="JW25" s="303"/>
      <c r="JX25" s="303"/>
      <c r="JY25" s="303"/>
      <c r="JZ25" s="303"/>
      <c r="KA25" s="303"/>
      <c r="KB25" s="303"/>
      <c r="KC25" s="303"/>
      <c r="KD25" s="303"/>
      <c r="KE25" s="303"/>
      <c r="KF25" s="303"/>
      <c r="KG25" s="303"/>
      <c r="KH25" s="303"/>
      <c r="KI25" s="303"/>
      <c r="KJ25" s="303"/>
      <c r="KK25" s="303"/>
      <c r="KL25" s="303"/>
      <c r="KM25" s="303"/>
      <c r="KN25" s="303"/>
      <c r="KO25" s="303"/>
      <c r="KP25" s="303"/>
      <c r="KQ25" s="303"/>
      <c r="KR25" s="303"/>
      <c r="KS25" s="303"/>
      <c r="KT25" s="303"/>
      <c r="KU25" s="303"/>
      <c r="KV25" s="303"/>
      <c r="KW25" s="303"/>
      <c r="KX25" s="303"/>
      <c r="KY25" s="303"/>
      <c r="KZ25" s="303"/>
      <c r="LA25" s="303"/>
      <c r="LB25" s="303"/>
      <c r="LC25" s="303"/>
      <c r="LD25" s="303"/>
      <c r="LE25" s="303"/>
      <c r="LF25" s="303"/>
      <c r="LG25" s="303"/>
      <c r="LH25" s="303"/>
      <c r="LI25" s="303"/>
      <c r="LJ25" s="303"/>
      <c r="LK25" s="303"/>
      <c r="LL25" s="303"/>
      <c r="LM25" s="303"/>
      <c r="LN25" s="303"/>
      <c r="LO25" s="303"/>
      <c r="LP25" s="303"/>
      <c r="LQ25" s="303"/>
      <c r="LR25" s="303"/>
      <c r="LS25" s="303"/>
      <c r="LT25" s="303"/>
      <c r="LU25" s="303"/>
      <c r="LV25" s="303"/>
      <c r="LW25" s="303"/>
      <c r="LX25" s="303"/>
      <c r="LY25" s="303"/>
      <c r="LZ25" s="303"/>
      <c r="MA25" s="303"/>
      <c r="MB25" s="303"/>
      <c r="MC25" s="303"/>
      <c r="MD25" s="303"/>
      <c r="ME25" s="303"/>
      <c r="MF25" s="303"/>
      <c r="MG25" s="303"/>
      <c r="MH25" s="303"/>
      <c r="MI25" s="303"/>
      <c r="MJ25" s="303"/>
      <c r="MK25" s="303"/>
      <c r="ML25" s="303"/>
      <c r="MM25" s="303"/>
      <c r="MN25" s="303"/>
      <c r="MO25" s="303"/>
      <c r="MP25" s="303"/>
      <c r="MQ25" s="303"/>
      <c r="MR25" s="303"/>
      <c r="MS25" s="303"/>
      <c r="MT25" s="303"/>
      <c r="MU25" s="303"/>
      <c r="MV25" s="303"/>
      <c r="MW25" s="303"/>
      <c r="MX25" s="303"/>
      <c r="MY25" s="303"/>
      <c r="MZ25" s="303"/>
      <c r="NA25" s="303"/>
      <c r="NB25" s="303"/>
      <c r="NC25" s="303"/>
      <c r="ND25" s="303"/>
      <c r="NE25" s="303"/>
      <c r="NF25" s="303"/>
      <c r="NG25" s="303"/>
      <c r="NH25" s="303"/>
      <c r="NI25" s="303"/>
      <c r="NJ25" s="303"/>
      <c r="NK25" s="303"/>
      <c r="NL25" s="303"/>
      <c r="NM25" s="303"/>
      <c r="NN25" s="303"/>
      <c r="NO25" s="303"/>
      <c r="NP25" s="303"/>
      <c r="NQ25" s="303"/>
      <c r="NR25" s="303"/>
      <c r="NS25" s="303"/>
      <c r="NT25" s="303"/>
      <c r="NU25" s="303"/>
      <c r="NV25" s="303"/>
      <c r="NW25" s="303"/>
      <c r="NX25" s="303"/>
      <c r="NY25" s="303"/>
      <c r="NZ25" s="303"/>
      <c r="OA25" s="303"/>
      <c r="OB25" s="303"/>
      <c r="OC25" s="303"/>
      <c r="OD25" s="303"/>
      <c r="OE25" s="303"/>
      <c r="OF25" s="303"/>
      <c r="OG25" s="303"/>
      <c r="OH25" s="303"/>
      <c r="OI25" s="303"/>
      <c r="OJ25" s="303"/>
      <c r="OK25" s="303"/>
      <c r="OL25" s="303"/>
      <c r="OM25" s="303"/>
      <c r="ON25" s="303"/>
      <c r="OO25" s="303"/>
      <c r="OP25" s="303"/>
      <c r="OQ25" s="303"/>
      <c r="OR25" s="303"/>
      <c r="OS25" s="303"/>
      <c r="OT25" s="303"/>
      <c r="OU25" s="303"/>
      <c r="OV25" s="303"/>
      <c r="OW25" s="303"/>
      <c r="OX25" s="303"/>
      <c r="OY25" s="303"/>
      <c r="OZ25" s="303"/>
      <c r="PA25" s="303"/>
      <c r="PB25" s="303"/>
      <c r="PC25" s="303"/>
      <c r="PD25" s="303"/>
      <c r="PE25" s="303"/>
      <c r="PF25" s="303"/>
      <c r="PG25" s="303"/>
      <c r="PH25" s="303"/>
      <c r="PI25" s="303"/>
      <c r="PJ25" s="303"/>
      <c r="PK25" s="303"/>
      <c r="PL25" s="303"/>
      <c r="PM25" s="303"/>
      <c r="PN25" s="303"/>
      <c r="PO25" s="303"/>
      <c r="PP25" s="303"/>
      <c r="PQ25" s="303"/>
      <c r="PR25" s="303"/>
      <c r="PS25" s="303"/>
      <c r="PT25" s="303"/>
      <c r="PU25" s="303"/>
      <c r="PV25" s="303"/>
      <c r="PW25" s="303"/>
      <c r="PX25" s="303"/>
      <c r="PY25" s="303"/>
      <c r="PZ25" s="303"/>
      <c r="QA25" s="303"/>
      <c r="QB25" s="303"/>
      <c r="QC25" s="303"/>
      <c r="QD25" s="303"/>
      <c r="QE25" s="303"/>
      <c r="QF25" s="303"/>
      <c r="QG25" s="303"/>
      <c r="QH25" s="303"/>
      <c r="QI25" s="303"/>
      <c r="QJ25" s="303"/>
      <c r="QK25" s="303"/>
      <c r="QL25" s="303"/>
      <c r="QM25" s="303"/>
      <c r="QN25" s="303"/>
      <c r="QO25" s="303"/>
      <c r="QP25" s="303"/>
      <c r="QQ25" s="303"/>
      <c r="QR25" s="303"/>
      <c r="QS25" s="303"/>
      <c r="QT25" s="303"/>
      <c r="QU25" s="303"/>
      <c r="QV25" s="303"/>
      <c r="QW25" s="303"/>
      <c r="QX25" s="303"/>
      <c r="QY25" s="303"/>
      <c r="QZ25" s="303"/>
      <c r="RA25" s="303"/>
      <c r="RB25" s="303"/>
      <c r="RC25" s="303"/>
      <c r="RD25" s="303"/>
      <c r="RE25" s="303"/>
      <c r="RF25" s="303"/>
      <c r="RG25" s="303"/>
      <c r="RH25" s="303"/>
      <c r="RI25" s="303"/>
      <c r="RJ25" s="303"/>
      <c r="RK25" s="303"/>
      <c r="RL25" s="303"/>
      <c r="RM25" s="303"/>
      <c r="RN25" s="303"/>
      <c r="RO25" s="303"/>
      <c r="RP25" s="303"/>
      <c r="RQ25" s="303"/>
      <c r="RR25" s="303"/>
      <c r="RS25" s="303"/>
      <c r="RT25" s="303"/>
      <c r="RU25" s="303"/>
      <c r="RV25" s="303"/>
      <c r="RW25" s="303"/>
      <c r="RX25" s="303"/>
      <c r="RY25" s="303"/>
      <c r="RZ25" s="303"/>
      <c r="SA25" s="303"/>
      <c r="SB25" s="303"/>
      <c r="SC25" s="303"/>
      <c r="SD25" s="303"/>
      <c r="SE25" s="303"/>
      <c r="SF25" s="303"/>
      <c r="SG25" s="303"/>
      <c r="SH25" s="303"/>
      <c r="SI25" s="303"/>
      <c r="SJ25" s="303"/>
      <c r="SK25" s="303"/>
      <c r="SL25" s="303"/>
      <c r="SM25" s="303"/>
      <c r="SN25" s="303"/>
      <c r="SO25" s="303"/>
      <c r="SP25" s="303"/>
      <c r="SQ25" s="303"/>
      <c r="SR25" s="303"/>
      <c r="SS25" s="303"/>
      <c r="ST25" s="303"/>
      <c r="SU25" s="303"/>
      <c r="SV25" s="303"/>
      <c r="SW25" s="303"/>
      <c r="SX25" s="303"/>
      <c r="SY25" s="303"/>
      <c r="SZ25" s="303"/>
      <c r="TA25" s="303"/>
      <c r="TB25" s="303"/>
      <c r="TC25" s="303"/>
      <c r="TD25" s="303"/>
      <c r="TE25" s="303"/>
      <c r="TF25" s="303"/>
      <c r="TG25" s="303"/>
      <c r="TH25" s="303"/>
      <c r="TI25" s="303"/>
      <c r="TJ25" s="303"/>
      <c r="TK25" s="303"/>
      <c r="TL25" s="303"/>
      <c r="TM25" s="303"/>
      <c r="TN25" s="303"/>
      <c r="TO25" s="303"/>
      <c r="TP25" s="303"/>
      <c r="TQ25" s="303"/>
      <c r="TR25" s="303"/>
      <c r="TS25" s="303"/>
      <c r="TT25" s="303"/>
      <c r="TU25" s="303"/>
      <c r="TV25" s="303"/>
      <c r="TW25" s="303"/>
      <c r="TX25" s="303"/>
      <c r="TY25" s="303"/>
      <c r="TZ25" s="303"/>
      <c r="UA25" s="303"/>
      <c r="UB25" s="303"/>
      <c r="UC25" s="303"/>
      <c r="UD25" s="303"/>
      <c r="UE25" s="303"/>
      <c r="UF25" s="303"/>
      <c r="UG25" s="303"/>
      <c r="UH25" s="303"/>
      <c r="UI25" s="303"/>
      <c r="UJ25" s="303"/>
      <c r="UK25" s="303"/>
      <c r="UL25" s="303"/>
      <c r="UM25" s="303"/>
      <c r="UN25" s="303"/>
      <c r="UO25" s="303"/>
      <c r="UP25" s="303"/>
      <c r="UQ25" s="303"/>
      <c r="UR25" s="303"/>
      <c r="US25" s="303"/>
      <c r="UT25" s="303"/>
      <c r="UU25" s="303"/>
      <c r="UV25" s="303"/>
      <c r="UW25" s="303"/>
      <c r="UX25" s="303"/>
      <c r="UY25" s="303"/>
      <c r="UZ25" s="303"/>
      <c r="VA25" s="303"/>
      <c r="VB25" s="303"/>
      <c r="VC25" s="303"/>
      <c r="VD25" s="303"/>
      <c r="VE25" s="303"/>
      <c r="VF25" s="303"/>
      <c r="VG25" s="303"/>
      <c r="VH25" s="303"/>
      <c r="VI25" s="303"/>
      <c r="VJ25" s="303"/>
      <c r="VK25" s="303"/>
      <c r="VL25" s="303"/>
      <c r="VM25" s="303"/>
      <c r="VN25" s="303"/>
      <c r="VO25" s="303"/>
      <c r="VP25" s="303"/>
      <c r="VQ25" s="303"/>
      <c r="VR25" s="303"/>
      <c r="VS25" s="303"/>
      <c r="VT25" s="303"/>
      <c r="VU25" s="303"/>
      <c r="VV25" s="303"/>
      <c r="VW25" s="303"/>
      <c r="VX25" s="303"/>
      <c r="VY25" s="303"/>
      <c r="VZ25" s="303"/>
      <c r="WA25" s="303"/>
      <c r="WB25" s="303"/>
      <c r="WC25" s="303"/>
      <c r="WD25" s="303"/>
      <c r="WE25" s="303"/>
      <c r="WF25" s="303"/>
      <c r="WG25" s="303"/>
      <c r="WH25" s="303"/>
      <c r="WI25" s="303"/>
      <c r="WJ25" s="303"/>
      <c r="WK25" s="303"/>
      <c r="WL25" s="303"/>
      <c r="WM25" s="303"/>
      <c r="WN25" s="303"/>
      <c r="WO25" s="303"/>
      <c r="WP25" s="303"/>
      <c r="WQ25" s="303"/>
      <c r="WR25" s="303"/>
      <c r="WS25" s="303"/>
      <c r="WT25" s="303"/>
      <c r="WU25" s="303"/>
      <c r="WV25" s="303"/>
      <c r="WW25" s="303"/>
      <c r="WX25" s="303"/>
      <c r="WY25" s="303"/>
      <c r="WZ25" s="303"/>
      <c r="XA25" s="303"/>
      <c r="XB25" s="303"/>
      <c r="XC25" s="303"/>
      <c r="XD25" s="303"/>
      <c r="XE25" s="303"/>
      <c r="XF25" s="303"/>
      <c r="XG25" s="303"/>
      <c r="XH25" s="303"/>
      <c r="XI25" s="303"/>
      <c r="XJ25" s="303"/>
      <c r="XK25" s="303"/>
      <c r="XL25" s="303"/>
      <c r="XM25" s="303"/>
      <c r="XN25" s="303"/>
      <c r="XO25" s="303"/>
      <c r="XP25" s="303"/>
      <c r="XQ25" s="303"/>
      <c r="XR25" s="303"/>
      <c r="XS25" s="303"/>
      <c r="XT25" s="303"/>
      <c r="XU25" s="303"/>
      <c r="XV25" s="303"/>
      <c r="XW25" s="303"/>
      <c r="XX25" s="303"/>
      <c r="XY25" s="303"/>
      <c r="XZ25" s="303"/>
      <c r="YA25" s="303"/>
      <c r="YB25" s="303"/>
      <c r="YC25" s="303"/>
      <c r="YD25" s="303"/>
      <c r="YE25" s="303"/>
      <c r="YF25" s="303"/>
      <c r="YG25" s="303"/>
      <c r="YH25" s="303"/>
      <c r="YI25" s="303"/>
      <c r="YJ25" s="303"/>
      <c r="YK25" s="303"/>
      <c r="YL25" s="303"/>
      <c r="YM25" s="303"/>
      <c r="YN25" s="303"/>
      <c r="YO25" s="303"/>
      <c r="YP25" s="303"/>
      <c r="YQ25" s="303"/>
      <c r="YR25" s="303"/>
      <c r="YS25" s="303"/>
      <c r="YT25" s="303"/>
      <c r="YU25" s="303"/>
      <c r="YV25" s="303"/>
      <c r="YW25" s="303"/>
      <c r="YX25" s="303"/>
      <c r="YY25" s="303"/>
      <c r="YZ25" s="303"/>
      <c r="ZA25" s="303"/>
      <c r="ZB25" s="303"/>
      <c r="ZC25" s="303"/>
      <c r="ZD25" s="303"/>
      <c r="ZE25" s="303"/>
      <c r="ZF25" s="303"/>
      <c r="ZG25" s="303"/>
      <c r="ZH25" s="303"/>
      <c r="ZI25" s="303"/>
      <c r="ZJ25" s="303"/>
      <c r="ZK25" s="303"/>
      <c r="ZL25" s="303"/>
      <c r="ZM25" s="303"/>
      <c r="ZN25" s="303"/>
      <c r="ZO25" s="303"/>
      <c r="ZP25" s="303"/>
      <c r="ZQ25" s="303"/>
      <c r="ZR25" s="303"/>
      <c r="ZS25" s="303"/>
      <c r="ZT25" s="303"/>
      <c r="ZU25" s="303"/>
      <c r="ZV25" s="303"/>
      <c r="ZW25" s="303"/>
      <c r="ZX25" s="303"/>
      <c r="ZY25" s="303"/>
      <c r="ZZ25" s="303"/>
      <c r="AAA25" s="303"/>
      <c r="AAB25" s="303"/>
      <c r="AAC25" s="303"/>
      <c r="AAD25" s="303"/>
      <c r="AAE25" s="303"/>
      <c r="AAF25" s="303"/>
      <c r="AAG25" s="303"/>
      <c r="AAH25" s="303"/>
      <c r="AAI25" s="303"/>
      <c r="AAJ25" s="303"/>
      <c r="AAK25" s="303"/>
      <c r="AAL25" s="303"/>
      <c r="AAM25" s="303"/>
      <c r="AAN25" s="303"/>
      <c r="AAO25" s="303"/>
      <c r="AAP25" s="303"/>
      <c r="AAQ25" s="303"/>
      <c r="AAR25" s="303"/>
      <c r="AAS25" s="303"/>
      <c r="AAT25" s="303"/>
      <c r="AAU25" s="303"/>
      <c r="AAV25" s="303"/>
      <c r="AAW25" s="303"/>
      <c r="AAX25" s="303"/>
      <c r="AAY25" s="303"/>
      <c r="AAZ25" s="303"/>
      <c r="ABA25" s="303"/>
      <c r="ABB25" s="303"/>
      <c r="ABC25" s="303"/>
      <c r="ABD25" s="303"/>
      <c r="ABE25" s="303"/>
      <c r="ABF25" s="303"/>
      <c r="ABG25" s="303"/>
      <c r="ABH25" s="303"/>
      <c r="ABI25" s="303"/>
      <c r="ABJ25" s="303"/>
      <c r="ABK25" s="303"/>
      <c r="ABL25" s="303"/>
      <c r="ABM25" s="303"/>
      <c r="ABN25" s="303"/>
      <c r="ABO25" s="303"/>
      <c r="ABP25" s="303"/>
      <c r="ABQ25" s="303"/>
      <c r="ABR25" s="303"/>
      <c r="ABS25" s="303"/>
      <c r="ABT25" s="303"/>
      <c r="ABU25" s="303"/>
      <c r="ABV25" s="303"/>
      <c r="ABW25" s="303"/>
      <c r="ABX25" s="303"/>
      <c r="ABY25" s="303"/>
      <c r="ABZ25" s="303"/>
      <c r="ACA25" s="303"/>
      <c r="ACB25" s="303"/>
      <c r="ACC25" s="303"/>
      <c r="ACD25" s="303"/>
      <c r="ACE25" s="303"/>
      <c r="ACF25" s="303"/>
      <c r="ACG25" s="303"/>
      <c r="ACH25" s="303"/>
      <c r="ACI25" s="303"/>
      <c r="ACJ25" s="303"/>
      <c r="ACK25" s="303"/>
      <c r="ACL25" s="303"/>
      <c r="ACM25" s="303"/>
      <c r="ACN25" s="303"/>
      <c r="ACO25" s="303"/>
      <c r="ACP25" s="303"/>
      <c r="ACQ25" s="303"/>
      <c r="ACR25" s="303"/>
      <c r="ACS25" s="303"/>
      <c r="ACT25" s="303"/>
      <c r="ACU25" s="303"/>
      <c r="ACV25" s="303"/>
      <c r="ACW25" s="303"/>
      <c r="ACX25" s="303"/>
      <c r="ACY25" s="303"/>
      <c r="ACZ25" s="303"/>
      <c r="ADA25" s="303"/>
      <c r="ADB25" s="303"/>
      <c r="ADC25" s="303"/>
      <c r="ADD25" s="303"/>
      <c r="ADE25" s="303"/>
      <c r="ADF25" s="303"/>
      <c r="ADG25" s="303"/>
      <c r="ADH25" s="303"/>
      <c r="ADI25" s="303"/>
      <c r="ADJ25" s="303"/>
      <c r="ADK25" s="303"/>
      <c r="ADL25" s="303"/>
      <c r="ADM25" s="303"/>
      <c r="ADN25" s="303"/>
      <c r="ADO25" s="303"/>
      <c r="ADP25" s="303"/>
      <c r="ADQ25" s="303"/>
      <c r="ADR25" s="303"/>
      <c r="ADS25" s="303"/>
      <c r="ADT25" s="303"/>
      <c r="ADU25" s="303"/>
      <c r="ADV25" s="303"/>
      <c r="ADW25" s="303"/>
      <c r="ADX25" s="303"/>
      <c r="ADY25" s="303"/>
      <c r="ADZ25" s="303"/>
      <c r="AEA25" s="303"/>
      <c r="AEB25" s="303"/>
      <c r="AEC25" s="303"/>
      <c r="AED25" s="303"/>
      <c r="AEE25" s="303"/>
      <c r="AEF25" s="303"/>
      <c r="AEG25" s="303"/>
      <c r="AEH25" s="303"/>
      <c r="AEI25" s="303"/>
      <c r="AEJ25" s="303"/>
      <c r="AEK25" s="303"/>
      <c r="AEL25" s="303"/>
      <c r="AEM25" s="303"/>
      <c r="AEN25" s="303"/>
      <c r="AEO25" s="303"/>
      <c r="AEP25" s="303"/>
      <c r="AEQ25" s="303"/>
      <c r="AER25" s="303"/>
      <c r="AES25" s="303"/>
      <c r="AET25" s="303"/>
      <c r="AEU25" s="303"/>
      <c r="AEV25" s="303"/>
      <c r="AEW25" s="303"/>
      <c r="AEX25" s="303"/>
      <c r="AEY25" s="303"/>
      <c r="AEZ25" s="303"/>
      <c r="AFA25" s="303"/>
      <c r="AFB25" s="303"/>
      <c r="AFC25" s="303"/>
      <c r="AFD25" s="303"/>
      <c r="AFE25" s="303"/>
      <c r="AFF25" s="303"/>
      <c r="AFG25" s="303"/>
      <c r="AFH25" s="303"/>
      <c r="AFI25" s="303"/>
      <c r="AFJ25" s="303"/>
      <c r="AFK25" s="303"/>
      <c r="AFL25" s="303"/>
      <c r="AFM25" s="303"/>
      <c r="AFN25" s="303"/>
      <c r="AFO25" s="303"/>
      <c r="AFP25" s="303"/>
      <c r="AFQ25" s="303"/>
      <c r="AFR25" s="303"/>
      <c r="AFS25" s="303"/>
      <c r="AFT25" s="303"/>
      <c r="AFU25" s="303"/>
      <c r="AFV25" s="303"/>
      <c r="AFW25" s="303"/>
      <c r="AFX25" s="303"/>
      <c r="AFY25" s="303"/>
      <c r="AFZ25" s="303"/>
      <c r="AGA25" s="303"/>
      <c r="AGB25" s="303"/>
      <c r="AGC25" s="303"/>
      <c r="AGD25" s="303"/>
      <c r="AGE25" s="303"/>
      <c r="AGF25" s="303"/>
      <c r="AGG25" s="303"/>
      <c r="AGH25" s="303"/>
      <c r="AGI25" s="303"/>
      <c r="AGJ25" s="303"/>
      <c r="AGK25" s="303"/>
      <c r="AGL25" s="303"/>
      <c r="AGM25" s="303"/>
      <c r="AGN25" s="303"/>
      <c r="AGO25" s="303"/>
      <c r="AGP25" s="303"/>
      <c r="AGQ25" s="303"/>
      <c r="AGR25" s="303"/>
      <c r="AGS25" s="303"/>
      <c r="AGT25" s="303"/>
      <c r="AGU25" s="303"/>
      <c r="AGV25" s="303"/>
      <c r="AGW25" s="303"/>
      <c r="AGX25" s="303"/>
      <c r="AGY25" s="303"/>
      <c r="AGZ25" s="303"/>
      <c r="AHA25" s="303"/>
      <c r="AHB25" s="303"/>
      <c r="AHC25" s="303"/>
      <c r="AHD25" s="303"/>
      <c r="AHE25" s="303"/>
      <c r="AHF25" s="303"/>
      <c r="AHG25" s="303"/>
      <c r="AHH25" s="303"/>
      <c r="AHI25" s="303"/>
      <c r="AHJ25" s="303"/>
      <c r="AHK25" s="303"/>
      <c r="AHL25" s="303"/>
      <c r="AHM25" s="303"/>
      <c r="AHN25" s="303"/>
      <c r="AHO25" s="303"/>
      <c r="AHP25" s="303"/>
      <c r="AHQ25" s="303"/>
      <c r="AHR25" s="303"/>
      <c r="AHS25" s="303"/>
      <c r="AHT25" s="303"/>
      <c r="AHU25" s="303"/>
      <c r="AHV25" s="303"/>
      <c r="AHW25" s="303"/>
      <c r="AHX25" s="303"/>
      <c r="AHY25" s="303"/>
      <c r="AHZ25" s="303"/>
      <c r="AIA25" s="303"/>
      <c r="AIB25" s="303"/>
      <c r="AIC25" s="303"/>
      <c r="AID25" s="303"/>
      <c r="AIE25" s="303"/>
      <c r="AIF25" s="303"/>
      <c r="AIG25" s="303"/>
      <c r="AIH25" s="303"/>
      <c r="AII25" s="303"/>
      <c r="AIJ25" s="303"/>
      <c r="AIK25" s="303"/>
      <c r="AIL25" s="303"/>
      <c r="AIM25" s="303"/>
      <c r="AIN25" s="303"/>
      <c r="AIO25" s="303"/>
      <c r="AIP25" s="303"/>
      <c r="AIQ25" s="303"/>
      <c r="AIR25" s="303"/>
      <c r="AIS25" s="303"/>
      <c r="AIT25" s="303"/>
      <c r="AIU25" s="303"/>
      <c r="AIV25" s="303"/>
      <c r="AIW25" s="303"/>
      <c r="AIX25" s="303"/>
      <c r="AIY25" s="303"/>
      <c r="AIZ25" s="303"/>
      <c r="AJA25" s="303"/>
      <c r="AJB25" s="303"/>
      <c r="AJC25" s="303"/>
      <c r="AJD25" s="303"/>
      <c r="AJE25" s="303"/>
      <c r="AJF25" s="303"/>
      <c r="AJG25" s="303"/>
      <c r="AJH25" s="303"/>
      <c r="AJI25" s="303"/>
      <c r="AJJ25" s="303"/>
      <c r="AJK25" s="303"/>
      <c r="AJL25" s="303"/>
      <c r="AJM25" s="303"/>
      <c r="AJN25" s="303"/>
      <c r="AJO25" s="303"/>
      <c r="AJP25" s="303"/>
      <c r="AJQ25" s="303"/>
      <c r="AJR25" s="303"/>
      <c r="AJS25" s="303"/>
      <c r="AJT25" s="303"/>
      <c r="AJU25" s="303"/>
      <c r="AJV25" s="303"/>
      <c r="AJW25" s="303"/>
      <c r="AJX25" s="303"/>
      <c r="AJY25" s="303"/>
      <c r="AJZ25" s="303"/>
      <c r="AKA25" s="303"/>
      <c r="AKB25" s="303"/>
      <c r="AKC25" s="303"/>
      <c r="AKD25" s="303"/>
      <c r="AKE25" s="303"/>
      <c r="AKF25" s="303"/>
      <c r="AKG25" s="303"/>
      <c r="AKH25" s="303"/>
      <c r="AKI25" s="303"/>
      <c r="AKJ25" s="303"/>
      <c r="AKK25" s="303"/>
      <c r="AKL25" s="303"/>
      <c r="AKM25" s="303"/>
      <c r="AKN25" s="303"/>
      <c r="AKO25" s="303"/>
      <c r="AKP25" s="303"/>
      <c r="AKQ25" s="303"/>
      <c r="AKR25" s="303"/>
      <c r="AKS25" s="303"/>
      <c r="AKT25" s="303"/>
      <c r="AKU25" s="303"/>
      <c r="AKV25" s="303"/>
      <c r="AKW25" s="303"/>
      <c r="AKX25" s="303"/>
      <c r="AKY25" s="303"/>
      <c r="AKZ25" s="303"/>
      <c r="ALA25" s="303"/>
      <c r="ALB25" s="303"/>
      <c r="ALC25" s="303"/>
      <c r="ALD25" s="303"/>
      <c r="ALE25" s="303"/>
      <c r="ALF25" s="303"/>
      <c r="ALG25" s="303"/>
      <c r="ALH25" s="303"/>
      <c r="ALI25" s="303"/>
      <c r="ALJ25" s="303"/>
      <c r="ALK25" s="303"/>
      <c r="ALL25" s="303"/>
      <c r="ALM25" s="303"/>
      <c r="ALN25" s="303"/>
      <c r="ALO25" s="303"/>
      <c r="ALP25" s="303"/>
      <c r="ALQ25" s="303"/>
      <c r="ALR25" s="303"/>
      <c r="ALS25" s="303"/>
      <c r="ALT25" s="303"/>
      <c r="ALU25" s="303"/>
      <c r="ALV25" s="303"/>
      <c r="ALW25" s="303"/>
      <c r="ALX25" s="303"/>
      <c r="ALY25" s="303"/>
      <c r="ALZ25" s="303"/>
      <c r="AMA25" s="303"/>
      <c r="AMB25" s="303"/>
      <c r="AMC25" s="303"/>
      <c r="AMD25" s="303"/>
      <c r="AME25" s="303"/>
      <c r="AMF25" s="303"/>
      <c r="AMG25" s="303"/>
      <c r="AMH25" s="303"/>
      <c r="AMI25" s="303"/>
      <c r="AMJ25" s="303"/>
      <c r="AMK25" s="303"/>
      <c r="AML25" s="303"/>
      <c r="AMM25" s="303"/>
      <c r="AMN25" s="303"/>
      <c r="AMO25" s="303"/>
      <c r="AMP25" s="303"/>
      <c r="AMQ25" s="303"/>
      <c r="AMR25" s="303"/>
      <c r="AMS25" s="303"/>
      <c r="AMT25" s="303"/>
      <c r="AMU25" s="303"/>
      <c r="AMV25" s="303"/>
      <c r="AMW25" s="303"/>
      <c r="AMX25" s="303"/>
      <c r="AMY25" s="303"/>
      <c r="AMZ25" s="303"/>
      <c r="ANA25" s="303"/>
      <c r="ANB25" s="303"/>
      <c r="ANC25" s="303"/>
      <c r="AND25" s="303"/>
      <c r="ANE25" s="303"/>
      <c r="ANF25" s="303"/>
      <c r="ANG25" s="303"/>
      <c r="ANH25" s="303"/>
      <c r="ANI25" s="303"/>
      <c r="ANJ25" s="303"/>
      <c r="ANK25" s="303"/>
      <c r="ANL25" s="303"/>
      <c r="ANM25" s="303"/>
      <c r="ANN25" s="303"/>
      <c r="ANO25" s="303"/>
      <c r="ANP25" s="303"/>
      <c r="ANQ25" s="303"/>
      <c r="ANR25" s="303"/>
      <c r="ANS25" s="303"/>
      <c r="ANT25" s="303"/>
      <c r="ANU25" s="303"/>
      <c r="ANV25" s="303"/>
      <c r="ANW25" s="303"/>
      <c r="ANX25" s="303"/>
      <c r="ANY25" s="303"/>
      <c r="ANZ25" s="303"/>
      <c r="AOA25" s="303"/>
      <c r="AOB25" s="303"/>
      <c r="AOC25" s="303"/>
      <c r="AOD25" s="303"/>
      <c r="AOE25" s="303"/>
      <c r="AOF25" s="303"/>
      <c r="AOG25" s="303"/>
      <c r="AOH25" s="303"/>
      <c r="AOI25" s="303"/>
      <c r="AOJ25" s="303"/>
      <c r="AOK25" s="303"/>
      <c r="AOL25" s="303"/>
      <c r="AOM25" s="303"/>
      <c r="AON25" s="303"/>
      <c r="AOO25" s="303"/>
      <c r="AOP25" s="303"/>
      <c r="AOQ25" s="303"/>
      <c r="AOR25" s="303"/>
      <c r="AOS25" s="303"/>
      <c r="AOT25" s="303"/>
      <c r="AOU25" s="303"/>
      <c r="AOV25" s="303"/>
      <c r="AOW25" s="303"/>
      <c r="AOX25" s="303"/>
      <c r="AOY25" s="303"/>
      <c r="AOZ25" s="303"/>
      <c r="APA25" s="303"/>
      <c r="APB25" s="303"/>
      <c r="APC25" s="303"/>
      <c r="APD25" s="303"/>
      <c r="APE25" s="303"/>
      <c r="APF25" s="303"/>
      <c r="APG25" s="303"/>
      <c r="APH25" s="303"/>
      <c r="API25" s="303"/>
      <c r="APJ25" s="303"/>
      <c r="APK25" s="303"/>
      <c r="APL25" s="303"/>
      <c r="APM25" s="303"/>
      <c r="APN25" s="303"/>
      <c r="APO25" s="303"/>
      <c r="APP25" s="303"/>
      <c r="APQ25" s="303"/>
      <c r="APR25" s="303"/>
      <c r="APS25" s="303"/>
      <c r="APT25" s="303"/>
      <c r="APU25" s="303"/>
      <c r="APV25" s="303"/>
      <c r="APW25" s="303"/>
      <c r="APX25" s="303"/>
      <c r="APY25" s="303"/>
      <c r="APZ25" s="303"/>
      <c r="AQA25" s="303"/>
      <c r="AQB25" s="303"/>
      <c r="AQC25" s="303"/>
      <c r="AQD25" s="303"/>
      <c r="AQE25" s="303"/>
      <c r="AQF25" s="303"/>
      <c r="AQG25" s="303"/>
      <c r="AQH25" s="303"/>
      <c r="AQI25" s="303"/>
      <c r="AQJ25" s="303"/>
      <c r="AQK25" s="303"/>
      <c r="AQL25" s="303"/>
      <c r="AQM25" s="303"/>
      <c r="AQN25" s="303"/>
      <c r="AQO25" s="303"/>
      <c r="AQP25" s="303"/>
      <c r="AQQ25" s="303"/>
      <c r="AQR25" s="303"/>
      <c r="AQS25" s="303"/>
      <c r="AQT25" s="303"/>
      <c r="AQU25" s="303"/>
      <c r="AQV25" s="303"/>
      <c r="AQW25" s="303"/>
      <c r="AQX25" s="303"/>
      <c r="AQY25" s="303"/>
      <c r="AQZ25" s="303"/>
      <c r="ARA25" s="303"/>
      <c r="ARB25" s="303"/>
      <c r="ARC25" s="303"/>
      <c r="ARD25" s="303"/>
      <c r="ARE25" s="303"/>
      <c r="ARF25" s="303"/>
      <c r="ARG25" s="303"/>
      <c r="ARH25" s="303"/>
      <c r="ARI25" s="303"/>
      <c r="ARJ25" s="303"/>
      <c r="ARK25" s="303"/>
      <c r="ARL25" s="303"/>
      <c r="ARM25" s="303"/>
      <c r="ARN25" s="303"/>
      <c r="ARO25" s="303"/>
      <c r="ARP25" s="303"/>
      <c r="ARQ25" s="303"/>
      <c r="ARR25" s="303"/>
      <c r="ARS25" s="303"/>
      <c r="ART25" s="303"/>
      <c r="ARU25" s="303"/>
      <c r="ARV25" s="303"/>
      <c r="ARW25" s="303"/>
      <c r="ARX25" s="303"/>
      <c r="ARY25" s="303"/>
      <c r="ARZ25" s="303"/>
      <c r="ASA25" s="303"/>
      <c r="ASB25" s="303"/>
      <c r="ASC25" s="303"/>
      <c r="ASD25" s="303"/>
      <c r="ASE25" s="303"/>
      <c r="ASF25" s="303"/>
      <c r="ASG25" s="303"/>
      <c r="ASH25" s="303"/>
      <c r="ASI25" s="303"/>
      <c r="ASJ25" s="303"/>
      <c r="ASK25" s="303"/>
      <c r="ASL25" s="303"/>
      <c r="ASM25" s="303"/>
      <c r="ASN25" s="303"/>
      <c r="ASO25" s="303"/>
      <c r="ASP25" s="303"/>
      <c r="ASQ25" s="303"/>
      <c r="ASR25" s="303"/>
      <c r="ASS25" s="303"/>
      <c r="AST25" s="303"/>
      <c r="ASU25" s="303"/>
      <c r="ASV25" s="303"/>
      <c r="ASW25" s="303"/>
      <c r="ASX25" s="303"/>
      <c r="ASY25" s="303"/>
      <c r="ASZ25" s="303"/>
      <c r="ATA25" s="303"/>
      <c r="ATB25" s="303"/>
      <c r="ATC25" s="303"/>
      <c r="ATD25" s="303"/>
      <c r="ATE25" s="303"/>
      <c r="ATF25" s="303"/>
      <c r="ATG25" s="303"/>
      <c r="ATH25" s="303"/>
      <c r="ATI25" s="303"/>
      <c r="ATJ25" s="303"/>
      <c r="ATK25" s="303"/>
      <c r="ATL25" s="303"/>
      <c r="ATM25" s="303"/>
      <c r="ATN25" s="303"/>
      <c r="ATO25" s="303"/>
      <c r="ATP25" s="303"/>
      <c r="ATQ25" s="303"/>
      <c r="ATR25" s="303"/>
      <c r="ATS25" s="303"/>
      <c r="ATT25" s="303"/>
      <c r="ATU25" s="303"/>
      <c r="ATV25" s="303"/>
      <c r="ATW25" s="303"/>
      <c r="ATX25" s="303"/>
      <c r="ATY25" s="303"/>
      <c r="ATZ25" s="303"/>
      <c r="AUA25" s="303"/>
      <c r="AUB25" s="303"/>
      <c r="AUC25" s="303"/>
      <c r="AUD25" s="303"/>
      <c r="AUE25" s="303"/>
      <c r="AUF25" s="303"/>
      <c r="AUG25" s="303"/>
      <c r="AUH25" s="303"/>
      <c r="AUI25" s="303"/>
      <c r="AUJ25" s="303"/>
      <c r="AUK25" s="303"/>
      <c r="AUL25" s="303"/>
      <c r="AUM25" s="303"/>
      <c r="AUN25" s="303"/>
      <c r="AUO25" s="303"/>
      <c r="AUP25" s="303"/>
      <c r="AUQ25" s="303"/>
      <c r="AUR25" s="303"/>
      <c r="AUS25" s="303"/>
      <c r="AUT25" s="303"/>
      <c r="AUU25" s="303"/>
      <c r="AUV25" s="303"/>
      <c r="AUW25" s="303"/>
      <c r="AUX25" s="303"/>
      <c r="AUY25" s="303"/>
      <c r="AUZ25" s="303"/>
      <c r="AVA25" s="303"/>
      <c r="AVB25" s="303"/>
      <c r="AVC25" s="303"/>
      <c r="AVD25" s="303"/>
      <c r="AVE25" s="303"/>
      <c r="AVF25" s="303"/>
      <c r="AVG25" s="303"/>
      <c r="AVH25" s="303"/>
      <c r="AVI25" s="303"/>
      <c r="AVJ25" s="303"/>
      <c r="AVK25" s="303"/>
      <c r="AVL25" s="303"/>
      <c r="AVM25" s="303"/>
      <c r="AVN25" s="303"/>
      <c r="AVO25" s="303"/>
      <c r="AVP25" s="303"/>
      <c r="AVQ25" s="303"/>
      <c r="AVR25" s="303"/>
      <c r="AVS25" s="303"/>
      <c r="AVT25" s="303"/>
      <c r="AVU25" s="303"/>
      <c r="AVV25" s="303"/>
      <c r="AVW25" s="303"/>
      <c r="AVX25" s="303"/>
      <c r="AVY25" s="303"/>
      <c r="AVZ25" s="303"/>
      <c r="AWA25" s="303"/>
      <c r="AWB25" s="303"/>
      <c r="AWC25" s="303"/>
      <c r="AWD25" s="303"/>
      <c r="AWE25" s="303"/>
      <c r="AWF25" s="303"/>
      <c r="AWG25" s="303"/>
      <c r="AWH25" s="303"/>
      <c r="AWI25" s="303"/>
      <c r="AWJ25" s="303"/>
      <c r="AWK25" s="303"/>
      <c r="AWL25" s="303"/>
      <c r="AWM25" s="303"/>
      <c r="AWN25" s="303"/>
      <c r="AWO25" s="303"/>
      <c r="AWP25" s="303"/>
      <c r="AWQ25" s="303"/>
      <c r="AWR25" s="303"/>
      <c r="AWS25" s="303"/>
      <c r="AWT25" s="303"/>
      <c r="AWU25" s="303"/>
      <c r="AWV25" s="303"/>
      <c r="AWW25" s="303"/>
      <c r="AWX25" s="303"/>
      <c r="AWY25" s="303"/>
      <c r="AWZ25" s="303"/>
      <c r="AXA25" s="303"/>
      <c r="AXB25" s="303"/>
      <c r="AXC25" s="303"/>
      <c r="AXD25" s="303"/>
      <c r="AXE25" s="303"/>
      <c r="AXF25" s="303"/>
      <c r="AXG25" s="303"/>
      <c r="AXH25" s="303"/>
      <c r="AXI25" s="303"/>
      <c r="AXJ25" s="303"/>
      <c r="AXK25" s="303"/>
      <c r="AXL25" s="303"/>
      <c r="AXM25" s="303"/>
      <c r="AXN25" s="303"/>
      <c r="AXO25" s="303"/>
      <c r="AXP25" s="303"/>
      <c r="AXQ25" s="303"/>
      <c r="AXR25" s="303"/>
      <c r="AXS25" s="303"/>
      <c r="AXT25" s="303"/>
      <c r="AXU25" s="303"/>
      <c r="AXV25" s="303"/>
      <c r="AXW25" s="303"/>
      <c r="AXX25" s="303"/>
      <c r="AXY25" s="303"/>
      <c r="AXZ25" s="303"/>
      <c r="AYA25" s="303"/>
      <c r="AYB25" s="303"/>
      <c r="AYC25" s="303"/>
      <c r="AYD25" s="303"/>
      <c r="AYE25" s="303"/>
      <c r="AYF25" s="303"/>
      <c r="AYG25" s="303"/>
      <c r="AYH25" s="303"/>
    </row>
    <row r="26" spans="1:1334" x14ac:dyDescent="0.25">
      <c r="A26" s="304" t="s">
        <v>1283</v>
      </c>
      <c r="B26" s="298" t="s">
        <v>1304</v>
      </c>
      <c r="C26" s="303"/>
      <c r="D26" s="303"/>
      <c r="E26" s="303"/>
      <c r="F26" s="303"/>
      <c r="G26" s="303"/>
      <c r="H26" s="303"/>
      <c r="I26" s="303"/>
      <c r="J26" s="303"/>
      <c r="K26" s="303"/>
      <c r="L26" s="303"/>
      <c r="M26" s="303"/>
      <c r="N26" s="303"/>
      <c r="O26" s="303"/>
      <c r="P26" s="303"/>
      <c r="Q26" s="303"/>
      <c r="R26" s="303"/>
      <c r="S26" s="303"/>
      <c r="T26" s="303"/>
      <c r="U26" s="303"/>
      <c r="V26" s="303"/>
      <c r="W26" s="303"/>
      <c r="X26" s="303"/>
      <c r="Y26" s="303"/>
      <c r="Z26" s="303"/>
      <c r="AA26" s="303"/>
      <c r="AB26" s="303"/>
      <c r="AC26" s="303"/>
      <c r="AD26" s="303"/>
      <c r="AE26" s="303"/>
      <c r="AF26" s="303"/>
      <c r="AG26" s="303"/>
      <c r="AH26" s="303"/>
      <c r="AI26" s="303"/>
      <c r="AJ26" s="303"/>
      <c r="AK26" s="303"/>
      <c r="AL26" s="303"/>
      <c r="AM26" s="303"/>
      <c r="AN26" s="303"/>
      <c r="AO26" s="303"/>
      <c r="AP26" s="303"/>
      <c r="AQ26" s="303"/>
      <c r="AR26" s="303"/>
      <c r="AS26" s="303"/>
      <c r="AT26" s="303"/>
      <c r="AU26" s="303"/>
      <c r="AV26" s="303"/>
      <c r="AW26" s="303"/>
      <c r="AX26" s="303"/>
      <c r="AY26" s="303"/>
      <c r="AZ26" s="303"/>
      <c r="BA26" s="303"/>
      <c r="BB26" s="303"/>
      <c r="BC26" s="303"/>
      <c r="BD26" s="303"/>
      <c r="BE26" s="303"/>
      <c r="BF26" s="303"/>
      <c r="BG26" s="303"/>
      <c r="BH26" s="303"/>
      <c r="BI26" s="303"/>
      <c r="BJ26" s="303"/>
      <c r="BK26" s="303"/>
      <c r="BL26" s="303"/>
      <c r="BM26" s="303"/>
      <c r="BN26" s="303"/>
      <c r="BO26" s="303"/>
      <c r="BP26" s="303"/>
      <c r="BQ26" s="303"/>
      <c r="BR26" s="303"/>
      <c r="BS26" s="303"/>
      <c r="BT26" s="303"/>
      <c r="BU26" s="303"/>
      <c r="BV26" s="303"/>
      <c r="BW26" s="303"/>
      <c r="BX26" s="303"/>
      <c r="BY26" s="303"/>
      <c r="BZ26" s="303"/>
      <c r="CA26" s="303"/>
      <c r="CB26" s="303"/>
      <c r="CC26" s="303"/>
      <c r="CD26" s="303"/>
      <c r="CE26" s="303"/>
      <c r="CF26" s="303"/>
      <c r="CG26" s="303"/>
      <c r="CH26" s="303"/>
      <c r="CI26" s="303"/>
      <c r="CJ26" s="303"/>
      <c r="CK26" s="303"/>
      <c r="CL26" s="303"/>
      <c r="CM26" s="303"/>
      <c r="CN26" s="303"/>
      <c r="CO26" s="303"/>
      <c r="CP26" s="303"/>
      <c r="CQ26" s="303"/>
      <c r="CR26" s="303"/>
      <c r="CS26" s="303"/>
      <c r="CT26" s="303"/>
      <c r="CU26" s="303"/>
      <c r="CV26" s="303"/>
      <c r="CW26" s="303"/>
      <c r="CX26" s="303"/>
      <c r="CY26" s="303"/>
      <c r="CZ26" s="303"/>
      <c r="DA26" s="303"/>
      <c r="DB26" s="303"/>
      <c r="DC26" s="303"/>
      <c r="DD26" s="303"/>
      <c r="DE26" s="303"/>
      <c r="DF26" s="303"/>
      <c r="DG26" s="303"/>
      <c r="DH26" s="303"/>
      <c r="DI26" s="303"/>
      <c r="DJ26" s="303"/>
      <c r="DK26" s="303"/>
      <c r="DL26" s="303"/>
      <c r="DM26" s="303"/>
      <c r="DN26" s="303"/>
      <c r="DO26" s="303"/>
      <c r="DP26" s="303"/>
      <c r="DQ26" s="303"/>
      <c r="DR26" s="303"/>
      <c r="DS26" s="303"/>
      <c r="DT26" s="303"/>
      <c r="DU26" s="303"/>
      <c r="DV26" s="303"/>
      <c r="DW26" s="303"/>
      <c r="DX26" s="303"/>
      <c r="DY26" s="303"/>
      <c r="DZ26" s="303"/>
      <c r="EA26" s="303"/>
      <c r="EB26" s="303"/>
      <c r="EC26" s="303"/>
      <c r="ED26" s="303"/>
      <c r="EE26" s="303"/>
      <c r="EF26" s="303"/>
      <c r="EG26" s="303"/>
      <c r="EH26" s="303"/>
      <c r="EI26" s="303"/>
      <c r="EJ26" s="303"/>
      <c r="EK26" s="303"/>
      <c r="EL26" s="303"/>
      <c r="EM26" s="303"/>
      <c r="EN26" s="303"/>
      <c r="EO26" s="303"/>
      <c r="EP26" s="303"/>
      <c r="EQ26" s="303"/>
      <c r="ER26" s="303"/>
      <c r="ES26" s="303"/>
      <c r="ET26" s="303"/>
      <c r="EU26" s="303"/>
      <c r="EV26" s="303"/>
      <c r="EW26" s="303"/>
      <c r="EX26" s="303"/>
      <c r="EY26" s="303"/>
      <c r="EZ26" s="303"/>
      <c r="FA26" s="303"/>
      <c r="FB26" s="303"/>
      <c r="FC26" s="303"/>
      <c r="FD26" s="303"/>
      <c r="FE26" s="303"/>
      <c r="FF26" s="303"/>
      <c r="FG26" s="303"/>
      <c r="FH26" s="303"/>
      <c r="FI26" s="303"/>
      <c r="FJ26" s="303"/>
      <c r="FK26" s="303"/>
      <c r="FL26" s="303"/>
      <c r="FM26" s="303"/>
      <c r="FN26" s="303"/>
      <c r="FO26" s="303"/>
      <c r="FP26" s="303"/>
      <c r="FQ26" s="303"/>
      <c r="FR26" s="303"/>
      <c r="FS26" s="303"/>
      <c r="FT26" s="303"/>
      <c r="FU26" s="303"/>
      <c r="FV26" s="303"/>
      <c r="FW26" s="303"/>
      <c r="FX26" s="303"/>
      <c r="FY26" s="303"/>
      <c r="FZ26" s="303"/>
      <c r="GA26" s="303"/>
      <c r="GB26" s="303"/>
      <c r="GC26" s="303"/>
      <c r="GD26" s="303"/>
      <c r="GE26" s="303"/>
      <c r="GF26" s="303"/>
      <c r="GG26" s="303"/>
      <c r="GH26" s="303"/>
      <c r="GI26" s="303"/>
      <c r="GJ26" s="303"/>
      <c r="GK26" s="303"/>
      <c r="GL26" s="303"/>
      <c r="GM26" s="303"/>
      <c r="GN26" s="303"/>
      <c r="GO26" s="303"/>
      <c r="GP26" s="303"/>
      <c r="GQ26" s="303"/>
      <c r="GR26" s="303"/>
      <c r="GS26" s="303"/>
      <c r="GT26" s="303"/>
      <c r="GU26" s="303"/>
      <c r="GV26" s="303"/>
      <c r="GW26" s="303"/>
      <c r="GX26" s="303"/>
      <c r="GY26" s="303"/>
      <c r="GZ26" s="303"/>
      <c r="HA26" s="303"/>
      <c r="HB26" s="303"/>
      <c r="HC26" s="303"/>
      <c r="HD26" s="303"/>
      <c r="HE26" s="303"/>
      <c r="HF26" s="303"/>
      <c r="HG26" s="303"/>
      <c r="HH26" s="303"/>
      <c r="HI26" s="303"/>
      <c r="HJ26" s="303"/>
      <c r="HK26" s="303"/>
      <c r="HL26" s="303"/>
      <c r="HM26" s="303"/>
      <c r="HN26" s="303"/>
      <c r="HO26" s="303"/>
      <c r="HP26" s="303"/>
      <c r="HQ26" s="303"/>
      <c r="HR26" s="303"/>
      <c r="HS26" s="303"/>
      <c r="HT26" s="303"/>
      <c r="HU26" s="303"/>
      <c r="HV26" s="303"/>
      <c r="HW26" s="303"/>
      <c r="HX26" s="303"/>
      <c r="HY26" s="303"/>
      <c r="HZ26" s="303"/>
      <c r="IA26" s="303"/>
      <c r="IB26" s="303"/>
      <c r="IC26" s="303"/>
      <c r="ID26" s="303"/>
      <c r="IE26" s="303"/>
      <c r="IF26" s="303"/>
      <c r="IG26" s="303"/>
      <c r="IH26" s="303"/>
      <c r="II26" s="303"/>
      <c r="IJ26" s="303"/>
      <c r="IK26" s="303"/>
      <c r="IL26" s="303"/>
      <c r="IM26" s="303"/>
      <c r="IN26" s="303"/>
      <c r="IO26" s="303"/>
      <c r="IP26" s="303"/>
      <c r="IQ26" s="303"/>
      <c r="IR26" s="303"/>
      <c r="IS26" s="303"/>
      <c r="IT26" s="303"/>
      <c r="IU26" s="303"/>
      <c r="IV26" s="303"/>
      <c r="IW26" s="303"/>
      <c r="IX26" s="303"/>
      <c r="IY26" s="303"/>
      <c r="IZ26" s="303"/>
      <c r="JA26" s="303"/>
      <c r="JB26" s="303"/>
      <c r="JC26" s="303"/>
      <c r="JD26" s="303"/>
      <c r="JE26" s="303"/>
      <c r="JF26" s="303"/>
      <c r="JG26" s="303"/>
      <c r="JH26" s="303"/>
      <c r="JI26" s="303"/>
      <c r="JJ26" s="303"/>
      <c r="JK26" s="303"/>
      <c r="JL26" s="303"/>
      <c r="JM26" s="303"/>
      <c r="JN26" s="303"/>
      <c r="JO26" s="303"/>
      <c r="JP26" s="303"/>
      <c r="JQ26" s="303"/>
      <c r="JR26" s="303"/>
      <c r="JS26" s="303"/>
      <c r="JT26" s="303"/>
      <c r="JU26" s="303"/>
      <c r="JV26" s="303"/>
      <c r="JW26" s="303"/>
      <c r="JX26" s="303"/>
      <c r="JY26" s="303"/>
      <c r="JZ26" s="303"/>
      <c r="KA26" s="303"/>
      <c r="KB26" s="303"/>
      <c r="KC26" s="303"/>
      <c r="KD26" s="303"/>
      <c r="KE26" s="303"/>
      <c r="KF26" s="303"/>
      <c r="KG26" s="303"/>
      <c r="KH26" s="303"/>
      <c r="KI26" s="303"/>
      <c r="KJ26" s="303"/>
      <c r="KK26" s="303"/>
      <c r="KL26" s="303"/>
      <c r="KM26" s="303"/>
      <c r="KN26" s="303"/>
      <c r="KO26" s="303"/>
      <c r="KP26" s="303"/>
      <c r="KQ26" s="303"/>
      <c r="KR26" s="303"/>
      <c r="KS26" s="303"/>
      <c r="KT26" s="303"/>
      <c r="KU26" s="303"/>
      <c r="KV26" s="303"/>
      <c r="KW26" s="303"/>
      <c r="KX26" s="303"/>
      <c r="KY26" s="303"/>
      <c r="KZ26" s="303"/>
      <c r="LA26" s="303"/>
      <c r="LB26" s="303"/>
      <c r="LC26" s="303"/>
      <c r="LD26" s="303"/>
      <c r="LE26" s="303"/>
      <c r="LF26" s="303"/>
      <c r="LG26" s="303"/>
      <c r="LH26" s="303"/>
      <c r="LI26" s="303"/>
      <c r="LJ26" s="303"/>
      <c r="LK26" s="303"/>
      <c r="LL26" s="303"/>
      <c r="LM26" s="303"/>
      <c r="LN26" s="303"/>
      <c r="LO26" s="303"/>
      <c r="LP26" s="303"/>
      <c r="LQ26" s="303"/>
      <c r="LR26" s="303"/>
      <c r="LS26" s="303"/>
      <c r="LT26" s="303"/>
      <c r="LU26" s="303"/>
      <c r="LV26" s="303"/>
      <c r="LW26" s="303"/>
      <c r="LX26" s="303"/>
      <c r="LY26" s="303"/>
      <c r="LZ26" s="303"/>
      <c r="MA26" s="303"/>
      <c r="MB26" s="303"/>
      <c r="MC26" s="303"/>
      <c r="MD26" s="303"/>
      <c r="ME26" s="303"/>
      <c r="MF26" s="303"/>
      <c r="MG26" s="303"/>
      <c r="MH26" s="303"/>
      <c r="MI26" s="303"/>
      <c r="MJ26" s="303"/>
      <c r="MK26" s="303"/>
      <c r="ML26" s="303"/>
      <c r="MM26" s="303"/>
      <c r="MN26" s="303"/>
      <c r="MO26" s="303"/>
      <c r="MP26" s="303"/>
      <c r="MQ26" s="303"/>
      <c r="MR26" s="303"/>
      <c r="MS26" s="303"/>
      <c r="MT26" s="303"/>
      <c r="MU26" s="303"/>
      <c r="MV26" s="303"/>
      <c r="MW26" s="303"/>
      <c r="MX26" s="303"/>
      <c r="MY26" s="303"/>
      <c r="MZ26" s="303"/>
      <c r="NA26" s="303"/>
      <c r="NB26" s="303"/>
      <c r="NC26" s="303"/>
      <c r="ND26" s="303"/>
      <c r="NE26" s="303"/>
      <c r="NF26" s="303"/>
      <c r="NG26" s="303"/>
      <c r="NH26" s="303"/>
      <c r="NI26" s="303"/>
      <c r="NJ26" s="303"/>
      <c r="NK26" s="303"/>
      <c r="NL26" s="303"/>
      <c r="NM26" s="303"/>
      <c r="NN26" s="303"/>
      <c r="NO26" s="303"/>
      <c r="NP26" s="303"/>
      <c r="NQ26" s="303"/>
      <c r="NR26" s="303"/>
      <c r="NS26" s="303"/>
      <c r="NT26" s="303"/>
      <c r="NU26" s="303"/>
      <c r="NV26" s="303"/>
      <c r="NW26" s="303"/>
      <c r="NX26" s="303"/>
      <c r="NY26" s="303"/>
      <c r="NZ26" s="303"/>
      <c r="OA26" s="303"/>
      <c r="OB26" s="303"/>
      <c r="OC26" s="303"/>
      <c r="OD26" s="303"/>
      <c r="OE26" s="303"/>
      <c r="OF26" s="303"/>
      <c r="OG26" s="303"/>
      <c r="OH26" s="303"/>
      <c r="OI26" s="303"/>
      <c r="OJ26" s="303"/>
      <c r="OK26" s="303"/>
      <c r="OL26" s="303"/>
      <c r="OM26" s="303"/>
      <c r="ON26" s="303"/>
      <c r="OO26" s="303"/>
      <c r="OP26" s="303"/>
      <c r="OQ26" s="303"/>
      <c r="OR26" s="303"/>
      <c r="OS26" s="303"/>
      <c r="OT26" s="303"/>
      <c r="OU26" s="303"/>
      <c r="OV26" s="303"/>
      <c r="OW26" s="303"/>
      <c r="OX26" s="303"/>
      <c r="OY26" s="303"/>
      <c r="OZ26" s="303"/>
      <c r="PA26" s="303"/>
      <c r="PB26" s="303"/>
      <c r="PC26" s="303"/>
      <c r="PD26" s="303"/>
      <c r="PE26" s="303"/>
      <c r="PF26" s="303"/>
      <c r="PG26" s="303"/>
      <c r="PH26" s="303"/>
      <c r="PI26" s="303"/>
      <c r="PJ26" s="303"/>
      <c r="PK26" s="303"/>
      <c r="PL26" s="303"/>
      <c r="PM26" s="303"/>
      <c r="PN26" s="303"/>
      <c r="PO26" s="303"/>
      <c r="PP26" s="303"/>
      <c r="PQ26" s="303"/>
      <c r="PR26" s="303"/>
      <c r="PS26" s="303"/>
      <c r="PT26" s="303"/>
      <c r="PU26" s="303"/>
      <c r="PV26" s="303"/>
      <c r="PW26" s="303"/>
      <c r="PX26" s="303"/>
      <c r="PY26" s="303"/>
      <c r="PZ26" s="303"/>
      <c r="QA26" s="303"/>
      <c r="QB26" s="303"/>
      <c r="QC26" s="303"/>
      <c r="QD26" s="303"/>
      <c r="QE26" s="303"/>
      <c r="QF26" s="303"/>
      <c r="QG26" s="303"/>
      <c r="QH26" s="303"/>
      <c r="QI26" s="303"/>
      <c r="QJ26" s="303"/>
      <c r="QK26" s="303"/>
      <c r="QL26" s="303"/>
      <c r="QM26" s="303"/>
      <c r="QN26" s="303"/>
      <c r="QO26" s="303"/>
      <c r="QP26" s="303"/>
      <c r="QQ26" s="303"/>
      <c r="QR26" s="303"/>
      <c r="QS26" s="303"/>
      <c r="QT26" s="303"/>
      <c r="QU26" s="303"/>
      <c r="QV26" s="303"/>
      <c r="QW26" s="303"/>
      <c r="QX26" s="303"/>
      <c r="QY26" s="303"/>
      <c r="QZ26" s="303"/>
      <c r="RA26" s="303"/>
      <c r="RB26" s="303"/>
      <c r="RC26" s="303"/>
      <c r="RD26" s="303"/>
      <c r="RE26" s="303"/>
      <c r="RF26" s="303"/>
      <c r="RG26" s="303"/>
      <c r="RH26" s="303"/>
      <c r="RI26" s="303"/>
      <c r="RJ26" s="303"/>
      <c r="RK26" s="303"/>
      <c r="RL26" s="303"/>
      <c r="RM26" s="303"/>
      <c r="RN26" s="303"/>
      <c r="RO26" s="303"/>
      <c r="RP26" s="303"/>
      <c r="RQ26" s="303"/>
      <c r="RR26" s="303"/>
      <c r="RS26" s="303"/>
      <c r="RT26" s="303"/>
      <c r="RU26" s="303"/>
      <c r="RV26" s="303"/>
      <c r="RW26" s="303"/>
      <c r="RX26" s="303"/>
      <c r="RY26" s="303"/>
      <c r="RZ26" s="303"/>
      <c r="SA26" s="303"/>
      <c r="SB26" s="303"/>
      <c r="SC26" s="303"/>
      <c r="SD26" s="303"/>
      <c r="SE26" s="303"/>
      <c r="SF26" s="303"/>
      <c r="SG26" s="303"/>
      <c r="SH26" s="303"/>
      <c r="SI26" s="303"/>
      <c r="SJ26" s="303"/>
      <c r="SK26" s="303"/>
      <c r="SL26" s="303"/>
      <c r="SM26" s="303"/>
      <c r="SN26" s="303"/>
      <c r="SO26" s="303"/>
      <c r="SP26" s="303"/>
      <c r="SQ26" s="303"/>
      <c r="SR26" s="303"/>
      <c r="SS26" s="303"/>
      <c r="ST26" s="303"/>
      <c r="SU26" s="303"/>
      <c r="SV26" s="303"/>
      <c r="SW26" s="303"/>
      <c r="SX26" s="303"/>
      <c r="SY26" s="303"/>
      <c r="SZ26" s="303"/>
      <c r="TA26" s="303"/>
      <c r="TB26" s="303"/>
      <c r="TC26" s="303"/>
      <c r="TD26" s="303"/>
      <c r="TE26" s="303"/>
      <c r="TF26" s="303"/>
      <c r="TG26" s="303"/>
      <c r="TH26" s="303"/>
      <c r="TI26" s="303"/>
      <c r="TJ26" s="303"/>
      <c r="TK26" s="303"/>
      <c r="TL26" s="303"/>
      <c r="TM26" s="303"/>
      <c r="TN26" s="303"/>
      <c r="TO26" s="303"/>
      <c r="TP26" s="303"/>
      <c r="TQ26" s="303"/>
      <c r="TR26" s="303"/>
      <c r="TS26" s="303"/>
      <c r="TT26" s="303"/>
      <c r="TU26" s="303"/>
      <c r="TV26" s="303"/>
      <c r="TW26" s="303"/>
      <c r="TX26" s="303"/>
      <c r="TY26" s="303"/>
      <c r="TZ26" s="303"/>
      <c r="UA26" s="303"/>
      <c r="UB26" s="303"/>
      <c r="UC26" s="303"/>
      <c r="UD26" s="303"/>
      <c r="UE26" s="303"/>
      <c r="UF26" s="303"/>
      <c r="UG26" s="303"/>
      <c r="UH26" s="303"/>
      <c r="UI26" s="303"/>
      <c r="UJ26" s="303"/>
      <c r="UK26" s="303"/>
      <c r="UL26" s="303"/>
      <c r="UM26" s="303"/>
      <c r="UN26" s="303"/>
      <c r="UO26" s="303"/>
      <c r="UP26" s="303"/>
      <c r="UQ26" s="303"/>
      <c r="UR26" s="303"/>
      <c r="US26" s="303"/>
      <c r="UT26" s="303"/>
      <c r="UU26" s="303"/>
      <c r="UV26" s="303"/>
      <c r="UW26" s="303"/>
      <c r="UX26" s="303"/>
      <c r="UY26" s="303"/>
      <c r="UZ26" s="303"/>
      <c r="VA26" s="303"/>
      <c r="VB26" s="303"/>
      <c r="VC26" s="303"/>
      <c r="VD26" s="303"/>
      <c r="VE26" s="303"/>
      <c r="VF26" s="303"/>
      <c r="VG26" s="303"/>
      <c r="VH26" s="303"/>
      <c r="VI26" s="303"/>
      <c r="VJ26" s="303"/>
      <c r="VK26" s="303"/>
      <c r="VL26" s="303"/>
      <c r="VM26" s="303"/>
      <c r="VN26" s="303"/>
      <c r="VO26" s="303"/>
      <c r="VP26" s="303"/>
      <c r="VQ26" s="303"/>
      <c r="VR26" s="303"/>
      <c r="VS26" s="303"/>
      <c r="VT26" s="303"/>
      <c r="VU26" s="303"/>
      <c r="VV26" s="303"/>
      <c r="VW26" s="303"/>
      <c r="VX26" s="303"/>
      <c r="VY26" s="303"/>
      <c r="VZ26" s="303"/>
      <c r="WA26" s="303"/>
      <c r="WB26" s="303"/>
      <c r="WC26" s="303"/>
      <c r="WD26" s="303"/>
      <c r="WE26" s="303"/>
      <c r="WF26" s="303"/>
      <c r="WG26" s="303"/>
      <c r="WH26" s="303"/>
      <c r="WI26" s="303"/>
      <c r="WJ26" s="303"/>
      <c r="WK26" s="303"/>
      <c r="WL26" s="303"/>
      <c r="WM26" s="303"/>
      <c r="WN26" s="303"/>
      <c r="WO26" s="303"/>
      <c r="WP26" s="303"/>
      <c r="WQ26" s="303"/>
      <c r="WR26" s="303"/>
      <c r="WS26" s="303"/>
      <c r="WT26" s="303"/>
      <c r="WU26" s="303"/>
      <c r="WV26" s="303"/>
      <c r="WW26" s="303"/>
      <c r="WX26" s="303"/>
      <c r="WY26" s="303"/>
      <c r="WZ26" s="303"/>
      <c r="XA26" s="303"/>
      <c r="XB26" s="303"/>
      <c r="XC26" s="303"/>
      <c r="XD26" s="303"/>
      <c r="XE26" s="303"/>
      <c r="XF26" s="303"/>
      <c r="XG26" s="303"/>
      <c r="XH26" s="303"/>
      <c r="XI26" s="303"/>
      <c r="XJ26" s="303"/>
      <c r="XK26" s="303"/>
      <c r="XL26" s="303"/>
      <c r="XM26" s="303"/>
      <c r="XN26" s="303"/>
      <c r="XO26" s="303"/>
      <c r="XP26" s="303"/>
      <c r="XQ26" s="303"/>
      <c r="XR26" s="303"/>
      <c r="XS26" s="303"/>
      <c r="XT26" s="303"/>
      <c r="XU26" s="303"/>
      <c r="XV26" s="303"/>
      <c r="XW26" s="303"/>
      <c r="XX26" s="303"/>
      <c r="XY26" s="303"/>
      <c r="XZ26" s="303"/>
      <c r="YA26" s="303"/>
      <c r="YB26" s="303"/>
      <c r="YC26" s="303"/>
      <c r="YD26" s="303"/>
      <c r="YE26" s="303"/>
      <c r="YF26" s="303"/>
      <c r="YG26" s="303"/>
      <c r="YH26" s="303"/>
      <c r="YI26" s="303"/>
      <c r="YJ26" s="303"/>
      <c r="YK26" s="303"/>
      <c r="YL26" s="303"/>
      <c r="YM26" s="303"/>
      <c r="YN26" s="303"/>
      <c r="YO26" s="303"/>
      <c r="YP26" s="303"/>
      <c r="YQ26" s="303"/>
      <c r="YR26" s="303"/>
      <c r="YS26" s="303"/>
      <c r="YT26" s="303"/>
      <c r="YU26" s="303"/>
      <c r="YV26" s="303"/>
      <c r="YW26" s="303"/>
      <c r="YX26" s="303"/>
      <c r="YY26" s="303"/>
      <c r="YZ26" s="303"/>
      <c r="ZA26" s="303"/>
      <c r="ZB26" s="303"/>
      <c r="ZC26" s="303"/>
      <c r="ZD26" s="303"/>
      <c r="ZE26" s="303"/>
      <c r="ZF26" s="303"/>
      <c r="ZG26" s="303"/>
      <c r="ZH26" s="303"/>
      <c r="ZI26" s="303"/>
      <c r="ZJ26" s="303"/>
      <c r="ZK26" s="303"/>
      <c r="ZL26" s="303"/>
      <c r="ZM26" s="303"/>
      <c r="ZN26" s="303"/>
      <c r="ZO26" s="303"/>
      <c r="ZP26" s="303"/>
      <c r="ZQ26" s="303"/>
      <c r="ZR26" s="303"/>
      <c r="ZS26" s="303"/>
      <c r="ZT26" s="303"/>
      <c r="ZU26" s="303"/>
      <c r="ZV26" s="303"/>
      <c r="ZW26" s="303"/>
      <c r="ZX26" s="303"/>
      <c r="ZY26" s="303"/>
      <c r="ZZ26" s="303"/>
      <c r="AAA26" s="303"/>
      <c r="AAB26" s="303"/>
      <c r="AAC26" s="303"/>
      <c r="AAD26" s="303"/>
      <c r="AAE26" s="303"/>
      <c r="AAF26" s="303"/>
      <c r="AAG26" s="303"/>
      <c r="AAH26" s="303"/>
      <c r="AAI26" s="303"/>
      <c r="AAJ26" s="303"/>
      <c r="AAK26" s="303"/>
      <c r="AAL26" s="303"/>
      <c r="AAM26" s="303"/>
      <c r="AAN26" s="303"/>
      <c r="AAO26" s="303"/>
      <c r="AAP26" s="303"/>
      <c r="AAQ26" s="303"/>
      <c r="AAR26" s="303"/>
      <c r="AAS26" s="303"/>
      <c r="AAT26" s="303"/>
      <c r="AAU26" s="303"/>
      <c r="AAV26" s="303"/>
      <c r="AAW26" s="303"/>
      <c r="AAX26" s="303"/>
      <c r="AAY26" s="303"/>
      <c r="AAZ26" s="303"/>
      <c r="ABA26" s="303"/>
      <c r="ABB26" s="303"/>
      <c r="ABC26" s="303"/>
      <c r="ABD26" s="303"/>
      <c r="ABE26" s="303"/>
      <c r="ABF26" s="303"/>
      <c r="ABG26" s="303"/>
      <c r="ABH26" s="303"/>
      <c r="ABI26" s="303"/>
      <c r="ABJ26" s="303"/>
      <c r="ABK26" s="303"/>
      <c r="ABL26" s="303"/>
      <c r="ABM26" s="303"/>
      <c r="ABN26" s="303"/>
      <c r="ABO26" s="303"/>
      <c r="ABP26" s="303"/>
      <c r="ABQ26" s="303"/>
      <c r="ABR26" s="303"/>
      <c r="ABS26" s="303"/>
      <c r="ABT26" s="303"/>
      <c r="ABU26" s="303"/>
      <c r="ABV26" s="303"/>
      <c r="ABW26" s="303"/>
      <c r="ABX26" s="303"/>
      <c r="ABY26" s="303"/>
      <c r="ABZ26" s="303"/>
      <c r="ACA26" s="303"/>
      <c r="ACB26" s="303"/>
      <c r="ACC26" s="303"/>
      <c r="ACD26" s="303"/>
      <c r="ACE26" s="303"/>
      <c r="ACF26" s="303"/>
      <c r="ACG26" s="303"/>
      <c r="ACH26" s="303"/>
      <c r="ACI26" s="303"/>
      <c r="ACJ26" s="303"/>
      <c r="ACK26" s="303"/>
      <c r="ACL26" s="303"/>
      <c r="ACM26" s="303"/>
      <c r="ACN26" s="303"/>
      <c r="ACO26" s="303"/>
      <c r="ACP26" s="303"/>
      <c r="ACQ26" s="303"/>
      <c r="ACR26" s="303"/>
      <c r="ACS26" s="303"/>
      <c r="ACT26" s="303"/>
      <c r="ACU26" s="303"/>
      <c r="ACV26" s="303"/>
      <c r="ACW26" s="303"/>
      <c r="ACX26" s="303"/>
      <c r="ACY26" s="303"/>
      <c r="ACZ26" s="303"/>
      <c r="ADA26" s="303"/>
      <c r="ADB26" s="303"/>
      <c r="ADC26" s="303"/>
      <c r="ADD26" s="303"/>
      <c r="ADE26" s="303"/>
      <c r="ADF26" s="303"/>
      <c r="ADG26" s="303"/>
      <c r="ADH26" s="303"/>
      <c r="ADI26" s="303"/>
      <c r="ADJ26" s="303"/>
      <c r="ADK26" s="303"/>
      <c r="ADL26" s="303"/>
      <c r="ADM26" s="303"/>
      <c r="ADN26" s="303"/>
      <c r="ADO26" s="303"/>
      <c r="ADP26" s="303"/>
      <c r="ADQ26" s="303"/>
      <c r="ADR26" s="303"/>
      <c r="ADS26" s="303"/>
      <c r="ADT26" s="303"/>
      <c r="ADU26" s="303"/>
      <c r="ADV26" s="303"/>
      <c r="ADW26" s="303"/>
      <c r="ADX26" s="303"/>
      <c r="ADY26" s="303"/>
      <c r="ADZ26" s="303"/>
      <c r="AEA26" s="303"/>
      <c r="AEB26" s="303"/>
      <c r="AEC26" s="303"/>
      <c r="AED26" s="303"/>
      <c r="AEE26" s="303"/>
      <c r="AEF26" s="303"/>
      <c r="AEG26" s="303"/>
      <c r="AEH26" s="303"/>
      <c r="AEI26" s="303"/>
      <c r="AEJ26" s="303"/>
      <c r="AEK26" s="303"/>
      <c r="AEL26" s="303"/>
      <c r="AEM26" s="303"/>
      <c r="AEN26" s="303"/>
      <c r="AEO26" s="303"/>
      <c r="AEP26" s="303"/>
      <c r="AEQ26" s="303"/>
      <c r="AER26" s="303"/>
      <c r="AES26" s="303"/>
      <c r="AET26" s="303"/>
      <c r="AEU26" s="303"/>
      <c r="AEV26" s="303"/>
      <c r="AEW26" s="303"/>
      <c r="AEX26" s="303"/>
      <c r="AEY26" s="303"/>
      <c r="AEZ26" s="303"/>
      <c r="AFA26" s="303"/>
      <c r="AFB26" s="303"/>
      <c r="AFC26" s="303"/>
      <c r="AFD26" s="303"/>
      <c r="AFE26" s="303"/>
      <c r="AFF26" s="303"/>
      <c r="AFG26" s="303"/>
      <c r="AFH26" s="303"/>
      <c r="AFI26" s="303"/>
      <c r="AFJ26" s="303"/>
      <c r="AFK26" s="303"/>
      <c r="AFL26" s="303"/>
      <c r="AFM26" s="303"/>
      <c r="AFN26" s="303"/>
      <c r="AFO26" s="303"/>
      <c r="AFP26" s="303"/>
      <c r="AFQ26" s="303"/>
      <c r="AFR26" s="303"/>
      <c r="AFS26" s="303"/>
      <c r="AFT26" s="303"/>
      <c r="AFU26" s="303"/>
      <c r="AFV26" s="303"/>
      <c r="AFW26" s="303"/>
      <c r="AFX26" s="303"/>
      <c r="AFY26" s="303"/>
      <c r="AFZ26" s="303"/>
      <c r="AGA26" s="303"/>
      <c r="AGB26" s="303"/>
      <c r="AGC26" s="303"/>
      <c r="AGD26" s="303"/>
      <c r="AGE26" s="303"/>
      <c r="AGF26" s="303"/>
      <c r="AGG26" s="303"/>
      <c r="AGH26" s="303"/>
      <c r="AGI26" s="303"/>
      <c r="AGJ26" s="303"/>
      <c r="AGK26" s="303"/>
      <c r="AGL26" s="303"/>
      <c r="AGM26" s="303"/>
      <c r="AGN26" s="303"/>
      <c r="AGO26" s="303"/>
      <c r="AGP26" s="303"/>
      <c r="AGQ26" s="303"/>
      <c r="AGR26" s="303"/>
      <c r="AGS26" s="303"/>
      <c r="AGT26" s="303"/>
      <c r="AGU26" s="303"/>
      <c r="AGV26" s="303"/>
      <c r="AGW26" s="303"/>
      <c r="AGX26" s="303"/>
      <c r="AGY26" s="303"/>
      <c r="AGZ26" s="303"/>
      <c r="AHA26" s="303"/>
      <c r="AHB26" s="303"/>
      <c r="AHC26" s="303"/>
      <c r="AHD26" s="303"/>
      <c r="AHE26" s="303"/>
      <c r="AHF26" s="303"/>
      <c r="AHG26" s="303"/>
      <c r="AHH26" s="303"/>
      <c r="AHI26" s="303"/>
      <c r="AHJ26" s="303"/>
      <c r="AHK26" s="303"/>
      <c r="AHL26" s="303"/>
      <c r="AHM26" s="303"/>
      <c r="AHN26" s="303"/>
      <c r="AHO26" s="303"/>
      <c r="AHP26" s="303"/>
      <c r="AHQ26" s="303"/>
      <c r="AHR26" s="303"/>
      <c r="AHS26" s="303"/>
      <c r="AHT26" s="303"/>
      <c r="AHU26" s="303"/>
      <c r="AHV26" s="303"/>
      <c r="AHW26" s="303"/>
      <c r="AHX26" s="303"/>
      <c r="AHY26" s="303"/>
      <c r="AHZ26" s="303"/>
      <c r="AIA26" s="303"/>
      <c r="AIB26" s="303"/>
      <c r="AIC26" s="303"/>
      <c r="AID26" s="303"/>
      <c r="AIE26" s="303"/>
      <c r="AIF26" s="303"/>
      <c r="AIG26" s="303"/>
      <c r="AIH26" s="303"/>
      <c r="AII26" s="303"/>
      <c r="AIJ26" s="303"/>
      <c r="AIK26" s="303"/>
      <c r="AIL26" s="303"/>
      <c r="AIM26" s="303"/>
      <c r="AIN26" s="303"/>
      <c r="AIO26" s="303"/>
      <c r="AIP26" s="303"/>
      <c r="AIQ26" s="303"/>
      <c r="AIR26" s="303"/>
      <c r="AIS26" s="303"/>
      <c r="AIT26" s="303"/>
      <c r="AIU26" s="303"/>
      <c r="AIV26" s="303"/>
      <c r="AIW26" s="303"/>
      <c r="AIX26" s="303"/>
      <c r="AIY26" s="303"/>
      <c r="AIZ26" s="303"/>
      <c r="AJA26" s="303"/>
      <c r="AJB26" s="303"/>
      <c r="AJC26" s="303"/>
      <c r="AJD26" s="303"/>
      <c r="AJE26" s="303"/>
      <c r="AJF26" s="303"/>
      <c r="AJG26" s="303"/>
      <c r="AJH26" s="303"/>
      <c r="AJI26" s="303"/>
      <c r="AJJ26" s="303"/>
      <c r="AJK26" s="303"/>
      <c r="AJL26" s="303"/>
      <c r="AJM26" s="303"/>
      <c r="AJN26" s="303"/>
      <c r="AJO26" s="303"/>
      <c r="AJP26" s="303"/>
      <c r="AJQ26" s="303"/>
      <c r="AJR26" s="303"/>
      <c r="AJS26" s="303"/>
      <c r="AJT26" s="303"/>
      <c r="AJU26" s="303"/>
      <c r="AJV26" s="303"/>
      <c r="AJW26" s="303"/>
      <c r="AJX26" s="303"/>
      <c r="AJY26" s="303"/>
      <c r="AJZ26" s="303"/>
      <c r="AKA26" s="303"/>
      <c r="AKB26" s="303"/>
      <c r="AKC26" s="303"/>
      <c r="AKD26" s="303"/>
      <c r="AKE26" s="303"/>
      <c r="AKF26" s="303"/>
      <c r="AKG26" s="303"/>
      <c r="AKH26" s="303"/>
      <c r="AKI26" s="303"/>
      <c r="AKJ26" s="303"/>
      <c r="AKK26" s="303"/>
      <c r="AKL26" s="303"/>
      <c r="AKM26" s="303"/>
      <c r="AKN26" s="303"/>
      <c r="AKO26" s="303"/>
      <c r="AKP26" s="303"/>
      <c r="AKQ26" s="303"/>
      <c r="AKR26" s="303"/>
      <c r="AKS26" s="303"/>
      <c r="AKT26" s="303"/>
      <c r="AKU26" s="303"/>
      <c r="AKV26" s="303"/>
      <c r="AKW26" s="303"/>
      <c r="AKX26" s="303"/>
      <c r="AKY26" s="303"/>
      <c r="AKZ26" s="303"/>
      <c r="ALA26" s="303"/>
      <c r="ALB26" s="303"/>
      <c r="ALC26" s="303"/>
      <c r="ALD26" s="303"/>
      <c r="ALE26" s="303"/>
      <c r="ALF26" s="303"/>
      <c r="ALG26" s="303"/>
      <c r="ALH26" s="303"/>
      <c r="ALI26" s="303"/>
      <c r="ALJ26" s="303"/>
      <c r="ALK26" s="303"/>
      <c r="ALL26" s="303"/>
      <c r="ALM26" s="303"/>
      <c r="ALN26" s="303"/>
      <c r="ALO26" s="303"/>
      <c r="ALP26" s="303"/>
      <c r="ALQ26" s="303"/>
      <c r="ALR26" s="303"/>
      <c r="ALS26" s="303"/>
      <c r="ALT26" s="303"/>
      <c r="ALU26" s="303"/>
      <c r="ALV26" s="303"/>
      <c r="ALW26" s="303"/>
      <c r="ALX26" s="303"/>
      <c r="ALY26" s="303"/>
      <c r="ALZ26" s="303"/>
      <c r="AMA26" s="303"/>
      <c r="AMB26" s="303"/>
      <c r="AMC26" s="303"/>
      <c r="AMD26" s="303"/>
      <c r="AME26" s="303"/>
      <c r="AMF26" s="303"/>
      <c r="AMG26" s="303"/>
      <c r="AMH26" s="303"/>
      <c r="AMI26" s="303"/>
      <c r="AMJ26" s="303"/>
      <c r="AMK26" s="303"/>
      <c r="AML26" s="303"/>
      <c r="AMM26" s="303"/>
      <c r="AMN26" s="303"/>
      <c r="AMO26" s="303"/>
      <c r="AMP26" s="303"/>
      <c r="AMQ26" s="303"/>
      <c r="AMR26" s="303"/>
      <c r="AMS26" s="303"/>
      <c r="AMT26" s="303"/>
      <c r="AMU26" s="303"/>
      <c r="AMV26" s="303"/>
      <c r="AMW26" s="303"/>
      <c r="AMX26" s="303"/>
      <c r="AMY26" s="303"/>
      <c r="AMZ26" s="303"/>
      <c r="ANA26" s="303"/>
      <c r="ANB26" s="303"/>
      <c r="ANC26" s="303"/>
      <c r="AND26" s="303"/>
      <c r="ANE26" s="303"/>
      <c r="ANF26" s="303"/>
      <c r="ANG26" s="303"/>
      <c r="ANH26" s="303"/>
      <c r="ANI26" s="303"/>
      <c r="ANJ26" s="303"/>
      <c r="ANK26" s="303"/>
      <c r="ANL26" s="303"/>
      <c r="ANM26" s="303"/>
      <c r="ANN26" s="303"/>
      <c r="ANO26" s="303"/>
      <c r="ANP26" s="303"/>
      <c r="ANQ26" s="303"/>
      <c r="ANR26" s="303"/>
      <c r="ANS26" s="303"/>
      <c r="ANT26" s="303"/>
      <c r="ANU26" s="303"/>
      <c r="ANV26" s="303"/>
      <c r="ANW26" s="303"/>
      <c r="ANX26" s="303"/>
      <c r="ANY26" s="303"/>
      <c r="ANZ26" s="303"/>
      <c r="AOA26" s="303"/>
      <c r="AOB26" s="303"/>
      <c r="AOC26" s="303"/>
      <c r="AOD26" s="303"/>
      <c r="AOE26" s="303"/>
      <c r="AOF26" s="303"/>
      <c r="AOG26" s="303"/>
      <c r="AOH26" s="303"/>
      <c r="AOI26" s="303"/>
      <c r="AOJ26" s="303"/>
      <c r="AOK26" s="303"/>
      <c r="AOL26" s="303"/>
      <c r="AOM26" s="303"/>
      <c r="AON26" s="303"/>
      <c r="AOO26" s="303"/>
      <c r="AOP26" s="303"/>
      <c r="AOQ26" s="303"/>
      <c r="AOR26" s="303"/>
      <c r="AOS26" s="303"/>
      <c r="AOT26" s="303"/>
      <c r="AOU26" s="303"/>
      <c r="AOV26" s="303"/>
      <c r="AOW26" s="303"/>
      <c r="AOX26" s="303"/>
      <c r="AOY26" s="303"/>
      <c r="AOZ26" s="303"/>
      <c r="APA26" s="303"/>
      <c r="APB26" s="303"/>
      <c r="APC26" s="303"/>
      <c r="APD26" s="303"/>
      <c r="APE26" s="303"/>
      <c r="APF26" s="303"/>
      <c r="APG26" s="303"/>
      <c r="APH26" s="303"/>
      <c r="API26" s="303"/>
      <c r="APJ26" s="303"/>
      <c r="APK26" s="303"/>
      <c r="APL26" s="303"/>
      <c r="APM26" s="303"/>
      <c r="APN26" s="303"/>
      <c r="APO26" s="303"/>
      <c r="APP26" s="303"/>
      <c r="APQ26" s="303"/>
      <c r="APR26" s="303"/>
      <c r="APS26" s="303"/>
      <c r="APT26" s="303"/>
      <c r="APU26" s="303"/>
      <c r="APV26" s="303"/>
      <c r="APW26" s="303"/>
      <c r="APX26" s="303"/>
      <c r="APY26" s="303"/>
      <c r="APZ26" s="303"/>
      <c r="AQA26" s="303"/>
      <c r="AQB26" s="303"/>
      <c r="AQC26" s="303"/>
      <c r="AQD26" s="303"/>
      <c r="AQE26" s="303"/>
      <c r="AQF26" s="303"/>
      <c r="AQG26" s="303"/>
      <c r="AQH26" s="303"/>
      <c r="AQI26" s="303"/>
      <c r="AQJ26" s="303"/>
      <c r="AQK26" s="303"/>
      <c r="AQL26" s="303"/>
      <c r="AQM26" s="303"/>
      <c r="AQN26" s="303"/>
      <c r="AQO26" s="303"/>
      <c r="AQP26" s="303"/>
      <c r="AQQ26" s="303"/>
      <c r="AQR26" s="303"/>
      <c r="AQS26" s="303"/>
      <c r="AQT26" s="303"/>
      <c r="AQU26" s="303"/>
      <c r="AQV26" s="303"/>
      <c r="AQW26" s="303"/>
      <c r="AQX26" s="303"/>
      <c r="AQY26" s="303"/>
      <c r="AQZ26" s="303"/>
      <c r="ARA26" s="303"/>
      <c r="ARB26" s="303"/>
      <c r="ARC26" s="303"/>
      <c r="ARD26" s="303"/>
      <c r="ARE26" s="303"/>
      <c r="ARF26" s="303"/>
      <c r="ARG26" s="303"/>
      <c r="ARH26" s="303"/>
      <c r="ARI26" s="303"/>
      <c r="ARJ26" s="303"/>
      <c r="ARK26" s="303"/>
      <c r="ARL26" s="303"/>
      <c r="ARM26" s="303"/>
      <c r="ARN26" s="303"/>
      <c r="ARO26" s="303"/>
      <c r="ARP26" s="303"/>
      <c r="ARQ26" s="303"/>
      <c r="ARR26" s="303"/>
      <c r="ARS26" s="303"/>
      <c r="ART26" s="303"/>
      <c r="ARU26" s="303"/>
      <c r="ARV26" s="303"/>
      <c r="ARW26" s="303"/>
      <c r="ARX26" s="303"/>
      <c r="ARY26" s="303"/>
      <c r="ARZ26" s="303"/>
      <c r="ASA26" s="303"/>
      <c r="ASB26" s="303"/>
      <c r="ASC26" s="303"/>
      <c r="ASD26" s="303"/>
      <c r="ASE26" s="303"/>
      <c r="ASF26" s="303"/>
      <c r="ASG26" s="303"/>
      <c r="ASH26" s="303"/>
      <c r="ASI26" s="303"/>
      <c r="ASJ26" s="303"/>
      <c r="ASK26" s="303"/>
      <c r="ASL26" s="303"/>
      <c r="ASM26" s="303"/>
      <c r="ASN26" s="303"/>
      <c r="ASO26" s="303"/>
      <c r="ASP26" s="303"/>
      <c r="ASQ26" s="303"/>
      <c r="ASR26" s="303"/>
      <c r="ASS26" s="303"/>
      <c r="AST26" s="303"/>
      <c r="ASU26" s="303"/>
      <c r="ASV26" s="303"/>
      <c r="ASW26" s="303"/>
      <c r="ASX26" s="303"/>
      <c r="ASY26" s="303"/>
      <c r="ASZ26" s="303"/>
      <c r="ATA26" s="303"/>
      <c r="ATB26" s="303"/>
      <c r="ATC26" s="303"/>
      <c r="ATD26" s="303"/>
      <c r="ATE26" s="303"/>
      <c r="ATF26" s="303"/>
      <c r="ATG26" s="303"/>
      <c r="ATH26" s="303"/>
      <c r="ATI26" s="303"/>
      <c r="ATJ26" s="303"/>
      <c r="ATK26" s="303"/>
      <c r="ATL26" s="303"/>
      <c r="ATM26" s="303"/>
      <c r="ATN26" s="303"/>
      <c r="ATO26" s="303"/>
      <c r="ATP26" s="303"/>
      <c r="ATQ26" s="303"/>
      <c r="ATR26" s="303"/>
      <c r="ATS26" s="303"/>
      <c r="ATT26" s="303"/>
      <c r="ATU26" s="303"/>
      <c r="ATV26" s="303"/>
      <c r="ATW26" s="303"/>
      <c r="ATX26" s="303"/>
      <c r="ATY26" s="303"/>
      <c r="ATZ26" s="303"/>
      <c r="AUA26" s="303"/>
      <c r="AUB26" s="303"/>
      <c r="AUC26" s="303"/>
      <c r="AUD26" s="303"/>
      <c r="AUE26" s="303"/>
      <c r="AUF26" s="303"/>
      <c r="AUG26" s="303"/>
      <c r="AUH26" s="303"/>
      <c r="AUI26" s="303"/>
      <c r="AUJ26" s="303"/>
      <c r="AUK26" s="303"/>
      <c r="AUL26" s="303"/>
      <c r="AUM26" s="303"/>
      <c r="AUN26" s="303"/>
      <c r="AUO26" s="303"/>
      <c r="AUP26" s="303"/>
      <c r="AUQ26" s="303"/>
      <c r="AUR26" s="303"/>
      <c r="AUS26" s="303"/>
      <c r="AUT26" s="303"/>
      <c r="AUU26" s="303"/>
      <c r="AUV26" s="303"/>
      <c r="AUW26" s="303"/>
      <c r="AUX26" s="303"/>
      <c r="AUY26" s="303"/>
      <c r="AUZ26" s="303"/>
      <c r="AVA26" s="303"/>
      <c r="AVB26" s="303"/>
      <c r="AVC26" s="303"/>
      <c r="AVD26" s="303"/>
      <c r="AVE26" s="303"/>
      <c r="AVF26" s="303"/>
      <c r="AVG26" s="303"/>
      <c r="AVH26" s="303"/>
      <c r="AVI26" s="303"/>
      <c r="AVJ26" s="303"/>
      <c r="AVK26" s="303"/>
      <c r="AVL26" s="303"/>
      <c r="AVM26" s="303"/>
      <c r="AVN26" s="303"/>
      <c r="AVO26" s="303"/>
      <c r="AVP26" s="303"/>
      <c r="AVQ26" s="303"/>
      <c r="AVR26" s="303"/>
      <c r="AVS26" s="303"/>
      <c r="AVT26" s="303"/>
      <c r="AVU26" s="303"/>
      <c r="AVV26" s="303"/>
      <c r="AVW26" s="303"/>
      <c r="AVX26" s="303"/>
      <c r="AVY26" s="303"/>
      <c r="AVZ26" s="303"/>
      <c r="AWA26" s="303"/>
      <c r="AWB26" s="303"/>
      <c r="AWC26" s="303"/>
      <c r="AWD26" s="303"/>
      <c r="AWE26" s="303"/>
      <c r="AWF26" s="303"/>
      <c r="AWG26" s="303"/>
      <c r="AWH26" s="303"/>
      <c r="AWI26" s="303"/>
      <c r="AWJ26" s="303"/>
      <c r="AWK26" s="303"/>
      <c r="AWL26" s="303"/>
      <c r="AWM26" s="303"/>
      <c r="AWN26" s="303"/>
      <c r="AWO26" s="303"/>
      <c r="AWP26" s="303"/>
      <c r="AWQ26" s="303"/>
      <c r="AWR26" s="303"/>
      <c r="AWS26" s="303"/>
      <c r="AWT26" s="303"/>
      <c r="AWU26" s="303"/>
      <c r="AWV26" s="303"/>
      <c r="AWW26" s="303"/>
      <c r="AWX26" s="303"/>
      <c r="AWY26" s="303"/>
      <c r="AWZ26" s="303"/>
      <c r="AXA26" s="303"/>
      <c r="AXB26" s="303"/>
      <c r="AXC26" s="303"/>
      <c r="AXD26" s="303"/>
      <c r="AXE26" s="303"/>
      <c r="AXF26" s="303"/>
      <c r="AXG26" s="303"/>
      <c r="AXH26" s="303"/>
      <c r="AXI26" s="303"/>
      <c r="AXJ26" s="303"/>
      <c r="AXK26" s="303"/>
      <c r="AXL26" s="303"/>
      <c r="AXM26" s="303"/>
      <c r="AXN26" s="303"/>
      <c r="AXO26" s="303"/>
      <c r="AXP26" s="303"/>
      <c r="AXQ26" s="303"/>
      <c r="AXR26" s="303"/>
      <c r="AXS26" s="303"/>
      <c r="AXT26" s="303"/>
      <c r="AXU26" s="303"/>
      <c r="AXV26" s="303"/>
      <c r="AXW26" s="303"/>
      <c r="AXX26" s="303"/>
      <c r="AXY26" s="303"/>
      <c r="AXZ26" s="303"/>
      <c r="AYA26" s="303"/>
      <c r="AYB26" s="303"/>
      <c r="AYC26" s="303"/>
      <c r="AYD26" s="303"/>
      <c r="AYE26" s="303"/>
      <c r="AYF26" s="303"/>
      <c r="AYG26" s="303"/>
      <c r="AYH26" s="303"/>
    </row>
    <row r="27" spans="1:1334" x14ac:dyDescent="0.25">
      <c r="A27" s="304" t="s">
        <v>1343</v>
      </c>
      <c r="B27" s="298" t="s">
        <v>1320</v>
      </c>
      <c r="C27" s="303"/>
      <c r="D27" s="303"/>
      <c r="E27" s="303"/>
      <c r="F27" s="303"/>
      <c r="G27" s="303"/>
      <c r="H27" s="303"/>
      <c r="I27" s="303"/>
      <c r="J27" s="303"/>
      <c r="K27" s="303"/>
      <c r="L27" s="303"/>
      <c r="M27" s="303"/>
      <c r="N27" s="303"/>
      <c r="O27" s="303"/>
      <c r="P27" s="303"/>
      <c r="Q27" s="303"/>
      <c r="R27" s="303"/>
      <c r="S27" s="303"/>
      <c r="T27" s="303"/>
      <c r="U27" s="303"/>
      <c r="V27" s="303"/>
      <c r="W27" s="303"/>
      <c r="X27" s="303"/>
      <c r="Y27" s="303"/>
      <c r="Z27" s="303"/>
      <c r="AA27" s="303"/>
      <c r="AB27" s="303"/>
      <c r="AC27" s="303"/>
      <c r="AD27" s="303"/>
      <c r="AE27" s="303"/>
      <c r="AF27" s="303"/>
      <c r="AG27" s="303"/>
      <c r="AH27" s="303"/>
      <c r="AI27" s="303"/>
      <c r="AJ27" s="303"/>
      <c r="AK27" s="303"/>
      <c r="AL27" s="303"/>
      <c r="AM27" s="303"/>
      <c r="AN27" s="303"/>
      <c r="AO27" s="303"/>
      <c r="AP27" s="303"/>
      <c r="AQ27" s="303"/>
      <c r="AR27" s="303"/>
      <c r="AS27" s="303"/>
      <c r="AT27" s="303"/>
      <c r="AU27" s="303"/>
      <c r="AV27" s="303"/>
      <c r="AW27" s="303"/>
      <c r="AX27" s="303"/>
      <c r="AY27" s="303"/>
      <c r="AZ27" s="303"/>
      <c r="BA27" s="303"/>
      <c r="BB27" s="303"/>
      <c r="BC27" s="303"/>
      <c r="BD27" s="303"/>
      <c r="BE27" s="303"/>
      <c r="BF27" s="303"/>
      <c r="BG27" s="303"/>
      <c r="BH27" s="303"/>
      <c r="BI27" s="303"/>
      <c r="BJ27" s="303"/>
      <c r="BK27" s="303"/>
      <c r="BL27" s="303"/>
      <c r="BM27" s="303"/>
      <c r="BN27" s="303"/>
      <c r="BO27" s="303"/>
      <c r="BP27" s="303"/>
      <c r="BQ27" s="303"/>
      <c r="BR27" s="303"/>
      <c r="BS27" s="303"/>
      <c r="BT27" s="303"/>
      <c r="BU27" s="303"/>
      <c r="BV27" s="303"/>
      <c r="BW27" s="303"/>
      <c r="BX27" s="303"/>
      <c r="BY27" s="303"/>
      <c r="BZ27" s="303"/>
      <c r="CA27" s="303"/>
      <c r="CB27" s="303"/>
      <c r="CC27" s="303"/>
      <c r="CD27" s="303"/>
      <c r="CE27" s="303"/>
      <c r="CF27" s="303"/>
      <c r="CG27" s="303"/>
      <c r="CH27" s="303"/>
      <c r="CI27" s="303"/>
      <c r="CJ27" s="303"/>
      <c r="CK27" s="303"/>
      <c r="CL27" s="303"/>
      <c r="CM27" s="303"/>
      <c r="CN27" s="303"/>
      <c r="CO27" s="303"/>
      <c r="CP27" s="303"/>
      <c r="CQ27" s="303"/>
      <c r="CR27" s="303"/>
      <c r="CS27" s="303"/>
      <c r="CT27" s="303"/>
      <c r="CU27" s="303"/>
      <c r="CV27" s="303"/>
      <c r="CW27" s="303"/>
      <c r="CX27" s="303"/>
      <c r="CY27" s="303"/>
      <c r="CZ27" s="303"/>
      <c r="DA27" s="303"/>
      <c r="DB27" s="303"/>
      <c r="DC27" s="303"/>
      <c r="DD27" s="303"/>
      <c r="DE27" s="303"/>
      <c r="DF27" s="303"/>
      <c r="DG27" s="303"/>
      <c r="DH27" s="303"/>
      <c r="DI27" s="303"/>
      <c r="DJ27" s="303"/>
      <c r="DK27" s="303"/>
      <c r="DL27" s="303"/>
      <c r="DM27" s="303"/>
      <c r="DN27" s="303"/>
      <c r="DO27" s="303"/>
      <c r="DP27" s="303"/>
      <c r="DQ27" s="303"/>
      <c r="DR27" s="303"/>
      <c r="DS27" s="303"/>
      <c r="DT27" s="303"/>
      <c r="DU27" s="303"/>
      <c r="DV27" s="303"/>
      <c r="DW27" s="303"/>
      <c r="DX27" s="303"/>
      <c r="DY27" s="303"/>
      <c r="DZ27" s="303"/>
      <c r="EA27" s="303"/>
      <c r="EB27" s="303"/>
      <c r="EC27" s="303"/>
      <c r="ED27" s="303"/>
      <c r="EE27" s="303"/>
      <c r="EF27" s="303"/>
      <c r="EG27" s="303"/>
      <c r="EH27" s="303"/>
      <c r="EI27" s="303"/>
      <c r="EJ27" s="303"/>
      <c r="EK27" s="303"/>
      <c r="EL27" s="303"/>
      <c r="EM27" s="303"/>
      <c r="EN27" s="303"/>
      <c r="EO27" s="303"/>
      <c r="EP27" s="303"/>
      <c r="EQ27" s="303"/>
      <c r="ER27" s="303"/>
      <c r="ES27" s="303"/>
      <c r="ET27" s="303"/>
      <c r="EU27" s="303"/>
      <c r="EV27" s="303"/>
      <c r="EW27" s="303"/>
      <c r="EX27" s="303"/>
      <c r="EY27" s="303"/>
      <c r="EZ27" s="303"/>
      <c r="FA27" s="303"/>
      <c r="FB27" s="303"/>
      <c r="FC27" s="303"/>
      <c r="FD27" s="303"/>
      <c r="FE27" s="303"/>
      <c r="FF27" s="303"/>
      <c r="FG27" s="303"/>
      <c r="FH27" s="303"/>
      <c r="FI27" s="303"/>
      <c r="FJ27" s="303"/>
      <c r="FK27" s="303"/>
      <c r="FL27" s="303"/>
      <c r="FM27" s="303"/>
      <c r="FN27" s="303"/>
      <c r="FO27" s="303"/>
      <c r="FP27" s="303"/>
      <c r="FQ27" s="303"/>
      <c r="FR27" s="303"/>
      <c r="FS27" s="303"/>
      <c r="FT27" s="303"/>
      <c r="FU27" s="303"/>
      <c r="FV27" s="303"/>
      <c r="FW27" s="303"/>
      <c r="FX27" s="303"/>
      <c r="FY27" s="303"/>
      <c r="FZ27" s="303"/>
      <c r="GA27" s="303"/>
      <c r="GB27" s="303"/>
      <c r="GC27" s="303"/>
      <c r="GD27" s="303"/>
      <c r="GE27" s="303"/>
      <c r="GF27" s="303"/>
      <c r="GG27" s="303"/>
      <c r="GH27" s="303"/>
      <c r="GI27" s="303"/>
      <c r="GJ27" s="303"/>
      <c r="GK27" s="303"/>
      <c r="GL27" s="303"/>
      <c r="GM27" s="303"/>
      <c r="GN27" s="303"/>
      <c r="GO27" s="303"/>
      <c r="GP27" s="303"/>
      <c r="GQ27" s="303"/>
      <c r="GR27" s="303"/>
      <c r="GS27" s="303"/>
      <c r="GT27" s="303"/>
      <c r="GU27" s="303"/>
      <c r="GV27" s="303"/>
      <c r="GW27" s="303"/>
      <c r="GX27" s="303"/>
      <c r="GY27" s="303"/>
      <c r="GZ27" s="303"/>
      <c r="HA27" s="303"/>
      <c r="HB27" s="303"/>
      <c r="HC27" s="303"/>
      <c r="HD27" s="303"/>
      <c r="HE27" s="303"/>
      <c r="HF27" s="303"/>
      <c r="HG27" s="303"/>
      <c r="HH27" s="303"/>
      <c r="HI27" s="303"/>
      <c r="HJ27" s="303"/>
      <c r="HK27" s="303"/>
      <c r="HL27" s="303"/>
      <c r="HM27" s="303"/>
      <c r="HN27" s="303"/>
      <c r="HO27" s="303"/>
      <c r="HP27" s="303"/>
      <c r="HQ27" s="303"/>
      <c r="HR27" s="303"/>
      <c r="HS27" s="303"/>
      <c r="HT27" s="303"/>
      <c r="HU27" s="303"/>
      <c r="HV27" s="303"/>
      <c r="HW27" s="303"/>
      <c r="HX27" s="303"/>
      <c r="HY27" s="303"/>
      <c r="HZ27" s="303"/>
      <c r="IA27" s="303"/>
      <c r="IB27" s="303"/>
      <c r="IC27" s="303"/>
      <c r="ID27" s="303"/>
      <c r="IE27" s="303"/>
      <c r="IF27" s="303"/>
      <c r="IG27" s="303"/>
      <c r="IH27" s="303"/>
      <c r="II27" s="303"/>
      <c r="IJ27" s="303"/>
      <c r="IK27" s="303"/>
      <c r="IL27" s="303"/>
      <c r="IM27" s="303"/>
      <c r="IN27" s="303"/>
      <c r="IO27" s="303"/>
      <c r="IP27" s="303"/>
      <c r="IQ27" s="303"/>
      <c r="IR27" s="303"/>
      <c r="IS27" s="303"/>
      <c r="IT27" s="303"/>
      <c r="IU27" s="303"/>
      <c r="IV27" s="303"/>
      <c r="IW27" s="303"/>
      <c r="IX27" s="303"/>
      <c r="IY27" s="303"/>
      <c r="IZ27" s="303"/>
      <c r="JA27" s="303"/>
      <c r="JB27" s="303"/>
      <c r="JC27" s="303"/>
      <c r="JD27" s="303"/>
      <c r="JE27" s="303"/>
      <c r="JF27" s="303"/>
      <c r="JG27" s="303"/>
      <c r="JH27" s="303"/>
      <c r="JI27" s="303"/>
      <c r="JJ27" s="303"/>
      <c r="JK27" s="303"/>
      <c r="JL27" s="303"/>
      <c r="JM27" s="303"/>
      <c r="JN27" s="303"/>
      <c r="JO27" s="303"/>
      <c r="JP27" s="303"/>
      <c r="JQ27" s="303"/>
      <c r="JR27" s="303"/>
      <c r="JS27" s="303"/>
      <c r="JT27" s="303"/>
      <c r="JU27" s="303"/>
      <c r="JV27" s="303"/>
      <c r="JW27" s="303"/>
      <c r="JX27" s="303"/>
      <c r="JY27" s="303"/>
      <c r="JZ27" s="303"/>
      <c r="KA27" s="303"/>
      <c r="KB27" s="303"/>
      <c r="KC27" s="303"/>
      <c r="KD27" s="303"/>
      <c r="KE27" s="303"/>
      <c r="KF27" s="303"/>
      <c r="KG27" s="303"/>
      <c r="KH27" s="303"/>
      <c r="KI27" s="303"/>
      <c r="KJ27" s="303"/>
      <c r="KK27" s="303"/>
      <c r="KL27" s="303"/>
      <c r="KM27" s="303"/>
      <c r="KN27" s="303"/>
      <c r="KO27" s="303"/>
      <c r="KP27" s="303"/>
      <c r="KQ27" s="303"/>
      <c r="KR27" s="303"/>
      <c r="KS27" s="303"/>
      <c r="KT27" s="303"/>
      <c r="KU27" s="303"/>
      <c r="KV27" s="303"/>
      <c r="KW27" s="303"/>
      <c r="KX27" s="303"/>
      <c r="KY27" s="303"/>
      <c r="KZ27" s="303"/>
      <c r="LA27" s="303"/>
      <c r="LB27" s="303"/>
      <c r="LC27" s="303"/>
      <c r="LD27" s="303"/>
      <c r="LE27" s="303"/>
      <c r="LF27" s="303"/>
      <c r="LG27" s="303"/>
      <c r="LH27" s="303"/>
      <c r="LI27" s="303"/>
      <c r="LJ27" s="303"/>
      <c r="LK27" s="303"/>
      <c r="LL27" s="303"/>
      <c r="LM27" s="303"/>
      <c r="LN27" s="303"/>
      <c r="LO27" s="303"/>
      <c r="LP27" s="303"/>
      <c r="LQ27" s="303"/>
      <c r="LR27" s="303"/>
      <c r="LS27" s="303"/>
      <c r="LT27" s="303"/>
      <c r="LU27" s="303"/>
      <c r="LV27" s="303"/>
      <c r="LW27" s="303"/>
      <c r="LX27" s="303"/>
      <c r="LY27" s="303"/>
      <c r="LZ27" s="303"/>
      <c r="MA27" s="303"/>
      <c r="MB27" s="303"/>
      <c r="MC27" s="303"/>
      <c r="MD27" s="303"/>
      <c r="ME27" s="303"/>
      <c r="MF27" s="303"/>
      <c r="MG27" s="303"/>
      <c r="MH27" s="303"/>
      <c r="MI27" s="303"/>
      <c r="MJ27" s="303"/>
      <c r="MK27" s="303"/>
      <c r="ML27" s="303"/>
      <c r="MM27" s="303"/>
      <c r="MN27" s="303"/>
      <c r="MO27" s="303"/>
      <c r="MP27" s="303"/>
      <c r="MQ27" s="303"/>
      <c r="MR27" s="303"/>
      <c r="MS27" s="303"/>
      <c r="MT27" s="303"/>
      <c r="MU27" s="303"/>
      <c r="MV27" s="303"/>
      <c r="MW27" s="303"/>
      <c r="MX27" s="303"/>
      <c r="MY27" s="303"/>
      <c r="MZ27" s="303"/>
      <c r="NA27" s="303"/>
      <c r="NB27" s="303"/>
      <c r="NC27" s="303"/>
      <c r="ND27" s="303"/>
      <c r="NE27" s="303"/>
      <c r="NF27" s="303"/>
      <c r="NG27" s="303"/>
      <c r="NH27" s="303"/>
      <c r="NI27" s="303"/>
      <c r="NJ27" s="303"/>
      <c r="NK27" s="303"/>
      <c r="NL27" s="303"/>
      <c r="NM27" s="303"/>
      <c r="NN27" s="303"/>
      <c r="NO27" s="303"/>
      <c r="NP27" s="303"/>
      <c r="NQ27" s="303"/>
      <c r="NR27" s="303"/>
      <c r="NS27" s="303"/>
      <c r="NT27" s="303"/>
      <c r="NU27" s="303"/>
      <c r="NV27" s="303"/>
      <c r="NW27" s="303"/>
      <c r="NX27" s="303"/>
      <c r="NY27" s="303"/>
      <c r="NZ27" s="303"/>
      <c r="OA27" s="303"/>
      <c r="OB27" s="303"/>
      <c r="OC27" s="303"/>
      <c r="OD27" s="303"/>
      <c r="OE27" s="303"/>
      <c r="OF27" s="303"/>
      <c r="OG27" s="303"/>
      <c r="OH27" s="303"/>
      <c r="OI27" s="303"/>
      <c r="OJ27" s="303"/>
      <c r="OK27" s="303"/>
      <c r="OL27" s="303"/>
      <c r="OM27" s="303"/>
      <c r="ON27" s="303"/>
      <c r="OO27" s="303"/>
      <c r="OP27" s="303"/>
      <c r="OQ27" s="303"/>
      <c r="OR27" s="303"/>
      <c r="OS27" s="303"/>
      <c r="OT27" s="303"/>
      <c r="OU27" s="303"/>
      <c r="OV27" s="303"/>
      <c r="OW27" s="303"/>
      <c r="OX27" s="303"/>
      <c r="OY27" s="303"/>
      <c r="OZ27" s="303"/>
      <c r="PA27" s="303"/>
      <c r="PB27" s="303"/>
      <c r="PC27" s="303"/>
      <c r="PD27" s="303"/>
      <c r="PE27" s="303"/>
      <c r="PF27" s="303"/>
      <c r="PG27" s="303"/>
      <c r="PH27" s="303"/>
      <c r="PI27" s="303"/>
      <c r="PJ27" s="303"/>
      <c r="PK27" s="303"/>
      <c r="PL27" s="303"/>
      <c r="PM27" s="303"/>
      <c r="PN27" s="303"/>
      <c r="PO27" s="303"/>
      <c r="PP27" s="303"/>
      <c r="PQ27" s="303"/>
      <c r="PR27" s="303"/>
      <c r="PS27" s="303"/>
      <c r="PT27" s="303"/>
      <c r="PU27" s="303"/>
      <c r="PV27" s="303"/>
      <c r="PW27" s="303"/>
      <c r="PX27" s="303"/>
      <c r="PY27" s="303"/>
      <c r="PZ27" s="303"/>
      <c r="QA27" s="303"/>
      <c r="QB27" s="303"/>
      <c r="QC27" s="303"/>
      <c r="QD27" s="303"/>
      <c r="QE27" s="303"/>
      <c r="QF27" s="303"/>
      <c r="QG27" s="303"/>
      <c r="QH27" s="303"/>
      <c r="QI27" s="303"/>
      <c r="QJ27" s="303"/>
      <c r="QK27" s="303"/>
      <c r="QL27" s="303"/>
      <c r="QM27" s="303"/>
      <c r="QN27" s="303"/>
      <c r="QO27" s="303"/>
      <c r="QP27" s="303"/>
      <c r="QQ27" s="303"/>
      <c r="QR27" s="303"/>
      <c r="QS27" s="303"/>
      <c r="QT27" s="303"/>
      <c r="QU27" s="303"/>
      <c r="QV27" s="303"/>
      <c r="QW27" s="303"/>
      <c r="QX27" s="303"/>
      <c r="QY27" s="303"/>
      <c r="QZ27" s="303"/>
      <c r="RA27" s="303"/>
      <c r="RB27" s="303"/>
      <c r="RC27" s="303"/>
      <c r="RD27" s="303"/>
      <c r="RE27" s="303"/>
      <c r="RF27" s="303"/>
      <c r="RG27" s="303"/>
      <c r="RH27" s="303"/>
      <c r="RI27" s="303"/>
      <c r="RJ27" s="303"/>
      <c r="RK27" s="303"/>
      <c r="RL27" s="303"/>
      <c r="RM27" s="303"/>
      <c r="RN27" s="303"/>
      <c r="RO27" s="303"/>
      <c r="RP27" s="303"/>
      <c r="RQ27" s="303"/>
      <c r="RR27" s="303"/>
      <c r="RS27" s="303"/>
      <c r="RT27" s="303"/>
      <c r="RU27" s="303"/>
      <c r="RV27" s="303"/>
      <c r="RW27" s="303"/>
      <c r="RX27" s="303"/>
      <c r="RY27" s="303"/>
      <c r="RZ27" s="303"/>
      <c r="SA27" s="303"/>
      <c r="SB27" s="303"/>
      <c r="SC27" s="303"/>
      <c r="SD27" s="303"/>
      <c r="SE27" s="303"/>
      <c r="SF27" s="303"/>
      <c r="SG27" s="303"/>
      <c r="SH27" s="303"/>
      <c r="SI27" s="303"/>
      <c r="SJ27" s="303"/>
      <c r="SK27" s="303"/>
      <c r="SL27" s="303"/>
      <c r="SM27" s="303"/>
      <c r="SN27" s="303"/>
      <c r="SO27" s="303"/>
      <c r="SP27" s="303"/>
      <c r="SQ27" s="303"/>
      <c r="SR27" s="303"/>
      <c r="SS27" s="303"/>
      <c r="ST27" s="303"/>
      <c r="SU27" s="303"/>
      <c r="SV27" s="303"/>
      <c r="SW27" s="303"/>
      <c r="SX27" s="303"/>
      <c r="SY27" s="303"/>
      <c r="SZ27" s="303"/>
      <c r="TA27" s="303"/>
      <c r="TB27" s="303"/>
      <c r="TC27" s="303"/>
      <c r="TD27" s="303"/>
      <c r="TE27" s="303"/>
      <c r="TF27" s="303"/>
      <c r="TG27" s="303"/>
      <c r="TH27" s="303"/>
      <c r="TI27" s="303"/>
      <c r="TJ27" s="303"/>
      <c r="TK27" s="303"/>
      <c r="TL27" s="303"/>
      <c r="TM27" s="303"/>
      <c r="TN27" s="303"/>
      <c r="TO27" s="303"/>
      <c r="TP27" s="303"/>
      <c r="TQ27" s="303"/>
      <c r="TR27" s="303"/>
      <c r="TS27" s="303"/>
      <c r="TT27" s="303"/>
      <c r="TU27" s="303"/>
      <c r="TV27" s="303"/>
      <c r="TW27" s="303"/>
      <c r="TX27" s="303"/>
      <c r="TY27" s="303"/>
      <c r="TZ27" s="303"/>
      <c r="UA27" s="303"/>
      <c r="UB27" s="303"/>
      <c r="UC27" s="303"/>
      <c r="UD27" s="303"/>
      <c r="UE27" s="303"/>
      <c r="UF27" s="303"/>
      <c r="UG27" s="303"/>
      <c r="UH27" s="303"/>
      <c r="UI27" s="303"/>
      <c r="UJ27" s="303"/>
      <c r="UK27" s="303"/>
      <c r="UL27" s="303"/>
      <c r="UM27" s="303"/>
      <c r="UN27" s="303"/>
      <c r="UO27" s="303"/>
      <c r="UP27" s="303"/>
      <c r="UQ27" s="303"/>
      <c r="UR27" s="303"/>
      <c r="US27" s="303"/>
      <c r="UT27" s="303"/>
      <c r="UU27" s="303"/>
      <c r="UV27" s="303"/>
      <c r="UW27" s="303"/>
      <c r="UX27" s="303"/>
      <c r="UY27" s="303"/>
      <c r="UZ27" s="303"/>
      <c r="VA27" s="303"/>
      <c r="VB27" s="303"/>
      <c r="VC27" s="303"/>
      <c r="VD27" s="303"/>
      <c r="VE27" s="303"/>
      <c r="VF27" s="303"/>
      <c r="VG27" s="303"/>
      <c r="VH27" s="303"/>
      <c r="VI27" s="303"/>
      <c r="VJ27" s="303"/>
      <c r="VK27" s="303"/>
      <c r="VL27" s="303"/>
      <c r="VM27" s="303"/>
      <c r="VN27" s="303"/>
      <c r="VO27" s="303"/>
      <c r="VP27" s="303"/>
      <c r="VQ27" s="303"/>
      <c r="VR27" s="303"/>
      <c r="VS27" s="303"/>
      <c r="VT27" s="303"/>
      <c r="VU27" s="303"/>
      <c r="VV27" s="303"/>
      <c r="VW27" s="303"/>
      <c r="VX27" s="303"/>
      <c r="VY27" s="303"/>
      <c r="VZ27" s="303"/>
      <c r="WA27" s="303"/>
      <c r="WB27" s="303"/>
      <c r="WC27" s="303"/>
      <c r="WD27" s="303"/>
      <c r="WE27" s="303"/>
      <c r="WF27" s="303"/>
      <c r="WG27" s="303"/>
      <c r="WH27" s="303"/>
      <c r="WI27" s="303"/>
      <c r="WJ27" s="303"/>
      <c r="WK27" s="303"/>
      <c r="WL27" s="303"/>
      <c r="WM27" s="303"/>
      <c r="WN27" s="303"/>
      <c r="WO27" s="303"/>
      <c r="WP27" s="303"/>
      <c r="WQ27" s="303"/>
      <c r="WR27" s="303"/>
      <c r="WS27" s="303"/>
      <c r="WT27" s="303"/>
      <c r="WU27" s="303"/>
      <c r="WV27" s="303"/>
      <c r="WW27" s="303"/>
      <c r="WX27" s="303"/>
      <c r="WY27" s="303"/>
      <c r="WZ27" s="303"/>
      <c r="XA27" s="303"/>
      <c r="XB27" s="303"/>
      <c r="XC27" s="303"/>
      <c r="XD27" s="303"/>
      <c r="XE27" s="303"/>
      <c r="XF27" s="303"/>
      <c r="XG27" s="303"/>
      <c r="XH27" s="303"/>
      <c r="XI27" s="303"/>
      <c r="XJ27" s="303"/>
      <c r="XK27" s="303"/>
      <c r="XL27" s="303"/>
      <c r="XM27" s="303"/>
      <c r="XN27" s="303"/>
      <c r="XO27" s="303"/>
      <c r="XP27" s="303"/>
      <c r="XQ27" s="303"/>
      <c r="XR27" s="303"/>
      <c r="XS27" s="303"/>
      <c r="XT27" s="303"/>
      <c r="XU27" s="303"/>
      <c r="XV27" s="303"/>
      <c r="XW27" s="303"/>
      <c r="XX27" s="303"/>
      <c r="XY27" s="303"/>
      <c r="XZ27" s="303"/>
      <c r="YA27" s="303"/>
      <c r="YB27" s="303"/>
      <c r="YC27" s="303"/>
      <c r="YD27" s="303"/>
      <c r="YE27" s="303"/>
      <c r="YF27" s="303"/>
      <c r="YG27" s="303"/>
      <c r="YH27" s="303"/>
      <c r="YI27" s="303"/>
      <c r="YJ27" s="303"/>
      <c r="YK27" s="303"/>
      <c r="YL27" s="303"/>
      <c r="YM27" s="303"/>
      <c r="YN27" s="303"/>
      <c r="YO27" s="303"/>
      <c r="YP27" s="303"/>
      <c r="YQ27" s="303"/>
      <c r="YR27" s="303"/>
      <c r="YS27" s="303"/>
      <c r="YT27" s="303"/>
      <c r="YU27" s="303"/>
      <c r="YV27" s="303"/>
      <c r="YW27" s="303"/>
      <c r="YX27" s="303"/>
      <c r="YY27" s="303"/>
      <c r="YZ27" s="303"/>
      <c r="ZA27" s="303"/>
      <c r="ZB27" s="303"/>
      <c r="ZC27" s="303"/>
      <c r="ZD27" s="303"/>
      <c r="ZE27" s="303"/>
      <c r="ZF27" s="303"/>
      <c r="ZG27" s="303"/>
      <c r="ZH27" s="303"/>
      <c r="ZI27" s="303"/>
      <c r="ZJ27" s="303"/>
      <c r="ZK27" s="303"/>
      <c r="ZL27" s="303"/>
      <c r="ZM27" s="303"/>
      <c r="ZN27" s="303"/>
      <c r="ZO27" s="303"/>
      <c r="ZP27" s="303"/>
      <c r="ZQ27" s="303"/>
      <c r="ZR27" s="303"/>
      <c r="ZS27" s="303"/>
      <c r="ZT27" s="303"/>
      <c r="ZU27" s="303"/>
      <c r="ZV27" s="303"/>
      <c r="ZW27" s="303"/>
      <c r="ZX27" s="303"/>
      <c r="ZY27" s="303"/>
      <c r="ZZ27" s="303"/>
      <c r="AAA27" s="303"/>
      <c r="AAB27" s="303"/>
      <c r="AAC27" s="303"/>
      <c r="AAD27" s="303"/>
      <c r="AAE27" s="303"/>
      <c r="AAF27" s="303"/>
      <c r="AAG27" s="303"/>
      <c r="AAH27" s="303"/>
      <c r="AAI27" s="303"/>
      <c r="AAJ27" s="303"/>
      <c r="AAK27" s="303"/>
      <c r="AAL27" s="303"/>
      <c r="AAM27" s="303"/>
      <c r="AAN27" s="303"/>
      <c r="AAO27" s="303"/>
      <c r="AAP27" s="303"/>
      <c r="AAQ27" s="303"/>
      <c r="AAR27" s="303"/>
      <c r="AAS27" s="303"/>
      <c r="AAT27" s="303"/>
      <c r="AAU27" s="303"/>
      <c r="AAV27" s="303"/>
      <c r="AAW27" s="303"/>
      <c r="AAX27" s="303"/>
      <c r="AAY27" s="303"/>
      <c r="AAZ27" s="303"/>
      <c r="ABA27" s="303"/>
      <c r="ABB27" s="303"/>
      <c r="ABC27" s="303"/>
      <c r="ABD27" s="303"/>
      <c r="ABE27" s="303"/>
      <c r="ABF27" s="303"/>
      <c r="ABG27" s="303"/>
      <c r="ABH27" s="303"/>
      <c r="ABI27" s="303"/>
      <c r="ABJ27" s="303"/>
      <c r="ABK27" s="303"/>
      <c r="ABL27" s="303"/>
      <c r="ABM27" s="303"/>
      <c r="ABN27" s="303"/>
      <c r="ABO27" s="303"/>
      <c r="ABP27" s="303"/>
      <c r="ABQ27" s="303"/>
      <c r="ABR27" s="303"/>
      <c r="ABS27" s="303"/>
      <c r="ABT27" s="303"/>
      <c r="ABU27" s="303"/>
      <c r="ABV27" s="303"/>
      <c r="ABW27" s="303"/>
      <c r="ABX27" s="303"/>
      <c r="ABY27" s="303"/>
      <c r="ABZ27" s="303"/>
      <c r="ACA27" s="303"/>
      <c r="ACB27" s="303"/>
      <c r="ACC27" s="303"/>
      <c r="ACD27" s="303"/>
      <c r="ACE27" s="303"/>
      <c r="ACF27" s="303"/>
      <c r="ACG27" s="303"/>
      <c r="ACH27" s="303"/>
      <c r="ACI27" s="303"/>
      <c r="ACJ27" s="303"/>
      <c r="ACK27" s="303"/>
      <c r="ACL27" s="303"/>
      <c r="ACM27" s="303"/>
      <c r="ACN27" s="303"/>
      <c r="ACO27" s="303"/>
      <c r="ACP27" s="303"/>
      <c r="ACQ27" s="303"/>
      <c r="ACR27" s="303"/>
      <c r="ACS27" s="303"/>
      <c r="ACT27" s="303"/>
      <c r="ACU27" s="303"/>
      <c r="ACV27" s="303"/>
      <c r="ACW27" s="303"/>
      <c r="ACX27" s="303"/>
      <c r="ACY27" s="303"/>
      <c r="ACZ27" s="303"/>
      <c r="ADA27" s="303"/>
      <c r="ADB27" s="303"/>
      <c r="ADC27" s="303"/>
      <c r="ADD27" s="303"/>
      <c r="ADE27" s="303"/>
      <c r="ADF27" s="303"/>
      <c r="ADG27" s="303"/>
      <c r="ADH27" s="303"/>
      <c r="ADI27" s="303"/>
      <c r="ADJ27" s="303"/>
      <c r="ADK27" s="303"/>
      <c r="ADL27" s="303"/>
      <c r="ADM27" s="303"/>
      <c r="ADN27" s="303"/>
      <c r="ADO27" s="303"/>
      <c r="ADP27" s="303"/>
      <c r="ADQ27" s="303"/>
      <c r="ADR27" s="303"/>
      <c r="ADS27" s="303"/>
      <c r="ADT27" s="303"/>
      <c r="ADU27" s="303"/>
      <c r="ADV27" s="303"/>
      <c r="ADW27" s="303"/>
      <c r="ADX27" s="303"/>
      <c r="ADY27" s="303"/>
      <c r="ADZ27" s="303"/>
      <c r="AEA27" s="303"/>
      <c r="AEB27" s="303"/>
      <c r="AEC27" s="303"/>
      <c r="AED27" s="303"/>
      <c r="AEE27" s="303"/>
      <c r="AEF27" s="303"/>
      <c r="AEG27" s="303"/>
      <c r="AEH27" s="303"/>
      <c r="AEI27" s="303"/>
      <c r="AEJ27" s="303"/>
      <c r="AEK27" s="303"/>
      <c r="AEL27" s="303"/>
      <c r="AEM27" s="303"/>
      <c r="AEN27" s="303"/>
      <c r="AEO27" s="303"/>
      <c r="AEP27" s="303"/>
      <c r="AEQ27" s="303"/>
      <c r="AER27" s="303"/>
      <c r="AES27" s="303"/>
      <c r="AET27" s="303"/>
      <c r="AEU27" s="303"/>
      <c r="AEV27" s="303"/>
      <c r="AEW27" s="303"/>
      <c r="AEX27" s="303"/>
      <c r="AEY27" s="303"/>
      <c r="AEZ27" s="303"/>
      <c r="AFA27" s="303"/>
      <c r="AFB27" s="303"/>
      <c r="AFC27" s="303"/>
      <c r="AFD27" s="303"/>
      <c r="AFE27" s="303"/>
      <c r="AFF27" s="303"/>
      <c r="AFG27" s="303"/>
      <c r="AFH27" s="303"/>
      <c r="AFI27" s="303"/>
      <c r="AFJ27" s="303"/>
      <c r="AFK27" s="303"/>
      <c r="AFL27" s="303"/>
      <c r="AFM27" s="303"/>
      <c r="AFN27" s="303"/>
      <c r="AFO27" s="303"/>
      <c r="AFP27" s="303"/>
      <c r="AFQ27" s="303"/>
      <c r="AFR27" s="303"/>
      <c r="AFS27" s="303"/>
      <c r="AFT27" s="303"/>
      <c r="AFU27" s="303"/>
      <c r="AFV27" s="303"/>
      <c r="AFW27" s="303"/>
      <c r="AFX27" s="303"/>
      <c r="AFY27" s="303"/>
      <c r="AFZ27" s="303"/>
      <c r="AGA27" s="303"/>
      <c r="AGB27" s="303"/>
      <c r="AGC27" s="303"/>
      <c r="AGD27" s="303"/>
      <c r="AGE27" s="303"/>
      <c r="AGF27" s="303"/>
      <c r="AGG27" s="303"/>
      <c r="AGH27" s="303"/>
      <c r="AGI27" s="303"/>
      <c r="AGJ27" s="303"/>
      <c r="AGK27" s="303"/>
      <c r="AGL27" s="303"/>
      <c r="AGM27" s="303"/>
      <c r="AGN27" s="303"/>
      <c r="AGO27" s="303"/>
      <c r="AGP27" s="303"/>
      <c r="AGQ27" s="303"/>
      <c r="AGR27" s="303"/>
      <c r="AGS27" s="303"/>
      <c r="AGT27" s="303"/>
      <c r="AGU27" s="303"/>
      <c r="AGV27" s="303"/>
      <c r="AGW27" s="303"/>
      <c r="AGX27" s="303"/>
      <c r="AGY27" s="303"/>
      <c r="AGZ27" s="303"/>
      <c r="AHA27" s="303"/>
      <c r="AHB27" s="303"/>
      <c r="AHC27" s="303"/>
      <c r="AHD27" s="303"/>
      <c r="AHE27" s="303"/>
      <c r="AHF27" s="303"/>
      <c r="AHG27" s="303"/>
      <c r="AHH27" s="303"/>
      <c r="AHI27" s="303"/>
      <c r="AHJ27" s="303"/>
      <c r="AHK27" s="303"/>
      <c r="AHL27" s="303"/>
      <c r="AHM27" s="303"/>
      <c r="AHN27" s="303"/>
      <c r="AHO27" s="303"/>
      <c r="AHP27" s="303"/>
      <c r="AHQ27" s="303"/>
      <c r="AHR27" s="303"/>
      <c r="AHS27" s="303"/>
      <c r="AHT27" s="303"/>
      <c r="AHU27" s="303"/>
      <c r="AHV27" s="303"/>
      <c r="AHW27" s="303"/>
      <c r="AHX27" s="303"/>
      <c r="AHY27" s="303"/>
      <c r="AHZ27" s="303"/>
      <c r="AIA27" s="303"/>
      <c r="AIB27" s="303"/>
      <c r="AIC27" s="303"/>
      <c r="AID27" s="303"/>
      <c r="AIE27" s="303"/>
      <c r="AIF27" s="303"/>
      <c r="AIG27" s="303"/>
      <c r="AIH27" s="303"/>
      <c r="AII27" s="303"/>
      <c r="AIJ27" s="303"/>
      <c r="AIK27" s="303"/>
      <c r="AIL27" s="303"/>
      <c r="AIM27" s="303"/>
      <c r="AIN27" s="303"/>
      <c r="AIO27" s="303"/>
      <c r="AIP27" s="303"/>
      <c r="AIQ27" s="303"/>
      <c r="AIR27" s="303"/>
      <c r="AIS27" s="303"/>
      <c r="AIT27" s="303"/>
      <c r="AIU27" s="303"/>
      <c r="AIV27" s="303"/>
      <c r="AIW27" s="303"/>
      <c r="AIX27" s="303"/>
      <c r="AIY27" s="303"/>
      <c r="AIZ27" s="303"/>
      <c r="AJA27" s="303"/>
      <c r="AJB27" s="303"/>
      <c r="AJC27" s="303"/>
      <c r="AJD27" s="303"/>
      <c r="AJE27" s="303"/>
      <c r="AJF27" s="303"/>
      <c r="AJG27" s="303"/>
      <c r="AJH27" s="303"/>
      <c r="AJI27" s="303"/>
      <c r="AJJ27" s="303"/>
      <c r="AJK27" s="303"/>
      <c r="AJL27" s="303"/>
      <c r="AJM27" s="303"/>
      <c r="AJN27" s="303"/>
      <c r="AJO27" s="303"/>
      <c r="AJP27" s="303"/>
      <c r="AJQ27" s="303"/>
      <c r="AJR27" s="303"/>
      <c r="AJS27" s="303"/>
      <c r="AJT27" s="303"/>
      <c r="AJU27" s="303"/>
      <c r="AJV27" s="303"/>
      <c r="AJW27" s="303"/>
      <c r="AJX27" s="303"/>
      <c r="AJY27" s="303"/>
      <c r="AJZ27" s="303"/>
      <c r="AKA27" s="303"/>
      <c r="AKB27" s="303"/>
      <c r="AKC27" s="303"/>
      <c r="AKD27" s="303"/>
      <c r="AKE27" s="303"/>
      <c r="AKF27" s="303"/>
      <c r="AKG27" s="303"/>
      <c r="AKH27" s="303"/>
      <c r="AKI27" s="303"/>
      <c r="AKJ27" s="303"/>
      <c r="AKK27" s="303"/>
      <c r="AKL27" s="303"/>
      <c r="AKM27" s="303"/>
      <c r="AKN27" s="303"/>
      <c r="AKO27" s="303"/>
      <c r="AKP27" s="303"/>
      <c r="AKQ27" s="303"/>
      <c r="AKR27" s="303"/>
      <c r="AKS27" s="303"/>
      <c r="AKT27" s="303"/>
      <c r="AKU27" s="303"/>
      <c r="AKV27" s="303"/>
      <c r="AKW27" s="303"/>
      <c r="AKX27" s="303"/>
      <c r="AKY27" s="303"/>
      <c r="AKZ27" s="303"/>
      <c r="ALA27" s="303"/>
      <c r="ALB27" s="303"/>
      <c r="ALC27" s="303"/>
      <c r="ALD27" s="303"/>
      <c r="ALE27" s="303"/>
      <c r="ALF27" s="303"/>
      <c r="ALG27" s="303"/>
      <c r="ALH27" s="303"/>
      <c r="ALI27" s="303"/>
      <c r="ALJ27" s="303"/>
      <c r="ALK27" s="303"/>
      <c r="ALL27" s="303"/>
      <c r="ALM27" s="303"/>
      <c r="ALN27" s="303"/>
      <c r="ALO27" s="303"/>
      <c r="ALP27" s="303"/>
      <c r="ALQ27" s="303"/>
      <c r="ALR27" s="303"/>
      <c r="ALS27" s="303"/>
      <c r="ALT27" s="303"/>
      <c r="ALU27" s="303"/>
      <c r="ALV27" s="303"/>
      <c r="ALW27" s="303"/>
      <c r="ALX27" s="303"/>
      <c r="ALY27" s="303"/>
      <c r="ALZ27" s="303"/>
      <c r="AMA27" s="303"/>
      <c r="AMB27" s="303"/>
      <c r="AMC27" s="303"/>
      <c r="AMD27" s="303"/>
      <c r="AME27" s="303"/>
      <c r="AMF27" s="303"/>
      <c r="AMG27" s="303"/>
      <c r="AMH27" s="303"/>
      <c r="AMI27" s="303"/>
      <c r="AMJ27" s="303"/>
      <c r="AMK27" s="303"/>
      <c r="AML27" s="303"/>
      <c r="AMM27" s="303"/>
      <c r="AMN27" s="303"/>
      <c r="AMO27" s="303"/>
      <c r="AMP27" s="303"/>
      <c r="AMQ27" s="303"/>
      <c r="AMR27" s="303"/>
      <c r="AMS27" s="303"/>
      <c r="AMT27" s="303"/>
      <c r="AMU27" s="303"/>
      <c r="AMV27" s="303"/>
      <c r="AMW27" s="303"/>
      <c r="AMX27" s="303"/>
      <c r="AMY27" s="303"/>
      <c r="AMZ27" s="303"/>
      <c r="ANA27" s="303"/>
      <c r="ANB27" s="303"/>
      <c r="ANC27" s="303"/>
      <c r="AND27" s="303"/>
      <c r="ANE27" s="303"/>
      <c r="ANF27" s="303"/>
      <c r="ANG27" s="303"/>
      <c r="ANH27" s="303"/>
      <c r="ANI27" s="303"/>
      <c r="ANJ27" s="303"/>
      <c r="ANK27" s="303"/>
      <c r="ANL27" s="303"/>
      <c r="ANM27" s="303"/>
      <c r="ANN27" s="303"/>
      <c r="ANO27" s="303"/>
      <c r="ANP27" s="303"/>
      <c r="ANQ27" s="303"/>
      <c r="ANR27" s="303"/>
      <c r="ANS27" s="303"/>
      <c r="ANT27" s="303"/>
      <c r="ANU27" s="303"/>
      <c r="ANV27" s="303"/>
      <c r="ANW27" s="303"/>
      <c r="ANX27" s="303"/>
      <c r="ANY27" s="303"/>
      <c r="ANZ27" s="303"/>
      <c r="AOA27" s="303"/>
      <c r="AOB27" s="303"/>
      <c r="AOC27" s="303"/>
      <c r="AOD27" s="303"/>
      <c r="AOE27" s="303"/>
      <c r="AOF27" s="303"/>
      <c r="AOG27" s="303"/>
      <c r="AOH27" s="303"/>
      <c r="AOI27" s="303"/>
      <c r="AOJ27" s="303"/>
      <c r="AOK27" s="303"/>
      <c r="AOL27" s="303"/>
      <c r="AOM27" s="303"/>
      <c r="AON27" s="303"/>
      <c r="AOO27" s="303"/>
      <c r="AOP27" s="303"/>
      <c r="AOQ27" s="303"/>
      <c r="AOR27" s="303"/>
      <c r="AOS27" s="303"/>
      <c r="AOT27" s="303"/>
      <c r="AOU27" s="303"/>
      <c r="AOV27" s="303"/>
      <c r="AOW27" s="303"/>
      <c r="AOX27" s="303"/>
      <c r="AOY27" s="303"/>
      <c r="AOZ27" s="303"/>
      <c r="APA27" s="303"/>
      <c r="APB27" s="303"/>
      <c r="APC27" s="303"/>
      <c r="APD27" s="303"/>
      <c r="APE27" s="303"/>
      <c r="APF27" s="303"/>
      <c r="APG27" s="303"/>
      <c r="APH27" s="303"/>
      <c r="API27" s="303"/>
      <c r="APJ27" s="303"/>
      <c r="APK27" s="303"/>
      <c r="APL27" s="303"/>
      <c r="APM27" s="303"/>
      <c r="APN27" s="303"/>
      <c r="APO27" s="303"/>
      <c r="APP27" s="303"/>
      <c r="APQ27" s="303"/>
      <c r="APR27" s="303"/>
      <c r="APS27" s="303"/>
      <c r="APT27" s="303"/>
      <c r="APU27" s="303"/>
      <c r="APV27" s="303"/>
      <c r="APW27" s="303"/>
      <c r="APX27" s="303"/>
      <c r="APY27" s="303"/>
      <c r="APZ27" s="303"/>
      <c r="AQA27" s="303"/>
      <c r="AQB27" s="303"/>
      <c r="AQC27" s="303"/>
      <c r="AQD27" s="303"/>
      <c r="AQE27" s="303"/>
      <c r="AQF27" s="303"/>
      <c r="AQG27" s="303"/>
      <c r="AQH27" s="303"/>
      <c r="AQI27" s="303"/>
      <c r="AQJ27" s="303"/>
      <c r="AQK27" s="303"/>
      <c r="AQL27" s="303"/>
      <c r="AQM27" s="303"/>
      <c r="AQN27" s="303"/>
      <c r="AQO27" s="303"/>
      <c r="AQP27" s="303"/>
      <c r="AQQ27" s="303"/>
      <c r="AQR27" s="303"/>
      <c r="AQS27" s="303"/>
      <c r="AQT27" s="303"/>
      <c r="AQU27" s="303"/>
      <c r="AQV27" s="303"/>
      <c r="AQW27" s="303"/>
      <c r="AQX27" s="303"/>
      <c r="AQY27" s="303"/>
      <c r="AQZ27" s="303"/>
      <c r="ARA27" s="303"/>
      <c r="ARB27" s="303"/>
      <c r="ARC27" s="303"/>
      <c r="ARD27" s="303"/>
      <c r="ARE27" s="303"/>
      <c r="ARF27" s="303"/>
      <c r="ARG27" s="303"/>
      <c r="ARH27" s="303"/>
      <c r="ARI27" s="303"/>
      <c r="ARJ27" s="303"/>
      <c r="ARK27" s="303"/>
      <c r="ARL27" s="303"/>
      <c r="ARM27" s="303"/>
      <c r="ARN27" s="303"/>
      <c r="ARO27" s="303"/>
      <c r="ARP27" s="303"/>
      <c r="ARQ27" s="303"/>
      <c r="ARR27" s="303"/>
      <c r="ARS27" s="303"/>
      <c r="ART27" s="303"/>
      <c r="ARU27" s="303"/>
      <c r="ARV27" s="303"/>
      <c r="ARW27" s="303"/>
      <c r="ARX27" s="303"/>
      <c r="ARY27" s="303"/>
      <c r="ARZ27" s="303"/>
      <c r="ASA27" s="303"/>
      <c r="ASB27" s="303"/>
      <c r="ASC27" s="303"/>
      <c r="ASD27" s="303"/>
      <c r="ASE27" s="303"/>
      <c r="ASF27" s="303"/>
      <c r="ASG27" s="303"/>
      <c r="ASH27" s="303"/>
      <c r="ASI27" s="303"/>
      <c r="ASJ27" s="303"/>
      <c r="ASK27" s="303"/>
      <c r="ASL27" s="303"/>
      <c r="ASM27" s="303"/>
      <c r="ASN27" s="303"/>
      <c r="ASO27" s="303"/>
      <c r="ASP27" s="303"/>
      <c r="ASQ27" s="303"/>
      <c r="ASR27" s="303"/>
      <c r="ASS27" s="303"/>
      <c r="AST27" s="303"/>
      <c r="ASU27" s="303"/>
      <c r="ASV27" s="303"/>
      <c r="ASW27" s="303"/>
      <c r="ASX27" s="303"/>
      <c r="ASY27" s="303"/>
      <c r="ASZ27" s="303"/>
      <c r="ATA27" s="303"/>
      <c r="ATB27" s="303"/>
      <c r="ATC27" s="303"/>
      <c r="ATD27" s="303"/>
      <c r="ATE27" s="303"/>
      <c r="ATF27" s="303"/>
      <c r="ATG27" s="303"/>
      <c r="ATH27" s="303"/>
      <c r="ATI27" s="303"/>
      <c r="ATJ27" s="303"/>
      <c r="ATK27" s="303"/>
      <c r="ATL27" s="303"/>
      <c r="ATM27" s="303"/>
      <c r="ATN27" s="303"/>
      <c r="ATO27" s="303"/>
      <c r="ATP27" s="303"/>
      <c r="ATQ27" s="303"/>
      <c r="ATR27" s="303"/>
      <c r="ATS27" s="303"/>
      <c r="ATT27" s="303"/>
      <c r="ATU27" s="303"/>
      <c r="ATV27" s="303"/>
      <c r="ATW27" s="303"/>
      <c r="ATX27" s="303"/>
      <c r="ATY27" s="303"/>
      <c r="ATZ27" s="303"/>
      <c r="AUA27" s="303"/>
      <c r="AUB27" s="303"/>
      <c r="AUC27" s="303"/>
      <c r="AUD27" s="303"/>
      <c r="AUE27" s="303"/>
      <c r="AUF27" s="303"/>
      <c r="AUG27" s="303"/>
      <c r="AUH27" s="303"/>
      <c r="AUI27" s="303"/>
      <c r="AUJ27" s="303"/>
      <c r="AUK27" s="303"/>
      <c r="AUL27" s="303"/>
      <c r="AUM27" s="303"/>
      <c r="AUN27" s="303"/>
      <c r="AUO27" s="303"/>
      <c r="AUP27" s="303"/>
      <c r="AUQ27" s="303"/>
      <c r="AUR27" s="303"/>
      <c r="AUS27" s="303"/>
      <c r="AUT27" s="303"/>
      <c r="AUU27" s="303"/>
      <c r="AUV27" s="303"/>
      <c r="AUW27" s="303"/>
      <c r="AUX27" s="303"/>
      <c r="AUY27" s="303"/>
      <c r="AUZ27" s="303"/>
      <c r="AVA27" s="303"/>
      <c r="AVB27" s="303"/>
      <c r="AVC27" s="303"/>
      <c r="AVD27" s="303"/>
      <c r="AVE27" s="303"/>
      <c r="AVF27" s="303"/>
      <c r="AVG27" s="303"/>
      <c r="AVH27" s="303"/>
      <c r="AVI27" s="303"/>
      <c r="AVJ27" s="303"/>
      <c r="AVK27" s="303"/>
      <c r="AVL27" s="303"/>
      <c r="AVM27" s="303"/>
      <c r="AVN27" s="303"/>
      <c r="AVO27" s="303"/>
      <c r="AVP27" s="303"/>
      <c r="AVQ27" s="303"/>
      <c r="AVR27" s="303"/>
      <c r="AVS27" s="303"/>
      <c r="AVT27" s="303"/>
      <c r="AVU27" s="303"/>
      <c r="AVV27" s="303"/>
      <c r="AVW27" s="303"/>
      <c r="AVX27" s="303"/>
      <c r="AVY27" s="303"/>
      <c r="AVZ27" s="303"/>
      <c r="AWA27" s="303"/>
      <c r="AWB27" s="303"/>
      <c r="AWC27" s="303"/>
      <c r="AWD27" s="303"/>
      <c r="AWE27" s="303"/>
      <c r="AWF27" s="303"/>
      <c r="AWG27" s="303"/>
      <c r="AWH27" s="303"/>
      <c r="AWI27" s="303"/>
      <c r="AWJ27" s="303"/>
      <c r="AWK27" s="303"/>
      <c r="AWL27" s="303"/>
      <c r="AWM27" s="303"/>
      <c r="AWN27" s="303"/>
      <c r="AWO27" s="303"/>
      <c r="AWP27" s="303"/>
      <c r="AWQ27" s="303"/>
      <c r="AWR27" s="303"/>
      <c r="AWS27" s="303"/>
      <c r="AWT27" s="303"/>
      <c r="AWU27" s="303"/>
      <c r="AWV27" s="303"/>
      <c r="AWW27" s="303"/>
      <c r="AWX27" s="303"/>
      <c r="AWY27" s="303"/>
      <c r="AWZ27" s="303"/>
      <c r="AXA27" s="303"/>
      <c r="AXB27" s="303"/>
      <c r="AXC27" s="303"/>
      <c r="AXD27" s="303"/>
      <c r="AXE27" s="303"/>
      <c r="AXF27" s="303"/>
      <c r="AXG27" s="303"/>
      <c r="AXH27" s="303"/>
      <c r="AXI27" s="303"/>
      <c r="AXJ27" s="303"/>
      <c r="AXK27" s="303"/>
      <c r="AXL27" s="303"/>
      <c r="AXM27" s="303"/>
      <c r="AXN27" s="303"/>
      <c r="AXO27" s="303"/>
      <c r="AXP27" s="303"/>
      <c r="AXQ27" s="303"/>
      <c r="AXR27" s="303"/>
      <c r="AXS27" s="303"/>
      <c r="AXT27" s="303"/>
      <c r="AXU27" s="303"/>
      <c r="AXV27" s="303"/>
      <c r="AXW27" s="303"/>
      <c r="AXX27" s="303"/>
      <c r="AXY27" s="303"/>
      <c r="AXZ27" s="303"/>
      <c r="AYA27" s="303"/>
      <c r="AYB27" s="303"/>
      <c r="AYC27" s="303"/>
      <c r="AYD27" s="303"/>
      <c r="AYE27" s="303"/>
      <c r="AYF27" s="303"/>
      <c r="AYG27" s="303"/>
      <c r="AYH27" s="303"/>
    </row>
    <row r="28" spans="1:1334" x14ac:dyDescent="0.25">
      <c r="A28" s="304" t="s">
        <v>1344</v>
      </c>
      <c r="B28" s="298" t="s">
        <v>1345</v>
      </c>
      <c r="C28" s="303"/>
      <c r="D28" s="303"/>
      <c r="E28" s="303"/>
      <c r="F28" s="303"/>
      <c r="G28" s="303"/>
      <c r="H28" s="303"/>
      <c r="I28" s="303"/>
      <c r="J28" s="303"/>
      <c r="K28" s="303"/>
      <c r="L28" s="303"/>
      <c r="M28" s="303"/>
      <c r="N28" s="303"/>
      <c r="O28" s="303"/>
      <c r="P28" s="303"/>
      <c r="Q28" s="303"/>
      <c r="R28" s="303"/>
      <c r="S28" s="303"/>
      <c r="T28" s="303"/>
      <c r="U28" s="303"/>
      <c r="V28" s="303"/>
      <c r="W28" s="303"/>
      <c r="X28" s="303"/>
      <c r="Y28" s="303"/>
      <c r="Z28" s="303"/>
      <c r="AA28" s="303"/>
      <c r="AB28" s="303"/>
      <c r="AC28" s="303"/>
      <c r="AD28" s="303"/>
      <c r="AE28" s="303"/>
      <c r="AF28" s="303"/>
      <c r="AG28" s="303"/>
      <c r="AH28" s="303"/>
      <c r="AI28" s="303"/>
      <c r="AJ28" s="303"/>
      <c r="AK28" s="303"/>
      <c r="AL28" s="303"/>
      <c r="AM28" s="303"/>
      <c r="AN28" s="303"/>
      <c r="AO28" s="303"/>
      <c r="AP28" s="303"/>
      <c r="AQ28" s="303"/>
      <c r="AR28" s="303"/>
      <c r="AS28" s="303"/>
      <c r="AT28" s="303"/>
      <c r="AU28" s="303"/>
      <c r="AV28" s="303"/>
      <c r="AW28" s="303"/>
      <c r="AX28" s="303"/>
      <c r="AY28" s="303"/>
      <c r="AZ28" s="303"/>
      <c r="BA28" s="303"/>
      <c r="BB28" s="303"/>
      <c r="BC28" s="303"/>
      <c r="BD28" s="303"/>
      <c r="BE28" s="303"/>
      <c r="BF28" s="303"/>
      <c r="BG28" s="303"/>
      <c r="BH28" s="303"/>
      <c r="BI28" s="303"/>
      <c r="BJ28" s="303"/>
      <c r="BK28" s="303"/>
      <c r="BL28" s="303"/>
      <c r="BM28" s="303"/>
      <c r="BN28" s="303"/>
      <c r="BO28" s="303"/>
      <c r="BP28" s="303"/>
      <c r="BQ28" s="303"/>
      <c r="BR28" s="303"/>
      <c r="BS28" s="303"/>
      <c r="BT28" s="303"/>
      <c r="BU28" s="303"/>
      <c r="BV28" s="303"/>
      <c r="BW28" s="303"/>
      <c r="BX28" s="303"/>
      <c r="BY28" s="303"/>
      <c r="BZ28" s="303"/>
      <c r="CA28" s="303"/>
      <c r="CB28" s="303"/>
      <c r="CC28" s="303"/>
      <c r="CD28" s="303"/>
      <c r="CE28" s="303"/>
      <c r="CF28" s="303"/>
      <c r="CG28" s="303"/>
      <c r="CH28" s="303"/>
      <c r="CI28" s="303"/>
      <c r="CJ28" s="303"/>
      <c r="CK28" s="303"/>
      <c r="CL28" s="303"/>
      <c r="CM28" s="303"/>
      <c r="CN28" s="303"/>
      <c r="CO28" s="303"/>
      <c r="CP28" s="303"/>
      <c r="CQ28" s="303"/>
      <c r="CR28" s="303"/>
      <c r="CS28" s="303"/>
      <c r="CT28" s="303"/>
      <c r="CU28" s="303"/>
      <c r="CV28" s="303"/>
      <c r="CW28" s="303"/>
      <c r="CX28" s="303"/>
      <c r="CY28" s="303"/>
      <c r="CZ28" s="303"/>
      <c r="DA28" s="303"/>
      <c r="DB28" s="303"/>
      <c r="DC28" s="303"/>
      <c r="DD28" s="303"/>
      <c r="DE28" s="303"/>
      <c r="DF28" s="303"/>
      <c r="DG28" s="303"/>
      <c r="DH28" s="303"/>
      <c r="DI28" s="303"/>
      <c r="DJ28" s="303"/>
      <c r="DK28" s="303"/>
      <c r="DL28" s="303"/>
      <c r="DM28" s="303"/>
      <c r="DN28" s="303"/>
      <c r="DO28" s="303"/>
      <c r="DP28" s="303"/>
      <c r="DQ28" s="303"/>
      <c r="DR28" s="303"/>
      <c r="DS28" s="303"/>
      <c r="DT28" s="303"/>
      <c r="DU28" s="303"/>
      <c r="DV28" s="303"/>
      <c r="DW28" s="303"/>
      <c r="DX28" s="303"/>
      <c r="DY28" s="303"/>
      <c r="DZ28" s="303"/>
      <c r="EA28" s="303"/>
      <c r="EB28" s="303"/>
      <c r="EC28" s="303"/>
      <c r="ED28" s="303"/>
      <c r="EE28" s="303"/>
      <c r="EF28" s="303"/>
      <c r="EG28" s="303"/>
      <c r="EH28" s="303"/>
      <c r="EI28" s="303"/>
      <c r="EJ28" s="303"/>
      <c r="EK28" s="303"/>
      <c r="EL28" s="303"/>
      <c r="EM28" s="303"/>
      <c r="EN28" s="303"/>
      <c r="EO28" s="303"/>
      <c r="EP28" s="303"/>
      <c r="EQ28" s="303"/>
      <c r="ER28" s="303"/>
      <c r="ES28" s="303"/>
      <c r="ET28" s="303"/>
      <c r="EU28" s="303"/>
      <c r="EV28" s="303"/>
      <c r="EW28" s="303"/>
      <c r="EX28" s="303"/>
      <c r="EY28" s="303"/>
      <c r="EZ28" s="303"/>
      <c r="FA28" s="303"/>
      <c r="FB28" s="303"/>
      <c r="FC28" s="303"/>
      <c r="FD28" s="303"/>
      <c r="FE28" s="303"/>
      <c r="FF28" s="303"/>
      <c r="FG28" s="303"/>
      <c r="FH28" s="303"/>
      <c r="FI28" s="303"/>
      <c r="FJ28" s="303"/>
      <c r="FK28" s="303"/>
      <c r="FL28" s="303"/>
      <c r="FM28" s="303"/>
      <c r="FN28" s="303"/>
      <c r="FO28" s="303"/>
      <c r="FP28" s="303"/>
      <c r="FQ28" s="303"/>
      <c r="FR28" s="303"/>
      <c r="FS28" s="303"/>
      <c r="FT28" s="303"/>
      <c r="FU28" s="303"/>
      <c r="FV28" s="303"/>
      <c r="FW28" s="303"/>
      <c r="FX28" s="303"/>
      <c r="FY28" s="303"/>
      <c r="FZ28" s="303"/>
      <c r="GA28" s="303"/>
      <c r="GB28" s="303"/>
      <c r="GC28" s="303"/>
      <c r="GD28" s="303"/>
      <c r="GE28" s="303"/>
      <c r="GF28" s="303"/>
      <c r="GG28" s="303"/>
      <c r="GH28" s="303"/>
      <c r="GI28" s="303"/>
      <c r="GJ28" s="303"/>
      <c r="GK28" s="303"/>
      <c r="GL28" s="303"/>
      <c r="GM28" s="303"/>
      <c r="GN28" s="303"/>
      <c r="GO28" s="303"/>
      <c r="GP28" s="303"/>
      <c r="GQ28" s="303"/>
      <c r="GR28" s="303"/>
      <c r="GS28" s="303"/>
      <c r="GT28" s="303"/>
      <c r="GU28" s="303"/>
      <c r="GV28" s="303"/>
      <c r="GW28" s="303"/>
      <c r="GX28" s="303"/>
      <c r="GY28" s="303"/>
      <c r="GZ28" s="303"/>
      <c r="HA28" s="303"/>
      <c r="HB28" s="303"/>
      <c r="HC28" s="303"/>
      <c r="HD28" s="303"/>
      <c r="HE28" s="303"/>
      <c r="HF28" s="303"/>
      <c r="HG28" s="303"/>
      <c r="HH28" s="303"/>
      <c r="HI28" s="303"/>
      <c r="HJ28" s="303"/>
      <c r="HK28" s="303"/>
      <c r="HL28" s="303"/>
      <c r="HM28" s="303"/>
      <c r="HN28" s="303"/>
      <c r="HO28" s="303"/>
      <c r="HP28" s="303"/>
      <c r="HQ28" s="303"/>
      <c r="HR28" s="303"/>
      <c r="HS28" s="303"/>
      <c r="HT28" s="303"/>
      <c r="HU28" s="303"/>
      <c r="HV28" s="303"/>
      <c r="HW28" s="303"/>
      <c r="HX28" s="303"/>
      <c r="HY28" s="303"/>
      <c r="HZ28" s="303"/>
      <c r="IA28" s="303"/>
      <c r="IB28" s="303"/>
      <c r="IC28" s="303"/>
      <c r="ID28" s="303"/>
      <c r="IE28" s="303"/>
      <c r="IF28" s="303"/>
      <c r="IG28" s="303"/>
      <c r="IH28" s="303"/>
      <c r="II28" s="303"/>
      <c r="IJ28" s="303"/>
      <c r="IK28" s="303"/>
      <c r="IL28" s="303"/>
      <c r="IM28" s="303"/>
      <c r="IN28" s="303"/>
      <c r="IO28" s="303"/>
      <c r="IP28" s="303"/>
      <c r="IQ28" s="303"/>
      <c r="IR28" s="303"/>
      <c r="IS28" s="303"/>
      <c r="IT28" s="303"/>
      <c r="IU28" s="303"/>
      <c r="IV28" s="303"/>
      <c r="IW28" s="303"/>
      <c r="IX28" s="303"/>
      <c r="IY28" s="303"/>
      <c r="IZ28" s="303"/>
      <c r="JA28" s="303"/>
      <c r="JB28" s="303"/>
      <c r="JC28" s="303"/>
      <c r="JD28" s="303"/>
      <c r="JE28" s="303"/>
      <c r="JF28" s="303"/>
      <c r="JG28" s="303"/>
      <c r="JH28" s="303"/>
      <c r="JI28" s="303"/>
      <c r="JJ28" s="303"/>
      <c r="JK28" s="303"/>
      <c r="JL28" s="303"/>
      <c r="JM28" s="303"/>
      <c r="JN28" s="303"/>
      <c r="JO28" s="303"/>
      <c r="JP28" s="303"/>
      <c r="JQ28" s="303"/>
      <c r="JR28" s="303"/>
      <c r="JS28" s="303"/>
      <c r="JT28" s="303"/>
      <c r="JU28" s="303"/>
      <c r="JV28" s="303"/>
      <c r="JW28" s="303"/>
      <c r="JX28" s="303"/>
      <c r="JY28" s="303"/>
      <c r="JZ28" s="303"/>
      <c r="KA28" s="303"/>
      <c r="KB28" s="303"/>
      <c r="KC28" s="303"/>
      <c r="KD28" s="303"/>
      <c r="KE28" s="303"/>
      <c r="KF28" s="303"/>
      <c r="KG28" s="303"/>
      <c r="KH28" s="303"/>
      <c r="KI28" s="303"/>
      <c r="KJ28" s="303"/>
      <c r="KK28" s="303"/>
      <c r="KL28" s="303"/>
      <c r="KM28" s="303"/>
      <c r="KN28" s="303"/>
      <c r="KO28" s="303"/>
      <c r="KP28" s="303"/>
      <c r="KQ28" s="303"/>
      <c r="KR28" s="303"/>
      <c r="KS28" s="303"/>
      <c r="KT28" s="303"/>
      <c r="KU28" s="303"/>
      <c r="KV28" s="303"/>
      <c r="KW28" s="303"/>
      <c r="KX28" s="303"/>
      <c r="KY28" s="303"/>
      <c r="KZ28" s="303"/>
      <c r="LA28" s="303"/>
      <c r="LB28" s="303"/>
      <c r="LC28" s="303"/>
      <c r="LD28" s="303"/>
      <c r="LE28" s="303"/>
      <c r="LF28" s="303"/>
      <c r="LG28" s="303"/>
      <c r="LH28" s="303"/>
      <c r="LI28" s="303"/>
      <c r="LJ28" s="303"/>
      <c r="LK28" s="303"/>
      <c r="LL28" s="303"/>
      <c r="LM28" s="303"/>
      <c r="LN28" s="303"/>
      <c r="LO28" s="303"/>
      <c r="LP28" s="303"/>
      <c r="LQ28" s="303"/>
      <c r="LR28" s="303"/>
      <c r="LS28" s="303"/>
      <c r="LT28" s="303"/>
      <c r="LU28" s="303"/>
      <c r="LV28" s="303"/>
      <c r="LW28" s="303"/>
      <c r="LX28" s="303"/>
      <c r="LY28" s="303"/>
      <c r="LZ28" s="303"/>
      <c r="MA28" s="303"/>
      <c r="MB28" s="303"/>
      <c r="MC28" s="303"/>
      <c r="MD28" s="303"/>
      <c r="ME28" s="303"/>
      <c r="MF28" s="303"/>
      <c r="MG28" s="303"/>
      <c r="MH28" s="303"/>
      <c r="MI28" s="303"/>
      <c r="MJ28" s="303"/>
      <c r="MK28" s="303"/>
      <c r="ML28" s="303"/>
      <c r="MM28" s="303"/>
      <c r="MN28" s="303"/>
      <c r="MO28" s="303"/>
      <c r="MP28" s="303"/>
      <c r="MQ28" s="303"/>
      <c r="MR28" s="303"/>
      <c r="MS28" s="303"/>
      <c r="MT28" s="303"/>
      <c r="MU28" s="303"/>
      <c r="MV28" s="303"/>
      <c r="MW28" s="303"/>
      <c r="MX28" s="303"/>
      <c r="MY28" s="303"/>
      <c r="MZ28" s="303"/>
      <c r="NA28" s="303"/>
      <c r="NB28" s="303"/>
      <c r="NC28" s="303"/>
      <c r="ND28" s="303"/>
      <c r="NE28" s="303"/>
      <c r="NF28" s="303"/>
      <c r="NG28" s="303"/>
      <c r="NH28" s="303"/>
      <c r="NI28" s="303"/>
      <c r="NJ28" s="303"/>
      <c r="NK28" s="303"/>
      <c r="NL28" s="303"/>
      <c r="NM28" s="303"/>
      <c r="NN28" s="303"/>
      <c r="NO28" s="303"/>
      <c r="NP28" s="303"/>
      <c r="NQ28" s="303"/>
      <c r="NR28" s="303"/>
      <c r="NS28" s="303"/>
      <c r="NT28" s="303"/>
      <c r="NU28" s="303"/>
      <c r="NV28" s="303"/>
      <c r="NW28" s="303"/>
      <c r="NX28" s="303"/>
      <c r="NY28" s="303"/>
      <c r="NZ28" s="303"/>
      <c r="OA28" s="303"/>
      <c r="OB28" s="303"/>
      <c r="OC28" s="303"/>
      <c r="OD28" s="303"/>
      <c r="OE28" s="303"/>
      <c r="OF28" s="303"/>
      <c r="OG28" s="303"/>
      <c r="OH28" s="303"/>
      <c r="OI28" s="303"/>
      <c r="OJ28" s="303"/>
      <c r="OK28" s="303"/>
      <c r="OL28" s="303"/>
      <c r="OM28" s="303"/>
      <c r="ON28" s="303"/>
      <c r="OO28" s="303"/>
      <c r="OP28" s="303"/>
      <c r="OQ28" s="303"/>
      <c r="OR28" s="303"/>
      <c r="OS28" s="303"/>
      <c r="OT28" s="303"/>
      <c r="OU28" s="303"/>
      <c r="OV28" s="303"/>
      <c r="OW28" s="303"/>
      <c r="OX28" s="303"/>
      <c r="OY28" s="303"/>
      <c r="OZ28" s="303"/>
      <c r="PA28" s="303"/>
      <c r="PB28" s="303"/>
      <c r="PC28" s="303"/>
      <c r="PD28" s="303"/>
      <c r="PE28" s="303"/>
      <c r="PF28" s="303"/>
      <c r="PG28" s="303"/>
      <c r="PH28" s="303"/>
      <c r="PI28" s="303"/>
      <c r="PJ28" s="303"/>
      <c r="PK28" s="303"/>
      <c r="PL28" s="303"/>
      <c r="PM28" s="303"/>
      <c r="PN28" s="303"/>
      <c r="PO28" s="303"/>
      <c r="PP28" s="303"/>
      <c r="PQ28" s="303"/>
      <c r="PR28" s="303"/>
      <c r="PS28" s="303"/>
      <c r="PT28" s="303"/>
      <c r="PU28" s="303"/>
      <c r="PV28" s="303"/>
      <c r="PW28" s="303"/>
      <c r="PX28" s="303"/>
      <c r="PY28" s="303"/>
      <c r="PZ28" s="303"/>
      <c r="QA28" s="303"/>
      <c r="QB28" s="303"/>
      <c r="QC28" s="303"/>
      <c r="QD28" s="303"/>
      <c r="QE28" s="303"/>
      <c r="QF28" s="303"/>
      <c r="QG28" s="303"/>
      <c r="QH28" s="303"/>
      <c r="QI28" s="303"/>
      <c r="QJ28" s="303"/>
      <c r="QK28" s="303"/>
      <c r="QL28" s="303"/>
      <c r="QM28" s="303"/>
      <c r="QN28" s="303"/>
      <c r="QO28" s="303"/>
      <c r="QP28" s="303"/>
      <c r="QQ28" s="303"/>
      <c r="QR28" s="303"/>
      <c r="QS28" s="303"/>
      <c r="QT28" s="303"/>
      <c r="QU28" s="303"/>
      <c r="QV28" s="303"/>
      <c r="QW28" s="303"/>
      <c r="QX28" s="303"/>
      <c r="QY28" s="303"/>
      <c r="QZ28" s="303"/>
      <c r="RA28" s="303"/>
      <c r="RB28" s="303"/>
      <c r="RC28" s="303"/>
      <c r="RD28" s="303"/>
      <c r="RE28" s="303"/>
      <c r="RF28" s="303"/>
      <c r="RG28" s="303"/>
      <c r="RH28" s="303"/>
      <c r="RI28" s="303"/>
      <c r="RJ28" s="303"/>
      <c r="RK28" s="303"/>
      <c r="RL28" s="303"/>
      <c r="RM28" s="303"/>
      <c r="RN28" s="303"/>
      <c r="RO28" s="303"/>
      <c r="RP28" s="303"/>
      <c r="RQ28" s="303"/>
      <c r="RR28" s="303"/>
      <c r="RS28" s="303"/>
      <c r="RT28" s="303"/>
      <c r="RU28" s="303"/>
      <c r="RV28" s="303"/>
      <c r="RW28" s="303"/>
      <c r="RX28" s="303"/>
      <c r="RY28" s="303"/>
      <c r="RZ28" s="303"/>
      <c r="SA28" s="303"/>
      <c r="SB28" s="303"/>
      <c r="SC28" s="303"/>
      <c r="SD28" s="303"/>
      <c r="SE28" s="303"/>
      <c r="SF28" s="303"/>
      <c r="SG28" s="303"/>
      <c r="SH28" s="303"/>
      <c r="SI28" s="303"/>
      <c r="SJ28" s="303"/>
      <c r="SK28" s="303"/>
      <c r="SL28" s="303"/>
      <c r="SM28" s="303"/>
      <c r="SN28" s="303"/>
      <c r="SO28" s="303"/>
      <c r="SP28" s="303"/>
      <c r="SQ28" s="303"/>
      <c r="SR28" s="303"/>
      <c r="SS28" s="303"/>
      <c r="ST28" s="303"/>
      <c r="SU28" s="303"/>
      <c r="SV28" s="303"/>
      <c r="SW28" s="303"/>
      <c r="SX28" s="303"/>
      <c r="SY28" s="303"/>
      <c r="SZ28" s="303"/>
      <c r="TA28" s="303"/>
      <c r="TB28" s="303"/>
      <c r="TC28" s="303"/>
      <c r="TD28" s="303"/>
      <c r="TE28" s="303"/>
      <c r="TF28" s="303"/>
      <c r="TG28" s="303"/>
      <c r="TH28" s="303"/>
      <c r="TI28" s="303"/>
      <c r="TJ28" s="303"/>
      <c r="TK28" s="303"/>
      <c r="TL28" s="303"/>
      <c r="TM28" s="303"/>
      <c r="TN28" s="303"/>
      <c r="TO28" s="303"/>
      <c r="TP28" s="303"/>
      <c r="TQ28" s="303"/>
      <c r="TR28" s="303"/>
      <c r="TS28" s="303"/>
      <c r="TT28" s="303"/>
      <c r="TU28" s="303"/>
      <c r="TV28" s="303"/>
      <c r="TW28" s="303"/>
      <c r="TX28" s="303"/>
      <c r="TY28" s="303"/>
      <c r="TZ28" s="303"/>
      <c r="UA28" s="303"/>
      <c r="UB28" s="303"/>
      <c r="UC28" s="303"/>
      <c r="UD28" s="303"/>
      <c r="UE28" s="303"/>
      <c r="UF28" s="303"/>
      <c r="UG28" s="303"/>
      <c r="UH28" s="303"/>
      <c r="UI28" s="303"/>
      <c r="UJ28" s="303"/>
      <c r="UK28" s="303"/>
      <c r="UL28" s="303"/>
      <c r="UM28" s="303"/>
      <c r="UN28" s="303"/>
      <c r="UO28" s="303"/>
      <c r="UP28" s="303"/>
      <c r="UQ28" s="303"/>
      <c r="UR28" s="303"/>
      <c r="US28" s="303"/>
      <c r="UT28" s="303"/>
      <c r="UU28" s="303"/>
      <c r="UV28" s="303"/>
      <c r="UW28" s="303"/>
      <c r="UX28" s="303"/>
      <c r="UY28" s="303"/>
      <c r="UZ28" s="303"/>
      <c r="VA28" s="303"/>
      <c r="VB28" s="303"/>
      <c r="VC28" s="303"/>
      <c r="VD28" s="303"/>
      <c r="VE28" s="303"/>
      <c r="VF28" s="303"/>
      <c r="VG28" s="303"/>
      <c r="VH28" s="303"/>
      <c r="VI28" s="303"/>
      <c r="VJ28" s="303"/>
      <c r="VK28" s="303"/>
      <c r="VL28" s="303"/>
      <c r="VM28" s="303"/>
      <c r="VN28" s="303"/>
      <c r="VO28" s="303"/>
      <c r="VP28" s="303"/>
      <c r="VQ28" s="303"/>
      <c r="VR28" s="303"/>
      <c r="VS28" s="303"/>
      <c r="VT28" s="303"/>
      <c r="VU28" s="303"/>
      <c r="VV28" s="303"/>
      <c r="VW28" s="303"/>
      <c r="VX28" s="303"/>
      <c r="VY28" s="303"/>
      <c r="VZ28" s="303"/>
      <c r="WA28" s="303"/>
      <c r="WB28" s="303"/>
      <c r="WC28" s="303"/>
      <c r="WD28" s="303"/>
      <c r="WE28" s="303"/>
      <c r="WF28" s="303"/>
      <c r="WG28" s="303"/>
      <c r="WH28" s="303"/>
      <c r="WI28" s="303"/>
      <c r="WJ28" s="303"/>
      <c r="WK28" s="303"/>
      <c r="WL28" s="303"/>
      <c r="WM28" s="303"/>
      <c r="WN28" s="303"/>
      <c r="WO28" s="303"/>
      <c r="WP28" s="303"/>
      <c r="WQ28" s="303"/>
      <c r="WR28" s="303"/>
      <c r="WS28" s="303"/>
      <c r="WT28" s="303"/>
      <c r="WU28" s="303"/>
      <c r="WV28" s="303"/>
      <c r="WW28" s="303"/>
      <c r="WX28" s="303"/>
      <c r="WY28" s="303"/>
      <c r="WZ28" s="303"/>
      <c r="XA28" s="303"/>
      <c r="XB28" s="303"/>
      <c r="XC28" s="303"/>
      <c r="XD28" s="303"/>
      <c r="XE28" s="303"/>
      <c r="XF28" s="303"/>
      <c r="XG28" s="303"/>
      <c r="XH28" s="303"/>
      <c r="XI28" s="303"/>
      <c r="XJ28" s="303"/>
      <c r="XK28" s="303"/>
      <c r="XL28" s="303"/>
      <c r="XM28" s="303"/>
      <c r="XN28" s="303"/>
      <c r="XO28" s="303"/>
      <c r="XP28" s="303"/>
      <c r="XQ28" s="303"/>
      <c r="XR28" s="303"/>
      <c r="XS28" s="303"/>
      <c r="XT28" s="303"/>
      <c r="XU28" s="303"/>
      <c r="XV28" s="303"/>
      <c r="XW28" s="303"/>
      <c r="XX28" s="303"/>
      <c r="XY28" s="303"/>
      <c r="XZ28" s="303"/>
      <c r="YA28" s="303"/>
      <c r="YB28" s="303"/>
      <c r="YC28" s="303"/>
      <c r="YD28" s="303"/>
      <c r="YE28" s="303"/>
      <c r="YF28" s="303"/>
      <c r="YG28" s="303"/>
      <c r="YH28" s="303"/>
      <c r="YI28" s="303"/>
      <c r="YJ28" s="303"/>
      <c r="YK28" s="303"/>
      <c r="YL28" s="303"/>
      <c r="YM28" s="303"/>
      <c r="YN28" s="303"/>
      <c r="YO28" s="303"/>
      <c r="YP28" s="303"/>
      <c r="YQ28" s="303"/>
      <c r="YR28" s="303"/>
      <c r="YS28" s="303"/>
      <c r="YT28" s="303"/>
      <c r="YU28" s="303"/>
      <c r="YV28" s="303"/>
      <c r="YW28" s="303"/>
      <c r="YX28" s="303"/>
      <c r="YY28" s="303"/>
      <c r="YZ28" s="303"/>
      <c r="ZA28" s="303"/>
      <c r="ZB28" s="303"/>
      <c r="ZC28" s="303"/>
      <c r="ZD28" s="303"/>
      <c r="ZE28" s="303"/>
      <c r="ZF28" s="303"/>
      <c r="ZG28" s="303"/>
      <c r="ZH28" s="303"/>
      <c r="ZI28" s="303"/>
      <c r="ZJ28" s="303"/>
      <c r="ZK28" s="303"/>
      <c r="ZL28" s="303"/>
      <c r="ZM28" s="303"/>
      <c r="ZN28" s="303"/>
      <c r="ZO28" s="303"/>
      <c r="ZP28" s="303"/>
      <c r="ZQ28" s="303"/>
      <c r="ZR28" s="303"/>
      <c r="ZS28" s="303"/>
      <c r="ZT28" s="303"/>
      <c r="ZU28" s="303"/>
      <c r="ZV28" s="303"/>
      <c r="ZW28" s="303"/>
      <c r="ZX28" s="303"/>
      <c r="ZY28" s="303"/>
      <c r="ZZ28" s="303"/>
      <c r="AAA28" s="303"/>
      <c r="AAB28" s="303"/>
      <c r="AAC28" s="303"/>
      <c r="AAD28" s="303"/>
      <c r="AAE28" s="303"/>
      <c r="AAF28" s="303"/>
      <c r="AAG28" s="303"/>
      <c r="AAH28" s="303"/>
      <c r="AAI28" s="303"/>
      <c r="AAJ28" s="303"/>
      <c r="AAK28" s="303"/>
      <c r="AAL28" s="303"/>
      <c r="AAM28" s="303"/>
      <c r="AAN28" s="303"/>
      <c r="AAO28" s="303"/>
      <c r="AAP28" s="303"/>
      <c r="AAQ28" s="303"/>
      <c r="AAR28" s="303"/>
      <c r="AAS28" s="303"/>
      <c r="AAT28" s="303"/>
      <c r="AAU28" s="303"/>
      <c r="AAV28" s="303"/>
      <c r="AAW28" s="303"/>
      <c r="AAX28" s="303"/>
      <c r="AAY28" s="303"/>
      <c r="AAZ28" s="303"/>
      <c r="ABA28" s="303"/>
      <c r="ABB28" s="303"/>
      <c r="ABC28" s="303"/>
      <c r="ABD28" s="303"/>
      <c r="ABE28" s="303"/>
      <c r="ABF28" s="303"/>
      <c r="ABG28" s="303"/>
      <c r="ABH28" s="303"/>
      <c r="ABI28" s="303"/>
      <c r="ABJ28" s="303"/>
      <c r="ABK28" s="303"/>
      <c r="ABL28" s="303"/>
      <c r="ABM28" s="303"/>
      <c r="ABN28" s="303"/>
      <c r="ABO28" s="303"/>
      <c r="ABP28" s="303"/>
      <c r="ABQ28" s="303"/>
      <c r="ABR28" s="303"/>
      <c r="ABS28" s="303"/>
      <c r="ABT28" s="303"/>
      <c r="ABU28" s="303"/>
      <c r="ABV28" s="303"/>
      <c r="ABW28" s="303"/>
      <c r="ABX28" s="303"/>
      <c r="ABY28" s="303"/>
      <c r="ABZ28" s="303"/>
      <c r="ACA28" s="303"/>
      <c r="ACB28" s="303"/>
      <c r="ACC28" s="303"/>
      <c r="ACD28" s="303"/>
      <c r="ACE28" s="303"/>
      <c r="ACF28" s="303"/>
      <c r="ACG28" s="303"/>
      <c r="ACH28" s="303"/>
      <c r="ACI28" s="303"/>
      <c r="ACJ28" s="303"/>
      <c r="ACK28" s="303"/>
      <c r="ACL28" s="303"/>
      <c r="ACM28" s="303"/>
      <c r="ACN28" s="303"/>
      <c r="ACO28" s="303"/>
      <c r="ACP28" s="303"/>
      <c r="ACQ28" s="303"/>
      <c r="ACR28" s="303"/>
      <c r="ACS28" s="303"/>
      <c r="ACT28" s="303"/>
      <c r="ACU28" s="303"/>
      <c r="ACV28" s="303"/>
      <c r="ACW28" s="303"/>
      <c r="ACX28" s="303"/>
      <c r="ACY28" s="303"/>
      <c r="ACZ28" s="303"/>
      <c r="ADA28" s="303"/>
      <c r="ADB28" s="303"/>
      <c r="ADC28" s="303"/>
      <c r="ADD28" s="303"/>
      <c r="ADE28" s="303"/>
      <c r="ADF28" s="303"/>
      <c r="ADG28" s="303"/>
      <c r="ADH28" s="303"/>
      <c r="ADI28" s="303"/>
      <c r="ADJ28" s="303"/>
      <c r="ADK28" s="303"/>
      <c r="ADL28" s="303"/>
      <c r="ADM28" s="303"/>
      <c r="ADN28" s="303"/>
      <c r="ADO28" s="303"/>
      <c r="ADP28" s="303"/>
      <c r="ADQ28" s="303"/>
      <c r="ADR28" s="303"/>
      <c r="ADS28" s="303"/>
      <c r="ADT28" s="303"/>
      <c r="ADU28" s="303"/>
      <c r="ADV28" s="303"/>
      <c r="ADW28" s="303"/>
      <c r="ADX28" s="303"/>
      <c r="ADY28" s="303"/>
      <c r="ADZ28" s="303"/>
      <c r="AEA28" s="303"/>
      <c r="AEB28" s="303"/>
      <c r="AEC28" s="303"/>
      <c r="AED28" s="303"/>
      <c r="AEE28" s="303"/>
      <c r="AEF28" s="303"/>
      <c r="AEG28" s="303"/>
      <c r="AEH28" s="303"/>
      <c r="AEI28" s="303"/>
      <c r="AEJ28" s="303"/>
      <c r="AEK28" s="303"/>
      <c r="AEL28" s="303"/>
      <c r="AEM28" s="303"/>
      <c r="AEN28" s="303"/>
      <c r="AEO28" s="303"/>
      <c r="AEP28" s="303"/>
      <c r="AEQ28" s="303"/>
      <c r="AER28" s="303"/>
      <c r="AES28" s="303"/>
      <c r="AET28" s="303"/>
      <c r="AEU28" s="303"/>
      <c r="AEV28" s="303"/>
      <c r="AEW28" s="303"/>
      <c r="AEX28" s="303"/>
      <c r="AEY28" s="303"/>
      <c r="AEZ28" s="303"/>
      <c r="AFA28" s="303"/>
      <c r="AFB28" s="303"/>
      <c r="AFC28" s="303"/>
      <c r="AFD28" s="303"/>
      <c r="AFE28" s="303"/>
      <c r="AFF28" s="303"/>
      <c r="AFG28" s="303"/>
      <c r="AFH28" s="303"/>
      <c r="AFI28" s="303"/>
      <c r="AFJ28" s="303"/>
      <c r="AFK28" s="303"/>
      <c r="AFL28" s="303"/>
      <c r="AFM28" s="303"/>
      <c r="AFN28" s="303"/>
      <c r="AFO28" s="303"/>
      <c r="AFP28" s="303"/>
      <c r="AFQ28" s="303"/>
      <c r="AFR28" s="303"/>
      <c r="AFS28" s="303"/>
      <c r="AFT28" s="303"/>
      <c r="AFU28" s="303"/>
      <c r="AFV28" s="303"/>
      <c r="AFW28" s="303"/>
      <c r="AFX28" s="303"/>
      <c r="AFY28" s="303"/>
      <c r="AFZ28" s="303"/>
      <c r="AGA28" s="303"/>
      <c r="AGB28" s="303"/>
      <c r="AGC28" s="303"/>
      <c r="AGD28" s="303"/>
      <c r="AGE28" s="303"/>
      <c r="AGF28" s="303"/>
      <c r="AGG28" s="303"/>
      <c r="AGH28" s="303"/>
      <c r="AGI28" s="303"/>
      <c r="AGJ28" s="303"/>
      <c r="AGK28" s="303"/>
      <c r="AGL28" s="303"/>
      <c r="AGM28" s="303"/>
      <c r="AGN28" s="303"/>
      <c r="AGO28" s="303"/>
      <c r="AGP28" s="303"/>
      <c r="AGQ28" s="303"/>
      <c r="AGR28" s="303"/>
      <c r="AGS28" s="303"/>
      <c r="AGT28" s="303"/>
      <c r="AGU28" s="303"/>
      <c r="AGV28" s="303"/>
      <c r="AGW28" s="303"/>
      <c r="AGX28" s="303"/>
      <c r="AGY28" s="303"/>
      <c r="AGZ28" s="303"/>
      <c r="AHA28" s="303"/>
      <c r="AHB28" s="303"/>
      <c r="AHC28" s="303"/>
      <c r="AHD28" s="303"/>
      <c r="AHE28" s="303"/>
      <c r="AHF28" s="303"/>
      <c r="AHG28" s="303"/>
      <c r="AHH28" s="303"/>
      <c r="AHI28" s="303"/>
      <c r="AHJ28" s="303"/>
      <c r="AHK28" s="303"/>
      <c r="AHL28" s="303"/>
      <c r="AHM28" s="303"/>
      <c r="AHN28" s="303"/>
      <c r="AHO28" s="303"/>
      <c r="AHP28" s="303"/>
      <c r="AHQ28" s="303"/>
      <c r="AHR28" s="303"/>
      <c r="AHS28" s="303"/>
      <c r="AHT28" s="303"/>
      <c r="AHU28" s="303"/>
      <c r="AHV28" s="303"/>
      <c r="AHW28" s="303"/>
      <c r="AHX28" s="303"/>
      <c r="AHY28" s="303"/>
      <c r="AHZ28" s="303"/>
      <c r="AIA28" s="303"/>
      <c r="AIB28" s="303"/>
      <c r="AIC28" s="303"/>
      <c r="AID28" s="303"/>
      <c r="AIE28" s="303"/>
      <c r="AIF28" s="303"/>
      <c r="AIG28" s="303"/>
      <c r="AIH28" s="303"/>
      <c r="AII28" s="303"/>
      <c r="AIJ28" s="303"/>
      <c r="AIK28" s="303"/>
      <c r="AIL28" s="303"/>
      <c r="AIM28" s="303"/>
      <c r="AIN28" s="303"/>
      <c r="AIO28" s="303"/>
      <c r="AIP28" s="303"/>
      <c r="AIQ28" s="303"/>
      <c r="AIR28" s="303"/>
      <c r="AIS28" s="303"/>
      <c r="AIT28" s="303"/>
      <c r="AIU28" s="303"/>
      <c r="AIV28" s="303"/>
      <c r="AIW28" s="303"/>
      <c r="AIX28" s="303"/>
      <c r="AIY28" s="303"/>
      <c r="AIZ28" s="303"/>
      <c r="AJA28" s="303"/>
      <c r="AJB28" s="303"/>
      <c r="AJC28" s="303"/>
      <c r="AJD28" s="303"/>
      <c r="AJE28" s="303"/>
      <c r="AJF28" s="303"/>
      <c r="AJG28" s="303"/>
      <c r="AJH28" s="303"/>
      <c r="AJI28" s="303"/>
      <c r="AJJ28" s="303"/>
      <c r="AJK28" s="303"/>
      <c r="AJL28" s="303"/>
      <c r="AJM28" s="303"/>
      <c r="AJN28" s="303"/>
      <c r="AJO28" s="303"/>
      <c r="AJP28" s="303"/>
      <c r="AJQ28" s="303"/>
      <c r="AJR28" s="303"/>
      <c r="AJS28" s="303"/>
      <c r="AJT28" s="303"/>
      <c r="AJU28" s="303"/>
      <c r="AJV28" s="303"/>
      <c r="AJW28" s="303"/>
      <c r="AJX28" s="303"/>
      <c r="AJY28" s="303"/>
      <c r="AJZ28" s="303"/>
      <c r="AKA28" s="303"/>
      <c r="AKB28" s="303"/>
      <c r="AKC28" s="303"/>
      <c r="AKD28" s="303"/>
      <c r="AKE28" s="303"/>
      <c r="AKF28" s="303"/>
      <c r="AKG28" s="303"/>
      <c r="AKH28" s="303"/>
      <c r="AKI28" s="303"/>
      <c r="AKJ28" s="303"/>
      <c r="AKK28" s="303"/>
      <c r="AKL28" s="303"/>
      <c r="AKM28" s="303"/>
      <c r="AKN28" s="303"/>
      <c r="AKO28" s="303"/>
      <c r="AKP28" s="303"/>
      <c r="AKQ28" s="303"/>
      <c r="AKR28" s="303"/>
      <c r="AKS28" s="303"/>
      <c r="AKT28" s="303"/>
      <c r="AKU28" s="303"/>
      <c r="AKV28" s="303"/>
      <c r="AKW28" s="303"/>
      <c r="AKX28" s="303"/>
      <c r="AKY28" s="303"/>
      <c r="AKZ28" s="303"/>
      <c r="ALA28" s="303"/>
      <c r="ALB28" s="303"/>
      <c r="ALC28" s="303"/>
      <c r="ALD28" s="303"/>
      <c r="ALE28" s="303"/>
      <c r="ALF28" s="303"/>
      <c r="ALG28" s="303"/>
      <c r="ALH28" s="303"/>
      <c r="ALI28" s="303"/>
      <c r="ALJ28" s="303"/>
      <c r="ALK28" s="303"/>
      <c r="ALL28" s="303"/>
      <c r="ALM28" s="303"/>
      <c r="ALN28" s="303"/>
      <c r="ALO28" s="303"/>
      <c r="ALP28" s="303"/>
      <c r="ALQ28" s="303"/>
      <c r="ALR28" s="303"/>
      <c r="ALS28" s="303"/>
      <c r="ALT28" s="303"/>
      <c r="ALU28" s="303"/>
      <c r="ALV28" s="303"/>
      <c r="ALW28" s="303"/>
      <c r="ALX28" s="303"/>
      <c r="ALY28" s="303"/>
      <c r="ALZ28" s="303"/>
      <c r="AMA28" s="303"/>
      <c r="AMB28" s="303"/>
      <c r="AMC28" s="303"/>
      <c r="AMD28" s="303"/>
      <c r="AME28" s="303"/>
      <c r="AMF28" s="303"/>
      <c r="AMG28" s="303"/>
      <c r="AMH28" s="303"/>
      <c r="AMI28" s="303"/>
      <c r="AMJ28" s="303"/>
      <c r="AMK28" s="303"/>
      <c r="AML28" s="303"/>
      <c r="AMM28" s="303"/>
      <c r="AMN28" s="303"/>
      <c r="AMO28" s="303"/>
      <c r="AMP28" s="303"/>
      <c r="AMQ28" s="303"/>
      <c r="AMR28" s="303"/>
      <c r="AMS28" s="303"/>
      <c r="AMT28" s="303"/>
      <c r="AMU28" s="303"/>
      <c r="AMV28" s="303"/>
      <c r="AMW28" s="303"/>
      <c r="AMX28" s="303"/>
      <c r="AMY28" s="303"/>
      <c r="AMZ28" s="303"/>
      <c r="ANA28" s="303"/>
      <c r="ANB28" s="303"/>
      <c r="ANC28" s="303"/>
      <c r="AND28" s="303"/>
      <c r="ANE28" s="303"/>
      <c r="ANF28" s="303"/>
      <c r="ANG28" s="303"/>
      <c r="ANH28" s="303"/>
      <c r="ANI28" s="303"/>
      <c r="ANJ28" s="303"/>
      <c r="ANK28" s="303"/>
      <c r="ANL28" s="303"/>
      <c r="ANM28" s="303"/>
      <c r="ANN28" s="303"/>
      <c r="ANO28" s="303"/>
      <c r="ANP28" s="303"/>
      <c r="ANQ28" s="303"/>
      <c r="ANR28" s="303"/>
      <c r="ANS28" s="303"/>
      <c r="ANT28" s="303"/>
      <c r="ANU28" s="303"/>
      <c r="ANV28" s="303"/>
      <c r="ANW28" s="303"/>
      <c r="ANX28" s="303"/>
      <c r="ANY28" s="303"/>
      <c r="ANZ28" s="303"/>
      <c r="AOA28" s="303"/>
      <c r="AOB28" s="303"/>
      <c r="AOC28" s="303"/>
      <c r="AOD28" s="303"/>
      <c r="AOE28" s="303"/>
      <c r="AOF28" s="303"/>
      <c r="AOG28" s="303"/>
      <c r="AOH28" s="303"/>
      <c r="AOI28" s="303"/>
      <c r="AOJ28" s="303"/>
      <c r="AOK28" s="303"/>
      <c r="AOL28" s="303"/>
      <c r="AOM28" s="303"/>
      <c r="AON28" s="303"/>
      <c r="AOO28" s="303"/>
      <c r="AOP28" s="303"/>
      <c r="AOQ28" s="303"/>
      <c r="AOR28" s="303"/>
      <c r="AOS28" s="303"/>
      <c r="AOT28" s="303"/>
      <c r="AOU28" s="303"/>
      <c r="AOV28" s="303"/>
      <c r="AOW28" s="303"/>
      <c r="AOX28" s="303"/>
      <c r="AOY28" s="303"/>
      <c r="AOZ28" s="303"/>
      <c r="APA28" s="303"/>
      <c r="APB28" s="303"/>
      <c r="APC28" s="303"/>
      <c r="APD28" s="303"/>
      <c r="APE28" s="303"/>
      <c r="APF28" s="303"/>
      <c r="APG28" s="303"/>
      <c r="APH28" s="303"/>
      <c r="API28" s="303"/>
      <c r="APJ28" s="303"/>
      <c r="APK28" s="303"/>
      <c r="APL28" s="303"/>
      <c r="APM28" s="303"/>
      <c r="APN28" s="303"/>
      <c r="APO28" s="303"/>
      <c r="APP28" s="303"/>
      <c r="APQ28" s="303"/>
      <c r="APR28" s="303"/>
      <c r="APS28" s="303"/>
      <c r="APT28" s="303"/>
      <c r="APU28" s="303"/>
      <c r="APV28" s="303"/>
      <c r="APW28" s="303"/>
      <c r="APX28" s="303"/>
      <c r="APY28" s="303"/>
      <c r="APZ28" s="303"/>
      <c r="AQA28" s="303"/>
      <c r="AQB28" s="303"/>
      <c r="AQC28" s="303"/>
      <c r="AQD28" s="303"/>
      <c r="AQE28" s="303"/>
      <c r="AQF28" s="303"/>
      <c r="AQG28" s="303"/>
      <c r="AQH28" s="303"/>
      <c r="AQI28" s="303"/>
      <c r="AQJ28" s="303"/>
      <c r="AQK28" s="303"/>
      <c r="AQL28" s="303"/>
      <c r="AQM28" s="303"/>
      <c r="AQN28" s="303"/>
      <c r="AQO28" s="303"/>
      <c r="AQP28" s="303"/>
      <c r="AQQ28" s="303"/>
      <c r="AQR28" s="303"/>
      <c r="AQS28" s="303"/>
      <c r="AQT28" s="303"/>
      <c r="AQU28" s="303"/>
      <c r="AQV28" s="303"/>
      <c r="AQW28" s="303"/>
      <c r="AQX28" s="303"/>
      <c r="AQY28" s="303"/>
      <c r="AQZ28" s="303"/>
      <c r="ARA28" s="303"/>
      <c r="ARB28" s="303"/>
      <c r="ARC28" s="303"/>
      <c r="ARD28" s="303"/>
      <c r="ARE28" s="303"/>
      <c r="ARF28" s="303"/>
      <c r="ARG28" s="303"/>
      <c r="ARH28" s="303"/>
      <c r="ARI28" s="303"/>
      <c r="ARJ28" s="303"/>
      <c r="ARK28" s="303"/>
      <c r="ARL28" s="303"/>
      <c r="ARM28" s="303"/>
      <c r="ARN28" s="303"/>
      <c r="ARO28" s="303"/>
      <c r="ARP28" s="303"/>
      <c r="ARQ28" s="303"/>
      <c r="ARR28" s="303"/>
      <c r="ARS28" s="303"/>
      <c r="ART28" s="303"/>
      <c r="ARU28" s="303"/>
      <c r="ARV28" s="303"/>
      <c r="ARW28" s="303"/>
      <c r="ARX28" s="303"/>
      <c r="ARY28" s="303"/>
      <c r="ARZ28" s="303"/>
      <c r="ASA28" s="303"/>
      <c r="ASB28" s="303"/>
      <c r="ASC28" s="303"/>
      <c r="ASD28" s="303"/>
      <c r="ASE28" s="303"/>
      <c r="ASF28" s="303"/>
      <c r="ASG28" s="303"/>
      <c r="ASH28" s="303"/>
      <c r="ASI28" s="303"/>
      <c r="ASJ28" s="303"/>
      <c r="ASK28" s="303"/>
      <c r="ASL28" s="303"/>
      <c r="ASM28" s="303"/>
      <c r="ASN28" s="303"/>
      <c r="ASO28" s="303"/>
      <c r="ASP28" s="303"/>
      <c r="ASQ28" s="303"/>
      <c r="ASR28" s="303"/>
      <c r="ASS28" s="303"/>
      <c r="AST28" s="303"/>
      <c r="ASU28" s="303"/>
      <c r="ASV28" s="303"/>
      <c r="ASW28" s="303"/>
      <c r="ASX28" s="303"/>
      <c r="ASY28" s="303"/>
      <c r="ASZ28" s="303"/>
      <c r="ATA28" s="303"/>
      <c r="ATB28" s="303"/>
      <c r="ATC28" s="303"/>
      <c r="ATD28" s="303"/>
      <c r="ATE28" s="303"/>
      <c r="ATF28" s="303"/>
      <c r="ATG28" s="303"/>
      <c r="ATH28" s="303"/>
      <c r="ATI28" s="303"/>
      <c r="ATJ28" s="303"/>
      <c r="ATK28" s="303"/>
      <c r="ATL28" s="303"/>
      <c r="ATM28" s="303"/>
      <c r="ATN28" s="303"/>
      <c r="ATO28" s="303"/>
      <c r="ATP28" s="303"/>
      <c r="ATQ28" s="303"/>
      <c r="ATR28" s="303"/>
      <c r="ATS28" s="303"/>
      <c r="ATT28" s="303"/>
      <c r="ATU28" s="303"/>
      <c r="ATV28" s="303"/>
      <c r="ATW28" s="303"/>
      <c r="ATX28" s="303"/>
      <c r="ATY28" s="303"/>
      <c r="ATZ28" s="303"/>
      <c r="AUA28" s="303"/>
      <c r="AUB28" s="303"/>
      <c r="AUC28" s="303"/>
      <c r="AUD28" s="303"/>
      <c r="AUE28" s="303"/>
      <c r="AUF28" s="303"/>
      <c r="AUG28" s="303"/>
      <c r="AUH28" s="303"/>
      <c r="AUI28" s="303"/>
      <c r="AUJ28" s="303"/>
      <c r="AUK28" s="303"/>
      <c r="AUL28" s="303"/>
      <c r="AUM28" s="303"/>
      <c r="AUN28" s="303"/>
      <c r="AUO28" s="303"/>
      <c r="AUP28" s="303"/>
      <c r="AUQ28" s="303"/>
      <c r="AUR28" s="303"/>
      <c r="AUS28" s="303"/>
      <c r="AUT28" s="303"/>
      <c r="AUU28" s="303"/>
      <c r="AUV28" s="303"/>
      <c r="AUW28" s="303"/>
      <c r="AUX28" s="303"/>
      <c r="AUY28" s="303"/>
      <c r="AUZ28" s="303"/>
      <c r="AVA28" s="303"/>
      <c r="AVB28" s="303"/>
      <c r="AVC28" s="303"/>
      <c r="AVD28" s="303"/>
      <c r="AVE28" s="303"/>
      <c r="AVF28" s="303"/>
      <c r="AVG28" s="303"/>
      <c r="AVH28" s="303"/>
      <c r="AVI28" s="303"/>
      <c r="AVJ28" s="303"/>
      <c r="AVK28" s="303"/>
      <c r="AVL28" s="303"/>
      <c r="AVM28" s="303"/>
      <c r="AVN28" s="303"/>
      <c r="AVO28" s="303"/>
      <c r="AVP28" s="303"/>
      <c r="AVQ28" s="303"/>
      <c r="AVR28" s="303"/>
      <c r="AVS28" s="303"/>
      <c r="AVT28" s="303"/>
      <c r="AVU28" s="303"/>
      <c r="AVV28" s="303"/>
      <c r="AVW28" s="303"/>
      <c r="AVX28" s="303"/>
      <c r="AVY28" s="303"/>
      <c r="AVZ28" s="303"/>
      <c r="AWA28" s="303"/>
      <c r="AWB28" s="303"/>
      <c r="AWC28" s="303"/>
      <c r="AWD28" s="303"/>
      <c r="AWE28" s="303"/>
      <c r="AWF28" s="303"/>
      <c r="AWG28" s="303"/>
      <c r="AWH28" s="303"/>
      <c r="AWI28" s="303"/>
      <c r="AWJ28" s="303"/>
      <c r="AWK28" s="303"/>
      <c r="AWL28" s="303"/>
      <c r="AWM28" s="303"/>
      <c r="AWN28" s="303"/>
      <c r="AWO28" s="303"/>
      <c r="AWP28" s="303"/>
      <c r="AWQ28" s="303"/>
      <c r="AWR28" s="303"/>
      <c r="AWS28" s="303"/>
      <c r="AWT28" s="303"/>
      <c r="AWU28" s="303"/>
      <c r="AWV28" s="303"/>
      <c r="AWW28" s="303"/>
      <c r="AWX28" s="303"/>
      <c r="AWY28" s="303"/>
      <c r="AWZ28" s="303"/>
      <c r="AXA28" s="303"/>
      <c r="AXB28" s="303"/>
      <c r="AXC28" s="303"/>
      <c r="AXD28" s="303"/>
      <c r="AXE28" s="303"/>
      <c r="AXF28" s="303"/>
      <c r="AXG28" s="303"/>
      <c r="AXH28" s="303"/>
      <c r="AXI28" s="303"/>
      <c r="AXJ28" s="303"/>
      <c r="AXK28" s="303"/>
      <c r="AXL28" s="303"/>
      <c r="AXM28" s="303"/>
      <c r="AXN28" s="303"/>
      <c r="AXO28" s="303"/>
      <c r="AXP28" s="303"/>
      <c r="AXQ28" s="303"/>
      <c r="AXR28" s="303"/>
      <c r="AXS28" s="303"/>
      <c r="AXT28" s="303"/>
      <c r="AXU28" s="303"/>
      <c r="AXV28" s="303"/>
      <c r="AXW28" s="303"/>
      <c r="AXX28" s="303"/>
      <c r="AXY28" s="303"/>
      <c r="AXZ28" s="303"/>
      <c r="AYA28" s="303"/>
      <c r="AYB28" s="303"/>
      <c r="AYC28" s="303"/>
      <c r="AYD28" s="303"/>
      <c r="AYE28" s="303"/>
      <c r="AYF28" s="303"/>
      <c r="AYG28" s="303"/>
      <c r="AYH28" s="303"/>
    </row>
    <row r="29" spans="1:1334" ht="48.75" x14ac:dyDescent="0.25">
      <c r="A29" s="304" t="s">
        <v>1284</v>
      </c>
      <c r="B29" s="298" t="s">
        <v>1285</v>
      </c>
      <c r="C29" s="303"/>
      <c r="D29" s="303"/>
      <c r="E29" s="303"/>
      <c r="F29" s="303"/>
      <c r="G29" s="303"/>
      <c r="H29" s="303"/>
      <c r="I29" s="303"/>
      <c r="J29" s="303"/>
      <c r="K29" s="303"/>
      <c r="L29" s="303"/>
      <c r="M29" s="303"/>
      <c r="N29" s="303"/>
      <c r="O29" s="303"/>
      <c r="P29" s="303"/>
      <c r="Q29" s="303"/>
      <c r="R29" s="303"/>
      <c r="S29" s="303"/>
      <c r="T29" s="303"/>
      <c r="U29" s="303"/>
      <c r="V29" s="303"/>
      <c r="W29" s="303"/>
      <c r="X29" s="303"/>
      <c r="Y29" s="303"/>
      <c r="Z29" s="303"/>
      <c r="AA29" s="303"/>
      <c r="AB29" s="303"/>
      <c r="AC29" s="303"/>
      <c r="AD29" s="303"/>
      <c r="AE29" s="303"/>
      <c r="AF29" s="303"/>
      <c r="AG29" s="303"/>
      <c r="AH29" s="303"/>
      <c r="AI29" s="303"/>
      <c r="AJ29" s="303"/>
      <c r="AK29" s="303"/>
      <c r="AL29" s="303"/>
      <c r="AM29" s="303"/>
      <c r="AN29" s="303"/>
      <c r="AO29" s="303"/>
      <c r="AP29" s="303"/>
      <c r="AQ29" s="303"/>
      <c r="AR29" s="303"/>
      <c r="AS29" s="303"/>
      <c r="AT29" s="303"/>
      <c r="AU29" s="303"/>
      <c r="AV29" s="303"/>
      <c r="AW29" s="303"/>
      <c r="AX29" s="303"/>
      <c r="AY29" s="303"/>
      <c r="AZ29" s="303"/>
      <c r="BA29" s="303"/>
      <c r="BB29" s="303"/>
      <c r="BC29" s="303"/>
      <c r="BD29" s="303"/>
      <c r="BE29" s="303"/>
      <c r="BF29" s="303"/>
      <c r="BG29" s="303"/>
      <c r="BH29" s="303"/>
      <c r="BI29" s="303"/>
      <c r="BJ29" s="303"/>
      <c r="BK29" s="303"/>
      <c r="BL29" s="303"/>
      <c r="BM29" s="303"/>
      <c r="BN29" s="303"/>
      <c r="BO29" s="303"/>
      <c r="BP29" s="303"/>
      <c r="BQ29" s="303"/>
      <c r="BR29" s="303"/>
      <c r="BS29" s="303"/>
      <c r="BT29" s="303"/>
      <c r="BU29" s="303"/>
      <c r="BV29" s="303"/>
      <c r="BW29" s="303"/>
      <c r="BX29" s="303"/>
      <c r="BY29" s="303"/>
      <c r="BZ29" s="303"/>
      <c r="CA29" s="303"/>
      <c r="CB29" s="303"/>
      <c r="CC29" s="303"/>
      <c r="CD29" s="303"/>
      <c r="CE29" s="303"/>
      <c r="CF29" s="303"/>
      <c r="CG29" s="303"/>
      <c r="CH29" s="303"/>
      <c r="CI29" s="303"/>
      <c r="CJ29" s="303"/>
      <c r="CK29" s="303"/>
      <c r="CL29" s="303"/>
      <c r="CM29" s="303"/>
      <c r="CN29" s="303"/>
      <c r="CO29" s="303"/>
      <c r="CP29" s="303"/>
      <c r="CQ29" s="303"/>
      <c r="CR29" s="303"/>
      <c r="CS29" s="303"/>
      <c r="CT29" s="303"/>
      <c r="CU29" s="303"/>
      <c r="CV29" s="303"/>
      <c r="CW29" s="303"/>
      <c r="CX29" s="303"/>
      <c r="CY29" s="303"/>
      <c r="CZ29" s="303"/>
      <c r="DA29" s="303"/>
      <c r="DB29" s="303"/>
      <c r="DC29" s="303"/>
      <c r="DD29" s="303"/>
      <c r="DE29" s="303"/>
      <c r="DF29" s="303"/>
      <c r="DG29" s="303"/>
      <c r="DH29" s="303"/>
      <c r="DI29" s="303"/>
      <c r="DJ29" s="303"/>
      <c r="DK29" s="303"/>
      <c r="DL29" s="303"/>
      <c r="DM29" s="303"/>
      <c r="DN29" s="303"/>
      <c r="DO29" s="303"/>
      <c r="DP29" s="303"/>
      <c r="DQ29" s="303"/>
      <c r="DR29" s="303"/>
      <c r="DS29" s="303"/>
      <c r="DT29" s="303"/>
      <c r="DU29" s="303"/>
      <c r="DV29" s="303"/>
      <c r="DW29" s="303"/>
      <c r="DX29" s="303"/>
      <c r="DY29" s="303"/>
      <c r="DZ29" s="303"/>
      <c r="EA29" s="303"/>
      <c r="EB29" s="303"/>
      <c r="EC29" s="303"/>
      <c r="ED29" s="303"/>
      <c r="EE29" s="303"/>
      <c r="EF29" s="303"/>
      <c r="EG29" s="303"/>
      <c r="EH29" s="303"/>
      <c r="EI29" s="303"/>
      <c r="EJ29" s="303"/>
      <c r="EK29" s="303"/>
      <c r="EL29" s="303"/>
      <c r="EM29" s="303"/>
      <c r="EN29" s="303"/>
      <c r="EO29" s="303"/>
      <c r="EP29" s="303"/>
      <c r="EQ29" s="303"/>
      <c r="ER29" s="303"/>
      <c r="ES29" s="303"/>
      <c r="ET29" s="303"/>
      <c r="EU29" s="303"/>
      <c r="EV29" s="303"/>
      <c r="EW29" s="303"/>
      <c r="EX29" s="303"/>
      <c r="EY29" s="303"/>
      <c r="EZ29" s="303"/>
      <c r="FA29" s="303"/>
      <c r="FB29" s="303"/>
      <c r="FC29" s="303"/>
      <c r="FD29" s="303"/>
      <c r="FE29" s="303"/>
      <c r="FF29" s="303"/>
      <c r="FG29" s="303"/>
      <c r="FH29" s="303"/>
      <c r="FI29" s="303"/>
      <c r="FJ29" s="303"/>
      <c r="FK29" s="303"/>
      <c r="FL29" s="303"/>
      <c r="FM29" s="303"/>
      <c r="FN29" s="303"/>
      <c r="FO29" s="303"/>
      <c r="FP29" s="303"/>
      <c r="FQ29" s="303"/>
      <c r="FR29" s="303"/>
      <c r="FS29" s="303"/>
      <c r="FT29" s="303"/>
      <c r="FU29" s="303"/>
      <c r="FV29" s="303"/>
      <c r="FW29" s="303"/>
      <c r="FX29" s="303"/>
      <c r="FY29" s="303"/>
      <c r="FZ29" s="303"/>
      <c r="GA29" s="303"/>
      <c r="GB29" s="303"/>
      <c r="GC29" s="303"/>
      <c r="GD29" s="303"/>
      <c r="GE29" s="303"/>
      <c r="GF29" s="303"/>
      <c r="GG29" s="303"/>
      <c r="GH29" s="303"/>
      <c r="GI29" s="303"/>
      <c r="GJ29" s="303"/>
      <c r="GK29" s="303"/>
      <c r="GL29" s="303"/>
      <c r="GM29" s="303"/>
      <c r="GN29" s="303"/>
      <c r="GO29" s="303"/>
      <c r="GP29" s="303"/>
      <c r="GQ29" s="303"/>
      <c r="GR29" s="303"/>
      <c r="GS29" s="303"/>
      <c r="GT29" s="303"/>
      <c r="GU29" s="303"/>
      <c r="GV29" s="303"/>
      <c r="GW29" s="303"/>
      <c r="GX29" s="303"/>
      <c r="GY29" s="303"/>
      <c r="GZ29" s="303"/>
      <c r="HA29" s="303"/>
      <c r="HB29" s="303"/>
      <c r="HC29" s="303"/>
      <c r="HD29" s="303"/>
      <c r="HE29" s="303"/>
      <c r="HF29" s="303"/>
      <c r="HG29" s="303"/>
      <c r="HH29" s="303"/>
      <c r="HI29" s="303"/>
      <c r="HJ29" s="303"/>
      <c r="HK29" s="303"/>
      <c r="HL29" s="303"/>
      <c r="HM29" s="303"/>
      <c r="HN29" s="303"/>
      <c r="HO29" s="303"/>
      <c r="HP29" s="303"/>
      <c r="HQ29" s="303"/>
      <c r="HR29" s="303"/>
      <c r="HS29" s="303"/>
      <c r="HT29" s="303"/>
      <c r="HU29" s="303"/>
      <c r="HV29" s="303"/>
      <c r="HW29" s="303"/>
      <c r="HX29" s="303"/>
      <c r="HY29" s="303"/>
      <c r="HZ29" s="303"/>
      <c r="IA29" s="303"/>
      <c r="IB29" s="303"/>
      <c r="IC29" s="303"/>
      <c r="ID29" s="303"/>
      <c r="IE29" s="303"/>
      <c r="IF29" s="303"/>
      <c r="IG29" s="303"/>
      <c r="IH29" s="303"/>
      <c r="II29" s="303"/>
      <c r="IJ29" s="303"/>
      <c r="IK29" s="303"/>
      <c r="IL29" s="303"/>
      <c r="IM29" s="303"/>
      <c r="IN29" s="303"/>
      <c r="IO29" s="303"/>
      <c r="IP29" s="303"/>
      <c r="IQ29" s="303"/>
      <c r="IR29" s="303"/>
      <c r="IS29" s="303"/>
      <c r="IT29" s="303"/>
      <c r="IU29" s="303"/>
      <c r="IV29" s="303"/>
      <c r="IW29" s="303"/>
      <c r="IX29" s="303"/>
      <c r="IY29" s="303"/>
      <c r="IZ29" s="303"/>
      <c r="JA29" s="303"/>
      <c r="JB29" s="303"/>
      <c r="JC29" s="303"/>
      <c r="JD29" s="303"/>
      <c r="JE29" s="303"/>
      <c r="JF29" s="303"/>
      <c r="JG29" s="303"/>
      <c r="JH29" s="303"/>
      <c r="JI29" s="303"/>
      <c r="JJ29" s="303"/>
      <c r="JK29" s="303"/>
      <c r="JL29" s="303"/>
      <c r="JM29" s="303"/>
      <c r="JN29" s="303"/>
      <c r="JO29" s="303"/>
      <c r="JP29" s="303"/>
      <c r="JQ29" s="303"/>
      <c r="JR29" s="303"/>
      <c r="JS29" s="303"/>
      <c r="JT29" s="303"/>
      <c r="JU29" s="303"/>
      <c r="JV29" s="303"/>
      <c r="JW29" s="303"/>
      <c r="JX29" s="303"/>
      <c r="JY29" s="303"/>
      <c r="JZ29" s="303"/>
      <c r="KA29" s="303"/>
      <c r="KB29" s="303"/>
      <c r="KC29" s="303"/>
      <c r="KD29" s="303"/>
      <c r="KE29" s="303"/>
      <c r="KF29" s="303"/>
      <c r="KG29" s="303"/>
      <c r="KH29" s="303"/>
      <c r="KI29" s="303"/>
      <c r="KJ29" s="303"/>
      <c r="KK29" s="303"/>
      <c r="KL29" s="303"/>
      <c r="KM29" s="303"/>
      <c r="KN29" s="303"/>
      <c r="KO29" s="303"/>
      <c r="KP29" s="303"/>
      <c r="KQ29" s="303"/>
      <c r="KR29" s="303"/>
      <c r="KS29" s="303"/>
      <c r="KT29" s="303"/>
      <c r="KU29" s="303"/>
      <c r="KV29" s="303"/>
      <c r="KW29" s="303"/>
      <c r="KX29" s="303"/>
      <c r="KY29" s="303"/>
      <c r="KZ29" s="303"/>
      <c r="LA29" s="303"/>
      <c r="LB29" s="303"/>
      <c r="LC29" s="303"/>
      <c r="LD29" s="303"/>
      <c r="LE29" s="303"/>
      <c r="LF29" s="303"/>
      <c r="LG29" s="303"/>
      <c r="LH29" s="303"/>
      <c r="LI29" s="303"/>
      <c r="LJ29" s="303"/>
      <c r="LK29" s="303"/>
      <c r="LL29" s="303"/>
      <c r="LM29" s="303"/>
      <c r="LN29" s="303"/>
      <c r="LO29" s="303"/>
      <c r="LP29" s="303"/>
      <c r="LQ29" s="303"/>
      <c r="LR29" s="303"/>
      <c r="LS29" s="303"/>
      <c r="LT29" s="303"/>
      <c r="LU29" s="303"/>
      <c r="LV29" s="303"/>
      <c r="LW29" s="303"/>
      <c r="LX29" s="303"/>
      <c r="LY29" s="303"/>
      <c r="LZ29" s="303"/>
      <c r="MA29" s="303"/>
      <c r="MB29" s="303"/>
      <c r="MC29" s="303"/>
      <c r="MD29" s="303"/>
      <c r="ME29" s="303"/>
      <c r="MF29" s="303"/>
      <c r="MG29" s="303"/>
      <c r="MH29" s="303"/>
      <c r="MI29" s="303"/>
      <c r="MJ29" s="303"/>
      <c r="MK29" s="303"/>
      <c r="ML29" s="303"/>
      <c r="MM29" s="303"/>
      <c r="MN29" s="303"/>
      <c r="MO29" s="303"/>
      <c r="MP29" s="303"/>
      <c r="MQ29" s="303"/>
      <c r="MR29" s="303"/>
      <c r="MS29" s="303"/>
      <c r="MT29" s="303"/>
      <c r="MU29" s="303"/>
      <c r="MV29" s="303"/>
      <c r="MW29" s="303"/>
      <c r="MX29" s="303"/>
      <c r="MY29" s="303"/>
      <c r="MZ29" s="303"/>
      <c r="NA29" s="303"/>
      <c r="NB29" s="303"/>
      <c r="NC29" s="303"/>
      <c r="ND29" s="303"/>
      <c r="NE29" s="303"/>
      <c r="NF29" s="303"/>
      <c r="NG29" s="303"/>
      <c r="NH29" s="303"/>
      <c r="NI29" s="303"/>
      <c r="NJ29" s="303"/>
      <c r="NK29" s="303"/>
      <c r="NL29" s="303"/>
      <c r="NM29" s="303"/>
      <c r="NN29" s="303"/>
      <c r="NO29" s="303"/>
      <c r="NP29" s="303"/>
      <c r="NQ29" s="303"/>
      <c r="NR29" s="303"/>
      <c r="NS29" s="303"/>
      <c r="NT29" s="303"/>
      <c r="NU29" s="303"/>
      <c r="NV29" s="303"/>
      <c r="NW29" s="303"/>
      <c r="NX29" s="303"/>
      <c r="NY29" s="303"/>
      <c r="NZ29" s="303"/>
      <c r="OA29" s="303"/>
      <c r="OB29" s="303"/>
      <c r="OC29" s="303"/>
      <c r="OD29" s="303"/>
      <c r="OE29" s="303"/>
      <c r="OF29" s="303"/>
      <c r="OG29" s="303"/>
      <c r="OH29" s="303"/>
      <c r="OI29" s="303"/>
      <c r="OJ29" s="303"/>
      <c r="OK29" s="303"/>
      <c r="OL29" s="303"/>
      <c r="OM29" s="303"/>
      <c r="ON29" s="303"/>
      <c r="OO29" s="303"/>
      <c r="OP29" s="303"/>
      <c r="OQ29" s="303"/>
      <c r="OR29" s="303"/>
      <c r="OS29" s="303"/>
      <c r="OT29" s="303"/>
      <c r="OU29" s="303"/>
      <c r="OV29" s="303"/>
      <c r="OW29" s="303"/>
      <c r="OX29" s="303"/>
      <c r="OY29" s="303"/>
      <c r="OZ29" s="303"/>
      <c r="PA29" s="303"/>
      <c r="PB29" s="303"/>
      <c r="PC29" s="303"/>
      <c r="PD29" s="303"/>
      <c r="PE29" s="303"/>
      <c r="PF29" s="303"/>
      <c r="PG29" s="303"/>
      <c r="PH29" s="303"/>
      <c r="PI29" s="303"/>
      <c r="PJ29" s="303"/>
      <c r="PK29" s="303"/>
      <c r="PL29" s="303"/>
      <c r="PM29" s="303"/>
      <c r="PN29" s="303"/>
      <c r="PO29" s="303"/>
      <c r="PP29" s="303"/>
      <c r="PQ29" s="303"/>
      <c r="PR29" s="303"/>
      <c r="PS29" s="303"/>
      <c r="PT29" s="303"/>
      <c r="PU29" s="303"/>
      <c r="PV29" s="303"/>
      <c r="PW29" s="303"/>
      <c r="PX29" s="303"/>
      <c r="PY29" s="303"/>
      <c r="PZ29" s="303"/>
      <c r="QA29" s="303"/>
      <c r="QB29" s="303"/>
      <c r="QC29" s="303"/>
      <c r="QD29" s="303"/>
      <c r="QE29" s="303"/>
      <c r="QF29" s="303"/>
      <c r="QG29" s="303"/>
      <c r="QH29" s="303"/>
      <c r="QI29" s="303"/>
      <c r="QJ29" s="303"/>
      <c r="QK29" s="303"/>
      <c r="QL29" s="303"/>
      <c r="QM29" s="303"/>
      <c r="QN29" s="303"/>
      <c r="QO29" s="303"/>
      <c r="QP29" s="303"/>
      <c r="QQ29" s="303"/>
      <c r="QR29" s="303"/>
      <c r="QS29" s="303"/>
      <c r="QT29" s="303"/>
      <c r="QU29" s="303"/>
      <c r="QV29" s="303"/>
      <c r="QW29" s="303"/>
      <c r="QX29" s="303"/>
      <c r="QY29" s="303"/>
      <c r="QZ29" s="303"/>
      <c r="RA29" s="303"/>
      <c r="RB29" s="303"/>
      <c r="RC29" s="303"/>
      <c r="RD29" s="303"/>
      <c r="RE29" s="303"/>
      <c r="RF29" s="303"/>
      <c r="RG29" s="303"/>
      <c r="RH29" s="303"/>
      <c r="RI29" s="303"/>
      <c r="RJ29" s="303"/>
      <c r="RK29" s="303"/>
      <c r="RL29" s="303"/>
      <c r="RM29" s="303"/>
      <c r="RN29" s="303"/>
      <c r="RO29" s="303"/>
      <c r="RP29" s="303"/>
      <c r="RQ29" s="303"/>
      <c r="RR29" s="303"/>
      <c r="RS29" s="303"/>
      <c r="RT29" s="303"/>
      <c r="RU29" s="303"/>
      <c r="RV29" s="303"/>
      <c r="RW29" s="303"/>
      <c r="RX29" s="303"/>
      <c r="RY29" s="303"/>
      <c r="RZ29" s="303"/>
      <c r="SA29" s="303"/>
      <c r="SB29" s="303"/>
      <c r="SC29" s="303"/>
      <c r="SD29" s="303"/>
      <c r="SE29" s="303"/>
      <c r="SF29" s="303"/>
      <c r="SG29" s="303"/>
      <c r="SH29" s="303"/>
      <c r="SI29" s="303"/>
      <c r="SJ29" s="303"/>
      <c r="SK29" s="303"/>
      <c r="SL29" s="303"/>
      <c r="SM29" s="303"/>
      <c r="SN29" s="303"/>
      <c r="SO29" s="303"/>
      <c r="SP29" s="303"/>
      <c r="SQ29" s="303"/>
      <c r="SR29" s="303"/>
      <c r="SS29" s="303"/>
      <c r="ST29" s="303"/>
      <c r="SU29" s="303"/>
      <c r="SV29" s="303"/>
      <c r="SW29" s="303"/>
      <c r="SX29" s="303"/>
      <c r="SY29" s="303"/>
      <c r="SZ29" s="303"/>
      <c r="TA29" s="303"/>
      <c r="TB29" s="303"/>
      <c r="TC29" s="303"/>
      <c r="TD29" s="303"/>
      <c r="TE29" s="303"/>
      <c r="TF29" s="303"/>
      <c r="TG29" s="303"/>
      <c r="TH29" s="303"/>
      <c r="TI29" s="303"/>
      <c r="TJ29" s="303"/>
      <c r="TK29" s="303"/>
      <c r="TL29" s="303"/>
      <c r="TM29" s="303"/>
      <c r="TN29" s="303"/>
      <c r="TO29" s="303"/>
      <c r="TP29" s="303"/>
      <c r="TQ29" s="303"/>
      <c r="TR29" s="303"/>
      <c r="TS29" s="303"/>
      <c r="TT29" s="303"/>
      <c r="TU29" s="303"/>
      <c r="TV29" s="303"/>
      <c r="TW29" s="303"/>
      <c r="TX29" s="303"/>
      <c r="TY29" s="303"/>
      <c r="TZ29" s="303"/>
      <c r="UA29" s="303"/>
      <c r="UB29" s="303"/>
      <c r="UC29" s="303"/>
      <c r="UD29" s="303"/>
      <c r="UE29" s="303"/>
      <c r="UF29" s="303"/>
      <c r="UG29" s="303"/>
      <c r="UH29" s="303"/>
      <c r="UI29" s="303"/>
      <c r="UJ29" s="303"/>
      <c r="UK29" s="303"/>
      <c r="UL29" s="303"/>
      <c r="UM29" s="303"/>
      <c r="UN29" s="303"/>
      <c r="UO29" s="303"/>
      <c r="UP29" s="303"/>
      <c r="UQ29" s="303"/>
      <c r="UR29" s="303"/>
      <c r="US29" s="303"/>
      <c r="UT29" s="303"/>
      <c r="UU29" s="303"/>
      <c r="UV29" s="303"/>
      <c r="UW29" s="303"/>
      <c r="UX29" s="303"/>
      <c r="UY29" s="303"/>
      <c r="UZ29" s="303"/>
      <c r="VA29" s="303"/>
      <c r="VB29" s="303"/>
      <c r="VC29" s="303"/>
      <c r="VD29" s="303"/>
      <c r="VE29" s="303"/>
      <c r="VF29" s="303"/>
      <c r="VG29" s="303"/>
      <c r="VH29" s="303"/>
      <c r="VI29" s="303"/>
      <c r="VJ29" s="303"/>
      <c r="VK29" s="303"/>
      <c r="VL29" s="303"/>
      <c r="VM29" s="303"/>
      <c r="VN29" s="303"/>
      <c r="VO29" s="303"/>
      <c r="VP29" s="303"/>
      <c r="VQ29" s="303"/>
      <c r="VR29" s="303"/>
      <c r="VS29" s="303"/>
      <c r="VT29" s="303"/>
      <c r="VU29" s="303"/>
      <c r="VV29" s="303"/>
      <c r="VW29" s="303"/>
      <c r="VX29" s="303"/>
      <c r="VY29" s="303"/>
      <c r="VZ29" s="303"/>
      <c r="WA29" s="303"/>
      <c r="WB29" s="303"/>
      <c r="WC29" s="303"/>
      <c r="WD29" s="303"/>
      <c r="WE29" s="303"/>
      <c r="WF29" s="303"/>
      <c r="WG29" s="303"/>
      <c r="WH29" s="303"/>
      <c r="WI29" s="303"/>
      <c r="WJ29" s="303"/>
      <c r="WK29" s="303"/>
      <c r="WL29" s="303"/>
      <c r="WM29" s="303"/>
      <c r="WN29" s="303"/>
      <c r="WO29" s="303"/>
      <c r="WP29" s="303"/>
      <c r="WQ29" s="303"/>
      <c r="WR29" s="303"/>
      <c r="WS29" s="303"/>
      <c r="WT29" s="303"/>
      <c r="WU29" s="303"/>
      <c r="WV29" s="303"/>
      <c r="WW29" s="303"/>
      <c r="WX29" s="303"/>
      <c r="WY29" s="303"/>
      <c r="WZ29" s="303"/>
      <c r="XA29" s="303"/>
      <c r="XB29" s="303"/>
      <c r="XC29" s="303"/>
      <c r="XD29" s="303"/>
      <c r="XE29" s="303"/>
      <c r="XF29" s="303"/>
      <c r="XG29" s="303"/>
      <c r="XH29" s="303"/>
      <c r="XI29" s="303"/>
      <c r="XJ29" s="303"/>
      <c r="XK29" s="303"/>
      <c r="XL29" s="303"/>
      <c r="XM29" s="303"/>
      <c r="XN29" s="303"/>
      <c r="XO29" s="303"/>
      <c r="XP29" s="303"/>
      <c r="XQ29" s="303"/>
      <c r="XR29" s="303"/>
      <c r="XS29" s="303"/>
      <c r="XT29" s="303"/>
      <c r="XU29" s="303"/>
      <c r="XV29" s="303"/>
      <c r="XW29" s="303"/>
      <c r="XX29" s="303"/>
      <c r="XY29" s="303"/>
      <c r="XZ29" s="303"/>
      <c r="YA29" s="303"/>
      <c r="YB29" s="303"/>
      <c r="YC29" s="303"/>
      <c r="YD29" s="303"/>
      <c r="YE29" s="303"/>
      <c r="YF29" s="303"/>
      <c r="YG29" s="303"/>
      <c r="YH29" s="303"/>
      <c r="YI29" s="303"/>
      <c r="YJ29" s="303"/>
      <c r="YK29" s="303"/>
      <c r="YL29" s="303"/>
      <c r="YM29" s="303"/>
      <c r="YN29" s="303"/>
      <c r="YO29" s="303"/>
      <c r="YP29" s="303"/>
      <c r="YQ29" s="303"/>
      <c r="YR29" s="303"/>
      <c r="YS29" s="303"/>
      <c r="YT29" s="303"/>
      <c r="YU29" s="303"/>
      <c r="YV29" s="303"/>
      <c r="YW29" s="303"/>
      <c r="YX29" s="303"/>
      <c r="YY29" s="303"/>
      <c r="YZ29" s="303"/>
      <c r="ZA29" s="303"/>
      <c r="ZB29" s="303"/>
      <c r="ZC29" s="303"/>
      <c r="ZD29" s="303"/>
      <c r="ZE29" s="303"/>
      <c r="ZF29" s="303"/>
      <c r="ZG29" s="303"/>
      <c r="ZH29" s="303"/>
      <c r="ZI29" s="303"/>
      <c r="ZJ29" s="303"/>
      <c r="ZK29" s="303"/>
      <c r="ZL29" s="303"/>
      <c r="ZM29" s="303"/>
      <c r="ZN29" s="303"/>
      <c r="ZO29" s="303"/>
      <c r="ZP29" s="303"/>
      <c r="ZQ29" s="303"/>
      <c r="ZR29" s="303"/>
      <c r="ZS29" s="303"/>
      <c r="ZT29" s="303"/>
      <c r="ZU29" s="303"/>
      <c r="ZV29" s="303"/>
      <c r="ZW29" s="303"/>
      <c r="ZX29" s="303"/>
      <c r="ZY29" s="303"/>
      <c r="ZZ29" s="303"/>
      <c r="AAA29" s="303"/>
      <c r="AAB29" s="303"/>
      <c r="AAC29" s="303"/>
      <c r="AAD29" s="303"/>
      <c r="AAE29" s="303"/>
      <c r="AAF29" s="303"/>
      <c r="AAG29" s="303"/>
      <c r="AAH29" s="303"/>
      <c r="AAI29" s="303"/>
      <c r="AAJ29" s="303"/>
      <c r="AAK29" s="303"/>
      <c r="AAL29" s="303"/>
      <c r="AAM29" s="303"/>
      <c r="AAN29" s="303"/>
      <c r="AAO29" s="303"/>
      <c r="AAP29" s="303"/>
      <c r="AAQ29" s="303"/>
      <c r="AAR29" s="303"/>
      <c r="AAS29" s="303"/>
      <c r="AAT29" s="303"/>
      <c r="AAU29" s="303"/>
      <c r="AAV29" s="303"/>
      <c r="AAW29" s="303"/>
      <c r="AAX29" s="303"/>
      <c r="AAY29" s="303"/>
      <c r="AAZ29" s="303"/>
      <c r="ABA29" s="303"/>
      <c r="ABB29" s="303"/>
      <c r="ABC29" s="303"/>
      <c r="ABD29" s="303"/>
      <c r="ABE29" s="303"/>
      <c r="ABF29" s="303"/>
      <c r="ABG29" s="303"/>
      <c r="ABH29" s="303"/>
      <c r="ABI29" s="303"/>
      <c r="ABJ29" s="303"/>
      <c r="ABK29" s="303"/>
      <c r="ABL29" s="303"/>
      <c r="ABM29" s="303"/>
      <c r="ABN29" s="303"/>
      <c r="ABO29" s="303"/>
      <c r="ABP29" s="303"/>
      <c r="ABQ29" s="303"/>
      <c r="ABR29" s="303"/>
      <c r="ABS29" s="303"/>
      <c r="ABT29" s="303"/>
      <c r="ABU29" s="303"/>
      <c r="ABV29" s="303"/>
      <c r="ABW29" s="303"/>
      <c r="ABX29" s="303"/>
      <c r="ABY29" s="303"/>
      <c r="ABZ29" s="303"/>
      <c r="ACA29" s="303"/>
      <c r="ACB29" s="303"/>
      <c r="ACC29" s="303"/>
      <c r="ACD29" s="303"/>
      <c r="ACE29" s="303"/>
      <c r="ACF29" s="303"/>
      <c r="ACG29" s="303"/>
      <c r="ACH29" s="303"/>
      <c r="ACI29" s="303"/>
      <c r="ACJ29" s="303"/>
      <c r="ACK29" s="303"/>
      <c r="ACL29" s="303"/>
      <c r="ACM29" s="303"/>
      <c r="ACN29" s="303"/>
      <c r="ACO29" s="303"/>
      <c r="ACP29" s="303"/>
      <c r="ACQ29" s="303"/>
      <c r="ACR29" s="303"/>
      <c r="ACS29" s="303"/>
      <c r="ACT29" s="303"/>
      <c r="ACU29" s="303"/>
      <c r="ACV29" s="303"/>
      <c r="ACW29" s="303"/>
      <c r="ACX29" s="303"/>
      <c r="ACY29" s="303"/>
      <c r="ACZ29" s="303"/>
      <c r="ADA29" s="303"/>
      <c r="ADB29" s="303"/>
      <c r="ADC29" s="303"/>
      <c r="ADD29" s="303"/>
      <c r="ADE29" s="303"/>
      <c r="ADF29" s="303"/>
      <c r="ADG29" s="303"/>
      <c r="ADH29" s="303"/>
      <c r="ADI29" s="303"/>
      <c r="ADJ29" s="303"/>
      <c r="ADK29" s="303"/>
      <c r="ADL29" s="303"/>
      <c r="ADM29" s="303"/>
      <c r="ADN29" s="303"/>
      <c r="ADO29" s="303"/>
      <c r="ADP29" s="303"/>
      <c r="ADQ29" s="303"/>
      <c r="ADR29" s="303"/>
      <c r="ADS29" s="303"/>
      <c r="ADT29" s="303"/>
      <c r="ADU29" s="303"/>
      <c r="ADV29" s="303"/>
      <c r="ADW29" s="303"/>
      <c r="ADX29" s="303"/>
      <c r="ADY29" s="303"/>
      <c r="ADZ29" s="303"/>
      <c r="AEA29" s="303"/>
      <c r="AEB29" s="303"/>
      <c r="AEC29" s="303"/>
      <c r="AED29" s="303"/>
      <c r="AEE29" s="303"/>
      <c r="AEF29" s="303"/>
      <c r="AEG29" s="303"/>
      <c r="AEH29" s="303"/>
      <c r="AEI29" s="303"/>
      <c r="AEJ29" s="303"/>
      <c r="AEK29" s="303"/>
      <c r="AEL29" s="303"/>
      <c r="AEM29" s="303"/>
      <c r="AEN29" s="303"/>
      <c r="AEO29" s="303"/>
      <c r="AEP29" s="303"/>
      <c r="AEQ29" s="303"/>
      <c r="AER29" s="303"/>
      <c r="AES29" s="303"/>
      <c r="AET29" s="303"/>
      <c r="AEU29" s="303"/>
      <c r="AEV29" s="303"/>
      <c r="AEW29" s="303"/>
      <c r="AEX29" s="303"/>
      <c r="AEY29" s="303"/>
      <c r="AEZ29" s="303"/>
      <c r="AFA29" s="303"/>
      <c r="AFB29" s="303"/>
      <c r="AFC29" s="303"/>
      <c r="AFD29" s="303"/>
      <c r="AFE29" s="303"/>
      <c r="AFF29" s="303"/>
      <c r="AFG29" s="303"/>
      <c r="AFH29" s="303"/>
      <c r="AFI29" s="303"/>
      <c r="AFJ29" s="303"/>
      <c r="AFK29" s="303"/>
      <c r="AFL29" s="303"/>
      <c r="AFM29" s="303"/>
      <c r="AFN29" s="303"/>
      <c r="AFO29" s="303"/>
      <c r="AFP29" s="303"/>
      <c r="AFQ29" s="303"/>
      <c r="AFR29" s="303"/>
      <c r="AFS29" s="303"/>
      <c r="AFT29" s="303"/>
      <c r="AFU29" s="303"/>
      <c r="AFV29" s="303"/>
      <c r="AFW29" s="303"/>
      <c r="AFX29" s="303"/>
      <c r="AFY29" s="303"/>
      <c r="AFZ29" s="303"/>
      <c r="AGA29" s="303"/>
      <c r="AGB29" s="303"/>
      <c r="AGC29" s="303"/>
      <c r="AGD29" s="303"/>
      <c r="AGE29" s="303"/>
      <c r="AGF29" s="303"/>
      <c r="AGG29" s="303"/>
      <c r="AGH29" s="303"/>
      <c r="AGI29" s="303"/>
      <c r="AGJ29" s="303"/>
      <c r="AGK29" s="303"/>
      <c r="AGL29" s="303"/>
      <c r="AGM29" s="303"/>
      <c r="AGN29" s="303"/>
      <c r="AGO29" s="303"/>
      <c r="AGP29" s="303"/>
      <c r="AGQ29" s="303"/>
      <c r="AGR29" s="303"/>
      <c r="AGS29" s="303"/>
      <c r="AGT29" s="303"/>
      <c r="AGU29" s="303"/>
      <c r="AGV29" s="303"/>
      <c r="AGW29" s="303"/>
      <c r="AGX29" s="303"/>
      <c r="AGY29" s="303"/>
      <c r="AGZ29" s="303"/>
      <c r="AHA29" s="303"/>
      <c r="AHB29" s="303"/>
      <c r="AHC29" s="303"/>
      <c r="AHD29" s="303"/>
      <c r="AHE29" s="303"/>
      <c r="AHF29" s="303"/>
      <c r="AHG29" s="303"/>
      <c r="AHH29" s="303"/>
      <c r="AHI29" s="303"/>
      <c r="AHJ29" s="303"/>
      <c r="AHK29" s="303"/>
      <c r="AHL29" s="303"/>
      <c r="AHM29" s="303"/>
      <c r="AHN29" s="303"/>
      <c r="AHO29" s="303"/>
      <c r="AHP29" s="303"/>
      <c r="AHQ29" s="303"/>
      <c r="AHR29" s="303"/>
      <c r="AHS29" s="303"/>
      <c r="AHT29" s="303"/>
      <c r="AHU29" s="303"/>
      <c r="AHV29" s="303"/>
      <c r="AHW29" s="303"/>
      <c r="AHX29" s="303"/>
      <c r="AHY29" s="303"/>
      <c r="AHZ29" s="303"/>
      <c r="AIA29" s="303"/>
      <c r="AIB29" s="303"/>
      <c r="AIC29" s="303"/>
      <c r="AID29" s="303"/>
      <c r="AIE29" s="303"/>
      <c r="AIF29" s="303"/>
      <c r="AIG29" s="303"/>
      <c r="AIH29" s="303"/>
      <c r="AII29" s="303"/>
      <c r="AIJ29" s="303"/>
      <c r="AIK29" s="303"/>
      <c r="AIL29" s="303"/>
      <c r="AIM29" s="303"/>
      <c r="AIN29" s="303"/>
      <c r="AIO29" s="303"/>
      <c r="AIP29" s="303"/>
      <c r="AIQ29" s="303"/>
      <c r="AIR29" s="303"/>
      <c r="AIS29" s="303"/>
      <c r="AIT29" s="303"/>
      <c r="AIU29" s="303"/>
      <c r="AIV29" s="303"/>
      <c r="AIW29" s="303"/>
      <c r="AIX29" s="303"/>
      <c r="AIY29" s="303"/>
      <c r="AIZ29" s="303"/>
      <c r="AJA29" s="303"/>
      <c r="AJB29" s="303"/>
      <c r="AJC29" s="303"/>
      <c r="AJD29" s="303"/>
      <c r="AJE29" s="303"/>
      <c r="AJF29" s="303"/>
      <c r="AJG29" s="303"/>
      <c r="AJH29" s="303"/>
      <c r="AJI29" s="303"/>
      <c r="AJJ29" s="303"/>
      <c r="AJK29" s="303"/>
      <c r="AJL29" s="303"/>
      <c r="AJM29" s="303"/>
      <c r="AJN29" s="303"/>
      <c r="AJO29" s="303"/>
      <c r="AJP29" s="303"/>
      <c r="AJQ29" s="303"/>
      <c r="AJR29" s="303"/>
      <c r="AJS29" s="303"/>
      <c r="AJT29" s="303"/>
      <c r="AJU29" s="303"/>
      <c r="AJV29" s="303"/>
      <c r="AJW29" s="303"/>
      <c r="AJX29" s="303"/>
      <c r="AJY29" s="303"/>
      <c r="AJZ29" s="303"/>
      <c r="AKA29" s="303"/>
      <c r="AKB29" s="303"/>
      <c r="AKC29" s="303"/>
      <c r="AKD29" s="303"/>
      <c r="AKE29" s="303"/>
      <c r="AKF29" s="303"/>
      <c r="AKG29" s="303"/>
      <c r="AKH29" s="303"/>
      <c r="AKI29" s="303"/>
      <c r="AKJ29" s="303"/>
      <c r="AKK29" s="303"/>
      <c r="AKL29" s="303"/>
      <c r="AKM29" s="303"/>
      <c r="AKN29" s="303"/>
      <c r="AKO29" s="303"/>
      <c r="AKP29" s="303"/>
      <c r="AKQ29" s="303"/>
      <c r="AKR29" s="303"/>
      <c r="AKS29" s="303"/>
      <c r="AKT29" s="303"/>
      <c r="AKU29" s="303"/>
      <c r="AKV29" s="303"/>
      <c r="AKW29" s="303"/>
      <c r="AKX29" s="303"/>
      <c r="AKY29" s="303"/>
      <c r="AKZ29" s="303"/>
      <c r="ALA29" s="303"/>
      <c r="ALB29" s="303"/>
      <c r="ALC29" s="303"/>
      <c r="ALD29" s="303"/>
      <c r="ALE29" s="303"/>
      <c r="ALF29" s="303"/>
      <c r="ALG29" s="303"/>
      <c r="ALH29" s="303"/>
      <c r="ALI29" s="303"/>
      <c r="ALJ29" s="303"/>
      <c r="ALK29" s="303"/>
      <c r="ALL29" s="303"/>
      <c r="ALM29" s="303"/>
      <c r="ALN29" s="303"/>
      <c r="ALO29" s="303"/>
      <c r="ALP29" s="303"/>
      <c r="ALQ29" s="303"/>
      <c r="ALR29" s="303"/>
      <c r="ALS29" s="303"/>
      <c r="ALT29" s="303"/>
      <c r="ALU29" s="303"/>
      <c r="ALV29" s="303"/>
      <c r="ALW29" s="303"/>
      <c r="ALX29" s="303"/>
      <c r="ALY29" s="303"/>
      <c r="ALZ29" s="303"/>
      <c r="AMA29" s="303"/>
      <c r="AMB29" s="303"/>
      <c r="AMC29" s="303"/>
      <c r="AMD29" s="303"/>
      <c r="AME29" s="303"/>
      <c r="AMF29" s="303"/>
      <c r="AMG29" s="303"/>
      <c r="AMH29" s="303"/>
      <c r="AMI29" s="303"/>
      <c r="AMJ29" s="303"/>
      <c r="AMK29" s="303"/>
      <c r="AML29" s="303"/>
      <c r="AMM29" s="303"/>
      <c r="AMN29" s="303"/>
      <c r="AMO29" s="303"/>
      <c r="AMP29" s="303"/>
      <c r="AMQ29" s="303"/>
      <c r="AMR29" s="303"/>
      <c r="AMS29" s="303"/>
      <c r="AMT29" s="303"/>
      <c r="AMU29" s="303"/>
      <c r="AMV29" s="303"/>
      <c r="AMW29" s="303"/>
      <c r="AMX29" s="303"/>
      <c r="AMY29" s="303"/>
      <c r="AMZ29" s="303"/>
      <c r="ANA29" s="303"/>
      <c r="ANB29" s="303"/>
      <c r="ANC29" s="303"/>
      <c r="AND29" s="303"/>
      <c r="ANE29" s="303"/>
      <c r="ANF29" s="303"/>
      <c r="ANG29" s="303"/>
      <c r="ANH29" s="303"/>
      <c r="ANI29" s="303"/>
      <c r="ANJ29" s="303"/>
      <c r="ANK29" s="303"/>
      <c r="ANL29" s="303"/>
      <c r="ANM29" s="303"/>
      <c r="ANN29" s="303"/>
      <c r="ANO29" s="303"/>
      <c r="ANP29" s="303"/>
      <c r="ANQ29" s="303"/>
      <c r="ANR29" s="303"/>
      <c r="ANS29" s="303"/>
      <c r="ANT29" s="303"/>
      <c r="ANU29" s="303"/>
      <c r="ANV29" s="303"/>
      <c r="ANW29" s="303"/>
      <c r="ANX29" s="303"/>
      <c r="ANY29" s="303"/>
      <c r="ANZ29" s="303"/>
      <c r="AOA29" s="303"/>
      <c r="AOB29" s="303"/>
      <c r="AOC29" s="303"/>
      <c r="AOD29" s="303"/>
      <c r="AOE29" s="303"/>
      <c r="AOF29" s="303"/>
      <c r="AOG29" s="303"/>
      <c r="AOH29" s="303"/>
      <c r="AOI29" s="303"/>
      <c r="AOJ29" s="303"/>
      <c r="AOK29" s="303"/>
      <c r="AOL29" s="303"/>
      <c r="AOM29" s="303"/>
      <c r="AON29" s="303"/>
      <c r="AOO29" s="303"/>
      <c r="AOP29" s="303"/>
      <c r="AOQ29" s="303"/>
      <c r="AOR29" s="303"/>
      <c r="AOS29" s="303"/>
      <c r="AOT29" s="303"/>
      <c r="AOU29" s="303"/>
      <c r="AOV29" s="303"/>
      <c r="AOW29" s="303"/>
      <c r="AOX29" s="303"/>
      <c r="AOY29" s="303"/>
      <c r="AOZ29" s="303"/>
      <c r="APA29" s="303"/>
      <c r="APB29" s="303"/>
      <c r="APC29" s="303"/>
      <c r="APD29" s="303"/>
      <c r="APE29" s="303"/>
      <c r="APF29" s="303"/>
      <c r="APG29" s="303"/>
      <c r="APH29" s="303"/>
      <c r="API29" s="303"/>
      <c r="APJ29" s="303"/>
      <c r="APK29" s="303"/>
      <c r="APL29" s="303"/>
      <c r="APM29" s="303"/>
      <c r="APN29" s="303"/>
      <c r="APO29" s="303"/>
      <c r="APP29" s="303"/>
      <c r="APQ29" s="303"/>
      <c r="APR29" s="303"/>
      <c r="APS29" s="303"/>
      <c r="APT29" s="303"/>
      <c r="APU29" s="303"/>
      <c r="APV29" s="303"/>
      <c r="APW29" s="303"/>
      <c r="APX29" s="303"/>
      <c r="APY29" s="303"/>
      <c r="APZ29" s="303"/>
      <c r="AQA29" s="303"/>
      <c r="AQB29" s="303"/>
      <c r="AQC29" s="303"/>
      <c r="AQD29" s="303"/>
      <c r="AQE29" s="303"/>
      <c r="AQF29" s="303"/>
      <c r="AQG29" s="303"/>
      <c r="AQH29" s="303"/>
      <c r="AQI29" s="303"/>
      <c r="AQJ29" s="303"/>
      <c r="AQK29" s="303"/>
      <c r="AQL29" s="303"/>
      <c r="AQM29" s="303"/>
      <c r="AQN29" s="303"/>
      <c r="AQO29" s="303"/>
      <c r="AQP29" s="303"/>
      <c r="AQQ29" s="303"/>
      <c r="AQR29" s="303"/>
      <c r="AQS29" s="303"/>
      <c r="AQT29" s="303"/>
      <c r="AQU29" s="303"/>
      <c r="AQV29" s="303"/>
      <c r="AQW29" s="303"/>
      <c r="AQX29" s="303"/>
      <c r="AQY29" s="303"/>
      <c r="AQZ29" s="303"/>
      <c r="ARA29" s="303"/>
      <c r="ARB29" s="303"/>
      <c r="ARC29" s="303"/>
      <c r="ARD29" s="303"/>
      <c r="ARE29" s="303"/>
      <c r="ARF29" s="303"/>
      <c r="ARG29" s="303"/>
      <c r="ARH29" s="303"/>
      <c r="ARI29" s="303"/>
      <c r="ARJ29" s="303"/>
      <c r="ARK29" s="303"/>
      <c r="ARL29" s="303"/>
      <c r="ARM29" s="303"/>
      <c r="ARN29" s="303"/>
      <c r="ARO29" s="303"/>
      <c r="ARP29" s="303"/>
      <c r="ARQ29" s="303"/>
      <c r="ARR29" s="303"/>
      <c r="ARS29" s="303"/>
      <c r="ART29" s="303"/>
      <c r="ARU29" s="303"/>
      <c r="ARV29" s="303"/>
      <c r="ARW29" s="303"/>
      <c r="ARX29" s="303"/>
      <c r="ARY29" s="303"/>
      <c r="ARZ29" s="303"/>
      <c r="ASA29" s="303"/>
      <c r="ASB29" s="303"/>
      <c r="ASC29" s="303"/>
      <c r="ASD29" s="303"/>
      <c r="ASE29" s="303"/>
      <c r="ASF29" s="303"/>
      <c r="ASG29" s="303"/>
      <c r="ASH29" s="303"/>
      <c r="ASI29" s="303"/>
      <c r="ASJ29" s="303"/>
      <c r="ASK29" s="303"/>
      <c r="ASL29" s="303"/>
      <c r="ASM29" s="303"/>
      <c r="ASN29" s="303"/>
      <c r="ASO29" s="303"/>
      <c r="ASP29" s="303"/>
      <c r="ASQ29" s="303"/>
      <c r="ASR29" s="303"/>
      <c r="ASS29" s="303"/>
      <c r="AST29" s="303"/>
      <c r="ASU29" s="303"/>
      <c r="ASV29" s="303"/>
      <c r="ASW29" s="303"/>
      <c r="ASX29" s="303"/>
      <c r="ASY29" s="303"/>
      <c r="ASZ29" s="303"/>
      <c r="ATA29" s="303"/>
      <c r="ATB29" s="303"/>
      <c r="ATC29" s="303"/>
      <c r="ATD29" s="303"/>
      <c r="ATE29" s="303"/>
      <c r="ATF29" s="303"/>
      <c r="ATG29" s="303"/>
      <c r="ATH29" s="303"/>
      <c r="ATI29" s="303"/>
      <c r="ATJ29" s="303"/>
      <c r="ATK29" s="303"/>
      <c r="ATL29" s="303"/>
      <c r="ATM29" s="303"/>
      <c r="ATN29" s="303"/>
      <c r="ATO29" s="303"/>
      <c r="ATP29" s="303"/>
      <c r="ATQ29" s="303"/>
      <c r="ATR29" s="303"/>
      <c r="ATS29" s="303"/>
      <c r="ATT29" s="303"/>
      <c r="ATU29" s="303"/>
      <c r="ATV29" s="303"/>
      <c r="ATW29" s="303"/>
      <c r="ATX29" s="303"/>
      <c r="ATY29" s="303"/>
      <c r="ATZ29" s="303"/>
      <c r="AUA29" s="303"/>
      <c r="AUB29" s="303"/>
      <c r="AUC29" s="303"/>
      <c r="AUD29" s="303"/>
      <c r="AUE29" s="303"/>
      <c r="AUF29" s="303"/>
      <c r="AUG29" s="303"/>
      <c r="AUH29" s="303"/>
      <c r="AUI29" s="303"/>
      <c r="AUJ29" s="303"/>
      <c r="AUK29" s="303"/>
      <c r="AUL29" s="303"/>
      <c r="AUM29" s="303"/>
      <c r="AUN29" s="303"/>
      <c r="AUO29" s="303"/>
      <c r="AUP29" s="303"/>
      <c r="AUQ29" s="303"/>
      <c r="AUR29" s="303"/>
      <c r="AUS29" s="303"/>
      <c r="AUT29" s="303"/>
      <c r="AUU29" s="303"/>
      <c r="AUV29" s="303"/>
      <c r="AUW29" s="303"/>
      <c r="AUX29" s="303"/>
      <c r="AUY29" s="303"/>
      <c r="AUZ29" s="303"/>
      <c r="AVA29" s="303"/>
      <c r="AVB29" s="303"/>
      <c r="AVC29" s="303"/>
      <c r="AVD29" s="303"/>
      <c r="AVE29" s="303"/>
      <c r="AVF29" s="303"/>
      <c r="AVG29" s="303"/>
      <c r="AVH29" s="303"/>
      <c r="AVI29" s="303"/>
      <c r="AVJ29" s="303"/>
      <c r="AVK29" s="303"/>
      <c r="AVL29" s="303"/>
      <c r="AVM29" s="303"/>
      <c r="AVN29" s="303"/>
      <c r="AVO29" s="303"/>
      <c r="AVP29" s="303"/>
      <c r="AVQ29" s="303"/>
      <c r="AVR29" s="303"/>
      <c r="AVS29" s="303"/>
      <c r="AVT29" s="303"/>
      <c r="AVU29" s="303"/>
      <c r="AVV29" s="303"/>
      <c r="AVW29" s="303"/>
      <c r="AVX29" s="303"/>
      <c r="AVY29" s="303"/>
      <c r="AVZ29" s="303"/>
      <c r="AWA29" s="303"/>
      <c r="AWB29" s="303"/>
      <c r="AWC29" s="303"/>
      <c r="AWD29" s="303"/>
      <c r="AWE29" s="303"/>
      <c r="AWF29" s="303"/>
      <c r="AWG29" s="303"/>
      <c r="AWH29" s="303"/>
      <c r="AWI29" s="303"/>
      <c r="AWJ29" s="303"/>
      <c r="AWK29" s="303"/>
      <c r="AWL29" s="303"/>
      <c r="AWM29" s="303"/>
      <c r="AWN29" s="303"/>
      <c r="AWO29" s="303"/>
      <c r="AWP29" s="303"/>
      <c r="AWQ29" s="303"/>
      <c r="AWR29" s="303"/>
      <c r="AWS29" s="303"/>
      <c r="AWT29" s="303"/>
      <c r="AWU29" s="303"/>
      <c r="AWV29" s="303"/>
      <c r="AWW29" s="303"/>
      <c r="AWX29" s="303"/>
      <c r="AWY29" s="303"/>
      <c r="AWZ29" s="303"/>
      <c r="AXA29" s="303"/>
      <c r="AXB29" s="303"/>
      <c r="AXC29" s="303"/>
      <c r="AXD29" s="303"/>
      <c r="AXE29" s="303"/>
      <c r="AXF29" s="303"/>
      <c r="AXG29" s="303"/>
      <c r="AXH29" s="303"/>
      <c r="AXI29" s="303"/>
      <c r="AXJ29" s="303"/>
      <c r="AXK29" s="303"/>
      <c r="AXL29" s="303"/>
      <c r="AXM29" s="303"/>
      <c r="AXN29" s="303"/>
      <c r="AXO29" s="303"/>
      <c r="AXP29" s="303"/>
      <c r="AXQ29" s="303"/>
      <c r="AXR29" s="303"/>
      <c r="AXS29" s="303"/>
      <c r="AXT29" s="303"/>
      <c r="AXU29" s="303"/>
      <c r="AXV29" s="303"/>
      <c r="AXW29" s="303"/>
      <c r="AXX29" s="303"/>
      <c r="AXY29" s="303"/>
      <c r="AXZ29" s="303"/>
      <c r="AYA29" s="303"/>
      <c r="AYB29" s="303"/>
      <c r="AYC29" s="303"/>
      <c r="AYD29" s="303"/>
      <c r="AYE29" s="303"/>
      <c r="AYF29" s="303"/>
      <c r="AYG29" s="303"/>
      <c r="AYH29" s="303"/>
    </row>
    <row r="30" spans="1:1334" x14ac:dyDescent="0.25">
      <c r="A30" s="304" t="s">
        <v>1286</v>
      </c>
      <c r="B30" s="298" t="s">
        <v>1305</v>
      </c>
      <c r="C30" s="303"/>
      <c r="D30" s="303"/>
      <c r="E30" s="303"/>
      <c r="F30" s="303"/>
      <c r="G30" s="303"/>
      <c r="H30" s="303"/>
      <c r="I30" s="303"/>
      <c r="J30" s="303"/>
      <c r="K30" s="303"/>
      <c r="L30" s="303"/>
      <c r="M30" s="303"/>
      <c r="N30" s="303"/>
      <c r="O30" s="303"/>
      <c r="P30" s="303"/>
      <c r="Q30" s="303"/>
      <c r="R30" s="303"/>
      <c r="S30" s="303"/>
      <c r="T30" s="303"/>
      <c r="U30" s="303"/>
      <c r="V30" s="303"/>
      <c r="W30" s="303"/>
      <c r="X30" s="303"/>
      <c r="Y30" s="303"/>
      <c r="Z30" s="303"/>
      <c r="AA30" s="303"/>
      <c r="AB30" s="303"/>
      <c r="AC30" s="303"/>
      <c r="AD30" s="303"/>
      <c r="AE30" s="303"/>
      <c r="AF30" s="303"/>
      <c r="AG30" s="303"/>
      <c r="AH30" s="303"/>
      <c r="AI30" s="303"/>
      <c r="AJ30" s="303"/>
      <c r="AK30" s="303"/>
      <c r="AL30" s="303"/>
      <c r="AM30" s="303"/>
      <c r="AN30" s="303"/>
      <c r="AO30" s="303"/>
      <c r="AP30" s="303"/>
      <c r="AQ30" s="303"/>
      <c r="AR30" s="303"/>
      <c r="AS30" s="303"/>
      <c r="AT30" s="303"/>
      <c r="AU30" s="303"/>
      <c r="AV30" s="303"/>
      <c r="AW30" s="303"/>
      <c r="AX30" s="303"/>
      <c r="AY30" s="303"/>
      <c r="AZ30" s="303"/>
      <c r="BA30" s="303"/>
      <c r="BB30" s="303"/>
      <c r="BC30" s="303"/>
      <c r="BD30" s="303"/>
      <c r="BE30" s="303"/>
      <c r="BF30" s="303"/>
      <c r="BG30" s="303"/>
      <c r="BH30" s="303"/>
      <c r="BI30" s="303"/>
      <c r="BJ30" s="303"/>
      <c r="BK30" s="303"/>
      <c r="BL30" s="303"/>
      <c r="BM30" s="303"/>
      <c r="BN30" s="303"/>
      <c r="BO30" s="303"/>
      <c r="BP30" s="303"/>
      <c r="BQ30" s="303"/>
      <c r="BR30" s="303"/>
      <c r="BS30" s="303"/>
      <c r="BT30" s="303"/>
      <c r="BU30" s="303"/>
      <c r="BV30" s="303"/>
      <c r="BW30" s="303"/>
      <c r="BX30" s="303"/>
      <c r="BY30" s="303"/>
      <c r="BZ30" s="303"/>
      <c r="CA30" s="303"/>
      <c r="CB30" s="303"/>
      <c r="CC30" s="303"/>
      <c r="CD30" s="303"/>
      <c r="CE30" s="303"/>
      <c r="CF30" s="303"/>
      <c r="CG30" s="303"/>
      <c r="CH30" s="303"/>
      <c r="CI30" s="303"/>
      <c r="CJ30" s="303"/>
      <c r="CK30" s="303"/>
      <c r="CL30" s="303"/>
      <c r="CM30" s="303"/>
      <c r="CN30" s="303"/>
      <c r="CO30" s="303"/>
      <c r="CP30" s="303"/>
      <c r="CQ30" s="303"/>
      <c r="CR30" s="303"/>
      <c r="CS30" s="303"/>
      <c r="CT30" s="303"/>
      <c r="CU30" s="303"/>
      <c r="CV30" s="303"/>
      <c r="CW30" s="303"/>
      <c r="CX30" s="303"/>
      <c r="CY30" s="303"/>
      <c r="CZ30" s="303"/>
      <c r="DA30" s="303"/>
      <c r="DB30" s="303"/>
      <c r="DC30" s="303"/>
      <c r="DD30" s="303"/>
      <c r="DE30" s="303"/>
      <c r="DF30" s="303"/>
      <c r="DG30" s="303"/>
      <c r="DH30" s="303"/>
      <c r="DI30" s="303"/>
      <c r="DJ30" s="303"/>
      <c r="DK30" s="303"/>
      <c r="DL30" s="303"/>
      <c r="DM30" s="303"/>
      <c r="DN30" s="303"/>
      <c r="DO30" s="303"/>
      <c r="DP30" s="303"/>
      <c r="DQ30" s="303"/>
      <c r="DR30" s="303"/>
      <c r="DS30" s="303"/>
      <c r="DT30" s="303"/>
      <c r="DU30" s="303"/>
      <c r="DV30" s="303"/>
      <c r="DW30" s="303"/>
      <c r="DX30" s="303"/>
      <c r="DY30" s="303"/>
      <c r="DZ30" s="303"/>
      <c r="EA30" s="303"/>
      <c r="EB30" s="303"/>
      <c r="EC30" s="303"/>
      <c r="ED30" s="303"/>
      <c r="EE30" s="303"/>
      <c r="EF30" s="303"/>
      <c r="EG30" s="303"/>
      <c r="EH30" s="303"/>
      <c r="EI30" s="303"/>
      <c r="EJ30" s="303"/>
      <c r="EK30" s="303"/>
      <c r="EL30" s="303"/>
      <c r="EM30" s="303"/>
      <c r="EN30" s="303"/>
      <c r="EO30" s="303"/>
      <c r="EP30" s="303"/>
      <c r="EQ30" s="303"/>
      <c r="ER30" s="303"/>
      <c r="ES30" s="303"/>
      <c r="ET30" s="303"/>
      <c r="EU30" s="303"/>
      <c r="EV30" s="303"/>
      <c r="EW30" s="303"/>
      <c r="EX30" s="303"/>
      <c r="EY30" s="303"/>
      <c r="EZ30" s="303"/>
      <c r="FA30" s="303"/>
      <c r="FB30" s="303"/>
      <c r="FC30" s="303"/>
      <c r="FD30" s="303"/>
      <c r="FE30" s="303"/>
      <c r="FF30" s="303"/>
      <c r="FG30" s="303"/>
      <c r="FH30" s="303"/>
      <c r="FI30" s="303"/>
      <c r="FJ30" s="303"/>
      <c r="FK30" s="303"/>
      <c r="FL30" s="303"/>
      <c r="FM30" s="303"/>
      <c r="FN30" s="303"/>
      <c r="FO30" s="303"/>
      <c r="FP30" s="303"/>
      <c r="FQ30" s="303"/>
      <c r="FR30" s="303"/>
      <c r="FS30" s="303"/>
      <c r="FT30" s="303"/>
      <c r="FU30" s="303"/>
      <c r="FV30" s="303"/>
      <c r="FW30" s="303"/>
      <c r="FX30" s="303"/>
      <c r="FY30" s="303"/>
      <c r="FZ30" s="303"/>
      <c r="GA30" s="303"/>
      <c r="GB30" s="303"/>
      <c r="GC30" s="303"/>
      <c r="GD30" s="303"/>
      <c r="GE30" s="303"/>
      <c r="GF30" s="303"/>
      <c r="GG30" s="303"/>
      <c r="GH30" s="303"/>
      <c r="GI30" s="303"/>
      <c r="GJ30" s="303"/>
      <c r="GK30" s="303"/>
      <c r="GL30" s="303"/>
      <c r="GM30" s="303"/>
      <c r="GN30" s="303"/>
      <c r="GO30" s="303"/>
      <c r="GP30" s="303"/>
      <c r="GQ30" s="303"/>
      <c r="GR30" s="303"/>
      <c r="GS30" s="303"/>
      <c r="GT30" s="303"/>
      <c r="GU30" s="303"/>
      <c r="GV30" s="303"/>
      <c r="GW30" s="303"/>
      <c r="GX30" s="303"/>
      <c r="GY30" s="303"/>
      <c r="GZ30" s="303"/>
      <c r="HA30" s="303"/>
      <c r="HB30" s="303"/>
      <c r="HC30" s="303"/>
      <c r="HD30" s="303"/>
      <c r="HE30" s="303"/>
      <c r="HF30" s="303"/>
      <c r="HG30" s="303"/>
      <c r="HH30" s="303"/>
      <c r="HI30" s="303"/>
      <c r="HJ30" s="303"/>
      <c r="HK30" s="303"/>
      <c r="HL30" s="303"/>
      <c r="HM30" s="303"/>
      <c r="HN30" s="303"/>
      <c r="HO30" s="303"/>
      <c r="HP30" s="303"/>
      <c r="HQ30" s="303"/>
      <c r="HR30" s="303"/>
      <c r="HS30" s="303"/>
      <c r="HT30" s="303"/>
      <c r="HU30" s="303"/>
      <c r="HV30" s="303"/>
      <c r="HW30" s="303"/>
      <c r="HX30" s="303"/>
      <c r="HY30" s="303"/>
      <c r="HZ30" s="303"/>
      <c r="IA30" s="303"/>
      <c r="IB30" s="303"/>
      <c r="IC30" s="303"/>
      <c r="ID30" s="303"/>
      <c r="IE30" s="303"/>
      <c r="IF30" s="303"/>
      <c r="IG30" s="303"/>
      <c r="IH30" s="303"/>
      <c r="II30" s="303"/>
      <c r="IJ30" s="303"/>
      <c r="IK30" s="303"/>
      <c r="IL30" s="303"/>
      <c r="IM30" s="303"/>
      <c r="IN30" s="303"/>
      <c r="IO30" s="303"/>
      <c r="IP30" s="303"/>
      <c r="IQ30" s="303"/>
      <c r="IR30" s="303"/>
      <c r="IS30" s="303"/>
      <c r="IT30" s="303"/>
      <c r="IU30" s="303"/>
      <c r="IV30" s="303"/>
      <c r="IW30" s="303"/>
      <c r="IX30" s="303"/>
      <c r="IY30" s="303"/>
      <c r="IZ30" s="303"/>
      <c r="JA30" s="303"/>
      <c r="JB30" s="303"/>
      <c r="JC30" s="303"/>
      <c r="JD30" s="303"/>
      <c r="JE30" s="303"/>
      <c r="JF30" s="303"/>
      <c r="JG30" s="303"/>
      <c r="JH30" s="303"/>
      <c r="JI30" s="303"/>
      <c r="JJ30" s="303"/>
      <c r="JK30" s="303"/>
      <c r="JL30" s="303"/>
      <c r="JM30" s="303"/>
      <c r="JN30" s="303"/>
      <c r="JO30" s="303"/>
      <c r="JP30" s="303"/>
      <c r="JQ30" s="303"/>
      <c r="JR30" s="303"/>
      <c r="JS30" s="303"/>
      <c r="JT30" s="303"/>
      <c r="JU30" s="303"/>
      <c r="JV30" s="303"/>
      <c r="JW30" s="303"/>
      <c r="JX30" s="303"/>
      <c r="JY30" s="303"/>
      <c r="JZ30" s="303"/>
      <c r="KA30" s="303"/>
      <c r="KB30" s="303"/>
      <c r="KC30" s="303"/>
      <c r="KD30" s="303"/>
      <c r="KE30" s="303"/>
      <c r="KF30" s="303"/>
      <c r="KG30" s="303"/>
      <c r="KH30" s="303"/>
      <c r="KI30" s="303"/>
      <c r="KJ30" s="303"/>
      <c r="KK30" s="303"/>
      <c r="KL30" s="303"/>
      <c r="KM30" s="303"/>
      <c r="KN30" s="303"/>
      <c r="KO30" s="303"/>
      <c r="KP30" s="303"/>
      <c r="KQ30" s="303"/>
      <c r="KR30" s="303"/>
      <c r="KS30" s="303"/>
      <c r="KT30" s="303"/>
      <c r="KU30" s="303"/>
      <c r="KV30" s="303"/>
      <c r="KW30" s="303"/>
      <c r="KX30" s="303"/>
      <c r="KY30" s="303"/>
      <c r="KZ30" s="303"/>
      <c r="LA30" s="303"/>
      <c r="LB30" s="303"/>
      <c r="LC30" s="303"/>
      <c r="LD30" s="303"/>
      <c r="LE30" s="303"/>
      <c r="LF30" s="303"/>
      <c r="LG30" s="303"/>
      <c r="LH30" s="303"/>
      <c r="LI30" s="303"/>
      <c r="LJ30" s="303"/>
      <c r="LK30" s="303"/>
      <c r="LL30" s="303"/>
      <c r="LM30" s="303"/>
      <c r="LN30" s="303"/>
      <c r="LO30" s="303"/>
      <c r="LP30" s="303"/>
      <c r="LQ30" s="303"/>
      <c r="LR30" s="303"/>
      <c r="LS30" s="303"/>
      <c r="LT30" s="303"/>
      <c r="LU30" s="303"/>
      <c r="LV30" s="303"/>
      <c r="LW30" s="303"/>
      <c r="LX30" s="303"/>
      <c r="LY30" s="303"/>
      <c r="LZ30" s="303"/>
      <c r="MA30" s="303"/>
      <c r="MB30" s="303"/>
      <c r="MC30" s="303"/>
      <c r="MD30" s="303"/>
      <c r="ME30" s="303"/>
      <c r="MF30" s="303"/>
      <c r="MG30" s="303"/>
      <c r="MH30" s="303"/>
      <c r="MI30" s="303"/>
      <c r="MJ30" s="303"/>
      <c r="MK30" s="303"/>
      <c r="ML30" s="303"/>
      <c r="MM30" s="303"/>
      <c r="MN30" s="303"/>
      <c r="MO30" s="303"/>
      <c r="MP30" s="303"/>
      <c r="MQ30" s="303"/>
      <c r="MR30" s="303"/>
      <c r="MS30" s="303"/>
      <c r="MT30" s="303"/>
      <c r="MU30" s="303"/>
      <c r="MV30" s="303"/>
      <c r="MW30" s="303"/>
      <c r="MX30" s="303"/>
      <c r="MY30" s="303"/>
      <c r="MZ30" s="303"/>
      <c r="NA30" s="303"/>
      <c r="NB30" s="303"/>
      <c r="NC30" s="303"/>
      <c r="ND30" s="303"/>
      <c r="NE30" s="303"/>
      <c r="NF30" s="303"/>
      <c r="NG30" s="303"/>
      <c r="NH30" s="303"/>
      <c r="NI30" s="303"/>
      <c r="NJ30" s="303"/>
      <c r="NK30" s="303"/>
      <c r="NL30" s="303"/>
      <c r="NM30" s="303"/>
      <c r="NN30" s="303"/>
      <c r="NO30" s="303"/>
      <c r="NP30" s="303"/>
      <c r="NQ30" s="303"/>
      <c r="NR30" s="303"/>
      <c r="NS30" s="303"/>
      <c r="NT30" s="303"/>
      <c r="NU30" s="303"/>
      <c r="NV30" s="303"/>
      <c r="NW30" s="303"/>
      <c r="NX30" s="303"/>
      <c r="NY30" s="303"/>
      <c r="NZ30" s="303"/>
      <c r="OA30" s="303"/>
      <c r="OB30" s="303"/>
      <c r="OC30" s="303"/>
      <c r="OD30" s="303"/>
      <c r="OE30" s="303"/>
      <c r="OF30" s="303"/>
      <c r="OG30" s="303"/>
      <c r="OH30" s="303"/>
      <c r="OI30" s="303"/>
      <c r="OJ30" s="303"/>
      <c r="OK30" s="303"/>
      <c r="OL30" s="303"/>
      <c r="OM30" s="303"/>
      <c r="ON30" s="303"/>
      <c r="OO30" s="303"/>
      <c r="OP30" s="303"/>
      <c r="OQ30" s="303"/>
      <c r="OR30" s="303"/>
      <c r="OS30" s="303"/>
      <c r="OT30" s="303"/>
      <c r="OU30" s="303"/>
      <c r="OV30" s="303"/>
      <c r="OW30" s="303"/>
      <c r="OX30" s="303"/>
      <c r="OY30" s="303"/>
      <c r="OZ30" s="303"/>
      <c r="PA30" s="303"/>
      <c r="PB30" s="303"/>
      <c r="PC30" s="303"/>
      <c r="PD30" s="303"/>
      <c r="PE30" s="303"/>
      <c r="PF30" s="303"/>
      <c r="PG30" s="303"/>
      <c r="PH30" s="303"/>
      <c r="PI30" s="303"/>
      <c r="PJ30" s="303"/>
      <c r="PK30" s="303"/>
      <c r="PL30" s="303"/>
      <c r="PM30" s="303"/>
      <c r="PN30" s="303"/>
      <c r="PO30" s="303"/>
      <c r="PP30" s="303"/>
      <c r="PQ30" s="303"/>
      <c r="PR30" s="303"/>
      <c r="PS30" s="303"/>
      <c r="PT30" s="303"/>
      <c r="PU30" s="303"/>
      <c r="PV30" s="303"/>
      <c r="PW30" s="303"/>
      <c r="PX30" s="303"/>
      <c r="PY30" s="303"/>
      <c r="PZ30" s="303"/>
      <c r="QA30" s="303"/>
      <c r="QB30" s="303"/>
      <c r="QC30" s="303"/>
      <c r="QD30" s="303"/>
      <c r="QE30" s="303"/>
      <c r="QF30" s="303"/>
      <c r="QG30" s="303"/>
      <c r="QH30" s="303"/>
      <c r="QI30" s="303"/>
      <c r="QJ30" s="303"/>
      <c r="QK30" s="303"/>
      <c r="QL30" s="303"/>
      <c r="QM30" s="303"/>
      <c r="QN30" s="303"/>
      <c r="QO30" s="303"/>
      <c r="QP30" s="303"/>
      <c r="QQ30" s="303"/>
      <c r="QR30" s="303"/>
      <c r="QS30" s="303"/>
      <c r="QT30" s="303"/>
      <c r="QU30" s="303"/>
      <c r="QV30" s="303"/>
      <c r="QW30" s="303"/>
      <c r="QX30" s="303"/>
      <c r="QY30" s="303"/>
      <c r="QZ30" s="303"/>
      <c r="RA30" s="303"/>
      <c r="RB30" s="303"/>
      <c r="RC30" s="303"/>
      <c r="RD30" s="303"/>
      <c r="RE30" s="303"/>
      <c r="RF30" s="303"/>
      <c r="RG30" s="303"/>
      <c r="RH30" s="303"/>
      <c r="RI30" s="303"/>
      <c r="RJ30" s="303"/>
      <c r="RK30" s="303"/>
      <c r="RL30" s="303"/>
      <c r="RM30" s="303"/>
      <c r="RN30" s="303"/>
      <c r="RO30" s="303"/>
      <c r="RP30" s="303"/>
      <c r="RQ30" s="303"/>
      <c r="RR30" s="303"/>
      <c r="RS30" s="303"/>
      <c r="RT30" s="303"/>
      <c r="RU30" s="303"/>
      <c r="RV30" s="303"/>
      <c r="RW30" s="303"/>
      <c r="RX30" s="303"/>
      <c r="RY30" s="303"/>
      <c r="RZ30" s="303"/>
      <c r="SA30" s="303"/>
      <c r="SB30" s="303"/>
      <c r="SC30" s="303"/>
      <c r="SD30" s="303"/>
      <c r="SE30" s="303"/>
      <c r="SF30" s="303"/>
      <c r="SG30" s="303"/>
      <c r="SH30" s="303"/>
      <c r="SI30" s="303"/>
      <c r="SJ30" s="303"/>
      <c r="SK30" s="303"/>
      <c r="SL30" s="303"/>
      <c r="SM30" s="303"/>
      <c r="SN30" s="303"/>
      <c r="SO30" s="303"/>
      <c r="SP30" s="303"/>
      <c r="SQ30" s="303"/>
      <c r="SR30" s="303"/>
      <c r="SS30" s="303"/>
      <c r="ST30" s="303"/>
      <c r="SU30" s="303"/>
      <c r="SV30" s="303"/>
      <c r="SW30" s="303"/>
      <c r="SX30" s="303"/>
      <c r="SY30" s="303"/>
      <c r="SZ30" s="303"/>
      <c r="TA30" s="303"/>
      <c r="TB30" s="303"/>
      <c r="TC30" s="303"/>
      <c r="TD30" s="303"/>
      <c r="TE30" s="303"/>
      <c r="TF30" s="303"/>
      <c r="TG30" s="303"/>
      <c r="TH30" s="303"/>
      <c r="TI30" s="303"/>
      <c r="TJ30" s="303"/>
      <c r="TK30" s="303"/>
      <c r="TL30" s="303"/>
      <c r="TM30" s="303"/>
      <c r="TN30" s="303"/>
      <c r="TO30" s="303"/>
      <c r="TP30" s="303"/>
      <c r="TQ30" s="303"/>
      <c r="TR30" s="303"/>
      <c r="TS30" s="303"/>
      <c r="TT30" s="303"/>
      <c r="TU30" s="303"/>
      <c r="TV30" s="303"/>
      <c r="TW30" s="303"/>
      <c r="TX30" s="303"/>
      <c r="TY30" s="303"/>
      <c r="TZ30" s="303"/>
      <c r="UA30" s="303"/>
      <c r="UB30" s="303"/>
      <c r="UC30" s="303"/>
      <c r="UD30" s="303"/>
      <c r="UE30" s="303"/>
      <c r="UF30" s="303"/>
      <c r="UG30" s="303"/>
      <c r="UH30" s="303"/>
      <c r="UI30" s="303"/>
      <c r="UJ30" s="303"/>
      <c r="UK30" s="303"/>
      <c r="UL30" s="303"/>
      <c r="UM30" s="303"/>
      <c r="UN30" s="303"/>
      <c r="UO30" s="303"/>
      <c r="UP30" s="303"/>
      <c r="UQ30" s="303"/>
      <c r="UR30" s="303"/>
      <c r="US30" s="303"/>
      <c r="UT30" s="303"/>
      <c r="UU30" s="303"/>
      <c r="UV30" s="303"/>
      <c r="UW30" s="303"/>
      <c r="UX30" s="303"/>
      <c r="UY30" s="303"/>
      <c r="UZ30" s="303"/>
      <c r="VA30" s="303"/>
      <c r="VB30" s="303"/>
      <c r="VC30" s="303"/>
      <c r="VD30" s="303"/>
      <c r="VE30" s="303"/>
      <c r="VF30" s="303"/>
      <c r="VG30" s="303"/>
      <c r="VH30" s="303"/>
      <c r="VI30" s="303"/>
      <c r="VJ30" s="303"/>
      <c r="VK30" s="303"/>
      <c r="VL30" s="303"/>
      <c r="VM30" s="303"/>
      <c r="VN30" s="303"/>
      <c r="VO30" s="303"/>
      <c r="VP30" s="303"/>
      <c r="VQ30" s="303"/>
      <c r="VR30" s="303"/>
      <c r="VS30" s="303"/>
      <c r="VT30" s="303"/>
      <c r="VU30" s="303"/>
      <c r="VV30" s="303"/>
      <c r="VW30" s="303"/>
      <c r="VX30" s="303"/>
      <c r="VY30" s="303"/>
      <c r="VZ30" s="303"/>
      <c r="WA30" s="303"/>
      <c r="WB30" s="303"/>
      <c r="WC30" s="303"/>
      <c r="WD30" s="303"/>
      <c r="WE30" s="303"/>
      <c r="WF30" s="303"/>
      <c r="WG30" s="303"/>
      <c r="WH30" s="303"/>
      <c r="WI30" s="303"/>
      <c r="WJ30" s="303"/>
      <c r="WK30" s="303"/>
      <c r="WL30" s="303"/>
      <c r="WM30" s="303"/>
      <c r="WN30" s="303"/>
      <c r="WO30" s="303"/>
      <c r="WP30" s="303"/>
      <c r="WQ30" s="303"/>
      <c r="WR30" s="303"/>
      <c r="WS30" s="303"/>
      <c r="WT30" s="303"/>
      <c r="WU30" s="303"/>
      <c r="WV30" s="303"/>
      <c r="WW30" s="303"/>
      <c r="WX30" s="303"/>
      <c r="WY30" s="303"/>
      <c r="WZ30" s="303"/>
      <c r="XA30" s="303"/>
      <c r="XB30" s="303"/>
      <c r="XC30" s="303"/>
      <c r="XD30" s="303"/>
      <c r="XE30" s="303"/>
      <c r="XF30" s="303"/>
      <c r="XG30" s="303"/>
      <c r="XH30" s="303"/>
      <c r="XI30" s="303"/>
      <c r="XJ30" s="303"/>
      <c r="XK30" s="303"/>
      <c r="XL30" s="303"/>
      <c r="XM30" s="303"/>
      <c r="XN30" s="303"/>
      <c r="XO30" s="303"/>
      <c r="XP30" s="303"/>
      <c r="XQ30" s="303"/>
      <c r="XR30" s="303"/>
      <c r="XS30" s="303"/>
      <c r="XT30" s="303"/>
      <c r="XU30" s="303"/>
      <c r="XV30" s="303"/>
      <c r="XW30" s="303"/>
      <c r="XX30" s="303"/>
      <c r="XY30" s="303"/>
      <c r="XZ30" s="303"/>
      <c r="YA30" s="303"/>
      <c r="YB30" s="303"/>
      <c r="YC30" s="303"/>
      <c r="YD30" s="303"/>
      <c r="YE30" s="303"/>
      <c r="YF30" s="303"/>
      <c r="YG30" s="303"/>
      <c r="YH30" s="303"/>
      <c r="YI30" s="303"/>
      <c r="YJ30" s="303"/>
      <c r="YK30" s="303"/>
      <c r="YL30" s="303"/>
      <c r="YM30" s="303"/>
      <c r="YN30" s="303"/>
      <c r="YO30" s="303"/>
      <c r="YP30" s="303"/>
      <c r="YQ30" s="303"/>
      <c r="YR30" s="303"/>
      <c r="YS30" s="303"/>
      <c r="YT30" s="303"/>
      <c r="YU30" s="303"/>
      <c r="YV30" s="303"/>
      <c r="YW30" s="303"/>
      <c r="YX30" s="303"/>
      <c r="YY30" s="303"/>
      <c r="YZ30" s="303"/>
      <c r="ZA30" s="303"/>
      <c r="ZB30" s="303"/>
      <c r="ZC30" s="303"/>
      <c r="ZD30" s="303"/>
      <c r="ZE30" s="303"/>
      <c r="ZF30" s="303"/>
      <c r="ZG30" s="303"/>
      <c r="ZH30" s="303"/>
      <c r="ZI30" s="303"/>
      <c r="ZJ30" s="303"/>
      <c r="ZK30" s="303"/>
      <c r="ZL30" s="303"/>
      <c r="ZM30" s="303"/>
      <c r="ZN30" s="303"/>
      <c r="ZO30" s="303"/>
      <c r="ZP30" s="303"/>
      <c r="ZQ30" s="303"/>
      <c r="ZR30" s="303"/>
      <c r="ZS30" s="303"/>
      <c r="ZT30" s="303"/>
      <c r="ZU30" s="303"/>
      <c r="ZV30" s="303"/>
      <c r="ZW30" s="303"/>
      <c r="ZX30" s="303"/>
      <c r="ZY30" s="303"/>
      <c r="ZZ30" s="303"/>
      <c r="AAA30" s="303"/>
      <c r="AAB30" s="303"/>
      <c r="AAC30" s="303"/>
      <c r="AAD30" s="303"/>
      <c r="AAE30" s="303"/>
      <c r="AAF30" s="303"/>
      <c r="AAG30" s="303"/>
      <c r="AAH30" s="303"/>
      <c r="AAI30" s="303"/>
      <c r="AAJ30" s="303"/>
      <c r="AAK30" s="303"/>
      <c r="AAL30" s="303"/>
      <c r="AAM30" s="303"/>
      <c r="AAN30" s="303"/>
      <c r="AAO30" s="303"/>
      <c r="AAP30" s="303"/>
      <c r="AAQ30" s="303"/>
      <c r="AAR30" s="303"/>
      <c r="AAS30" s="303"/>
      <c r="AAT30" s="303"/>
      <c r="AAU30" s="303"/>
      <c r="AAV30" s="303"/>
      <c r="AAW30" s="303"/>
      <c r="AAX30" s="303"/>
      <c r="AAY30" s="303"/>
      <c r="AAZ30" s="303"/>
      <c r="ABA30" s="303"/>
      <c r="ABB30" s="303"/>
      <c r="ABC30" s="303"/>
      <c r="ABD30" s="303"/>
      <c r="ABE30" s="303"/>
      <c r="ABF30" s="303"/>
      <c r="ABG30" s="303"/>
      <c r="ABH30" s="303"/>
      <c r="ABI30" s="303"/>
      <c r="ABJ30" s="303"/>
      <c r="ABK30" s="303"/>
      <c r="ABL30" s="303"/>
      <c r="ABM30" s="303"/>
      <c r="ABN30" s="303"/>
      <c r="ABO30" s="303"/>
      <c r="ABP30" s="303"/>
      <c r="ABQ30" s="303"/>
      <c r="ABR30" s="303"/>
      <c r="ABS30" s="303"/>
      <c r="ABT30" s="303"/>
      <c r="ABU30" s="303"/>
      <c r="ABV30" s="303"/>
      <c r="ABW30" s="303"/>
      <c r="ABX30" s="303"/>
      <c r="ABY30" s="303"/>
      <c r="ABZ30" s="303"/>
      <c r="ACA30" s="303"/>
      <c r="ACB30" s="303"/>
      <c r="ACC30" s="303"/>
      <c r="ACD30" s="303"/>
      <c r="ACE30" s="303"/>
      <c r="ACF30" s="303"/>
      <c r="ACG30" s="303"/>
      <c r="ACH30" s="303"/>
      <c r="ACI30" s="303"/>
      <c r="ACJ30" s="303"/>
      <c r="ACK30" s="303"/>
      <c r="ACL30" s="303"/>
      <c r="ACM30" s="303"/>
      <c r="ACN30" s="303"/>
      <c r="ACO30" s="303"/>
      <c r="ACP30" s="303"/>
      <c r="ACQ30" s="303"/>
      <c r="ACR30" s="303"/>
      <c r="ACS30" s="303"/>
      <c r="ACT30" s="303"/>
      <c r="ACU30" s="303"/>
      <c r="ACV30" s="303"/>
      <c r="ACW30" s="303"/>
      <c r="ACX30" s="303"/>
      <c r="ACY30" s="303"/>
      <c r="ACZ30" s="303"/>
      <c r="ADA30" s="303"/>
      <c r="ADB30" s="303"/>
      <c r="ADC30" s="303"/>
      <c r="ADD30" s="303"/>
      <c r="ADE30" s="303"/>
      <c r="ADF30" s="303"/>
      <c r="ADG30" s="303"/>
      <c r="ADH30" s="303"/>
      <c r="ADI30" s="303"/>
      <c r="ADJ30" s="303"/>
      <c r="ADK30" s="303"/>
      <c r="ADL30" s="303"/>
      <c r="ADM30" s="303"/>
      <c r="ADN30" s="303"/>
      <c r="ADO30" s="303"/>
      <c r="ADP30" s="303"/>
      <c r="ADQ30" s="303"/>
      <c r="ADR30" s="303"/>
      <c r="ADS30" s="303"/>
      <c r="ADT30" s="303"/>
      <c r="ADU30" s="303"/>
      <c r="ADV30" s="303"/>
      <c r="ADW30" s="303"/>
      <c r="ADX30" s="303"/>
      <c r="ADY30" s="303"/>
      <c r="ADZ30" s="303"/>
      <c r="AEA30" s="303"/>
      <c r="AEB30" s="303"/>
      <c r="AEC30" s="303"/>
      <c r="AED30" s="303"/>
      <c r="AEE30" s="303"/>
      <c r="AEF30" s="303"/>
      <c r="AEG30" s="303"/>
      <c r="AEH30" s="303"/>
      <c r="AEI30" s="303"/>
      <c r="AEJ30" s="303"/>
      <c r="AEK30" s="303"/>
      <c r="AEL30" s="303"/>
      <c r="AEM30" s="303"/>
      <c r="AEN30" s="303"/>
      <c r="AEO30" s="303"/>
      <c r="AEP30" s="303"/>
      <c r="AEQ30" s="303"/>
      <c r="AER30" s="303"/>
      <c r="AES30" s="303"/>
      <c r="AET30" s="303"/>
      <c r="AEU30" s="303"/>
      <c r="AEV30" s="303"/>
      <c r="AEW30" s="303"/>
      <c r="AEX30" s="303"/>
      <c r="AEY30" s="303"/>
      <c r="AEZ30" s="303"/>
      <c r="AFA30" s="303"/>
      <c r="AFB30" s="303"/>
      <c r="AFC30" s="303"/>
      <c r="AFD30" s="303"/>
      <c r="AFE30" s="303"/>
      <c r="AFF30" s="303"/>
      <c r="AFG30" s="303"/>
      <c r="AFH30" s="303"/>
      <c r="AFI30" s="303"/>
      <c r="AFJ30" s="303"/>
      <c r="AFK30" s="303"/>
      <c r="AFL30" s="303"/>
      <c r="AFM30" s="303"/>
      <c r="AFN30" s="303"/>
      <c r="AFO30" s="303"/>
      <c r="AFP30" s="303"/>
      <c r="AFQ30" s="303"/>
      <c r="AFR30" s="303"/>
      <c r="AFS30" s="303"/>
      <c r="AFT30" s="303"/>
      <c r="AFU30" s="303"/>
      <c r="AFV30" s="303"/>
      <c r="AFW30" s="303"/>
      <c r="AFX30" s="303"/>
      <c r="AFY30" s="303"/>
      <c r="AFZ30" s="303"/>
      <c r="AGA30" s="303"/>
      <c r="AGB30" s="303"/>
      <c r="AGC30" s="303"/>
      <c r="AGD30" s="303"/>
      <c r="AGE30" s="303"/>
      <c r="AGF30" s="303"/>
      <c r="AGG30" s="303"/>
      <c r="AGH30" s="303"/>
      <c r="AGI30" s="303"/>
      <c r="AGJ30" s="303"/>
      <c r="AGK30" s="303"/>
      <c r="AGL30" s="303"/>
      <c r="AGM30" s="303"/>
      <c r="AGN30" s="303"/>
      <c r="AGO30" s="303"/>
      <c r="AGP30" s="303"/>
      <c r="AGQ30" s="303"/>
      <c r="AGR30" s="303"/>
      <c r="AGS30" s="303"/>
      <c r="AGT30" s="303"/>
      <c r="AGU30" s="303"/>
      <c r="AGV30" s="303"/>
      <c r="AGW30" s="303"/>
      <c r="AGX30" s="303"/>
      <c r="AGY30" s="303"/>
      <c r="AGZ30" s="303"/>
      <c r="AHA30" s="303"/>
      <c r="AHB30" s="303"/>
      <c r="AHC30" s="303"/>
      <c r="AHD30" s="303"/>
      <c r="AHE30" s="303"/>
      <c r="AHF30" s="303"/>
      <c r="AHG30" s="303"/>
      <c r="AHH30" s="303"/>
      <c r="AHI30" s="303"/>
      <c r="AHJ30" s="303"/>
      <c r="AHK30" s="303"/>
      <c r="AHL30" s="303"/>
      <c r="AHM30" s="303"/>
      <c r="AHN30" s="303"/>
      <c r="AHO30" s="303"/>
      <c r="AHP30" s="303"/>
      <c r="AHQ30" s="303"/>
      <c r="AHR30" s="303"/>
      <c r="AHS30" s="303"/>
      <c r="AHT30" s="303"/>
      <c r="AHU30" s="303"/>
      <c r="AHV30" s="303"/>
      <c r="AHW30" s="303"/>
      <c r="AHX30" s="303"/>
      <c r="AHY30" s="303"/>
      <c r="AHZ30" s="303"/>
      <c r="AIA30" s="303"/>
      <c r="AIB30" s="303"/>
      <c r="AIC30" s="303"/>
      <c r="AID30" s="303"/>
      <c r="AIE30" s="303"/>
      <c r="AIF30" s="303"/>
      <c r="AIG30" s="303"/>
      <c r="AIH30" s="303"/>
      <c r="AII30" s="303"/>
      <c r="AIJ30" s="303"/>
      <c r="AIK30" s="303"/>
      <c r="AIL30" s="303"/>
      <c r="AIM30" s="303"/>
      <c r="AIN30" s="303"/>
      <c r="AIO30" s="303"/>
      <c r="AIP30" s="303"/>
      <c r="AIQ30" s="303"/>
      <c r="AIR30" s="303"/>
      <c r="AIS30" s="303"/>
      <c r="AIT30" s="303"/>
      <c r="AIU30" s="303"/>
      <c r="AIV30" s="303"/>
      <c r="AIW30" s="303"/>
      <c r="AIX30" s="303"/>
      <c r="AIY30" s="303"/>
      <c r="AIZ30" s="303"/>
      <c r="AJA30" s="303"/>
      <c r="AJB30" s="303"/>
      <c r="AJC30" s="303"/>
      <c r="AJD30" s="303"/>
      <c r="AJE30" s="303"/>
      <c r="AJF30" s="303"/>
      <c r="AJG30" s="303"/>
      <c r="AJH30" s="303"/>
      <c r="AJI30" s="303"/>
      <c r="AJJ30" s="303"/>
      <c r="AJK30" s="303"/>
      <c r="AJL30" s="303"/>
      <c r="AJM30" s="303"/>
      <c r="AJN30" s="303"/>
      <c r="AJO30" s="303"/>
      <c r="AJP30" s="303"/>
      <c r="AJQ30" s="303"/>
      <c r="AJR30" s="303"/>
      <c r="AJS30" s="303"/>
      <c r="AJT30" s="303"/>
      <c r="AJU30" s="303"/>
      <c r="AJV30" s="303"/>
      <c r="AJW30" s="303"/>
      <c r="AJX30" s="303"/>
      <c r="AJY30" s="303"/>
      <c r="AJZ30" s="303"/>
      <c r="AKA30" s="303"/>
      <c r="AKB30" s="303"/>
      <c r="AKC30" s="303"/>
      <c r="AKD30" s="303"/>
      <c r="AKE30" s="303"/>
      <c r="AKF30" s="303"/>
      <c r="AKG30" s="303"/>
      <c r="AKH30" s="303"/>
      <c r="AKI30" s="303"/>
      <c r="AKJ30" s="303"/>
      <c r="AKK30" s="303"/>
      <c r="AKL30" s="303"/>
      <c r="AKM30" s="303"/>
      <c r="AKN30" s="303"/>
      <c r="AKO30" s="303"/>
      <c r="AKP30" s="303"/>
      <c r="AKQ30" s="303"/>
      <c r="AKR30" s="303"/>
      <c r="AKS30" s="303"/>
      <c r="AKT30" s="303"/>
      <c r="AKU30" s="303"/>
      <c r="AKV30" s="303"/>
      <c r="AKW30" s="303"/>
      <c r="AKX30" s="303"/>
      <c r="AKY30" s="303"/>
      <c r="AKZ30" s="303"/>
      <c r="ALA30" s="303"/>
      <c r="ALB30" s="303"/>
      <c r="ALC30" s="303"/>
      <c r="ALD30" s="303"/>
      <c r="ALE30" s="303"/>
      <c r="ALF30" s="303"/>
      <c r="ALG30" s="303"/>
      <c r="ALH30" s="303"/>
      <c r="ALI30" s="303"/>
      <c r="ALJ30" s="303"/>
      <c r="ALK30" s="303"/>
      <c r="ALL30" s="303"/>
      <c r="ALM30" s="303"/>
      <c r="ALN30" s="303"/>
      <c r="ALO30" s="303"/>
      <c r="ALP30" s="303"/>
      <c r="ALQ30" s="303"/>
      <c r="ALR30" s="303"/>
      <c r="ALS30" s="303"/>
      <c r="ALT30" s="303"/>
      <c r="ALU30" s="303"/>
      <c r="ALV30" s="303"/>
      <c r="ALW30" s="303"/>
      <c r="ALX30" s="303"/>
      <c r="ALY30" s="303"/>
      <c r="ALZ30" s="303"/>
      <c r="AMA30" s="303"/>
      <c r="AMB30" s="303"/>
      <c r="AMC30" s="303"/>
      <c r="AMD30" s="303"/>
      <c r="AME30" s="303"/>
      <c r="AMF30" s="303"/>
      <c r="AMG30" s="303"/>
      <c r="AMH30" s="303"/>
      <c r="AMI30" s="303"/>
      <c r="AMJ30" s="303"/>
      <c r="AMK30" s="303"/>
      <c r="AML30" s="303"/>
      <c r="AMM30" s="303"/>
      <c r="AMN30" s="303"/>
      <c r="AMO30" s="303"/>
      <c r="AMP30" s="303"/>
      <c r="AMQ30" s="303"/>
      <c r="AMR30" s="303"/>
      <c r="AMS30" s="303"/>
      <c r="AMT30" s="303"/>
      <c r="AMU30" s="303"/>
      <c r="AMV30" s="303"/>
      <c r="AMW30" s="303"/>
      <c r="AMX30" s="303"/>
      <c r="AMY30" s="303"/>
      <c r="AMZ30" s="303"/>
      <c r="ANA30" s="303"/>
      <c r="ANB30" s="303"/>
      <c r="ANC30" s="303"/>
      <c r="AND30" s="303"/>
      <c r="ANE30" s="303"/>
      <c r="ANF30" s="303"/>
      <c r="ANG30" s="303"/>
      <c r="ANH30" s="303"/>
      <c r="ANI30" s="303"/>
      <c r="ANJ30" s="303"/>
      <c r="ANK30" s="303"/>
      <c r="ANL30" s="303"/>
      <c r="ANM30" s="303"/>
      <c r="ANN30" s="303"/>
      <c r="ANO30" s="303"/>
      <c r="ANP30" s="303"/>
      <c r="ANQ30" s="303"/>
      <c r="ANR30" s="303"/>
      <c r="ANS30" s="303"/>
      <c r="ANT30" s="303"/>
      <c r="ANU30" s="303"/>
      <c r="ANV30" s="303"/>
      <c r="ANW30" s="303"/>
      <c r="ANX30" s="303"/>
      <c r="ANY30" s="303"/>
      <c r="ANZ30" s="303"/>
      <c r="AOA30" s="303"/>
      <c r="AOB30" s="303"/>
      <c r="AOC30" s="303"/>
      <c r="AOD30" s="303"/>
      <c r="AOE30" s="303"/>
      <c r="AOF30" s="303"/>
      <c r="AOG30" s="303"/>
      <c r="AOH30" s="303"/>
      <c r="AOI30" s="303"/>
      <c r="AOJ30" s="303"/>
      <c r="AOK30" s="303"/>
      <c r="AOL30" s="303"/>
      <c r="AOM30" s="303"/>
      <c r="AON30" s="303"/>
      <c r="AOO30" s="303"/>
      <c r="AOP30" s="303"/>
      <c r="AOQ30" s="303"/>
      <c r="AOR30" s="303"/>
      <c r="AOS30" s="303"/>
      <c r="AOT30" s="303"/>
      <c r="AOU30" s="303"/>
      <c r="AOV30" s="303"/>
      <c r="AOW30" s="303"/>
      <c r="AOX30" s="303"/>
      <c r="AOY30" s="303"/>
      <c r="AOZ30" s="303"/>
      <c r="APA30" s="303"/>
      <c r="APB30" s="303"/>
      <c r="APC30" s="303"/>
      <c r="APD30" s="303"/>
      <c r="APE30" s="303"/>
      <c r="APF30" s="303"/>
      <c r="APG30" s="303"/>
      <c r="APH30" s="303"/>
      <c r="API30" s="303"/>
      <c r="APJ30" s="303"/>
      <c r="APK30" s="303"/>
      <c r="APL30" s="303"/>
      <c r="APM30" s="303"/>
      <c r="APN30" s="303"/>
      <c r="APO30" s="303"/>
      <c r="APP30" s="303"/>
      <c r="APQ30" s="303"/>
      <c r="APR30" s="303"/>
      <c r="APS30" s="303"/>
      <c r="APT30" s="303"/>
      <c r="APU30" s="303"/>
      <c r="APV30" s="303"/>
      <c r="APW30" s="303"/>
      <c r="APX30" s="303"/>
      <c r="APY30" s="303"/>
      <c r="APZ30" s="303"/>
      <c r="AQA30" s="303"/>
      <c r="AQB30" s="303"/>
      <c r="AQC30" s="303"/>
      <c r="AQD30" s="303"/>
      <c r="AQE30" s="303"/>
      <c r="AQF30" s="303"/>
      <c r="AQG30" s="303"/>
      <c r="AQH30" s="303"/>
      <c r="AQI30" s="303"/>
      <c r="AQJ30" s="303"/>
      <c r="AQK30" s="303"/>
      <c r="AQL30" s="303"/>
      <c r="AQM30" s="303"/>
      <c r="AQN30" s="303"/>
      <c r="AQO30" s="303"/>
      <c r="AQP30" s="303"/>
      <c r="AQQ30" s="303"/>
      <c r="AQR30" s="303"/>
      <c r="AQS30" s="303"/>
      <c r="AQT30" s="303"/>
      <c r="AQU30" s="303"/>
      <c r="AQV30" s="303"/>
      <c r="AQW30" s="303"/>
      <c r="AQX30" s="303"/>
      <c r="AQY30" s="303"/>
      <c r="AQZ30" s="303"/>
      <c r="ARA30" s="303"/>
      <c r="ARB30" s="303"/>
      <c r="ARC30" s="303"/>
      <c r="ARD30" s="303"/>
      <c r="ARE30" s="303"/>
      <c r="ARF30" s="303"/>
      <c r="ARG30" s="303"/>
      <c r="ARH30" s="303"/>
      <c r="ARI30" s="303"/>
      <c r="ARJ30" s="303"/>
      <c r="ARK30" s="303"/>
      <c r="ARL30" s="303"/>
      <c r="ARM30" s="303"/>
      <c r="ARN30" s="303"/>
      <c r="ARO30" s="303"/>
      <c r="ARP30" s="303"/>
      <c r="ARQ30" s="303"/>
      <c r="ARR30" s="303"/>
      <c r="ARS30" s="303"/>
      <c r="ART30" s="303"/>
      <c r="ARU30" s="303"/>
      <c r="ARV30" s="303"/>
      <c r="ARW30" s="303"/>
      <c r="ARX30" s="303"/>
      <c r="ARY30" s="303"/>
      <c r="ARZ30" s="303"/>
      <c r="ASA30" s="303"/>
      <c r="ASB30" s="303"/>
      <c r="ASC30" s="303"/>
      <c r="ASD30" s="303"/>
      <c r="ASE30" s="303"/>
      <c r="ASF30" s="303"/>
      <c r="ASG30" s="303"/>
      <c r="ASH30" s="303"/>
      <c r="ASI30" s="303"/>
      <c r="ASJ30" s="303"/>
      <c r="ASK30" s="303"/>
      <c r="ASL30" s="303"/>
      <c r="ASM30" s="303"/>
      <c r="ASN30" s="303"/>
      <c r="ASO30" s="303"/>
      <c r="ASP30" s="303"/>
      <c r="ASQ30" s="303"/>
      <c r="ASR30" s="303"/>
      <c r="ASS30" s="303"/>
      <c r="AST30" s="303"/>
      <c r="ASU30" s="303"/>
      <c r="ASV30" s="303"/>
      <c r="ASW30" s="303"/>
      <c r="ASX30" s="303"/>
      <c r="ASY30" s="303"/>
      <c r="ASZ30" s="303"/>
      <c r="ATA30" s="303"/>
      <c r="ATB30" s="303"/>
      <c r="ATC30" s="303"/>
      <c r="ATD30" s="303"/>
      <c r="ATE30" s="303"/>
      <c r="ATF30" s="303"/>
      <c r="ATG30" s="303"/>
      <c r="ATH30" s="303"/>
      <c r="ATI30" s="303"/>
      <c r="ATJ30" s="303"/>
      <c r="ATK30" s="303"/>
      <c r="ATL30" s="303"/>
      <c r="ATM30" s="303"/>
      <c r="ATN30" s="303"/>
      <c r="ATO30" s="303"/>
      <c r="ATP30" s="303"/>
      <c r="ATQ30" s="303"/>
      <c r="ATR30" s="303"/>
      <c r="ATS30" s="303"/>
      <c r="ATT30" s="303"/>
      <c r="ATU30" s="303"/>
      <c r="ATV30" s="303"/>
      <c r="ATW30" s="303"/>
      <c r="ATX30" s="303"/>
      <c r="ATY30" s="303"/>
      <c r="ATZ30" s="303"/>
      <c r="AUA30" s="303"/>
      <c r="AUB30" s="303"/>
      <c r="AUC30" s="303"/>
      <c r="AUD30" s="303"/>
      <c r="AUE30" s="303"/>
      <c r="AUF30" s="303"/>
      <c r="AUG30" s="303"/>
      <c r="AUH30" s="303"/>
      <c r="AUI30" s="303"/>
      <c r="AUJ30" s="303"/>
      <c r="AUK30" s="303"/>
      <c r="AUL30" s="303"/>
      <c r="AUM30" s="303"/>
      <c r="AUN30" s="303"/>
      <c r="AUO30" s="303"/>
      <c r="AUP30" s="303"/>
      <c r="AUQ30" s="303"/>
      <c r="AUR30" s="303"/>
      <c r="AUS30" s="303"/>
      <c r="AUT30" s="303"/>
      <c r="AUU30" s="303"/>
      <c r="AUV30" s="303"/>
      <c r="AUW30" s="303"/>
      <c r="AUX30" s="303"/>
      <c r="AUY30" s="303"/>
      <c r="AUZ30" s="303"/>
      <c r="AVA30" s="303"/>
      <c r="AVB30" s="303"/>
      <c r="AVC30" s="303"/>
      <c r="AVD30" s="303"/>
      <c r="AVE30" s="303"/>
      <c r="AVF30" s="303"/>
      <c r="AVG30" s="303"/>
      <c r="AVH30" s="303"/>
      <c r="AVI30" s="303"/>
      <c r="AVJ30" s="303"/>
      <c r="AVK30" s="303"/>
      <c r="AVL30" s="303"/>
      <c r="AVM30" s="303"/>
      <c r="AVN30" s="303"/>
      <c r="AVO30" s="303"/>
      <c r="AVP30" s="303"/>
      <c r="AVQ30" s="303"/>
      <c r="AVR30" s="303"/>
      <c r="AVS30" s="303"/>
      <c r="AVT30" s="303"/>
      <c r="AVU30" s="303"/>
      <c r="AVV30" s="303"/>
      <c r="AVW30" s="303"/>
      <c r="AVX30" s="303"/>
      <c r="AVY30" s="303"/>
      <c r="AVZ30" s="303"/>
      <c r="AWA30" s="303"/>
      <c r="AWB30" s="303"/>
      <c r="AWC30" s="303"/>
      <c r="AWD30" s="303"/>
      <c r="AWE30" s="303"/>
      <c r="AWF30" s="303"/>
      <c r="AWG30" s="303"/>
      <c r="AWH30" s="303"/>
      <c r="AWI30" s="303"/>
      <c r="AWJ30" s="303"/>
      <c r="AWK30" s="303"/>
      <c r="AWL30" s="303"/>
      <c r="AWM30" s="303"/>
      <c r="AWN30" s="303"/>
      <c r="AWO30" s="303"/>
      <c r="AWP30" s="303"/>
      <c r="AWQ30" s="303"/>
      <c r="AWR30" s="303"/>
      <c r="AWS30" s="303"/>
      <c r="AWT30" s="303"/>
      <c r="AWU30" s="303"/>
      <c r="AWV30" s="303"/>
      <c r="AWW30" s="303"/>
      <c r="AWX30" s="303"/>
      <c r="AWY30" s="303"/>
      <c r="AWZ30" s="303"/>
      <c r="AXA30" s="303"/>
      <c r="AXB30" s="303"/>
      <c r="AXC30" s="303"/>
      <c r="AXD30" s="303"/>
      <c r="AXE30" s="303"/>
      <c r="AXF30" s="303"/>
      <c r="AXG30" s="303"/>
      <c r="AXH30" s="303"/>
      <c r="AXI30" s="303"/>
      <c r="AXJ30" s="303"/>
      <c r="AXK30" s="303"/>
      <c r="AXL30" s="303"/>
      <c r="AXM30" s="303"/>
      <c r="AXN30" s="303"/>
      <c r="AXO30" s="303"/>
      <c r="AXP30" s="303"/>
      <c r="AXQ30" s="303"/>
      <c r="AXR30" s="303"/>
      <c r="AXS30" s="303"/>
      <c r="AXT30" s="303"/>
      <c r="AXU30" s="303"/>
      <c r="AXV30" s="303"/>
      <c r="AXW30" s="303"/>
      <c r="AXX30" s="303"/>
      <c r="AXY30" s="303"/>
      <c r="AXZ30" s="303"/>
      <c r="AYA30" s="303"/>
      <c r="AYB30" s="303"/>
      <c r="AYC30" s="303"/>
      <c r="AYD30" s="303"/>
      <c r="AYE30" s="303"/>
      <c r="AYF30" s="303"/>
      <c r="AYG30" s="303"/>
      <c r="AYH30" s="303"/>
    </row>
    <row r="31" spans="1:1334" ht="24.75" x14ac:dyDescent="0.25">
      <c r="A31" s="304" t="s">
        <v>1287</v>
      </c>
      <c r="B31" s="298" t="s">
        <v>1306</v>
      </c>
      <c r="C31" s="303"/>
      <c r="D31" s="303"/>
      <c r="E31" s="303"/>
      <c r="F31" s="303"/>
      <c r="G31" s="303"/>
      <c r="H31" s="303"/>
      <c r="I31" s="303"/>
      <c r="J31" s="303"/>
      <c r="K31" s="303"/>
      <c r="L31" s="303"/>
      <c r="M31" s="303"/>
      <c r="N31" s="303"/>
      <c r="O31" s="303"/>
      <c r="P31" s="303"/>
      <c r="Q31" s="303"/>
      <c r="R31" s="303"/>
      <c r="S31" s="303"/>
      <c r="T31" s="303"/>
      <c r="U31" s="303"/>
      <c r="V31" s="303"/>
      <c r="W31" s="303"/>
      <c r="X31" s="303"/>
      <c r="Y31" s="303"/>
      <c r="Z31" s="303"/>
      <c r="AA31" s="303"/>
      <c r="AB31" s="303"/>
      <c r="AC31" s="303"/>
      <c r="AD31" s="303"/>
      <c r="AE31" s="303"/>
      <c r="AF31" s="303"/>
      <c r="AG31" s="303"/>
      <c r="AH31" s="303"/>
      <c r="AI31" s="303"/>
      <c r="AJ31" s="303"/>
      <c r="AK31" s="303"/>
      <c r="AL31" s="303"/>
      <c r="AM31" s="303"/>
      <c r="AN31" s="303"/>
      <c r="AO31" s="303"/>
      <c r="AP31" s="303"/>
      <c r="AQ31" s="303"/>
      <c r="AR31" s="303"/>
      <c r="AS31" s="303"/>
      <c r="AT31" s="303"/>
      <c r="AU31" s="303"/>
      <c r="AV31" s="303"/>
      <c r="AW31" s="303"/>
      <c r="AX31" s="303"/>
      <c r="AY31" s="303"/>
      <c r="AZ31" s="303"/>
      <c r="BA31" s="303"/>
      <c r="BB31" s="303"/>
      <c r="BC31" s="303"/>
      <c r="BD31" s="303"/>
      <c r="BE31" s="303"/>
      <c r="BF31" s="303"/>
      <c r="BG31" s="303"/>
      <c r="BH31" s="303"/>
      <c r="BI31" s="303"/>
      <c r="BJ31" s="303"/>
      <c r="BK31" s="303"/>
      <c r="BL31" s="303"/>
      <c r="BM31" s="303"/>
      <c r="BN31" s="303"/>
      <c r="BO31" s="303"/>
      <c r="BP31" s="303"/>
      <c r="BQ31" s="303"/>
      <c r="BR31" s="303"/>
      <c r="BS31" s="303"/>
      <c r="BT31" s="303"/>
      <c r="BU31" s="303"/>
      <c r="BV31" s="303"/>
      <c r="BW31" s="303"/>
      <c r="BX31" s="303"/>
      <c r="BY31" s="303"/>
      <c r="BZ31" s="303"/>
      <c r="CA31" s="303"/>
      <c r="CB31" s="303"/>
      <c r="CC31" s="303"/>
      <c r="CD31" s="303"/>
      <c r="CE31" s="303"/>
      <c r="CF31" s="303"/>
      <c r="CG31" s="303"/>
      <c r="CH31" s="303"/>
      <c r="CI31" s="303"/>
      <c r="CJ31" s="303"/>
      <c r="CK31" s="303"/>
      <c r="CL31" s="303"/>
      <c r="CM31" s="303"/>
      <c r="CN31" s="303"/>
      <c r="CO31" s="303"/>
      <c r="CP31" s="303"/>
      <c r="CQ31" s="303"/>
      <c r="CR31" s="303"/>
      <c r="CS31" s="303"/>
      <c r="CT31" s="303"/>
      <c r="CU31" s="303"/>
      <c r="CV31" s="303"/>
      <c r="CW31" s="303"/>
      <c r="CX31" s="303"/>
      <c r="CY31" s="303"/>
      <c r="CZ31" s="303"/>
      <c r="DA31" s="303"/>
      <c r="DB31" s="303"/>
      <c r="DC31" s="303"/>
      <c r="DD31" s="303"/>
      <c r="DE31" s="303"/>
      <c r="DF31" s="303"/>
      <c r="DG31" s="303"/>
      <c r="DH31" s="303"/>
      <c r="DI31" s="303"/>
      <c r="DJ31" s="303"/>
      <c r="DK31" s="303"/>
      <c r="DL31" s="303"/>
      <c r="DM31" s="303"/>
      <c r="DN31" s="303"/>
      <c r="DO31" s="303"/>
      <c r="DP31" s="303"/>
      <c r="DQ31" s="303"/>
      <c r="DR31" s="303"/>
      <c r="DS31" s="303"/>
      <c r="DT31" s="303"/>
      <c r="DU31" s="303"/>
      <c r="DV31" s="303"/>
      <c r="DW31" s="303"/>
      <c r="DX31" s="303"/>
      <c r="DY31" s="303"/>
      <c r="DZ31" s="303"/>
      <c r="EA31" s="303"/>
      <c r="EB31" s="303"/>
      <c r="EC31" s="303"/>
      <c r="ED31" s="303"/>
      <c r="EE31" s="303"/>
      <c r="EF31" s="303"/>
      <c r="EG31" s="303"/>
      <c r="EH31" s="303"/>
      <c r="EI31" s="303"/>
      <c r="EJ31" s="303"/>
      <c r="EK31" s="303"/>
      <c r="EL31" s="303"/>
      <c r="EM31" s="303"/>
      <c r="EN31" s="303"/>
      <c r="EO31" s="303"/>
      <c r="EP31" s="303"/>
      <c r="EQ31" s="303"/>
      <c r="ER31" s="303"/>
      <c r="ES31" s="303"/>
      <c r="ET31" s="303"/>
      <c r="EU31" s="303"/>
      <c r="EV31" s="303"/>
      <c r="EW31" s="303"/>
      <c r="EX31" s="303"/>
      <c r="EY31" s="303"/>
      <c r="EZ31" s="303"/>
      <c r="FA31" s="303"/>
      <c r="FB31" s="303"/>
      <c r="FC31" s="303"/>
      <c r="FD31" s="303"/>
      <c r="FE31" s="303"/>
      <c r="FF31" s="303"/>
      <c r="FG31" s="303"/>
      <c r="FH31" s="303"/>
      <c r="FI31" s="303"/>
      <c r="FJ31" s="303"/>
      <c r="FK31" s="303"/>
      <c r="FL31" s="303"/>
      <c r="FM31" s="303"/>
      <c r="FN31" s="303"/>
      <c r="FO31" s="303"/>
      <c r="FP31" s="303"/>
      <c r="FQ31" s="303"/>
      <c r="FR31" s="303"/>
      <c r="FS31" s="303"/>
      <c r="FT31" s="303"/>
      <c r="FU31" s="303"/>
      <c r="FV31" s="303"/>
      <c r="FW31" s="303"/>
      <c r="FX31" s="303"/>
      <c r="FY31" s="303"/>
      <c r="FZ31" s="303"/>
      <c r="GA31" s="303"/>
      <c r="GB31" s="303"/>
      <c r="GC31" s="303"/>
      <c r="GD31" s="303"/>
      <c r="GE31" s="303"/>
      <c r="GF31" s="303"/>
      <c r="GG31" s="303"/>
      <c r="GH31" s="303"/>
      <c r="GI31" s="303"/>
      <c r="GJ31" s="303"/>
      <c r="GK31" s="303"/>
      <c r="GL31" s="303"/>
      <c r="GM31" s="303"/>
      <c r="GN31" s="303"/>
      <c r="GO31" s="303"/>
      <c r="GP31" s="303"/>
      <c r="GQ31" s="303"/>
      <c r="GR31" s="303"/>
      <c r="GS31" s="303"/>
      <c r="GT31" s="303"/>
      <c r="GU31" s="303"/>
      <c r="GV31" s="303"/>
      <c r="GW31" s="303"/>
      <c r="GX31" s="303"/>
      <c r="GY31" s="303"/>
      <c r="GZ31" s="303"/>
      <c r="HA31" s="303"/>
      <c r="HB31" s="303"/>
      <c r="HC31" s="303"/>
      <c r="HD31" s="303"/>
      <c r="HE31" s="303"/>
      <c r="HF31" s="303"/>
      <c r="HG31" s="303"/>
      <c r="HH31" s="303"/>
      <c r="HI31" s="303"/>
      <c r="HJ31" s="303"/>
      <c r="HK31" s="303"/>
      <c r="HL31" s="303"/>
      <c r="HM31" s="303"/>
      <c r="HN31" s="303"/>
      <c r="HO31" s="303"/>
      <c r="HP31" s="303"/>
      <c r="HQ31" s="303"/>
      <c r="HR31" s="303"/>
      <c r="HS31" s="303"/>
      <c r="HT31" s="303"/>
      <c r="HU31" s="303"/>
      <c r="HV31" s="303"/>
      <c r="HW31" s="303"/>
      <c r="HX31" s="303"/>
      <c r="HY31" s="303"/>
      <c r="HZ31" s="303"/>
      <c r="IA31" s="303"/>
      <c r="IB31" s="303"/>
      <c r="IC31" s="303"/>
      <c r="ID31" s="303"/>
      <c r="IE31" s="303"/>
      <c r="IF31" s="303"/>
      <c r="IG31" s="303"/>
      <c r="IH31" s="303"/>
      <c r="II31" s="303"/>
      <c r="IJ31" s="303"/>
      <c r="IK31" s="303"/>
      <c r="IL31" s="303"/>
      <c r="IM31" s="303"/>
      <c r="IN31" s="303"/>
      <c r="IO31" s="303"/>
      <c r="IP31" s="303"/>
      <c r="IQ31" s="303"/>
      <c r="IR31" s="303"/>
      <c r="IS31" s="303"/>
      <c r="IT31" s="303"/>
      <c r="IU31" s="303"/>
      <c r="IV31" s="303"/>
      <c r="IW31" s="303"/>
      <c r="IX31" s="303"/>
      <c r="IY31" s="303"/>
      <c r="IZ31" s="303"/>
      <c r="JA31" s="303"/>
      <c r="JB31" s="303"/>
      <c r="JC31" s="303"/>
      <c r="JD31" s="303"/>
      <c r="JE31" s="303"/>
      <c r="JF31" s="303"/>
      <c r="JG31" s="303"/>
      <c r="JH31" s="303"/>
      <c r="JI31" s="303"/>
      <c r="JJ31" s="303"/>
      <c r="JK31" s="303"/>
      <c r="JL31" s="303"/>
      <c r="JM31" s="303"/>
      <c r="JN31" s="303"/>
      <c r="JO31" s="303"/>
      <c r="JP31" s="303"/>
      <c r="JQ31" s="303"/>
      <c r="JR31" s="303"/>
      <c r="JS31" s="303"/>
      <c r="JT31" s="303"/>
      <c r="JU31" s="303"/>
      <c r="JV31" s="303"/>
      <c r="JW31" s="303"/>
      <c r="JX31" s="303"/>
      <c r="JY31" s="303"/>
      <c r="JZ31" s="303"/>
      <c r="KA31" s="303"/>
      <c r="KB31" s="303"/>
      <c r="KC31" s="303"/>
      <c r="KD31" s="303"/>
      <c r="KE31" s="303"/>
      <c r="KF31" s="303"/>
      <c r="KG31" s="303"/>
      <c r="KH31" s="303"/>
      <c r="KI31" s="303"/>
      <c r="KJ31" s="303"/>
      <c r="KK31" s="303"/>
      <c r="KL31" s="303"/>
      <c r="KM31" s="303"/>
      <c r="KN31" s="303"/>
      <c r="KO31" s="303"/>
      <c r="KP31" s="303"/>
      <c r="KQ31" s="303"/>
      <c r="KR31" s="303"/>
      <c r="KS31" s="303"/>
      <c r="KT31" s="303"/>
      <c r="KU31" s="303"/>
      <c r="KV31" s="303"/>
      <c r="KW31" s="303"/>
      <c r="KX31" s="303"/>
      <c r="KY31" s="303"/>
      <c r="KZ31" s="303"/>
      <c r="LA31" s="303"/>
      <c r="LB31" s="303"/>
      <c r="LC31" s="303"/>
      <c r="LD31" s="303"/>
      <c r="LE31" s="303"/>
      <c r="LF31" s="303"/>
      <c r="LG31" s="303"/>
      <c r="LH31" s="303"/>
      <c r="LI31" s="303"/>
      <c r="LJ31" s="303"/>
      <c r="LK31" s="303"/>
      <c r="LL31" s="303"/>
      <c r="LM31" s="303"/>
      <c r="LN31" s="303"/>
      <c r="LO31" s="303"/>
      <c r="LP31" s="303"/>
      <c r="LQ31" s="303"/>
      <c r="LR31" s="303"/>
      <c r="LS31" s="303"/>
      <c r="LT31" s="303"/>
      <c r="LU31" s="303"/>
      <c r="LV31" s="303"/>
      <c r="LW31" s="303"/>
      <c r="LX31" s="303"/>
      <c r="LY31" s="303"/>
      <c r="LZ31" s="303"/>
      <c r="MA31" s="303"/>
      <c r="MB31" s="303"/>
      <c r="MC31" s="303"/>
      <c r="MD31" s="303"/>
      <c r="ME31" s="303"/>
      <c r="MF31" s="303"/>
      <c r="MG31" s="303"/>
      <c r="MH31" s="303"/>
      <c r="MI31" s="303"/>
      <c r="MJ31" s="303"/>
      <c r="MK31" s="303"/>
      <c r="ML31" s="303"/>
      <c r="MM31" s="303"/>
      <c r="MN31" s="303"/>
      <c r="MO31" s="303"/>
      <c r="MP31" s="303"/>
      <c r="MQ31" s="303"/>
      <c r="MR31" s="303"/>
      <c r="MS31" s="303"/>
      <c r="MT31" s="303"/>
      <c r="MU31" s="303"/>
      <c r="MV31" s="303"/>
      <c r="MW31" s="303"/>
      <c r="MX31" s="303"/>
      <c r="MY31" s="303"/>
      <c r="MZ31" s="303"/>
      <c r="NA31" s="303"/>
      <c r="NB31" s="303"/>
      <c r="NC31" s="303"/>
      <c r="ND31" s="303"/>
      <c r="NE31" s="303"/>
      <c r="NF31" s="303"/>
      <c r="NG31" s="303"/>
      <c r="NH31" s="303"/>
      <c r="NI31" s="303"/>
      <c r="NJ31" s="303"/>
      <c r="NK31" s="303"/>
      <c r="NL31" s="303"/>
      <c r="NM31" s="303"/>
      <c r="NN31" s="303"/>
      <c r="NO31" s="303"/>
      <c r="NP31" s="303"/>
      <c r="NQ31" s="303"/>
      <c r="NR31" s="303"/>
      <c r="NS31" s="303"/>
      <c r="NT31" s="303"/>
      <c r="NU31" s="303"/>
      <c r="NV31" s="303"/>
      <c r="NW31" s="303"/>
      <c r="NX31" s="303"/>
      <c r="NY31" s="303"/>
      <c r="NZ31" s="303"/>
      <c r="OA31" s="303"/>
      <c r="OB31" s="303"/>
      <c r="OC31" s="303"/>
      <c r="OD31" s="303"/>
      <c r="OE31" s="303"/>
      <c r="OF31" s="303"/>
      <c r="OG31" s="303"/>
      <c r="OH31" s="303"/>
      <c r="OI31" s="303"/>
      <c r="OJ31" s="303"/>
      <c r="OK31" s="303"/>
      <c r="OL31" s="303"/>
      <c r="OM31" s="303"/>
      <c r="ON31" s="303"/>
      <c r="OO31" s="303"/>
      <c r="OP31" s="303"/>
      <c r="OQ31" s="303"/>
      <c r="OR31" s="303"/>
      <c r="OS31" s="303"/>
      <c r="OT31" s="303"/>
      <c r="OU31" s="303"/>
      <c r="OV31" s="303"/>
      <c r="OW31" s="303"/>
      <c r="OX31" s="303"/>
      <c r="OY31" s="303"/>
      <c r="OZ31" s="303"/>
      <c r="PA31" s="303"/>
      <c r="PB31" s="303"/>
      <c r="PC31" s="303"/>
      <c r="PD31" s="303"/>
      <c r="PE31" s="303"/>
      <c r="PF31" s="303"/>
      <c r="PG31" s="303"/>
      <c r="PH31" s="303"/>
      <c r="PI31" s="303"/>
      <c r="PJ31" s="303"/>
      <c r="PK31" s="303"/>
      <c r="PL31" s="303"/>
      <c r="PM31" s="303"/>
      <c r="PN31" s="303"/>
      <c r="PO31" s="303"/>
      <c r="PP31" s="303"/>
      <c r="PQ31" s="303"/>
      <c r="PR31" s="303"/>
      <c r="PS31" s="303"/>
      <c r="PT31" s="303"/>
      <c r="PU31" s="303"/>
      <c r="PV31" s="303"/>
      <c r="PW31" s="303"/>
      <c r="PX31" s="303"/>
      <c r="PY31" s="303"/>
      <c r="PZ31" s="303"/>
      <c r="QA31" s="303"/>
      <c r="QB31" s="303"/>
      <c r="QC31" s="303"/>
      <c r="QD31" s="303"/>
      <c r="QE31" s="303"/>
      <c r="QF31" s="303"/>
      <c r="QG31" s="303"/>
      <c r="QH31" s="303"/>
      <c r="QI31" s="303"/>
      <c r="QJ31" s="303"/>
      <c r="QK31" s="303"/>
      <c r="QL31" s="303"/>
      <c r="QM31" s="303"/>
      <c r="QN31" s="303"/>
      <c r="QO31" s="303"/>
      <c r="QP31" s="303"/>
      <c r="QQ31" s="303"/>
      <c r="QR31" s="303"/>
      <c r="QS31" s="303"/>
      <c r="QT31" s="303"/>
      <c r="QU31" s="303"/>
      <c r="QV31" s="303"/>
      <c r="QW31" s="303"/>
      <c r="QX31" s="303"/>
      <c r="QY31" s="303"/>
      <c r="QZ31" s="303"/>
      <c r="RA31" s="303"/>
      <c r="RB31" s="303"/>
      <c r="RC31" s="303"/>
      <c r="RD31" s="303"/>
      <c r="RE31" s="303"/>
      <c r="RF31" s="303"/>
      <c r="RG31" s="303"/>
      <c r="RH31" s="303"/>
      <c r="RI31" s="303"/>
      <c r="RJ31" s="303"/>
      <c r="RK31" s="303"/>
      <c r="RL31" s="303"/>
      <c r="RM31" s="303"/>
      <c r="RN31" s="303"/>
      <c r="RO31" s="303"/>
      <c r="RP31" s="303"/>
      <c r="RQ31" s="303"/>
      <c r="RR31" s="303"/>
      <c r="RS31" s="303"/>
      <c r="RT31" s="303"/>
      <c r="RU31" s="303"/>
      <c r="RV31" s="303"/>
      <c r="RW31" s="303"/>
      <c r="RX31" s="303"/>
      <c r="RY31" s="303"/>
      <c r="RZ31" s="303"/>
      <c r="SA31" s="303"/>
      <c r="SB31" s="303"/>
      <c r="SC31" s="303"/>
      <c r="SD31" s="303"/>
      <c r="SE31" s="303"/>
      <c r="SF31" s="303"/>
      <c r="SG31" s="303"/>
      <c r="SH31" s="303"/>
      <c r="SI31" s="303"/>
      <c r="SJ31" s="303"/>
      <c r="SK31" s="303"/>
      <c r="SL31" s="303"/>
      <c r="SM31" s="303"/>
      <c r="SN31" s="303"/>
      <c r="SO31" s="303"/>
      <c r="SP31" s="303"/>
      <c r="SQ31" s="303"/>
      <c r="SR31" s="303"/>
      <c r="SS31" s="303"/>
      <c r="ST31" s="303"/>
      <c r="SU31" s="303"/>
      <c r="SV31" s="303"/>
      <c r="SW31" s="303"/>
      <c r="SX31" s="303"/>
      <c r="SY31" s="303"/>
      <c r="SZ31" s="303"/>
      <c r="TA31" s="303"/>
      <c r="TB31" s="303"/>
      <c r="TC31" s="303"/>
      <c r="TD31" s="303"/>
      <c r="TE31" s="303"/>
      <c r="TF31" s="303"/>
      <c r="TG31" s="303"/>
      <c r="TH31" s="303"/>
      <c r="TI31" s="303"/>
      <c r="TJ31" s="303"/>
      <c r="TK31" s="303"/>
      <c r="TL31" s="303"/>
      <c r="TM31" s="303"/>
      <c r="TN31" s="303"/>
      <c r="TO31" s="303"/>
      <c r="TP31" s="303"/>
      <c r="TQ31" s="303"/>
      <c r="TR31" s="303"/>
      <c r="TS31" s="303"/>
      <c r="TT31" s="303"/>
      <c r="TU31" s="303"/>
      <c r="TV31" s="303"/>
      <c r="TW31" s="303"/>
      <c r="TX31" s="303"/>
      <c r="TY31" s="303"/>
      <c r="TZ31" s="303"/>
      <c r="UA31" s="303"/>
      <c r="UB31" s="303"/>
      <c r="UC31" s="303"/>
      <c r="UD31" s="303"/>
      <c r="UE31" s="303"/>
      <c r="UF31" s="303"/>
      <c r="UG31" s="303"/>
      <c r="UH31" s="303"/>
      <c r="UI31" s="303"/>
      <c r="UJ31" s="303"/>
      <c r="UK31" s="303"/>
      <c r="UL31" s="303"/>
      <c r="UM31" s="303"/>
      <c r="UN31" s="303"/>
      <c r="UO31" s="303"/>
      <c r="UP31" s="303"/>
      <c r="UQ31" s="303"/>
      <c r="UR31" s="303"/>
      <c r="US31" s="303"/>
      <c r="UT31" s="303"/>
      <c r="UU31" s="303"/>
      <c r="UV31" s="303"/>
      <c r="UW31" s="303"/>
      <c r="UX31" s="303"/>
      <c r="UY31" s="303"/>
      <c r="UZ31" s="303"/>
      <c r="VA31" s="303"/>
      <c r="VB31" s="303"/>
      <c r="VC31" s="303"/>
      <c r="VD31" s="303"/>
      <c r="VE31" s="303"/>
      <c r="VF31" s="303"/>
      <c r="VG31" s="303"/>
      <c r="VH31" s="303"/>
      <c r="VI31" s="303"/>
      <c r="VJ31" s="303"/>
      <c r="VK31" s="303"/>
      <c r="VL31" s="303"/>
      <c r="VM31" s="303"/>
      <c r="VN31" s="303"/>
      <c r="VO31" s="303"/>
      <c r="VP31" s="303"/>
      <c r="VQ31" s="303"/>
      <c r="VR31" s="303"/>
      <c r="VS31" s="303"/>
      <c r="VT31" s="303"/>
      <c r="VU31" s="303"/>
      <c r="VV31" s="303"/>
      <c r="VW31" s="303"/>
      <c r="VX31" s="303"/>
      <c r="VY31" s="303"/>
      <c r="VZ31" s="303"/>
      <c r="WA31" s="303"/>
      <c r="WB31" s="303"/>
      <c r="WC31" s="303"/>
      <c r="WD31" s="303"/>
      <c r="WE31" s="303"/>
      <c r="WF31" s="303"/>
      <c r="WG31" s="303"/>
      <c r="WH31" s="303"/>
      <c r="WI31" s="303"/>
      <c r="WJ31" s="303"/>
      <c r="WK31" s="303"/>
      <c r="WL31" s="303"/>
      <c r="WM31" s="303"/>
      <c r="WN31" s="303"/>
      <c r="WO31" s="303"/>
      <c r="WP31" s="303"/>
      <c r="WQ31" s="303"/>
      <c r="WR31" s="303"/>
      <c r="WS31" s="303"/>
      <c r="WT31" s="303"/>
      <c r="WU31" s="303"/>
      <c r="WV31" s="303"/>
      <c r="WW31" s="303"/>
      <c r="WX31" s="303"/>
      <c r="WY31" s="303"/>
      <c r="WZ31" s="303"/>
      <c r="XA31" s="303"/>
      <c r="XB31" s="303"/>
      <c r="XC31" s="303"/>
      <c r="XD31" s="303"/>
      <c r="XE31" s="303"/>
      <c r="XF31" s="303"/>
      <c r="XG31" s="303"/>
      <c r="XH31" s="303"/>
      <c r="XI31" s="303"/>
      <c r="XJ31" s="303"/>
      <c r="XK31" s="303"/>
      <c r="XL31" s="303"/>
      <c r="XM31" s="303"/>
      <c r="XN31" s="303"/>
      <c r="XO31" s="303"/>
      <c r="XP31" s="303"/>
      <c r="XQ31" s="303"/>
      <c r="XR31" s="303"/>
      <c r="XS31" s="303"/>
      <c r="XT31" s="303"/>
      <c r="XU31" s="303"/>
      <c r="XV31" s="303"/>
      <c r="XW31" s="303"/>
      <c r="XX31" s="303"/>
      <c r="XY31" s="303"/>
      <c r="XZ31" s="303"/>
      <c r="YA31" s="303"/>
      <c r="YB31" s="303"/>
      <c r="YC31" s="303"/>
      <c r="YD31" s="303"/>
      <c r="YE31" s="303"/>
      <c r="YF31" s="303"/>
      <c r="YG31" s="303"/>
      <c r="YH31" s="303"/>
      <c r="YI31" s="303"/>
      <c r="YJ31" s="303"/>
      <c r="YK31" s="303"/>
      <c r="YL31" s="303"/>
      <c r="YM31" s="303"/>
      <c r="YN31" s="303"/>
      <c r="YO31" s="303"/>
      <c r="YP31" s="303"/>
      <c r="YQ31" s="303"/>
      <c r="YR31" s="303"/>
      <c r="YS31" s="303"/>
      <c r="YT31" s="303"/>
      <c r="YU31" s="303"/>
      <c r="YV31" s="303"/>
      <c r="YW31" s="303"/>
      <c r="YX31" s="303"/>
      <c r="YY31" s="303"/>
      <c r="YZ31" s="303"/>
      <c r="ZA31" s="303"/>
      <c r="ZB31" s="303"/>
      <c r="ZC31" s="303"/>
      <c r="ZD31" s="303"/>
      <c r="ZE31" s="303"/>
      <c r="ZF31" s="303"/>
      <c r="ZG31" s="303"/>
      <c r="ZH31" s="303"/>
      <c r="ZI31" s="303"/>
      <c r="ZJ31" s="303"/>
      <c r="ZK31" s="303"/>
      <c r="ZL31" s="303"/>
      <c r="ZM31" s="303"/>
      <c r="ZN31" s="303"/>
      <c r="ZO31" s="303"/>
      <c r="ZP31" s="303"/>
      <c r="ZQ31" s="303"/>
      <c r="ZR31" s="303"/>
      <c r="ZS31" s="303"/>
      <c r="ZT31" s="303"/>
      <c r="ZU31" s="303"/>
      <c r="ZV31" s="303"/>
      <c r="ZW31" s="303"/>
      <c r="ZX31" s="303"/>
      <c r="ZY31" s="303"/>
      <c r="ZZ31" s="303"/>
      <c r="AAA31" s="303"/>
      <c r="AAB31" s="303"/>
      <c r="AAC31" s="303"/>
      <c r="AAD31" s="303"/>
      <c r="AAE31" s="303"/>
      <c r="AAF31" s="303"/>
      <c r="AAG31" s="303"/>
      <c r="AAH31" s="303"/>
      <c r="AAI31" s="303"/>
      <c r="AAJ31" s="303"/>
      <c r="AAK31" s="303"/>
      <c r="AAL31" s="303"/>
      <c r="AAM31" s="303"/>
      <c r="AAN31" s="303"/>
      <c r="AAO31" s="303"/>
      <c r="AAP31" s="303"/>
      <c r="AAQ31" s="303"/>
      <c r="AAR31" s="303"/>
      <c r="AAS31" s="303"/>
      <c r="AAT31" s="303"/>
      <c r="AAU31" s="303"/>
      <c r="AAV31" s="303"/>
      <c r="AAW31" s="303"/>
      <c r="AAX31" s="303"/>
      <c r="AAY31" s="303"/>
      <c r="AAZ31" s="303"/>
      <c r="ABA31" s="303"/>
      <c r="ABB31" s="303"/>
      <c r="ABC31" s="303"/>
      <c r="ABD31" s="303"/>
      <c r="ABE31" s="303"/>
      <c r="ABF31" s="303"/>
      <c r="ABG31" s="303"/>
      <c r="ABH31" s="303"/>
      <c r="ABI31" s="303"/>
      <c r="ABJ31" s="303"/>
      <c r="ABK31" s="303"/>
      <c r="ABL31" s="303"/>
      <c r="ABM31" s="303"/>
      <c r="ABN31" s="303"/>
      <c r="ABO31" s="303"/>
      <c r="ABP31" s="303"/>
      <c r="ABQ31" s="303"/>
      <c r="ABR31" s="303"/>
      <c r="ABS31" s="303"/>
      <c r="ABT31" s="303"/>
      <c r="ABU31" s="303"/>
      <c r="ABV31" s="303"/>
      <c r="ABW31" s="303"/>
      <c r="ABX31" s="303"/>
      <c r="ABY31" s="303"/>
      <c r="ABZ31" s="303"/>
      <c r="ACA31" s="303"/>
      <c r="ACB31" s="303"/>
      <c r="ACC31" s="303"/>
      <c r="ACD31" s="303"/>
      <c r="ACE31" s="303"/>
      <c r="ACF31" s="303"/>
      <c r="ACG31" s="303"/>
      <c r="ACH31" s="303"/>
      <c r="ACI31" s="303"/>
      <c r="ACJ31" s="303"/>
      <c r="ACK31" s="303"/>
      <c r="ACL31" s="303"/>
      <c r="ACM31" s="303"/>
      <c r="ACN31" s="303"/>
      <c r="ACO31" s="303"/>
      <c r="ACP31" s="303"/>
      <c r="ACQ31" s="303"/>
      <c r="ACR31" s="303"/>
      <c r="ACS31" s="303"/>
      <c r="ACT31" s="303"/>
      <c r="ACU31" s="303"/>
      <c r="ACV31" s="303"/>
      <c r="ACW31" s="303"/>
      <c r="ACX31" s="303"/>
      <c r="ACY31" s="303"/>
      <c r="ACZ31" s="303"/>
      <c r="ADA31" s="303"/>
      <c r="ADB31" s="303"/>
      <c r="ADC31" s="303"/>
      <c r="ADD31" s="303"/>
      <c r="ADE31" s="303"/>
      <c r="ADF31" s="303"/>
      <c r="ADG31" s="303"/>
      <c r="ADH31" s="303"/>
      <c r="ADI31" s="303"/>
      <c r="ADJ31" s="303"/>
      <c r="ADK31" s="303"/>
      <c r="ADL31" s="303"/>
      <c r="ADM31" s="303"/>
      <c r="ADN31" s="303"/>
      <c r="ADO31" s="303"/>
      <c r="ADP31" s="303"/>
      <c r="ADQ31" s="303"/>
      <c r="ADR31" s="303"/>
      <c r="ADS31" s="303"/>
      <c r="ADT31" s="303"/>
      <c r="ADU31" s="303"/>
      <c r="ADV31" s="303"/>
      <c r="ADW31" s="303"/>
      <c r="ADX31" s="303"/>
      <c r="ADY31" s="303"/>
      <c r="ADZ31" s="303"/>
      <c r="AEA31" s="303"/>
      <c r="AEB31" s="303"/>
      <c r="AEC31" s="303"/>
      <c r="AED31" s="303"/>
      <c r="AEE31" s="303"/>
      <c r="AEF31" s="303"/>
      <c r="AEG31" s="303"/>
      <c r="AEH31" s="303"/>
      <c r="AEI31" s="303"/>
      <c r="AEJ31" s="303"/>
      <c r="AEK31" s="303"/>
      <c r="AEL31" s="303"/>
      <c r="AEM31" s="303"/>
      <c r="AEN31" s="303"/>
      <c r="AEO31" s="303"/>
      <c r="AEP31" s="303"/>
      <c r="AEQ31" s="303"/>
      <c r="AER31" s="303"/>
      <c r="AES31" s="303"/>
      <c r="AET31" s="303"/>
      <c r="AEU31" s="303"/>
      <c r="AEV31" s="303"/>
      <c r="AEW31" s="303"/>
      <c r="AEX31" s="303"/>
      <c r="AEY31" s="303"/>
      <c r="AEZ31" s="303"/>
      <c r="AFA31" s="303"/>
      <c r="AFB31" s="303"/>
      <c r="AFC31" s="303"/>
      <c r="AFD31" s="303"/>
      <c r="AFE31" s="303"/>
      <c r="AFF31" s="303"/>
      <c r="AFG31" s="303"/>
      <c r="AFH31" s="303"/>
      <c r="AFI31" s="303"/>
      <c r="AFJ31" s="303"/>
      <c r="AFK31" s="303"/>
      <c r="AFL31" s="303"/>
      <c r="AFM31" s="303"/>
      <c r="AFN31" s="303"/>
      <c r="AFO31" s="303"/>
      <c r="AFP31" s="303"/>
      <c r="AFQ31" s="303"/>
      <c r="AFR31" s="303"/>
      <c r="AFS31" s="303"/>
      <c r="AFT31" s="303"/>
      <c r="AFU31" s="303"/>
      <c r="AFV31" s="303"/>
      <c r="AFW31" s="303"/>
      <c r="AFX31" s="303"/>
      <c r="AFY31" s="303"/>
      <c r="AFZ31" s="303"/>
      <c r="AGA31" s="303"/>
      <c r="AGB31" s="303"/>
      <c r="AGC31" s="303"/>
      <c r="AGD31" s="303"/>
      <c r="AGE31" s="303"/>
      <c r="AGF31" s="303"/>
      <c r="AGG31" s="303"/>
      <c r="AGH31" s="303"/>
      <c r="AGI31" s="303"/>
      <c r="AGJ31" s="303"/>
      <c r="AGK31" s="303"/>
      <c r="AGL31" s="303"/>
      <c r="AGM31" s="303"/>
      <c r="AGN31" s="303"/>
      <c r="AGO31" s="303"/>
      <c r="AGP31" s="303"/>
      <c r="AGQ31" s="303"/>
      <c r="AGR31" s="303"/>
      <c r="AGS31" s="303"/>
      <c r="AGT31" s="303"/>
      <c r="AGU31" s="303"/>
      <c r="AGV31" s="303"/>
      <c r="AGW31" s="303"/>
      <c r="AGX31" s="303"/>
      <c r="AGY31" s="303"/>
      <c r="AGZ31" s="303"/>
      <c r="AHA31" s="303"/>
      <c r="AHB31" s="303"/>
      <c r="AHC31" s="303"/>
      <c r="AHD31" s="303"/>
      <c r="AHE31" s="303"/>
      <c r="AHF31" s="303"/>
      <c r="AHG31" s="303"/>
      <c r="AHH31" s="303"/>
      <c r="AHI31" s="303"/>
      <c r="AHJ31" s="303"/>
      <c r="AHK31" s="303"/>
      <c r="AHL31" s="303"/>
      <c r="AHM31" s="303"/>
      <c r="AHN31" s="303"/>
      <c r="AHO31" s="303"/>
      <c r="AHP31" s="303"/>
      <c r="AHQ31" s="303"/>
      <c r="AHR31" s="303"/>
      <c r="AHS31" s="303"/>
      <c r="AHT31" s="303"/>
      <c r="AHU31" s="303"/>
      <c r="AHV31" s="303"/>
      <c r="AHW31" s="303"/>
      <c r="AHX31" s="303"/>
      <c r="AHY31" s="303"/>
      <c r="AHZ31" s="303"/>
      <c r="AIA31" s="303"/>
      <c r="AIB31" s="303"/>
      <c r="AIC31" s="303"/>
      <c r="AID31" s="303"/>
      <c r="AIE31" s="303"/>
      <c r="AIF31" s="303"/>
      <c r="AIG31" s="303"/>
      <c r="AIH31" s="303"/>
      <c r="AII31" s="303"/>
      <c r="AIJ31" s="303"/>
      <c r="AIK31" s="303"/>
      <c r="AIL31" s="303"/>
      <c r="AIM31" s="303"/>
      <c r="AIN31" s="303"/>
      <c r="AIO31" s="303"/>
      <c r="AIP31" s="303"/>
      <c r="AIQ31" s="303"/>
      <c r="AIR31" s="303"/>
      <c r="AIS31" s="303"/>
      <c r="AIT31" s="303"/>
      <c r="AIU31" s="303"/>
      <c r="AIV31" s="303"/>
      <c r="AIW31" s="303"/>
      <c r="AIX31" s="303"/>
      <c r="AIY31" s="303"/>
      <c r="AIZ31" s="303"/>
      <c r="AJA31" s="303"/>
      <c r="AJB31" s="303"/>
      <c r="AJC31" s="303"/>
      <c r="AJD31" s="303"/>
      <c r="AJE31" s="303"/>
      <c r="AJF31" s="303"/>
      <c r="AJG31" s="303"/>
      <c r="AJH31" s="303"/>
      <c r="AJI31" s="303"/>
      <c r="AJJ31" s="303"/>
      <c r="AJK31" s="303"/>
      <c r="AJL31" s="303"/>
      <c r="AJM31" s="303"/>
      <c r="AJN31" s="303"/>
      <c r="AJO31" s="303"/>
      <c r="AJP31" s="303"/>
      <c r="AJQ31" s="303"/>
      <c r="AJR31" s="303"/>
      <c r="AJS31" s="303"/>
      <c r="AJT31" s="303"/>
      <c r="AJU31" s="303"/>
      <c r="AJV31" s="303"/>
      <c r="AJW31" s="303"/>
      <c r="AJX31" s="303"/>
      <c r="AJY31" s="303"/>
      <c r="AJZ31" s="303"/>
      <c r="AKA31" s="303"/>
      <c r="AKB31" s="303"/>
      <c r="AKC31" s="303"/>
      <c r="AKD31" s="303"/>
      <c r="AKE31" s="303"/>
      <c r="AKF31" s="303"/>
      <c r="AKG31" s="303"/>
      <c r="AKH31" s="303"/>
      <c r="AKI31" s="303"/>
      <c r="AKJ31" s="303"/>
      <c r="AKK31" s="303"/>
      <c r="AKL31" s="303"/>
      <c r="AKM31" s="303"/>
      <c r="AKN31" s="303"/>
      <c r="AKO31" s="303"/>
      <c r="AKP31" s="303"/>
      <c r="AKQ31" s="303"/>
      <c r="AKR31" s="303"/>
      <c r="AKS31" s="303"/>
      <c r="AKT31" s="303"/>
      <c r="AKU31" s="303"/>
      <c r="AKV31" s="303"/>
      <c r="AKW31" s="303"/>
      <c r="AKX31" s="303"/>
      <c r="AKY31" s="303"/>
      <c r="AKZ31" s="303"/>
      <c r="ALA31" s="303"/>
      <c r="ALB31" s="303"/>
      <c r="ALC31" s="303"/>
      <c r="ALD31" s="303"/>
      <c r="ALE31" s="303"/>
      <c r="ALF31" s="303"/>
      <c r="ALG31" s="303"/>
      <c r="ALH31" s="303"/>
      <c r="ALI31" s="303"/>
      <c r="ALJ31" s="303"/>
      <c r="ALK31" s="303"/>
      <c r="ALL31" s="303"/>
      <c r="ALM31" s="303"/>
      <c r="ALN31" s="303"/>
      <c r="ALO31" s="303"/>
      <c r="ALP31" s="303"/>
      <c r="ALQ31" s="303"/>
      <c r="ALR31" s="303"/>
      <c r="ALS31" s="303"/>
      <c r="ALT31" s="303"/>
      <c r="ALU31" s="303"/>
      <c r="ALV31" s="303"/>
      <c r="ALW31" s="303"/>
      <c r="ALX31" s="303"/>
      <c r="ALY31" s="303"/>
      <c r="ALZ31" s="303"/>
      <c r="AMA31" s="303"/>
      <c r="AMB31" s="303"/>
      <c r="AMC31" s="303"/>
      <c r="AMD31" s="303"/>
      <c r="AME31" s="303"/>
      <c r="AMF31" s="303"/>
      <c r="AMG31" s="303"/>
      <c r="AMH31" s="303"/>
      <c r="AMI31" s="303"/>
      <c r="AMJ31" s="303"/>
      <c r="AMK31" s="303"/>
      <c r="AML31" s="303"/>
      <c r="AMM31" s="303"/>
      <c r="AMN31" s="303"/>
      <c r="AMO31" s="303"/>
      <c r="AMP31" s="303"/>
      <c r="AMQ31" s="303"/>
      <c r="AMR31" s="303"/>
      <c r="AMS31" s="303"/>
      <c r="AMT31" s="303"/>
      <c r="AMU31" s="303"/>
      <c r="AMV31" s="303"/>
      <c r="AMW31" s="303"/>
      <c r="AMX31" s="303"/>
      <c r="AMY31" s="303"/>
      <c r="AMZ31" s="303"/>
      <c r="ANA31" s="303"/>
      <c r="ANB31" s="303"/>
      <c r="ANC31" s="303"/>
      <c r="AND31" s="303"/>
      <c r="ANE31" s="303"/>
      <c r="ANF31" s="303"/>
      <c r="ANG31" s="303"/>
      <c r="ANH31" s="303"/>
      <c r="ANI31" s="303"/>
      <c r="ANJ31" s="303"/>
      <c r="ANK31" s="303"/>
      <c r="ANL31" s="303"/>
      <c r="ANM31" s="303"/>
      <c r="ANN31" s="303"/>
      <c r="ANO31" s="303"/>
      <c r="ANP31" s="303"/>
      <c r="ANQ31" s="303"/>
      <c r="ANR31" s="303"/>
      <c r="ANS31" s="303"/>
      <c r="ANT31" s="303"/>
      <c r="ANU31" s="303"/>
      <c r="ANV31" s="303"/>
      <c r="ANW31" s="303"/>
      <c r="ANX31" s="303"/>
      <c r="ANY31" s="303"/>
      <c r="ANZ31" s="303"/>
      <c r="AOA31" s="303"/>
      <c r="AOB31" s="303"/>
      <c r="AOC31" s="303"/>
      <c r="AOD31" s="303"/>
      <c r="AOE31" s="303"/>
      <c r="AOF31" s="303"/>
      <c r="AOG31" s="303"/>
      <c r="AOH31" s="303"/>
      <c r="AOI31" s="303"/>
      <c r="AOJ31" s="303"/>
      <c r="AOK31" s="303"/>
      <c r="AOL31" s="303"/>
      <c r="AOM31" s="303"/>
      <c r="AON31" s="303"/>
      <c r="AOO31" s="303"/>
      <c r="AOP31" s="303"/>
      <c r="AOQ31" s="303"/>
      <c r="AOR31" s="303"/>
      <c r="AOS31" s="303"/>
      <c r="AOT31" s="303"/>
      <c r="AOU31" s="303"/>
      <c r="AOV31" s="303"/>
      <c r="AOW31" s="303"/>
      <c r="AOX31" s="303"/>
      <c r="AOY31" s="303"/>
      <c r="AOZ31" s="303"/>
      <c r="APA31" s="303"/>
      <c r="APB31" s="303"/>
      <c r="APC31" s="303"/>
      <c r="APD31" s="303"/>
      <c r="APE31" s="303"/>
      <c r="APF31" s="303"/>
      <c r="APG31" s="303"/>
      <c r="APH31" s="303"/>
      <c r="API31" s="303"/>
      <c r="APJ31" s="303"/>
      <c r="APK31" s="303"/>
      <c r="APL31" s="303"/>
      <c r="APM31" s="303"/>
      <c r="APN31" s="303"/>
      <c r="APO31" s="303"/>
      <c r="APP31" s="303"/>
      <c r="APQ31" s="303"/>
      <c r="APR31" s="303"/>
      <c r="APS31" s="303"/>
      <c r="APT31" s="303"/>
      <c r="APU31" s="303"/>
      <c r="APV31" s="303"/>
      <c r="APW31" s="303"/>
      <c r="APX31" s="303"/>
      <c r="APY31" s="303"/>
      <c r="APZ31" s="303"/>
      <c r="AQA31" s="303"/>
      <c r="AQB31" s="303"/>
      <c r="AQC31" s="303"/>
      <c r="AQD31" s="303"/>
      <c r="AQE31" s="303"/>
      <c r="AQF31" s="303"/>
      <c r="AQG31" s="303"/>
      <c r="AQH31" s="303"/>
      <c r="AQI31" s="303"/>
      <c r="AQJ31" s="303"/>
      <c r="AQK31" s="303"/>
      <c r="AQL31" s="303"/>
      <c r="AQM31" s="303"/>
      <c r="AQN31" s="303"/>
      <c r="AQO31" s="303"/>
      <c r="AQP31" s="303"/>
      <c r="AQQ31" s="303"/>
      <c r="AQR31" s="303"/>
      <c r="AQS31" s="303"/>
      <c r="AQT31" s="303"/>
      <c r="AQU31" s="303"/>
      <c r="AQV31" s="303"/>
      <c r="AQW31" s="303"/>
      <c r="AQX31" s="303"/>
      <c r="AQY31" s="303"/>
      <c r="AQZ31" s="303"/>
      <c r="ARA31" s="303"/>
      <c r="ARB31" s="303"/>
      <c r="ARC31" s="303"/>
      <c r="ARD31" s="303"/>
      <c r="ARE31" s="303"/>
      <c r="ARF31" s="303"/>
      <c r="ARG31" s="303"/>
      <c r="ARH31" s="303"/>
      <c r="ARI31" s="303"/>
      <c r="ARJ31" s="303"/>
      <c r="ARK31" s="303"/>
      <c r="ARL31" s="303"/>
      <c r="ARM31" s="303"/>
      <c r="ARN31" s="303"/>
      <c r="ARO31" s="303"/>
      <c r="ARP31" s="303"/>
      <c r="ARQ31" s="303"/>
      <c r="ARR31" s="303"/>
      <c r="ARS31" s="303"/>
      <c r="ART31" s="303"/>
      <c r="ARU31" s="303"/>
      <c r="ARV31" s="303"/>
      <c r="ARW31" s="303"/>
      <c r="ARX31" s="303"/>
      <c r="ARY31" s="303"/>
      <c r="ARZ31" s="303"/>
      <c r="ASA31" s="303"/>
      <c r="ASB31" s="303"/>
      <c r="ASC31" s="303"/>
      <c r="ASD31" s="303"/>
      <c r="ASE31" s="303"/>
      <c r="ASF31" s="303"/>
      <c r="ASG31" s="303"/>
      <c r="ASH31" s="303"/>
      <c r="ASI31" s="303"/>
      <c r="ASJ31" s="303"/>
      <c r="ASK31" s="303"/>
      <c r="ASL31" s="303"/>
      <c r="ASM31" s="303"/>
      <c r="ASN31" s="303"/>
      <c r="ASO31" s="303"/>
      <c r="ASP31" s="303"/>
      <c r="ASQ31" s="303"/>
      <c r="ASR31" s="303"/>
      <c r="ASS31" s="303"/>
      <c r="AST31" s="303"/>
      <c r="ASU31" s="303"/>
      <c r="ASV31" s="303"/>
      <c r="ASW31" s="303"/>
      <c r="ASX31" s="303"/>
      <c r="ASY31" s="303"/>
      <c r="ASZ31" s="303"/>
      <c r="ATA31" s="303"/>
      <c r="ATB31" s="303"/>
      <c r="ATC31" s="303"/>
      <c r="ATD31" s="303"/>
      <c r="ATE31" s="303"/>
      <c r="ATF31" s="303"/>
      <c r="ATG31" s="303"/>
      <c r="ATH31" s="303"/>
      <c r="ATI31" s="303"/>
      <c r="ATJ31" s="303"/>
      <c r="ATK31" s="303"/>
      <c r="ATL31" s="303"/>
      <c r="ATM31" s="303"/>
      <c r="ATN31" s="303"/>
      <c r="ATO31" s="303"/>
      <c r="ATP31" s="303"/>
      <c r="ATQ31" s="303"/>
      <c r="ATR31" s="303"/>
      <c r="ATS31" s="303"/>
      <c r="ATT31" s="303"/>
      <c r="ATU31" s="303"/>
      <c r="ATV31" s="303"/>
      <c r="ATW31" s="303"/>
      <c r="ATX31" s="303"/>
      <c r="ATY31" s="303"/>
      <c r="ATZ31" s="303"/>
      <c r="AUA31" s="303"/>
      <c r="AUB31" s="303"/>
      <c r="AUC31" s="303"/>
      <c r="AUD31" s="303"/>
      <c r="AUE31" s="303"/>
      <c r="AUF31" s="303"/>
      <c r="AUG31" s="303"/>
      <c r="AUH31" s="303"/>
      <c r="AUI31" s="303"/>
      <c r="AUJ31" s="303"/>
      <c r="AUK31" s="303"/>
      <c r="AUL31" s="303"/>
      <c r="AUM31" s="303"/>
      <c r="AUN31" s="303"/>
      <c r="AUO31" s="303"/>
      <c r="AUP31" s="303"/>
      <c r="AUQ31" s="303"/>
      <c r="AUR31" s="303"/>
      <c r="AUS31" s="303"/>
      <c r="AUT31" s="303"/>
      <c r="AUU31" s="303"/>
      <c r="AUV31" s="303"/>
      <c r="AUW31" s="303"/>
      <c r="AUX31" s="303"/>
      <c r="AUY31" s="303"/>
      <c r="AUZ31" s="303"/>
      <c r="AVA31" s="303"/>
      <c r="AVB31" s="303"/>
      <c r="AVC31" s="303"/>
      <c r="AVD31" s="303"/>
      <c r="AVE31" s="303"/>
      <c r="AVF31" s="303"/>
      <c r="AVG31" s="303"/>
      <c r="AVH31" s="303"/>
      <c r="AVI31" s="303"/>
      <c r="AVJ31" s="303"/>
      <c r="AVK31" s="303"/>
      <c r="AVL31" s="303"/>
      <c r="AVM31" s="303"/>
      <c r="AVN31" s="303"/>
      <c r="AVO31" s="303"/>
      <c r="AVP31" s="303"/>
      <c r="AVQ31" s="303"/>
      <c r="AVR31" s="303"/>
      <c r="AVS31" s="303"/>
      <c r="AVT31" s="303"/>
      <c r="AVU31" s="303"/>
      <c r="AVV31" s="303"/>
      <c r="AVW31" s="303"/>
      <c r="AVX31" s="303"/>
      <c r="AVY31" s="303"/>
      <c r="AVZ31" s="303"/>
      <c r="AWA31" s="303"/>
      <c r="AWB31" s="303"/>
      <c r="AWC31" s="303"/>
      <c r="AWD31" s="303"/>
      <c r="AWE31" s="303"/>
      <c r="AWF31" s="303"/>
      <c r="AWG31" s="303"/>
      <c r="AWH31" s="303"/>
      <c r="AWI31" s="303"/>
      <c r="AWJ31" s="303"/>
      <c r="AWK31" s="303"/>
      <c r="AWL31" s="303"/>
      <c r="AWM31" s="303"/>
      <c r="AWN31" s="303"/>
      <c r="AWO31" s="303"/>
      <c r="AWP31" s="303"/>
      <c r="AWQ31" s="303"/>
      <c r="AWR31" s="303"/>
      <c r="AWS31" s="303"/>
      <c r="AWT31" s="303"/>
      <c r="AWU31" s="303"/>
      <c r="AWV31" s="303"/>
      <c r="AWW31" s="303"/>
      <c r="AWX31" s="303"/>
      <c r="AWY31" s="303"/>
      <c r="AWZ31" s="303"/>
      <c r="AXA31" s="303"/>
      <c r="AXB31" s="303"/>
      <c r="AXC31" s="303"/>
      <c r="AXD31" s="303"/>
      <c r="AXE31" s="303"/>
      <c r="AXF31" s="303"/>
      <c r="AXG31" s="303"/>
      <c r="AXH31" s="303"/>
      <c r="AXI31" s="303"/>
      <c r="AXJ31" s="303"/>
      <c r="AXK31" s="303"/>
      <c r="AXL31" s="303"/>
      <c r="AXM31" s="303"/>
      <c r="AXN31" s="303"/>
      <c r="AXO31" s="303"/>
      <c r="AXP31" s="303"/>
      <c r="AXQ31" s="303"/>
      <c r="AXR31" s="303"/>
      <c r="AXS31" s="303"/>
      <c r="AXT31" s="303"/>
      <c r="AXU31" s="303"/>
      <c r="AXV31" s="303"/>
      <c r="AXW31" s="303"/>
      <c r="AXX31" s="303"/>
      <c r="AXY31" s="303"/>
      <c r="AXZ31" s="303"/>
      <c r="AYA31" s="303"/>
      <c r="AYB31" s="303"/>
      <c r="AYC31" s="303"/>
      <c r="AYD31" s="303"/>
      <c r="AYE31" s="303"/>
      <c r="AYF31" s="303"/>
      <c r="AYG31" s="303"/>
      <c r="AYH31" s="303"/>
    </row>
    <row r="32" spans="1:1334" x14ac:dyDescent="0.25">
      <c r="A32" s="304" t="s">
        <v>1346</v>
      </c>
      <c r="B32" s="298" t="s">
        <v>1324</v>
      </c>
      <c r="C32" s="303"/>
      <c r="D32" s="303"/>
      <c r="E32" s="303"/>
      <c r="F32" s="303"/>
      <c r="G32" s="303"/>
      <c r="H32" s="303"/>
      <c r="I32" s="303"/>
      <c r="J32" s="303"/>
      <c r="K32" s="303"/>
      <c r="L32" s="303"/>
      <c r="M32" s="303"/>
      <c r="N32" s="303"/>
      <c r="O32" s="303"/>
      <c r="P32" s="303"/>
      <c r="Q32" s="303"/>
      <c r="R32" s="303"/>
      <c r="S32" s="303"/>
      <c r="T32" s="303"/>
      <c r="U32" s="303"/>
      <c r="V32" s="303"/>
      <c r="W32" s="303"/>
      <c r="X32" s="303"/>
      <c r="Y32" s="303"/>
      <c r="Z32" s="303"/>
      <c r="AA32" s="303"/>
      <c r="AB32" s="303"/>
      <c r="AC32" s="303"/>
      <c r="AD32" s="303"/>
      <c r="AE32" s="303"/>
      <c r="AF32" s="303"/>
      <c r="AG32" s="303"/>
      <c r="AH32" s="303"/>
      <c r="AI32" s="303"/>
      <c r="AJ32" s="303"/>
      <c r="AK32" s="303"/>
      <c r="AL32" s="303"/>
      <c r="AM32" s="303"/>
      <c r="AN32" s="303"/>
      <c r="AO32" s="303"/>
      <c r="AP32" s="303"/>
      <c r="AQ32" s="303"/>
      <c r="AR32" s="303"/>
      <c r="AS32" s="303"/>
      <c r="AT32" s="303"/>
      <c r="AU32" s="303"/>
      <c r="AV32" s="303"/>
      <c r="AW32" s="303"/>
      <c r="AX32" s="303"/>
      <c r="AY32" s="303"/>
      <c r="AZ32" s="303"/>
      <c r="BA32" s="303"/>
      <c r="BB32" s="303"/>
      <c r="BC32" s="303"/>
      <c r="BD32" s="303"/>
      <c r="BE32" s="303"/>
      <c r="BF32" s="303"/>
      <c r="BG32" s="303"/>
      <c r="BH32" s="303"/>
      <c r="BI32" s="303"/>
      <c r="BJ32" s="303"/>
      <c r="BK32" s="303"/>
      <c r="BL32" s="303"/>
      <c r="BM32" s="303"/>
      <c r="BN32" s="303"/>
      <c r="BO32" s="303"/>
      <c r="BP32" s="303"/>
      <c r="BQ32" s="303"/>
      <c r="BR32" s="303"/>
      <c r="BS32" s="303"/>
      <c r="BT32" s="303"/>
      <c r="BU32" s="303"/>
      <c r="BV32" s="303"/>
      <c r="BW32" s="303"/>
      <c r="BX32" s="303"/>
      <c r="BY32" s="303"/>
      <c r="BZ32" s="303"/>
      <c r="CA32" s="303"/>
      <c r="CB32" s="303"/>
      <c r="CC32" s="303"/>
      <c r="CD32" s="303"/>
      <c r="CE32" s="303"/>
      <c r="CF32" s="303"/>
      <c r="CG32" s="303"/>
      <c r="CH32" s="303"/>
      <c r="CI32" s="303"/>
      <c r="CJ32" s="303"/>
      <c r="CK32" s="303"/>
      <c r="CL32" s="303"/>
      <c r="CM32" s="303"/>
      <c r="CN32" s="303"/>
      <c r="CO32" s="303"/>
      <c r="CP32" s="303"/>
      <c r="CQ32" s="303"/>
      <c r="CR32" s="303"/>
      <c r="CS32" s="303"/>
      <c r="CT32" s="303"/>
      <c r="CU32" s="303"/>
      <c r="CV32" s="303"/>
      <c r="CW32" s="303"/>
      <c r="CX32" s="303"/>
      <c r="CY32" s="303"/>
      <c r="CZ32" s="303"/>
      <c r="DA32" s="303"/>
      <c r="DB32" s="303"/>
      <c r="DC32" s="303"/>
      <c r="DD32" s="303"/>
      <c r="DE32" s="303"/>
      <c r="DF32" s="303"/>
      <c r="DG32" s="303"/>
      <c r="DH32" s="303"/>
      <c r="DI32" s="303"/>
      <c r="DJ32" s="303"/>
      <c r="DK32" s="303"/>
      <c r="DL32" s="303"/>
      <c r="DM32" s="303"/>
      <c r="DN32" s="303"/>
      <c r="DO32" s="303"/>
      <c r="DP32" s="303"/>
      <c r="DQ32" s="303"/>
      <c r="DR32" s="303"/>
      <c r="DS32" s="303"/>
      <c r="DT32" s="303"/>
      <c r="DU32" s="303"/>
      <c r="DV32" s="303"/>
      <c r="DW32" s="303"/>
      <c r="DX32" s="303"/>
      <c r="DY32" s="303"/>
      <c r="DZ32" s="303"/>
      <c r="EA32" s="303"/>
      <c r="EB32" s="303"/>
      <c r="EC32" s="303"/>
      <c r="ED32" s="303"/>
      <c r="EE32" s="303"/>
      <c r="EF32" s="303"/>
      <c r="EG32" s="303"/>
      <c r="EH32" s="303"/>
      <c r="EI32" s="303"/>
      <c r="EJ32" s="303"/>
      <c r="EK32" s="303"/>
      <c r="EL32" s="303"/>
      <c r="EM32" s="303"/>
      <c r="EN32" s="303"/>
      <c r="EO32" s="303"/>
      <c r="EP32" s="303"/>
      <c r="EQ32" s="303"/>
      <c r="ER32" s="303"/>
      <c r="ES32" s="303"/>
      <c r="ET32" s="303"/>
      <c r="EU32" s="303"/>
      <c r="EV32" s="303"/>
      <c r="EW32" s="303"/>
      <c r="EX32" s="303"/>
      <c r="EY32" s="303"/>
      <c r="EZ32" s="303"/>
      <c r="FA32" s="303"/>
      <c r="FB32" s="303"/>
      <c r="FC32" s="303"/>
      <c r="FD32" s="303"/>
      <c r="FE32" s="303"/>
      <c r="FF32" s="303"/>
      <c r="FG32" s="303"/>
      <c r="FH32" s="303"/>
      <c r="FI32" s="303"/>
      <c r="FJ32" s="303"/>
      <c r="FK32" s="303"/>
      <c r="FL32" s="303"/>
      <c r="FM32" s="303"/>
      <c r="FN32" s="303"/>
      <c r="FO32" s="303"/>
      <c r="FP32" s="303"/>
      <c r="FQ32" s="303"/>
      <c r="FR32" s="303"/>
      <c r="FS32" s="303"/>
      <c r="FT32" s="303"/>
      <c r="FU32" s="303"/>
      <c r="FV32" s="303"/>
      <c r="FW32" s="303"/>
      <c r="FX32" s="303"/>
      <c r="FY32" s="303"/>
      <c r="FZ32" s="303"/>
      <c r="GA32" s="303"/>
      <c r="GB32" s="303"/>
      <c r="GC32" s="303"/>
      <c r="GD32" s="303"/>
      <c r="GE32" s="303"/>
      <c r="GF32" s="303"/>
      <c r="GG32" s="303"/>
      <c r="GH32" s="303"/>
      <c r="GI32" s="303"/>
      <c r="GJ32" s="303"/>
      <c r="GK32" s="303"/>
      <c r="GL32" s="303"/>
      <c r="GM32" s="303"/>
      <c r="GN32" s="303"/>
      <c r="GO32" s="303"/>
      <c r="GP32" s="303"/>
      <c r="GQ32" s="303"/>
      <c r="GR32" s="303"/>
      <c r="GS32" s="303"/>
      <c r="GT32" s="303"/>
      <c r="GU32" s="303"/>
      <c r="GV32" s="303"/>
      <c r="GW32" s="303"/>
      <c r="GX32" s="303"/>
      <c r="GY32" s="303"/>
      <c r="GZ32" s="303"/>
      <c r="HA32" s="303"/>
      <c r="HB32" s="303"/>
      <c r="HC32" s="303"/>
      <c r="HD32" s="303"/>
      <c r="HE32" s="303"/>
      <c r="HF32" s="303"/>
      <c r="HG32" s="303"/>
      <c r="HH32" s="303"/>
      <c r="HI32" s="303"/>
      <c r="HJ32" s="303"/>
      <c r="HK32" s="303"/>
      <c r="HL32" s="303"/>
      <c r="HM32" s="303"/>
      <c r="HN32" s="303"/>
      <c r="HO32" s="303"/>
      <c r="HP32" s="303"/>
      <c r="HQ32" s="303"/>
      <c r="HR32" s="303"/>
      <c r="HS32" s="303"/>
      <c r="HT32" s="303"/>
      <c r="HU32" s="303"/>
      <c r="HV32" s="303"/>
      <c r="HW32" s="303"/>
      <c r="HX32" s="303"/>
      <c r="HY32" s="303"/>
      <c r="HZ32" s="303"/>
      <c r="IA32" s="303"/>
      <c r="IB32" s="303"/>
      <c r="IC32" s="303"/>
      <c r="ID32" s="303"/>
      <c r="IE32" s="303"/>
      <c r="IF32" s="303"/>
      <c r="IG32" s="303"/>
      <c r="IH32" s="303"/>
      <c r="II32" s="303"/>
      <c r="IJ32" s="303"/>
      <c r="IK32" s="303"/>
      <c r="IL32" s="303"/>
      <c r="IM32" s="303"/>
      <c r="IN32" s="303"/>
      <c r="IO32" s="303"/>
      <c r="IP32" s="303"/>
      <c r="IQ32" s="303"/>
      <c r="IR32" s="303"/>
      <c r="IS32" s="303"/>
      <c r="IT32" s="303"/>
      <c r="IU32" s="303"/>
      <c r="IV32" s="303"/>
      <c r="IW32" s="303"/>
      <c r="IX32" s="303"/>
      <c r="IY32" s="303"/>
      <c r="IZ32" s="303"/>
      <c r="JA32" s="303"/>
      <c r="JB32" s="303"/>
      <c r="JC32" s="303"/>
      <c r="JD32" s="303"/>
      <c r="JE32" s="303"/>
      <c r="JF32" s="303"/>
      <c r="JG32" s="303"/>
      <c r="JH32" s="303"/>
      <c r="JI32" s="303"/>
      <c r="JJ32" s="303"/>
      <c r="JK32" s="303"/>
      <c r="JL32" s="303"/>
      <c r="JM32" s="303"/>
      <c r="JN32" s="303"/>
      <c r="JO32" s="303"/>
      <c r="JP32" s="303"/>
      <c r="JQ32" s="303"/>
      <c r="JR32" s="303"/>
      <c r="JS32" s="303"/>
      <c r="JT32" s="303"/>
      <c r="JU32" s="303"/>
      <c r="JV32" s="303"/>
      <c r="JW32" s="303"/>
      <c r="JX32" s="303"/>
      <c r="JY32" s="303"/>
      <c r="JZ32" s="303"/>
      <c r="KA32" s="303"/>
      <c r="KB32" s="303"/>
      <c r="KC32" s="303"/>
      <c r="KD32" s="303"/>
      <c r="KE32" s="303"/>
      <c r="KF32" s="303"/>
      <c r="KG32" s="303"/>
      <c r="KH32" s="303"/>
      <c r="KI32" s="303"/>
      <c r="KJ32" s="303"/>
      <c r="KK32" s="303"/>
      <c r="KL32" s="303"/>
      <c r="KM32" s="303"/>
      <c r="KN32" s="303"/>
      <c r="KO32" s="303"/>
      <c r="KP32" s="303"/>
      <c r="KQ32" s="303"/>
      <c r="KR32" s="303"/>
      <c r="KS32" s="303"/>
      <c r="KT32" s="303"/>
      <c r="KU32" s="303"/>
      <c r="KV32" s="303"/>
      <c r="KW32" s="303"/>
      <c r="KX32" s="303"/>
      <c r="KY32" s="303"/>
      <c r="KZ32" s="303"/>
      <c r="LA32" s="303"/>
      <c r="LB32" s="303"/>
      <c r="LC32" s="303"/>
      <c r="LD32" s="303"/>
      <c r="LE32" s="303"/>
      <c r="LF32" s="303"/>
      <c r="LG32" s="303"/>
      <c r="LH32" s="303"/>
      <c r="LI32" s="303"/>
      <c r="LJ32" s="303"/>
      <c r="LK32" s="303"/>
      <c r="LL32" s="303"/>
      <c r="LM32" s="303"/>
      <c r="LN32" s="303"/>
      <c r="LO32" s="303"/>
      <c r="LP32" s="303"/>
      <c r="LQ32" s="303"/>
      <c r="LR32" s="303"/>
      <c r="LS32" s="303"/>
      <c r="LT32" s="303"/>
      <c r="LU32" s="303"/>
      <c r="LV32" s="303"/>
      <c r="LW32" s="303"/>
      <c r="LX32" s="303"/>
      <c r="LY32" s="303"/>
      <c r="LZ32" s="303"/>
      <c r="MA32" s="303"/>
      <c r="MB32" s="303"/>
      <c r="MC32" s="303"/>
      <c r="MD32" s="303"/>
      <c r="ME32" s="303"/>
      <c r="MF32" s="303"/>
      <c r="MG32" s="303"/>
      <c r="MH32" s="303"/>
      <c r="MI32" s="303"/>
      <c r="MJ32" s="303"/>
      <c r="MK32" s="303"/>
      <c r="ML32" s="303"/>
      <c r="MM32" s="303"/>
      <c r="MN32" s="303"/>
      <c r="MO32" s="303"/>
      <c r="MP32" s="303"/>
      <c r="MQ32" s="303"/>
      <c r="MR32" s="303"/>
      <c r="MS32" s="303"/>
      <c r="MT32" s="303"/>
      <c r="MU32" s="303"/>
      <c r="MV32" s="303"/>
      <c r="MW32" s="303"/>
      <c r="MX32" s="303"/>
      <c r="MY32" s="303"/>
      <c r="MZ32" s="303"/>
      <c r="NA32" s="303"/>
      <c r="NB32" s="303"/>
      <c r="NC32" s="303"/>
      <c r="ND32" s="303"/>
      <c r="NE32" s="303"/>
      <c r="NF32" s="303"/>
      <c r="NG32" s="303"/>
      <c r="NH32" s="303"/>
      <c r="NI32" s="303"/>
      <c r="NJ32" s="303"/>
      <c r="NK32" s="303"/>
      <c r="NL32" s="303"/>
      <c r="NM32" s="303"/>
      <c r="NN32" s="303"/>
      <c r="NO32" s="303"/>
      <c r="NP32" s="303"/>
      <c r="NQ32" s="303"/>
      <c r="NR32" s="303"/>
      <c r="NS32" s="303"/>
      <c r="NT32" s="303"/>
      <c r="NU32" s="303"/>
      <c r="NV32" s="303"/>
      <c r="NW32" s="303"/>
      <c r="NX32" s="303"/>
      <c r="NY32" s="303"/>
      <c r="NZ32" s="303"/>
      <c r="OA32" s="303"/>
      <c r="OB32" s="303"/>
      <c r="OC32" s="303"/>
      <c r="OD32" s="303"/>
      <c r="OE32" s="303"/>
      <c r="OF32" s="303"/>
      <c r="OG32" s="303"/>
      <c r="OH32" s="303"/>
      <c r="OI32" s="303"/>
      <c r="OJ32" s="303"/>
      <c r="OK32" s="303"/>
      <c r="OL32" s="303"/>
      <c r="OM32" s="303"/>
      <c r="ON32" s="303"/>
      <c r="OO32" s="303"/>
      <c r="OP32" s="303"/>
      <c r="OQ32" s="303"/>
      <c r="OR32" s="303"/>
      <c r="OS32" s="303"/>
      <c r="OT32" s="303"/>
      <c r="OU32" s="303"/>
      <c r="OV32" s="303"/>
      <c r="OW32" s="303"/>
      <c r="OX32" s="303"/>
      <c r="OY32" s="303"/>
      <c r="OZ32" s="303"/>
      <c r="PA32" s="303"/>
      <c r="PB32" s="303"/>
      <c r="PC32" s="303"/>
      <c r="PD32" s="303"/>
      <c r="PE32" s="303"/>
      <c r="PF32" s="303"/>
      <c r="PG32" s="303"/>
      <c r="PH32" s="303"/>
      <c r="PI32" s="303"/>
      <c r="PJ32" s="303"/>
      <c r="PK32" s="303"/>
      <c r="PL32" s="303"/>
      <c r="PM32" s="303"/>
      <c r="PN32" s="303"/>
      <c r="PO32" s="303"/>
      <c r="PP32" s="303"/>
      <c r="PQ32" s="303"/>
      <c r="PR32" s="303"/>
      <c r="PS32" s="303"/>
      <c r="PT32" s="303"/>
      <c r="PU32" s="303"/>
      <c r="PV32" s="303"/>
      <c r="PW32" s="303"/>
      <c r="PX32" s="303"/>
      <c r="PY32" s="303"/>
      <c r="PZ32" s="303"/>
      <c r="QA32" s="303"/>
      <c r="QB32" s="303"/>
      <c r="QC32" s="303"/>
      <c r="QD32" s="303"/>
      <c r="QE32" s="303"/>
      <c r="QF32" s="303"/>
      <c r="QG32" s="303"/>
      <c r="QH32" s="303"/>
      <c r="QI32" s="303"/>
      <c r="QJ32" s="303"/>
      <c r="QK32" s="303"/>
      <c r="QL32" s="303"/>
      <c r="QM32" s="303"/>
      <c r="QN32" s="303"/>
      <c r="QO32" s="303"/>
      <c r="QP32" s="303"/>
      <c r="QQ32" s="303"/>
      <c r="QR32" s="303"/>
      <c r="QS32" s="303"/>
      <c r="QT32" s="303"/>
      <c r="QU32" s="303"/>
      <c r="QV32" s="303"/>
      <c r="QW32" s="303"/>
      <c r="QX32" s="303"/>
      <c r="QY32" s="303"/>
      <c r="QZ32" s="303"/>
      <c r="RA32" s="303"/>
      <c r="RB32" s="303"/>
      <c r="RC32" s="303"/>
      <c r="RD32" s="303"/>
      <c r="RE32" s="303"/>
      <c r="RF32" s="303"/>
      <c r="RG32" s="303"/>
      <c r="RH32" s="303"/>
      <c r="RI32" s="303"/>
      <c r="RJ32" s="303"/>
      <c r="RK32" s="303"/>
      <c r="RL32" s="303"/>
      <c r="RM32" s="303"/>
      <c r="RN32" s="303"/>
      <c r="RO32" s="303"/>
      <c r="RP32" s="303"/>
      <c r="RQ32" s="303"/>
      <c r="RR32" s="303"/>
      <c r="RS32" s="303"/>
      <c r="RT32" s="303"/>
      <c r="RU32" s="303"/>
      <c r="RV32" s="303"/>
      <c r="RW32" s="303"/>
      <c r="RX32" s="303"/>
      <c r="RY32" s="303"/>
      <c r="RZ32" s="303"/>
      <c r="SA32" s="303"/>
      <c r="SB32" s="303"/>
      <c r="SC32" s="303"/>
      <c r="SD32" s="303"/>
      <c r="SE32" s="303"/>
      <c r="SF32" s="303"/>
      <c r="SG32" s="303"/>
      <c r="SH32" s="303"/>
      <c r="SI32" s="303"/>
      <c r="SJ32" s="303"/>
      <c r="SK32" s="303"/>
      <c r="SL32" s="303"/>
      <c r="SM32" s="303"/>
      <c r="SN32" s="303"/>
      <c r="SO32" s="303"/>
      <c r="SP32" s="303"/>
      <c r="SQ32" s="303"/>
      <c r="SR32" s="303"/>
      <c r="SS32" s="303"/>
      <c r="ST32" s="303"/>
      <c r="SU32" s="303"/>
      <c r="SV32" s="303"/>
      <c r="SW32" s="303"/>
      <c r="SX32" s="303"/>
      <c r="SY32" s="303"/>
      <c r="SZ32" s="303"/>
      <c r="TA32" s="303"/>
      <c r="TB32" s="303"/>
      <c r="TC32" s="303"/>
      <c r="TD32" s="303"/>
      <c r="TE32" s="303"/>
      <c r="TF32" s="303"/>
      <c r="TG32" s="303"/>
      <c r="TH32" s="303"/>
      <c r="TI32" s="303"/>
      <c r="TJ32" s="303"/>
      <c r="TK32" s="303"/>
      <c r="TL32" s="303"/>
      <c r="TM32" s="303"/>
      <c r="TN32" s="303"/>
      <c r="TO32" s="303"/>
      <c r="TP32" s="303"/>
      <c r="TQ32" s="303"/>
      <c r="TR32" s="303"/>
      <c r="TS32" s="303"/>
      <c r="TT32" s="303"/>
      <c r="TU32" s="303"/>
      <c r="TV32" s="303"/>
      <c r="TW32" s="303"/>
      <c r="TX32" s="303"/>
      <c r="TY32" s="303"/>
      <c r="TZ32" s="303"/>
      <c r="UA32" s="303"/>
      <c r="UB32" s="303"/>
      <c r="UC32" s="303"/>
      <c r="UD32" s="303"/>
      <c r="UE32" s="303"/>
      <c r="UF32" s="303"/>
      <c r="UG32" s="303"/>
      <c r="UH32" s="303"/>
      <c r="UI32" s="303"/>
      <c r="UJ32" s="303"/>
      <c r="UK32" s="303"/>
      <c r="UL32" s="303"/>
      <c r="UM32" s="303"/>
      <c r="UN32" s="303"/>
      <c r="UO32" s="303"/>
      <c r="UP32" s="303"/>
      <c r="UQ32" s="303"/>
      <c r="UR32" s="303"/>
      <c r="US32" s="303"/>
      <c r="UT32" s="303"/>
      <c r="UU32" s="303"/>
      <c r="UV32" s="303"/>
      <c r="UW32" s="303"/>
      <c r="UX32" s="303"/>
      <c r="UY32" s="303"/>
      <c r="UZ32" s="303"/>
      <c r="VA32" s="303"/>
      <c r="VB32" s="303"/>
      <c r="VC32" s="303"/>
      <c r="VD32" s="303"/>
      <c r="VE32" s="303"/>
      <c r="VF32" s="303"/>
      <c r="VG32" s="303"/>
      <c r="VH32" s="303"/>
      <c r="VI32" s="303"/>
      <c r="VJ32" s="303"/>
      <c r="VK32" s="303"/>
      <c r="VL32" s="303"/>
      <c r="VM32" s="303"/>
      <c r="VN32" s="303"/>
      <c r="VO32" s="303"/>
      <c r="VP32" s="303"/>
      <c r="VQ32" s="303"/>
      <c r="VR32" s="303"/>
      <c r="VS32" s="303"/>
      <c r="VT32" s="303"/>
      <c r="VU32" s="303"/>
      <c r="VV32" s="303"/>
      <c r="VW32" s="303"/>
      <c r="VX32" s="303"/>
      <c r="VY32" s="303"/>
      <c r="VZ32" s="303"/>
      <c r="WA32" s="303"/>
      <c r="WB32" s="303"/>
      <c r="WC32" s="303"/>
      <c r="WD32" s="303"/>
      <c r="WE32" s="303"/>
      <c r="WF32" s="303"/>
      <c r="WG32" s="303"/>
      <c r="WH32" s="303"/>
      <c r="WI32" s="303"/>
      <c r="WJ32" s="303"/>
      <c r="WK32" s="303"/>
      <c r="WL32" s="303"/>
      <c r="WM32" s="303"/>
      <c r="WN32" s="303"/>
      <c r="WO32" s="303"/>
      <c r="WP32" s="303"/>
      <c r="WQ32" s="303"/>
      <c r="WR32" s="303"/>
      <c r="WS32" s="303"/>
      <c r="WT32" s="303"/>
      <c r="WU32" s="303"/>
      <c r="WV32" s="303"/>
      <c r="WW32" s="303"/>
      <c r="WX32" s="303"/>
      <c r="WY32" s="303"/>
      <c r="WZ32" s="303"/>
      <c r="XA32" s="303"/>
      <c r="XB32" s="303"/>
      <c r="XC32" s="303"/>
      <c r="XD32" s="303"/>
      <c r="XE32" s="303"/>
      <c r="XF32" s="303"/>
      <c r="XG32" s="303"/>
      <c r="XH32" s="303"/>
      <c r="XI32" s="303"/>
      <c r="XJ32" s="303"/>
      <c r="XK32" s="303"/>
      <c r="XL32" s="303"/>
      <c r="XM32" s="303"/>
      <c r="XN32" s="303"/>
      <c r="XO32" s="303"/>
      <c r="XP32" s="303"/>
      <c r="XQ32" s="303"/>
      <c r="XR32" s="303"/>
      <c r="XS32" s="303"/>
      <c r="XT32" s="303"/>
      <c r="XU32" s="303"/>
      <c r="XV32" s="303"/>
      <c r="XW32" s="303"/>
      <c r="XX32" s="303"/>
      <c r="XY32" s="303"/>
      <c r="XZ32" s="303"/>
      <c r="YA32" s="303"/>
      <c r="YB32" s="303"/>
      <c r="YC32" s="303"/>
      <c r="YD32" s="303"/>
      <c r="YE32" s="303"/>
      <c r="YF32" s="303"/>
      <c r="YG32" s="303"/>
      <c r="YH32" s="303"/>
      <c r="YI32" s="303"/>
      <c r="YJ32" s="303"/>
      <c r="YK32" s="303"/>
      <c r="YL32" s="303"/>
      <c r="YM32" s="303"/>
      <c r="YN32" s="303"/>
      <c r="YO32" s="303"/>
      <c r="YP32" s="303"/>
      <c r="YQ32" s="303"/>
      <c r="YR32" s="303"/>
      <c r="YS32" s="303"/>
      <c r="YT32" s="303"/>
      <c r="YU32" s="303"/>
      <c r="YV32" s="303"/>
      <c r="YW32" s="303"/>
      <c r="YX32" s="303"/>
      <c r="YY32" s="303"/>
      <c r="YZ32" s="303"/>
      <c r="ZA32" s="303"/>
      <c r="ZB32" s="303"/>
      <c r="ZC32" s="303"/>
      <c r="ZD32" s="303"/>
      <c r="ZE32" s="303"/>
      <c r="ZF32" s="303"/>
      <c r="ZG32" s="303"/>
      <c r="ZH32" s="303"/>
      <c r="ZI32" s="303"/>
      <c r="ZJ32" s="303"/>
      <c r="ZK32" s="303"/>
      <c r="ZL32" s="303"/>
      <c r="ZM32" s="303"/>
      <c r="ZN32" s="303"/>
      <c r="ZO32" s="303"/>
      <c r="ZP32" s="303"/>
      <c r="ZQ32" s="303"/>
      <c r="ZR32" s="303"/>
      <c r="ZS32" s="303"/>
      <c r="ZT32" s="303"/>
      <c r="ZU32" s="303"/>
      <c r="ZV32" s="303"/>
      <c r="ZW32" s="303"/>
      <c r="ZX32" s="303"/>
      <c r="ZY32" s="303"/>
      <c r="ZZ32" s="303"/>
      <c r="AAA32" s="303"/>
      <c r="AAB32" s="303"/>
      <c r="AAC32" s="303"/>
      <c r="AAD32" s="303"/>
      <c r="AAE32" s="303"/>
      <c r="AAF32" s="303"/>
      <c r="AAG32" s="303"/>
      <c r="AAH32" s="303"/>
      <c r="AAI32" s="303"/>
      <c r="AAJ32" s="303"/>
      <c r="AAK32" s="303"/>
      <c r="AAL32" s="303"/>
      <c r="AAM32" s="303"/>
      <c r="AAN32" s="303"/>
      <c r="AAO32" s="303"/>
      <c r="AAP32" s="303"/>
      <c r="AAQ32" s="303"/>
      <c r="AAR32" s="303"/>
      <c r="AAS32" s="303"/>
      <c r="AAT32" s="303"/>
      <c r="AAU32" s="303"/>
      <c r="AAV32" s="303"/>
      <c r="AAW32" s="303"/>
      <c r="AAX32" s="303"/>
      <c r="AAY32" s="303"/>
      <c r="AAZ32" s="303"/>
      <c r="ABA32" s="303"/>
      <c r="ABB32" s="303"/>
      <c r="ABC32" s="303"/>
      <c r="ABD32" s="303"/>
      <c r="ABE32" s="303"/>
      <c r="ABF32" s="303"/>
      <c r="ABG32" s="303"/>
      <c r="ABH32" s="303"/>
      <c r="ABI32" s="303"/>
      <c r="ABJ32" s="303"/>
      <c r="ABK32" s="303"/>
      <c r="ABL32" s="303"/>
      <c r="ABM32" s="303"/>
      <c r="ABN32" s="303"/>
      <c r="ABO32" s="303"/>
      <c r="ABP32" s="303"/>
      <c r="ABQ32" s="303"/>
      <c r="ABR32" s="303"/>
      <c r="ABS32" s="303"/>
      <c r="ABT32" s="303"/>
      <c r="ABU32" s="303"/>
      <c r="ABV32" s="303"/>
      <c r="ABW32" s="303"/>
      <c r="ABX32" s="303"/>
      <c r="ABY32" s="303"/>
      <c r="ABZ32" s="303"/>
      <c r="ACA32" s="303"/>
      <c r="ACB32" s="303"/>
      <c r="ACC32" s="303"/>
      <c r="ACD32" s="303"/>
      <c r="ACE32" s="303"/>
      <c r="ACF32" s="303"/>
      <c r="ACG32" s="303"/>
      <c r="ACH32" s="303"/>
      <c r="ACI32" s="303"/>
      <c r="ACJ32" s="303"/>
      <c r="ACK32" s="303"/>
      <c r="ACL32" s="303"/>
      <c r="ACM32" s="303"/>
      <c r="ACN32" s="303"/>
      <c r="ACO32" s="303"/>
      <c r="ACP32" s="303"/>
      <c r="ACQ32" s="303"/>
      <c r="ACR32" s="303"/>
      <c r="ACS32" s="303"/>
      <c r="ACT32" s="303"/>
      <c r="ACU32" s="303"/>
      <c r="ACV32" s="303"/>
      <c r="ACW32" s="303"/>
      <c r="ACX32" s="303"/>
      <c r="ACY32" s="303"/>
      <c r="ACZ32" s="303"/>
      <c r="ADA32" s="303"/>
      <c r="ADB32" s="303"/>
      <c r="ADC32" s="303"/>
      <c r="ADD32" s="303"/>
      <c r="ADE32" s="303"/>
      <c r="ADF32" s="303"/>
      <c r="ADG32" s="303"/>
      <c r="ADH32" s="303"/>
      <c r="ADI32" s="303"/>
      <c r="ADJ32" s="303"/>
      <c r="ADK32" s="303"/>
      <c r="ADL32" s="303"/>
      <c r="ADM32" s="303"/>
      <c r="ADN32" s="303"/>
      <c r="ADO32" s="303"/>
      <c r="ADP32" s="303"/>
      <c r="ADQ32" s="303"/>
      <c r="ADR32" s="303"/>
      <c r="ADS32" s="303"/>
      <c r="ADT32" s="303"/>
      <c r="ADU32" s="303"/>
      <c r="ADV32" s="303"/>
      <c r="ADW32" s="303"/>
      <c r="ADX32" s="303"/>
      <c r="ADY32" s="303"/>
      <c r="ADZ32" s="303"/>
      <c r="AEA32" s="303"/>
      <c r="AEB32" s="303"/>
      <c r="AEC32" s="303"/>
      <c r="AED32" s="303"/>
      <c r="AEE32" s="303"/>
      <c r="AEF32" s="303"/>
      <c r="AEG32" s="303"/>
      <c r="AEH32" s="303"/>
      <c r="AEI32" s="303"/>
      <c r="AEJ32" s="303"/>
      <c r="AEK32" s="303"/>
      <c r="AEL32" s="303"/>
      <c r="AEM32" s="303"/>
      <c r="AEN32" s="303"/>
      <c r="AEO32" s="303"/>
      <c r="AEP32" s="303"/>
      <c r="AEQ32" s="303"/>
      <c r="AER32" s="303"/>
      <c r="AES32" s="303"/>
      <c r="AET32" s="303"/>
      <c r="AEU32" s="303"/>
      <c r="AEV32" s="303"/>
      <c r="AEW32" s="303"/>
      <c r="AEX32" s="303"/>
      <c r="AEY32" s="303"/>
      <c r="AEZ32" s="303"/>
      <c r="AFA32" s="303"/>
      <c r="AFB32" s="303"/>
      <c r="AFC32" s="303"/>
      <c r="AFD32" s="303"/>
      <c r="AFE32" s="303"/>
      <c r="AFF32" s="303"/>
      <c r="AFG32" s="303"/>
      <c r="AFH32" s="303"/>
      <c r="AFI32" s="303"/>
      <c r="AFJ32" s="303"/>
      <c r="AFK32" s="303"/>
      <c r="AFL32" s="303"/>
      <c r="AFM32" s="303"/>
      <c r="AFN32" s="303"/>
      <c r="AFO32" s="303"/>
      <c r="AFP32" s="303"/>
      <c r="AFQ32" s="303"/>
      <c r="AFR32" s="303"/>
      <c r="AFS32" s="303"/>
      <c r="AFT32" s="303"/>
      <c r="AFU32" s="303"/>
      <c r="AFV32" s="303"/>
      <c r="AFW32" s="303"/>
      <c r="AFX32" s="303"/>
      <c r="AFY32" s="303"/>
      <c r="AFZ32" s="303"/>
      <c r="AGA32" s="303"/>
      <c r="AGB32" s="303"/>
      <c r="AGC32" s="303"/>
      <c r="AGD32" s="303"/>
      <c r="AGE32" s="303"/>
      <c r="AGF32" s="303"/>
      <c r="AGG32" s="303"/>
      <c r="AGH32" s="303"/>
      <c r="AGI32" s="303"/>
      <c r="AGJ32" s="303"/>
      <c r="AGK32" s="303"/>
      <c r="AGL32" s="303"/>
      <c r="AGM32" s="303"/>
      <c r="AGN32" s="303"/>
      <c r="AGO32" s="303"/>
      <c r="AGP32" s="303"/>
      <c r="AGQ32" s="303"/>
      <c r="AGR32" s="303"/>
      <c r="AGS32" s="303"/>
      <c r="AGT32" s="303"/>
      <c r="AGU32" s="303"/>
      <c r="AGV32" s="303"/>
      <c r="AGW32" s="303"/>
      <c r="AGX32" s="303"/>
      <c r="AGY32" s="303"/>
      <c r="AGZ32" s="303"/>
      <c r="AHA32" s="303"/>
      <c r="AHB32" s="303"/>
      <c r="AHC32" s="303"/>
      <c r="AHD32" s="303"/>
      <c r="AHE32" s="303"/>
      <c r="AHF32" s="303"/>
      <c r="AHG32" s="303"/>
      <c r="AHH32" s="303"/>
      <c r="AHI32" s="303"/>
      <c r="AHJ32" s="303"/>
      <c r="AHK32" s="303"/>
      <c r="AHL32" s="303"/>
      <c r="AHM32" s="303"/>
      <c r="AHN32" s="303"/>
      <c r="AHO32" s="303"/>
      <c r="AHP32" s="303"/>
      <c r="AHQ32" s="303"/>
      <c r="AHR32" s="303"/>
      <c r="AHS32" s="303"/>
      <c r="AHT32" s="303"/>
      <c r="AHU32" s="303"/>
      <c r="AHV32" s="303"/>
      <c r="AHW32" s="303"/>
      <c r="AHX32" s="303"/>
      <c r="AHY32" s="303"/>
      <c r="AHZ32" s="303"/>
      <c r="AIA32" s="303"/>
      <c r="AIB32" s="303"/>
      <c r="AIC32" s="303"/>
      <c r="AID32" s="303"/>
      <c r="AIE32" s="303"/>
      <c r="AIF32" s="303"/>
      <c r="AIG32" s="303"/>
      <c r="AIH32" s="303"/>
      <c r="AII32" s="303"/>
      <c r="AIJ32" s="303"/>
      <c r="AIK32" s="303"/>
      <c r="AIL32" s="303"/>
      <c r="AIM32" s="303"/>
      <c r="AIN32" s="303"/>
      <c r="AIO32" s="303"/>
      <c r="AIP32" s="303"/>
      <c r="AIQ32" s="303"/>
      <c r="AIR32" s="303"/>
      <c r="AIS32" s="303"/>
      <c r="AIT32" s="303"/>
      <c r="AIU32" s="303"/>
      <c r="AIV32" s="303"/>
      <c r="AIW32" s="303"/>
      <c r="AIX32" s="303"/>
      <c r="AIY32" s="303"/>
      <c r="AIZ32" s="303"/>
      <c r="AJA32" s="303"/>
      <c r="AJB32" s="303"/>
      <c r="AJC32" s="303"/>
      <c r="AJD32" s="303"/>
      <c r="AJE32" s="303"/>
      <c r="AJF32" s="303"/>
      <c r="AJG32" s="303"/>
      <c r="AJH32" s="303"/>
      <c r="AJI32" s="303"/>
      <c r="AJJ32" s="303"/>
      <c r="AJK32" s="303"/>
      <c r="AJL32" s="303"/>
      <c r="AJM32" s="303"/>
      <c r="AJN32" s="303"/>
      <c r="AJO32" s="303"/>
      <c r="AJP32" s="303"/>
      <c r="AJQ32" s="303"/>
      <c r="AJR32" s="303"/>
      <c r="AJS32" s="303"/>
      <c r="AJT32" s="303"/>
      <c r="AJU32" s="303"/>
      <c r="AJV32" s="303"/>
      <c r="AJW32" s="303"/>
      <c r="AJX32" s="303"/>
      <c r="AJY32" s="303"/>
      <c r="AJZ32" s="303"/>
      <c r="AKA32" s="303"/>
      <c r="AKB32" s="303"/>
      <c r="AKC32" s="303"/>
      <c r="AKD32" s="303"/>
      <c r="AKE32" s="303"/>
      <c r="AKF32" s="303"/>
      <c r="AKG32" s="303"/>
      <c r="AKH32" s="303"/>
      <c r="AKI32" s="303"/>
      <c r="AKJ32" s="303"/>
      <c r="AKK32" s="303"/>
      <c r="AKL32" s="303"/>
      <c r="AKM32" s="303"/>
      <c r="AKN32" s="303"/>
      <c r="AKO32" s="303"/>
      <c r="AKP32" s="303"/>
      <c r="AKQ32" s="303"/>
      <c r="AKR32" s="303"/>
      <c r="AKS32" s="303"/>
      <c r="AKT32" s="303"/>
      <c r="AKU32" s="303"/>
      <c r="AKV32" s="303"/>
      <c r="AKW32" s="303"/>
      <c r="AKX32" s="303"/>
      <c r="AKY32" s="303"/>
      <c r="AKZ32" s="303"/>
      <c r="ALA32" s="303"/>
      <c r="ALB32" s="303"/>
      <c r="ALC32" s="303"/>
      <c r="ALD32" s="303"/>
      <c r="ALE32" s="303"/>
      <c r="ALF32" s="303"/>
      <c r="ALG32" s="303"/>
      <c r="ALH32" s="303"/>
      <c r="ALI32" s="303"/>
      <c r="ALJ32" s="303"/>
      <c r="ALK32" s="303"/>
      <c r="ALL32" s="303"/>
      <c r="ALM32" s="303"/>
      <c r="ALN32" s="303"/>
      <c r="ALO32" s="303"/>
      <c r="ALP32" s="303"/>
      <c r="ALQ32" s="303"/>
      <c r="ALR32" s="303"/>
      <c r="ALS32" s="303"/>
      <c r="ALT32" s="303"/>
      <c r="ALU32" s="303"/>
      <c r="ALV32" s="303"/>
      <c r="ALW32" s="303"/>
      <c r="ALX32" s="303"/>
      <c r="ALY32" s="303"/>
      <c r="ALZ32" s="303"/>
      <c r="AMA32" s="303"/>
      <c r="AMB32" s="303"/>
      <c r="AMC32" s="303"/>
      <c r="AMD32" s="303"/>
      <c r="AME32" s="303"/>
      <c r="AMF32" s="303"/>
      <c r="AMG32" s="303"/>
      <c r="AMH32" s="303"/>
      <c r="AMI32" s="303"/>
      <c r="AMJ32" s="303"/>
      <c r="AMK32" s="303"/>
      <c r="AML32" s="303"/>
      <c r="AMM32" s="303"/>
      <c r="AMN32" s="303"/>
      <c r="AMO32" s="303"/>
      <c r="AMP32" s="303"/>
      <c r="AMQ32" s="303"/>
      <c r="AMR32" s="303"/>
      <c r="AMS32" s="303"/>
      <c r="AMT32" s="303"/>
      <c r="AMU32" s="303"/>
      <c r="AMV32" s="303"/>
      <c r="AMW32" s="303"/>
      <c r="AMX32" s="303"/>
      <c r="AMY32" s="303"/>
      <c r="AMZ32" s="303"/>
      <c r="ANA32" s="303"/>
      <c r="ANB32" s="303"/>
      <c r="ANC32" s="303"/>
      <c r="AND32" s="303"/>
      <c r="ANE32" s="303"/>
      <c r="ANF32" s="303"/>
      <c r="ANG32" s="303"/>
      <c r="ANH32" s="303"/>
      <c r="ANI32" s="303"/>
      <c r="ANJ32" s="303"/>
      <c r="ANK32" s="303"/>
      <c r="ANL32" s="303"/>
      <c r="ANM32" s="303"/>
      <c r="ANN32" s="303"/>
      <c r="ANO32" s="303"/>
      <c r="ANP32" s="303"/>
      <c r="ANQ32" s="303"/>
      <c r="ANR32" s="303"/>
      <c r="ANS32" s="303"/>
      <c r="ANT32" s="303"/>
      <c r="ANU32" s="303"/>
      <c r="ANV32" s="303"/>
      <c r="ANW32" s="303"/>
      <c r="ANX32" s="303"/>
      <c r="ANY32" s="303"/>
      <c r="ANZ32" s="303"/>
      <c r="AOA32" s="303"/>
      <c r="AOB32" s="303"/>
      <c r="AOC32" s="303"/>
      <c r="AOD32" s="303"/>
      <c r="AOE32" s="303"/>
      <c r="AOF32" s="303"/>
      <c r="AOG32" s="303"/>
      <c r="AOH32" s="303"/>
      <c r="AOI32" s="303"/>
      <c r="AOJ32" s="303"/>
      <c r="AOK32" s="303"/>
      <c r="AOL32" s="303"/>
      <c r="AOM32" s="303"/>
      <c r="AON32" s="303"/>
      <c r="AOO32" s="303"/>
      <c r="AOP32" s="303"/>
      <c r="AOQ32" s="303"/>
      <c r="AOR32" s="303"/>
      <c r="AOS32" s="303"/>
      <c r="AOT32" s="303"/>
      <c r="AOU32" s="303"/>
      <c r="AOV32" s="303"/>
      <c r="AOW32" s="303"/>
      <c r="AOX32" s="303"/>
      <c r="AOY32" s="303"/>
      <c r="AOZ32" s="303"/>
      <c r="APA32" s="303"/>
      <c r="APB32" s="303"/>
      <c r="APC32" s="303"/>
      <c r="APD32" s="303"/>
      <c r="APE32" s="303"/>
      <c r="APF32" s="303"/>
      <c r="APG32" s="303"/>
      <c r="APH32" s="303"/>
      <c r="API32" s="303"/>
      <c r="APJ32" s="303"/>
      <c r="APK32" s="303"/>
      <c r="APL32" s="303"/>
      <c r="APM32" s="303"/>
      <c r="APN32" s="303"/>
      <c r="APO32" s="303"/>
      <c r="APP32" s="303"/>
      <c r="APQ32" s="303"/>
      <c r="APR32" s="303"/>
      <c r="APS32" s="303"/>
      <c r="APT32" s="303"/>
      <c r="APU32" s="303"/>
      <c r="APV32" s="303"/>
      <c r="APW32" s="303"/>
      <c r="APX32" s="303"/>
      <c r="APY32" s="303"/>
      <c r="APZ32" s="303"/>
      <c r="AQA32" s="303"/>
      <c r="AQB32" s="303"/>
      <c r="AQC32" s="303"/>
      <c r="AQD32" s="303"/>
      <c r="AQE32" s="303"/>
      <c r="AQF32" s="303"/>
      <c r="AQG32" s="303"/>
      <c r="AQH32" s="303"/>
      <c r="AQI32" s="303"/>
      <c r="AQJ32" s="303"/>
      <c r="AQK32" s="303"/>
      <c r="AQL32" s="303"/>
      <c r="AQM32" s="303"/>
      <c r="AQN32" s="303"/>
      <c r="AQO32" s="303"/>
      <c r="AQP32" s="303"/>
      <c r="AQQ32" s="303"/>
      <c r="AQR32" s="303"/>
      <c r="AQS32" s="303"/>
      <c r="AQT32" s="303"/>
      <c r="AQU32" s="303"/>
      <c r="AQV32" s="303"/>
      <c r="AQW32" s="303"/>
      <c r="AQX32" s="303"/>
      <c r="AQY32" s="303"/>
      <c r="AQZ32" s="303"/>
      <c r="ARA32" s="303"/>
      <c r="ARB32" s="303"/>
      <c r="ARC32" s="303"/>
      <c r="ARD32" s="303"/>
      <c r="ARE32" s="303"/>
      <c r="ARF32" s="303"/>
      <c r="ARG32" s="303"/>
      <c r="ARH32" s="303"/>
      <c r="ARI32" s="303"/>
      <c r="ARJ32" s="303"/>
      <c r="ARK32" s="303"/>
      <c r="ARL32" s="303"/>
      <c r="ARM32" s="303"/>
      <c r="ARN32" s="303"/>
      <c r="ARO32" s="303"/>
      <c r="ARP32" s="303"/>
      <c r="ARQ32" s="303"/>
      <c r="ARR32" s="303"/>
      <c r="ARS32" s="303"/>
      <c r="ART32" s="303"/>
      <c r="ARU32" s="303"/>
      <c r="ARV32" s="303"/>
      <c r="ARW32" s="303"/>
      <c r="ARX32" s="303"/>
      <c r="ARY32" s="303"/>
      <c r="ARZ32" s="303"/>
      <c r="ASA32" s="303"/>
      <c r="ASB32" s="303"/>
      <c r="ASC32" s="303"/>
      <c r="ASD32" s="303"/>
      <c r="ASE32" s="303"/>
      <c r="ASF32" s="303"/>
      <c r="ASG32" s="303"/>
      <c r="ASH32" s="303"/>
      <c r="ASI32" s="303"/>
      <c r="ASJ32" s="303"/>
      <c r="ASK32" s="303"/>
      <c r="ASL32" s="303"/>
      <c r="ASM32" s="303"/>
      <c r="ASN32" s="303"/>
      <c r="ASO32" s="303"/>
      <c r="ASP32" s="303"/>
      <c r="ASQ32" s="303"/>
      <c r="ASR32" s="303"/>
      <c r="ASS32" s="303"/>
      <c r="AST32" s="303"/>
      <c r="ASU32" s="303"/>
      <c r="ASV32" s="303"/>
      <c r="ASW32" s="303"/>
      <c r="ASX32" s="303"/>
      <c r="ASY32" s="303"/>
      <c r="ASZ32" s="303"/>
      <c r="ATA32" s="303"/>
      <c r="ATB32" s="303"/>
      <c r="ATC32" s="303"/>
      <c r="ATD32" s="303"/>
      <c r="ATE32" s="303"/>
      <c r="ATF32" s="303"/>
      <c r="ATG32" s="303"/>
      <c r="ATH32" s="303"/>
      <c r="ATI32" s="303"/>
      <c r="ATJ32" s="303"/>
      <c r="ATK32" s="303"/>
      <c r="ATL32" s="303"/>
      <c r="ATM32" s="303"/>
      <c r="ATN32" s="303"/>
      <c r="ATO32" s="303"/>
      <c r="ATP32" s="303"/>
      <c r="ATQ32" s="303"/>
      <c r="ATR32" s="303"/>
      <c r="ATS32" s="303"/>
      <c r="ATT32" s="303"/>
      <c r="ATU32" s="303"/>
      <c r="ATV32" s="303"/>
      <c r="ATW32" s="303"/>
      <c r="ATX32" s="303"/>
      <c r="ATY32" s="303"/>
      <c r="ATZ32" s="303"/>
      <c r="AUA32" s="303"/>
      <c r="AUB32" s="303"/>
      <c r="AUC32" s="303"/>
      <c r="AUD32" s="303"/>
      <c r="AUE32" s="303"/>
      <c r="AUF32" s="303"/>
      <c r="AUG32" s="303"/>
      <c r="AUH32" s="303"/>
      <c r="AUI32" s="303"/>
      <c r="AUJ32" s="303"/>
      <c r="AUK32" s="303"/>
      <c r="AUL32" s="303"/>
      <c r="AUM32" s="303"/>
      <c r="AUN32" s="303"/>
      <c r="AUO32" s="303"/>
      <c r="AUP32" s="303"/>
      <c r="AUQ32" s="303"/>
      <c r="AUR32" s="303"/>
      <c r="AUS32" s="303"/>
      <c r="AUT32" s="303"/>
      <c r="AUU32" s="303"/>
      <c r="AUV32" s="303"/>
      <c r="AUW32" s="303"/>
      <c r="AUX32" s="303"/>
      <c r="AUY32" s="303"/>
      <c r="AUZ32" s="303"/>
      <c r="AVA32" s="303"/>
      <c r="AVB32" s="303"/>
      <c r="AVC32" s="303"/>
      <c r="AVD32" s="303"/>
      <c r="AVE32" s="303"/>
      <c r="AVF32" s="303"/>
      <c r="AVG32" s="303"/>
      <c r="AVH32" s="303"/>
      <c r="AVI32" s="303"/>
      <c r="AVJ32" s="303"/>
      <c r="AVK32" s="303"/>
      <c r="AVL32" s="303"/>
      <c r="AVM32" s="303"/>
      <c r="AVN32" s="303"/>
      <c r="AVO32" s="303"/>
      <c r="AVP32" s="303"/>
      <c r="AVQ32" s="303"/>
      <c r="AVR32" s="303"/>
      <c r="AVS32" s="303"/>
      <c r="AVT32" s="303"/>
      <c r="AVU32" s="303"/>
      <c r="AVV32" s="303"/>
      <c r="AVW32" s="303"/>
      <c r="AVX32" s="303"/>
      <c r="AVY32" s="303"/>
      <c r="AVZ32" s="303"/>
      <c r="AWA32" s="303"/>
      <c r="AWB32" s="303"/>
      <c r="AWC32" s="303"/>
      <c r="AWD32" s="303"/>
      <c r="AWE32" s="303"/>
      <c r="AWF32" s="303"/>
      <c r="AWG32" s="303"/>
      <c r="AWH32" s="303"/>
      <c r="AWI32" s="303"/>
      <c r="AWJ32" s="303"/>
      <c r="AWK32" s="303"/>
      <c r="AWL32" s="303"/>
      <c r="AWM32" s="303"/>
      <c r="AWN32" s="303"/>
      <c r="AWO32" s="303"/>
      <c r="AWP32" s="303"/>
      <c r="AWQ32" s="303"/>
      <c r="AWR32" s="303"/>
      <c r="AWS32" s="303"/>
      <c r="AWT32" s="303"/>
      <c r="AWU32" s="303"/>
      <c r="AWV32" s="303"/>
      <c r="AWW32" s="303"/>
      <c r="AWX32" s="303"/>
      <c r="AWY32" s="303"/>
      <c r="AWZ32" s="303"/>
      <c r="AXA32" s="303"/>
      <c r="AXB32" s="303"/>
      <c r="AXC32" s="303"/>
      <c r="AXD32" s="303"/>
      <c r="AXE32" s="303"/>
      <c r="AXF32" s="303"/>
      <c r="AXG32" s="303"/>
      <c r="AXH32" s="303"/>
      <c r="AXI32" s="303"/>
      <c r="AXJ32" s="303"/>
      <c r="AXK32" s="303"/>
      <c r="AXL32" s="303"/>
      <c r="AXM32" s="303"/>
      <c r="AXN32" s="303"/>
      <c r="AXO32" s="303"/>
      <c r="AXP32" s="303"/>
      <c r="AXQ32" s="303"/>
      <c r="AXR32" s="303"/>
      <c r="AXS32" s="303"/>
      <c r="AXT32" s="303"/>
      <c r="AXU32" s="303"/>
      <c r="AXV32" s="303"/>
      <c r="AXW32" s="303"/>
      <c r="AXX32" s="303"/>
      <c r="AXY32" s="303"/>
      <c r="AXZ32" s="303"/>
      <c r="AYA32" s="303"/>
      <c r="AYB32" s="303"/>
      <c r="AYC32" s="303"/>
      <c r="AYD32" s="303"/>
      <c r="AYE32" s="303"/>
      <c r="AYF32" s="303"/>
      <c r="AYG32" s="303"/>
      <c r="AYH32" s="303"/>
    </row>
    <row r="33" spans="1:1334" x14ac:dyDescent="0.25">
      <c r="A33" s="304" t="s">
        <v>1347</v>
      </c>
      <c r="B33" s="298" t="s">
        <v>1323</v>
      </c>
      <c r="C33" s="303"/>
      <c r="D33" s="303"/>
      <c r="E33" s="303"/>
      <c r="F33" s="303"/>
      <c r="G33" s="303"/>
      <c r="H33" s="303"/>
      <c r="I33" s="303"/>
      <c r="J33" s="303"/>
      <c r="K33" s="303"/>
      <c r="L33" s="303"/>
      <c r="M33" s="303"/>
      <c r="N33" s="303"/>
      <c r="O33" s="303"/>
      <c r="P33" s="303"/>
      <c r="Q33" s="303"/>
      <c r="R33" s="303"/>
      <c r="S33" s="303"/>
      <c r="T33" s="303"/>
      <c r="U33" s="303"/>
      <c r="V33" s="303"/>
      <c r="W33" s="303"/>
      <c r="X33" s="303"/>
      <c r="Y33" s="303"/>
      <c r="Z33" s="303"/>
      <c r="AA33" s="303"/>
      <c r="AB33" s="303"/>
      <c r="AC33" s="303"/>
      <c r="AD33" s="303"/>
      <c r="AE33" s="303"/>
      <c r="AF33" s="303"/>
      <c r="AG33" s="303"/>
      <c r="AH33" s="303"/>
      <c r="AI33" s="303"/>
      <c r="AJ33" s="303"/>
      <c r="AK33" s="303"/>
      <c r="AL33" s="303"/>
      <c r="AM33" s="303"/>
      <c r="AN33" s="303"/>
      <c r="AO33" s="303"/>
      <c r="AP33" s="303"/>
      <c r="AQ33" s="303"/>
      <c r="AR33" s="303"/>
      <c r="AS33" s="303"/>
      <c r="AT33" s="303"/>
      <c r="AU33" s="303"/>
      <c r="AV33" s="303"/>
      <c r="AW33" s="303"/>
      <c r="AX33" s="303"/>
      <c r="AY33" s="303"/>
      <c r="AZ33" s="303"/>
      <c r="BA33" s="303"/>
      <c r="BB33" s="303"/>
      <c r="BC33" s="303"/>
      <c r="BD33" s="303"/>
      <c r="BE33" s="303"/>
      <c r="BF33" s="303"/>
      <c r="BG33" s="303"/>
      <c r="BH33" s="303"/>
      <c r="BI33" s="303"/>
      <c r="BJ33" s="303"/>
      <c r="BK33" s="303"/>
      <c r="BL33" s="303"/>
      <c r="BM33" s="303"/>
      <c r="BN33" s="303"/>
      <c r="BO33" s="303"/>
      <c r="BP33" s="303"/>
      <c r="BQ33" s="303"/>
      <c r="BR33" s="303"/>
      <c r="BS33" s="303"/>
      <c r="BT33" s="303"/>
      <c r="BU33" s="303"/>
      <c r="BV33" s="303"/>
      <c r="BW33" s="303"/>
      <c r="BX33" s="303"/>
      <c r="BY33" s="303"/>
      <c r="BZ33" s="303"/>
      <c r="CA33" s="303"/>
      <c r="CB33" s="303"/>
      <c r="CC33" s="303"/>
      <c r="CD33" s="303"/>
      <c r="CE33" s="303"/>
      <c r="CF33" s="303"/>
      <c r="CG33" s="303"/>
      <c r="CH33" s="303"/>
      <c r="CI33" s="303"/>
      <c r="CJ33" s="303"/>
      <c r="CK33" s="303"/>
      <c r="CL33" s="303"/>
      <c r="CM33" s="303"/>
      <c r="CN33" s="303"/>
      <c r="CO33" s="303"/>
      <c r="CP33" s="303"/>
      <c r="CQ33" s="303"/>
      <c r="CR33" s="303"/>
      <c r="CS33" s="303"/>
      <c r="CT33" s="303"/>
      <c r="CU33" s="303"/>
      <c r="CV33" s="303"/>
      <c r="CW33" s="303"/>
      <c r="CX33" s="303"/>
      <c r="CY33" s="303"/>
      <c r="CZ33" s="303"/>
      <c r="DA33" s="303"/>
      <c r="DB33" s="303"/>
      <c r="DC33" s="303"/>
      <c r="DD33" s="303"/>
      <c r="DE33" s="303"/>
      <c r="DF33" s="303"/>
      <c r="DG33" s="303"/>
      <c r="DH33" s="303"/>
      <c r="DI33" s="303"/>
      <c r="DJ33" s="303"/>
      <c r="DK33" s="303"/>
      <c r="DL33" s="303"/>
      <c r="DM33" s="303"/>
      <c r="DN33" s="303"/>
      <c r="DO33" s="303"/>
      <c r="DP33" s="303"/>
      <c r="DQ33" s="303"/>
      <c r="DR33" s="303"/>
      <c r="DS33" s="303"/>
      <c r="DT33" s="303"/>
      <c r="DU33" s="303"/>
      <c r="DV33" s="303"/>
      <c r="DW33" s="303"/>
      <c r="DX33" s="303"/>
      <c r="DY33" s="303"/>
      <c r="DZ33" s="303"/>
      <c r="EA33" s="303"/>
      <c r="EB33" s="303"/>
      <c r="EC33" s="303"/>
      <c r="ED33" s="303"/>
      <c r="EE33" s="303"/>
      <c r="EF33" s="303"/>
      <c r="EG33" s="303"/>
      <c r="EH33" s="303"/>
      <c r="EI33" s="303"/>
      <c r="EJ33" s="303"/>
      <c r="EK33" s="303"/>
      <c r="EL33" s="303"/>
      <c r="EM33" s="303"/>
      <c r="EN33" s="303"/>
      <c r="EO33" s="303"/>
      <c r="EP33" s="303"/>
      <c r="EQ33" s="303"/>
      <c r="ER33" s="303"/>
      <c r="ES33" s="303"/>
      <c r="ET33" s="303"/>
      <c r="EU33" s="303"/>
      <c r="EV33" s="303"/>
      <c r="EW33" s="303"/>
      <c r="EX33" s="303"/>
      <c r="EY33" s="303"/>
      <c r="EZ33" s="303"/>
      <c r="FA33" s="303"/>
      <c r="FB33" s="303"/>
      <c r="FC33" s="303"/>
      <c r="FD33" s="303"/>
      <c r="FE33" s="303"/>
      <c r="FF33" s="303"/>
      <c r="FG33" s="303"/>
      <c r="FH33" s="303"/>
      <c r="FI33" s="303"/>
      <c r="FJ33" s="303"/>
      <c r="FK33" s="303"/>
      <c r="FL33" s="303"/>
      <c r="FM33" s="303"/>
      <c r="FN33" s="303"/>
      <c r="FO33" s="303"/>
      <c r="FP33" s="303"/>
      <c r="FQ33" s="303"/>
      <c r="FR33" s="303"/>
      <c r="FS33" s="303"/>
      <c r="FT33" s="303"/>
      <c r="FU33" s="303"/>
      <c r="FV33" s="303"/>
      <c r="FW33" s="303"/>
      <c r="FX33" s="303"/>
      <c r="FY33" s="303"/>
      <c r="FZ33" s="303"/>
      <c r="GA33" s="303"/>
      <c r="GB33" s="303"/>
      <c r="GC33" s="303"/>
      <c r="GD33" s="303"/>
      <c r="GE33" s="303"/>
      <c r="GF33" s="303"/>
      <c r="GG33" s="303"/>
      <c r="GH33" s="303"/>
      <c r="GI33" s="303"/>
      <c r="GJ33" s="303"/>
      <c r="GK33" s="303"/>
      <c r="GL33" s="303"/>
      <c r="GM33" s="303"/>
      <c r="GN33" s="303"/>
      <c r="GO33" s="303"/>
      <c r="GP33" s="303"/>
      <c r="GQ33" s="303"/>
      <c r="GR33" s="303"/>
      <c r="GS33" s="303"/>
      <c r="GT33" s="303"/>
      <c r="GU33" s="303"/>
      <c r="GV33" s="303"/>
      <c r="GW33" s="303"/>
      <c r="GX33" s="303"/>
      <c r="GY33" s="303"/>
      <c r="GZ33" s="303"/>
      <c r="HA33" s="303"/>
      <c r="HB33" s="303"/>
      <c r="HC33" s="303"/>
      <c r="HD33" s="303"/>
      <c r="HE33" s="303"/>
      <c r="HF33" s="303"/>
      <c r="HG33" s="303"/>
      <c r="HH33" s="303"/>
      <c r="HI33" s="303"/>
      <c r="HJ33" s="303"/>
      <c r="HK33" s="303"/>
      <c r="HL33" s="303"/>
      <c r="HM33" s="303"/>
      <c r="HN33" s="303"/>
      <c r="HO33" s="303"/>
      <c r="HP33" s="303"/>
      <c r="HQ33" s="303"/>
      <c r="HR33" s="303"/>
      <c r="HS33" s="303"/>
      <c r="HT33" s="303"/>
      <c r="HU33" s="303"/>
      <c r="HV33" s="303"/>
      <c r="HW33" s="303"/>
      <c r="HX33" s="303"/>
      <c r="HY33" s="303"/>
      <c r="HZ33" s="303"/>
      <c r="IA33" s="303"/>
      <c r="IB33" s="303"/>
      <c r="IC33" s="303"/>
      <c r="ID33" s="303"/>
      <c r="IE33" s="303"/>
      <c r="IF33" s="303"/>
      <c r="IG33" s="303"/>
      <c r="IH33" s="303"/>
      <c r="II33" s="303"/>
      <c r="IJ33" s="303"/>
      <c r="IK33" s="303"/>
      <c r="IL33" s="303"/>
      <c r="IM33" s="303"/>
      <c r="IN33" s="303"/>
      <c r="IO33" s="303"/>
      <c r="IP33" s="303"/>
      <c r="IQ33" s="303"/>
      <c r="IR33" s="303"/>
      <c r="IS33" s="303"/>
      <c r="IT33" s="303"/>
      <c r="IU33" s="303"/>
      <c r="IV33" s="303"/>
      <c r="IW33" s="303"/>
      <c r="IX33" s="303"/>
      <c r="IY33" s="303"/>
      <c r="IZ33" s="303"/>
      <c r="JA33" s="303"/>
      <c r="JB33" s="303"/>
      <c r="JC33" s="303"/>
      <c r="JD33" s="303"/>
      <c r="JE33" s="303"/>
      <c r="JF33" s="303"/>
      <c r="JG33" s="303"/>
      <c r="JH33" s="303"/>
      <c r="JI33" s="303"/>
      <c r="JJ33" s="303"/>
      <c r="JK33" s="303"/>
      <c r="JL33" s="303"/>
      <c r="JM33" s="303"/>
      <c r="JN33" s="303"/>
      <c r="JO33" s="303"/>
      <c r="JP33" s="303"/>
      <c r="JQ33" s="303"/>
      <c r="JR33" s="303"/>
      <c r="JS33" s="303"/>
      <c r="JT33" s="303"/>
      <c r="JU33" s="303"/>
      <c r="JV33" s="303"/>
      <c r="JW33" s="303"/>
      <c r="JX33" s="303"/>
      <c r="JY33" s="303"/>
      <c r="JZ33" s="303"/>
      <c r="KA33" s="303"/>
      <c r="KB33" s="303"/>
      <c r="KC33" s="303"/>
      <c r="KD33" s="303"/>
      <c r="KE33" s="303"/>
      <c r="KF33" s="303"/>
      <c r="KG33" s="303"/>
      <c r="KH33" s="303"/>
      <c r="KI33" s="303"/>
      <c r="KJ33" s="303"/>
      <c r="KK33" s="303"/>
      <c r="KL33" s="303"/>
      <c r="KM33" s="303"/>
      <c r="KN33" s="303"/>
      <c r="KO33" s="303"/>
      <c r="KP33" s="303"/>
      <c r="KQ33" s="303"/>
      <c r="KR33" s="303"/>
      <c r="KS33" s="303"/>
      <c r="KT33" s="303"/>
      <c r="KU33" s="303"/>
      <c r="KV33" s="303"/>
      <c r="KW33" s="303"/>
      <c r="KX33" s="303"/>
      <c r="KY33" s="303"/>
      <c r="KZ33" s="303"/>
      <c r="LA33" s="303"/>
      <c r="LB33" s="303"/>
      <c r="LC33" s="303"/>
      <c r="LD33" s="303"/>
      <c r="LE33" s="303"/>
      <c r="LF33" s="303"/>
      <c r="LG33" s="303"/>
      <c r="LH33" s="303"/>
      <c r="LI33" s="303"/>
      <c r="LJ33" s="303"/>
      <c r="LK33" s="303"/>
      <c r="LL33" s="303"/>
      <c r="LM33" s="303"/>
      <c r="LN33" s="303"/>
      <c r="LO33" s="303"/>
      <c r="LP33" s="303"/>
      <c r="LQ33" s="303"/>
      <c r="LR33" s="303"/>
      <c r="LS33" s="303"/>
      <c r="LT33" s="303"/>
      <c r="LU33" s="303"/>
      <c r="LV33" s="303"/>
      <c r="LW33" s="303"/>
      <c r="LX33" s="303"/>
      <c r="LY33" s="303"/>
      <c r="LZ33" s="303"/>
      <c r="MA33" s="303"/>
      <c r="MB33" s="303"/>
      <c r="MC33" s="303"/>
      <c r="MD33" s="303"/>
      <c r="ME33" s="303"/>
      <c r="MF33" s="303"/>
      <c r="MG33" s="303"/>
      <c r="MH33" s="303"/>
      <c r="MI33" s="303"/>
      <c r="MJ33" s="303"/>
      <c r="MK33" s="303"/>
      <c r="ML33" s="303"/>
      <c r="MM33" s="303"/>
      <c r="MN33" s="303"/>
      <c r="MO33" s="303"/>
      <c r="MP33" s="303"/>
      <c r="MQ33" s="303"/>
      <c r="MR33" s="303"/>
      <c r="MS33" s="303"/>
      <c r="MT33" s="303"/>
      <c r="MU33" s="303"/>
      <c r="MV33" s="303"/>
      <c r="MW33" s="303"/>
      <c r="MX33" s="303"/>
      <c r="MY33" s="303"/>
      <c r="MZ33" s="303"/>
      <c r="NA33" s="303"/>
      <c r="NB33" s="303"/>
      <c r="NC33" s="303"/>
      <c r="ND33" s="303"/>
      <c r="NE33" s="303"/>
      <c r="NF33" s="303"/>
      <c r="NG33" s="303"/>
      <c r="NH33" s="303"/>
      <c r="NI33" s="303"/>
      <c r="NJ33" s="303"/>
      <c r="NK33" s="303"/>
      <c r="NL33" s="303"/>
      <c r="NM33" s="303"/>
      <c r="NN33" s="303"/>
      <c r="NO33" s="303"/>
      <c r="NP33" s="303"/>
      <c r="NQ33" s="303"/>
      <c r="NR33" s="303"/>
      <c r="NS33" s="303"/>
      <c r="NT33" s="303"/>
      <c r="NU33" s="303"/>
      <c r="NV33" s="303"/>
      <c r="NW33" s="303"/>
      <c r="NX33" s="303"/>
      <c r="NY33" s="303"/>
      <c r="NZ33" s="303"/>
      <c r="OA33" s="303"/>
      <c r="OB33" s="303"/>
      <c r="OC33" s="303"/>
      <c r="OD33" s="303"/>
      <c r="OE33" s="303"/>
      <c r="OF33" s="303"/>
      <c r="OG33" s="303"/>
      <c r="OH33" s="303"/>
      <c r="OI33" s="303"/>
      <c r="OJ33" s="303"/>
      <c r="OK33" s="303"/>
      <c r="OL33" s="303"/>
      <c r="OM33" s="303"/>
      <c r="ON33" s="303"/>
      <c r="OO33" s="303"/>
      <c r="OP33" s="303"/>
      <c r="OQ33" s="303"/>
      <c r="OR33" s="303"/>
      <c r="OS33" s="303"/>
      <c r="OT33" s="303"/>
      <c r="OU33" s="303"/>
      <c r="OV33" s="303"/>
      <c r="OW33" s="303"/>
      <c r="OX33" s="303"/>
      <c r="OY33" s="303"/>
      <c r="OZ33" s="303"/>
      <c r="PA33" s="303"/>
      <c r="PB33" s="303"/>
      <c r="PC33" s="303"/>
      <c r="PD33" s="303"/>
      <c r="PE33" s="303"/>
      <c r="PF33" s="303"/>
      <c r="PG33" s="303"/>
      <c r="PH33" s="303"/>
      <c r="PI33" s="303"/>
      <c r="PJ33" s="303"/>
      <c r="PK33" s="303"/>
      <c r="PL33" s="303"/>
      <c r="PM33" s="303"/>
      <c r="PN33" s="303"/>
      <c r="PO33" s="303"/>
      <c r="PP33" s="303"/>
      <c r="PQ33" s="303"/>
      <c r="PR33" s="303"/>
      <c r="PS33" s="303"/>
      <c r="PT33" s="303"/>
      <c r="PU33" s="303"/>
      <c r="PV33" s="303"/>
      <c r="PW33" s="303"/>
      <c r="PX33" s="303"/>
      <c r="PY33" s="303"/>
      <c r="PZ33" s="303"/>
      <c r="QA33" s="303"/>
      <c r="QB33" s="303"/>
      <c r="QC33" s="303"/>
      <c r="QD33" s="303"/>
      <c r="QE33" s="303"/>
      <c r="QF33" s="303"/>
      <c r="QG33" s="303"/>
      <c r="QH33" s="303"/>
      <c r="QI33" s="303"/>
      <c r="QJ33" s="303"/>
      <c r="QK33" s="303"/>
      <c r="QL33" s="303"/>
      <c r="QM33" s="303"/>
      <c r="QN33" s="303"/>
      <c r="QO33" s="303"/>
      <c r="QP33" s="303"/>
      <c r="QQ33" s="303"/>
      <c r="QR33" s="303"/>
      <c r="QS33" s="303"/>
      <c r="QT33" s="303"/>
      <c r="QU33" s="303"/>
      <c r="QV33" s="303"/>
      <c r="QW33" s="303"/>
      <c r="QX33" s="303"/>
      <c r="QY33" s="303"/>
      <c r="QZ33" s="303"/>
      <c r="RA33" s="303"/>
      <c r="RB33" s="303"/>
      <c r="RC33" s="303"/>
      <c r="RD33" s="303"/>
      <c r="RE33" s="303"/>
      <c r="RF33" s="303"/>
      <c r="RG33" s="303"/>
      <c r="RH33" s="303"/>
      <c r="RI33" s="303"/>
      <c r="RJ33" s="303"/>
      <c r="RK33" s="303"/>
      <c r="RL33" s="303"/>
      <c r="RM33" s="303"/>
      <c r="RN33" s="303"/>
      <c r="RO33" s="303"/>
      <c r="RP33" s="303"/>
      <c r="RQ33" s="303"/>
      <c r="RR33" s="303"/>
      <c r="RS33" s="303"/>
      <c r="RT33" s="303"/>
      <c r="RU33" s="303"/>
      <c r="RV33" s="303"/>
      <c r="RW33" s="303"/>
      <c r="RX33" s="303"/>
      <c r="RY33" s="303"/>
      <c r="RZ33" s="303"/>
      <c r="SA33" s="303"/>
      <c r="SB33" s="303"/>
      <c r="SC33" s="303"/>
      <c r="SD33" s="303"/>
      <c r="SE33" s="303"/>
      <c r="SF33" s="303"/>
      <c r="SG33" s="303"/>
      <c r="SH33" s="303"/>
      <c r="SI33" s="303"/>
      <c r="SJ33" s="303"/>
      <c r="SK33" s="303"/>
      <c r="SL33" s="303"/>
      <c r="SM33" s="303"/>
      <c r="SN33" s="303"/>
      <c r="SO33" s="303"/>
      <c r="SP33" s="303"/>
      <c r="SQ33" s="303"/>
      <c r="SR33" s="303"/>
      <c r="SS33" s="303"/>
      <c r="ST33" s="303"/>
      <c r="SU33" s="303"/>
      <c r="SV33" s="303"/>
      <c r="SW33" s="303"/>
      <c r="SX33" s="303"/>
      <c r="SY33" s="303"/>
      <c r="SZ33" s="303"/>
      <c r="TA33" s="303"/>
      <c r="TB33" s="303"/>
      <c r="TC33" s="303"/>
      <c r="TD33" s="303"/>
      <c r="TE33" s="303"/>
      <c r="TF33" s="303"/>
      <c r="TG33" s="303"/>
      <c r="TH33" s="303"/>
      <c r="TI33" s="303"/>
      <c r="TJ33" s="303"/>
      <c r="TK33" s="303"/>
      <c r="TL33" s="303"/>
      <c r="TM33" s="303"/>
      <c r="TN33" s="303"/>
      <c r="TO33" s="303"/>
      <c r="TP33" s="303"/>
      <c r="TQ33" s="303"/>
      <c r="TR33" s="303"/>
      <c r="TS33" s="303"/>
      <c r="TT33" s="303"/>
      <c r="TU33" s="303"/>
      <c r="TV33" s="303"/>
      <c r="TW33" s="303"/>
      <c r="TX33" s="303"/>
      <c r="TY33" s="303"/>
      <c r="TZ33" s="303"/>
      <c r="UA33" s="303"/>
      <c r="UB33" s="303"/>
      <c r="UC33" s="303"/>
      <c r="UD33" s="303"/>
      <c r="UE33" s="303"/>
      <c r="UF33" s="303"/>
      <c r="UG33" s="303"/>
      <c r="UH33" s="303"/>
      <c r="UI33" s="303"/>
      <c r="UJ33" s="303"/>
      <c r="UK33" s="303"/>
      <c r="UL33" s="303"/>
      <c r="UM33" s="303"/>
      <c r="UN33" s="303"/>
      <c r="UO33" s="303"/>
      <c r="UP33" s="303"/>
      <c r="UQ33" s="303"/>
      <c r="UR33" s="303"/>
      <c r="US33" s="303"/>
      <c r="UT33" s="303"/>
      <c r="UU33" s="303"/>
      <c r="UV33" s="303"/>
      <c r="UW33" s="303"/>
      <c r="UX33" s="303"/>
      <c r="UY33" s="303"/>
      <c r="UZ33" s="303"/>
      <c r="VA33" s="303"/>
      <c r="VB33" s="303"/>
      <c r="VC33" s="303"/>
      <c r="VD33" s="303"/>
      <c r="VE33" s="303"/>
      <c r="VF33" s="303"/>
      <c r="VG33" s="303"/>
      <c r="VH33" s="303"/>
      <c r="VI33" s="303"/>
      <c r="VJ33" s="303"/>
      <c r="VK33" s="303"/>
      <c r="VL33" s="303"/>
      <c r="VM33" s="303"/>
      <c r="VN33" s="303"/>
      <c r="VO33" s="303"/>
      <c r="VP33" s="303"/>
      <c r="VQ33" s="303"/>
      <c r="VR33" s="303"/>
      <c r="VS33" s="303"/>
      <c r="VT33" s="303"/>
      <c r="VU33" s="303"/>
      <c r="VV33" s="303"/>
      <c r="VW33" s="303"/>
      <c r="VX33" s="303"/>
      <c r="VY33" s="303"/>
      <c r="VZ33" s="303"/>
      <c r="WA33" s="303"/>
      <c r="WB33" s="303"/>
      <c r="WC33" s="303"/>
      <c r="WD33" s="303"/>
      <c r="WE33" s="303"/>
      <c r="WF33" s="303"/>
      <c r="WG33" s="303"/>
      <c r="WH33" s="303"/>
      <c r="WI33" s="303"/>
      <c r="WJ33" s="303"/>
      <c r="WK33" s="303"/>
      <c r="WL33" s="303"/>
      <c r="WM33" s="303"/>
      <c r="WN33" s="303"/>
      <c r="WO33" s="303"/>
      <c r="WP33" s="303"/>
      <c r="WQ33" s="303"/>
      <c r="WR33" s="303"/>
      <c r="WS33" s="303"/>
      <c r="WT33" s="303"/>
      <c r="WU33" s="303"/>
      <c r="WV33" s="303"/>
      <c r="WW33" s="303"/>
      <c r="WX33" s="303"/>
      <c r="WY33" s="303"/>
      <c r="WZ33" s="303"/>
      <c r="XA33" s="303"/>
      <c r="XB33" s="303"/>
      <c r="XC33" s="303"/>
      <c r="XD33" s="303"/>
      <c r="XE33" s="303"/>
      <c r="XF33" s="303"/>
      <c r="XG33" s="303"/>
      <c r="XH33" s="303"/>
      <c r="XI33" s="303"/>
      <c r="XJ33" s="303"/>
      <c r="XK33" s="303"/>
      <c r="XL33" s="303"/>
      <c r="XM33" s="303"/>
      <c r="XN33" s="303"/>
      <c r="XO33" s="303"/>
      <c r="XP33" s="303"/>
      <c r="XQ33" s="303"/>
      <c r="XR33" s="303"/>
      <c r="XS33" s="303"/>
      <c r="XT33" s="303"/>
      <c r="XU33" s="303"/>
      <c r="XV33" s="303"/>
      <c r="XW33" s="303"/>
      <c r="XX33" s="303"/>
      <c r="XY33" s="303"/>
      <c r="XZ33" s="303"/>
      <c r="YA33" s="303"/>
      <c r="YB33" s="303"/>
      <c r="YC33" s="303"/>
      <c r="YD33" s="303"/>
      <c r="YE33" s="303"/>
      <c r="YF33" s="303"/>
      <c r="YG33" s="303"/>
      <c r="YH33" s="303"/>
      <c r="YI33" s="303"/>
      <c r="YJ33" s="303"/>
      <c r="YK33" s="303"/>
      <c r="YL33" s="303"/>
      <c r="YM33" s="303"/>
      <c r="YN33" s="303"/>
      <c r="YO33" s="303"/>
      <c r="YP33" s="303"/>
      <c r="YQ33" s="303"/>
      <c r="YR33" s="303"/>
      <c r="YS33" s="303"/>
      <c r="YT33" s="303"/>
      <c r="YU33" s="303"/>
      <c r="YV33" s="303"/>
      <c r="YW33" s="303"/>
      <c r="YX33" s="303"/>
      <c r="YY33" s="303"/>
      <c r="YZ33" s="303"/>
      <c r="ZA33" s="303"/>
      <c r="ZB33" s="303"/>
      <c r="ZC33" s="303"/>
      <c r="ZD33" s="303"/>
      <c r="ZE33" s="303"/>
      <c r="ZF33" s="303"/>
      <c r="ZG33" s="303"/>
      <c r="ZH33" s="303"/>
      <c r="ZI33" s="303"/>
      <c r="ZJ33" s="303"/>
      <c r="ZK33" s="303"/>
      <c r="ZL33" s="303"/>
      <c r="ZM33" s="303"/>
      <c r="ZN33" s="303"/>
      <c r="ZO33" s="303"/>
      <c r="ZP33" s="303"/>
      <c r="ZQ33" s="303"/>
      <c r="ZR33" s="303"/>
      <c r="ZS33" s="303"/>
      <c r="ZT33" s="303"/>
      <c r="ZU33" s="303"/>
      <c r="ZV33" s="303"/>
      <c r="ZW33" s="303"/>
      <c r="ZX33" s="303"/>
      <c r="ZY33" s="303"/>
      <c r="ZZ33" s="303"/>
      <c r="AAA33" s="303"/>
      <c r="AAB33" s="303"/>
      <c r="AAC33" s="303"/>
      <c r="AAD33" s="303"/>
      <c r="AAE33" s="303"/>
      <c r="AAF33" s="303"/>
      <c r="AAG33" s="303"/>
      <c r="AAH33" s="303"/>
      <c r="AAI33" s="303"/>
      <c r="AAJ33" s="303"/>
      <c r="AAK33" s="303"/>
      <c r="AAL33" s="303"/>
      <c r="AAM33" s="303"/>
      <c r="AAN33" s="303"/>
      <c r="AAO33" s="303"/>
      <c r="AAP33" s="303"/>
      <c r="AAQ33" s="303"/>
      <c r="AAR33" s="303"/>
      <c r="AAS33" s="303"/>
      <c r="AAT33" s="303"/>
      <c r="AAU33" s="303"/>
      <c r="AAV33" s="303"/>
      <c r="AAW33" s="303"/>
      <c r="AAX33" s="303"/>
      <c r="AAY33" s="303"/>
      <c r="AAZ33" s="303"/>
      <c r="ABA33" s="303"/>
      <c r="ABB33" s="303"/>
      <c r="ABC33" s="303"/>
      <c r="ABD33" s="303"/>
      <c r="ABE33" s="303"/>
      <c r="ABF33" s="303"/>
      <c r="ABG33" s="303"/>
      <c r="ABH33" s="303"/>
      <c r="ABI33" s="303"/>
      <c r="ABJ33" s="303"/>
      <c r="ABK33" s="303"/>
      <c r="ABL33" s="303"/>
      <c r="ABM33" s="303"/>
      <c r="ABN33" s="303"/>
      <c r="ABO33" s="303"/>
      <c r="ABP33" s="303"/>
      <c r="ABQ33" s="303"/>
      <c r="ABR33" s="303"/>
      <c r="ABS33" s="303"/>
      <c r="ABT33" s="303"/>
      <c r="ABU33" s="303"/>
      <c r="ABV33" s="303"/>
      <c r="ABW33" s="303"/>
      <c r="ABX33" s="303"/>
      <c r="ABY33" s="303"/>
      <c r="ABZ33" s="303"/>
      <c r="ACA33" s="303"/>
      <c r="ACB33" s="303"/>
      <c r="ACC33" s="303"/>
      <c r="ACD33" s="303"/>
      <c r="ACE33" s="303"/>
      <c r="ACF33" s="303"/>
      <c r="ACG33" s="303"/>
      <c r="ACH33" s="303"/>
      <c r="ACI33" s="303"/>
      <c r="ACJ33" s="303"/>
      <c r="ACK33" s="303"/>
      <c r="ACL33" s="303"/>
      <c r="ACM33" s="303"/>
      <c r="ACN33" s="303"/>
      <c r="ACO33" s="303"/>
      <c r="ACP33" s="303"/>
      <c r="ACQ33" s="303"/>
      <c r="ACR33" s="303"/>
      <c r="ACS33" s="303"/>
      <c r="ACT33" s="303"/>
      <c r="ACU33" s="303"/>
      <c r="ACV33" s="303"/>
      <c r="ACW33" s="303"/>
      <c r="ACX33" s="303"/>
      <c r="ACY33" s="303"/>
      <c r="ACZ33" s="303"/>
      <c r="ADA33" s="303"/>
      <c r="ADB33" s="303"/>
      <c r="ADC33" s="303"/>
      <c r="ADD33" s="303"/>
      <c r="ADE33" s="303"/>
      <c r="ADF33" s="303"/>
      <c r="ADG33" s="303"/>
      <c r="ADH33" s="303"/>
      <c r="ADI33" s="303"/>
      <c r="ADJ33" s="303"/>
      <c r="ADK33" s="303"/>
      <c r="ADL33" s="303"/>
      <c r="ADM33" s="303"/>
      <c r="ADN33" s="303"/>
      <c r="ADO33" s="303"/>
      <c r="ADP33" s="303"/>
      <c r="ADQ33" s="303"/>
      <c r="ADR33" s="303"/>
      <c r="ADS33" s="303"/>
      <c r="ADT33" s="303"/>
      <c r="ADU33" s="303"/>
      <c r="ADV33" s="303"/>
      <c r="ADW33" s="303"/>
      <c r="ADX33" s="303"/>
      <c r="ADY33" s="303"/>
      <c r="ADZ33" s="303"/>
      <c r="AEA33" s="303"/>
      <c r="AEB33" s="303"/>
      <c r="AEC33" s="303"/>
      <c r="AED33" s="303"/>
      <c r="AEE33" s="303"/>
      <c r="AEF33" s="303"/>
      <c r="AEG33" s="303"/>
      <c r="AEH33" s="303"/>
      <c r="AEI33" s="303"/>
      <c r="AEJ33" s="303"/>
      <c r="AEK33" s="303"/>
      <c r="AEL33" s="303"/>
      <c r="AEM33" s="303"/>
      <c r="AEN33" s="303"/>
      <c r="AEO33" s="303"/>
      <c r="AEP33" s="303"/>
      <c r="AEQ33" s="303"/>
      <c r="AER33" s="303"/>
      <c r="AES33" s="303"/>
      <c r="AET33" s="303"/>
      <c r="AEU33" s="303"/>
      <c r="AEV33" s="303"/>
      <c r="AEW33" s="303"/>
      <c r="AEX33" s="303"/>
      <c r="AEY33" s="303"/>
      <c r="AEZ33" s="303"/>
      <c r="AFA33" s="303"/>
      <c r="AFB33" s="303"/>
      <c r="AFC33" s="303"/>
      <c r="AFD33" s="303"/>
      <c r="AFE33" s="303"/>
      <c r="AFF33" s="303"/>
      <c r="AFG33" s="303"/>
      <c r="AFH33" s="303"/>
      <c r="AFI33" s="303"/>
      <c r="AFJ33" s="303"/>
      <c r="AFK33" s="303"/>
      <c r="AFL33" s="303"/>
      <c r="AFM33" s="303"/>
      <c r="AFN33" s="303"/>
      <c r="AFO33" s="303"/>
      <c r="AFP33" s="303"/>
      <c r="AFQ33" s="303"/>
      <c r="AFR33" s="303"/>
      <c r="AFS33" s="303"/>
      <c r="AFT33" s="303"/>
      <c r="AFU33" s="303"/>
      <c r="AFV33" s="303"/>
      <c r="AFW33" s="303"/>
      <c r="AFX33" s="303"/>
      <c r="AFY33" s="303"/>
      <c r="AFZ33" s="303"/>
      <c r="AGA33" s="303"/>
      <c r="AGB33" s="303"/>
      <c r="AGC33" s="303"/>
      <c r="AGD33" s="303"/>
      <c r="AGE33" s="303"/>
      <c r="AGF33" s="303"/>
      <c r="AGG33" s="303"/>
      <c r="AGH33" s="303"/>
      <c r="AGI33" s="303"/>
      <c r="AGJ33" s="303"/>
      <c r="AGK33" s="303"/>
      <c r="AGL33" s="303"/>
      <c r="AGM33" s="303"/>
      <c r="AGN33" s="303"/>
      <c r="AGO33" s="303"/>
      <c r="AGP33" s="303"/>
      <c r="AGQ33" s="303"/>
      <c r="AGR33" s="303"/>
      <c r="AGS33" s="303"/>
      <c r="AGT33" s="303"/>
      <c r="AGU33" s="303"/>
      <c r="AGV33" s="303"/>
      <c r="AGW33" s="303"/>
      <c r="AGX33" s="303"/>
      <c r="AGY33" s="303"/>
      <c r="AGZ33" s="303"/>
      <c r="AHA33" s="303"/>
      <c r="AHB33" s="303"/>
      <c r="AHC33" s="303"/>
      <c r="AHD33" s="303"/>
      <c r="AHE33" s="303"/>
      <c r="AHF33" s="303"/>
      <c r="AHG33" s="303"/>
      <c r="AHH33" s="303"/>
      <c r="AHI33" s="303"/>
      <c r="AHJ33" s="303"/>
      <c r="AHK33" s="303"/>
      <c r="AHL33" s="303"/>
      <c r="AHM33" s="303"/>
      <c r="AHN33" s="303"/>
      <c r="AHO33" s="303"/>
      <c r="AHP33" s="303"/>
      <c r="AHQ33" s="303"/>
      <c r="AHR33" s="303"/>
      <c r="AHS33" s="303"/>
      <c r="AHT33" s="303"/>
      <c r="AHU33" s="303"/>
      <c r="AHV33" s="303"/>
      <c r="AHW33" s="303"/>
      <c r="AHX33" s="303"/>
      <c r="AHY33" s="303"/>
      <c r="AHZ33" s="303"/>
      <c r="AIA33" s="303"/>
      <c r="AIB33" s="303"/>
      <c r="AIC33" s="303"/>
      <c r="AID33" s="303"/>
      <c r="AIE33" s="303"/>
      <c r="AIF33" s="303"/>
      <c r="AIG33" s="303"/>
      <c r="AIH33" s="303"/>
      <c r="AII33" s="303"/>
      <c r="AIJ33" s="303"/>
      <c r="AIK33" s="303"/>
      <c r="AIL33" s="303"/>
      <c r="AIM33" s="303"/>
      <c r="AIN33" s="303"/>
      <c r="AIO33" s="303"/>
      <c r="AIP33" s="303"/>
      <c r="AIQ33" s="303"/>
      <c r="AIR33" s="303"/>
      <c r="AIS33" s="303"/>
      <c r="AIT33" s="303"/>
      <c r="AIU33" s="303"/>
      <c r="AIV33" s="303"/>
      <c r="AIW33" s="303"/>
      <c r="AIX33" s="303"/>
      <c r="AIY33" s="303"/>
      <c r="AIZ33" s="303"/>
      <c r="AJA33" s="303"/>
      <c r="AJB33" s="303"/>
      <c r="AJC33" s="303"/>
      <c r="AJD33" s="303"/>
      <c r="AJE33" s="303"/>
      <c r="AJF33" s="303"/>
      <c r="AJG33" s="303"/>
      <c r="AJH33" s="303"/>
      <c r="AJI33" s="303"/>
      <c r="AJJ33" s="303"/>
      <c r="AJK33" s="303"/>
      <c r="AJL33" s="303"/>
      <c r="AJM33" s="303"/>
      <c r="AJN33" s="303"/>
      <c r="AJO33" s="303"/>
      <c r="AJP33" s="303"/>
      <c r="AJQ33" s="303"/>
      <c r="AJR33" s="303"/>
      <c r="AJS33" s="303"/>
      <c r="AJT33" s="303"/>
      <c r="AJU33" s="303"/>
      <c r="AJV33" s="303"/>
      <c r="AJW33" s="303"/>
      <c r="AJX33" s="303"/>
      <c r="AJY33" s="303"/>
      <c r="AJZ33" s="303"/>
      <c r="AKA33" s="303"/>
      <c r="AKB33" s="303"/>
      <c r="AKC33" s="303"/>
      <c r="AKD33" s="303"/>
      <c r="AKE33" s="303"/>
      <c r="AKF33" s="303"/>
      <c r="AKG33" s="303"/>
      <c r="AKH33" s="303"/>
      <c r="AKI33" s="303"/>
      <c r="AKJ33" s="303"/>
      <c r="AKK33" s="303"/>
      <c r="AKL33" s="303"/>
      <c r="AKM33" s="303"/>
      <c r="AKN33" s="303"/>
      <c r="AKO33" s="303"/>
      <c r="AKP33" s="303"/>
      <c r="AKQ33" s="303"/>
      <c r="AKR33" s="303"/>
      <c r="AKS33" s="303"/>
      <c r="AKT33" s="303"/>
      <c r="AKU33" s="303"/>
      <c r="AKV33" s="303"/>
      <c r="AKW33" s="303"/>
      <c r="AKX33" s="303"/>
      <c r="AKY33" s="303"/>
      <c r="AKZ33" s="303"/>
      <c r="ALA33" s="303"/>
      <c r="ALB33" s="303"/>
      <c r="ALC33" s="303"/>
      <c r="ALD33" s="303"/>
      <c r="ALE33" s="303"/>
      <c r="ALF33" s="303"/>
      <c r="ALG33" s="303"/>
      <c r="ALH33" s="303"/>
      <c r="ALI33" s="303"/>
      <c r="ALJ33" s="303"/>
      <c r="ALK33" s="303"/>
      <c r="ALL33" s="303"/>
      <c r="ALM33" s="303"/>
      <c r="ALN33" s="303"/>
      <c r="ALO33" s="303"/>
      <c r="ALP33" s="303"/>
      <c r="ALQ33" s="303"/>
      <c r="ALR33" s="303"/>
      <c r="ALS33" s="303"/>
      <c r="ALT33" s="303"/>
      <c r="ALU33" s="303"/>
      <c r="ALV33" s="303"/>
      <c r="ALW33" s="303"/>
      <c r="ALX33" s="303"/>
      <c r="ALY33" s="303"/>
      <c r="ALZ33" s="303"/>
      <c r="AMA33" s="303"/>
      <c r="AMB33" s="303"/>
      <c r="AMC33" s="303"/>
      <c r="AMD33" s="303"/>
      <c r="AME33" s="303"/>
      <c r="AMF33" s="303"/>
      <c r="AMG33" s="303"/>
      <c r="AMH33" s="303"/>
      <c r="AMI33" s="303"/>
      <c r="AMJ33" s="303"/>
      <c r="AMK33" s="303"/>
      <c r="AML33" s="303"/>
      <c r="AMM33" s="303"/>
      <c r="AMN33" s="303"/>
      <c r="AMO33" s="303"/>
      <c r="AMP33" s="303"/>
      <c r="AMQ33" s="303"/>
      <c r="AMR33" s="303"/>
      <c r="AMS33" s="303"/>
      <c r="AMT33" s="303"/>
      <c r="AMU33" s="303"/>
      <c r="AMV33" s="303"/>
      <c r="AMW33" s="303"/>
      <c r="AMX33" s="303"/>
      <c r="AMY33" s="303"/>
      <c r="AMZ33" s="303"/>
      <c r="ANA33" s="303"/>
      <c r="ANB33" s="303"/>
      <c r="ANC33" s="303"/>
      <c r="AND33" s="303"/>
      <c r="ANE33" s="303"/>
      <c r="ANF33" s="303"/>
      <c r="ANG33" s="303"/>
      <c r="ANH33" s="303"/>
      <c r="ANI33" s="303"/>
      <c r="ANJ33" s="303"/>
      <c r="ANK33" s="303"/>
      <c r="ANL33" s="303"/>
      <c r="ANM33" s="303"/>
      <c r="ANN33" s="303"/>
      <c r="ANO33" s="303"/>
      <c r="ANP33" s="303"/>
      <c r="ANQ33" s="303"/>
      <c r="ANR33" s="303"/>
      <c r="ANS33" s="303"/>
      <c r="ANT33" s="303"/>
      <c r="ANU33" s="303"/>
      <c r="ANV33" s="303"/>
      <c r="ANW33" s="303"/>
      <c r="ANX33" s="303"/>
      <c r="ANY33" s="303"/>
      <c r="ANZ33" s="303"/>
      <c r="AOA33" s="303"/>
      <c r="AOB33" s="303"/>
      <c r="AOC33" s="303"/>
      <c r="AOD33" s="303"/>
      <c r="AOE33" s="303"/>
      <c r="AOF33" s="303"/>
      <c r="AOG33" s="303"/>
      <c r="AOH33" s="303"/>
      <c r="AOI33" s="303"/>
      <c r="AOJ33" s="303"/>
      <c r="AOK33" s="303"/>
      <c r="AOL33" s="303"/>
      <c r="AOM33" s="303"/>
      <c r="AON33" s="303"/>
      <c r="AOO33" s="303"/>
      <c r="AOP33" s="303"/>
      <c r="AOQ33" s="303"/>
      <c r="AOR33" s="303"/>
      <c r="AOS33" s="303"/>
      <c r="AOT33" s="303"/>
      <c r="AOU33" s="303"/>
      <c r="AOV33" s="303"/>
      <c r="AOW33" s="303"/>
      <c r="AOX33" s="303"/>
      <c r="AOY33" s="303"/>
      <c r="AOZ33" s="303"/>
      <c r="APA33" s="303"/>
      <c r="APB33" s="303"/>
      <c r="APC33" s="303"/>
      <c r="APD33" s="303"/>
      <c r="APE33" s="303"/>
      <c r="APF33" s="303"/>
      <c r="APG33" s="303"/>
      <c r="APH33" s="303"/>
      <c r="API33" s="303"/>
      <c r="APJ33" s="303"/>
      <c r="APK33" s="303"/>
      <c r="APL33" s="303"/>
      <c r="APM33" s="303"/>
      <c r="APN33" s="303"/>
      <c r="APO33" s="303"/>
      <c r="APP33" s="303"/>
      <c r="APQ33" s="303"/>
      <c r="APR33" s="303"/>
      <c r="APS33" s="303"/>
      <c r="APT33" s="303"/>
      <c r="APU33" s="303"/>
      <c r="APV33" s="303"/>
      <c r="APW33" s="303"/>
      <c r="APX33" s="303"/>
      <c r="APY33" s="303"/>
      <c r="APZ33" s="303"/>
      <c r="AQA33" s="303"/>
      <c r="AQB33" s="303"/>
      <c r="AQC33" s="303"/>
      <c r="AQD33" s="303"/>
      <c r="AQE33" s="303"/>
      <c r="AQF33" s="303"/>
      <c r="AQG33" s="303"/>
      <c r="AQH33" s="303"/>
      <c r="AQI33" s="303"/>
      <c r="AQJ33" s="303"/>
      <c r="AQK33" s="303"/>
      <c r="AQL33" s="303"/>
      <c r="AQM33" s="303"/>
      <c r="AQN33" s="303"/>
      <c r="AQO33" s="303"/>
      <c r="AQP33" s="303"/>
      <c r="AQQ33" s="303"/>
      <c r="AQR33" s="303"/>
      <c r="AQS33" s="303"/>
      <c r="AQT33" s="303"/>
      <c r="AQU33" s="303"/>
      <c r="AQV33" s="303"/>
      <c r="AQW33" s="303"/>
      <c r="AQX33" s="303"/>
      <c r="AQY33" s="303"/>
      <c r="AQZ33" s="303"/>
      <c r="ARA33" s="303"/>
      <c r="ARB33" s="303"/>
      <c r="ARC33" s="303"/>
      <c r="ARD33" s="303"/>
      <c r="ARE33" s="303"/>
      <c r="ARF33" s="303"/>
      <c r="ARG33" s="303"/>
      <c r="ARH33" s="303"/>
      <c r="ARI33" s="303"/>
      <c r="ARJ33" s="303"/>
      <c r="ARK33" s="303"/>
      <c r="ARL33" s="303"/>
      <c r="ARM33" s="303"/>
      <c r="ARN33" s="303"/>
      <c r="ARO33" s="303"/>
      <c r="ARP33" s="303"/>
      <c r="ARQ33" s="303"/>
      <c r="ARR33" s="303"/>
      <c r="ARS33" s="303"/>
      <c r="ART33" s="303"/>
      <c r="ARU33" s="303"/>
      <c r="ARV33" s="303"/>
      <c r="ARW33" s="303"/>
      <c r="ARX33" s="303"/>
      <c r="ARY33" s="303"/>
      <c r="ARZ33" s="303"/>
      <c r="ASA33" s="303"/>
      <c r="ASB33" s="303"/>
      <c r="ASC33" s="303"/>
      <c r="ASD33" s="303"/>
      <c r="ASE33" s="303"/>
      <c r="ASF33" s="303"/>
      <c r="ASG33" s="303"/>
      <c r="ASH33" s="303"/>
      <c r="ASI33" s="303"/>
      <c r="ASJ33" s="303"/>
      <c r="ASK33" s="303"/>
      <c r="ASL33" s="303"/>
      <c r="ASM33" s="303"/>
      <c r="ASN33" s="303"/>
      <c r="ASO33" s="303"/>
      <c r="ASP33" s="303"/>
      <c r="ASQ33" s="303"/>
      <c r="ASR33" s="303"/>
      <c r="ASS33" s="303"/>
      <c r="AST33" s="303"/>
      <c r="ASU33" s="303"/>
      <c r="ASV33" s="303"/>
      <c r="ASW33" s="303"/>
      <c r="ASX33" s="303"/>
      <c r="ASY33" s="303"/>
      <c r="ASZ33" s="303"/>
      <c r="ATA33" s="303"/>
      <c r="ATB33" s="303"/>
      <c r="ATC33" s="303"/>
      <c r="ATD33" s="303"/>
      <c r="ATE33" s="303"/>
      <c r="ATF33" s="303"/>
      <c r="ATG33" s="303"/>
      <c r="ATH33" s="303"/>
      <c r="ATI33" s="303"/>
      <c r="ATJ33" s="303"/>
      <c r="ATK33" s="303"/>
      <c r="ATL33" s="303"/>
      <c r="ATM33" s="303"/>
      <c r="ATN33" s="303"/>
      <c r="ATO33" s="303"/>
      <c r="ATP33" s="303"/>
      <c r="ATQ33" s="303"/>
      <c r="ATR33" s="303"/>
      <c r="ATS33" s="303"/>
      <c r="ATT33" s="303"/>
      <c r="ATU33" s="303"/>
      <c r="ATV33" s="303"/>
      <c r="ATW33" s="303"/>
      <c r="ATX33" s="303"/>
      <c r="ATY33" s="303"/>
      <c r="ATZ33" s="303"/>
      <c r="AUA33" s="303"/>
      <c r="AUB33" s="303"/>
      <c r="AUC33" s="303"/>
      <c r="AUD33" s="303"/>
      <c r="AUE33" s="303"/>
      <c r="AUF33" s="303"/>
      <c r="AUG33" s="303"/>
      <c r="AUH33" s="303"/>
      <c r="AUI33" s="303"/>
      <c r="AUJ33" s="303"/>
      <c r="AUK33" s="303"/>
      <c r="AUL33" s="303"/>
      <c r="AUM33" s="303"/>
      <c r="AUN33" s="303"/>
      <c r="AUO33" s="303"/>
      <c r="AUP33" s="303"/>
      <c r="AUQ33" s="303"/>
      <c r="AUR33" s="303"/>
      <c r="AUS33" s="303"/>
      <c r="AUT33" s="303"/>
      <c r="AUU33" s="303"/>
      <c r="AUV33" s="303"/>
      <c r="AUW33" s="303"/>
      <c r="AUX33" s="303"/>
      <c r="AUY33" s="303"/>
      <c r="AUZ33" s="303"/>
      <c r="AVA33" s="303"/>
      <c r="AVB33" s="303"/>
      <c r="AVC33" s="303"/>
      <c r="AVD33" s="303"/>
      <c r="AVE33" s="303"/>
      <c r="AVF33" s="303"/>
      <c r="AVG33" s="303"/>
      <c r="AVH33" s="303"/>
      <c r="AVI33" s="303"/>
      <c r="AVJ33" s="303"/>
      <c r="AVK33" s="303"/>
      <c r="AVL33" s="303"/>
      <c r="AVM33" s="303"/>
      <c r="AVN33" s="303"/>
      <c r="AVO33" s="303"/>
      <c r="AVP33" s="303"/>
      <c r="AVQ33" s="303"/>
      <c r="AVR33" s="303"/>
      <c r="AVS33" s="303"/>
      <c r="AVT33" s="303"/>
      <c r="AVU33" s="303"/>
      <c r="AVV33" s="303"/>
      <c r="AVW33" s="303"/>
      <c r="AVX33" s="303"/>
      <c r="AVY33" s="303"/>
      <c r="AVZ33" s="303"/>
      <c r="AWA33" s="303"/>
      <c r="AWB33" s="303"/>
      <c r="AWC33" s="303"/>
      <c r="AWD33" s="303"/>
      <c r="AWE33" s="303"/>
      <c r="AWF33" s="303"/>
      <c r="AWG33" s="303"/>
      <c r="AWH33" s="303"/>
      <c r="AWI33" s="303"/>
      <c r="AWJ33" s="303"/>
      <c r="AWK33" s="303"/>
      <c r="AWL33" s="303"/>
      <c r="AWM33" s="303"/>
      <c r="AWN33" s="303"/>
      <c r="AWO33" s="303"/>
      <c r="AWP33" s="303"/>
      <c r="AWQ33" s="303"/>
      <c r="AWR33" s="303"/>
      <c r="AWS33" s="303"/>
      <c r="AWT33" s="303"/>
      <c r="AWU33" s="303"/>
      <c r="AWV33" s="303"/>
      <c r="AWW33" s="303"/>
      <c r="AWX33" s="303"/>
      <c r="AWY33" s="303"/>
      <c r="AWZ33" s="303"/>
      <c r="AXA33" s="303"/>
      <c r="AXB33" s="303"/>
      <c r="AXC33" s="303"/>
      <c r="AXD33" s="303"/>
      <c r="AXE33" s="303"/>
      <c r="AXF33" s="303"/>
      <c r="AXG33" s="303"/>
      <c r="AXH33" s="303"/>
      <c r="AXI33" s="303"/>
      <c r="AXJ33" s="303"/>
      <c r="AXK33" s="303"/>
      <c r="AXL33" s="303"/>
      <c r="AXM33" s="303"/>
      <c r="AXN33" s="303"/>
      <c r="AXO33" s="303"/>
      <c r="AXP33" s="303"/>
      <c r="AXQ33" s="303"/>
      <c r="AXR33" s="303"/>
      <c r="AXS33" s="303"/>
      <c r="AXT33" s="303"/>
      <c r="AXU33" s="303"/>
      <c r="AXV33" s="303"/>
      <c r="AXW33" s="303"/>
      <c r="AXX33" s="303"/>
      <c r="AXY33" s="303"/>
      <c r="AXZ33" s="303"/>
      <c r="AYA33" s="303"/>
      <c r="AYB33" s="303"/>
      <c r="AYC33" s="303"/>
      <c r="AYD33" s="303"/>
      <c r="AYE33" s="303"/>
      <c r="AYF33" s="303"/>
      <c r="AYG33" s="303"/>
      <c r="AYH33" s="303"/>
    </row>
    <row r="34" spans="1:1334" ht="36.75" x14ac:dyDescent="0.25">
      <c r="A34" s="304" t="s">
        <v>1336</v>
      </c>
      <c r="B34" s="298" t="s">
        <v>1265</v>
      </c>
      <c r="C34" s="303"/>
      <c r="D34" s="303"/>
      <c r="E34" s="303"/>
      <c r="F34" s="303"/>
      <c r="G34" s="303"/>
      <c r="H34" s="303"/>
      <c r="I34" s="303"/>
      <c r="J34" s="303"/>
      <c r="K34" s="303"/>
      <c r="L34" s="303"/>
      <c r="M34" s="303"/>
      <c r="N34" s="303"/>
      <c r="O34" s="303"/>
      <c r="P34" s="303"/>
      <c r="Q34" s="303"/>
      <c r="R34" s="303"/>
      <c r="S34" s="303"/>
      <c r="T34" s="303"/>
      <c r="U34" s="303"/>
      <c r="V34" s="303"/>
      <c r="W34" s="303"/>
      <c r="X34" s="303"/>
      <c r="Y34" s="303"/>
      <c r="Z34" s="303"/>
      <c r="AA34" s="303"/>
      <c r="AB34" s="303"/>
      <c r="AC34" s="303"/>
      <c r="AD34" s="303"/>
      <c r="AE34" s="303"/>
      <c r="AF34" s="303"/>
      <c r="AG34" s="303"/>
      <c r="AH34" s="303"/>
      <c r="AI34" s="303"/>
      <c r="AJ34" s="303"/>
      <c r="AK34" s="303"/>
      <c r="AL34" s="303"/>
      <c r="AM34" s="303"/>
      <c r="AN34" s="303"/>
      <c r="AO34" s="303"/>
      <c r="AP34" s="303"/>
      <c r="AQ34" s="303"/>
      <c r="AR34" s="303"/>
      <c r="AS34" s="303"/>
      <c r="AT34" s="303"/>
      <c r="AU34" s="303"/>
      <c r="AV34" s="303"/>
      <c r="AW34" s="303"/>
      <c r="AX34" s="303"/>
      <c r="AY34" s="303"/>
      <c r="AZ34" s="303"/>
      <c r="BA34" s="303"/>
      <c r="BB34" s="303"/>
      <c r="BC34" s="303"/>
      <c r="BD34" s="303"/>
      <c r="BE34" s="303"/>
      <c r="BF34" s="303"/>
      <c r="BG34" s="303"/>
      <c r="BH34" s="303"/>
      <c r="BI34" s="303"/>
      <c r="BJ34" s="303"/>
      <c r="BK34" s="303"/>
      <c r="BL34" s="303"/>
      <c r="BM34" s="303"/>
      <c r="BN34" s="303"/>
      <c r="BO34" s="303"/>
      <c r="BP34" s="303"/>
      <c r="BQ34" s="303"/>
      <c r="BR34" s="303"/>
      <c r="BS34" s="303"/>
      <c r="BT34" s="303"/>
      <c r="BU34" s="303"/>
      <c r="BV34" s="303"/>
      <c r="BW34" s="303"/>
      <c r="BX34" s="303"/>
      <c r="BY34" s="303"/>
      <c r="BZ34" s="303"/>
      <c r="CA34" s="303"/>
      <c r="CB34" s="303"/>
      <c r="CC34" s="303"/>
      <c r="CD34" s="303"/>
      <c r="CE34" s="303"/>
      <c r="CF34" s="303"/>
      <c r="CG34" s="303"/>
      <c r="CH34" s="303"/>
      <c r="CI34" s="303"/>
      <c r="CJ34" s="303"/>
      <c r="CK34" s="303"/>
      <c r="CL34" s="303"/>
      <c r="CM34" s="303"/>
      <c r="CN34" s="303"/>
      <c r="CO34" s="303"/>
      <c r="CP34" s="303"/>
      <c r="CQ34" s="303"/>
      <c r="CR34" s="303"/>
      <c r="CS34" s="303"/>
      <c r="CT34" s="303"/>
      <c r="CU34" s="303"/>
      <c r="CV34" s="303"/>
      <c r="CW34" s="303"/>
      <c r="CX34" s="303"/>
      <c r="CY34" s="303"/>
      <c r="CZ34" s="303"/>
      <c r="DA34" s="303"/>
      <c r="DB34" s="303"/>
      <c r="DC34" s="303"/>
      <c r="DD34" s="303"/>
      <c r="DE34" s="303"/>
      <c r="DF34" s="303"/>
      <c r="DG34" s="303"/>
      <c r="DH34" s="303"/>
      <c r="DI34" s="303"/>
      <c r="DJ34" s="303"/>
      <c r="DK34" s="303"/>
      <c r="DL34" s="303"/>
      <c r="DM34" s="303"/>
      <c r="DN34" s="303"/>
      <c r="DO34" s="303"/>
      <c r="DP34" s="303"/>
      <c r="DQ34" s="303"/>
      <c r="DR34" s="303"/>
      <c r="DS34" s="303"/>
      <c r="DT34" s="303"/>
      <c r="DU34" s="303"/>
      <c r="DV34" s="303"/>
      <c r="DW34" s="303"/>
      <c r="DX34" s="303"/>
      <c r="DY34" s="303"/>
      <c r="DZ34" s="303"/>
      <c r="EA34" s="303"/>
      <c r="EB34" s="303"/>
      <c r="EC34" s="303"/>
      <c r="ED34" s="303"/>
      <c r="EE34" s="303"/>
      <c r="EF34" s="303"/>
      <c r="EG34" s="303"/>
      <c r="EH34" s="303"/>
      <c r="EI34" s="303"/>
      <c r="EJ34" s="303"/>
      <c r="EK34" s="303"/>
      <c r="EL34" s="303"/>
      <c r="EM34" s="303"/>
      <c r="EN34" s="303"/>
      <c r="EO34" s="303"/>
      <c r="EP34" s="303"/>
      <c r="EQ34" s="303"/>
      <c r="ER34" s="303"/>
      <c r="ES34" s="303"/>
      <c r="ET34" s="303"/>
      <c r="EU34" s="303"/>
      <c r="EV34" s="303"/>
      <c r="EW34" s="303"/>
      <c r="EX34" s="303"/>
      <c r="EY34" s="303"/>
      <c r="EZ34" s="303"/>
      <c r="FA34" s="303"/>
      <c r="FB34" s="303"/>
      <c r="FC34" s="303"/>
      <c r="FD34" s="303"/>
      <c r="FE34" s="303"/>
      <c r="FF34" s="303"/>
      <c r="FG34" s="303"/>
      <c r="FH34" s="303"/>
      <c r="FI34" s="303"/>
      <c r="FJ34" s="303"/>
      <c r="FK34" s="303"/>
      <c r="FL34" s="303"/>
      <c r="FM34" s="303"/>
      <c r="FN34" s="303"/>
      <c r="FO34" s="303"/>
      <c r="FP34" s="303"/>
      <c r="FQ34" s="303"/>
      <c r="FR34" s="303"/>
      <c r="FS34" s="303"/>
      <c r="FT34" s="303"/>
      <c r="FU34" s="303"/>
      <c r="FV34" s="303"/>
      <c r="FW34" s="303"/>
      <c r="FX34" s="303"/>
      <c r="FY34" s="303"/>
      <c r="FZ34" s="303"/>
      <c r="GA34" s="303"/>
      <c r="GB34" s="303"/>
      <c r="GC34" s="303"/>
      <c r="GD34" s="303"/>
      <c r="GE34" s="303"/>
      <c r="GF34" s="303"/>
      <c r="GG34" s="303"/>
      <c r="GH34" s="303"/>
      <c r="GI34" s="303"/>
      <c r="GJ34" s="303"/>
      <c r="GK34" s="303"/>
      <c r="GL34" s="303"/>
      <c r="GM34" s="303"/>
      <c r="GN34" s="303"/>
      <c r="GO34" s="303"/>
      <c r="GP34" s="303"/>
      <c r="GQ34" s="303"/>
      <c r="GR34" s="303"/>
      <c r="GS34" s="303"/>
      <c r="GT34" s="303"/>
      <c r="GU34" s="303"/>
      <c r="GV34" s="303"/>
      <c r="GW34" s="303"/>
      <c r="GX34" s="303"/>
      <c r="GY34" s="303"/>
      <c r="GZ34" s="303"/>
      <c r="HA34" s="303"/>
      <c r="HB34" s="303"/>
      <c r="HC34" s="303"/>
      <c r="HD34" s="303"/>
      <c r="HE34" s="303"/>
      <c r="HF34" s="303"/>
      <c r="HG34" s="303"/>
      <c r="HH34" s="303"/>
      <c r="HI34" s="303"/>
      <c r="HJ34" s="303"/>
      <c r="HK34" s="303"/>
      <c r="HL34" s="303"/>
      <c r="HM34" s="303"/>
      <c r="HN34" s="303"/>
      <c r="HO34" s="303"/>
      <c r="HP34" s="303"/>
      <c r="HQ34" s="303"/>
      <c r="HR34" s="303"/>
      <c r="HS34" s="303"/>
      <c r="HT34" s="303"/>
      <c r="HU34" s="303"/>
      <c r="HV34" s="303"/>
      <c r="HW34" s="303"/>
      <c r="HX34" s="303"/>
      <c r="HY34" s="303"/>
      <c r="HZ34" s="303"/>
      <c r="IA34" s="303"/>
      <c r="IB34" s="303"/>
      <c r="IC34" s="303"/>
      <c r="ID34" s="303"/>
      <c r="IE34" s="303"/>
      <c r="IF34" s="303"/>
      <c r="IG34" s="303"/>
      <c r="IH34" s="303"/>
      <c r="II34" s="303"/>
      <c r="IJ34" s="303"/>
      <c r="IK34" s="303"/>
      <c r="IL34" s="303"/>
      <c r="IM34" s="303"/>
      <c r="IN34" s="303"/>
      <c r="IO34" s="303"/>
      <c r="IP34" s="303"/>
      <c r="IQ34" s="303"/>
      <c r="IR34" s="303"/>
      <c r="IS34" s="303"/>
      <c r="IT34" s="303"/>
      <c r="IU34" s="303"/>
      <c r="IV34" s="303"/>
      <c r="IW34" s="303"/>
      <c r="IX34" s="303"/>
      <c r="IY34" s="303"/>
      <c r="IZ34" s="303"/>
      <c r="JA34" s="303"/>
      <c r="JB34" s="303"/>
      <c r="JC34" s="303"/>
      <c r="JD34" s="303"/>
      <c r="JE34" s="303"/>
      <c r="JF34" s="303"/>
      <c r="JG34" s="303"/>
      <c r="JH34" s="303"/>
      <c r="JI34" s="303"/>
      <c r="JJ34" s="303"/>
      <c r="JK34" s="303"/>
      <c r="JL34" s="303"/>
      <c r="JM34" s="303"/>
      <c r="JN34" s="303"/>
      <c r="JO34" s="303"/>
      <c r="JP34" s="303"/>
      <c r="JQ34" s="303"/>
      <c r="JR34" s="303"/>
      <c r="JS34" s="303"/>
      <c r="JT34" s="303"/>
      <c r="JU34" s="303"/>
      <c r="JV34" s="303"/>
      <c r="JW34" s="303"/>
      <c r="JX34" s="303"/>
      <c r="JY34" s="303"/>
      <c r="JZ34" s="303"/>
      <c r="KA34" s="303"/>
      <c r="KB34" s="303"/>
      <c r="KC34" s="303"/>
      <c r="KD34" s="303"/>
      <c r="KE34" s="303"/>
      <c r="KF34" s="303"/>
      <c r="KG34" s="303"/>
      <c r="KH34" s="303"/>
      <c r="KI34" s="303"/>
      <c r="KJ34" s="303"/>
      <c r="KK34" s="303"/>
      <c r="KL34" s="303"/>
      <c r="KM34" s="303"/>
      <c r="KN34" s="303"/>
      <c r="KO34" s="303"/>
      <c r="KP34" s="303"/>
      <c r="KQ34" s="303"/>
      <c r="KR34" s="303"/>
      <c r="KS34" s="303"/>
      <c r="KT34" s="303"/>
      <c r="KU34" s="303"/>
      <c r="KV34" s="303"/>
      <c r="KW34" s="303"/>
      <c r="KX34" s="303"/>
      <c r="KY34" s="303"/>
      <c r="KZ34" s="303"/>
      <c r="LA34" s="303"/>
      <c r="LB34" s="303"/>
      <c r="LC34" s="303"/>
      <c r="LD34" s="303"/>
      <c r="LE34" s="303"/>
      <c r="LF34" s="303"/>
      <c r="LG34" s="303"/>
      <c r="LH34" s="303"/>
      <c r="LI34" s="303"/>
      <c r="LJ34" s="303"/>
      <c r="LK34" s="303"/>
      <c r="LL34" s="303"/>
      <c r="LM34" s="303"/>
      <c r="LN34" s="303"/>
      <c r="LO34" s="303"/>
      <c r="LP34" s="303"/>
      <c r="LQ34" s="303"/>
      <c r="LR34" s="303"/>
      <c r="LS34" s="303"/>
      <c r="LT34" s="303"/>
      <c r="LU34" s="303"/>
      <c r="LV34" s="303"/>
      <c r="LW34" s="303"/>
      <c r="LX34" s="303"/>
      <c r="LY34" s="303"/>
      <c r="LZ34" s="303"/>
      <c r="MA34" s="303"/>
      <c r="MB34" s="303"/>
      <c r="MC34" s="303"/>
      <c r="MD34" s="303"/>
      <c r="ME34" s="303"/>
      <c r="MF34" s="303"/>
      <c r="MG34" s="303"/>
      <c r="MH34" s="303"/>
      <c r="MI34" s="303"/>
      <c r="MJ34" s="303"/>
      <c r="MK34" s="303"/>
      <c r="ML34" s="303"/>
      <c r="MM34" s="303"/>
      <c r="MN34" s="303"/>
      <c r="MO34" s="303"/>
      <c r="MP34" s="303"/>
      <c r="MQ34" s="303"/>
      <c r="MR34" s="303"/>
      <c r="MS34" s="303"/>
      <c r="MT34" s="303"/>
      <c r="MU34" s="303"/>
      <c r="MV34" s="303"/>
      <c r="MW34" s="303"/>
      <c r="MX34" s="303"/>
      <c r="MY34" s="303"/>
      <c r="MZ34" s="303"/>
      <c r="NA34" s="303"/>
      <c r="NB34" s="303"/>
      <c r="NC34" s="303"/>
      <c r="ND34" s="303"/>
      <c r="NE34" s="303"/>
      <c r="NF34" s="303"/>
      <c r="NG34" s="303"/>
      <c r="NH34" s="303"/>
      <c r="NI34" s="303"/>
      <c r="NJ34" s="303"/>
      <c r="NK34" s="303"/>
      <c r="NL34" s="303"/>
      <c r="NM34" s="303"/>
      <c r="NN34" s="303"/>
      <c r="NO34" s="303"/>
      <c r="NP34" s="303"/>
      <c r="NQ34" s="303"/>
      <c r="NR34" s="303"/>
      <c r="NS34" s="303"/>
      <c r="NT34" s="303"/>
      <c r="NU34" s="303"/>
      <c r="NV34" s="303"/>
      <c r="NW34" s="303"/>
      <c r="NX34" s="303"/>
      <c r="NY34" s="303"/>
      <c r="NZ34" s="303"/>
      <c r="OA34" s="303"/>
      <c r="OB34" s="303"/>
      <c r="OC34" s="303"/>
      <c r="OD34" s="303"/>
      <c r="OE34" s="303"/>
      <c r="OF34" s="303"/>
      <c r="OG34" s="303"/>
      <c r="OH34" s="303"/>
      <c r="OI34" s="303"/>
      <c r="OJ34" s="303"/>
      <c r="OK34" s="303"/>
      <c r="OL34" s="303"/>
      <c r="OM34" s="303"/>
      <c r="ON34" s="303"/>
      <c r="OO34" s="303"/>
      <c r="OP34" s="303"/>
      <c r="OQ34" s="303"/>
      <c r="OR34" s="303"/>
      <c r="OS34" s="303"/>
      <c r="OT34" s="303"/>
      <c r="OU34" s="303"/>
      <c r="OV34" s="303"/>
      <c r="OW34" s="303"/>
      <c r="OX34" s="303"/>
      <c r="OY34" s="303"/>
      <c r="OZ34" s="303"/>
      <c r="PA34" s="303"/>
      <c r="PB34" s="303"/>
      <c r="PC34" s="303"/>
      <c r="PD34" s="303"/>
      <c r="PE34" s="303"/>
      <c r="PF34" s="303"/>
      <c r="PG34" s="303"/>
      <c r="PH34" s="303"/>
      <c r="PI34" s="303"/>
      <c r="PJ34" s="303"/>
      <c r="PK34" s="303"/>
      <c r="PL34" s="303"/>
      <c r="PM34" s="303"/>
      <c r="PN34" s="303"/>
      <c r="PO34" s="303"/>
      <c r="PP34" s="303"/>
      <c r="PQ34" s="303"/>
      <c r="PR34" s="303"/>
      <c r="PS34" s="303"/>
      <c r="PT34" s="303"/>
      <c r="PU34" s="303"/>
      <c r="PV34" s="303"/>
      <c r="PW34" s="303"/>
      <c r="PX34" s="303"/>
      <c r="PY34" s="303"/>
      <c r="PZ34" s="303"/>
      <c r="QA34" s="303"/>
      <c r="QB34" s="303"/>
      <c r="QC34" s="303"/>
      <c r="QD34" s="303"/>
      <c r="QE34" s="303"/>
      <c r="QF34" s="303"/>
      <c r="QG34" s="303"/>
      <c r="QH34" s="303"/>
      <c r="QI34" s="303"/>
      <c r="QJ34" s="303"/>
      <c r="QK34" s="303"/>
      <c r="QL34" s="303"/>
      <c r="QM34" s="303"/>
      <c r="QN34" s="303"/>
      <c r="QO34" s="303"/>
      <c r="QP34" s="303"/>
      <c r="QQ34" s="303"/>
      <c r="QR34" s="303"/>
      <c r="QS34" s="303"/>
      <c r="QT34" s="303"/>
      <c r="QU34" s="303"/>
      <c r="QV34" s="303"/>
      <c r="QW34" s="303"/>
      <c r="QX34" s="303"/>
      <c r="QY34" s="303"/>
      <c r="QZ34" s="303"/>
      <c r="RA34" s="303"/>
      <c r="RB34" s="303"/>
      <c r="RC34" s="303"/>
      <c r="RD34" s="303"/>
      <c r="RE34" s="303"/>
      <c r="RF34" s="303"/>
      <c r="RG34" s="303"/>
      <c r="RH34" s="303"/>
      <c r="RI34" s="303"/>
      <c r="RJ34" s="303"/>
      <c r="RK34" s="303"/>
      <c r="RL34" s="303"/>
      <c r="RM34" s="303"/>
      <c r="RN34" s="303"/>
      <c r="RO34" s="303"/>
      <c r="RP34" s="303"/>
      <c r="RQ34" s="303"/>
      <c r="RR34" s="303"/>
      <c r="RS34" s="303"/>
      <c r="RT34" s="303"/>
      <c r="RU34" s="303"/>
      <c r="RV34" s="303"/>
      <c r="RW34" s="303"/>
      <c r="RX34" s="303"/>
      <c r="RY34" s="303"/>
      <c r="RZ34" s="303"/>
      <c r="SA34" s="303"/>
      <c r="SB34" s="303"/>
      <c r="SC34" s="303"/>
      <c r="SD34" s="303"/>
      <c r="SE34" s="303"/>
      <c r="SF34" s="303"/>
      <c r="SG34" s="303"/>
      <c r="SH34" s="303"/>
      <c r="SI34" s="303"/>
      <c r="SJ34" s="303"/>
      <c r="SK34" s="303"/>
      <c r="SL34" s="303"/>
      <c r="SM34" s="303"/>
      <c r="SN34" s="303"/>
      <c r="SO34" s="303"/>
      <c r="SP34" s="303"/>
      <c r="SQ34" s="303"/>
      <c r="SR34" s="303"/>
      <c r="SS34" s="303"/>
      <c r="ST34" s="303"/>
      <c r="SU34" s="303"/>
      <c r="SV34" s="303"/>
      <c r="SW34" s="303"/>
      <c r="SX34" s="303"/>
      <c r="SY34" s="303"/>
      <c r="SZ34" s="303"/>
      <c r="TA34" s="303"/>
      <c r="TB34" s="303"/>
      <c r="TC34" s="303"/>
      <c r="TD34" s="303"/>
      <c r="TE34" s="303"/>
      <c r="TF34" s="303"/>
      <c r="TG34" s="303"/>
      <c r="TH34" s="303"/>
      <c r="TI34" s="303"/>
      <c r="TJ34" s="303"/>
      <c r="TK34" s="303"/>
      <c r="TL34" s="303"/>
      <c r="TM34" s="303"/>
      <c r="TN34" s="303"/>
      <c r="TO34" s="303"/>
      <c r="TP34" s="303"/>
      <c r="TQ34" s="303"/>
      <c r="TR34" s="303"/>
      <c r="TS34" s="303"/>
      <c r="TT34" s="303"/>
      <c r="TU34" s="303"/>
      <c r="TV34" s="303"/>
      <c r="TW34" s="303"/>
      <c r="TX34" s="303"/>
      <c r="TY34" s="303"/>
      <c r="TZ34" s="303"/>
      <c r="UA34" s="303"/>
      <c r="UB34" s="303"/>
      <c r="UC34" s="303"/>
      <c r="UD34" s="303"/>
      <c r="UE34" s="303"/>
      <c r="UF34" s="303"/>
      <c r="UG34" s="303"/>
      <c r="UH34" s="303"/>
      <c r="UI34" s="303"/>
      <c r="UJ34" s="303"/>
      <c r="UK34" s="303"/>
      <c r="UL34" s="303"/>
      <c r="UM34" s="303"/>
      <c r="UN34" s="303"/>
      <c r="UO34" s="303"/>
      <c r="UP34" s="303"/>
      <c r="UQ34" s="303"/>
      <c r="UR34" s="303"/>
      <c r="US34" s="303"/>
      <c r="UT34" s="303"/>
      <c r="UU34" s="303"/>
      <c r="UV34" s="303"/>
      <c r="UW34" s="303"/>
      <c r="UX34" s="303"/>
      <c r="UY34" s="303"/>
      <c r="UZ34" s="303"/>
      <c r="VA34" s="303"/>
      <c r="VB34" s="303"/>
      <c r="VC34" s="303"/>
      <c r="VD34" s="303"/>
      <c r="VE34" s="303"/>
      <c r="VF34" s="303"/>
      <c r="VG34" s="303"/>
      <c r="VH34" s="303"/>
      <c r="VI34" s="303"/>
      <c r="VJ34" s="303"/>
      <c r="VK34" s="303"/>
      <c r="VL34" s="303"/>
      <c r="VM34" s="303"/>
      <c r="VN34" s="303"/>
      <c r="VO34" s="303"/>
      <c r="VP34" s="303"/>
      <c r="VQ34" s="303"/>
      <c r="VR34" s="303"/>
      <c r="VS34" s="303"/>
      <c r="VT34" s="303"/>
      <c r="VU34" s="303"/>
      <c r="VV34" s="303"/>
      <c r="VW34" s="303"/>
      <c r="VX34" s="303"/>
      <c r="VY34" s="303"/>
      <c r="VZ34" s="303"/>
      <c r="WA34" s="303"/>
      <c r="WB34" s="303"/>
      <c r="WC34" s="303"/>
      <c r="WD34" s="303"/>
      <c r="WE34" s="303"/>
      <c r="WF34" s="303"/>
      <c r="WG34" s="303"/>
      <c r="WH34" s="303"/>
      <c r="WI34" s="303"/>
      <c r="WJ34" s="303"/>
      <c r="WK34" s="303"/>
      <c r="WL34" s="303"/>
      <c r="WM34" s="303"/>
      <c r="WN34" s="303"/>
      <c r="WO34" s="303"/>
      <c r="WP34" s="303"/>
      <c r="WQ34" s="303"/>
      <c r="WR34" s="303"/>
      <c r="WS34" s="303"/>
      <c r="WT34" s="303"/>
      <c r="WU34" s="303"/>
      <c r="WV34" s="303"/>
      <c r="WW34" s="303"/>
      <c r="WX34" s="303"/>
      <c r="WY34" s="303"/>
      <c r="WZ34" s="303"/>
      <c r="XA34" s="303"/>
      <c r="XB34" s="303"/>
      <c r="XC34" s="303"/>
      <c r="XD34" s="303"/>
      <c r="XE34" s="303"/>
      <c r="XF34" s="303"/>
      <c r="XG34" s="303"/>
      <c r="XH34" s="303"/>
      <c r="XI34" s="303"/>
      <c r="XJ34" s="303"/>
      <c r="XK34" s="303"/>
      <c r="XL34" s="303"/>
      <c r="XM34" s="303"/>
      <c r="XN34" s="303"/>
      <c r="XO34" s="303"/>
      <c r="XP34" s="303"/>
      <c r="XQ34" s="303"/>
      <c r="XR34" s="303"/>
      <c r="XS34" s="303"/>
      <c r="XT34" s="303"/>
      <c r="XU34" s="303"/>
      <c r="XV34" s="303"/>
      <c r="XW34" s="303"/>
      <c r="XX34" s="303"/>
      <c r="XY34" s="303"/>
      <c r="XZ34" s="303"/>
      <c r="YA34" s="303"/>
      <c r="YB34" s="303"/>
      <c r="YC34" s="303"/>
      <c r="YD34" s="303"/>
      <c r="YE34" s="303"/>
      <c r="YF34" s="303"/>
      <c r="YG34" s="303"/>
      <c r="YH34" s="303"/>
      <c r="YI34" s="303"/>
      <c r="YJ34" s="303"/>
      <c r="YK34" s="303"/>
      <c r="YL34" s="303"/>
      <c r="YM34" s="303"/>
      <c r="YN34" s="303"/>
      <c r="YO34" s="303"/>
      <c r="YP34" s="303"/>
      <c r="YQ34" s="303"/>
      <c r="YR34" s="303"/>
      <c r="YS34" s="303"/>
      <c r="YT34" s="303"/>
      <c r="YU34" s="303"/>
      <c r="YV34" s="303"/>
      <c r="YW34" s="303"/>
      <c r="YX34" s="303"/>
      <c r="YY34" s="303"/>
      <c r="YZ34" s="303"/>
      <c r="ZA34" s="303"/>
      <c r="ZB34" s="303"/>
      <c r="ZC34" s="303"/>
      <c r="ZD34" s="303"/>
      <c r="ZE34" s="303"/>
      <c r="ZF34" s="303"/>
      <c r="ZG34" s="303"/>
      <c r="ZH34" s="303"/>
      <c r="ZI34" s="303"/>
      <c r="ZJ34" s="303"/>
      <c r="ZK34" s="303"/>
      <c r="ZL34" s="303"/>
      <c r="ZM34" s="303"/>
      <c r="ZN34" s="303"/>
      <c r="ZO34" s="303"/>
      <c r="ZP34" s="303"/>
      <c r="ZQ34" s="303"/>
      <c r="ZR34" s="303"/>
      <c r="ZS34" s="303"/>
      <c r="ZT34" s="303"/>
      <c r="ZU34" s="303"/>
      <c r="ZV34" s="303"/>
      <c r="ZW34" s="303"/>
      <c r="ZX34" s="303"/>
      <c r="ZY34" s="303"/>
      <c r="ZZ34" s="303"/>
      <c r="AAA34" s="303"/>
      <c r="AAB34" s="303"/>
      <c r="AAC34" s="303"/>
      <c r="AAD34" s="303"/>
      <c r="AAE34" s="303"/>
      <c r="AAF34" s="303"/>
      <c r="AAG34" s="303"/>
      <c r="AAH34" s="303"/>
      <c r="AAI34" s="303"/>
      <c r="AAJ34" s="303"/>
      <c r="AAK34" s="303"/>
      <c r="AAL34" s="303"/>
      <c r="AAM34" s="303"/>
      <c r="AAN34" s="303"/>
      <c r="AAO34" s="303"/>
      <c r="AAP34" s="303"/>
      <c r="AAQ34" s="303"/>
      <c r="AAR34" s="303"/>
      <c r="AAS34" s="303"/>
      <c r="AAT34" s="303"/>
      <c r="AAU34" s="303"/>
      <c r="AAV34" s="303"/>
      <c r="AAW34" s="303"/>
      <c r="AAX34" s="303"/>
      <c r="AAY34" s="303"/>
      <c r="AAZ34" s="303"/>
      <c r="ABA34" s="303"/>
      <c r="ABB34" s="303"/>
      <c r="ABC34" s="303"/>
      <c r="ABD34" s="303"/>
      <c r="ABE34" s="303"/>
      <c r="ABF34" s="303"/>
      <c r="ABG34" s="303"/>
      <c r="ABH34" s="303"/>
      <c r="ABI34" s="303"/>
      <c r="ABJ34" s="303"/>
      <c r="ABK34" s="303"/>
      <c r="ABL34" s="303"/>
      <c r="ABM34" s="303"/>
      <c r="ABN34" s="303"/>
      <c r="ABO34" s="303"/>
      <c r="ABP34" s="303"/>
      <c r="ABQ34" s="303"/>
      <c r="ABR34" s="303"/>
      <c r="ABS34" s="303"/>
      <c r="ABT34" s="303"/>
      <c r="ABU34" s="303"/>
      <c r="ABV34" s="303"/>
      <c r="ABW34" s="303"/>
      <c r="ABX34" s="303"/>
      <c r="ABY34" s="303"/>
      <c r="ABZ34" s="303"/>
      <c r="ACA34" s="303"/>
      <c r="ACB34" s="303"/>
      <c r="ACC34" s="303"/>
      <c r="ACD34" s="303"/>
      <c r="ACE34" s="303"/>
      <c r="ACF34" s="303"/>
      <c r="ACG34" s="303"/>
      <c r="ACH34" s="303"/>
      <c r="ACI34" s="303"/>
      <c r="ACJ34" s="303"/>
      <c r="ACK34" s="303"/>
      <c r="ACL34" s="303"/>
      <c r="ACM34" s="303"/>
      <c r="ACN34" s="303"/>
      <c r="ACO34" s="303"/>
      <c r="ACP34" s="303"/>
      <c r="ACQ34" s="303"/>
      <c r="ACR34" s="303"/>
      <c r="ACS34" s="303"/>
      <c r="ACT34" s="303"/>
      <c r="ACU34" s="303"/>
      <c r="ACV34" s="303"/>
      <c r="ACW34" s="303"/>
      <c r="ACX34" s="303"/>
      <c r="ACY34" s="303"/>
      <c r="ACZ34" s="303"/>
      <c r="ADA34" s="303"/>
      <c r="ADB34" s="303"/>
      <c r="ADC34" s="303"/>
      <c r="ADD34" s="303"/>
      <c r="ADE34" s="303"/>
      <c r="ADF34" s="303"/>
      <c r="ADG34" s="303"/>
      <c r="ADH34" s="303"/>
      <c r="ADI34" s="303"/>
      <c r="ADJ34" s="303"/>
      <c r="ADK34" s="303"/>
      <c r="ADL34" s="303"/>
      <c r="ADM34" s="303"/>
      <c r="ADN34" s="303"/>
      <c r="ADO34" s="303"/>
      <c r="ADP34" s="303"/>
      <c r="ADQ34" s="303"/>
      <c r="ADR34" s="303"/>
      <c r="ADS34" s="303"/>
      <c r="ADT34" s="303"/>
      <c r="ADU34" s="303"/>
      <c r="ADV34" s="303"/>
      <c r="ADW34" s="303"/>
      <c r="ADX34" s="303"/>
      <c r="ADY34" s="303"/>
      <c r="ADZ34" s="303"/>
      <c r="AEA34" s="303"/>
      <c r="AEB34" s="303"/>
      <c r="AEC34" s="303"/>
      <c r="AED34" s="303"/>
      <c r="AEE34" s="303"/>
      <c r="AEF34" s="303"/>
      <c r="AEG34" s="303"/>
      <c r="AEH34" s="303"/>
      <c r="AEI34" s="303"/>
      <c r="AEJ34" s="303"/>
      <c r="AEK34" s="303"/>
      <c r="AEL34" s="303"/>
      <c r="AEM34" s="303"/>
      <c r="AEN34" s="303"/>
      <c r="AEO34" s="303"/>
      <c r="AEP34" s="303"/>
      <c r="AEQ34" s="303"/>
      <c r="AER34" s="303"/>
      <c r="AES34" s="303"/>
      <c r="AET34" s="303"/>
      <c r="AEU34" s="303"/>
      <c r="AEV34" s="303"/>
      <c r="AEW34" s="303"/>
      <c r="AEX34" s="303"/>
      <c r="AEY34" s="303"/>
      <c r="AEZ34" s="303"/>
      <c r="AFA34" s="303"/>
      <c r="AFB34" s="303"/>
      <c r="AFC34" s="303"/>
      <c r="AFD34" s="303"/>
      <c r="AFE34" s="303"/>
      <c r="AFF34" s="303"/>
      <c r="AFG34" s="303"/>
      <c r="AFH34" s="303"/>
      <c r="AFI34" s="303"/>
      <c r="AFJ34" s="303"/>
      <c r="AFK34" s="303"/>
      <c r="AFL34" s="303"/>
      <c r="AFM34" s="303"/>
      <c r="AFN34" s="303"/>
      <c r="AFO34" s="303"/>
      <c r="AFP34" s="303"/>
      <c r="AFQ34" s="303"/>
      <c r="AFR34" s="303"/>
      <c r="AFS34" s="303"/>
      <c r="AFT34" s="303"/>
      <c r="AFU34" s="303"/>
      <c r="AFV34" s="303"/>
      <c r="AFW34" s="303"/>
      <c r="AFX34" s="303"/>
      <c r="AFY34" s="303"/>
      <c r="AFZ34" s="303"/>
      <c r="AGA34" s="303"/>
      <c r="AGB34" s="303"/>
      <c r="AGC34" s="303"/>
      <c r="AGD34" s="303"/>
      <c r="AGE34" s="303"/>
      <c r="AGF34" s="303"/>
      <c r="AGG34" s="303"/>
      <c r="AGH34" s="303"/>
      <c r="AGI34" s="303"/>
      <c r="AGJ34" s="303"/>
      <c r="AGK34" s="303"/>
      <c r="AGL34" s="303"/>
      <c r="AGM34" s="303"/>
      <c r="AGN34" s="303"/>
      <c r="AGO34" s="303"/>
      <c r="AGP34" s="303"/>
      <c r="AGQ34" s="303"/>
      <c r="AGR34" s="303"/>
      <c r="AGS34" s="303"/>
      <c r="AGT34" s="303"/>
      <c r="AGU34" s="303"/>
      <c r="AGV34" s="303"/>
      <c r="AGW34" s="303"/>
      <c r="AGX34" s="303"/>
      <c r="AGY34" s="303"/>
      <c r="AGZ34" s="303"/>
      <c r="AHA34" s="303"/>
      <c r="AHB34" s="303"/>
      <c r="AHC34" s="303"/>
      <c r="AHD34" s="303"/>
      <c r="AHE34" s="303"/>
      <c r="AHF34" s="303"/>
      <c r="AHG34" s="303"/>
      <c r="AHH34" s="303"/>
      <c r="AHI34" s="303"/>
      <c r="AHJ34" s="303"/>
      <c r="AHK34" s="303"/>
      <c r="AHL34" s="303"/>
      <c r="AHM34" s="303"/>
      <c r="AHN34" s="303"/>
      <c r="AHO34" s="303"/>
      <c r="AHP34" s="303"/>
      <c r="AHQ34" s="303"/>
      <c r="AHR34" s="303"/>
      <c r="AHS34" s="303"/>
      <c r="AHT34" s="303"/>
      <c r="AHU34" s="303"/>
      <c r="AHV34" s="303"/>
      <c r="AHW34" s="303"/>
      <c r="AHX34" s="303"/>
      <c r="AHY34" s="303"/>
      <c r="AHZ34" s="303"/>
      <c r="AIA34" s="303"/>
      <c r="AIB34" s="303"/>
      <c r="AIC34" s="303"/>
      <c r="AID34" s="303"/>
      <c r="AIE34" s="303"/>
      <c r="AIF34" s="303"/>
      <c r="AIG34" s="303"/>
      <c r="AIH34" s="303"/>
      <c r="AII34" s="303"/>
      <c r="AIJ34" s="303"/>
      <c r="AIK34" s="303"/>
      <c r="AIL34" s="303"/>
      <c r="AIM34" s="303"/>
      <c r="AIN34" s="303"/>
      <c r="AIO34" s="303"/>
      <c r="AIP34" s="303"/>
      <c r="AIQ34" s="303"/>
      <c r="AIR34" s="303"/>
      <c r="AIS34" s="303"/>
      <c r="AIT34" s="303"/>
      <c r="AIU34" s="303"/>
      <c r="AIV34" s="303"/>
      <c r="AIW34" s="303"/>
      <c r="AIX34" s="303"/>
      <c r="AIY34" s="303"/>
      <c r="AIZ34" s="303"/>
      <c r="AJA34" s="303"/>
      <c r="AJB34" s="303"/>
      <c r="AJC34" s="303"/>
      <c r="AJD34" s="303"/>
      <c r="AJE34" s="303"/>
      <c r="AJF34" s="303"/>
      <c r="AJG34" s="303"/>
      <c r="AJH34" s="303"/>
      <c r="AJI34" s="303"/>
      <c r="AJJ34" s="303"/>
      <c r="AJK34" s="303"/>
      <c r="AJL34" s="303"/>
      <c r="AJM34" s="303"/>
      <c r="AJN34" s="303"/>
      <c r="AJO34" s="303"/>
      <c r="AJP34" s="303"/>
      <c r="AJQ34" s="303"/>
      <c r="AJR34" s="303"/>
      <c r="AJS34" s="303"/>
      <c r="AJT34" s="303"/>
      <c r="AJU34" s="303"/>
      <c r="AJV34" s="303"/>
      <c r="AJW34" s="303"/>
      <c r="AJX34" s="303"/>
      <c r="AJY34" s="303"/>
      <c r="AJZ34" s="303"/>
      <c r="AKA34" s="303"/>
      <c r="AKB34" s="303"/>
      <c r="AKC34" s="303"/>
      <c r="AKD34" s="303"/>
      <c r="AKE34" s="303"/>
      <c r="AKF34" s="303"/>
      <c r="AKG34" s="303"/>
      <c r="AKH34" s="303"/>
      <c r="AKI34" s="303"/>
      <c r="AKJ34" s="303"/>
      <c r="AKK34" s="303"/>
      <c r="AKL34" s="303"/>
      <c r="AKM34" s="303"/>
      <c r="AKN34" s="303"/>
      <c r="AKO34" s="303"/>
      <c r="AKP34" s="303"/>
      <c r="AKQ34" s="303"/>
      <c r="AKR34" s="303"/>
      <c r="AKS34" s="303"/>
      <c r="AKT34" s="303"/>
      <c r="AKU34" s="303"/>
      <c r="AKV34" s="303"/>
      <c r="AKW34" s="303"/>
      <c r="AKX34" s="303"/>
      <c r="AKY34" s="303"/>
      <c r="AKZ34" s="303"/>
      <c r="ALA34" s="303"/>
      <c r="ALB34" s="303"/>
      <c r="ALC34" s="303"/>
      <c r="ALD34" s="303"/>
      <c r="ALE34" s="303"/>
      <c r="ALF34" s="303"/>
      <c r="ALG34" s="303"/>
      <c r="ALH34" s="303"/>
      <c r="ALI34" s="303"/>
      <c r="ALJ34" s="303"/>
      <c r="ALK34" s="303"/>
      <c r="ALL34" s="303"/>
      <c r="ALM34" s="303"/>
      <c r="ALN34" s="303"/>
      <c r="ALO34" s="303"/>
      <c r="ALP34" s="303"/>
      <c r="ALQ34" s="303"/>
      <c r="ALR34" s="303"/>
      <c r="ALS34" s="303"/>
      <c r="ALT34" s="303"/>
      <c r="ALU34" s="303"/>
      <c r="ALV34" s="303"/>
      <c r="ALW34" s="303"/>
      <c r="ALX34" s="303"/>
      <c r="ALY34" s="303"/>
      <c r="ALZ34" s="303"/>
      <c r="AMA34" s="303"/>
      <c r="AMB34" s="303"/>
      <c r="AMC34" s="303"/>
      <c r="AMD34" s="303"/>
      <c r="AME34" s="303"/>
      <c r="AMF34" s="303"/>
      <c r="AMG34" s="303"/>
      <c r="AMH34" s="303"/>
      <c r="AMI34" s="303"/>
      <c r="AMJ34" s="303"/>
      <c r="AMK34" s="303"/>
      <c r="AML34" s="303"/>
      <c r="AMM34" s="303"/>
      <c r="AMN34" s="303"/>
      <c r="AMO34" s="303"/>
      <c r="AMP34" s="303"/>
      <c r="AMQ34" s="303"/>
      <c r="AMR34" s="303"/>
      <c r="AMS34" s="303"/>
      <c r="AMT34" s="303"/>
      <c r="AMU34" s="303"/>
      <c r="AMV34" s="303"/>
      <c r="AMW34" s="303"/>
      <c r="AMX34" s="303"/>
      <c r="AMY34" s="303"/>
      <c r="AMZ34" s="303"/>
      <c r="ANA34" s="303"/>
      <c r="ANB34" s="303"/>
      <c r="ANC34" s="303"/>
      <c r="AND34" s="303"/>
      <c r="ANE34" s="303"/>
      <c r="ANF34" s="303"/>
      <c r="ANG34" s="303"/>
      <c r="ANH34" s="303"/>
      <c r="ANI34" s="303"/>
      <c r="ANJ34" s="303"/>
      <c r="ANK34" s="303"/>
      <c r="ANL34" s="303"/>
      <c r="ANM34" s="303"/>
      <c r="ANN34" s="303"/>
      <c r="ANO34" s="303"/>
      <c r="ANP34" s="303"/>
      <c r="ANQ34" s="303"/>
      <c r="ANR34" s="303"/>
      <c r="ANS34" s="303"/>
      <c r="ANT34" s="303"/>
      <c r="ANU34" s="303"/>
      <c r="ANV34" s="303"/>
      <c r="ANW34" s="303"/>
      <c r="ANX34" s="303"/>
      <c r="ANY34" s="303"/>
      <c r="ANZ34" s="303"/>
      <c r="AOA34" s="303"/>
      <c r="AOB34" s="303"/>
      <c r="AOC34" s="303"/>
      <c r="AOD34" s="303"/>
      <c r="AOE34" s="303"/>
      <c r="AOF34" s="303"/>
      <c r="AOG34" s="303"/>
      <c r="AOH34" s="303"/>
      <c r="AOI34" s="303"/>
      <c r="AOJ34" s="303"/>
      <c r="AOK34" s="303"/>
      <c r="AOL34" s="303"/>
      <c r="AOM34" s="303"/>
      <c r="AON34" s="303"/>
      <c r="AOO34" s="303"/>
      <c r="AOP34" s="303"/>
      <c r="AOQ34" s="303"/>
      <c r="AOR34" s="303"/>
      <c r="AOS34" s="303"/>
      <c r="AOT34" s="303"/>
      <c r="AOU34" s="303"/>
      <c r="AOV34" s="303"/>
      <c r="AOW34" s="303"/>
      <c r="AOX34" s="303"/>
      <c r="AOY34" s="303"/>
      <c r="AOZ34" s="303"/>
      <c r="APA34" s="303"/>
      <c r="APB34" s="303"/>
      <c r="APC34" s="303"/>
      <c r="APD34" s="303"/>
      <c r="APE34" s="303"/>
      <c r="APF34" s="303"/>
      <c r="APG34" s="303"/>
      <c r="APH34" s="303"/>
      <c r="API34" s="303"/>
      <c r="APJ34" s="303"/>
      <c r="APK34" s="303"/>
      <c r="APL34" s="303"/>
      <c r="APM34" s="303"/>
      <c r="APN34" s="303"/>
      <c r="APO34" s="303"/>
      <c r="APP34" s="303"/>
      <c r="APQ34" s="303"/>
      <c r="APR34" s="303"/>
      <c r="APS34" s="303"/>
      <c r="APT34" s="303"/>
      <c r="APU34" s="303"/>
      <c r="APV34" s="303"/>
      <c r="APW34" s="303"/>
      <c r="APX34" s="303"/>
      <c r="APY34" s="303"/>
      <c r="APZ34" s="303"/>
      <c r="AQA34" s="303"/>
      <c r="AQB34" s="303"/>
      <c r="AQC34" s="303"/>
      <c r="AQD34" s="303"/>
      <c r="AQE34" s="303"/>
      <c r="AQF34" s="303"/>
      <c r="AQG34" s="303"/>
      <c r="AQH34" s="303"/>
      <c r="AQI34" s="303"/>
      <c r="AQJ34" s="303"/>
      <c r="AQK34" s="303"/>
      <c r="AQL34" s="303"/>
      <c r="AQM34" s="303"/>
      <c r="AQN34" s="303"/>
      <c r="AQO34" s="303"/>
      <c r="AQP34" s="303"/>
      <c r="AQQ34" s="303"/>
      <c r="AQR34" s="303"/>
      <c r="AQS34" s="303"/>
      <c r="AQT34" s="303"/>
      <c r="AQU34" s="303"/>
      <c r="AQV34" s="303"/>
      <c r="AQW34" s="303"/>
      <c r="AQX34" s="303"/>
      <c r="AQY34" s="303"/>
      <c r="AQZ34" s="303"/>
      <c r="ARA34" s="303"/>
      <c r="ARB34" s="303"/>
      <c r="ARC34" s="303"/>
      <c r="ARD34" s="303"/>
      <c r="ARE34" s="303"/>
      <c r="ARF34" s="303"/>
      <c r="ARG34" s="303"/>
      <c r="ARH34" s="303"/>
      <c r="ARI34" s="303"/>
      <c r="ARJ34" s="303"/>
      <c r="ARK34" s="303"/>
      <c r="ARL34" s="303"/>
      <c r="ARM34" s="303"/>
      <c r="ARN34" s="303"/>
      <c r="ARO34" s="303"/>
      <c r="ARP34" s="303"/>
      <c r="ARQ34" s="303"/>
      <c r="ARR34" s="303"/>
      <c r="ARS34" s="303"/>
      <c r="ART34" s="303"/>
      <c r="ARU34" s="303"/>
      <c r="ARV34" s="303"/>
      <c r="ARW34" s="303"/>
      <c r="ARX34" s="303"/>
      <c r="ARY34" s="303"/>
      <c r="ARZ34" s="303"/>
      <c r="ASA34" s="303"/>
      <c r="ASB34" s="303"/>
      <c r="ASC34" s="303"/>
      <c r="ASD34" s="303"/>
      <c r="ASE34" s="303"/>
      <c r="ASF34" s="303"/>
      <c r="ASG34" s="303"/>
      <c r="ASH34" s="303"/>
      <c r="ASI34" s="303"/>
      <c r="ASJ34" s="303"/>
      <c r="ASK34" s="303"/>
      <c r="ASL34" s="303"/>
      <c r="ASM34" s="303"/>
      <c r="ASN34" s="303"/>
      <c r="ASO34" s="303"/>
      <c r="ASP34" s="303"/>
      <c r="ASQ34" s="303"/>
      <c r="ASR34" s="303"/>
      <c r="ASS34" s="303"/>
      <c r="AST34" s="303"/>
      <c r="ASU34" s="303"/>
      <c r="ASV34" s="303"/>
      <c r="ASW34" s="303"/>
      <c r="ASX34" s="303"/>
      <c r="ASY34" s="303"/>
      <c r="ASZ34" s="303"/>
      <c r="ATA34" s="303"/>
      <c r="ATB34" s="303"/>
      <c r="ATC34" s="303"/>
      <c r="ATD34" s="303"/>
      <c r="ATE34" s="303"/>
      <c r="ATF34" s="303"/>
      <c r="ATG34" s="303"/>
      <c r="ATH34" s="303"/>
      <c r="ATI34" s="303"/>
      <c r="ATJ34" s="303"/>
      <c r="ATK34" s="303"/>
      <c r="ATL34" s="303"/>
      <c r="ATM34" s="303"/>
      <c r="ATN34" s="303"/>
      <c r="ATO34" s="303"/>
      <c r="ATP34" s="303"/>
      <c r="ATQ34" s="303"/>
      <c r="ATR34" s="303"/>
      <c r="ATS34" s="303"/>
      <c r="ATT34" s="303"/>
      <c r="ATU34" s="303"/>
      <c r="ATV34" s="303"/>
      <c r="ATW34" s="303"/>
      <c r="ATX34" s="303"/>
      <c r="ATY34" s="303"/>
      <c r="ATZ34" s="303"/>
      <c r="AUA34" s="303"/>
      <c r="AUB34" s="303"/>
      <c r="AUC34" s="303"/>
      <c r="AUD34" s="303"/>
      <c r="AUE34" s="303"/>
      <c r="AUF34" s="303"/>
      <c r="AUG34" s="303"/>
      <c r="AUH34" s="303"/>
      <c r="AUI34" s="303"/>
      <c r="AUJ34" s="303"/>
      <c r="AUK34" s="303"/>
      <c r="AUL34" s="303"/>
      <c r="AUM34" s="303"/>
      <c r="AUN34" s="303"/>
      <c r="AUO34" s="303"/>
      <c r="AUP34" s="303"/>
      <c r="AUQ34" s="303"/>
      <c r="AUR34" s="303"/>
      <c r="AUS34" s="303"/>
      <c r="AUT34" s="303"/>
      <c r="AUU34" s="303"/>
      <c r="AUV34" s="303"/>
      <c r="AUW34" s="303"/>
      <c r="AUX34" s="303"/>
      <c r="AUY34" s="303"/>
      <c r="AUZ34" s="303"/>
      <c r="AVA34" s="303"/>
      <c r="AVB34" s="303"/>
      <c r="AVC34" s="303"/>
      <c r="AVD34" s="303"/>
      <c r="AVE34" s="303"/>
      <c r="AVF34" s="303"/>
      <c r="AVG34" s="303"/>
      <c r="AVH34" s="303"/>
      <c r="AVI34" s="303"/>
      <c r="AVJ34" s="303"/>
      <c r="AVK34" s="303"/>
      <c r="AVL34" s="303"/>
      <c r="AVM34" s="303"/>
      <c r="AVN34" s="303"/>
      <c r="AVO34" s="303"/>
      <c r="AVP34" s="303"/>
      <c r="AVQ34" s="303"/>
      <c r="AVR34" s="303"/>
      <c r="AVS34" s="303"/>
      <c r="AVT34" s="303"/>
      <c r="AVU34" s="303"/>
      <c r="AVV34" s="303"/>
      <c r="AVW34" s="303"/>
      <c r="AVX34" s="303"/>
      <c r="AVY34" s="303"/>
      <c r="AVZ34" s="303"/>
      <c r="AWA34" s="303"/>
      <c r="AWB34" s="303"/>
      <c r="AWC34" s="303"/>
      <c r="AWD34" s="303"/>
      <c r="AWE34" s="303"/>
      <c r="AWF34" s="303"/>
      <c r="AWG34" s="303"/>
      <c r="AWH34" s="303"/>
      <c r="AWI34" s="303"/>
      <c r="AWJ34" s="303"/>
      <c r="AWK34" s="303"/>
      <c r="AWL34" s="303"/>
      <c r="AWM34" s="303"/>
      <c r="AWN34" s="303"/>
      <c r="AWO34" s="303"/>
      <c r="AWP34" s="303"/>
      <c r="AWQ34" s="303"/>
      <c r="AWR34" s="303"/>
      <c r="AWS34" s="303"/>
      <c r="AWT34" s="303"/>
      <c r="AWU34" s="303"/>
      <c r="AWV34" s="303"/>
      <c r="AWW34" s="303"/>
      <c r="AWX34" s="303"/>
      <c r="AWY34" s="303"/>
      <c r="AWZ34" s="303"/>
      <c r="AXA34" s="303"/>
      <c r="AXB34" s="303"/>
      <c r="AXC34" s="303"/>
      <c r="AXD34" s="303"/>
      <c r="AXE34" s="303"/>
      <c r="AXF34" s="303"/>
      <c r="AXG34" s="303"/>
      <c r="AXH34" s="303"/>
      <c r="AXI34" s="303"/>
      <c r="AXJ34" s="303"/>
      <c r="AXK34" s="303"/>
      <c r="AXL34" s="303"/>
      <c r="AXM34" s="303"/>
      <c r="AXN34" s="303"/>
      <c r="AXO34" s="303"/>
      <c r="AXP34" s="303"/>
      <c r="AXQ34" s="303"/>
      <c r="AXR34" s="303"/>
      <c r="AXS34" s="303"/>
      <c r="AXT34" s="303"/>
      <c r="AXU34" s="303"/>
      <c r="AXV34" s="303"/>
      <c r="AXW34" s="303"/>
      <c r="AXX34" s="303"/>
      <c r="AXY34" s="303"/>
      <c r="AXZ34" s="303"/>
      <c r="AYA34" s="303"/>
      <c r="AYB34" s="303"/>
      <c r="AYC34" s="303"/>
      <c r="AYD34" s="303"/>
      <c r="AYE34" s="303"/>
      <c r="AYF34" s="303"/>
      <c r="AYG34" s="303"/>
      <c r="AYH34" s="303"/>
    </row>
    <row r="35" spans="1:1334" x14ac:dyDescent="0.25">
      <c r="A35" s="304" t="s">
        <v>1337</v>
      </c>
      <c r="B35" s="298" t="s">
        <v>1338</v>
      </c>
      <c r="C35" s="303"/>
      <c r="D35" s="303"/>
      <c r="E35" s="303"/>
      <c r="F35" s="303"/>
      <c r="G35" s="303"/>
      <c r="H35" s="303"/>
      <c r="I35" s="303"/>
      <c r="J35" s="303"/>
      <c r="K35" s="303"/>
      <c r="L35" s="303"/>
      <c r="M35" s="303"/>
      <c r="N35" s="303"/>
      <c r="O35" s="303"/>
      <c r="P35" s="303"/>
      <c r="Q35" s="303"/>
      <c r="R35" s="303"/>
      <c r="S35" s="303"/>
      <c r="T35" s="303"/>
      <c r="U35" s="303"/>
      <c r="V35" s="303"/>
      <c r="W35" s="303"/>
      <c r="X35" s="303"/>
      <c r="Y35" s="303"/>
      <c r="Z35" s="303"/>
      <c r="AA35" s="303"/>
      <c r="AB35" s="303"/>
      <c r="AC35" s="303"/>
      <c r="AD35" s="303"/>
      <c r="AE35" s="303"/>
      <c r="AF35" s="303"/>
      <c r="AG35" s="303"/>
      <c r="AH35" s="303"/>
      <c r="AI35" s="303"/>
      <c r="AJ35" s="303"/>
      <c r="AK35" s="303"/>
      <c r="AL35" s="303"/>
      <c r="AM35" s="303"/>
      <c r="AN35" s="303"/>
      <c r="AO35" s="303"/>
      <c r="AP35" s="303"/>
      <c r="AQ35" s="303"/>
      <c r="AR35" s="303"/>
      <c r="AS35" s="303"/>
      <c r="AT35" s="303"/>
      <c r="AU35" s="303"/>
      <c r="AV35" s="303"/>
      <c r="AW35" s="303"/>
      <c r="AX35" s="303"/>
      <c r="AY35" s="303"/>
      <c r="AZ35" s="303"/>
      <c r="BA35" s="303"/>
      <c r="BB35" s="303"/>
      <c r="BC35" s="303"/>
      <c r="BD35" s="303"/>
      <c r="BE35" s="303"/>
      <c r="BF35" s="303"/>
      <c r="BG35" s="303"/>
      <c r="BH35" s="303"/>
      <c r="BI35" s="303"/>
      <c r="BJ35" s="303"/>
      <c r="BK35" s="303"/>
      <c r="BL35" s="303"/>
      <c r="BM35" s="303"/>
      <c r="BN35" s="303"/>
      <c r="BO35" s="303"/>
      <c r="BP35" s="303"/>
      <c r="BQ35" s="303"/>
      <c r="BR35" s="303"/>
      <c r="BS35" s="303"/>
      <c r="BT35" s="303"/>
      <c r="BU35" s="303"/>
      <c r="BV35" s="303"/>
      <c r="BW35" s="303"/>
      <c r="BX35" s="303"/>
      <c r="BY35" s="303"/>
      <c r="BZ35" s="303"/>
      <c r="CA35" s="303"/>
      <c r="CB35" s="303"/>
      <c r="CC35" s="303"/>
      <c r="CD35" s="303"/>
      <c r="CE35" s="303"/>
      <c r="CF35" s="303"/>
      <c r="CG35" s="303"/>
      <c r="CH35" s="303"/>
      <c r="CI35" s="303"/>
      <c r="CJ35" s="303"/>
      <c r="CK35" s="303"/>
      <c r="CL35" s="303"/>
      <c r="CM35" s="303"/>
      <c r="CN35" s="303"/>
      <c r="CO35" s="303"/>
      <c r="CP35" s="303"/>
      <c r="CQ35" s="303"/>
      <c r="CR35" s="303"/>
      <c r="CS35" s="303"/>
      <c r="CT35" s="303"/>
      <c r="CU35" s="303"/>
      <c r="CV35" s="303"/>
      <c r="CW35" s="303"/>
      <c r="CX35" s="303"/>
      <c r="CY35" s="303"/>
      <c r="CZ35" s="303"/>
      <c r="DA35" s="303"/>
      <c r="DB35" s="303"/>
      <c r="DC35" s="303"/>
      <c r="DD35" s="303"/>
      <c r="DE35" s="303"/>
      <c r="DF35" s="303"/>
      <c r="DG35" s="303"/>
      <c r="DH35" s="303"/>
      <c r="DI35" s="303"/>
      <c r="DJ35" s="303"/>
      <c r="DK35" s="303"/>
      <c r="DL35" s="303"/>
      <c r="DM35" s="303"/>
      <c r="DN35" s="303"/>
      <c r="DO35" s="303"/>
      <c r="DP35" s="303"/>
      <c r="DQ35" s="303"/>
      <c r="DR35" s="303"/>
      <c r="DS35" s="303"/>
      <c r="DT35" s="303"/>
      <c r="DU35" s="303"/>
      <c r="DV35" s="303"/>
      <c r="DW35" s="303"/>
      <c r="DX35" s="303"/>
      <c r="DY35" s="303"/>
      <c r="DZ35" s="303"/>
      <c r="EA35" s="303"/>
      <c r="EB35" s="303"/>
      <c r="EC35" s="303"/>
      <c r="ED35" s="303"/>
      <c r="EE35" s="303"/>
      <c r="EF35" s="303"/>
      <c r="EG35" s="303"/>
      <c r="EH35" s="303"/>
      <c r="EI35" s="303"/>
      <c r="EJ35" s="303"/>
      <c r="EK35" s="303"/>
      <c r="EL35" s="303"/>
      <c r="EM35" s="303"/>
      <c r="EN35" s="303"/>
      <c r="EO35" s="303"/>
      <c r="EP35" s="303"/>
      <c r="EQ35" s="303"/>
      <c r="ER35" s="303"/>
      <c r="ES35" s="303"/>
      <c r="ET35" s="303"/>
      <c r="EU35" s="303"/>
      <c r="EV35" s="303"/>
      <c r="EW35" s="303"/>
      <c r="EX35" s="303"/>
      <c r="EY35" s="303"/>
      <c r="EZ35" s="303"/>
      <c r="FA35" s="303"/>
      <c r="FB35" s="303"/>
      <c r="FC35" s="303"/>
      <c r="FD35" s="303"/>
      <c r="FE35" s="303"/>
      <c r="FF35" s="303"/>
      <c r="FG35" s="303"/>
      <c r="FH35" s="303"/>
      <c r="FI35" s="303"/>
      <c r="FJ35" s="303"/>
      <c r="FK35" s="303"/>
      <c r="FL35" s="303"/>
      <c r="FM35" s="303"/>
      <c r="FN35" s="303"/>
      <c r="FO35" s="303"/>
      <c r="FP35" s="303"/>
      <c r="FQ35" s="303"/>
      <c r="FR35" s="303"/>
      <c r="FS35" s="303"/>
      <c r="FT35" s="303"/>
      <c r="FU35" s="303"/>
      <c r="FV35" s="303"/>
      <c r="FW35" s="303"/>
      <c r="FX35" s="303"/>
      <c r="FY35" s="303"/>
      <c r="FZ35" s="303"/>
      <c r="GA35" s="303"/>
      <c r="GB35" s="303"/>
      <c r="GC35" s="303"/>
      <c r="GD35" s="303"/>
      <c r="GE35" s="303"/>
      <c r="GF35" s="303"/>
      <c r="GG35" s="303"/>
      <c r="GH35" s="303"/>
      <c r="GI35" s="303"/>
      <c r="GJ35" s="303"/>
      <c r="GK35" s="303"/>
      <c r="GL35" s="303"/>
      <c r="GM35" s="303"/>
      <c r="GN35" s="303"/>
      <c r="GO35" s="303"/>
      <c r="GP35" s="303"/>
      <c r="GQ35" s="303"/>
      <c r="GR35" s="303"/>
      <c r="GS35" s="303"/>
      <c r="GT35" s="303"/>
      <c r="GU35" s="303"/>
      <c r="GV35" s="303"/>
      <c r="GW35" s="303"/>
      <c r="GX35" s="303"/>
      <c r="GY35" s="303"/>
      <c r="GZ35" s="303"/>
      <c r="HA35" s="303"/>
      <c r="HB35" s="303"/>
      <c r="HC35" s="303"/>
      <c r="HD35" s="303"/>
      <c r="HE35" s="303"/>
      <c r="HF35" s="303"/>
      <c r="HG35" s="303"/>
      <c r="HH35" s="303"/>
      <c r="HI35" s="303"/>
      <c r="HJ35" s="303"/>
      <c r="HK35" s="303"/>
      <c r="HL35" s="303"/>
      <c r="HM35" s="303"/>
      <c r="HN35" s="303"/>
      <c r="HO35" s="303"/>
      <c r="HP35" s="303"/>
      <c r="HQ35" s="303"/>
      <c r="HR35" s="303"/>
      <c r="HS35" s="303"/>
      <c r="HT35" s="303"/>
      <c r="HU35" s="303"/>
      <c r="HV35" s="303"/>
      <c r="HW35" s="303"/>
      <c r="HX35" s="303"/>
      <c r="HY35" s="303"/>
      <c r="HZ35" s="303"/>
      <c r="IA35" s="303"/>
      <c r="IB35" s="303"/>
      <c r="IC35" s="303"/>
      <c r="ID35" s="303"/>
      <c r="IE35" s="303"/>
      <c r="IF35" s="303"/>
      <c r="IG35" s="303"/>
      <c r="IH35" s="303"/>
      <c r="II35" s="303"/>
      <c r="IJ35" s="303"/>
      <c r="IK35" s="303"/>
      <c r="IL35" s="303"/>
      <c r="IM35" s="303"/>
      <c r="IN35" s="303"/>
      <c r="IO35" s="303"/>
      <c r="IP35" s="303"/>
      <c r="IQ35" s="303"/>
      <c r="IR35" s="303"/>
      <c r="IS35" s="303"/>
      <c r="IT35" s="303"/>
      <c r="IU35" s="303"/>
      <c r="IV35" s="303"/>
      <c r="IW35" s="303"/>
      <c r="IX35" s="303"/>
      <c r="IY35" s="303"/>
      <c r="IZ35" s="303"/>
      <c r="JA35" s="303"/>
      <c r="JB35" s="303"/>
      <c r="JC35" s="303"/>
      <c r="JD35" s="303"/>
      <c r="JE35" s="303"/>
      <c r="JF35" s="303"/>
      <c r="JG35" s="303"/>
      <c r="JH35" s="303"/>
      <c r="JI35" s="303"/>
      <c r="JJ35" s="303"/>
      <c r="JK35" s="303"/>
      <c r="JL35" s="303"/>
      <c r="JM35" s="303"/>
      <c r="JN35" s="303"/>
      <c r="JO35" s="303"/>
      <c r="JP35" s="303"/>
      <c r="JQ35" s="303"/>
      <c r="JR35" s="303"/>
      <c r="JS35" s="303"/>
      <c r="JT35" s="303"/>
      <c r="JU35" s="303"/>
      <c r="JV35" s="303"/>
      <c r="JW35" s="303"/>
      <c r="JX35" s="303"/>
      <c r="JY35" s="303"/>
      <c r="JZ35" s="303"/>
      <c r="KA35" s="303"/>
      <c r="KB35" s="303"/>
      <c r="KC35" s="303"/>
      <c r="KD35" s="303"/>
      <c r="KE35" s="303"/>
      <c r="KF35" s="303"/>
      <c r="KG35" s="303"/>
      <c r="KH35" s="303"/>
      <c r="KI35" s="303"/>
      <c r="KJ35" s="303"/>
      <c r="KK35" s="303"/>
      <c r="KL35" s="303"/>
      <c r="KM35" s="303"/>
      <c r="KN35" s="303"/>
      <c r="KO35" s="303"/>
      <c r="KP35" s="303"/>
      <c r="KQ35" s="303"/>
      <c r="KR35" s="303"/>
      <c r="KS35" s="303"/>
      <c r="KT35" s="303"/>
      <c r="KU35" s="303"/>
      <c r="KV35" s="303"/>
      <c r="KW35" s="303"/>
      <c r="KX35" s="303"/>
      <c r="KY35" s="303"/>
      <c r="KZ35" s="303"/>
      <c r="LA35" s="303"/>
      <c r="LB35" s="303"/>
      <c r="LC35" s="303"/>
      <c r="LD35" s="303"/>
      <c r="LE35" s="303"/>
      <c r="LF35" s="303"/>
      <c r="LG35" s="303"/>
      <c r="LH35" s="303"/>
      <c r="LI35" s="303"/>
      <c r="LJ35" s="303"/>
      <c r="LK35" s="303"/>
      <c r="LL35" s="303"/>
      <c r="LM35" s="303"/>
      <c r="LN35" s="303"/>
      <c r="LO35" s="303"/>
      <c r="LP35" s="303"/>
      <c r="LQ35" s="303"/>
      <c r="LR35" s="303"/>
      <c r="LS35" s="303"/>
      <c r="LT35" s="303"/>
      <c r="LU35" s="303"/>
      <c r="LV35" s="303"/>
      <c r="LW35" s="303"/>
      <c r="LX35" s="303"/>
      <c r="LY35" s="303"/>
      <c r="LZ35" s="303"/>
      <c r="MA35" s="303"/>
      <c r="MB35" s="303"/>
      <c r="MC35" s="303"/>
      <c r="MD35" s="303"/>
      <c r="ME35" s="303"/>
      <c r="MF35" s="303"/>
      <c r="MG35" s="303"/>
      <c r="MH35" s="303"/>
      <c r="MI35" s="303"/>
      <c r="MJ35" s="303"/>
      <c r="MK35" s="303"/>
      <c r="ML35" s="303"/>
      <c r="MM35" s="303"/>
      <c r="MN35" s="303"/>
      <c r="MO35" s="303"/>
      <c r="MP35" s="303"/>
      <c r="MQ35" s="303"/>
      <c r="MR35" s="303"/>
      <c r="MS35" s="303"/>
      <c r="MT35" s="303"/>
      <c r="MU35" s="303"/>
      <c r="MV35" s="303"/>
      <c r="MW35" s="303"/>
      <c r="MX35" s="303"/>
      <c r="MY35" s="303"/>
      <c r="MZ35" s="303"/>
      <c r="NA35" s="303"/>
      <c r="NB35" s="303"/>
      <c r="NC35" s="303"/>
      <c r="ND35" s="303"/>
      <c r="NE35" s="303"/>
      <c r="NF35" s="303"/>
      <c r="NG35" s="303"/>
      <c r="NH35" s="303"/>
      <c r="NI35" s="303"/>
      <c r="NJ35" s="303"/>
      <c r="NK35" s="303"/>
      <c r="NL35" s="303"/>
      <c r="NM35" s="303"/>
      <c r="NN35" s="303"/>
      <c r="NO35" s="303"/>
      <c r="NP35" s="303"/>
      <c r="NQ35" s="303"/>
      <c r="NR35" s="303"/>
      <c r="NS35" s="303"/>
      <c r="NT35" s="303"/>
      <c r="NU35" s="303"/>
      <c r="NV35" s="303"/>
      <c r="NW35" s="303"/>
      <c r="NX35" s="303"/>
      <c r="NY35" s="303"/>
      <c r="NZ35" s="303"/>
      <c r="OA35" s="303"/>
      <c r="OB35" s="303"/>
      <c r="OC35" s="303"/>
      <c r="OD35" s="303"/>
      <c r="OE35" s="303"/>
      <c r="OF35" s="303"/>
      <c r="OG35" s="303"/>
      <c r="OH35" s="303"/>
      <c r="OI35" s="303"/>
      <c r="OJ35" s="303"/>
      <c r="OK35" s="303"/>
      <c r="OL35" s="303"/>
      <c r="OM35" s="303"/>
      <c r="ON35" s="303"/>
      <c r="OO35" s="303"/>
      <c r="OP35" s="303"/>
      <c r="OQ35" s="303"/>
      <c r="OR35" s="303"/>
      <c r="OS35" s="303"/>
      <c r="OT35" s="303"/>
      <c r="OU35" s="303"/>
      <c r="OV35" s="303"/>
      <c r="OW35" s="303"/>
      <c r="OX35" s="303"/>
      <c r="OY35" s="303"/>
      <c r="OZ35" s="303"/>
      <c r="PA35" s="303"/>
      <c r="PB35" s="303"/>
      <c r="PC35" s="303"/>
      <c r="PD35" s="303"/>
      <c r="PE35" s="303"/>
      <c r="PF35" s="303"/>
      <c r="PG35" s="303"/>
      <c r="PH35" s="303"/>
      <c r="PI35" s="303"/>
      <c r="PJ35" s="303"/>
      <c r="PK35" s="303"/>
      <c r="PL35" s="303"/>
      <c r="PM35" s="303"/>
      <c r="PN35" s="303"/>
      <c r="PO35" s="303"/>
      <c r="PP35" s="303"/>
      <c r="PQ35" s="303"/>
      <c r="PR35" s="303"/>
      <c r="PS35" s="303"/>
      <c r="PT35" s="303"/>
      <c r="PU35" s="303"/>
      <c r="PV35" s="303"/>
      <c r="PW35" s="303"/>
      <c r="PX35" s="303"/>
      <c r="PY35" s="303"/>
      <c r="PZ35" s="303"/>
      <c r="QA35" s="303"/>
      <c r="QB35" s="303"/>
      <c r="QC35" s="303"/>
      <c r="QD35" s="303"/>
      <c r="QE35" s="303"/>
      <c r="QF35" s="303"/>
      <c r="QG35" s="303"/>
      <c r="QH35" s="303"/>
      <c r="QI35" s="303"/>
      <c r="QJ35" s="303"/>
      <c r="QK35" s="303"/>
      <c r="QL35" s="303"/>
      <c r="QM35" s="303"/>
      <c r="QN35" s="303"/>
      <c r="QO35" s="303"/>
      <c r="QP35" s="303"/>
      <c r="QQ35" s="303"/>
      <c r="QR35" s="303"/>
      <c r="QS35" s="303"/>
      <c r="QT35" s="303"/>
      <c r="QU35" s="303"/>
      <c r="QV35" s="303"/>
      <c r="QW35" s="303"/>
      <c r="QX35" s="303"/>
      <c r="QY35" s="303"/>
      <c r="QZ35" s="303"/>
      <c r="RA35" s="303"/>
      <c r="RB35" s="303"/>
      <c r="RC35" s="303"/>
      <c r="RD35" s="303"/>
      <c r="RE35" s="303"/>
      <c r="RF35" s="303"/>
      <c r="RG35" s="303"/>
      <c r="RH35" s="303"/>
      <c r="RI35" s="303"/>
      <c r="RJ35" s="303"/>
      <c r="RK35" s="303"/>
      <c r="RL35" s="303"/>
      <c r="RM35" s="303"/>
      <c r="RN35" s="303"/>
      <c r="RO35" s="303"/>
      <c r="RP35" s="303"/>
      <c r="RQ35" s="303"/>
      <c r="RR35" s="303"/>
      <c r="RS35" s="303"/>
      <c r="RT35" s="303"/>
      <c r="RU35" s="303"/>
      <c r="RV35" s="303"/>
      <c r="RW35" s="303"/>
      <c r="RX35" s="303"/>
      <c r="RY35" s="303"/>
      <c r="RZ35" s="303"/>
      <c r="SA35" s="303"/>
      <c r="SB35" s="303"/>
      <c r="SC35" s="303"/>
      <c r="SD35" s="303"/>
      <c r="SE35" s="303"/>
      <c r="SF35" s="303"/>
      <c r="SG35" s="303"/>
      <c r="SH35" s="303"/>
      <c r="SI35" s="303"/>
      <c r="SJ35" s="303"/>
      <c r="SK35" s="303"/>
      <c r="SL35" s="303"/>
      <c r="SM35" s="303"/>
      <c r="SN35" s="303"/>
      <c r="SO35" s="303"/>
      <c r="SP35" s="303"/>
      <c r="SQ35" s="303"/>
      <c r="SR35" s="303"/>
      <c r="SS35" s="303"/>
      <c r="ST35" s="303"/>
      <c r="SU35" s="303"/>
      <c r="SV35" s="303"/>
      <c r="SW35" s="303"/>
      <c r="SX35" s="303"/>
      <c r="SY35" s="303"/>
      <c r="SZ35" s="303"/>
      <c r="TA35" s="303"/>
      <c r="TB35" s="303"/>
      <c r="TC35" s="303"/>
      <c r="TD35" s="303"/>
      <c r="TE35" s="303"/>
      <c r="TF35" s="303"/>
      <c r="TG35" s="303"/>
      <c r="TH35" s="303"/>
      <c r="TI35" s="303"/>
      <c r="TJ35" s="303"/>
      <c r="TK35" s="303"/>
      <c r="TL35" s="303"/>
      <c r="TM35" s="303"/>
      <c r="TN35" s="303"/>
      <c r="TO35" s="303"/>
      <c r="TP35" s="303"/>
      <c r="TQ35" s="303"/>
      <c r="TR35" s="303"/>
      <c r="TS35" s="303"/>
      <c r="TT35" s="303"/>
      <c r="TU35" s="303"/>
      <c r="TV35" s="303"/>
      <c r="TW35" s="303"/>
      <c r="TX35" s="303"/>
      <c r="TY35" s="303"/>
      <c r="TZ35" s="303"/>
      <c r="UA35" s="303"/>
      <c r="UB35" s="303"/>
      <c r="UC35" s="303"/>
      <c r="UD35" s="303"/>
      <c r="UE35" s="303"/>
      <c r="UF35" s="303"/>
      <c r="UG35" s="303"/>
      <c r="UH35" s="303"/>
      <c r="UI35" s="303"/>
      <c r="UJ35" s="303"/>
      <c r="UK35" s="303"/>
      <c r="UL35" s="303"/>
      <c r="UM35" s="303"/>
      <c r="UN35" s="303"/>
      <c r="UO35" s="303"/>
      <c r="UP35" s="303"/>
      <c r="UQ35" s="303"/>
      <c r="UR35" s="303"/>
      <c r="US35" s="303"/>
      <c r="UT35" s="303"/>
      <c r="UU35" s="303"/>
      <c r="UV35" s="303"/>
      <c r="UW35" s="303"/>
      <c r="UX35" s="303"/>
      <c r="UY35" s="303"/>
      <c r="UZ35" s="303"/>
      <c r="VA35" s="303"/>
      <c r="VB35" s="303"/>
      <c r="VC35" s="303"/>
      <c r="VD35" s="303"/>
      <c r="VE35" s="303"/>
      <c r="VF35" s="303"/>
      <c r="VG35" s="303"/>
      <c r="VH35" s="303"/>
      <c r="VI35" s="303"/>
      <c r="VJ35" s="303"/>
      <c r="VK35" s="303"/>
      <c r="VL35" s="303"/>
      <c r="VM35" s="303"/>
      <c r="VN35" s="303"/>
      <c r="VO35" s="303"/>
      <c r="VP35" s="303"/>
      <c r="VQ35" s="303"/>
      <c r="VR35" s="303"/>
      <c r="VS35" s="303"/>
      <c r="VT35" s="303"/>
      <c r="VU35" s="303"/>
      <c r="VV35" s="303"/>
      <c r="VW35" s="303"/>
      <c r="VX35" s="303"/>
      <c r="VY35" s="303"/>
      <c r="VZ35" s="303"/>
      <c r="WA35" s="303"/>
      <c r="WB35" s="303"/>
      <c r="WC35" s="303"/>
      <c r="WD35" s="303"/>
      <c r="WE35" s="303"/>
      <c r="WF35" s="303"/>
      <c r="WG35" s="303"/>
      <c r="WH35" s="303"/>
      <c r="WI35" s="303"/>
      <c r="WJ35" s="303"/>
      <c r="WK35" s="303"/>
      <c r="WL35" s="303"/>
      <c r="WM35" s="303"/>
      <c r="WN35" s="303"/>
      <c r="WO35" s="303"/>
      <c r="WP35" s="303"/>
      <c r="WQ35" s="303"/>
      <c r="WR35" s="303"/>
      <c r="WS35" s="303"/>
      <c r="WT35" s="303"/>
      <c r="WU35" s="303"/>
      <c r="WV35" s="303"/>
      <c r="WW35" s="303"/>
      <c r="WX35" s="303"/>
      <c r="WY35" s="303"/>
      <c r="WZ35" s="303"/>
      <c r="XA35" s="303"/>
      <c r="XB35" s="303"/>
      <c r="XC35" s="303"/>
      <c r="XD35" s="303"/>
      <c r="XE35" s="303"/>
      <c r="XF35" s="303"/>
      <c r="XG35" s="303"/>
      <c r="XH35" s="303"/>
      <c r="XI35" s="303"/>
      <c r="XJ35" s="303"/>
      <c r="XK35" s="303"/>
      <c r="XL35" s="303"/>
      <c r="XM35" s="303"/>
      <c r="XN35" s="303"/>
      <c r="XO35" s="303"/>
      <c r="XP35" s="303"/>
      <c r="XQ35" s="303"/>
      <c r="XR35" s="303"/>
      <c r="XS35" s="303"/>
      <c r="XT35" s="303"/>
      <c r="XU35" s="303"/>
      <c r="XV35" s="303"/>
      <c r="XW35" s="303"/>
      <c r="XX35" s="303"/>
      <c r="XY35" s="303"/>
      <c r="XZ35" s="303"/>
      <c r="YA35" s="303"/>
      <c r="YB35" s="303"/>
      <c r="YC35" s="303"/>
      <c r="YD35" s="303"/>
      <c r="YE35" s="303"/>
      <c r="YF35" s="303"/>
      <c r="YG35" s="303"/>
      <c r="YH35" s="303"/>
      <c r="YI35" s="303"/>
      <c r="YJ35" s="303"/>
      <c r="YK35" s="303"/>
      <c r="YL35" s="303"/>
      <c r="YM35" s="303"/>
      <c r="YN35" s="303"/>
      <c r="YO35" s="303"/>
      <c r="YP35" s="303"/>
      <c r="YQ35" s="303"/>
      <c r="YR35" s="303"/>
      <c r="YS35" s="303"/>
      <c r="YT35" s="303"/>
      <c r="YU35" s="303"/>
      <c r="YV35" s="303"/>
      <c r="YW35" s="303"/>
      <c r="YX35" s="303"/>
      <c r="YY35" s="303"/>
      <c r="YZ35" s="303"/>
      <c r="ZA35" s="303"/>
      <c r="ZB35" s="303"/>
      <c r="ZC35" s="303"/>
      <c r="ZD35" s="303"/>
      <c r="ZE35" s="303"/>
      <c r="ZF35" s="303"/>
      <c r="ZG35" s="303"/>
      <c r="ZH35" s="303"/>
      <c r="ZI35" s="303"/>
      <c r="ZJ35" s="303"/>
      <c r="ZK35" s="303"/>
      <c r="ZL35" s="303"/>
      <c r="ZM35" s="303"/>
      <c r="ZN35" s="303"/>
      <c r="ZO35" s="303"/>
      <c r="ZP35" s="303"/>
      <c r="ZQ35" s="303"/>
      <c r="ZR35" s="303"/>
      <c r="ZS35" s="303"/>
      <c r="ZT35" s="303"/>
      <c r="ZU35" s="303"/>
      <c r="ZV35" s="303"/>
      <c r="ZW35" s="303"/>
      <c r="ZX35" s="303"/>
      <c r="ZY35" s="303"/>
      <c r="ZZ35" s="303"/>
      <c r="AAA35" s="303"/>
      <c r="AAB35" s="303"/>
      <c r="AAC35" s="303"/>
      <c r="AAD35" s="303"/>
      <c r="AAE35" s="303"/>
      <c r="AAF35" s="303"/>
      <c r="AAG35" s="303"/>
      <c r="AAH35" s="303"/>
      <c r="AAI35" s="303"/>
      <c r="AAJ35" s="303"/>
      <c r="AAK35" s="303"/>
      <c r="AAL35" s="303"/>
      <c r="AAM35" s="303"/>
      <c r="AAN35" s="303"/>
      <c r="AAO35" s="303"/>
      <c r="AAP35" s="303"/>
      <c r="AAQ35" s="303"/>
      <c r="AAR35" s="303"/>
      <c r="AAS35" s="303"/>
      <c r="AAT35" s="303"/>
      <c r="AAU35" s="303"/>
      <c r="AAV35" s="303"/>
      <c r="AAW35" s="303"/>
      <c r="AAX35" s="303"/>
      <c r="AAY35" s="303"/>
      <c r="AAZ35" s="303"/>
      <c r="ABA35" s="303"/>
      <c r="ABB35" s="303"/>
      <c r="ABC35" s="303"/>
      <c r="ABD35" s="303"/>
      <c r="ABE35" s="303"/>
      <c r="ABF35" s="303"/>
      <c r="ABG35" s="303"/>
      <c r="ABH35" s="303"/>
      <c r="ABI35" s="303"/>
      <c r="ABJ35" s="303"/>
      <c r="ABK35" s="303"/>
      <c r="ABL35" s="303"/>
      <c r="ABM35" s="303"/>
      <c r="ABN35" s="303"/>
      <c r="ABO35" s="303"/>
      <c r="ABP35" s="303"/>
      <c r="ABQ35" s="303"/>
      <c r="ABR35" s="303"/>
      <c r="ABS35" s="303"/>
      <c r="ABT35" s="303"/>
      <c r="ABU35" s="303"/>
      <c r="ABV35" s="303"/>
      <c r="ABW35" s="303"/>
      <c r="ABX35" s="303"/>
      <c r="ABY35" s="303"/>
      <c r="ABZ35" s="303"/>
      <c r="ACA35" s="303"/>
      <c r="ACB35" s="303"/>
      <c r="ACC35" s="303"/>
      <c r="ACD35" s="303"/>
      <c r="ACE35" s="303"/>
      <c r="ACF35" s="303"/>
      <c r="ACG35" s="303"/>
      <c r="ACH35" s="303"/>
      <c r="ACI35" s="303"/>
      <c r="ACJ35" s="303"/>
      <c r="ACK35" s="303"/>
      <c r="ACL35" s="303"/>
      <c r="ACM35" s="303"/>
      <c r="ACN35" s="303"/>
      <c r="ACO35" s="303"/>
      <c r="ACP35" s="303"/>
      <c r="ACQ35" s="303"/>
      <c r="ACR35" s="303"/>
      <c r="ACS35" s="303"/>
      <c r="ACT35" s="303"/>
      <c r="ACU35" s="303"/>
      <c r="ACV35" s="303"/>
      <c r="ACW35" s="303"/>
      <c r="ACX35" s="303"/>
      <c r="ACY35" s="303"/>
      <c r="ACZ35" s="303"/>
      <c r="ADA35" s="303"/>
      <c r="ADB35" s="303"/>
      <c r="ADC35" s="303"/>
      <c r="ADD35" s="303"/>
      <c r="ADE35" s="303"/>
      <c r="ADF35" s="303"/>
      <c r="ADG35" s="303"/>
      <c r="ADH35" s="303"/>
      <c r="ADI35" s="303"/>
      <c r="ADJ35" s="303"/>
      <c r="ADK35" s="303"/>
      <c r="ADL35" s="303"/>
      <c r="ADM35" s="303"/>
      <c r="ADN35" s="303"/>
      <c r="ADO35" s="303"/>
      <c r="ADP35" s="303"/>
      <c r="ADQ35" s="303"/>
      <c r="ADR35" s="303"/>
      <c r="ADS35" s="303"/>
      <c r="ADT35" s="303"/>
      <c r="ADU35" s="303"/>
      <c r="ADV35" s="303"/>
      <c r="ADW35" s="303"/>
      <c r="ADX35" s="303"/>
      <c r="ADY35" s="303"/>
      <c r="ADZ35" s="303"/>
      <c r="AEA35" s="303"/>
      <c r="AEB35" s="303"/>
      <c r="AEC35" s="303"/>
      <c r="AED35" s="303"/>
      <c r="AEE35" s="303"/>
      <c r="AEF35" s="303"/>
      <c r="AEG35" s="303"/>
      <c r="AEH35" s="303"/>
      <c r="AEI35" s="303"/>
      <c r="AEJ35" s="303"/>
      <c r="AEK35" s="303"/>
      <c r="AEL35" s="303"/>
      <c r="AEM35" s="303"/>
      <c r="AEN35" s="303"/>
      <c r="AEO35" s="303"/>
      <c r="AEP35" s="303"/>
      <c r="AEQ35" s="303"/>
      <c r="AER35" s="303"/>
      <c r="AES35" s="303"/>
      <c r="AET35" s="303"/>
      <c r="AEU35" s="303"/>
      <c r="AEV35" s="303"/>
      <c r="AEW35" s="303"/>
      <c r="AEX35" s="303"/>
      <c r="AEY35" s="303"/>
      <c r="AEZ35" s="303"/>
      <c r="AFA35" s="303"/>
      <c r="AFB35" s="303"/>
      <c r="AFC35" s="303"/>
      <c r="AFD35" s="303"/>
      <c r="AFE35" s="303"/>
      <c r="AFF35" s="303"/>
      <c r="AFG35" s="303"/>
      <c r="AFH35" s="303"/>
      <c r="AFI35" s="303"/>
      <c r="AFJ35" s="303"/>
      <c r="AFK35" s="303"/>
      <c r="AFL35" s="303"/>
      <c r="AFM35" s="303"/>
      <c r="AFN35" s="303"/>
      <c r="AFO35" s="303"/>
      <c r="AFP35" s="303"/>
      <c r="AFQ35" s="303"/>
      <c r="AFR35" s="303"/>
      <c r="AFS35" s="303"/>
      <c r="AFT35" s="303"/>
      <c r="AFU35" s="303"/>
      <c r="AFV35" s="303"/>
      <c r="AFW35" s="303"/>
      <c r="AFX35" s="303"/>
      <c r="AFY35" s="303"/>
      <c r="AFZ35" s="303"/>
      <c r="AGA35" s="303"/>
      <c r="AGB35" s="303"/>
      <c r="AGC35" s="303"/>
      <c r="AGD35" s="303"/>
      <c r="AGE35" s="303"/>
      <c r="AGF35" s="303"/>
      <c r="AGG35" s="303"/>
      <c r="AGH35" s="303"/>
      <c r="AGI35" s="303"/>
      <c r="AGJ35" s="303"/>
      <c r="AGK35" s="303"/>
      <c r="AGL35" s="303"/>
      <c r="AGM35" s="303"/>
      <c r="AGN35" s="303"/>
      <c r="AGO35" s="303"/>
      <c r="AGP35" s="303"/>
      <c r="AGQ35" s="303"/>
      <c r="AGR35" s="303"/>
      <c r="AGS35" s="303"/>
      <c r="AGT35" s="303"/>
      <c r="AGU35" s="303"/>
      <c r="AGV35" s="303"/>
      <c r="AGW35" s="303"/>
      <c r="AGX35" s="303"/>
      <c r="AGY35" s="303"/>
      <c r="AGZ35" s="303"/>
      <c r="AHA35" s="303"/>
      <c r="AHB35" s="303"/>
      <c r="AHC35" s="303"/>
      <c r="AHD35" s="303"/>
      <c r="AHE35" s="303"/>
      <c r="AHF35" s="303"/>
      <c r="AHG35" s="303"/>
      <c r="AHH35" s="303"/>
      <c r="AHI35" s="303"/>
      <c r="AHJ35" s="303"/>
      <c r="AHK35" s="303"/>
      <c r="AHL35" s="303"/>
      <c r="AHM35" s="303"/>
      <c r="AHN35" s="303"/>
      <c r="AHO35" s="303"/>
      <c r="AHP35" s="303"/>
      <c r="AHQ35" s="303"/>
      <c r="AHR35" s="303"/>
      <c r="AHS35" s="303"/>
      <c r="AHT35" s="303"/>
      <c r="AHU35" s="303"/>
      <c r="AHV35" s="303"/>
      <c r="AHW35" s="303"/>
      <c r="AHX35" s="303"/>
      <c r="AHY35" s="303"/>
      <c r="AHZ35" s="303"/>
      <c r="AIA35" s="303"/>
      <c r="AIB35" s="303"/>
      <c r="AIC35" s="303"/>
      <c r="AID35" s="303"/>
      <c r="AIE35" s="303"/>
      <c r="AIF35" s="303"/>
      <c r="AIG35" s="303"/>
      <c r="AIH35" s="303"/>
      <c r="AII35" s="303"/>
      <c r="AIJ35" s="303"/>
      <c r="AIK35" s="303"/>
      <c r="AIL35" s="303"/>
      <c r="AIM35" s="303"/>
      <c r="AIN35" s="303"/>
      <c r="AIO35" s="303"/>
      <c r="AIP35" s="303"/>
      <c r="AIQ35" s="303"/>
      <c r="AIR35" s="303"/>
      <c r="AIS35" s="303"/>
      <c r="AIT35" s="303"/>
      <c r="AIU35" s="303"/>
      <c r="AIV35" s="303"/>
      <c r="AIW35" s="303"/>
      <c r="AIX35" s="303"/>
      <c r="AIY35" s="303"/>
      <c r="AIZ35" s="303"/>
      <c r="AJA35" s="303"/>
      <c r="AJB35" s="303"/>
      <c r="AJC35" s="303"/>
      <c r="AJD35" s="303"/>
      <c r="AJE35" s="303"/>
      <c r="AJF35" s="303"/>
      <c r="AJG35" s="303"/>
      <c r="AJH35" s="303"/>
      <c r="AJI35" s="303"/>
      <c r="AJJ35" s="303"/>
      <c r="AJK35" s="303"/>
      <c r="AJL35" s="303"/>
      <c r="AJM35" s="303"/>
      <c r="AJN35" s="303"/>
      <c r="AJO35" s="303"/>
      <c r="AJP35" s="303"/>
      <c r="AJQ35" s="303"/>
      <c r="AJR35" s="303"/>
      <c r="AJS35" s="303"/>
      <c r="AJT35" s="303"/>
      <c r="AJU35" s="303"/>
      <c r="AJV35" s="303"/>
      <c r="AJW35" s="303"/>
      <c r="AJX35" s="303"/>
      <c r="AJY35" s="303"/>
      <c r="AJZ35" s="303"/>
      <c r="AKA35" s="303"/>
      <c r="AKB35" s="303"/>
      <c r="AKC35" s="303"/>
      <c r="AKD35" s="303"/>
      <c r="AKE35" s="303"/>
      <c r="AKF35" s="303"/>
      <c r="AKG35" s="303"/>
      <c r="AKH35" s="303"/>
      <c r="AKI35" s="303"/>
      <c r="AKJ35" s="303"/>
      <c r="AKK35" s="303"/>
      <c r="AKL35" s="303"/>
      <c r="AKM35" s="303"/>
      <c r="AKN35" s="303"/>
      <c r="AKO35" s="303"/>
      <c r="AKP35" s="303"/>
      <c r="AKQ35" s="303"/>
      <c r="AKR35" s="303"/>
      <c r="AKS35" s="303"/>
      <c r="AKT35" s="303"/>
      <c r="AKU35" s="303"/>
      <c r="AKV35" s="303"/>
      <c r="AKW35" s="303"/>
      <c r="AKX35" s="303"/>
      <c r="AKY35" s="303"/>
      <c r="AKZ35" s="303"/>
      <c r="ALA35" s="303"/>
      <c r="ALB35" s="303"/>
      <c r="ALC35" s="303"/>
      <c r="ALD35" s="303"/>
      <c r="ALE35" s="303"/>
      <c r="ALF35" s="303"/>
      <c r="ALG35" s="303"/>
      <c r="ALH35" s="303"/>
      <c r="ALI35" s="303"/>
      <c r="ALJ35" s="303"/>
      <c r="ALK35" s="303"/>
      <c r="ALL35" s="303"/>
      <c r="ALM35" s="303"/>
      <c r="ALN35" s="303"/>
      <c r="ALO35" s="303"/>
      <c r="ALP35" s="303"/>
      <c r="ALQ35" s="303"/>
      <c r="ALR35" s="303"/>
      <c r="ALS35" s="303"/>
      <c r="ALT35" s="303"/>
      <c r="ALU35" s="303"/>
      <c r="ALV35" s="303"/>
      <c r="ALW35" s="303"/>
      <c r="ALX35" s="303"/>
      <c r="ALY35" s="303"/>
      <c r="ALZ35" s="303"/>
      <c r="AMA35" s="303"/>
      <c r="AMB35" s="303"/>
      <c r="AMC35" s="303"/>
      <c r="AMD35" s="303"/>
      <c r="AME35" s="303"/>
      <c r="AMF35" s="303"/>
      <c r="AMG35" s="303"/>
      <c r="AMH35" s="303"/>
      <c r="AMI35" s="303"/>
      <c r="AMJ35" s="303"/>
      <c r="AMK35" s="303"/>
      <c r="AML35" s="303"/>
      <c r="AMM35" s="303"/>
      <c r="AMN35" s="303"/>
      <c r="AMO35" s="303"/>
      <c r="AMP35" s="303"/>
      <c r="AMQ35" s="303"/>
      <c r="AMR35" s="303"/>
      <c r="AMS35" s="303"/>
      <c r="AMT35" s="303"/>
      <c r="AMU35" s="303"/>
      <c r="AMV35" s="303"/>
      <c r="AMW35" s="303"/>
      <c r="AMX35" s="303"/>
      <c r="AMY35" s="303"/>
      <c r="AMZ35" s="303"/>
      <c r="ANA35" s="303"/>
      <c r="ANB35" s="303"/>
      <c r="ANC35" s="303"/>
      <c r="AND35" s="303"/>
      <c r="ANE35" s="303"/>
      <c r="ANF35" s="303"/>
      <c r="ANG35" s="303"/>
      <c r="ANH35" s="303"/>
      <c r="ANI35" s="303"/>
      <c r="ANJ35" s="303"/>
      <c r="ANK35" s="303"/>
      <c r="ANL35" s="303"/>
      <c r="ANM35" s="303"/>
      <c r="ANN35" s="303"/>
      <c r="ANO35" s="303"/>
      <c r="ANP35" s="303"/>
      <c r="ANQ35" s="303"/>
      <c r="ANR35" s="303"/>
      <c r="ANS35" s="303"/>
      <c r="ANT35" s="303"/>
      <c r="ANU35" s="303"/>
      <c r="ANV35" s="303"/>
      <c r="ANW35" s="303"/>
      <c r="ANX35" s="303"/>
      <c r="ANY35" s="303"/>
      <c r="ANZ35" s="303"/>
      <c r="AOA35" s="303"/>
      <c r="AOB35" s="303"/>
      <c r="AOC35" s="303"/>
      <c r="AOD35" s="303"/>
      <c r="AOE35" s="303"/>
      <c r="AOF35" s="303"/>
      <c r="AOG35" s="303"/>
      <c r="AOH35" s="303"/>
      <c r="AOI35" s="303"/>
      <c r="AOJ35" s="303"/>
      <c r="AOK35" s="303"/>
      <c r="AOL35" s="303"/>
      <c r="AOM35" s="303"/>
      <c r="AON35" s="303"/>
      <c r="AOO35" s="303"/>
      <c r="AOP35" s="303"/>
      <c r="AOQ35" s="303"/>
      <c r="AOR35" s="303"/>
      <c r="AOS35" s="303"/>
      <c r="AOT35" s="303"/>
      <c r="AOU35" s="303"/>
      <c r="AOV35" s="303"/>
      <c r="AOW35" s="303"/>
      <c r="AOX35" s="303"/>
      <c r="AOY35" s="303"/>
      <c r="AOZ35" s="303"/>
      <c r="APA35" s="303"/>
      <c r="APB35" s="303"/>
      <c r="APC35" s="303"/>
      <c r="APD35" s="303"/>
      <c r="APE35" s="303"/>
      <c r="APF35" s="303"/>
      <c r="APG35" s="303"/>
      <c r="APH35" s="303"/>
      <c r="API35" s="303"/>
      <c r="APJ35" s="303"/>
      <c r="APK35" s="303"/>
      <c r="APL35" s="303"/>
      <c r="APM35" s="303"/>
      <c r="APN35" s="303"/>
      <c r="APO35" s="303"/>
      <c r="APP35" s="303"/>
      <c r="APQ35" s="303"/>
      <c r="APR35" s="303"/>
      <c r="APS35" s="303"/>
      <c r="APT35" s="303"/>
      <c r="APU35" s="303"/>
      <c r="APV35" s="303"/>
      <c r="APW35" s="303"/>
      <c r="APX35" s="303"/>
      <c r="APY35" s="303"/>
      <c r="APZ35" s="303"/>
      <c r="AQA35" s="303"/>
      <c r="AQB35" s="303"/>
      <c r="AQC35" s="303"/>
      <c r="AQD35" s="303"/>
      <c r="AQE35" s="303"/>
      <c r="AQF35" s="303"/>
      <c r="AQG35" s="303"/>
      <c r="AQH35" s="303"/>
      <c r="AQI35" s="303"/>
      <c r="AQJ35" s="303"/>
      <c r="AQK35" s="303"/>
      <c r="AQL35" s="303"/>
      <c r="AQM35" s="303"/>
      <c r="AQN35" s="303"/>
      <c r="AQO35" s="303"/>
      <c r="AQP35" s="303"/>
      <c r="AQQ35" s="303"/>
      <c r="AQR35" s="303"/>
      <c r="AQS35" s="303"/>
      <c r="AQT35" s="303"/>
      <c r="AQU35" s="303"/>
      <c r="AQV35" s="303"/>
      <c r="AQW35" s="303"/>
      <c r="AQX35" s="303"/>
      <c r="AQY35" s="303"/>
      <c r="AQZ35" s="303"/>
      <c r="ARA35" s="303"/>
      <c r="ARB35" s="303"/>
      <c r="ARC35" s="303"/>
      <c r="ARD35" s="303"/>
      <c r="ARE35" s="303"/>
      <c r="ARF35" s="303"/>
      <c r="ARG35" s="303"/>
      <c r="ARH35" s="303"/>
      <c r="ARI35" s="303"/>
      <c r="ARJ35" s="303"/>
      <c r="ARK35" s="303"/>
      <c r="ARL35" s="303"/>
      <c r="ARM35" s="303"/>
      <c r="ARN35" s="303"/>
      <c r="ARO35" s="303"/>
      <c r="ARP35" s="303"/>
      <c r="ARQ35" s="303"/>
      <c r="ARR35" s="303"/>
      <c r="ARS35" s="303"/>
      <c r="ART35" s="303"/>
      <c r="ARU35" s="303"/>
      <c r="ARV35" s="303"/>
      <c r="ARW35" s="303"/>
      <c r="ARX35" s="303"/>
      <c r="ARY35" s="303"/>
      <c r="ARZ35" s="303"/>
      <c r="ASA35" s="303"/>
      <c r="ASB35" s="303"/>
      <c r="ASC35" s="303"/>
      <c r="ASD35" s="303"/>
      <c r="ASE35" s="303"/>
      <c r="ASF35" s="303"/>
      <c r="ASG35" s="303"/>
      <c r="ASH35" s="303"/>
      <c r="ASI35" s="303"/>
      <c r="ASJ35" s="303"/>
      <c r="ASK35" s="303"/>
      <c r="ASL35" s="303"/>
      <c r="ASM35" s="303"/>
      <c r="ASN35" s="303"/>
      <c r="ASO35" s="303"/>
      <c r="ASP35" s="303"/>
      <c r="ASQ35" s="303"/>
      <c r="ASR35" s="303"/>
      <c r="ASS35" s="303"/>
      <c r="AST35" s="303"/>
      <c r="ASU35" s="303"/>
      <c r="ASV35" s="303"/>
      <c r="ASW35" s="303"/>
      <c r="ASX35" s="303"/>
      <c r="ASY35" s="303"/>
      <c r="ASZ35" s="303"/>
      <c r="ATA35" s="303"/>
      <c r="ATB35" s="303"/>
      <c r="ATC35" s="303"/>
      <c r="ATD35" s="303"/>
      <c r="ATE35" s="303"/>
      <c r="ATF35" s="303"/>
      <c r="ATG35" s="303"/>
      <c r="ATH35" s="303"/>
      <c r="ATI35" s="303"/>
      <c r="ATJ35" s="303"/>
      <c r="ATK35" s="303"/>
      <c r="ATL35" s="303"/>
      <c r="ATM35" s="303"/>
      <c r="ATN35" s="303"/>
      <c r="ATO35" s="303"/>
      <c r="ATP35" s="303"/>
      <c r="ATQ35" s="303"/>
      <c r="ATR35" s="303"/>
      <c r="ATS35" s="303"/>
      <c r="ATT35" s="303"/>
      <c r="ATU35" s="303"/>
      <c r="ATV35" s="303"/>
      <c r="ATW35" s="303"/>
      <c r="ATX35" s="303"/>
      <c r="ATY35" s="303"/>
      <c r="ATZ35" s="303"/>
      <c r="AUA35" s="303"/>
      <c r="AUB35" s="303"/>
      <c r="AUC35" s="303"/>
      <c r="AUD35" s="303"/>
      <c r="AUE35" s="303"/>
      <c r="AUF35" s="303"/>
      <c r="AUG35" s="303"/>
      <c r="AUH35" s="303"/>
      <c r="AUI35" s="303"/>
      <c r="AUJ35" s="303"/>
      <c r="AUK35" s="303"/>
      <c r="AUL35" s="303"/>
      <c r="AUM35" s="303"/>
      <c r="AUN35" s="303"/>
      <c r="AUO35" s="303"/>
      <c r="AUP35" s="303"/>
      <c r="AUQ35" s="303"/>
      <c r="AUR35" s="303"/>
      <c r="AUS35" s="303"/>
      <c r="AUT35" s="303"/>
      <c r="AUU35" s="303"/>
      <c r="AUV35" s="303"/>
      <c r="AUW35" s="303"/>
      <c r="AUX35" s="303"/>
      <c r="AUY35" s="303"/>
      <c r="AUZ35" s="303"/>
      <c r="AVA35" s="303"/>
      <c r="AVB35" s="303"/>
      <c r="AVC35" s="303"/>
      <c r="AVD35" s="303"/>
      <c r="AVE35" s="303"/>
      <c r="AVF35" s="303"/>
      <c r="AVG35" s="303"/>
      <c r="AVH35" s="303"/>
      <c r="AVI35" s="303"/>
      <c r="AVJ35" s="303"/>
      <c r="AVK35" s="303"/>
      <c r="AVL35" s="303"/>
      <c r="AVM35" s="303"/>
      <c r="AVN35" s="303"/>
      <c r="AVO35" s="303"/>
      <c r="AVP35" s="303"/>
      <c r="AVQ35" s="303"/>
      <c r="AVR35" s="303"/>
      <c r="AVS35" s="303"/>
      <c r="AVT35" s="303"/>
      <c r="AVU35" s="303"/>
      <c r="AVV35" s="303"/>
      <c r="AVW35" s="303"/>
      <c r="AVX35" s="303"/>
      <c r="AVY35" s="303"/>
      <c r="AVZ35" s="303"/>
      <c r="AWA35" s="303"/>
      <c r="AWB35" s="303"/>
      <c r="AWC35" s="303"/>
      <c r="AWD35" s="303"/>
      <c r="AWE35" s="303"/>
      <c r="AWF35" s="303"/>
      <c r="AWG35" s="303"/>
      <c r="AWH35" s="303"/>
      <c r="AWI35" s="303"/>
      <c r="AWJ35" s="303"/>
      <c r="AWK35" s="303"/>
      <c r="AWL35" s="303"/>
      <c r="AWM35" s="303"/>
      <c r="AWN35" s="303"/>
      <c r="AWO35" s="303"/>
      <c r="AWP35" s="303"/>
      <c r="AWQ35" s="303"/>
      <c r="AWR35" s="303"/>
      <c r="AWS35" s="303"/>
      <c r="AWT35" s="303"/>
      <c r="AWU35" s="303"/>
      <c r="AWV35" s="303"/>
      <c r="AWW35" s="303"/>
      <c r="AWX35" s="303"/>
      <c r="AWY35" s="303"/>
      <c r="AWZ35" s="303"/>
      <c r="AXA35" s="303"/>
      <c r="AXB35" s="303"/>
      <c r="AXC35" s="303"/>
      <c r="AXD35" s="303"/>
      <c r="AXE35" s="303"/>
      <c r="AXF35" s="303"/>
      <c r="AXG35" s="303"/>
      <c r="AXH35" s="303"/>
      <c r="AXI35" s="303"/>
      <c r="AXJ35" s="303"/>
      <c r="AXK35" s="303"/>
      <c r="AXL35" s="303"/>
      <c r="AXM35" s="303"/>
      <c r="AXN35" s="303"/>
      <c r="AXO35" s="303"/>
      <c r="AXP35" s="303"/>
      <c r="AXQ35" s="303"/>
      <c r="AXR35" s="303"/>
      <c r="AXS35" s="303"/>
      <c r="AXT35" s="303"/>
      <c r="AXU35" s="303"/>
      <c r="AXV35" s="303"/>
      <c r="AXW35" s="303"/>
      <c r="AXX35" s="303"/>
      <c r="AXY35" s="303"/>
      <c r="AXZ35" s="303"/>
      <c r="AYA35" s="303"/>
      <c r="AYB35" s="303"/>
      <c r="AYC35" s="303"/>
      <c r="AYD35" s="303"/>
      <c r="AYE35" s="303"/>
      <c r="AYF35" s="303"/>
      <c r="AYG35" s="303"/>
      <c r="AYH35" s="303"/>
    </row>
    <row r="36" spans="1:1334" x14ac:dyDescent="0.25">
      <c r="A36" s="298" t="s">
        <v>138</v>
      </c>
      <c r="B36" s="298"/>
      <c r="C36" s="303"/>
      <c r="D36" s="303"/>
      <c r="E36" s="303"/>
      <c r="F36" s="303"/>
      <c r="G36" s="303"/>
      <c r="H36" s="303"/>
      <c r="I36" s="303"/>
      <c r="J36" s="303"/>
      <c r="K36" s="303"/>
      <c r="L36" s="303"/>
      <c r="M36" s="303"/>
      <c r="N36" s="303"/>
      <c r="O36" s="303"/>
      <c r="P36" s="303"/>
      <c r="Q36" s="303"/>
      <c r="R36" s="303"/>
      <c r="S36" s="303"/>
      <c r="T36" s="303"/>
      <c r="U36" s="303"/>
      <c r="V36" s="303"/>
      <c r="W36" s="303"/>
      <c r="X36" s="303"/>
      <c r="Y36" s="303"/>
      <c r="Z36" s="303"/>
      <c r="AA36" s="303"/>
      <c r="AB36" s="303"/>
      <c r="AC36" s="303"/>
      <c r="AD36" s="303"/>
      <c r="AE36" s="303"/>
      <c r="AF36" s="303"/>
      <c r="AG36" s="303"/>
      <c r="AH36" s="303"/>
      <c r="AI36" s="303"/>
      <c r="AJ36" s="303"/>
      <c r="AK36" s="303"/>
      <c r="AL36" s="303"/>
      <c r="AM36" s="303"/>
      <c r="AN36" s="303"/>
      <c r="AO36" s="303"/>
      <c r="AP36" s="303"/>
      <c r="AQ36" s="303"/>
      <c r="AR36" s="303"/>
      <c r="AS36" s="303"/>
      <c r="AT36" s="303"/>
      <c r="AU36" s="303"/>
      <c r="AV36" s="303"/>
      <c r="AW36" s="303"/>
      <c r="AX36" s="303"/>
      <c r="AY36" s="303"/>
      <c r="AZ36" s="303"/>
      <c r="BA36" s="303"/>
      <c r="BB36" s="303"/>
      <c r="BC36" s="303"/>
      <c r="BD36" s="303"/>
      <c r="BE36" s="303"/>
      <c r="BF36" s="303"/>
      <c r="BG36" s="303"/>
      <c r="BH36" s="303"/>
      <c r="BI36" s="303"/>
      <c r="BJ36" s="303"/>
      <c r="BK36" s="303"/>
      <c r="BL36" s="303"/>
      <c r="BM36" s="303"/>
      <c r="BN36" s="303"/>
      <c r="BO36" s="303"/>
      <c r="BP36" s="303"/>
      <c r="BQ36" s="303"/>
      <c r="BR36" s="303"/>
      <c r="BS36" s="303"/>
      <c r="BT36" s="303"/>
      <c r="BU36" s="303"/>
      <c r="BV36" s="303"/>
      <c r="BW36" s="303"/>
      <c r="BX36" s="303"/>
      <c r="BY36" s="303"/>
      <c r="BZ36" s="303"/>
      <c r="CA36" s="303"/>
      <c r="CB36" s="303"/>
      <c r="CC36" s="303"/>
      <c r="CD36" s="303"/>
      <c r="CE36" s="303"/>
      <c r="CF36" s="303"/>
      <c r="CG36" s="303"/>
      <c r="CH36" s="303"/>
      <c r="CI36" s="303"/>
      <c r="CJ36" s="303"/>
      <c r="CK36" s="303"/>
      <c r="CL36" s="303"/>
      <c r="CM36" s="303"/>
      <c r="CN36" s="303"/>
      <c r="CO36" s="303"/>
      <c r="CP36" s="303"/>
      <c r="CQ36" s="303"/>
      <c r="CR36" s="303"/>
      <c r="CS36" s="303"/>
      <c r="CT36" s="303"/>
      <c r="CU36" s="303"/>
      <c r="CV36" s="303"/>
      <c r="CW36" s="303"/>
      <c r="CX36" s="303"/>
      <c r="CY36" s="303"/>
      <c r="CZ36" s="303"/>
      <c r="DA36" s="303"/>
      <c r="DB36" s="303"/>
      <c r="DC36" s="303"/>
      <c r="DD36" s="303"/>
      <c r="DE36" s="303"/>
      <c r="DF36" s="303"/>
      <c r="DG36" s="303"/>
      <c r="DH36" s="303"/>
      <c r="DI36" s="303"/>
      <c r="DJ36" s="303"/>
      <c r="DK36" s="303"/>
      <c r="DL36" s="303"/>
      <c r="DM36" s="303"/>
      <c r="DN36" s="303"/>
      <c r="DO36" s="303"/>
      <c r="DP36" s="303"/>
      <c r="DQ36" s="303"/>
      <c r="DR36" s="303"/>
      <c r="DS36" s="303"/>
      <c r="DT36" s="303"/>
      <c r="DU36" s="303"/>
      <c r="DV36" s="303"/>
      <c r="DW36" s="303"/>
      <c r="DX36" s="303"/>
      <c r="DY36" s="303"/>
      <c r="DZ36" s="303"/>
      <c r="EA36" s="303"/>
      <c r="EB36" s="303"/>
      <c r="EC36" s="303"/>
      <c r="ED36" s="303"/>
      <c r="EE36" s="303"/>
      <c r="EF36" s="303"/>
      <c r="EG36" s="303"/>
      <c r="EH36" s="303"/>
      <c r="EI36" s="303"/>
      <c r="EJ36" s="303"/>
      <c r="EK36" s="303"/>
      <c r="EL36" s="303"/>
      <c r="EM36" s="303"/>
      <c r="EN36" s="303"/>
      <c r="EO36" s="303"/>
      <c r="EP36" s="303"/>
      <c r="EQ36" s="303"/>
      <c r="ER36" s="303"/>
      <c r="ES36" s="303"/>
      <c r="ET36" s="303"/>
      <c r="EU36" s="303"/>
      <c r="EV36" s="303"/>
      <c r="EW36" s="303"/>
      <c r="EX36" s="303"/>
      <c r="EY36" s="303"/>
      <c r="EZ36" s="303"/>
      <c r="FA36" s="303"/>
      <c r="FB36" s="303"/>
      <c r="FC36" s="303"/>
      <c r="FD36" s="303"/>
      <c r="FE36" s="303"/>
      <c r="FF36" s="303"/>
      <c r="FG36" s="303"/>
      <c r="FH36" s="303"/>
      <c r="FI36" s="303"/>
      <c r="FJ36" s="303"/>
      <c r="FK36" s="303"/>
      <c r="FL36" s="303"/>
      <c r="FM36" s="303"/>
      <c r="FN36" s="303"/>
      <c r="FO36" s="303"/>
      <c r="FP36" s="303"/>
      <c r="FQ36" s="303"/>
      <c r="FR36" s="303"/>
      <c r="FS36" s="303"/>
      <c r="FT36" s="303"/>
      <c r="FU36" s="303"/>
      <c r="FV36" s="303"/>
      <c r="FW36" s="303"/>
      <c r="FX36" s="303"/>
      <c r="FY36" s="303"/>
      <c r="FZ36" s="303"/>
      <c r="GA36" s="303"/>
      <c r="GB36" s="303"/>
      <c r="GC36" s="303"/>
      <c r="GD36" s="303"/>
      <c r="GE36" s="303"/>
      <c r="GF36" s="303"/>
      <c r="GG36" s="303"/>
      <c r="GH36" s="303"/>
      <c r="GI36" s="303"/>
      <c r="GJ36" s="303"/>
      <c r="GK36" s="303"/>
      <c r="GL36" s="303"/>
      <c r="GM36" s="303"/>
      <c r="GN36" s="303"/>
      <c r="GO36" s="303"/>
      <c r="GP36" s="303"/>
      <c r="GQ36" s="303"/>
      <c r="GR36" s="303"/>
      <c r="GS36" s="303"/>
      <c r="GT36" s="303"/>
      <c r="GU36" s="303"/>
      <c r="GV36" s="303"/>
      <c r="GW36" s="303"/>
      <c r="GX36" s="303"/>
      <c r="GY36" s="303"/>
      <c r="GZ36" s="303"/>
      <c r="HA36" s="303"/>
      <c r="HB36" s="303"/>
      <c r="HC36" s="303"/>
      <c r="HD36" s="303"/>
      <c r="HE36" s="303"/>
      <c r="HF36" s="303"/>
      <c r="HG36" s="303"/>
      <c r="HH36" s="303"/>
      <c r="HI36" s="303"/>
      <c r="HJ36" s="303"/>
      <c r="HK36" s="303"/>
      <c r="HL36" s="303"/>
      <c r="HM36" s="303"/>
      <c r="HN36" s="303"/>
      <c r="HO36" s="303"/>
      <c r="HP36" s="303"/>
      <c r="HQ36" s="303"/>
      <c r="HR36" s="303"/>
      <c r="HS36" s="303"/>
      <c r="HT36" s="303"/>
      <c r="HU36" s="303"/>
      <c r="HV36" s="303"/>
      <c r="HW36" s="303"/>
      <c r="HX36" s="303"/>
      <c r="HY36" s="303"/>
      <c r="HZ36" s="303"/>
      <c r="IA36" s="303"/>
      <c r="IB36" s="303"/>
      <c r="IC36" s="303"/>
      <c r="ID36" s="303"/>
      <c r="IE36" s="303"/>
      <c r="IF36" s="303"/>
      <c r="IG36" s="303"/>
      <c r="IH36" s="303"/>
      <c r="II36" s="303"/>
      <c r="IJ36" s="303"/>
      <c r="IK36" s="303"/>
      <c r="IL36" s="303"/>
      <c r="IM36" s="303"/>
      <c r="IN36" s="303"/>
      <c r="IO36" s="303"/>
      <c r="IP36" s="303"/>
      <c r="IQ36" s="303"/>
      <c r="IR36" s="303"/>
      <c r="IS36" s="303"/>
      <c r="IT36" s="303"/>
      <c r="IU36" s="303"/>
      <c r="IV36" s="303"/>
      <c r="IW36" s="303"/>
      <c r="IX36" s="303"/>
      <c r="IY36" s="303"/>
      <c r="IZ36" s="303"/>
      <c r="JA36" s="303"/>
      <c r="JB36" s="303"/>
      <c r="JC36" s="303"/>
      <c r="JD36" s="303"/>
      <c r="JE36" s="303"/>
      <c r="JF36" s="303"/>
      <c r="JG36" s="303"/>
      <c r="JH36" s="303"/>
      <c r="JI36" s="303"/>
      <c r="JJ36" s="303"/>
      <c r="JK36" s="303"/>
      <c r="JL36" s="303"/>
      <c r="JM36" s="303"/>
      <c r="JN36" s="303"/>
      <c r="JO36" s="303"/>
      <c r="JP36" s="303"/>
      <c r="JQ36" s="303"/>
      <c r="JR36" s="303"/>
      <c r="JS36" s="303"/>
      <c r="JT36" s="303"/>
      <c r="JU36" s="303"/>
      <c r="JV36" s="303"/>
      <c r="JW36" s="303"/>
      <c r="JX36" s="303"/>
      <c r="JY36" s="303"/>
      <c r="JZ36" s="303"/>
      <c r="KA36" s="303"/>
      <c r="KB36" s="303"/>
      <c r="KC36" s="303"/>
      <c r="KD36" s="303"/>
      <c r="KE36" s="303"/>
      <c r="KF36" s="303"/>
      <c r="KG36" s="303"/>
      <c r="KH36" s="303"/>
      <c r="KI36" s="303"/>
      <c r="KJ36" s="303"/>
      <c r="KK36" s="303"/>
      <c r="KL36" s="303"/>
      <c r="KM36" s="303"/>
      <c r="KN36" s="303"/>
      <c r="KO36" s="303"/>
      <c r="KP36" s="303"/>
      <c r="KQ36" s="303"/>
      <c r="KR36" s="303"/>
      <c r="KS36" s="303"/>
      <c r="KT36" s="303"/>
      <c r="KU36" s="303"/>
      <c r="KV36" s="303"/>
      <c r="KW36" s="303"/>
      <c r="KX36" s="303"/>
      <c r="KY36" s="303"/>
      <c r="KZ36" s="303"/>
      <c r="LA36" s="303"/>
      <c r="LB36" s="303"/>
      <c r="LC36" s="303"/>
      <c r="LD36" s="303"/>
      <c r="LE36" s="303"/>
      <c r="LF36" s="303"/>
      <c r="LG36" s="303"/>
      <c r="LH36" s="303"/>
      <c r="LI36" s="303"/>
      <c r="LJ36" s="303"/>
      <c r="LK36" s="303"/>
      <c r="LL36" s="303"/>
      <c r="LM36" s="303"/>
      <c r="LN36" s="303"/>
      <c r="LO36" s="303"/>
      <c r="LP36" s="303"/>
      <c r="LQ36" s="303"/>
      <c r="LR36" s="303"/>
      <c r="LS36" s="303"/>
      <c r="LT36" s="303"/>
      <c r="LU36" s="303"/>
      <c r="LV36" s="303"/>
      <c r="LW36" s="303"/>
      <c r="LX36" s="303"/>
      <c r="LY36" s="303"/>
      <c r="LZ36" s="303"/>
      <c r="MA36" s="303"/>
      <c r="MB36" s="303"/>
      <c r="MC36" s="303"/>
      <c r="MD36" s="303"/>
      <c r="ME36" s="303"/>
      <c r="MF36" s="303"/>
      <c r="MG36" s="303"/>
      <c r="MH36" s="303"/>
      <c r="MI36" s="303"/>
      <c r="MJ36" s="303"/>
      <c r="MK36" s="303"/>
      <c r="ML36" s="303"/>
      <c r="MM36" s="303"/>
      <c r="MN36" s="303"/>
      <c r="MO36" s="303"/>
      <c r="MP36" s="303"/>
      <c r="MQ36" s="303"/>
      <c r="MR36" s="303"/>
      <c r="MS36" s="303"/>
      <c r="MT36" s="303"/>
      <c r="MU36" s="303"/>
      <c r="MV36" s="303"/>
      <c r="MW36" s="303"/>
      <c r="MX36" s="303"/>
      <c r="MY36" s="303"/>
      <c r="MZ36" s="303"/>
      <c r="NA36" s="303"/>
      <c r="NB36" s="303"/>
      <c r="NC36" s="303"/>
      <c r="ND36" s="303"/>
      <c r="NE36" s="303"/>
      <c r="NF36" s="303"/>
      <c r="NG36" s="303"/>
      <c r="NH36" s="303"/>
      <c r="NI36" s="303"/>
      <c r="NJ36" s="303"/>
      <c r="NK36" s="303"/>
      <c r="NL36" s="303"/>
      <c r="NM36" s="303"/>
      <c r="NN36" s="303"/>
      <c r="NO36" s="303"/>
      <c r="NP36" s="303"/>
      <c r="NQ36" s="303"/>
      <c r="NR36" s="303"/>
      <c r="NS36" s="303"/>
      <c r="NT36" s="303"/>
      <c r="NU36" s="303"/>
      <c r="NV36" s="303"/>
      <c r="NW36" s="303"/>
      <c r="NX36" s="303"/>
      <c r="NY36" s="303"/>
      <c r="NZ36" s="303"/>
      <c r="OA36" s="303"/>
      <c r="OB36" s="303"/>
      <c r="OC36" s="303"/>
      <c r="OD36" s="303"/>
      <c r="OE36" s="303"/>
      <c r="OF36" s="303"/>
      <c r="OG36" s="303"/>
      <c r="OH36" s="303"/>
      <c r="OI36" s="303"/>
      <c r="OJ36" s="303"/>
      <c r="OK36" s="303"/>
      <c r="OL36" s="303"/>
      <c r="OM36" s="303"/>
      <c r="ON36" s="303"/>
      <c r="OO36" s="303"/>
      <c r="OP36" s="303"/>
      <c r="OQ36" s="303"/>
      <c r="OR36" s="303"/>
      <c r="OS36" s="303"/>
      <c r="OT36" s="303"/>
      <c r="OU36" s="303"/>
      <c r="OV36" s="303"/>
      <c r="OW36" s="303"/>
      <c r="OX36" s="303"/>
      <c r="OY36" s="303"/>
      <c r="OZ36" s="303"/>
      <c r="PA36" s="303"/>
      <c r="PB36" s="303"/>
      <c r="PC36" s="303"/>
      <c r="PD36" s="303"/>
      <c r="PE36" s="303"/>
      <c r="PF36" s="303"/>
      <c r="PG36" s="303"/>
      <c r="PH36" s="303"/>
      <c r="PI36" s="303"/>
      <c r="PJ36" s="303"/>
      <c r="PK36" s="303"/>
      <c r="PL36" s="303"/>
      <c r="PM36" s="303"/>
      <c r="PN36" s="303"/>
      <c r="PO36" s="303"/>
      <c r="PP36" s="303"/>
      <c r="PQ36" s="303"/>
      <c r="PR36" s="303"/>
      <c r="PS36" s="303"/>
      <c r="PT36" s="303"/>
      <c r="PU36" s="303"/>
      <c r="PV36" s="303"/>
      <c r="PW36" s="303"/>
      <c r="PX36" s="303"/>
      <c r="PY36" s="303"/>
      <c r="PZ36" s="303"/>
      <c r="QA36" s="303"/>
      <c r="QB36" s="303"/>
      <c r="QC36" s="303"/>
      <c r="QD36" s="303"/>
      <c r="QE36" s="303"/>
      <c r="QF36" s="303"/>
      <c r="QG36" s="303"/>
      <c r="QH36" s="303"/>
      <c r="QI36" s="303"/>
      <c r="QJ36" s="303"/>
      <c r="QK36" s="303"/>
      <c r="QL36" s="303"/>
      <c r="QM36" s="303"/>
      <c r="QN36" s="303"/>
      <c r="QO36" s="303"/>
      <c r="QP36" s="303"/>
      <c r="QQ36" s="303"/>
      <c r="QR36" s="303"/>
      <c r="QS36" s="303"/>
      <c r="QT36" s="303"/>
      <c r="QU36" s="303"/>
      <c r="QV36" s="303"/>
      <c r="QW36" s="303"/>
      <c r="QX36" s="303"/>
      <c r="QY36" s="303"/>
      <c r="QZ36" s="303"/>
      <c r="RA36" s="303"/>
      <c r="RB36" s="303"/>
      <c r="RC36" s="303"/>
      <c r="RD36" s="303"/>
      <c r="RE36" s="303"/>
      <c r="RF36" s="303"/>
      <c r="RG36" s="303"/>
      <c r="RH36" s="303"/>
      <c r="RI36" s="303"/>
      <c r="RJ36" s="303"/>
      <c r="RK36" s="303"/>
      <c r="RL36" s="303"/>
      <c r="RM36" s="303"/>
      <c r="RN36" s="303"/>
      <c r="RO36" s="303"/>
      <c r="RP36" s="303"/>
      <c r="RQ36" s="303"/>
      <c r="RR36" s="303"/>
      <c r="RS36" s="303"/>
      <c r="RT36" s="303"/>
      <c r="RU36" s="303"/>
      <c r="RV36" s="303"/>
      <c r="RW36" s="303"/>
      <c r="RX36" s="303"/>
      <c r="RY36" s="303"/>
      <c r="RZ36" s="303"/>
      <c r="SA36" s="303"/>
      <c r="SB36" s="303"/>
      <c r="SC36" s="303"/>
      <c r="SD36" s="303"/>
      <c r="SE36" s="303"/>
      <c r="SF36" s="303"/>
      <c r="SG36" s="303"/>
      <c r="SH36" s="303"/>
      <c r="SI36" s="303"/>
      <c r="SJ36" s="303"/>
      <c r="SK36" s="303"/>
      <c r="SL36" s="303"/>
      <c r="SM36" s="303"/>
      <c r="SN36" s="303"/>
      <c r="SO36" s="303"/>
      <c r="SP36" s="303"/>
      <c r="SQ36" s="303"/>
      <c r="SR36" s="303"/>
      <c r="SS36" s="303"/>
      <c r="ST36" s="303"/>
      <c r="SU36" s="303"/>
      <c r="SV36" s="303"/>
      <c r="SW36" s="303"/>
      <c r="SX36" s="303"/>
      <c r="SY36" s="303"/>
      <c r="SZ36" s="303"/>
      <c r="TA36" s="303"/>
      <c r="TB36" s="303"/>
      <c r="TC36" s="303"/>
      <c r="TD36" s="303"/>
      <c r="TE36" s="303"/>
      <c r="TF36" s="303"/>
      <c r="TG36" s="303"/>
      <c r="TH36" s="303"/>
      <c r="TI36" s="303"/>
      <c r="TJ36" s="303"/>
      <c r="TK36" s="303"/>
      <c r="TL36" s="303"/>
      <c r="TM36" s="303"/>
      <c r="TN36" s="303"/>
      <c r="TO36" s="303"/>
      <c r="TP36" s="303"/>
      <c r="TQ36" s="303"/>
      <c r="TR36" s="303"/>
      <c r="TS36" s="303"/>
      <c r="TT36" s="303"/>
      <c r="TU36" s="303"/>
      <c r="TV36" s="303"/>
      <c r="TW36" s="303"/>
      <c r="TX36" s="303"/>
      <c r="TY36" s="303"/>
      <c r="TZ36" s="303"/>
      <c r="UA36" s="303"/>
      <c r="UB36" s="303"/>
      <c r="UC36" s="303"/>
      <c r="UD36" s="303"/>
      <c r="UE36" s="303"/>
      <c r="UF36" s="303"/>
      <c r="UG36" s="303"/>
      <c r="UH36" s="303"/>
      <c r="UI36" s="303"/>
      <c r="UJ36" s="303"/>
      <c r="UK36" s="303"/>
      <c r="UL36" s="303"/>
      <c r="UM36" s="303"/>
      <c r="UN36" s="303"/>
      <c r="UO36" s="303"/>
      <c r="UP36" s="303"/>
      <c r="UQ36" s="303"/>
      <c r="UR36" s="303"/>
      <c r="US36" s="303"/>
      <c r="UT36" s="303"/>
      <c r="UU36" s="303"/>
      <c r="UV36" s="303"/>
      <c r="UW36" s="303"/>
      <c r="UX36" s="303"/>
      <c r="UY36" s="303"/>
      <c r="UZ36" s="303"/>
      <c r="VA36" s="303"/>
      <c r="VB36" s="303"/>
      <c r="VC36" s="303"/>
      <c r="VD36" s="303"/>
      <c r="VE36" s="303"/>
      <c r="VF36" s="303"/>
      <c r="VG36" s="303"/>
      <c r="VH36" s="303"/>
      <c r="VI36" s="303"/>
      <c r="VJ36" s="303"/>
      <c r="VK36" s="303"/>
      <c r="VL36" s="303"/>
      <c r="VM36" s="303"/>
      <c r="VN36" s="303"/>
      <c r="VO36" s="303"/>
      <c r="VP36" s="303"/>
      <c r="VQ36" s="303"/>
      <c r="VR36" s="303"/>
      <c r="VS36" s="303"/>
      <c r="VT36" s="303"/>
      <c r="VU36" s="303"/>
      <c r="VV36" s="303"/>
      <c r="VW36" s="303"/>
      <c r="VX36" s="303"/>
      <c r="VY36" s="303"/>
      <c r="VZ36" s="303"/>
      <c r="WA36" s="303"/>
      <c r="WB36" s="303"/>
      <c r="WC36" s="303"/>
      <c r="WD36" s="303"/>
      <c r="WE36" s="303"/>
      <c r="WF36" s="303"/>
      <c r="WG36" s="303"/>
      <c r="WH36" s="303"/>
      <c r="WI36" s="303"/>
      <c r="WJ36" s="303"/>
      <c r="WK36" s="303"/>
      <c r="WL36" s="303"/>
      <c r="WM36" s="303"/>
      <c r="WN36" s="303"/>
      <c r="WO36" s="303"/>
      <c r="WP36" s="303"/>
      <c r="WQ36" s="303"/>
      <c r="WR36" s="303"/>
      <c r="WS36" s="303"/>
      <c r="WT36" s="303"/>
      <c r="WU36" s="303"/>
      <c r="WV36" s="303"/>
      <c r="WW36" s="303"/>
      <c r="WX36" s="303"/>
      <c r="WY36" s="303"/>
      <c r="WZ36" s="303"/>
      <c r="XA36" s="303"/>
      <c r="XB36" s="303"/>
      <c r="XC36" s="303"/>
      <c r="XD36" s="303"/>
      <c r="XE36" s="303"/>
      <c r="XF36" s="303"/>
      <c r="XG36" s="303"/>
      <c r="XH36" s="303"/>
      <c r="XI36" s="303"/>
      <c r="XJ36" s="303"/>
      <c r="XK36" s="303"/>
      <c r="XL36" s="303"/>
      <c r="XM36" s="303"/>
      <c r="XN36" s="303"/>
      <c r="XO36" s="303"/>
      <c r="XP36" s="303"/>
      <c r="XQ36" s="303"/>
      <c r="XR36" s="303"/>
      <c r="XS36" s="303"/>
      <c r="XT36" s="303"/>
      <c r="XU36" s="303"/>
      <c r="XV36" s="303"/>
      <c r="XW36" s="303"/>
      <c r="XX36" s="303"/>
      <c r="XY36" s="303"/>
      <c r="XZ36" s="303"/>
      <c r="YA36" s="303"/>
      <c r="YB36" s="303"/>
      <c r="YC36" s="303"/>
      <c r="YD36" s="303"/>
      <c r="YE36" s="303"/>
      <c r="YF36" s="303"/>
      <c r="YG36" s="303"/>
      <c r="YH36" s="303"/>
      <c r="YI36" s="303"/>
      <c r="YJ36" s="303"/>
      <c r="YK36" s="303"/>
      <c r="YL36" s="303"/>
      <c r="YM36" s="303"/>
      <c r="YN36" s="303"/>
      <c r="YO36" s="303"/>
      <c r="YP36" s="303"/>
      <c r="YQ36" s="303"/>
      <c r="YR36" s="303"/>
      <c r="YS36" s="303"/>
      <c r="YT36" s="303"/>
      <c r="YU36" s="303"/>
      <c r="YV36" s="303"/>
      <c r="YW36" s="303"/>
      <c r="YX36" s="303"/>
      <c r="YY36" s="303"/>
      <c r="YZ36" s="303"/>
      <c r="ZA36" s="303"/>
      <c r="ZB36" s="303"/>
      <c r="ZC36" s="303"/>
      <c r="ZD36" s="303"/>
      <c r="ZE36" s="303"/>
      <c r="ZF36" s="303"/>
      <c r="ZG36" s="303"/>
      <c r="ZH36" s="303"/>
      <c r="ZI36" s="303"/>
      <c r="ZJ36" s="303"/>
      <c r="ZK36" s="303"/>
      <c r="ZL36" s="303"/>
      <c r="ZM36" s="303"/>
      <c r="ZN36" s="303"/>
      <c r="ZO36" s="303"/>
      <c r="ZP36" s="303"/>
      <c r="ZQ36" s="303"/>
      <c r="ZR36" s="303"/>
      <c r="ZS36" s="303"/>
      <c r="ZT36" s="303"/>
      <c r="ZU36" s="303"/>
      <c r="ZV36" s="303"/>
      <c r="ZW36" s="303"/>
      <c r="ZX36" s="303"/>
      <c r="ZY36" s="303"/>
      <c r="ZZ36" s="303"/>
      <c r="AAA36" s="303"/>
      <c r="AAB36" s="303"/>
      <c r="AAC36" s="303"/>
      <c r="AAD36" s="303"/>
      <c r="AAE36" s="303"/>
      <c r="AAF36" s="303"/>
      <c r="AAG36" s="303"/>
      <c r="AAH36" s="303"/>
      <c r="AAI36" s="303"/>
      <c r="AAJ36" s="303"/>
      <c r="AAK36" s="303"/>
      <c r="AAL36" s="303"/>
      <c r="AAM36" s="303"/>
      <c r="AAN36" s="303"/>
      <c r="AAO36" s="303"/>
      <c r="AAP36" s="303"/>
      <c r="AAQ36" s="303"/>
      <c r="AAR36" s="303"/>
      <c r="AAS36" s="303"/>
      <c r="AAT36" s="303"/>
      <c r="AAU36" s="303"/>
      <c r="AAV36" s="303"/>
      <c r="AAW36" s="303"/>
      <c r="AAX36" s="303"/>
      <c r="AAY36" s="303"/>
      <c r="AAZ36" s="303"/>
      <c r="ABA36" s="303"/>
      <c r="ABB36" s="303"/>
      <c r="ABC36" s="303"/>
      <c r="ABD36" s="303"/>
      <c r="ABE36" s="303"/>
      <c r="ABF36" s="303"/>
      <c r="ABG36" s="303"/>
      <c r="ABH36" s="303"/>
      <c r="ABI36" s="303"/>
      <c r="ABJ36" s="303"/>
      <c r="ABK36" s="303"/>
      <c r="ABL36" s="303"/>
      <c r="ABM36" s="303"/>
      <c r="ABN36" s="303"/>
      <c r="ABO36" s="303"/>
      <c r="ABP36" s="303"/>
      <c r="ABQ36" s="303"/>
      <c r="ABR36" s="303"/>
      <c r="ABS36" s="303"/>
      <c r="ABT36" s="303"/>
      <c r="ABU36" s="303"/>
      <c r="ABV36" s="303"/>
      <c r="ABW36" s="303"/>
      <c r="ABX36" s="303"/>
      <c r="ABY36" s="303"/>
      <c r="ABZ36" s="303"/>
      <c r="ACA36" s="303"/>
      <c r="ACB36" s="303"/>
      <c r="ACC36" s="303"/>
      <c r="ACD36" s="303"/>
      <c r="ACE36" s="303"/>
      <c r="ACF36" s="303"/>
      <c r="ACG36" s="303"/>
      <c r="ACH36" s="303"/>
      <c r="ACI36" s="303"/>
      <c r="ACJ36" s="303"/>
      <c r="ACK36" s="303"/>
      <c r="ACL36" s="303"/>
      <c r="ACM36" s="303"/>
      <c r="ACN36" s="303"/>
      <c r="ACO36" s="303"/>
      <c r="ACP36" s="303"/>
      <c r="ACQ36" s="303"/>
      <c r="ACR36" s="303"/>
      <c r="ACS36" s="303"/>
      <c r="ACT36" s="303"/>
      <c r="ACU36" s="303"/>
      <c r="ACV36" s="303"/>
      <c r="ACW36" s="303"/>
      <c r="ACX36" s="303"/>
      <c r="ACY36" s="303"/>
      <c r="ACZ36" s="303"/>
      <c r="ADA36" s="303"/>
      <c r="ADB36" s="303"/>
      <c r="ADC36" s="303"/>
      <c r="ADD36" s="303"/>
      <c r="ADE36" s="303"/>
      <c r="ADF36" s="303"/>
      <c r="ADG36" s="303"/>
      <c r="ADH36" s="303"/>
      <c r="ADI36" s="303"/>
      <c r="ADJ36" s="303"/>
      <c r="ADK36" s="303"/>
      <c r="ADL36" s="303"/>
      <c r="ADM36" s="303"/>
      <c r="ADN36" s="303"/>
      <c r="ADO36" s="303"/>
      <c r="ADP36" s="303"/>
      <c r="ADQ36" s="303"/>
      <c r="ADR36" s="303"/>
      <c r="ADS36" s="303"/>
      <c r="ADT36" s="303"/>
      <c r="ADU36" s="303"/>
      <c r="ADV36" s="303"/>
      <c r="ADW36" s="303"/>
      <c r="ADX36" s="303"/>
      <c r="ADY36" s="303"/>
      <c r="ADZ36" s="303"/>
      <c r="AEA36" s="303"/>
      <c r="AEB36" s="303"/>
      <c r="AEC36" s="303"/>
      <c r="AED36" s="303"/>
      <c r="AEE36" s="303"/>
      <c r="AEF36" s="303"/>
      <c r="AEG36" s="303"/>
      <c r="AEH36" s="303"/>
      <c r="AEI36" s="303"/>
      <c r="AEJ36" s="303"/>
      <c r="AEK36" s="303"/>
      <c r="AEL36" s="303"/>
      <c r="AEM36" s="303"/>
      <c r="AEN36" s="303"/>
      <c r="AEO36" s="303"/>
      <c r="AEP36" s="303"/>
      <c r="AEQ36" s="303"/>
      <c r="AER36" s="303"/>
      <c r="AES36" s="303"/>
      <c r="AET36" s="303"/>
      <c r="AEU36" s="303"/>
      <c r="AEV36" s="303"/>
      <c r="AEW36" s="303"/>
      <c r="AEX36" s="303"/>
      <c r="AEY36" s="303"/>
      <c r="AEZ36" s="303"/>
      <c r="AFA36" s="303"/>
      <c r="AFB36" s="303"/>
      <c r="AFC36" s="303"/>
      <c r="AFD36" s="303"/>
      <c r="AFE36" s="303"/>
      <c r="AFF36" s="303"/>
      <c r="AFG36" s="303"/>
      <c r="AFH36" s="303"/>
      <c r="AFI36" s="303"/>
      <c r="AFJ36" s="303"/>
      <c r="AFK36" s="303"/>
      <c r="AFL36" s="303"/>
      <c r="AFM36" s="303"/>
      <c r="AFN36" s="303"/>
      <c r="AFO36" s="303"/>
      <c r="AFP36" s="303"/>
      <c r="AFQ36" s="303"/>
      <c r="AFR36" s="303"/>
      <c r="AFS36" s="303"/>
      <c r="AFT36" s="303"/>
      <c r="AFU36" s="303"/>
      <c r="AFV36" s="303"/>
      <c r="AFW36" s="303"/>
      <c r="AFX36" s="303"/>
      <c r="AFY36" s="303"/>
      <c r="AFZ36" s="303"/>
      <c r="AGA36" s="303"/>
      <c r="AGB36" s="303"/>
      <c r="AGC36" s="303"/>
      <c r="AGD36" s="303"/>
      <c r="AGE36" s="303"/>
      <c r="AGF36" s="303"/>
      <c r="AGG36" s="303"/>
      <c r="AGH36" s="303"/>
      <c r="AGI36" s="303"/>
      <c r="AGJ36" s="303"/>
      <c r="AGK36" s="303"/>
      <c r="AGL36" s="303"/>
      <c r="AGM36" s="303"/>
      <c r="AGN36" s="303"/>
      <c r="AGO36" s="303"/>
      <c r="AGP36" s="303"/>
      <c r="AGQ36" s="303"/>
      <c r="AGR36" s="303"/>
      <c r="AGS36" s="303"/>
      <c r="AGT36" s="303"/>
      <c r="AGU36" s="303"/>
      <c r="AGV36" s="303"/>
      <c r="AGW36" s="303"/>
      <c r="AGX36" s="303"/>
      <c r="AGY36" s="303"/>
      <c r="AGZ36" s="303"/>
      <c r="AHA36" s="303"/>
      <c r="AHB36" s="303"/>
      <c r="AHC36" s="303"/>
      <c r="AHD36" s="303"/>
      <c r="AHE36" s="303"/>
      <c r="AHF36" s="303"/>
      <c r="AHG36" s="303"/>
      <c r="AHH36" s="303"/>
      <c r="AHI36" s="303"/>
      <c r="AHJ36" s="303"/>
      <c r="AHK36" s="303"/>
      <c r="AHL36" s="303"/>
      <c r="AHM36" s="303"/>
      <c r="AHN36" s="303"/>
      <c r="AHO36" s="303"/>
      <c r="AHP36" s="303"/>
      <c r="AHQ36" s="303"/>
      <c r="AHR36" s="303"/>
      <c r="AHS36" s="303"/>
      <c r="AHT36" s="303"/>
      <c r="AHU36" s="303"/>
      <c r="AHV36" s="303"/>
      <c r="AHW36" s="303"/>
      <c r="AHX36" s="303"/>
      <c r="AHY36" s="303"/>
      <c r="AHZ36" s="303"/>
      <c r="AIA36" s="303"/>
      <c r="AIB36" s="303"/>
      <c r="AIC36" s="303"/>
      <c r="AID36" s="303"/>
      <c r="AIE36" s="303"/>
      <c r="AIF36" s="303"/>
      <c r="AIG36" s="303"/>
      <c r="AIH36" s="303"/>
      <c r="AII36" s="303"/>
      <c r="AIJ36" s="303"/>
      <c r="AIK36" s="303"/>
      <c r="AIL36" s="303"/>
      <c r="AIM36" s="303"/>
      <c r="AIN36" s="303"/>
      <c r="AIO36" s="303"/>
      <c r="AIP36" s="303"/>
      <c r="AIQ36" s="303"/>
      <c r="AIR36" s="303"/>
      <c r="AIS36" s="303"/>
      <c r="AIT36" s="303"/>
      <c r="AIU36" s="303"/>
      <c r="AIV36" s="303"/>
      <c r="AIW36" s="303"/>
      <c r="AIX36" s="303"/>
      <c r="AIY36" s="303"/>
      <c r="AIZ36" s="303"/>
      <c r="AJA36" s="303"/>
      <c r="AJB36" s="303"/>
      <c r="AJC36" s="303"/>
      <c r="AJD36" s="303"/>
      <c r="AJE36" s="303"/>
      <c r="AJF36" s="303"/>
      <c r="AJG36" s="303"/>
      <c r="AJH36" s="303"/>
      <c r="AJI36" s="303"/>
      <c r="AJJ36" s="303"/>
      <c r="AJK36" s="303"/>
      <c r="AJL36" s="303"/>
      <c r="AJM36" s="303"/>
      <c r="AJN36" s="303"/>
      <c r="AJO36" s="303"/>
      <c r="AJP36" s="303"/>
      <c r="AJQ36" s="303"/>
      <c r="AJR36" s="303"/>
      <c r="AJS36" s="303"/>
      <c r="AJT36" s="303"/>
      <c r="AJU36" s="303"/>
      <c r="AJV36" s="303"/>
      <c r="AJW36" s="303"/>
      <c r="AJX36" s="303"/>
      <c r="AJY36" s="303"/>
      <c r="AJZ36" s="303"/>
      <c r="AKA36" s="303"/>
      <c r="AKB36" s="303"/>
      <c r="AKC36" s="303"/>
      <c r="AKD36" s="303"/>
      <c r="AKE36" s="303"/>
      <c r="AKF36" s="303"/>
      <c r="AKG36" s="303"/>
      <c r="AKH36" s="303"/>
      <c r="AKI36" s="303"/>
      <c r="AKJ36" s="303"/>
      <c r="AKK36" s="303"/>
      <c r="AKL36" s="303"/>
      <c r="AKM36" s="303"/>
      <c r="AKN36" s="303"/>
      <c r="AKO36" s="303"/>
      <c r="AKP36" s="303"/>
      <c r="AKQ36" s="303"/>
      <c r="AKR36" s="303"/>
      <c r="AKS36" s="303"/>
      <c r="AKT36" s="303"/>
      <c r="AKU36" s="303"/>
      <c r="AKV36" s="303"/>
      <c r="AKW36" s="303"/>
      <c r="AKX36" s="303"/>
      <c r="AKY36" s="303"/>
      <c r="AKZ36" s="303"/>
      <c r="ALA36" s="303"/>
      <c r="ALB36" s="303"/>
      <c r="ALC36" s="303"/>
      <c r="ALD36" s="303"/>
      <c r="ALE36" s="303"/>
      <c r="ALF36" s="303"/>
      <c r="ALG36" s="303"/>
      <c r="ALH36" s="303"/>
      <c r="ALI36" s="303"/>
      <c r="ALJ36" s="303"/>
      <c r="ALK36" s="303"/>
      <c r="ALL36" s="303"/>
      <c r="ALM36" s="303"/>
      <c r="ALN36" s="303"/>
      <c r="ALO36" s="303"/>
      <c r="ALP36" s="303"/>
      <c r="ALQ36" s="303"/>
      <c r="ALR36" s="303"/>
      <c r="ALS36" s="303"/>
      <c r="ALT36" s="303"/>
      <c r="ALU36" s="303"/>
      <c r="ALV36" s="303"/>
      <c r="ALW36" s="303"/>
      <c r="ALX36" s="303"/>
      <c r="ALY36" s="303"/>
      <c r="ALZ36" s="303"/>
      <c r="AMA36" s="303"/>
      <c r="AMB36" s="303"/>
      <c r="AMC36" s="303"/>
      <c r="AMD36" s="303"/>
      <c r="AME36" s="303"/>
      <c r="AMF36" s="303"/>
      <c r="AMG36" s="303"/>
      <c r="AMH36" s="303"/>
      <c r="AMI36" s="303"/>
      <c r="AMJ36" s="303"/>
      <c r="AMK36" s="303"/>
      <c r="AML36" s="303"/>
      <c r="AMM36" s="303"/>
      <c r="AMN36" s="303"/>
      <c r="AMO36" s="303"/>
      <c r="AMP36" s="303"/>
      <c r="AMQ36" s="303"/>
      <c r="AMR36" s="303"/>
      <c r="AMS36" s="303"/>
      <c r="AMT36" s="303"/>
      <c r="AMU36" s="303"/>
      <c r="AMV36" s="303"/>
      <c r="AMW36" s="303"/>
      <c r="AMX36" s="303"/>
      <c r="AMY36" s="303"/>
      <c r="AMZ36" s="303"/>
      <c r="ANA36" s="303"/>
      <c r="ANB36" s="303"/>
      <c r="ANC36" s="303"/>
      <c r="AND36" s="303"/>
      <c r="ANE36" s="303"/>
      <c r="ANF36" s="303"/>
      <c r="ANG36" s="303"/>
      <c r="ANH36" s="303"/>
      <c r="ANI36" s="303"/>
      <c r="ANJ36" s="303"/>
      <c r="ANK36" s="303"/>
      <c r="ANL36" s="303"/>
      <c r="ANM36" s="303"/>
      <c r="ANN36" s="303"/>
      <c r="ANO36" s="303"/>
      <c r="ANP36" s="303"/>
      <c r="ANQ36" s="303"/>
      <c r="ANR36" s="303"/>
      <c r="ANS36" s="303"/>
      <c r="ANT36" s="303"/>
      <c r="ANU36" s="303"/>
      <c r="ANV36" s="303"/>
      <c r="ANW36" s="303"/>
      <c r="ANX36" s="303"/>
      <c r="ANY36" s="303"/>
      <c r="ANZ36" s="303"/>
      <c r="AOA36" s="303"/>
      <c r="AOB36" s="303"/>
      <c r="AOC36" s="303"/>
      <c r="AOD36" s="303"/>
      <c r="AOE36" s="303"/>
      <c r="AOF36" s="303"/>
      <c r="AOG36" s="303"/>
      <c r="AOH36" s="303"/>
      <c r="AOI36" s="303"/>
      <c r="AOJ36" s="303"/>
      <c r="AOK36" s="303"/>
      <c r="AOL36" s="303"/>
      <c r="AOM36" s="303"/>
      <c r="AON36" s="303"/>
      <c r="AOO36" s="303"/>
      <c r="AOP36" s="303"/>
      <c r="AOQ36" s="303"/>
      <c r="AOR36" s="303"/>
      <c r="AOS36" s="303"/>
      <c r="AOT36" s="303"/>
      <c r="AOU36" s="303"/>
      <c r="AOV36" s="303"/>
      <c r="AOW36" s="303"/>
      <c r="AOX36" s="303"/>
      <c r="AOY36" s="303"/>
      <c r="AOZ36" s="303"/>
      <c r="APA36" s="303"/>
      <c r="APB36" s="303"/>
      <c r="APC36" s="303"/>
      <c r="APD36" s="303"/>
      <c r="APE36" s="303"/>
      <c r="APF36" s="303"/>
      <c r="APG36" s="303"/>
      <c r="APH36" s="303"/>
      <c r="API36" s="303"/>
      <c r="APJ36" s="303"/>
      <c r="APK36" s="303"/>
      <c r="APL36" s="303"/>
      <c r="APM36" s="303"/>
      <c r="APN36" s="303"/>
      <c r="APO36" s="303"/>
      <c r="APP36" s="303"/>
      <c r="APQ36" s="303"/>
      <c r="APR36" s="303"/>
      <c r="APS36" s="303"/>
      <c r="APT36" s="303"/>
      <c r="APU36" s="303"/>
      <c r="APV36" s="303"/>
      <c r="APW36" s="303"/>
      <c r="APX36" s="303"/>
      <c r="APY36" s="303"/>
      <c r="APZ36" s="303"/>
      <c r="AQA36" s="303"/>
      <c r="AQB36" s="303"/>
      <c r="AQC36" s="303"/>
      <c r="AQD36" s="303"/>
      <c r="AQE36" s="303"/>
      <c r="AQF36" s="303"/>
      <c r="AQG36" s="303"/>
      <c r="AQH36" s="303"/>
      <c r="AQI36" s="303"/>
      <c r="AQJ36" s="303"/>
      <c r="AQK36" s="303"/>
      <c r="AQL36" s="303"/>
      <c r="AQM36" s="303"/>
      <c r="AQN36" s="303"/>
      <c r="AQO36" s="303"/>
      <c r="AQP36" s="303"/>
      <c r="AQQ36" s="303"/>
      <c r="AQR36" s="303"/>
      <c r="AQS36" s="303"/>
      <c r="AQT36" s="303"/>
      <c r="AQU36" s="303"/>
      <c r="AQV36" s="303"/>
      <c r="AQW36" s="303"/>
      <c r="AQX36" s="303"/>
      <c r="AQY36" s="303"/>
      <c r="AQZ36" s="303"/>
      <c r="ARA36" s="303"/>
      <c r="ARB36" s="303"/>
      <c r="ARC36" s="303"/>
      <c r="ARD36" s="303"/>
      <c r="ARE36" s="303"/>
      <c r="ARF36" s="303"/>
      <c r="ARG36" s="303"/>
      <c r="ARH36" s="303"/>
      <c r="ARI36" s="303"/>
      <c r="ARJ36" s="303"/>
      <c r="ARK36" s="303"/>
      <c r="ARL36" s="303"/>
      <c r="ARM36" s="303"/>
      <c r="ARN36" s="303"/>
      <c r="ARO36" s="303"/>
      <c r="ARP36" s="303"/>
      <c r="ARQ36" s="303"/>
      <c r="ARR36" s="303"/>
      <c r="ARS36" s="303"/>
      <c r="ART36" s="303"/>
      <c r="ARU36" s="303"/>
      <c r="ARV36" s="303"/>
      <c r="ARW36" s="303"/>
      <c r="ARX36" s="303"/>
      <c r="ARY36" s="303"/>
      <c r="ARZ36" s="303"/>
      <c r="ASA36" s="303"/>
      <c r="ASB36" s="303"/>
      <c r="ASC36" s="303"/>
      <c r="ASD36" s="303"/>
      <c r="ASE36" s="303"/>
      <c r="ASF36" s="303"/>
      <c r="ASG36" s="303"/>
      <c r="ASH36" s="303"/>
      <c r="ASI36" s="303"/>
      <c r="ASJ36" s="303"/>
      <c r="ASK36" s="303"/>
      <c r="ASL36" s="303"/>
      <c r="ASM36" s="303"/>
      <c r="ASN36" s="303"/>
      <c r="ASO36" s="303"/>
      <c r="ASP36" s="303"/>
      <c r="ASQ36" s="303"/>
      <c r="ASR36" s="303"/>
      <c r="ASS36" s="303"/>
      <c r="AST36" s="303"/>
      <c r="ASU36" s="303"/>
      <c r="ASV36" s="303"/>
      <c r="ASW36" s="303"/>
      <c r="ASX36" s="303"/>
      <c r="ASY36" s="303"/>
      <c r="ASZ36" s="303"/>
      <c r="ATA36" s="303"/>
      <c r="ATB36" s="303"/>
      <c r="ATC36" s="303"/>
      <c r="ATD36" s="303"/>
      <c r="ATE36" s="303"/>
      <c r="ATF36" s="303"/>
      <c r="ATG36" s="303"/>
      <c r="ATH36" s="303"/>
      <c r="ATI36" s="303"/>
      <c r="ATJ36" s="303"/>
      <c r="ATK36" s="303"/>
      <c r="ATL36" s="303"/>
      <c r="ATM36" s="303"/>
      <c r="ATN36" s="303"/>
      <c r="ATO36" s="303"/>
      <c r="ATP36" s="303"/>
      <c r="ATQ36" s="303"/>
      <c r="ATR36" s="303"/>
      <c r="ATS36" s="303"/>
      <c r="ATT36" s="303"/>
      <c r="ATU36" s="303"/>
      <c r="ATV36" s="303"/>
      <c r="ATW36" s="303"/>
      <c r="ATX36" s="303"/>
      <c r="ATY36" s="303"/>
      <c r="ATZ36" s="303"/>
      <c r="AUA36" s="303"/>
      <c r="AUB36" s="303"/>
      <c r="AUC36" s="303"/>
      <c r="AUD36" s="303"/>
      <c r="AUE36" s="303"/>
      <c r="AUF36" s="303"/>
      <c r="AUG36" s="303"/>
      <c r="AUH36" s="303"/>
      <c r="AUI36" s="303"/>
      <c r="AUJ36" s="303"/>
      <c r="AUK36" s="303"/>
      <c r="AUL36" s="303"/>
      <c r="AUM36" s="303"/>
      <c r="AUN36" s="303"/>
      <c r="AUO36" s="303"/>
      <c r="AUP36" s="303"/>
      <c r="AUQ36" s="303"/>
      <c r="AUR36" s="303"/>
      <c r="AUS36" s="303"/>
      <c r="AUT36" s="303"/>
      <c r="AUU36" s="303"/>
      <c r="AUV36" s="303"/>
      <c r="AUW36" s="303"/>
      <c r="AUX36" s="303"/>
      <c r="AUY36" s="303"/>
      <c r="AUZ36" s="303"/>
      <c r="AVA36" s="303"/>
      <c r="AVB36" s="303"/>
      <c r="AVC36" s="303"/>
      <c r="AVD36" s="303"/>
      <c r="AVE36" s="303"/>
      <c r="AVF36" s="303"/>
      <c r="AVG36" s="303"/>
      <c r="AVH36" s="303"/>
      <c r="AVI36" s="303"/>
      <c r="AVJ36" s="303"/>
      <c r="AVK36" s="303"/>
      <c r="AVL36" s="303"/>
      <c r="AVM36" s="303"/>
      <c r="AVN36" s="303"/>
      <c r="AVO36" s="303"/>
      <c r="AVP36" s="303"/>
      <c r="AVQ36" s="303"/>
      <c r="AVR36" s="303"/>
      <c r="AVS36" s="303"/>
      <c r="AVT36" s="303"/>
      <c r="AVU36" s="303"/>
      <c r="AVV36" s="303"/>
      <c r="AVW36" s="303"/>
      <c r="AVX36" s="303"/>
      <c r="AVY36" s="303"/>
      <c r="AVZ36" s="303"/>
      <c r="AWA36" s="303"/>
      <c r="AWB36" s="303"/>
      <c r="AWC36" s="303"/>
      <c r="AWD36" s="303"/>
      <c r="AWE36" s="303"/>
      <c r="AWF36" s="303"/>
      <c r="AWG36" s="303"/>
      <c r="AWH36" s="303"/>
      <c r="AWI36" s="303"/>
      <c r="AWJ36" s="303"/>
      <c r="AWK36" s="303"/>
      <c r="AWL36" s="303"/>
      <c r="AWM36" s="303"/>
      <c r="AWN36" s="303"/>
      <c r="AWO36" s="303"/>
      <c r="AWP36" s="303"/>
      <c r="AWQ36" s="303"/>
      <c r="AWR36" s="303"/>
      <c r="AWS36" s="303"/>
      <c r="AWT36" s="303"/>
      <c r="AWU36" s="303"/>
      <c r="AWV36" s="303"/>
      <c r="AWW36" s="303"/>
      <c r="AWX36" s="303"/>
      <c r="AWY36" s="303"/>
      <c r="AWZ36" s="303"/>
      <c r="AXA36" s="303"/>
      <c r="AXB36" s="303"/>
      <c r="AXC36" s="303"/>
      <c r="AXD36" s="303"/>
      <c r="AXE36" s="303"/>
      <c r="AXF36" s="303"/>
      <c r="AXG36" s="303"/>
      <c r="AXH36" s="303"/>
      <c r="AXI36" s="303"/>
      <c r="AXJ36" s="303"/>
      <c r="AXK36" s="303"/>
      <c r="AXL36" s="303"/>
      <c r="AXM36" s="303"/>
      <c r="AXN36" s="303"/>
      <c r="AXO36" s="303"/>
      <c r="AXP36" s="303"/>
      <c r="AXQ36" s="303"/>
      <c r="AXR36" s="303"/>
      <c r="AXS36" s="303"/>
      <c r="AXT36" s="303"/>
      <c r="AXU36" s="303"/>
      <c r="AXV36" s="303"/>
      <c r="AXW36" s="303"/>
      <c r="AXX36" s="303"/>
      <c r="AXY36" s="303"/>
      <c r="AXZ36" s="303"/>
      <c r="AYA36" s="303"/>
      <c r="AYB36" s="303"/>
      <c r="AYC36" s="303"/>
      <c r="AYD36" s="303"/>
      <c r="AYE36" s="303"/>
      <c r="AYF36" s="303"/>
      <c r="AYG36" s="303"/>
      <c r="AYH36" s="303"/>
    </row>
  </sheetData>
  <pageMargins left="0.7" right="0.7" top="0.75" bottom="0.75" header="0.3" footer="0.3"/>
  <pageSetup scale="64" fitToHeight="0" orientation="landscape"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5">
    <tabColor rgb="FFFFC000"/>
  </sheetPr>
  <dimension ref="A1:V70"/>
  <sheetViews>
    <sheetView topLeftCell="D1" workbookViewId="0">
      <selection activeCell="W33" sqref="W33"/>
    </sheetView>
  </sheetViews>
  <sheetFormatPr defaultRowHeight="15" x14ac:dyDescent="0.25"/>
  <cols>
    <col min="1" max="1" width="14.42578125" customWidth="1"/>
    <col min="2" max="2" width="37.28515625" style="2" customWidth="1"/>
    <col min="3" max="3" width="20.42578125" customWidth="1"/>
    <col min="4" max="4" width="16.140625" customWidth="1"/>
    <col min="5" max="5" width="10.5703125" bestFit="1" customWidth="1"/>
    <col min="6" max="6" width="11.140625" customWidth="1"/>
    <col min="7" max="7" width="10.42578125" customWidth="1"/>
    <col min="8" max="8" width="15.5703125" customWidth="1"/>
    <col min="9" max="9" width="11.7109375" customWidth="1"/>
    <col min="10" max="12" width="15.5703125" customWidth="1"/>
    <col min="13" max="13" width="14.28515625" bestFit="1" customWidth="1"/>
    <col min="14" max="14" width="15.5703125" customWidth="1"/>
    <col min="15" max="16" width="11.5703125" bestFit="1" customWidth="1"/>
    <col min="17" max="17" width="15.5703125" bestFit="1" customWidth="1"/>
    <col min="18" max="18" width="13.28515625" customWidth="1"/>
    <col min="19" max="19" width="11.5703125" bestFit="1" customWidth="1"/>
  </cols>
  <sheetData>
    <row r="1" spans="1:22" x14ac:dyDescent="0.25">
      <c r="B1"/>
    </row>
    <row r="3" spans="1:22" x14ac:dyDescent="0.25">
      <c r="A3" t="str" vm="2783">
        <f>CUBEMEMBER("ThisWorkbookDataModel","[Measures].[Sum of Проценета вредност на набавка со ДДВ (денари)]")</f>
        <v>Sum of Проценета вредност на набавка со ДДВ (денари)</v>
      </c>
      <c r="B3"/>
      <c r="C3" t="s">
        <v>151</v>
      </c>
      <c r="D3" t="s">
        <v>139</v>
      </c>
    </row>
    <row r="4" spans="1:22" x14ac:dyDescent="0.25">
      <c r="B4"/>
      <c r="C4" s="195" t="str" vm="184">
        <f>CUBEMEMBER("ThisWorkbookDataModel","[Calendar].[Година].&amp;[2022]")</f>
        <v>2022</v>
      </c>
      <c r="D4" s="195"/>
      <c r="E4" t="str" vm="184">
        <f>CUBEMEMBER("ThisWorkbookDataModel","[Calendar].[Година].&amp;[2022]","2022 Total")</f>
        <v>2022 Total</v>
      </c>
      <c r="F4" s="2" t="str" vm="184">
        <f>CUBEMEMBER("ThisWorkbookDataModel","[Calendar].[Година].&amp;[2022]")</f>
        <v>2022</v>
      </c>
      <c r="G4" s="2"/>
      <c r="H4" s="2"/>
      <c r="I4" s="2"/>
      <c r="J4" s="2"/>
      <c r="K4" s="2"/>
      <c r="L4" s="2"/>
      <c r="M4" s="2"/>
      <c r="N4" s="2"/>
      <c r="O4" s="2"/>
      <c r="P4" s="2"/>
      <c r="Q4" s="2"/>
    </row>
    <row r="5" spans="1:22" x14ac:dyDescent="0.25">
      <c r="A5" t="s">
        <v>269</v>
      </c>
      <c r="B5" t="s">
        <v>270</v>
      </c>
      <c r="C5" s="194" t="e">
        <f>CUBEMEMBER("ThisWorkbookDataModel","[CAPEX].[Очекуван датум на плаќање].&amp;[2022-11-01T00:00:00]")</f>
        <v>#N/A</v>
      </c>
      <c r="D5" s="194" t="str" vm="238">
        <f>CUBEMEMBER("ThisWorkbookDataModel","[CAPEX].[Очекуван датум на плаќање].&amp;[2022-12-01T00:00:00]")</f>
        <v>12/1/2022</v>
      </c>
      <c r="F5" t="str" vm="1439">
        <f>CUBEMEMBER("ThisWorkbookDataModel","[CAPEX].[Очекуван датум на плаќање].&amp;[2023-01-01T00:00:00]")</f>
        <v>1/1/2023</v>
      </c>
      <c r="G5" t="str" vm="1455">
        <f>CUBEMEMBER("ThisWorkbookDataModel","[CAPEX].[Очекуван датум на плаќање].&amp;[2023-02-01T00:00:00]")</f>
        <v>2/1/2023</v>
      </c>
      <c r="H5" t="str" vm="2104">
        <f>CUBEMEMBER("ThisWorkbookDataModel","[CAPEX].[Очекуван датум на плаќање].&amp;[2023-03-01T00:00:00]")</f>
        <v>3/1/2023</v>
      </c>
      <c r="I5" t="str" vm="2103">
        <f>CUBEMEMBER("ThisWorkbookDataModel","[CAPEX].[Очекуван датум на плаќање].&amp;[2023-04-01T00:00:00]")</f>
        <v>4/1/2023</v>
      </c>
      <c r="J5" t="str" vm="2107">
        <f>CUBEMEMBER("ThisWorkbookDataModel","[CAPEX].[Очекуван датум на плаќање].&amp;[2023-05-01T00:00:00]")</f>
        <v>5/1/2023</v>
      </c>
      <c r="K5" t="str" vm="1449">
        <f>CUBEMEMBER("ThisWorkbookDataModel","[CAPEX].[Очекуван датум на плаќање].&amp;[2023-06-01T00:00:00]")</f>
        <v>6/1/2023</v>
      </c>
      <c r="L5" t="e">
        <f>CUBEMEMBER("ThisWorkbookDataModel","[CAPEX].[Очекуван датум на плаќање].&amp;[2023-07-01T00:00:00]")</f>
        <v>#N/A</v>
      </c>
      <c r="M5" t="str" vm="2109">
        <f>CUBEMEMBER("ThisWorkbookDataModel","[CAPEX].[Очекуван датум на плаќање].&amp;[2023-08-01T00:00:00]")</f>
        <v>8/1/2023</v>
      </c>
      <c r="N5" t="str" vm="1444">
        <f>CUBEMEMBER("ThisWorkbookDataModel","[CAPEX].[Очекуван датум на плаќање].&amp;[2023-09-01T00:00:00]")</f>
        <v>9/1/2023</v>
      </c>
      <c r="O5" t="str" vm="2102">
        <f>CUBEMEMBER("ThisWorkbookDataModel","[CAPEX].[Очекуван датум на плаќање].&amp;[2023-10-01T00:00:00]")</f>
        <v>10/1/2023</v>
      </c>
      <c r="P5" t="str" vm="2105">
        <f>CUBEMEMBER("ThisWorkbookDataModel","[CAPEX].[Очекуван датум на плаќање].&amp;[2023-11-01T00:00:00]")</f>
        <v>11/1/2023</v>
      </c>
      <c r="Q5" t="str" vm="1452">
        <f>CUBEMEMBER("ThisWorkbookDataModel","[CAPEX].[Очекуван датум на плаќање].&amp;[2023-12-01T00:00:00]")</f>
        <v>12/1/2023</v>
      </c>
      <c r="R5" t="str" vm="1479">
        <f>CUBEMEMBER("ThisWorkbookDataModel","[Calendar].[Година].&amp;[2023]","2023 Total")</f>
        <v>2023 Total</v>
      </c>
    </row>
    <row r="6" spans="1:22" x14ac:dyDescent="0.25">
      <c r="A6" t="str" vm="179">
        <f>CUBEMEMBER("ThisWorkbookDataModel","[CAPEX].[Број на јавна набавка (план)].&amp;[2021-011]")</f>
        <v>2021-011</v>
      </c>
      <c r="C6">
        <f t="shared" ref="C6:D12" si="0">IF(ISERROR(CUBEVALUE("ThisWorkbookDataModel",$A$3,$A6,C$5)),0,CUBEVALUE("ThisWorkbookDataModel",$A$3,$A6,C$5))</f>
        <v>0</v>
      </c>
      <c r="D6" vm="3033">
        <f t="shared" si="0"/>
        <v>1820000</v>
      </c>
      <c r="E6" s="8">
        <f t="shared" ref="E6:E12" si="1">SUM(C6:D6)</f>
        <v>1820000</v>
      </c>
      <c r="F6" t="str" vm="2932">
        <f t="shared" ref="F6:Q7" si="2">IF(ISERROR(CUBEVALUE("ThisWorkbookDataModel",$A$3,$A6,F$5)),0,CUBEVALUE("ThisWorkbookDataModel",$A$3,$A6,F$5))</f>
        <v/>
      </c>
      <c r="G6" t="str" vm="3101">
        <f t="shared" si="2"/>
        <v/>
      </c>
      <c r="H6" t="str" vm="3056">
        <f t="shared" si="2"/>
        <v/>
      </c>
      <c r="I6" t="str" vm="2855">
        <f t="shared" si="2"/>
        <v/>
      </c>
      <c r="J6" t="str" vm="2844">
        <f t="shared" si="2"/>
        <v/>
      </c>
      <c r="K6" t="str" vm="3052">
        <f t="shared" si="2"/>
        <v/>
      </c>
      <c r="L6">
        <f t="shared" si="2"/>
        <v>0</v>
      </c>
      <c r="M6" t="str" vm="3050">
        <f t="shared" si="2"/>
        <v/>
      </c>
      <c r="N6" t="str" vm="2794">
        <f t="shared" si="2"/>
        <v/>
      </c>
      <c r="O6" vm="3028">
        <f t="shared" si="2"/>
        <v>1820000</v>
      </c>
      <c r="P6" t="str" vm="2787">
        <f t="shared" si="2"/>
        <v/>
      </c>
      <c r="Q6" t="str" vm="2820">
        <f t="shared" si="2"/>
        <v/>
      </c>
      <c r="R6" s="256">
        <f t="shared" ref="R6" si="3">SUM(F6:Q6)</f>
        <v>1820000</v>
      </c>
    </row>
    <row r="7" spans="1:22" x14ac:dyDescent="0.25">
      <c r="A7" t="str" vm="180">
        <f>CUBEMEMBER("ThisWorkbookDataModel","[CAPEX].[Број на јавна набавка (план)].&amp;[2021-012]")</f>
        <v>2021-012</v>
      </c>
      <c r="B7"/>
      <c r="C7">
        <f t="shared" si="0"/>
        <v>0</v>
      </c>
      <c r="D7" t="str" vm="2961">
        <f t="shared" si="0"/>
        <v/>
      </c>
      <c r="E7" s="8">
        <f t="shared" si="1"/>
        <v>0</v>
      </c>
      <c r="F7" t="str" vm="3086">
        <f t="shared" si="2"/>
        <v/>
      </c>
      <c r="G7" t="str" vm="3121">
        <f t="shared" si="2"/>
        <v/>
      </c>
      <c r="H7" t="str" vm="3026">
        <f t="shared" si="2"/>
        <v/>
      </c>
      <c r="I7" vm="2834">
        <f t="shared" si="2"/>
        <v>11261250</v>
      </c>
      <c r="J7" t="str" vm="2950">
        <f t="shared" si="2"/>
        <v/>
      </c>
      <c r="K7" t="str" vm="2962">
        <f t="shared" si="2"/>
        <v/>
      </c>
      <c r="L7">
        <f t="shared" si="2"/>
        <v>0</v>
      </c>
      <c r="M7" t="str" vm="3126">
        <f t="shared" si="2"/>
        <v/>
      </c>
      <c r="N7" t="str" vm="3066">
        <f t="shared" si="2"/>
        <v/>
      </c>
      <c r="O7" t="str" vm="2795">
        <f t="shared" si="2"/>
        <v/>
      </c>
      <c r="P7" t="str" vm="2811">
        <f t="shared" si="2"/>
        <v/>
      </c>
      <c r="Q7" t="str" vm="3038">
        <f t="shared" si="2"/>
        <v/>
      </c>
      <c r="R7" s="256">
        <f t="shared" ref="R7:R13" si="4">SUM(F7:Q7)</f>
        <v>11261250</v>
      </c>
    </row>
    <row r="8" spans="1:22" x14ac:dyDescent="0.25">
      <c r="A8" t="str" vm="181">
        <f>CUBEMEMBER("ThisWorkbookDataModel","[CAPEX].[Број на јавна набавка (план)].&amp;[2021-013]")</f>
        <v>2021-013</v>
      </c>
      <c r="B8"/>
      <c r="C8">
        <f t="shared" si="0"/>
        <v>0</v>
      </c>
      <c r="D8" t="str" vm="2896">
        <f t="shared" si="0"/>
        <v/>
      </c>
      <c r="E8" s="8">
        <f t="shared" si="1"/>
        <v>0</v>
      </c>
      <c r="F8" t="str" vm="3128">
        <f t="shared" ref="F8:Q12" si="5">IF(ISERROR(CUBEVALUE("ThisWorkbookDataModel",$A$3,$A8,F$5)),0,CUBEVALUE("ThisWorkbookDataModel",$A$3,$A8,F$5))</f>
        <v/>
      </c>
      <c r="G8" t="str" vm="3055">
        <f t="shared" si="5"/>
        <v/>
      </c>
      <c r="H8" vm="2815">
        <f t="shared" si="5"/>
        <v>2000000</v>
      </c>
      <c r="I8" t="str" vm="2856">
        <f t="shared" si="5"/>
        <v/>
      </c>
      <c r="J8" t="str" vm="2807">
        <f t="shared" si="5"/>
        <v/>
      </c>
      <c r="K8" t="str" vm="2901">
        <f t="shared" si="5"/>
        <v/>
      </c>
      <c r="L8">
        <f t="shared" si="5"/>
        <v>0</v>
      </c>
      <c r="M8" t="str" vm="3017">
        <f t="shared" si="5"/>
        <v/>
      </c>
      <c r="N8" t="str" vm="2809">
        <f t="shared" si="5"/>
        <v/>
      </c>
      <c r="O8" t="str" vm="3090">
        <f t="shared" si="5"/>
        <v/>
      </c>
      <c r="P8" t="str" vm="2880">
        <f t="shared" si="5"/>
        <v/>
      </c>
      <c r="Q8" t="str" vm="3115">
        <f t="shared" si="5"/>
        <v/>
      </c>
      <c r="R8" s="256">
        <f t="shared" si="4"/>
        <v>2000000</v>
      </c>
    </row>
    <row r="9" spans="1:22" x14ac:dyDescent="0.25">
      <c r="A9" t="str" vm="241">
        <f>CUBEMEMBER("ThisWorkbookDataModel","[CAPEX].[Број на јавна набавка (план)].&amp;[2021-014]")</f>
        <v>2021-014</v>
      </c>
      <c r="B9"/>
      <c r="C9">
        <f t="shared" si="0"/>
        <v>0</v>
      </c>
      <c r="D9" t="str" vm="2886">
        <f t="shared" si="0"/>
        <v/>
      </c>
      <c r="E9" s="8">
        <f t="shared" si="1"/>
        <v>0</v>
      </c>
      <c r="F9" t="str" vm="2980">
        <f t="shared" si="5"/>
        <v/>
      </c>
      <c r="G9" t="str" vm="3027">
        <f t="shared" si="5"/>
        <v/>
      </c>
      <c r="H9" t="str" vm="2971">
        <f t="shared" si="5"/>
        <v/>
      </c>
      <c r="I9" vm="3109">
        <f t="shared" si="5"/>
        <v>877000</v>
      </c>
      <c r="J9" t="str" vm="3133">
        <f t="shared" si="5"/>
        <v/>
      </c>
      <c r="K9" t="str" vm="3110">
        <f t="shared" si="5"/>
        <v/>
      </c>
      <c r="L9">
        <f t="shared" si="5"/>
        <v>0</v>
      </c>
      <c r="M9" t="str" vm="2868">
        <f t="shared" si="5"/>
        <v/>
      </c>
      <c r="N9" t="str" vm="2903">
        <f t="shared" si="5"/>
        <v/>
      </c>
      <c r="O9" t="str" vm="2987">
        <f t="shared" si="5"/>
        <v/>
      </c>
      <c r="P9" t="str" vm="2842">
        <f t="shared" si="5"/>
        <v/>
      </c>
      <c r="Q9" t="str" vm="2785">
        <f t="shared" si="5"/>
        <v/>
      </c>
      <c r="R9" s="256">
        <f t="shared" si="4"/>
        <v>877000</v>
      </c>
    </row>
    <row r="10" spans="1:22" x14ac:dyDescent="0.25">
      <c r="A10" t="str" vm="2130">
        <f>CUBEMEMBER("ThisWorkbookDataModel","[CAPEX].[Број на јавна набавка (план)].&amp;[2021-017]")</f>
        <v>2021-017</v>
      </c>
      <c r="B10"/>
      <c r="C10">
        <f t="shared" si="0"/>
        <v>0</v>
      </c>
      <c r="D10" t="str" vm="3078">
        <f t="shared" si="0"/>
        <v/>
      </c>
      <c r="E10" s="8">
        <f t="shared" si="1"/>
        <v>0</v>
      </c>
      <c r="F10" vm="2883">
        <f t="shared" si="5"/>
        <v>6090000</v>
      </c>
      <c r="G10" t="str" vm="2862">
        <f t="shared" si="5"/>
        <v/>
      </c>
      <c r="H10" t="str" vm="2985">
        <f t="shared" si="5"/>
        <v/>
      </c>
      <c r="I10" t="str" vm="3124">
        <f t="shared" si="5"/>
        <v/>
      </c>
      <c r="J10" t="str" vm="2789">
        <f t="shared" si="5"/>
        <v/>
      </c>
      <c r="K10" t="str" vm="2884">
        <f t="shared" si="5"/>
        <v/>
      </c>
      <c r="L10">
        <f t="shared" si="5"/>
        <v>0</v>
      </c>
      <c r="M10" t="str" vm="3022">
        <f t="shared" si="5"/>
        <v/>
      </c>
      <c r="N10" t="str" vm="3007">
        <f t="shared" si="5"/>
        <v/>
      </c>
      <c r="O10" t="str" vm="3125">
        <f t="shared" si="5"/>
        <v/>
      </c>
      <c r="P10" t="str" vm="2930">
        <f t="shared" si="5"/>
        <v/>
      </c>
      <c r="Q10" t="str" vm="2821">
        <f t="shared" si="5"/>
        <v/>
      </c>
      <c r="R10" s="256">
        <f t="shared" si="4"/>
        <v>6090000</v>
      </c>
    </row>
    <row r="11" spans="1:22" x14ac:dyDescent="0.25">
      <c r="A11" t="str" vm="239">
        <f>CUBEMEMBER("ThisWorkbookDataModel","[CAPEX].[Број на јавна набавка (план)].&amp;[2022-002]")</f>
        <v>2022-002</v>
      </c>
      <c r="C11">
        <f t="shared" si="0"/>
        <v>0</v>
      </c>
      <c r="D11" t="str" vm="2897">
        <f t="shared" si="0"/>
        <v/>
      </c>
      <c r="E11" s="8">
        <f t="shared" si="1"/>
        <v>0</v>
      </c>
      <c r="F11" vm="3004">
        <f t="shared" si="5"/>
        <v>236000</v>
      </c>
      <c r="G11" t="str" vm="2846">
        <f t="shared" si="5"/>
        <v/>
      </c>
      <c r="H11" t="str" vm="3018">
        <f t="shared" si="5"/>
        <v/>
      </c>
      <c r="I11" t="str" vm="2786">
        <f t="shared" si="5"/>
        <v/>
      </c>
      <c r="J11" t="str" vm="2944">
        <f t="shared" si="5"/>
        <v/>
      </c>
      <c r="K11" t="str" vm="2876">
        <f t="shared" si="5"/>
        <v/>
      </c>
      <c r="L11">
        <f t="shared" si="5"/>
        <v>0</v>
      </c>
      <c r="M11" t="str" vm="2863">
        <f t="shared" si="5"/>
        <v/>
      </c>
      <c r="N11" t="str" vm="2790">
        <f t="shared" si="5"/>
        <v/>
      </c>
      <c r="O11" t="str" vm="2988">
        <f t="shared" si="5"/>
        <v/>
      </c>
      <c r="P11" t="str" vm="2924">
        <f t="shared" si="5"/>
        <v/>
      </c>
      <c r="Q11" t="str" vm="3123">
        <f t="shared" si="5"/>
        <v/>
      </c>
      <c r="R11" s="256">
        <f t="shared" si="4"/>
        <v>236000</v>
      </c>
    </row>
    <row r="12" spans="1:22" x14ac:dyDescent="0.25">
      <c r="A12" t="str" vm="240">
        <f>CUBEMEMBER("ThisWorkbookDataModel","[CAPEX].[Број на јавна набавка (план)].&amp;[2022-003]")</f>
        <v>2022-003</v>
      </c>
      <c r="C12">
        <f t="shared" si="0"/>
        <v>0</v>
      </c>
      <c r="D12" t="str" vm="2878">
        <f t="shared" si="0"/>
        <v/>
      </c>
      <c r="E12" s="8">
        <f t="shared" si="1"/>
        <v>0</v>
      </c>
      <c r="F12" t="str" vm="3014">
        <f t="shared" si="5"/>
        <v/>
      </c>
      <c r="G12" vm="2915">
        <f t="shared" si="5"/>
        <v>495600</v>
      </c>
      <c r="H12" t="str" vm="2983">
        <f t="shared" si="5"/>
        <v/>
      </c>
      <c r="I12" t="str" vm="3114">
        <f t="shared" si="5"/>
        <v/>
      </c>
      <c r="J12" t="str" vm="2788">
        <f t="shared" si="5"/>
        <v/>
      </c>
      <c r="K12" t="str" vm="3105">
        <f t="shared" si="5"/>
        <v/>
      </c>
      <c r="L12">
        <f t="shared" si="5"/>
        <v>0</v>
      </c>
      <c r="M12" t="str" vm="2853">
        <f t="shared" si="5"/>
        <v/>
      </c>
      <c r="N12" t="str" vm="2963">
        <f t="shared" si="5"/>
        <v/>
      </c>
      <c r="O12" t="str" vm="2910">
        <f t="shared" si="5"/>
        <v/>
      </c>
      <c r="P12" t="str" vm="2802">
        <f t="shared" si="5"/>
        <v/>
      </c>
      <c r="Q12" t="str" vm="3087">
        <f t="shared" si="5"/>
        <v/>
      </c>
      <c r="R12" s="256">
        <f t="shared" si="4"/>
        <v>495600</v>
      </c>
    </row>
    <row r="13" spans="1:22" x14ac:dyDescent="0.25">
      <c r="A13" t="str" vm="246">
        <f>CUBEMEMBER("ThisWorkbookDataModel","[CAPEX].[Број на јавна набавка (план)].&amp;[2022-005]")</f>
        <v>2022-005</v>
      </c>
      <c r="B13"/>
      <c r="C13">
        <f t="shared" ref="C13:H21" si="6">IF(ISERROR(CUBEVALUE("ThisWorkbookDataModel",$A$3,$A13,C$5)),0,CUBEVALUE("ThisWorkbookDataModel",$A$3,$A13,C$5))</f>
        <v>0</v>
      </c>
      <c r="D13" t="str" vm="3069">
        <f t="shared" si="6"/>
        <v/>
      </c>
      <c r="E13" s="8">
        <f t="shared" ref="E13:E32" si="7">SUM(C13:D13)</f>
        <v>0</v>
      </c>
      <c r="F13" t="str" vm="3031">
        <f t="shared" si="6"/>
        <v/>
      </c>
      <c r="G13" t="str" vm="2793">
        <f t="shared" si="6"/>
        <v/>
      </c>
      <c r="H13" t="str" vm="2850">
        <f>IF(ISERROR(CUBEVALUE("ThisWorkbookDataModel",$A$3,$A13,H$5)),0,CUBEVALUE("ThisWorkbookDataModel",$A$3,$A13,H$5))</f>
        <v/>
      </c>
      <c r="I13" t="str" vm="3042">
        <f t="shared" ref="I13:Q21" si="8">IF(ISERROR(CUBEVALUE("ThisWorkbookDataModel",$A$3,$A13,I$5)),0,CUBEVALUE("ThisWorkbookDataModel",$A$3,$A13,I$5))</f>
        <v/>
      </c>
      <c r="J13" t="str" vm="2823">
        <f t="shared" si="8"/>
        <v/>
      </c>
      <c r="K13" t="str" vm="2927">
        <f t="shared" si="8"/>
        <v/>
      </c>
      <c r="L13">
        <f t="shared" si="8"/>
        <v>0</v>
      </c>
      <c r="M13" t="str" vm="2812">
        <f t="shared" si="8"/>
        <v/>
      </c>
      <c r="N13" vm="2827">
        <f t="shared" si="8"/>
        <v>1890000</v>
      </c>
      <c r="O13" t="str" vm="2849">
        <f t="shared" si="8"/>
        <v/>
      </c>
      <c r="P13" t="str" vm="2913">
        <f t="shared" si="8"/>
        <v/>
      </c>
      <c r="Q13" t="str" vm="3092">
        <f t="shared" si="8"/>
        <v/>
      </c>
      <c r="R13" s="256">
        <f t="shared" si="4"/>
        <v>1890000</v>
      </c>
    </row>
    <row r="14" spans="1:22" s="138" customFormat="1" x14ac:dyDescent="0.25">
      <c r="A14" t="str" vm="242">
        <f>CUBEMEMBER("ThisWorkbookDataModel","[CAPEX].[Број на јавна набавка (план)].&amp;[2022-006]")</f>
        <v>2022-006</v>
      </c>
      <c r="B14"/>
      <c r="C14">
        <f t="shared" si="6"/>
        <v>0</v>
      </c>
      <c r="D14" t="str" vm="2938">
        <f t="shared" si="6"/>
        <v/>
      </c>
      <c r="E14" s="8">
        <f t="shared" si="7"/>
        <v>0</v>
      </c>
      <c r="F14" t="str" vm="2869">
        <f t="shared" si="6"/>
        <v/>
      </c>
      <c r="G14" t="str" vm="3019">
        <f t="shared" si="6"/>
        <v/>
      </c>
      <c r="H14" t="str" vm="3020">
        <f t="shared" si="6"/>
        <v/>
      </c>
      <c r="I14" t="str" vm="2874">
        <f t="shared" si="8"/>
        <v/>
      </c>
      <c r="J14" t="str" vm="2879">
        <f t="shared" si="8"/>
        <v/>
      </c>
      <c r="K14" t="str" vm="2908">
        <f t="shared" si="8"/>
        <v/>
      </c>
      <c r="L14">
        <f t="shared" si="8"/>
        <v>0</v>
      </c>
      <c r="M14" t="str" vm="3134">
        <f t="shared" si="8"/>
        <v/>
      </c>
      <c r="N14" t="str" vm="2931">
        <f t="shared" si="8"/>
        <v/>
      </c>
      <c r="O14" vm="3127">
        <f t="shared" si="8"/>
        <v>6000000</v>
      </c>
      <c r="P14" t="str" vm="3076">
        <f t="shared" si="8"/>
        <v/>
      </c>
      <c r="Q14" t="str" vm="2918">
        <f t="shared" si="8"/>
        <v/>
      </c>
      <c r="R14" s="256">
        <f t="shared" ref="R14:R21" si="9">SUM(F14:Q14)</f>
        <v>6000000</v>
      </c>
      <c r="S14"/>
      <c r="T14"/>
      <c r="U14"/>
      <c r="V14"/>
    </row>
    <row r="15" spans="1:22" x14ac:dyDescent="0.25">
      <c r="A15" t="str" vm="243">
        <f>CUBEMEMBER("ThisWorkbookDataModel","[CAPEX].[Број на јавна набавка (план)].&amp;[2022-007]")</f>
        <v>2022-007</v>
      </c>
      <c r="B15"/>
      <c r="C15">
        <f t="shared" si="6"/>
        <v>0</v>
      </c>
      <c r="D15" t="str" vm="3120">
        <f t="shared" si="6"/>
        <v/>
      </c>
      <c r="E15" s="8">
        <f t="shared" si="7"/>
        <v>0</v>
      </c>
      <c r="F15" t="str" vm="3071">
        <f t="shared" si="6"/>
        <v/>
      </c>
      <c r="G15" t="str" vm="2982">
        <f t="shared" si="6"/>
        <v/>
      </c>
      <c r="H15" vm="3075">
        <f t="shared" si="6"/>
        <v>17829000</v>
      </c>
      <c r="I15" t="str" vm="3112">
        <f t="shared" si="8"/>
        <v/>
      </c>
      <c r="J15" t="str" vm="2975">
        <f t="shared" si="8"/>
        <v/>
      </c>
      <c r="K15" t="str" vm="2914">
        <f t="shared" si="8"/>
        <v/>
      </c>
      <c r="L15">
        <f t="shared" si="8"/>
        <v>0</v>
      </c>
      <c r="M15" t="str" vm="3047">
        <f t="shared" si="8"/>
        <v/>
      </c>
      <c r="N15" t="str" vm="2803">
        <f t="shared" si="8"/>
        <v/>
      </c>
      <c r="O15" t="str" vm="3029">
        <f t="shared" si="8"/>
        <v/>
      </c>
      <c r="P15" t="str" vm="2784">
        <f t="shared" si="8"/>
        <v/>
      </c>
      <c r="Q15" t="str" vm="2810">
        <f t="shared" si="8"/>
        <v/>
      </c>
      <c r="R15" s="256">
        <f t="shared" si="9"/>
        <v>17829000</v>
      </c>
    </row>
    <row r="16" spans="1:22" x14ac:dyDescent="0.25">
      <c r="A16" t="str" vm="244">
        <f>CUBEMEMBER("ThisWorkbookDataModel","[CAPEX].[Број на јавна набавка (план)].&amp;[2022-013]")</f>
        <v>2022-013</v>
      </c>
      <c r="B16"/>
      <c r="C16">
        <f t="shared" si="6"/>
        <v>0</v>
      </c>
      <c r="D16" t="str" vm="2960">
        <f t="shared" si="6"/>
        <v/>
      </c>
      <c r="E16" s="8">
        <f t="shared" ref="E16" si="10">SUM(C16:D16)</f>
        <v>0</v>
      </c>
      <c r="F16" t="str" vm="2955">
        <f t="shared" si="6"/>
        <v/>
      </c>
      <c r="G16" t="str" vm="2997">
        <f t="shared" si="6"/>
        <v/>
      </c>
      <c r="H16" t="str" vm="3037">
        <f t="shared" si="6"/>
        <v/>
      </c>
      <c r="I16" t="str" vm="3046">
        <f t="shared" si="8"/>
        <v/>
      </c>
      <c r="J16" t="str" vm="3035">
        <f t="shared" si="8"/>
        <v/>
      </c>
      <c r="K16" t="str" vm="3080">
        <f t="shared" si="8"/>
        <v/>
      </c>
      <c r="L16">
        <f t="shared" si="8"/>
        <v>0</v>
      </c>
      <c r="M16" t="str" vm="2986">
        <f t="shared" si="8"/>
        <v/>
      </c>
      <c r="N16" vm="3024">
        <f t="shared" si="8"/>
        <v>7100000</v>
      </c>
      <c r="O16" t="str" vm="3079">
        <f t="shared" si="8"/>
        <v/>
      </c>
      <c r="P16" t="str" vm="3003">
        <f t="shared" si="8"/>
        <v/>
      </c>
      <c r="Q16" t="str" vm="3097">
        <f t="shared" si="8"/>
        <v/>
      </c>
      <c r="R16" s="256">
        <f t="shared" ref="R16" si="11">SUM(F16:Q16)</f>
        <v>7100000</v>
      </c>
    </row>
    <row r="17" spans="1:22" x14ac:dyDescent="0.25">
      <c r="A17" t="str" vm="245">
        <f>CUBEMEMBER("ThisWorkbookDataModel","[CAPEX].[Број на јавна набавка (план)].&amp;[2022-016]")</f>
        <v>2022-016</v>
      </c>
      <c r="B17"/>
      <c r="C17">
        <f t="shared" si="6"/>
        <v>0</v>
      </c>
      <c r="D17" t="str" vm="3002">
        <f t="shared" si="6"/>
        <v/>
      </c>
      <c r="E17" s="8">
        <f t="shared" si="7"/>
        <v>0</v>
      </c>
      <c r="F17" t="str" vm="2964">
        <f t="shared" si="6"/>
        <v/>
      </c>
      <c r="G17" t="str" vm="3070">
        <f t="shared" si="6"/>
        <v/>
      </c>
      <c r="H17" t="str" vm="2838">
        <f t="shared" si="6"/>
        <v/>
      </c>
      <c r="I17" t="str" vm="2819">
        <f t="shared" si="8"/>
        <v/>
      </c>
      <c r="J17" vm="2873">
        <f t="shared" si="8"/>
        <v>1260000</v>
      </c>
      <c r="K17" t="str" vm="2916">
        <f t="shared" si="8"/>
        <v/>
      </c>
      <c r="L17">
        <f t="shared" si="8"/>
        <v>0</v>
      </c>
      <c r="M17" t="str" vm="2829">
        <f t="shared" si="8"/>
        <v/>
      </c>
      <c r="N17" t="str" vm="3034">
        <f t="shared" si="8"/>
        <v/>
      </c>
      <c r="O17" t="str" vm="3062">
        <f t="shared" si="8"/>
        <v/>
      </c>
      <c r="P17" t="str" vm="3129">
        <f t="shared" si="8"/>
        <v/>
      </c>
      <c r="Q17" t="str" vm="2943">
        <f t="shared" si="8"/>
        <v/>
      </c>
      <c r="R17" s="256">
        <f t="shared" si="9"/>
        <v>1260000</v>
      </c>
    </row>
    <row r="18" spans="1:22" x14ac:dyDescent="0.25">
      <c r="A18" t="str" vm="2131">
        <f>CUBEMEMBER("ThisWorkbookDataModel","[CAPEX].[Број на јавна набавка (план)].&amp;[2023-001]")</f>
        <v>2023-001</v>
      </c>
      <c r="B18"/>
      <c r="C18">
        <f t="shared" si="6"/>
        <v>0</v>
      </c>
      <c r="D18" t="str" vm="3093">
        <f t="shared" si="6"/>
        <v/>
      </c>
      <c r="E18" s="8">
        <f t="shared" si="7"/>
        <v>0</v>
      </c>
      <c r="F18" t="str" vm="3015">
        <f t="shared" si="6"/>
        <v/>
      </c>
      <c r="G18" t="str" vm="2967">
        <f t="shared" si="6"/>
        <v/>
      </c>
      <c r="H18" t="str" vm="2872">
        <f t="shared" si="6"/>
        <v/>
      </c>
      <c r="I18" t="str" vm="2843">
        <f t="shared" si="8"/>
        <v/>
      </c>
      <c r="J18" t="str" vm="3130">
        <f t="shared" si="8"/>
        <v/>
      </c>
      <c r="K18" t="str" vm="2836">
        <f t="shared" si="8"/>
        <v/>
      </c>
      <c r="L18">
        <f t="shared" si="8"/>
        <v>0</v>
      </c>
      <c r="M18" t="str" vm="3044">
        <f t="shared" si="8"/>
        <v/>
      </c>
      <c r="N18" vm="3137">
        <f t="shared" si="8"/>
        <v>8400000</v>
      </c>
      <c r="O18" t="str" vm="3111">
        <f t="shared" si="8"/>
        <v/>
      </c>
      <c r="P18" t="str" vm="3001">
        <f t="shared" si="8"/>
        <v/>
      </c>
      <c r="Q18" t="str" vm="3039">
        <f t="shared" si="8"/>
        <v/>
      </c>
      <c r="R18" s="256">
        <f t="shared" si="9"/>
        <v>8400000</v>
      </c>
    </row>
    <row r="19" spans="1:22" x14ac:dyDescent="0.25">
      <c r="A19" t="str" vm="2132">
        <f>CUBEMEMBER("ThisWorkbookDataModel","[CAPEX].[Број на јавна набавка (план)].&amp;[2023-002]")</f>
        <v>2023-002</v>
      </c>
      <c r="B19"/>
      <c r="C19">
        <f t="shared" si="6"/>
        <v>0</v>
      </c>
      <c r="D19" t="str" vm="2858">
        <f t="shared" si="6"/>
        <v/>
      </c>
      <c r="E19" s="8">
        <f t="shared" si="7"/>
        <v>0</v>
      </c>
      <c r="F19" t="str" vm="2887">
        <f t="shared" si="6"/>
        <v/>
      </c>
      <c r="G19" t="str" vm="3032">
        <f t="shared" si="6"/>
        <v/>
      </c>
      <c r="H19" t="str" vm="3108">
        <f t="shared" si="6"/>
        <v/>
      </c>
      <c r="I19" t="str" vm="2831">
        <f t="shared" si="8"/>
        <v/>
      </c>
      <c r="J19" t="str" vm="3098">
        <f t="shared" si="8"/>
        <v/>
      </c>
      <c r="K19" t="str" vm="3094">
        <f t="shared" si="8"/>
        <v/>
      </c>
      <c r="L19">
        <f t="shared" si="8"/>
        <v>0</v>
      </c>
      <c r="M19" vm="2895">
        <f t="shared" si="8"/>
        <v>11800000</v>
      </c>
      <c r="N19" t="str" vm="2833">
        <f t="shared" si="8"/>
        <v/>
      </c>
      <c r="O19" t="str" vm="2969">
        <f t="shared" si="8"/>
        <v/>
      </c>
      <c r="P19" t="str" vm="3061">
        <f t="shared" si="8"/>
        <v/>
      </c>
      <c r="Q19" t="str" vm="2865">
        <f t="shared" si="8"/>
        <v/>
      </c>
      <c r="R19" s="256">
        <f>SUM(F19:Q19)</f>
        <v>11800000</v>
      </c>
    </row>
    <row r="20" spans="1:22" x14ac:dyDescent="0.25">
      <c r="A20" t="str" vm="2133">
        <f>CUBEMEMBER("ThisWorkbookDataModel","[CAPEX].[Број на јавна набавка (план)].&amp;[2023-003]")</f>
        <v>2023-003</v>
      </c>
      <c r="B20"/>
      <c r="C20">
        <f t="shared" si="6"/>
        <v>0</v>
      </c>
      <c r="D20" t="str" vm="3054">
        <f t="shared" si="6"/>
        <v/>
      </c>
      <c r="E20" s="8">
        <f t="shared" ref="E20" si="12">SUM(C20:D20)</f>
        <v>0</v>
      </c>
      <c r="F20" t="str" vm="3060">
        <f t="shared" si="6"/>
        <v/>
      </c>
      <c r="G20" t="str" vm="2941">
        <f t="shared" si="6"/>
        <v/>
      </c>
      <c r="H20" t="str" vm="3005">
        <f t="shared" si="6"/>
        <v/>
      </c>
      <c r="I20" t="str" vm="2912">
        <f t="shared" si="8"/>
        <v/>
      </c>
      <c r="J20" t="str" vm="2934">
        <f t="shared" si="8"/>
        <v/>
      </c>
      <c r="K20" t="str" vm="3058">
        <f t="shared" si="8"/>
        <v/>
      </c>
      <c r="L20">
        <f t="shared" si="8"/>
        <v>0</v>
      </c>
      <c r="M20" t="str" vm="2818">
        <f t="shared" si="8"/>
        <v/>
      </c>
      <c r="N20" t="str" vm="2935">
        <f t="shared" si="8"/>
        <v/>
      </c>
      <c r="O20" t="str" vm="2923">
        <f t="shared" si="8"/>
        <v/>
      </c>
      <c r="P20" t="str" vm="2922">
        <f t="shared" si="8"/>
        <v/>
      </c>
      <c r="Q20" vm="2945">
        <f t="shared" si="8"/>
        <v>6300000</v>
      </c>
      <c r="R20" s="256">
        <f>SUM(F20:Q20)</f>
        <v>6300000</v>
      </c>
    </row>
    <row r="21" spans="1:22" x14ac:dyDescent="0.25">
      <c r="A21" t="str" vm="2134">
        <f>CUBEMEMBER("ThisWorkbookDataModel","[CAPEX].[Број на јавна набавка (план)].&amp;[2023-005]")</f>
        <v>2023-005</v>
      </c>
      <c r="B21"/>
      <c r="C21">
        <f t="shared" si="6"/>
        <v>0</v>
      </c>
      <c r="D21" t="str" vm="3063">
        <f t="shared" si="6"/>
        <v/>
      </c>
      <c r="E21" s="8">
        <f t="shared" si="7"/>
        <v>0</v>
      </c>
      <c r="F21" t="str" vm="2921">
        <f t="shared" si="6"/>
        <v/>
      </c>
      <c r="G21" t="str" vm="2824">
        <f t="shared" si="6"/>
        <v/>
      </c>
      <c r="H21" t="str" vm="2898">
        <f t="shared" si="6"/>
        <v/>
      </c>
      <c r="I21" t="str" vm="2828">
        <f t="shared" si="8"/>
        <v/>
      </c>
      <c r="J21" t="str" vm="2992">
        <f t="shared" si="8"/>
        <v/>
      </c>
      <c r="K21" t="str" vm="2813">
        <f t="shared" si="8"/>
        <v/>
      </c>
      <c r="L21">
        <f t="shared" si="8"/>
        <v>0</v>
      </c>
      <c r="M21" t="str" vm="3103">
        <f t="shared" si="8"/>
        <v/>
      </c>
      <c r="N21" t="str" vm="2907">
        <f t="shared" si="8"/>
        <v/>
      </c>
      <c r="O21" t="str" vm="3091">
        <f t="shared" si="8"/>
        <v/>
      </c>
      <c r="P21" vm="3011">
        <f t="shared" si="8"/>
        <v>9450000</v>
      </c>
      <c r="Q21" t="str" vm="2891">
        <f t="shared" si="8"/>
        <v/>
      </c>
      <c r="R21" s="256">
        <f t="shared" si="9"/>
        <v>9450000</v>
      </c>
    </row>
    <row r="22" spans="1:22" x14ac:dyDescent="0.25">
      <c r="A22" t="str" vm="2135">
        <f>CUBEMEMBER("ThisWorkbookDataModel","[CAPEX].[Број на јавна набавка (план)].&amp;[2023-009]")</f>
        <v>2023-009</v>
      </c>
      <c r="B22"/>
      <c r="C22">
        <f>IF(ISERROR(CUBEVALUE("ThisWorkbookDataModel",$A$3,$A22,C$5)),0,CUBEVALUE("ThisWorkbookDataModel",$A$3,$A22,C$5))</f>
        <v>0</v>
      </c>
      <c r="D22" t="str" vm="3009">
        <f>IF(ISERROR(CUBEVALUE("ThisWorkbookDataModel",$A$3,$A22,D$5)),0,CUBEVALUE("ThisWorkbookDataModel",$A$3,$A22,D$5))</f>
        <v/>
      </c>
      <c r="E22" s="8">
        <f>SUM(C22:D22)</f>
        <v>0</v>
      </c>
      <c r="F22" t="str" vm="3135">
        <f t="shared" ref="F22:Q26" si="13">IF(ISERROR(CUBEVALUE("ThisWorkbookDataModel",$A$3,$A22,F$5)),0,CUBEVALUE("ThisWorkbookDataModel",$A$3,$A22,F$5))</f>
        <v/>
      </c>
      <c r="G22" t="str" vm="2996">
        <f t="shared" si="13"/>
        <v/>
      </c>
      <c r="H22" t="str" vm="2958">
        <f t="shared" si="13"/>
        <v/>
      </c>
      <c r="I22" t="str" vm="3036">
        <f t="shared" si="13"/>
        <v/>
      </c>
      <c r="J22" t="str" vm="2920">
        <f t="shared" si="13"/>
        <v/>
      </c>
      <c r="K22" t="str" vm="3138">
        <f t="shared" si="13"/>
        <v/>
      </c>
      <c r="L22">
        <f t="shared" si="13"/>
        <v>0</v>
      </c>
      <c r="M22" t="str" vm="2892">
        <f t="shared" si="13"/>
        <v/>
      </c>
      <c r="N22" t="str" vm="3030">
        <f t="shared" si="13"/>
        <v/>
      </c>
      <c r="O22" t="str" vm="2965">
        <f t="shared" si="13"/>
        <v/>
      </c>
      <c r="P22" t="str" vm="2906">
        <f t="shared" si="13"/>
        <v/>
      </c>
      <c r="Q22" vm="2919">
        <f t="shared" si="13"/>
        <v>12000000</v>
      </c>
      <c r="R22" s="256">
        <f>SUM(F22:Q22)</f>
        <v>12000000</v>
      </c>
    </row>
    <row r="23" spans="1:22" x14ac:dyDescent="0.25">
      <c r="A23" t="str" vm="2136">
        <f>CUBEMEMBER("ThisWorkbookDataModel","[CAPEX].[Број на јавна набавка (план)].&amp;[2023-010]")</f>
        <v>2023-010</v>
      </c>
      <c r="B23"/>
      <c r="C23">
        <f t="shared" ref="C23:D26" si="14">IF(ISERROR(CUBEVALUE("ThisWorkbookDataModel",$A$3,$A23,C$5)),0,CUBEVALUE("ThisWorkbookDataModel",$A$3,$A23,C$5))</f>
        <v>0</v>
      </c>
      <c r="D23" t="str" vm="2978">
        <f t="shared" si="14"/>
        <v/>
      </c>
      <c r="E23" s="8">
        <f t="shared" ref="E23:E26" si="15">SUM(C23:D23)</f>
        <v>0</v>
      </c>
      <c r="F23" t="str" vm="2894">
        <f t="shared" si="13"/>
        <v/>
      </c>
      <c r="G23" t="str" vm="2816">
        <f t="shared" si="13"/>
        <v/>
      </c>
      <c r="H23" t="str" vm="3057">
        <f t="shared" si="13"/>
        <v/>
      </c>
      <c r="I23" t="str" vm="2885">
        <f>IF(ISERROR(CUBEVALUE("ThisWorkbookDataModel",$A$3,$A23,I$5)),0,CUBEVALUE("ThisWorkbookDataModel",$A$3,$A23,I$5))</f>
        <v/>
      </c>
      <c r="J23" t="str" vm="2991">
        <f t="shared" si="13"/>
        <v/>
      </c>
      <c r="K23" t="str" vm="2799">
        <f t="shared" si="13"/>
        <v/>
      </c>
      <c r="L23">
        <f t="shared" si="13"/>
        <v>0</v>
      </c>
      <c r="M23" t="str" vm="2952">
        <f t="shared" si="13"/>
        <v/>
      </c>
      <c r="N23" t="str" vm="3104">
        <f t="shared" si="13"/>
        <v/>
      </c>
      <c r="O23" t="str" vm="3000">
        <f t="shared" si="13"/>
        <v/>
      </c>
      <c r="P23" t="str" vm="2959">
        <f t="shared" si="13"/>
        <v/>
      </c>
      <c r="Q23" vm="2851">
        <f t="shared" si="13"/>
        <v>2500000</v>
      </c>
      <c r="R23" s="256">
        <f t="shared" ref="R23:R26" si="16">SUM(F23:Q23)</f>
        <v>2500000</v>
      </c>
    </row>
    <row r="24" spans="1:22" x14ac:dyDescent="0.25">
      <c r="A24" t="str" vm="2137">
        <f>CUBEMEMBER("ThisWorkbookDataModel","[CAPEX].[Број на јавна набавка (план)].&amp;[2023-011]")</f>
        <v>2023-011</v>
      </c>
      <c r="B24"/>
      <c r="C24">
        <f t="shared" si="14"/>
        <v>0</v>
      </c>
      <c r="D24" t="str" vm="3100">
        <f t="shared" si="14"/>
        <v/>
      </c>
      <c r="E24" s="8">
        <f t="shared" si="15"/>
        <v>0</v>
      </c>
      <c r="F24" t="str" vm="3065">
        <f t="shared" si="13"/>
        <v/>
      </c>
      <c r="G24" t="str" vm="2948">
        <f t="shared" si="13"/>
        <v/>
      </c>
      <c r="H24" t="str" vm="2926">
        <f t="shared" si="13"/>
        <v/>
      </c>
      <c r="I24" t="str" vm="2925">
        <f t="shared" si="13"/>
        <v/>
      </c>
      <c r="J24" t="str" vm="3132">
        <f t="shared" si="13"/>
        <v/>
      </c>
      <c r="K24" t="str" vm="2968">
        <f t="shared" si="13"/>
        <v/>
      </c>
      <c r="L24">
        <f t="shared" si="13"/>
        <v>0</v>
      </c>
      <c r="M24" t="str" vm="3059">
        <f t="shared" si="13"/>
        <v/>
      </c>
      <c r="N24" t="str" vm="2937">
        <f t="shared" si="13"/>
        <v/>
      </c>
      <c r="O24" t="str" vm="3085">
        <f t="shared" si="13"/>
        <v/>
      </c>
      <c r="P24" t="str" vm="3081">
        <f t="shared" si="13"/>
        <v/>
      </c>
      <c r="Q24" vm="2814">
        <f t="shared" si="13"/>
        <v>185000</v>
      </c>
      <c r="R24" s="256">
        <f t="shared" si="16"/>
        <v>185000</v>
      </c>
    </row>
    <row r="25" spans="1:22" x14ac:dyDescent="0.25">
      <c r="A25" t="str" vm="2138">
        <f>CUBEMEMBER("ThisWorkbookDataModel","[CAPEX].[Број на јавна набавка (план)].&amp;[2023-012]")</f>
        <v>2023-012</v>
      </c>
      <c r="B25"/>
      <c r="C25">
        <f t="shared" si="14"/>
        <v>0</v>
      </c>
      <c r="D25" t="str" vm="3096">
        <f t="shared" si="14"/>
        <v/>
      </c>
      <c r="E25" s="8">
        <f t="shared" si="15"/>
        <v>0</v>
      </c>
      <c r="F25" t="str" vm="2826">
        <f t="shared" si="13"/>
        <v/>
      </c>
      <c r="G25" t="str" vm="3113">
        <f t="shared" si="13"/>
        <v/>
      </c>
      <c r="H25" t="str" vm="3083">
        <f t="shared" si="13"/>
        <v/>
      </c>
      <c r="I25" t="str" vm="2881">
        <f t="shared" si="13"/>
        <v/>
      </c>
      <c r="J25" t="str" vm="3136">
        <f t="shared" si="13"/>
        <v/>
      </c>
      <c r="K25" vm="3049">
        <f t="shared" si="13"/>
        <v>150000</v>
      </c>
      <c r="L25">
        <f t="shared" si="13"/>
        <v>0</v>
      </c>
      <c r="M25" t="str" vm="3021">
        <f t="shared" si="13"/>
        <v/>
      </c>
      <c r="N25" t="str" vm="2900">
        <f t="shared" si="13"/>
        <v/>
      </c>
      <c r="O25" t="str" vm="3107">
        <f t="shared" si="13"/>
        <v/>
      </c>
      <c r="P25" t="str" vm="2984">
        <f t="shared" si="13"/>
        <v/>
      </c>
      <c r="Q25" t="str" vm="2796">
        <f t="shared" si="13"/>
        <v/>
      </c>
      <c r="R25" s="256">
        <f t="shared" si="16"/>
        <v>150000</v>
      </c>
    </row>
    <row r="26" spans="1:22" x14ac:dyDescent="0.25">
      <c r="A26" t="str" vm="2780">
        <f>CUBEMEMBER("ThisWorkbookDataModel","[CAPEX].[Број на јавна набавка (план)].&amp;[2023-013]")</f>
        <v>2023-013</v>
      </c>
      <c r="B26"/>
      <c r="C26">
        <f t="shared" si="14"/>
        <v>0</v>
      </c>
      <c r="D26" t="str" vm="3072">
        <f t="shared" si="14"/>
        <v/>
      </c>
      <c r="E26" s="8">
        <f t="shared" si="15"/>
        <v>0</v>
      </c>
      <c r="F26" t="str" vm="2946">
        <f t="shared" si="13"/>
        <v/>
      </c>
      <c r="G26" t="str" vm="2940">
        <f t="shared" si="13"/>
        <v/>
      </c>
      <c r="H26" t="str" vm="2861">
        <f t="shared" si="13"/>
        <v/>
      </c>
      <c r="I26" vm="3118">
        <f t="shared" si="13"/>
        <v>531000</v>
      </c>
      <c r="J26" t="str" vm="2928">
        <f t="shared" si="13"/>
        <v/>
      </c>
      <c r="K26" t="str" vm="3023">
        <f t="shared" si="13"/>
        <v/>
      </c>
      <c r="L26">
        <f t="shared" si="13"/>
        <v>0</v>
      </c>
      <c r="M26" t="str" vm="3008">
        <f t="shared" si="13"/>
        <v/>
      </c>
      <c r="N26" t="str" vm="3116">
        <f t="shared" si="13"/>
        <v/>
      </c>
      <c r="O26" t="str" vm="2837">
        <f t="shared" si="13"/>
        <v/>
      </c>
      <c r="P26" t="str" vm="2841">
        <f t="shared" si="13"/>
        <v/>
      </c>
      <c r="Q26" t="str" vm="3068">
        <f t="shared" si="13"/>
        <v/>
      </c>
      <c r="R26" s="256">
        <f t="shared" si="16"/>
        <v>531000</v>
      </c>
    </row>
    <row r="27" spans="1:22" x14ac:dyDescent="0.25">
      <c r="A27" t="str" vm="2781">
        <f>CUBEMEMBER("ThisWorkbookDataModel","[CAPEX].[Број на јавна набавка (план)].&amp;[2023-014]")</f>
        <v>2023-014</v>
      </c>
      <c r="B27"/>
      <c r="C27">
        <f>IF(ISERROR(CUBEVALUE("ThisWorkbookDataModel",$A$3,$A27,C$5)),0,CUBEVALUE("ThisWorkbookDataModel",$A$3,$A27,C$5))</f>
        <v>0</v>
      </c>
      <c r="D27" t="str" vm="2990">
        <f>IF(ISERROR(CUBEVALUE("ThisWorkbookDataModel",$A$3,$A27,D$5)),0,CUBEVALUE("ThisWorkbookDataModel",$A$3,$A27,D$5))</f>
        <v/>
      </c>
      <c r="E27" s="8">
        <f>SUM(C27:D27)</f>
        <v>0</v>
      </c>
      <c r="F27" t="str" vm="3117">
        <f t="shared" ref="F27:Q31" si="17">IF(ISERROR(CUBEVALUE("ThisWorkbookDataModel",$A$3,$A27,F$5)),0,CUBEVALUE("ThisWorkbookDataModel",$A$3,$A27,F$5))</f>
        <v/>
      </c>
      <c r="G27" t="str" vm="2800">
        <f t="shared" si="17"/>
        <v/>
      </c>
      <c r="H27" t="str" vm="2899">
        <f t="shared" si="17"/>
        <v/>
      </c>
      <c r="I27" t="str" vm="3122">
        <f t="shared" si="17"/>
        <v/>
      </c>
      <c r="J27" t="str" vm="3119">
        <f t="shared" si="17"/>
        <v/>
      </c>
      <c r="K27" t="str" vm="2805">
        <f t="shared" si="17"/>
        <v/>
      </c>
      <c r="L27">
        <f t="shared" si="17"/>
        <v>0</v>
      </c>
      <c r="M27" t="str" vm="2882">
        <f t="shared" si="17"/>
        <v/>
      </c>
      <c r="N27" t="str" vm="2995">
        <f t="shared" si="17"/>
        <v/>
      </c>
      <c r="O27" t="str" vm="2845">
        <f t="shared" si="17"/>
        <v/>
      </c>
      <c r="P27" vm="2956">
        <f t="shared" si="17"/>
        <v>15000000</v>
      </c>
      <c r="Q27" t="str" vm="2852">
        <f t="shared" si="17"/>
        <v/>
      </c>
      <c r="R27" s="256">
        <f>SUM(F27:Q27)</f>
        <v>15000000</v>
      </c>
    </row>
    <row r="28" spans="1:22" x14ac:dyDescent="0.25">
      <c r="B28"/>
      <c r="C28">
        <f>IF(ISERROR(CUBEVALUE("ThisWorkbookDataModel",$A$3,$A28,C$5)),0,CUBEVALUE("ThisWorkbookDataModel",$A$3,$A28,C$5))</f>
        <v>0</v>
      </c>
      <c r="D28">
        <f>IF(ISERROR(CUBEVALUE("ThisWorkbookDataModel",$A$3,$A28,D$5)),0,CUBEVALUE("ThisWorkbookDataModel",$A$3,$A28,D$5))</f>
        <v>0</v>
      </c>
      <c r="E28" s="8">
        <f>SUM(C28:D28)</f>
        <v>0</v>
      </c>
      <c r="F28">
        <f t="shared" si="17"/>
        <v>0</v>
      </c>
      <c r="G28">
        <f t="shared" si="17"/>
        <v>0</v>
      </c>
      <c r="H28">
        <f t="shared" si="17"/>
        <v>0</v>
      </c>
      <c r="I28">
        <f t="shared" si="17"/>
        <v>0</v>
      </c>
      <c r="J28">
        <f t="shared" si="17"/>
        <v>0</v>
      </c>
      <c r="K28">
        <f t="shared" si="17"/>
        <v>0</v>
      </c>
      <c r="L28">
        <f t="shared" si="17"/>
        <v>0</v>
      </c>
      <c r="M28">
        <f t="shared" si="17"/>
        <v>0</v>
      </c>
      <c r="N28">
        <f t="shared" si="17"/>
        <v>0</v>
      </c>
      <c r="O28">
        <f t="shared" si="17"/>
        <v>0</v>
      </c>
      <c r="P28">
        <f t="shared" si="17"/>
        <v>0</v>
      </c>
      <c r="Q28">
        <f t="shared" si="17"/>
        <v>0</v>
      </c>
      <c r="R28" s="256">
        <f>SUM(F28:Q28)</f>
        <v>0</v>
      </c>
    </row>
    <row r="29" spans="1:22" s="138" customFormat="1" x14ac:dyDescent="0.25">
      <c r="A29"/>
      <c r="B29"/>
      <c r="C29">
        <f t="shared" ref="C29:D31" si="18">IF(ISERROR(CUBEVALUE("ThisWorkbookDataModel",$A$3,$A29,C$5)),0,CUBEVALUE("ThisWorkbookDataModel",$A$3,$A29,C$5))</f>
        <v>0</v>
      </c>
      <c r="D29">
        <f t="shared" si="18"/>
        <v>0</v>
      </c>
      <c r="E29" s="8">
        <f t="shared" ref="E29:E31" si="19">SUM(C29:D29)</f>
        <v>0</v>
      </c>
      <c r="F29">
        <f t="shared" si="17"/>
        <v>0</v>
      </c>
      <c r="G29">
        <f t="shared" si="17"/>
        <v>0</v>
      </c>
      <c r="H29">
        <f t="shared" si="17"/>
        <v>0</v>
      </c>
      <c r="I29">
        <f t="shared" si="17"/>
        <v>0</v>
      </c>
      <c r="J29">
        <f t="shared" si="17"/>
        <v>0</v>
      </c>
      <c r="K29">
        <f t="shared" si="17"/>
        <v>0</v>
      </c>
      <c r="L29">
        <f t="shared" si="17"/>
        <v>0</v>
      </c>
      <c r="M29">
        <f t="shared" si="17"/>
        <v>0</v>
      </c>
      <c r="N29">
        <f t="shared" si="17"/>
        <v>0</v>
      </c>
      <c r="O29">
        <f t="shared" si="17"/>
        <v>0</v>
      </c>
      <c r="P29">
        <f t="shared" si="17"/>
        <v>0</v>
      </c>
      <c r="Q29">
        <f t="shared" si="17"/>
        <v>0</v>
      </c>
      <c r="R29" s="256">
        <f t="shared" ref="R29:R32" si="20">SUM(F29:Q29)</f>
        <v>0</v>
      </c>
      <c r="S29"/>
      <c r="T29"/>
      <c r="U29"/>
      <c r="V29"/>
    </row>
    <row r="30" spans="1:22" s="138" customFormat="1" x14ac:dyDescent="0.25">
      <c r="A30"/>
      <c r="B30"/>
      <c r="C30">
        <f t="shared" si="18"/>
        <v>0</v>
      </c>
      <c r="D30">
        <f t="shared" si="18"/>
        <v>0</v>
      </c>
      <c r="E30" s="8">
        <f t="shared" si="19"/>
        <v>0</v>
      </c>
      <c r="F30">
        <f t="shared" si="17"/>
        <v>0</v>
      </c>
      <c r="G30">
        <f t="shared" si="17"/>
        <v>0</v>
      </c>
      <c r="H30">
        <f t="shared" si="17"/>
        <v>0</v>
      </c>
      <c r="I30">
        <f t="shared" si="17"/>
        <v>0</v>
      </c>
      <c r="J30">
        <f t="shared" si="17"/>
        <v>0</v>
      </c>
      <c r="K30">
        <f t="shared" si="17"/>
        <v>0</v>
      </c>
      <c r="L30">
        <f t="shared" si="17"/>
        <v>0</v>
      </c>
      <c r="M30">
        <f t="shared" si="17"/>
        <v>0</v>
      </c>
      <c r="N30">
        <f t="shared" si="17"/>
        <v>0</v>
      </c>
      <c r="O30">
        <f t="shared" si="17"/>
        <v>0</v>
      </c>
      <c r="P30">
        <f t="shared" si="17"/>
        <v>0</v>
      </c>
      <c r="Q30">
        <f t="shared" si="17"/>
        <v>0</v>
      </c>
      <c r="R30" s="256">
        <f t="shared" si="20"/>
        <v>0</v>
      </c>
      <c r="S30"/>
      <c r="T30"/>
      <c r="U30"/>
      <c r="V30"/>
    </row>
    <row r="31" spans="1:22" s="138" customFormat="1" x14ac:dyDescent="0.25">
      <c r="A31"/>
      <c r="B31"/>
      <c r="C31">
        <f t="shared" si="18"/>
        <v>0</v>
      </c>
      <c r="D31">
        <f t="shared" si="18"/>
        <v>0</v>
      </c>
      <c r="E31" s="8">
        <f t="shared" si="19"/>
        <v>0</v>
      </c>
      <c r="F31">
        <f t="shared" si="17"/>
        <v>0</v>
      </c>
      <c r="G31">
        <f t="shared" si="17"/>
        <v>0</v>
      </c>
      <c r="H31">
        <f t="shared" si="17"/>
        <v>0</v>
      </c>
      <c r="I31">
        <f t="shared" si="17"/>
        <v>0</v>
      </c>
      <c r="J31">
        <f t="shared" si="17"/>
        <v>0</v>
      </c>
      <c r="K31">
        <f t="shared" si="17"/>
        <v>0</v>
      </c>
      <c r="L31">
        <f t="shared" si="17"/>
        <v>0</v>
      </c>
      <c r="M31">
        <f t="shared" si="17"/>
        <v>0</v>
      </c>
      <c r="N31">
        <f t="shared" si="17"/>
        <v>0</v>
      </c>
      <c r="O31">
        <f t="shared" si="17"/>
        <v>0</v>
      </c>
      <c r="P31">
        <f t="shared" si="17"/>
        <v>0</v>
      </c>
      <c r="Q31">
        <f t="shared" si="17"/>
        <v>0</v>
      </c>
      <c r="R31" s="256">
        <f t="shared" si="20"/>
        <v>0</v>
      </c>
      <c r="S31"/>
      <c r="T31"/>
      <c r="U31"/>
      <c r="V31"/>
    </row>
    <row r="32" spans="1:22" x14ac:dyDescent="0.25">
      <c r="B32"/>
      <c r="E32" s="8">
        <f t="shared" si="7"/>
        <v>0</v>
      </c>
      <c r="R32" s="256">
        <f t="shared" si="20"/>
        <v>0</v>
      </c>
    </row>
    <row r="33" spans="1:18" x14ac:dyDescent="0.25">
      <c r="A33" t="str" vm="136">
        <f>CUBEMEMBER("ThisWorkbookDataModel","[CAPEX].[Број на јавна набавка (план)].[All]","Grand Total")</f>
        <v>Grand Total</v>
      </c>
      <c r="B33"/>
      <c r="C33">
        <f t="shared" ref="C33:R33" si="21">SUM(C6:C32)</f>
        <v>0</v>
      </c>
      <c r="D33">
        <f t="shared" si="21"/>
        <v>1820000</v>
      </c>
      <c r="E33">
        <f t="shared" si="21"/>
        <v>1820000</v>
      </c>
      <c r="F33">
        <f t="shared" si="21"/>
        <v>6326000</v>
      </c>
      <c r="G33">
        <f t="shared" si="21"/>
        <v>495600</v>
      </c>
      <c r="H33">
        <f t="shared" si="21"/>
        <v>19829000</v>
      </c>
      <c r="I33">
        <f t="shared" si="21"/>
        <v>12669250</v>
      </c>
      <c r="J33">
        <f t="shared" si="21"/>
        <v>1260000</v>
      </c>
      <c r="K33">
        <f t="shared" si="21"/>
        <v>150000</v>
      </c>
      <c r="L33">
        <f t="shared" si="21"/>
        <v>0</v>
      </c>
      <c r="M33">
        <f t="shared" si="21"/>
        <v>11800000</v>
      </c>
      <c r="N33">
        <f t="shared" si="21"/>
        <v>17390000</v>
      </c>
      <c r="O33">
        <f t="shared" si="21"/>
        <v>7820000</v>
      </c>
      <c r="P33">
        <f t="shared" si="21"/>
        <v>24450000</v>
      </c>
      <c r="Q33">
        <f t="shared" si="21"/>
        <v>20985000</v>
      </c>
      <c r="R33" s="256">
        <f t="shared" si="21"/>
        <v>123174850</v>
      </c>
    </row>
    <row r="34" spans="1:18" x14ac:dyDescent="0.25">
      <c r="R34" s="256"/>
    </row>
    <row r="35" spans="1:18" x14ac:dyDescent="0.25">
      <c r="R35" s="94"/>
    </row>
    <row r="41" spans="1:18" x14ac:dyDescent="0.25">
      <c r="B41" t="str" vm="2783">
        <f>CUBEMEMBER("ThisWorkbookDataModel","[Measures].[Sum of Проценета вредност на набавка со ДДВ (денари)]")</f>
        <v>Sum of Проценета вредност на набавка со ДДВ (денари)</v>
      </c>
      <c r="C41" t="s">
        <v>288</v>
      </c>
    </row>
    <row r="42" spans="1:18" x14ac:dyDescent="0.25">
      <c r="B42" t="s">
        <v>289</v>
      </c>
      <c r="C42" t="e">
        <f t="shared" ref="C42:R42" si="22">C5</f>
        <v>#N/A</v>
      </c>
      <c r="D42" t="str" vm="238">
        <f t="shared" si="22"/>
        <v>12/1/2022</v>
      </c>
      <c r="E42">
        <f t="shared" si="22"/>
        <v>0</v>
      </c>
      <c r="F42" t="str" vm="1439">
        <f t="shared" si="22"/>
        <v>1/1/2023</v>
      </c>
      <c r="G42" t="str" vm="1455">
        <f t="shared" si="22"/>
        <v>2/1/2023</v>
      </c>
      <c r="H42" t="str" vm="2104">
        <f t="shared" si="22"/>
        <v>3/1/2023</v>
      </c>
      <c r="I42" t="str" vm="2103">
        <f t="shared" si="22"/>
        <v>4/1/2023</v>
      </c>
      <c r="J42" t="str" vm="2107">
        <f t="shared" si="22"/>
        <v>5/1/2023</v>
      </c>
      <c r="K42" t="str" vm="1449">
        <f t="shared" si="22"/>
        <v>6/1/2023</v>
      </c>
      <c r="L42" t="e">
        <f t="shared" si="22"/>
        <v>#N/A</v>
      </c>
      <c r="M42" t="str" vm="2109">
        <f t="shared" si="22"/>
        <v>8/1/2023</v>
      </c>
      <c r="N42" t="str" vm="1444">
        <f t="shared" si="22"/>
        <v>9/1/2023</v>
      </c>
      <c r="O42" t="str" vm="2102">
        <f t="shared" si="22"/>
        <v>10/1/2023</v>
      </c>
      <c r="P42" t="str" vm="2105">
        <f t="shared" si="22"/>
        <v>11/1/2023</v>
      </c>
      <c r="Q42" t="str" vm="1452">
        <f t="shared" si="22"/>
        <v>12/1/2023</v>
      </c>
      <c r="R42" t="str" vm="1479">
        <f t="shared" si="22"/>
        <v>2023 Total</v>
      </c>
    </row>
    <row r="43" spans="1:18" x14ac:dyDescent="0.25">
      <c r="B43" t="str" vm="177">
        <f>CUBEMEMBER("ThisWorkbookDataModel","[CAPEX].[Конто Средства].&amp;[0030]")</f>
        <v>0030</v>
      </c>
      <c r="C43" s="256">
        <f t="shared" ref="C43:C48" si="23">IF(ISERROR(CUBEVALUE("ThisWorkbookDataModel",$B$41,$B43,C$42)),0,CUBEVALUE("ThisWorkbookDataModel",$B$41,$B43,C$42))</f>
        <v>0</v>
      </c>
      <c r="D43" s="256" vm="2989">
        <f t="shared" ref="D43:Q49" si="24">IF(ISERROR(CUBEVALUE("ThisWorkbookDataModel",$B$41,$B43,D$42)),0,CUBEVALUE("ThisWorkbookDataModel",$B$41,$B43,D$42))</f>
        <v>1820000</v>
      </c>
      <c r="E43" s="100">
        <f t="shared" ref="E43:E48" si="25">SUM(C43:D43)</f>
        <v>1820000</v>
      </c>
      <c r="F43" s="36" vm="3006">
        <f t="shared" si="24"/>
        <v>6090000</v>
      </c>
      <c r="G43" s="36" vm="3146">
        <f t="shared" si="24"/>
        <v>495600</v>
      </c>
      <c r="H43" s="36" t="str" vm="3089">
        <f t="shared" si="24"/>
        <v/>
      </c>
      <c r="I43" s="36" vm="3145">
        <f t="shared" si="24"/>
        <v>11792250</v>
      </c>
      <c r="J43" s="36" vm="2917">
        <f t="shared" si="24"/>
        <v>1260000</v>
      </c>
      <c r="K43" s="36" t="str" vm="3144">
        <f t="shared" si="24"/>
        <v/>
      </c>
      <c r="L43" s="36">
        <f t="shared" si="24"/>
        <v>0</v>
      </c>
      <c r="M43" s="36" t="str" vm="3106">
        <f t="shared" si="24"/>
        <v/>
      </c>
      <c r="N43" s="36" vm="3016">
        <f t="shared" si="24"/>
        <v>17390000</v>
      </c>
      <c r="O43" s="36" vm="2939">
        <f t="shared" si="24"/>
        <v>7820000</v>
      </c>
      <c r="P43" s="36" vm="3088">
        <f t="shared" si="24"/>
        <v>15000000</v>
      </c>
      <c r="Q43" s="36" vm="3051">
        <f t="shared" si="24"/>
        <v>14500000</v>
      </c>
      <c r="R43" s="256">
        <f t="shared" ref="R43:R49" si="26">SUM(F43:Q43)</f>
        <v>74347850</v>
      </c>
    </row>
    <row r="44" spans="1:18" x14ac:dyDescent="0.25">
      <c r="B44" t="str" vm="2151">
        <f>CUBEMEMBER("ThisWorkbookDataModel","[CAPEX].[Конто Средства].&amp;[011001]")</f>
        <v>011001</v>
      </c>
      <c r="C44" s="256">
        <f t="shared" si="23"/>
        <v>0</v>
      </c>
      <c r="D44" s="256" t="str" vm="2839">
        <f t="shared" si="24"/>
        <v/>
      </c>
      <c r="E44" s="100">
        <f t="shared" si="25"/>
        <v>0</v>
      </c>
      <c r="F44" s="36" t="str" vm="3077">
        <f t="shared" si="24"/>
        <v/>
      </c>
      <c r="G44" s="36" t="str" vm="2808">
        <f t="shared" si="24"/>
        <v/>
      </c>
      <c r="H44" s="36" vm="3025">
        <f t="shared" si="24"/>
        <v>2000000</v>
      </c>
      <c r="I44" s="36" t="str" vm="3041">
        <f t="shared" si="24"/>
        <v/>
      </c>
      <c r="J44" s="36" t="str" vm="2798">
        <f t="shared" si="24"/>
        <v/>
      </c>
      <c r="K44" s="36" t="str" vm="3095">
        <f t="shared" si="24"/>
        <v/>
      </c>
      <c r="L44" s="36">
        <f t="shared" si="24"/>
        <v>0</v>
      </c>
      <c r="M44" s="36" t="str" vm="2854">
        <f t="shared" si="24"/>
        <v/>
      </c>
      <c r="N44" s="36" t="str" vm="2966">
        <f t="shared" si="24"/>
        <v/>
      </c>
      <c r="O44" s="36" t="str" vm="2977">
        <f t="shared" si="24"/>
        <v/>
      </c>
      <c r="P44" s="36" t="str" vm="2792">
        <f t="shared" si="24"/>
        <v/>
      </c>
      <c r="Q44" s="36" t="str" vm="2877">
        <f t="shared" si="24"/>
        <v/>
      </c>
      <c r="R44" s="256">
        <f t="shared" si="26"/>
        <v>2000000</v>
      </c>
    </row>
    <row r="45" spans="1:18" x14ac:dyDescent="0.25">
      <c r="B45" t="str" vm="2117">
        <f>CUBEMEMBER("ThisWorkbookDataModel","[CAPEX].[Конто Средства].&amp;[01363]")</f>
        <v>01363</v>
      </c>
      <c r="C45" s="256">
        <f t="shared" si="23"/>
        <v>0</v>
      </c>
      <c r="D45" s="256" t="str" vm="3131">
        <f t="shared" si="24"/>
        <v/>
      </c>
      <c r="E45" s="100">
        <f t="shared" ref="E45" si="27">SUM(C45:D45)</f>
        <v>0</v>
      </c>
      <c r="F45" s="36" t="str" vm="3040">
        <f t="shared" si="24"/>
        <v/>
      </c>
      <c r="G45" s="36" t="str" vm="2936">
        <f t="shared" si="24"/>
        <v/>
      </c>
      <c r="H45" s="36" t="str" vm="3140">
        <f t="shared" si="24"/>
        <v/>
      </c>
      <c r="I45" s="36" t="str" vm="3073">
        <f t="shared" si="24"/>
        <v/>
      </c>
      <c r="J45" s="36" t="str" vm="2857">
        <f t="shared" si="24"/>
        <v/>
      </c>
      <c r="K45" s="36" vm="2797">
        <f t="shared" si="24"/>
        <v>150000</v>
      </c>
      <c r="L45" s="36">
        <f t="shared" si="24"/>
        <v>0</v>
      </c>
      <c r="M45" s="36" t="str" vm="2974">
        <f t="shared" si="24"/>
        <v/>
      </c>
      <c r="N45" s="36" t="str" vm="2904">
        <f t="shared" si="24"/>
        <v/>
      </c>
      <c r="O45" s="36" t="str" vm="2890">
        <f t="shared" si="24"/>
        <v/>
      </c>
      <c r="P45" s="36" t="str" vm="3043">
        <f t="shared" si="24"/>
        <v/>
      </c>
      <c r="Q45" s="36" vm="2994">
        <f t="shared" si="24"/>
        <v>185000</v>
      </c>
      <c r="R45" s="256">
        <f t="shared" ref="R45" si="28">SUM(F45:Q45)</f>
        <v>335000</v>
      </c>
    </row>
    <row r="46" spans="1:18" x14ac:dyDescent="0.25">
      <c r="B46" t="e">
        <f>CUBEMEMBER("ThisWorkbookDataModel","[CAPEX].[Конто Средства].&amp;[0191001]")</f>
        <v>#N/A</v>
      </c>
      <c r="C46" s="256">
        <f t="shared" si="23"/>
        <v>0</v>
      </c>
      <c r="D46" s="256">
        <f t="shared" si="24"/>
        <v>0</v>
      </c>
      <c r="E46" s="100">
        <f t="shared" si="25"/>
        <v>0</v>
      </c>
      <c r="F46" s="36">
        <f t="shared" si="24"/>
        <v>0</v>
      </c>
      <c r="G46" s="36">
        <f t="shared" si="24"/>
        <v>0</v>
      </c>
      <c r="H46" s="36">
        <f t="shared" si="24"/>
        <v>0</v>
      </c>
      <c r="I46" s="36">
        <f t="shared" si="24"/>
        <v>0</v>
      </c>
      <c r="J46" s="36">
        <f t="shared" si="24"/>
        <v>0</v>
      </c>
      <c r="K46" s="36">
        <f t="shared" si="24"/>
        <v>0</v>
      </c>
      <c r="L46" s="36">
        <f t="shared" si="24"/>
        <v>0</v>
      </c>
      <c r="M46" s="36">
        <f t="shared" si="24"/>
        <v>0</v>
      </c>
      <c r="N46" s="36">
        <f t="shared" si="24"/>
        <v>0</v>
      </c>
      <c r="O46" s="36">
        <f t="shared" si="24"/>
        <v>0</v>
      </c>
      <c r="P46" s="36">
        <f t="shared" si="24"/>
        <v>0</v>
      </c>
      <c r="Q46" s="36">
        <f t="shared" si="24"/>
        <v>0</v>
      </c>
      <c r="R46" s="256">
        <f t="shared" si="26"/>
        <v>0</v>
      </c>
    </row>
    <row r="47" spans="1:18" x14ac:dyDescent="0.25">
      <c r="B47" t="str" vm="247">
        <f>CUBEMEMBER("ThisWorkbookDataModel","[CAPEX].[Конто Средства].&amp;[01213]")</f>
        <v>01213</v>
      </c>
      <c r="C47" s="256">
        <f t="shared" si="23"/>
        <v>0</v>
      </c>
      <c r="D47" s="256" t="str" vm="2909">
        <f t="shared" si="24"/>
        <v/>
      </c>
      <c r="E47" s="100">
        <f t="shared" si="25"/>
        <v>0</v>
      </c>
      <c r="F47" s="36" vm="3082">
        <f t="shared" si="24"/>
        <v>236000</v>
      </c>
      <c r="G47" s="36" t="str" vm="2973">
        <f t="shared" si="24"/>
        <v/>
      </c>
      <c r="H47" s="36" vm="2981">
        <f t="shared" si="24"/>
        <v>17829000</v>
      </c>
      <c r="I47" s="36" vm="2972">
        <f t="shared" si="24"/>
        <v>877000</v>
      </c>
      <c r="J47" s="36" t="str" vm="2954">
        <f t="shared" si="24"/>
        <v/>
      </c>
      <c r="K47" s="36" t="str" vm="2875">
        <f t="shared" si="24"/>
        <v/>
      </c>
      <c r="L47" s="36">
        <f t="shared" si="24"/>
        <v>0</v>
      </c>
      <c r="M47" s="36" vm="2953">
        <f t="shared" si="24"/>
        <v>11800000</v>
      </c>
      <c r="N47" s="36" t="str" vm="2801">
        <f t="shared" si="24"/>
        <v/>
      </c>
      <c r="O47" s="36" t="str" vm="2870">
        <f t="shared" si="24"/>
        <v/>
      </c>
      <c r="P47" s="36" vm="3139">
        <f t="shared" si="24"/>
        <v>9450000</v>
      </c>
      <c r="Q47" s="36" vm="3142">
        <f t="shared" si="24"/>
        <v>6300000</v>
      </c>
      <c r="R47" s="256">
        <f t="shared" si="26"/>
        <v>46492000</v>
      </c>
    </row>
    <row r="48" spans="1:18" x14ac:dyDescent="0.25">
      <c r="B48" t="e">
        <f>CUBEMEMBER("ThisWorkbookDataModel","[CAPEX].[Конто Средства].&amp;[0135]")</f>
        <v>#N/A</v>
      </c>
      <c r="C48" s="256">
        <f t="shared" si="23"/>
        <v>0</v>
      </c>
      <c r="D48" s="256">
        <f t="shared" si="24"/>
        <v>0</v>
      </c>
      <c r="E48" s="100">
        <f t="shared" si="25"/>
        <v>0</v>
      </c>
      <c r="F48" s="36">
        <f t="shared" si="24"/>
        <v>0</v>
      </c>
      <c r="G48" s="36">
        <f t="shared" si="24"/>
        <v>0</v>
      </c>
      <c r="H48" s="36">
        <f t="shared" si="24"/>
        <v>0</v>
      </c>
      <c r="I48" s="36">
        <f t="shared" si="24"/>
        <v>0</v>
      </c>
      <c r="J48" s="36">
        <f t="shared" si="24"/>
        <v>0</v>
      </c>
      <c r="K48" s="36">
        <f t="shared" si="24"/>
        <v>0</v>
      </c>
      <c r="L48" s="36">
        <f t="shared" si="24"/>
        <v>0</v>
      </c>
      <c r="M48" s="36">
        <f t="shared" si="24"/>
        <v>0</v>
      </c>
      <c r="N48" s="36">
        <f t="shared" si="24"/>
        <v>0</v>
      </c>
      <c r="O48" s="36">
        <f t="shared" si="24"/>
        <v>0</v>
      </c>
      <c r="P48" s="36">
        <f t="shared" si="24"/>
        <v>0</v>
      </c>
      <c r="Q48" s="36">
        <f t="shared" si="24"/>
        <v>0</v>
      </c>
      <c r="R48" s="256">
        <f t="shared" si="26"/>
        <v>0</v>
      </c>
    </row>
    <row r="49" spans="2:19" s="8" customFormat="1" x14ac:dyDescent="0.25">
      <c r="B49" s="8" t="str" vm="139">
        <f>CUBEMEMBER("ThisWorkbookDataModel","[CAPEX].[Конто Средства].[All]","Grand Total")</f>
        <v>Grand Total</v>
      </c>
      <c r="C49" s="258">
        <f>SUM(C43:C48)</f>
        <v>0</v>
      </c>
      <c r="D49" s="258">
        <f>SUM(D43:D48)</f>
        <v>1820000</v>
      </c>
      <c r="E49" s="100">
        <f>SUM(E43:E48)</f>
        <v>1820000</v>
      </c>
      <c r="F49" s="100" vm="3099">
        <f t="shared" si="24"/>
        <v>6326000</v>
      </c>
      <c r="G49" s="100" vm="3012">
        <f t="shared" si="24"/>
        <v>495600</v>
      </c>
      <c r="H49" s="100" vm="3010">
        <f t="shared" si="24"/>
        <v>19829000</v>
      </c>
      <c r="I49" s="100" vm="2859">
        <f t="shared" si="24"/>
        <v>12669250</v>
      </c>
      <c r="J49" s="100" vm="2957">
        <f t="shared" si="24"/>
        <v>1260000</v>
      </c>
      <c r="K49" s="100" vm="3067">
        <f t="shared" si="24"/>
        <v>150000</v>
      </c>
      <c r="L49" s="100">
        <f t="shared" si="24"/>
        <v>0</v>
      </c>
      <c r="M49" s="100" vm="2933">
        <f t="shared" si="24"/>
        <v>11800000</v>
      </c>
      <c r="N49" s="100" vm="3102">
        <f t="shared" si="24"/>
        <v>17390000</v>
      </c>
      <c r="O49" s="100" vm="3045">
        <f t="shared" si="24"/>
        <v>7820000</v>
      </c>
      <c r="P49" s="100" vm="2970">
        <f t="shared" si="24"/>
        <v>24450000</v>
      </c>
      <c r="Q49" s="100" vm="2817">
        <f t="shared" si="24"/>
        <v>20985000</v>
      </c>
      <c r="R49" s="258">
        <f t="shared" si="26"/>
        <v>123174850</v>
      </c>
    </row>
    <row r="50" spans="2:19" x14ac:dyDescent="0.25">
      <c r="C50" s="256"/>
      <c r="D50" s="256"/>
      <c r="E50" s="36"/>
      <c r="F50" s="36"/>
      <c r="G50" s="36"/>
      <c r="H50" s="36"/>
      <c r="I50" s="36"/>
      <c r="J50" s="36"/>
      <c r="K50" s="36"/>
      <c r="L50" s="36"/>
      <c r="M50" s="36"/>
      <c r="N50" s="36"/>
      <c r="O50" s="36"/>
      <c r="P50" s="36"/>
      <c r="Q50" s="36"/>
      <c r="R50" s="256"/>
    </row>
    <row r="51" spans="2:19" s="8" customFormat="1" x14ac:dyDescent="0.25">
      <c r="B51" s="260" t="s">
        <v>294</v>
      </c>
      <c r="C51" s="256">
        <f t="shared" ref="C51:Q51" si="29">SUM(C45:C48)</f>
        <v>0</v>
      </c>
      <c r="D51" s="256">
        <f t="shared" si="29"/>
        <v>0</v>
      </c>
      <c r="E51" s="36">
        <f t="shared" si="29"/>
        <v>0</v>
      </c>
      <c r="F51" s="36">
        <f t="shared" si="29"/>
        <v>236000</v>
      </c>
      <c r="G51" s="36">
        <f t="shared" si="29"/>
        <v>0</v>
      </c>
      <c r="H51" s="36">
        <f t="shared" si="29"/>
        <v>17829000</v>
      </c>
      <c r="I51" s="36">
        <f t="shared" si="29"/>
        <v>877000</v>
      </c>
      <c r="J51" s="36">
        <f t="shared" si="29"/>
        <v>0</v>
      </c>
      <c r="K51" s="36">
        <f t="shared" si="29"/>
        <v>150000</v>
      </c>
      <c r="L51" s="36">
        <f t="shared" si="29"/>
        <v>0</v>
      </c>
      <c r="M51" s="36">
        <f t="shared" si="29"/>
        <v>11800000</v>
      </c>
      <c r="N51" s="36">
        <f t="shared" si="29"/>
        <v>0</v>
      </c>
      <c r="O51" s="36">
        <f t="shared" si="29"/>
        <v>0</v>
      </c>
      <c r="P51" s="36">
        <f t="shared" si="29"/>
        <v>9450000</v>
      </c>
      <c r="Q51" s="36">
        <f t="shared" si="29"/>
        <v>6485000</v>
      </c>
      <c r="R51" s="258">
        <f>SUM(R45:R48)</f>
        <v>46827000</v>
      </c>
    </row>
    <row r="52" spans="2:19" s="8" customFormat="1" x14ac:dyDescent="0.25">
      <c r="B52" s="260" t="s">
        <v>295</v>
      </c>
      <c r="C52" s="258">
        <f t="shared" ref="C52:Q52" si="30">SUM(C43:C44)</f>
        <v>0</v>
      </c>
      <c r="D52" s="258">
        <f t="shared" si="30"/>
        <v>1820000</v>
      </c>
      <c r="E52" s="100">
        <f t="shared" si="30"/>
        <v>1820000</v>
      </c>
      <c r="F52" s="36">
        <f t="shared" si="30"/>
        <v>6090000</v>
      </c>
      <c r="G52" s="36">
        <f t="shared" si="30"/>
        <v>495600</v>
      </c>
      <c r="H52" s="36">
        <f t="shared" si="30"/>
        <v>2000000</v>
      </c>
      <c r="I52" s="36">
        <f t="shared" si="30"/>
        <v>11792250</v>
      </c>
      <c r="J52" s="36">
        <f t="shared" si="30"/>
        <v>1260000</v>
      </c>
      <c r="K52" s="36">
        <f t="shared" si="30"/>
        <v>0</v>
      </c>
      <c r="L52" s="36">
        <f t="shared" si="30"/>
        <v>0</v>
      </c>
      <c r="M52" s="36">
        <f t="shared" si="30"/>
        <v>0</v>
      </c>
      <c r="N52" s="36">
        <f t="shared" si="30"/>
        <v>17390000</v>
      </c>
      <c r="O52" s="36">
        <f t="shared" si="30"/>
        <v>7820000</v>
      </c>
      <c r="P52" s="36">
        <f t="shared" si="30"/>
        <v>15000000</v>
      </c>
      <c r="Q52" s="36">
        <f t="shared" si="30"/>
        <v>14500000</v>
      </c>
      <c r="R52" s="258">
        <f>SUM(R43:R44)</f>
        <v>76347850</v>
      </c>
    </row>
    <row r="53" spans="2:19" x14ac:dyDescent="0.25">
      <c r="C53" s="256"/>
      <c r="D53" s="258">
        <f t="shared" ref="D53:Q53" si="31">SUM(D51:D52)</f>
        <v>1820000</v>
      </c>
      <c r="E53" s="100">
        <f t="shared" si="31"/>
        <v>1820000</v>
      </c>
      <c r="F53" s="100">
        <f t="shared" si="31"/>
        <v>6326000</v>
      </c>
      <c r="G53" s="100">
        <f t="shared" si="31"/>
        <v>495600</v>
      </c>
      <c r="H53" s="100">
        <f t="shared" si="31"/>
        <v>19829000</v>
      </c>
      <c r="I53" s="100">
        <f t="shared" si="31"/>
        <v>12669250</v>
      </c>
      <c r="J53" s="100">
        <f t="shared" si="31"/>
        <v>1260000</v>
      </c>
      <c r="K53" s="100">
        <f t="shared" si="31"/>
        <v>150000</v>
      </c>
      <c r="L53" s="100">
        <f t="shared" si="31"/>
        <v>0</v>
      </c>
      <c r="M53" s="100">
        <f t="shared" si="31"/>
        <v>11800000</v>
      </c>
      <c r="N53" s="100">
        <f t="shared" si="31"/>
        <v>17390000</v>
      </c>
      <c r="O53" s="100">
        <f t="shared" si="31"/>
        <v>7820000</v>
      </c>
      <c r="P53" s="100">
        <f t="shared" si="31"/>
        <v>24450000</v>
      </c>
      <c r="Q53" s="100">
        <f t="shared" si="31"/>
        <v>20985000</v>
      </c>
      <c r="R53" s="258">
        <f t="shared" ref="R53" si="32">SUM(R51:R52)</f>
        <v>123174850</v>
      </c>
    </row>
    <row r="54" spans="2:19" x14ac:dyDescent="0.25">
      <c r="C54" s="256"/>
      <c r="D54" s="256"/>
      <c r="E54" s="36"/>
      <c r="F54" s="36"/>
      <c r="G54" s="36"/>
      <c r="H54" s="36"/>
      <c r="I54" s="36"/>
      <c r="J54" s="36"/>
      <c r="K54" s="36"/>
      <c r="L54" s="36"/>
      <c r="M54" s="36"/>
      <c r="N54" s="36"/>
      <c r="O54" s="36"/>
      <c r="P54" s="36"/>
      <c r="Q54" s="36"/>
      <c r="R54" s="256"/>
    </row>
    <row r="55" spans="2:19" x14ac:dyDescent="0.25">
      <c r="C55" s="256"/>
      <c r="D55" s="256"/>
      <c r="E55" s="36"/>
      <c r="F55" s="36"/>
      <c r="G55" s="36"/>
      <c r="H55" s="36"/>
      <c r="I55" s="36"/>
      <c r="J55" s="36"/>
      <c r="K55" s="36"/>
      <c r="L55" s="36"/>
      <c r="M55" s="36"/>
      <c r="N55" s="36"/>
      <c r="O55" s="36"/>
      <c r="P55" s="36"/>
      <c r="Q55" s="36"/>
      <c r="R55" s="256">
        <f>R33-R53</f>
        <v>0</v>
      </c>
    </row>
    <row r="56" spans="2:19" x14ac:dyDescent="0.25">
      <c r="B56" t="str" vm="2783">
        <f>CUBEMEMBER("ThisWorkbookDataModel","[Measures].[Sum of Проценета вредност на набавка со ДДВ (денари)]")</f>
        <v>Sum of Проценета вредност на набавка со ДДВ (денари)</v>
      </c>
      <c r="C56" t="s">
        <v>293</v>
      </c>
    </row>
    <row r="57" spans="2:19" x14ac:dyDescent="0.25">
      <c r="B57" t="s">
        <v>289</v>
      </c>
      <c r="C57" t="e">
        <f>CUBEMEMBER("ThisWorkbookDataModel","[CAPEX].[Очекуван датум за ставање во употреба (месец)].&amp;[2022-11-01T00:00:00]")</f>
        <v>#N/A</v>
      </c>
      <c r="D57" t="e">
        <f>CUBEMEMBER("ThisWorkbookDataModel","[CAPEX].[Очекуван датум за ставање во употреба (месец)].&amp;[2022-12-01T00:00:00]")</f>
        <v>#N/A</v>
      </c>
      <c r="F57" t="str" vm="1440">
        <f>CUBEMEMBER("ThisWorkbookDataModel","[CAPEX].[Очекуван датум за ставање во употреба (месец)].&amp;[2023-01-01T00:00:00]")</f>
        <v>1/1/2023</v>
      </c>
      <c r="G57" t="e">
        <f>CUBEMEMBER("ThisWorkbookDataModel","[CAPEX].[Очекуван датум за ставање во употреба (месец)].&amp;[2023-02-01T00:00:00]")</f>
        <v>#N/A</v>
      </c>
      <c r="H57" t="str" vm="1441">
        <f>CUBEMEMBER("ThisWorkbookDataModel","[CAPEX].[Очекуван датум за ставање во употреба (месец)].&amp;[2023-03-01T00:00:00]")</f>
        <v>3/1/2023</v>
      </c>
      <c r="I57" t="str" vm="1457">
        <f>CUBEMEMBER("ThisWorkbookDataModel","[CAPEX].[Очекуван датум за ставање во употреба (месец)].&amp;[2023-04-01T00:00:00]")</f>
        <v>4/1/2023</v>
      </c>
      <c r="J57" t="str" vm="1454">
        <f>CUBEMEMBER("ThisWorkbookDataModel","[CAPEX].[Очекуван датум за ставање во употреба (месец)].&amp;[2023-05-01T00:00:00]")</f>
        <v>5/1/2023</v>
      </c>
      <c r="K57" t="str" vm="1446">
        <f>CUBEMEMBER("ThisWorkbookDataModel","[CAPEX].[Очекуван датум за ставање во употреба (месец)].&amp;[2023-06-01T00:00:00]")</f>
        <v>6/1/2023</v>
      </c>
      <c r="L57" t="e">
        <f>CUBEMEMBER("ThisWorkbookDataModel","[CAPEX].[Очекуван датум за ставање во употреба (месец)].&amp;[2023-07-01T00:00:00]")</f>
        <v>#N/A</v>
      </c>
      <c r="M57" t="str" vm="2106">
        <f>CUBEMEMBER("ThisWorkbookDataModel","[CAPEX].[Очекуван датум за ставање во употреба (месец)].&amp;[2023-08-01T00:00:00]")</f>
        <v>8/1/2023</v>
      </c>
      <c r="N57" t="str" vm="1448">
        <f>CUBEMEMBER("ThisWorkbookDataModel","[CAPEX].[Очекуван датум за ставање во употреба (месец)].&amp;[2023-09-01T00:00:00]")</f>
        <v>9/1/2023</v>
      </c>
      <c r="O57" t="str" vm="1442">
        <f>CUBEMEMBER("ThisWorkbookDataModel","[CAPEX].[Очекуван датум за ставање во употреба (месец)].&amp;[2023-10-01T00:00:00]")</f>
        <v>10/1/2023</v>
      </c>
      <c r="P57" t="str" vm="2108">
        <f>CUBEMEMBER("ThisWorkbookDataModel","[CAPEX].[Очекуван датум за ставање во употреба (месец)].&amp;[2023-11-01T00:00:00]")</f>
        <v>11/1/2023</v>
      </c>
      <c r="Q57" t="str" vm="2152">
        <f>CUBEMEMBER("ThisWorkbookDataModel","[CAPEX].[Очекуван датум за ставање во употреба (месец)].&amp;[2023-12-01T00:00:00]")</f>
        <v>12/1/2023</v>
      </c>
      <c r="R57" t="str" vm="1479">
        <f>CUBEMEMBER("ThisWorkbookDataModel","[Calendar].[Година].&amp;[2023]","2023 Total")</f>
        <v>2023 Total</v>
      </c>
    </row>
    <row r="58" spans="2:19" x14ac:dyDescent="0.25">
      <c r="B58" t="str" vm="177">
        <f>CUBEMEMBER("ThisWorkbookDataModel","[CAPEX].[Конто Средства].&amp;[0030]")</f>
        <v>0030</v>
      </c>
      <c r="C58" s="256">
        <f t="shared" ref="C58:D63" si="33">IF(ISERROR(CUBEVALUE("ThisWorkbookDataModel",$B$41,$B58,C$57)),0,CUBEVALUE("ThisWorkbookDataModel",$B$41,$B58,C$57))</f>
        <v>0</v>
      </c>
      <c r="D58" s="256">
        <f t="shared" si="33"/>
        <v>0</v>
      </c>
      <c r="E58" s="100">
        <f t="shared" ref="E58:E63" si="34">SUM(C58:D58)</f>
        <v>0</v>
      </c>
      <c r="F58" s="36" vm="2893">
        <f t="shared" ref="F58:Q63" si="35">IF(ISERROR(CUBEVALUE("ThisWorkbookDataModel",$B$41,$B58,F$57)),0,CUBEVALUE("ThisWorkbookDataModel",$B$41,$B58,F$57))</f>
        <v>6090000</v>
      </c>
      <c r="G58" s="36">
        <f t="shared" si="35"/>
        <v>0</v>
      </c>
      <c r="H58" s="36" t="str" vm="2860">
        <f t="shared" si="35"/>
        <v/>
      </c>
      <c r="I58" s="36" vm="2832">
        <f t="shared" si="35"/>
        <v>11756850</v>
      </c>
      <c r="J58" s="36" vm="3143">
        <f t="shared" si="35"/>
        <v>1260000</v>
      </c>
      <c r="K58" s="36" t="str" vm="2888">
        <f t="shared" si="35"/>
        <v/>
      </c>
      <c r="L58" s="36">
        <f t="shared" si="35"/>
        <v>0</v>
      </c>
      <c r="M58" s="36" t="str" vm="2871">
        <f t="shared" si="35"/>
        <v/>
      </c>
      <c r="N58" s="36" vm="2822">
        <f t="shared" si="35"/>
        <v>10290000</v>
      </c>
      <c r="O58" s="36" vm="2830">
        <f t="shared" si="35"/>
        <v>11991000</v>
      </c>
      <c r="P58" s="36" t="str" vm="3084">
        <f t="shared" si="35"/>
        <v/>
      </c>
      <c r="Q58" s="36" vm="2999">
        <f t="shared" si="35"/>
        <v>14500000</v>
      </c>
      <c r="R58" s="256">
        <f t="shared" ref="R58:R63" si="36">SUM(F58:Q58)</f>
        <v>55887850</v>
      </c>
    </row>
    <row r="59" spans="2:19" x14ac:dyDescent="0.25">
      <c r="B59" t="str" vm="2151">
        <f>CUBEMEMBER("ThisWorkbookDataModel","[CAPEX].[Конто Средства].&amp;[011001]")</f>
        <v>011001</v>
      </c>
      <c r="C59" s="256">
        <f t="shared" si="33"/>
        <v>0</v>
      </c>
      <c r="D59" s="256">
        <f t="shared" si="33"/>
        <v>0</v>
      </c>
      <c r="E59" s="100">
        <f t="shared" si="34"/>
        <v>0</v>
      </c>
      <c r="F59" s="36" t="str" vm="2942">
        <f t="shared" si="35"/>
        <v/>
      </c>
      <c r="G59" s="36">
        <f t="shared" si="35"/>
        <v>0</v>
      </c>
      <c r="H59" s="36" vm="2976">
        <f t="shared" si="35"/>
        <v>2000000</v>
      </c>
      <c r="I59" s="36" t="str" vm="2806">
        <f t="shared" si="35"/>
        <v/>
      </c>
      <c r="J59" s="36" t="str" vm="2848">
        <f t="shared" si="35"/>
        <v/>
      </c>
      <c r="K59" s="36" t="str" vm="2889">
        <f t="shared" si="35"/>
        <v/>
      </c>
      <c r="L59" s="36">
        <f t="shared" si="35"/>
        <v>0</v>
      </c>
      <c r="M59" s="36" t="str" vm="3074">
        <f t="shared" si="35"/>
        <v/>
      </c>
      <c r="N59" s="36" t="str" vm="2902">
        <f t="shared" si="35"/>
        <v/>
      </c>
      <c r="O59" s="36" t="str" vm="2951">
        <f t="shared" si="35"/>
        <v/>
      </c>
      <c r="P59" s="36" t="str" vm="2825">
        <f t="shared" si="35"/>
        <v/>
      </c>
      <c r="Q59" s="36" t="str" vm="2867">
        <f t="shared" si="35"/>
        <v/>
      </c>
      <c r="R59" s="256">
        <f t="shared" si="36"/>
        <v>2000000</v>
      </c>
    </row>
    <row r="60" spans="2:19" x14ac:dyDescent="0.25">
      <c r="B60" t="str" vm="2117">
        <f>CUBEMEMBER("ThisWorkbookDataModel","[CAPEX].[Конто Средства].&amp;[01363]")</f>
        <v>01363</v>
      </c>
      <c r="C60" s="256">
        <f t="shared" si="33"/>
        <v>0</v>
      </c>
      <c r="D60" s="256">
        <f t="shared" si="33"/>
        <v>0</v>
      </c>
      <c r="E60" s="100">
        <f t="shared" si="34"/>
        <v>0</v>
      </c>
      <c r="F60" s="36" t="str" vm="2929">
        <f t="shared" si="35"/>
        <v/>
      </c>
      <c r="G60" s="36">
        <f t="shared" si="35"/>
        <v>0</v>
      </c>
      <c r="H60" s="36" t="str" vm="2949">
        <f t="shared" si="35"/>
        <v/>
      </c>
      <c r="I60" s="36" t="str" vm="2998">
        <f t="shared" si="35"/>
        <v/>
      </c>
      <c r="J60" s="36" t="str" vm="3064">
        <f t="shared" si="35"/>
        <v/>
      </c>
      <c r="K60" s="36" vm="3013">
        <f t="shared" si="35"/>
        <v>150000</v>
      </c>
      <c r="L60" s="36">
        <f t="shared" si="35"/>
        <v>0</v>
      </c>
      <c r="M60" s="36" t="str" vm="3048">
        <f t="shared" si="35"/>
        <v/>
      </c>
      <c r="N60" s="36" t="str" vm="2979">
        <f t="shared" si="35"/>
        <v/>
      </c>
      <c r="O60" s="36" t="str" vm="2864">
        <f t="shared" si="35"/>
        <v/>
      </c>
      <c r="P60" s="36" t="str" vm="2835">
        <f t="shared" si="35"/>
        <v/>
      </c>
      <c r="Q60" s="36" vm="3053">
        <f t="shared" si="35"/>
        <v>185000</v>
      </c>
      <c r="R60" s="256">
        <f t="shared" si="36"/>
        <v>335000</v>
      </c>
    </row>
    <row r="61" spans="2:19" x14ac:dyDescent="0.25">
      <c r="B61" t="e">
        <f>CUBEMEMBER("ThisWorkbookDataModel","[CAPEX].[Конто Средства].&amp;[0191001]")</f>
        <v>#N/A</v>
      </c>
      <c r="C61" s="256">
        <f t="shared" si="33"/>
        <v>0</v>
      </c>
      <c r="D61" s="256">
        <f t="shared" si="33"/>
        <v>0</v>
      </c>
      <c r="E61" s="100">
        <f t="shared" si="34"/>
        <v>0</v>
      </c>
      <c r="F61" s="36">
        <f t="shared" si="35"/>
        <v>0</v>
      </c>
      <c r="G61" s="36">
        <f t="shared" si="35"/>
        <v>0</v>
      </c>
      <c r="H61" s="36">
        <f t="shared" si="35"/>
        <v>0</v>
      </c>
      <c r="I61" s="36">
        <f t="shared" si="35"/>
        <v>0</v>
      </c>
      <c r="J61" s="36">
        <f t="shared" si="35"/>
        <v>0</v>
      </c>
      <c r="K61" s="36">
        <f t="shared" si="35"/>
        <v>0</v>
      </c>
      <c r="L61" s="36">
        <f t="shared" si="35"/>
        <v>0</v>
      </c>
      <c r="M61" s="36">
        <f t="shared" si="35"/>
        <v>0</v>
      </c>
      <c r="N61" s="36">
        <f t="shared" si="35"/>
        <v>0</v>
      </c>
      <c r="O61" s="36">
        <f t="shared" si="35"/>
        <v>0</v>
      </c>
      <c r="P61" s="36">
        <f t="shared" si="35"/>
        <v>0</v>
      </c>
      <c r="Q61" s="36">
        <f t="shared" si="35"/>
        <v>0</v>
      </c>
      <c r="R61" s="256">
        <f t="shared" si="36"/>
        <v>0</v>
      </c>
    </row>
    <row r="62" spans="2:19" x14ac:dyDescent="0.25">
      <c r="B62" t="str" vm="247">
        <f>CUBEMEMBER("ThisWorkbookDataModel","[CAPEX].[Конто Средства].&amp;[01213]")</f>
        <v>01213</v>
      </c>
      <c r="C62" s="36">
        <f t="shared" si="33"/>
        <v>0</v>
      </c>
      <c r="D62" s="36">
        <f t="shared" si="33"/>
        <v>0</v>
      </c>
      <c r="E62" s="100">
        <f t="shared" ref="E62" si="37">SUM(C62:D62)</f>
        <v>0</v>
      </c>
      <c r="F62" s="36" vm="2866">
        <f t="shared" si="35"/>
        <v>236000</v>
      </c>
      <c r="G62" s="36">
        <f t="shared" si="35"/>
        <v>0</v>
      </c>
      <c r="H62" s="36" vm="2993">
        <f t="shared" si="35"/>
        <v>17829000</v>
      </c>
      <c r="I62" s="36" vm="2847">
        <f t="shared" si="35"/>
        <v>877000</v>
      </c>
      <c r="J62" s="36" t="str" vm="2911">
        <f t="shared" si="35"/>
        <v/>
      </c>
      <c r="K62" s="36" t="str" vm="2804">
        <f t="shared" si="35"/>
        <v/>
      </c>
      <c r="L62" s="36">
        <f t="shared" si="35"/>
        <v>0</v>
      </c>
      <c r="M62" s="36" vm="2791">
        <f t="shared" si="35"/>
        <v>11800000</v>
      </c>
      <c r="N62" s="36" t="str" vm="2840">
        <f t="shared" si="35"/>
        <v/>
      </c>
      <c r="O62" s="36" t="str" vm="3141">
        <f t="shared" si="35"/>
        <v/>
      </c>
      <c r="P62" s="36" vm="2947">
        <f t="shared" si="35"/>
        <v>9450000</v>
      </c>
      <c r="Q62" s="36" vm="2905">
        <f t="shared" si="35"/>
        <v>6300000</v>
      </c>
      <c r="R62" s="256">
        <f t="shared" si="36"/>
        <v>46492000</v>
      </c>
    </row>
    <row r="63" spans="2:19" x14ac:dyDescent="0.25">
      <c r="B63" t="e">
        <f>CUBEMEMBER("ThisWorkbookDataModel","[CAPEX].[Конто Средства].&amp;[0135]")</f>
        <v>#N/A</v>
      </c>
      <c r="C63" s="36">
        <f t="shared" si="33"/>
        <v>0</v>
      </c>
      <c r="D63" s="36">
        <f t="shared" si="33"/>
        <v>0</v>
      </c>
      <c r="E63" s="100">
        <f t="shared" si="34"/>
        <v>0</v>
      </c>
      <c r="F63" s="36">
        <f t="shared" si="35"/>
        <v>0</v>
      </c>
      <c r="G63" s="36">
        <f t="shared" si="35"/>
        <v>0</v>
      </c>
      <c r="H63" s="36">
        <f t="shared" si="35"/>
        <v>0</v>
      </c>
      <c r="I63" s="36">
        <f t="shared" si="35"/>
        <v>0</v>
      </c>
      <c r="J63" s="36">
        <f t="shared" si="35"/>
        <v>0</v>
      </c>
      <c r="K63" s="36">
        <f t="shared" si="35"/>
        <v>0</v>
      </c>
      <c r="L63" s="36">
        <f t="shared" si="35"/>
        <v>0</v>
      </c>
      <c r="M63" s="36">
        <f t="shared" si="35"/>
        <v>0</v>
      </c>
      <c r="N63" s="36">
        <f t="shared" si="35"/>
        <v>0</v>
      </c>
      <c r="O63" s="36">
        <f t="shared" si="35"/>
        <v>0</v>
      </c>
      <c r="P63" s="36">
        <f t="shared" si="35"/>
        <v>0</v>
      </c>
      <c r="Q63" s="36">
        <f t="shared" si="35"/>
        <v>0</v>
      </c>
      <c r="R63" s="256">
        <f t="shared" si="36"/>
        <v>0</v>
      </c>
    </row>
    <row r="64" spans="2:19" s="181" customFormat="1" x14ac:dyDescent="0.25">
      <c r="B64" s="181" t="str" vm="139">
        <f>CUBEMEMBER("ThisWorkbookDataModel","[CAPEX].[Конто Средства].[All]","Grand Total")</f>
        <v>Grand Total</v>
      </c>
      <c r="C64" s="254">
        <f>SUM(C58:C63)</f>
        <v>0</v>
      </c>
      <c r="D64" s="254">
        <f>SUM(D58:D63)</f>
        <v>0</v>
      </c>
      <c r="E64" s="254">
        <f>SUM(E58:E63)</f>
        <v>0</v>
      </c>
      <c r="F64" s="254">
        <f>SUM(F58:F63)</f>
        <v>6326000</v>
      </c>
      <c r="G64" s="254">
        <f t="shared" ref="G64:R64" si="38">SUM(G58:G63)</f>
        <v>0</v>
      </c>
      <c r="H64" s="254">
        <f t="shared" si="38"/>
        <v>19829000</v>
      </c>
      <c r="I64" s="254">
        <f t="shared" si="38"/>
        <v>12633850</v>
      </c>
      <c r="J64" s="254">
        <f t="shared" si="38"/>
        <v>1260000</v>
      </c>
      <c r="K64" s="254">
        <f t="shared" si="38"/>
        <v>150000</v>
      </c>
      <c r="L64" s="254">
        <f t="shared" si="38"/>
        <v>0</v>
      </c>
      <c r="M64" s="254">
        <f t="shared" si="38"/>
        <v>11800000</v>
      </c>
      <c r="N64" s="254">
        <f t="shared" si="38"/>
        <v>10290000</v>
      </c>
      <c r="O64" s="254">
        <f t="shared" si="38"/>
        <v>11991000</v>
      </c>
      <c r="P64" s="254">
        <f t="shared" si="38"/>
        <v>9450000</v>
      </c>
      <c r="Q64" s="254">
        <f t="shared" si="38"/>
        <v>20985000</v>
      </c>
      <c r="R64" s="257">
        <f t="shared" si="38"/>
        <v>104714850</v>
      </c>
      <c r="S64" s="288">
        <f>R53-R64</f>
        <v>18460000</v>
      </c>
    </row>
    <row r="65" spans="2:20" x14ac:dyDescent="0.25">
      <c r="C65" s="36"/>
      <c r="D65" s="36"/>
      <c r="E65" s="36"/>
      <c r="F65" s="36"/>
      <c r="G65" s="36"/>
      <c r="H65" s="36"/>
      <c r="I65" s="36"/>
      <c r="J65" s="36"/>
      <c r="K65" s="36"/>
      <c r="L65" s="36"/>
      <c r="M65" s="36"/>
      <c r="N65" s="36"/>
      <c r="O65" s="36"/>
      <c r="P65" s="36"/>
      <c r="Q65" s="36"/>
      <c r="R65" s="256"/>
    </row>
    <row r="66" spans="2:20" x14ac:dyDescent="0.25">
      <c r="B66" s="193" t="s">
        <v>294</v>
      </c>
      <c r="C66" s="100">
        <f>SUM(C60:C63)</f>
        <v>0</v>
      </c>
      <c r="D66" s="100">
        <f t="shared" ref="D66:R66" si="39">SUM(D60:D63)</f>
        <v>0</v>
      </c>
      <c r="E66" s="100">
        <f t="shared" si="39"/>
        <v>0</v>
      </c>
      <c r="F66" s="100">
        <f t="shared" si="39"/>
        <v>236000</v>
      </c>
      <c r="G66" s="100">
        <f t="shared" si="39"/>
        <v>0</v>
      </c>
      <c r="H66" s="100">
        <f t="shared" si="39"/>
        <v>17829000</v>
      </c>
      <c r="I66" s="100">
        <f t="shared" si="39"/>
        <v>877000</v>
      </c>
      <c r="J66" s="100">
        <f t="shared" si="39"/>
        <v>0</v>
      </c>
      <c r="K66" s="100">
        <f t="shared" si="39"/>
        <v>150000</v>
      </c>
      <c r="L66" s="100">
        <f t="shared" si="39"/>
        <v>0</v>
      </c>
      <c r="M66" s="100">
        <f t="shared" si="39"/>
        <v>11800000</v>
      </c>
      <c r="N66" s="100">
        <f t="shared" si="39"/>
        <v>0</v>
      </c>
      <c r="O66" s="100">
        <f t="shared" si="39"/>
        <v>0</v>
      </c>
      <c r="P66" s="100">
        <f t="shared" si="39"/>
        <v>9450000</v>
      </c>
      <c r="Q66" s="100">
        <f t="shared" si="39"/>
        <v>6485000</v>
      </c>
      <c r="R66" s="258">
        <f t="shared" si="39"/>
        <v>46827000</v>
      </c>
    </row>
    <row r="67" spans="2:20" x14ac:dyDescent="0.25">
      <c r="B67" s="193" t="s">
        <v>295</v>
      </c>
      <c r="C67" s="100">
        <f>SUM(C58:C59)</f>
        <v>0</v>
      </c>
      <c r="D67" s="100">
        <f t="shared" ref="D67:R67" si="40">SUM(D58:D59)</f>
        <v>0</v>
      </c>
      <c r="E67" s="100">
        <f t="shared" si="40"/>
        <v>0</v>
      </c>
      <c r="F67" s="100">
        <f t="shared" si="40"/>
        <v>6090000</v>
      </c>
      <c r="G67" s="100">
        <f t="shared" si="40"/>
        <v>0</v>
      </c>
      <c r="H67" s="100">
        <f t="shared" si="40"/>
        <v>2000000</v>
      </c>
      <c r="I67" s="100">
        <f t="shared" si="40"/>
        <v>11756850</v>
      </c>
      <c r="J67" s="100">
        <f t="shared" si="40"/>
        <v>1260000</v>
      </c>
      <c r="K67" s="100">
        <f t="shared" si="40"/>
        <v>0</v>
      </c>
      <c r="L67" s="100">
        <f t="shared" si="40"/>
        <v>0</v>
      </c>
      <c r="M67" s="100">
        <f t="shared" si="40"/>
        <v>0</v>
      </c>
      <c r="N67" s="100">
        <f t="shared" si="40"/>
        <v>10290000</v>
      </c>
      <c r="O67" s="100">
        <f t="shared" si="40"/>
        <v>11991000</v>
      </c>
      <c r="P67" s="100">
        <f t="shared" si="40"/>
        <v>0</v>
      </c>
      <c r="Q67" s="100">
        <f t="shared" si="40"/>
        <v>14500000</v>
      </c>
      <c r="R67" s="258">
        <f t="shared" si="40"/>
        <v>57887850</v>
      </c>
      <c r="T67" s="8"/>
    </row>
    <row r="68" spans="2:20" x14ac:dyDescent="0.25">
      <c r="E68" s="94"/>
      <c r="F68" s="94" t="s">
        <v>1313</v>
      </c>
      <c r="G68" s="94">
        <f t="shared" ref="G68:N68" si="41">SUM(G66:G67)</f>
        <v>0</v>
      </c>
      <c r="H68" s="94">
        <f t="shared" si="41"/>
        <v>19829000</v>
      </c>
      <c r="I68" s="94">
        <f t="shared" si="41"/>
        <v>12633850</v>
      </c>
      <c r="J68" s="94">
        <f t="shared" si="41"/>
        <v>1260000</v>
      </c>
      <c r="K68" s="94">
        <f t="shared" si="41"/>
        <v>150000</v>
      </c>
      <c r="L68" s="94">
        <f t="shared" si="41"/>
        <v>0</v>
      </c>
      <c r="M68" s="94">
        <f t="shared" si="41"/>
        <v>11800000</v>
      </c>
      <c r="N68" s="94">
        <f t="shared" si="41"/>
        <v>10290000</v>
      </c>
      <c r="O68" s="94"/>
      <c r="P68" s="94"/>
      <c r="Q68" s="94"/>
      <c r="R68" s="94">
        <f>SUM(R66:R67)</f>
        <v>104714850</v>
      </c>
    </row>
    <row r="70" spans="2:20" x14ac:dyDescent="0.25">
      <c r="R70">
        <f>R64-R66-R67</f>
        <v>0</v>
      </c>
    </row>
  </sheetData>
  <pageMargins left="0.7" right="0.7" top="0.75" bottom="0.75" header="0.3" footer="0.3"/>
  <pageSetup orientation="portrait" verticalDpi="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00B0F0"/>
    <pageSetUpPr fitToPage="1"/>
  </sheetPr>
  <dimension ref="A1:K36"/>
  <sheetViews>
    <sheetView topLeftCell="A28" workbookViewId="0">
      <selection activeCell="C30" sqref="C30"/>
    </sheetView>
  </sheetViews>
  <sheetFormatPr defaultRowHeight="15" x14ac:dyDescent="0.25"/>
  <cols>
    <col min="1" max="1" width="12" style="2" customWidth="1"/>
    <col min="2" max="2" width="39.85546875" customWidth="1"/>
    <col min="3" max="3" width="10.85546875" bestFit="1" customWidth="1"/>
    <col min="4" max="4" width="22.28515625" hidden="1" customWidth="1"/>
    <col min="5" max="5" width="9.7109375" customWidth="1"/>
    <col min="6" max="6" width="22.28515625" hidden="1" customWidth="1"/>
    <col min="7" max="7" width="9.5703125" customWidth="1"/>
    <col min="8" max="8" width="22.28515625" hidden="1" customWidth="1"/>
    <col min="9" max="9" width="9.85546875" customWidth="1"/>
    <col min="10" max="10" width="14.42578125" customWidth="1"/>
    <col min="11" max="11" width="14" customWidth="1"/>
    <col min="12" max="17" width="6.85546875" bestFit="1" customWidth="1"/>
    <col min="18" max="18" width="11.28515625" bestFit="1" customWidth="1"/>
    <col min="19" max="19" width="5.85546875" bestFit="1" customWidth="1"/>
    <col min="20" max="20" width="6.7109375" bestFit="1" customWidth="1"/>
    <col min="21" max="21" width="6.28515625" bestFit="1" customWidth="1"/>
    <col min="22" max="22" width="6.140625" bestFit="1" customWidth="1"/>
    <col min="23" max="23" width="6.7109375" bestFit="1" customWidth="1"/>
    <col min="24" max="24" width="6.42578125" bestFit="1" customWidth="1"/>
    <col min="25" max="25" width="6.140625" bestFit="1" customWidth="1"/>
    <col min="26" max="26" width="6.85546875" bestFit="1" customWidth="1"/>
    <col min="27" max="29" width="6.7109375" bestFit="1" customWidth="1"/>
    <col min="30" max="30" width="6.85546875" bestFit="1" customWidth="1"/>
    <col min="31" max="32" width="6.7109375" bestFit="1" customWidth="1"/>
    <col min="33" max="33" width="5.85546875" bestFit="1" customWidth="1"/>
    <col min="34" max="34" width="6.7109375" bestFit="1" customWidth="1"/>
    <col min="35" max="35" width="6.28515625" bestFit="1" customWidth="1"/>
    <col min="36" max="36" width="6.140625" bestFit="1" customWidth="1"/>
    <col min="37" max="37" width="6.7109375" bestFit="1" customWidth="1"/>
    <col min="38" max="38" width="6.42578125" bestFit="1" customWidth="1"/>
    <col min="39" max="39" width="6.140625" bestFit="1" customWidth="1"/>
    <col min="40" max="40" width="6.85546875" bestFit="1" customWidth="1"/>
    <col min="41" max="43" width="6.7109375" bestFit="1" customWidth="1"/>
    <col min="44" max="44" width="6.85546875" bestFit="1" customWidth="1"/>
    <col min="45" max="46" width="6.7109375" bestFit="1" customWidth="1"/>
    <col min="47" max="47" width="5.85546875" bestFit="1" customWidth="1"/>
    <col min="48" max="48" width="6.7109375" bestFit="1" customWidth="1"/>
    <col min="49" max="49" width="6.28515625" bestFit="1" customWidth="1"/>
    <col min="50" max="50" width="6.140625" bestFit="1" customWidth="1"/>
    <col min="51" max="51" width="6.7109375" bestFit="1" customWidth="1"/>
    <col min="52" max="52" width="6.42578125" bestFit="1" customWidth="1"/>
    <col min="53" max="53" width="6.140625" bestFit="1" customWidth="1"/>
    <col min="54" max="54" width="6.85546875" bestFit="1" customWidth="1"/>
    <col min="55" max="57" width="6.7109375" bestFit="1" customWidth="1"/>
    <col min="58" max="58" width="6.85546875" bestFit="1" customWidth="1"/>
    <col min="59" max="60" width="6.7109375" bestFit="1" customWidth="1"/>
    <col min="61" max="61" width="5.85546875" bestFit="1" customWidth="1"/>
    <col min="62" max="62" width="6.7109375" bestFit="1" customWidth="1"/>
    <col min="63" max="63" width="6.28515625" bestFit="1" customWidth="1"/>
    <col min="64" max="64" width="6.140625" bestFit="1" customWidth="1"/>
    <col min="65" max="65" width="6.7109375" bestFit="1" customWidth="1"/>
    <col min="66" max="66" width="6.42578125" bestFit="1" customWidth="1"/>
    <col min="67" max="67" width="6.140625" bestFit="1" customWidth="1"/>
    <col min="68" max="68" width="6.85546875" bestFit="1" customWidth="1"/>
    <col min="69" max="71" width="6.7109375" bestFit="1" customWidth="1"/>
    <col min="72" max="72" width="6.85546875" bestFit="1" customWidth="1"/>
    <col min="73" max="74" width="6.7109375" bestFit="1" customWidth="1"/>
    <col min="75" max="75" width="5.85546875" bestFit="1" customWidth="1"/>
    <col min="76" max="76" width="6.7109375" bestFit="1" customWidth="1"/>
    <col min="77" max="77" width="6.28515625" bestFit="1" customWidth="1"/>
    <col min="78" max="78" width="6.140625" bestFit="1" customWidth="1"/>
    <col min="79" max="79" width="6.7109375" bestFit="1" customWidth="1"/>
    <col min="80" max="80" width="6.42578125" bestFit="1" customWidth="1"/>
    <col min="81" max="81" width="6.140625" bestFit="1" customWidth="1"/>
    <col min="82" max="82" width="6.85546875" bestFit="1" customWidth="1"/>
    <col min="83" max="85" width="6.7109375" bestFit="1" customWidth="1"/>
    <col min="86" max="86" width="6.85546875" bestFit="1" customWidth="1"/>
    <col min="87" max="88" width="6.7109375" bestFit="1" customWidth="1"/>
    <col min="89" max="89" width="5.85546875" bestFit="1" customWidth="1"/>
    <col min="90" max="90" width="6.7109375" bestFit="1" customWidth="1"/>
    <col min="91" max="91" width="6.28515625" bestFit="1" customWidth="1"/>
    <col min="92" max="92" width="6.140625" bestFit="1" customWidth="1"/>
    <col min="93" max="93" width="6.7109375" bestFit="1" customWidth="1"/>
    <col min="94" max="94" width="6.42578125" bestFit="1" customWidth="1"/>
    <col min="95" max="95" width="6.140625" bestFit="1" customWidth="1"/>
    <col min="96" max="96" width="6.85546875" bestFit="1" customWidth="1"/>
    <col min="97" max="99" width="6.7109375" bestFit="1" customWidth="1"/>
    <col min="100" max="100" width="6.85546875" bestFit="1" customWidth="1"/>
    <col min="101" max="102" width="6.7109375" bestFit="1" customWidth="1"/>
    <col min="103" max="103" width="5.85546875" bestFit="1" customWidth="1"/>
    <col min="104" max="104" width="6.7109375" bestFit="1" customWidth="1"/>
    <col min="105" max="105" width="6.28515625" bestFit="1" customWidth="1"/>
    <col min="106" max="106" width="6.140625" bestFit="1" customWidth="1"/>
    <col min="107" max="107" width="6.7109375" bestFit="1" customWidth="1"/>
    <col min="108" max="108" width="6.42578125" bestFit="1" customWidth="1"/>
    <col min="109" max="109" width="6.140625" bestFit="1" customWidth="1"/>
    <col min="110" max="110" width="6.85546875" bestFit="1" customWidth="1"/>
    <col min="111" max="113" width="6.7109375" bestFit="1" customWidth="1"/>
    <col min="114" max="114" width="11.28515625" bestFit="1" customWidth="1"/>
  </cols>
  <sheetData>
    <row r="1" spans="1:11" x14ac:dyDescent="0.25">
      <c r="A1" s="299" t="s">
        <v>289</v>
      </c>
      <c r="B1" s="303" t="s" vm="2782">
        <v>777</v>
      </c>
    </row>
    <row r="2" spans="1:11" ht="39" customHeight="1" x14ac:dyDescent="0.25">
      <c r="A2"/>
    </row>
    <row r="3" spans="1:11" x14ac:dyDescent="0.25">
      <c r="A3" s="298"/>
      <c r="B3" s="298"/>
      <c r="C3" s="299" t="s">
        <v>5</v>
      </c>
      <c r="D3" s="300" t="s">
        <v>571</v>
      </c>
      <c r="E3" s="298"/>
      <c r="F3" s="298"/>
      <c r="G3" s="298"/>
      <c r="H3" s="298"/>
      <c r="I3" s="298"/>
      <c r="J3" s="298"/>
    </row>
    <row r="4" spans="1:11" ht="24" x14ac:dyDescent="0.25">
      <c r="A4" s="298"/>
      <c r="B4" s="298"/>
      <c r="C4" s="301" t="s">
        <v>1065</v>
      </c>
      <c r="D4" s="301"/>
      <c r="E4" s="301" t="s">
        <v>1262</v>
      </c>
      <c r="F4" s="301"/>
      <c r="G4" s="301" t="s">
        <v>1475</v>
      </c>
      <c r="H4" s="301"/>
      <c r="I4" s="303" t="s">
        <v>1470</v>
      </c>
      <c r="J4" s="301" t="s">
        <v>572</v>
      </c>
    </row>
    <row r="5" spans="1:11" ht="24.75" x14ac:dyDescent="0.25">
      <c r="A5" s="300" t="s">
        <v>575</v>
      </c>
      <c r="B5" s="299" t="s">
        <v>574</v>
      </c>
      <c r="C5" s="302" t="s">
        <v>1471</v>
      </c>
      <c r="D5" s="302" t="s">
        <v>573</v>
      </c>
      <c r="E5" s="302" t="s">
        <v>1471</v>
      </c>
      <c r="F5" s="302" t="s">
        <v>573</v>
      </c>
      <c r="G5" s="302" t="s">
        <v>1471</v>
      </c>
      <c r="H5" s="303" t="s">
        <v>573</v>
      </c>
      <c r="I5" s="303"/>
      <c r="J5" s="301"/>
    </row>
    <row r="6" spans="1:11" ht="24.75" x14ac:dyDescent="0.25">
      <c r="A6" s="304" t="s">
        <v>256</v>
      </c>
      <c r="B6" s="298" t="s">
        <v>1066</v>
      </c>
      <c r="C6" s="314"/>
      <c r="D6" s="305"/>
      <c r="E6" s="314">
        <v>15000000</v>
      </c>
      <c r="F6" s="305">
        <v>0</v>
      </c>
      <c r="G6" s="314"/>
      <c r="H6" s="305"/>
      <c r="I6" s="314">
        <v>15000000</v>
      </c>
      <c r="J6" s="305">
        <v>0</v>
      </c>
    </row>
    <row r="7" spans="1:11" ht="24.75" x14ac:dyDescent="0.25">
      <c r="A7" s="304" t="s">
        <v>566</v>
      </c>
      <c r="B7" s="298" t="s">
        <v>567</v>
      </c>
      <c r="C7" s="314"/>
      <c r="D7" s="305"/>
      <c r="E7" s="314">
        <v>14160000</v>
      </c>
      <c r="F7" s="305">
        <v>14160000</v>
      </c>
      <c r="G7" s="314"/>
      <c r="H7" s="305"/>
      <c r="I7" s="314">
        <v>14160000</v>
      </c>
      <c r="J7" s="305">
        <v>14160000</v>
      </c>
    </row>
    <row r="8" spans="1:11" ht="48.75" x14ac:dyDescent="0.25">
      <c r="A8" s="304" t="s">
        <v>591</v>
      </c>
      <c r="B8" s="298" t="s">
        <v>1067</v>
      </c>
      <c r="C8" s="314">
        <v>1820000</v>
      </c>
      <c r="D8" s="305">
        <v>0</v>
      </c>
      <c r="E8" s="314"/>
      <c r="F8" s="305"/>
      <c r="G8" s="314"/>
      <c r="H8" s="305"/>
      <c r="I8" s="314">
        <v>1820000</v>
      </c>
      <c r="J8" s="305">
        <v>0</v>
      </c>
    </row>
    <row r="9" spans="1:11" ht="48.75" x14ac:dyDescent="0.25">
      <c r="A9" s="304"/>
      <c r="B9" s="298" t="s">
        <v>1068</v>
      </c>
      <c r="C9" s="314">
        <v>1820000</v>
      </c>
      <c r="D9" s="305">
        <v>0</v>
      </c>
      <c r="E9" s="314"/>
      <c r="F9" s="305"/>
      <c r="G9" s="314"/>
      <c r="H9" s="305"/>
      <c r="I9" s="314">
        <v>1820000</v>
      </c>
      <c r="J9" s="305">
        <v>0</v>
      </c>
    </row>
    <row r="10" spans="1:11" ht="48.75" x14ac:dyDescent="0.25">
      <c r="A10" s="304"/>
      <c r="B10" s="298" t="s">
        <v>1069</v>
      </c>
      <c r="C10" s="314">
        <v>1820000</v>
      </c>
      <c r="D10" s="305">
        <v>0</v>
      </c>
      <c r="E10" s="314"/>
      <c r="F10" s="305"/>
      <c r="G10" s="314"/>
      <c r="H10" s="305"/>
      <c r="I10" s="314">
        <v>1820000</v>
      </c>
      <c r="J10" s="305">
        <v>0</v>
      </c>
    </row>
    <row r="11" spans="1:11" ht="144.75" x14ac:dyDescent="0.25">
      <c r="A11" s="304" t="s">
        <v>592</v>
      </c>
      <c r="B11" s="298" t="s">
        <v>1070</v>
      </c>
      <c r="C11" s="314">
        <v>11261250</v>
      </c>
      <c r="D11" s="305">
        <v>0</v>
      </c>
      <c r="E11" s="314"/>
      <c r="F11" s="305"/>
      <c r="G11" s="314"/>
      <c r="H11" s="305"/>
      <c r="I11" s="314">
        <v>11261250</v>
      </c>
      <c r="J11" s="305">
        <v>0</v>
      </c>
    </row>
    <row r="12" spans="1:11" ht="24.75" x14ac:dyDescent="0.25">
      <c r="A12" s="304" t="s">
        <v>595</v>
      </c>
      <c r="B12" s="298" t="s">
        <v>1316</v>
      </c>
      <c r="C12" s="314">
        <v>2000000</v>
      </c>
      <c r="D12" s="305">
        <v>0</v>
      </c>
      <c r="E12" s="314"/>
      <c r="F12" s="305"/>
      <c r="G12" s="314"/>
      <c r="H12" s="305"/>
      <c r="I12" s="314">
        <v>2000000</v>
      </c>
      <c r="J12" s="305">
        <v>0</v>
      </c>
      <c r="K12" s="36"/>
    </row>
    <row r="13" spans="1:11" ht="24.75" x14ac:dyDescent="0.25">
      <c r="A13" s="304" t="s">
        <v>596</v>
      </c>
      <c r="B13" s="298" t="s">
        <v>1318</v>
      </c>
      <c r="C13" s="314">
        <v>877000</v>
      </c>
      <c r="D13" s="305">
        <v>0</v>
      </c>
      <c r="E13" s="314"/>
      <c r="F13" s="305"/>
      <c r="G13" s="314"/>
      <c r="H13" s="305"/>
      <c r="I13" s="314">
        <v>877000</v>
      </c>
      <c r="J13" s="305">
        <v>0</v>
      </c>
      <c r="K13" s="36"/>
    </row>
    <row r="14" spans="1:11" ht="120.75" x14ac:dyDescent="0.25">
      <c r="A14" s="304" t="s">
        <v>1108</v>
      </c>
      <c r="B14" s="298" t="s">
        <v>1109</v>
      </c>
      <c r="C14" s="314">
        <v>6090000</v>
      </c>
      <c r="D14" s="305">
        <v>0</v>
      </c>
      <c r="E14" s="314"/>
      <c r="F14" s="305"/>
      <c r="G14" s="314"/>
      <c r="H14" s="305"/>
      <c r="I14" s="314">
        <v>6090000</v>
      </c>
      <c r="J14" s="305">
        <v>0</v>
      </c>
      <c r="K14" s="100"/>
    </row>
    <row r="15" spans="1:11" x14ac:dyDescent="0.25">
      <c r="A15" s="304" t="s">
        <v>1072</v>
      </c>
      <c r="B15" s="298" t="s">
        <v>1317</v>
      </c>
      <c r="C15" s="314">
        <v>236000</v>
      </c>
      <c r="D15" s="305">
        <v>0</v>
      </c>
      <c r="E15" s="314"/>
      <c r="F15" s="305"/>
      <c r="G15" s="314"/>
      <c r="H15" s="305"/>
      <c r="I15" s="314">
        <v>236000</v>
      </c>
      <c r="J15" s="305">
        <v>0</v>
      </c>
      <c r="K15" s="36"/>
    </row>
    <row r="16" spans="1:11" ht="24.75" x14ac:dyDescent="0.25">
      <c r="A16" s="304" t="s">
        <v>1073</v>
      </c>
      <c r="B16" s="298" t="s">
        <v>1074</v>
      </c>
      <c r="C16" s="314">
        <v>495600</v>
      </c>
      <c r="D16" s="305">
        <v>0</v>
      </c>
      <c r="E16" s="314"/>
      <c r="F16" s="305"/>
      <c r="G16" s="314"/>
      <c r="H16" s="305"/>
      <c r="I16" s="314">
        <v>495600</v>
      </c>
      <c r="J16" s="305">
        <v>0</v>
      </c>
      <c r="K16" s="196"/>
    </row>
    <row r="17" spans="1:10" ht="24.75" x14ac:dyDescent="0.25">
      <c r="A17" s="304" t="s">
        <v>1098</v>
      </c>
      <c r="B17" s="298" t="s">
        <v>1071</v>
      </c>
      <c r="C17" s="314">
        <v>1890000</v>
      </c>
      <c r="D17" s="305">
        <v>0</v>
      </c>
      <c r="E17" s="314"/>
      <c r="F17" s="305"/>
      <c r="G17" s="314"/>
      <c r="H17" s="305"/>
      <c r="I17" s="314">
        <v>1890000</v>
      </c>
      <c r="J17" s="305">
        <v>0</v>
      </c>
    </row>
    <row r="18" spans="1:10" x14ac:dyDescent="0.25">
      <c r="A18" s="304" t="s">
        <v>1075</v>
      </c>
      <c r="B18" s="298" t="s">
        <v>1076</v>
      </c>
      <c r="C18" s="314">
        <v>6000000</v>
      </c>
      <c r="D18" s="305">
        <v>0</v>
      </c>
      <c r="E18" s="314"/>
      <c r="F18" s="305"/>
      <c r="G18" s="314"/>
      <c r="H18" s="305"/>
      <c r="I18" s="314">
        <v>6000000</v>
      </c>
      <c r="J18" s="305">
        <v>0</v>
      </c>
    </row>
    <row r="19" spans="1:10" x14ac:dyDescent="0.25">
      <c r="A19" s="304" t="s">
        <v>1077</v>
      </c>
      <c r="B19" s="298" t="s">
        <v>1321</v>
      </c>
      <c r="C19" s="314">
        <v>17829000</v>
      </c>
      <c r="D19" s="305">
        <v>0</v>
      </c>
      <c r="E19" s="314"/>
      <c r="F19" s="305"/>
      <c r="G19" s="314"/>
      <c r="H19" s="305"/>
      <c r="I19" s="314">
        <v>17829000</v>
      </c>
      <c r="J19" s="305">
        <v>0</v>
      </c>
    </row>
    <row r="20" spans="1:10" ht="36.75" x14ac:dyDescent="0.25">
      <c r="A20" s="304" t="s">
        <v>1099</v>
      </c>
      <c r="B20" s="298" t="s">
        <v>1104</v>
      </c>
      <c r="C20" s="314"/>
      <c r="D20" s="305"/>
      <c r="E20" s="314"/>
      <c r="F20" s="305"/>
      <c r="G20" s="314">
        <v>15375000</v>
      </c>
      <c r="H20" s="305">
        <v>0</v>
      </c>
      <c r="I20" s="314">
        <v>15375000</v>
      </c>
      <c r="J20" s="305">
        <v>0</v>
      </c>
    </row>
    <row r="21" spans="1:10" ht="36.75" x14ac:dyDescent="0.25">
      <c r="A21" s="304" t="s">
        <v>1079</v>
      </c>
      <c r="B21" s="298" t="s">
        <v>1105</v>
      </c>
      <c r="C21" s="314"/>
      <c r="D21" s="305"/>
      <c r="E21" s="314">
        <v>7100000</v>
      </c>
      <c r="F21" s="305">
        <v>0</v>
      </c>
      <c r="G21" s="314"/>
      <c r="H21" s="305"/>
      <c r="I21" s="314">
        <v>7100000</v>
      </c>
      <c r="J21" s="305">
        <v>0</v>
      </c>
    </row>
    <row r="22" spans="1:10" ht="48.75" x14ac:dyDescent="0.25">
      <c r="A22" s="304" t="s">
        <v>1091</v>
      </c>
      <c r="B22" s="298" t="s">
        <v>1092</v>
      </c>
      <c r="C22" s="314">
        <v>1260000</v>
      </c>
      <c r="D22" s="305">
        <v>0</v>
      </c>
      <c r="E22" s="314"/>
      <c r="F22" s="305"/>
      <c r="G22" s="314"/>
      <c r="H22" s="305"/>
      <c r="I22" s="314">
        <v>1260000</v>
      </c>
      <c r="J22" s="305">
        <v>0</v>
      </c>
    </row>
    <row r="23" spans="1:10" ht="24.75" x14ac:dyDescent="0.25">
      <c r="A23" s="304" t="s">
        <v>1281</v>
      </c>
      <c r="B23" s="298" t="s">
        <v>1282</v>
      </c>
      <c r="C23" s="314">
        <v>8400000</v>
      </c>
      <c r="D23" s="305"/>
      <c r="E23" s="314"/>
      <c r="F23" s="305"/>
      <c r="G23" s="314"/>
      <c r="H23" s="305"/>
      <c r="I23" s="314">
        <v>8400000</v>
      </c>
      <c r="J23" s="305"/>
    </row>
    <row r="24" spans="1:10" x14ac:dyDescent="0.25">
      <c r="A24" s="304" t="s">
        <v>1341</v>
      </c>
      <c r="B24" s="298" t="s">
        <v>1322</v>
      </c>
      <c r="C24" s="314">
        <v>11800000</v>
      </c>
      <c r="D24" s="305"/>
      <c r="E24" s="314"/>
      <c r="F24" s="305"/>
      <c r="G24" s="314"/>
      <c r="H24" s="305"/>
      <c r="I24" s="314">
        <v>11800000</v>
      </c>
      <c r="J24" s="305"/>
    </row>
    <row r="25" spans="1:10" x14ac:dyDescent="0.25">
      <c r="A25" s="304" t="s">
        <v>1342</v>
      </c>
      <c r="B25" s="298" t="s">
        <v>1319</v>
      </c>
      <c r="C25" s="314">
        <v>6300000</v>
      </c>
      <c r="D25" s="305">
        <v>0</v>
      </c>
      <c r="E25" s="314"/>
      <c r="F25" s="305"/>
      <c r="G25" s="314"/>
      <c r="H25" s="305"/>
      <c r="I25" s="314">
        <v>6300000</v>
      </c>
      <c r="J25" s="305">
        <v>0</v>
      </c>
    </row>
    <row r="26" spans="1:10" x14ac:dyDescent="0.25">
      <c r="A26" s="304" t="s">
        <v>1283</v>
      </c>
      <c r="B26" s="298" t="s">
        <v>1304</v>
      </c>
      <c r="C26" s="314"/>
      <c r="D26" s="305"/>
      <c r="E26" s="314">
        <v>1416000</v>
      </c>
      <c r="F26" s="305">
        <v>0</v>
      </c>
      <c r="G26" s="314"/>
      <c r="H26" s="305"/>
      <c r="I26" s="314">
        <v>1416000</v>
      </c>
      <c r="J26" s="305">
        <v>0</v>
      </c>
    </row>
    <row r="27" spans="1:10" x14ac:dyDescent="0.25">
      <c r="A27" s="304" t="s">
        <v>1343</v>
      </c>
      <c r="B27" s="298" t="s">
        <v>1320</v>
      </c>
      <c r="C27" s="314">
        <v>9450000</v>
      </c>
      <c r="D27" s="305">
        <v>9450000</v>
      </c>
      <c r="E27" s="314"/>
      <c r="F27" s="305"/>
      <c r="G27" s="314"/>
      <c r="H27" s="305"/>
      <c r="I27" s="314">
        <v>9450000</v>
      </c>
      <c r="J27" s="305">
        <v>9450000</v>
      </c>
    </row>
    <row r="28" spans="1:10" x14ac:dyDescent="0.25">
      <c r="A28" s="304" t="s">
        <v>1344</v>
      </c>
      <c r="B28" s="298" t="s">
        <v>1345</v>
      </c>
      <c r="C28" s="314"/>
      <c r="D28" s="305"/>
      <c r="E28" s="314">
        <v>7080000</v>
      </c>
      <c r="F28" s="305">
        <v>0</v>
      </c>
      <c r="G28" s="314"/>
      <c r="H28" s="305"/>
      <c r="I28" s="314">
        <v>7080000</v>
      </c>
      <c r="J28" s="305">
        <v>0</v>
      </c>
    </row>
    <row r="29" spans="1:10" ht="48.75" x14ac:dyDescent="0.25">
      <c r="A29" s="304" t="s">
        <v>1284</v>
      </c>
      <c r="B29" s="298" t="s">
        <v>1285</v>
      </c>
      <c r="C29" s="314"/>
      <c r="D29" s="305"/>
      <c r="E29" s="314">
        <v>3150000</v>
      </c>
      <c r="F29" s="305">
        <v>0</v>
      </c>
      <c r="G29" s="314"/>
      <c r="H29" s="305"/>
      <c r="I29" s="314">
        <v>3150000</v>
      </c>
      <c r="J29" s="305">
        <v>0</v>
      </c>
    </row>
    <row r="30" spans="1:10" ht="24.75" x14ac:dyDescent="0.25">
      <c r="A30" s="304" t="s">
        <v>1286</v>
      </c>
      <c r="B30" s="298" t="s">
        <v>1474</v>
      </c>
      <c r="C30" s="314">
        <v>12000000</v>
      </c>
      <c r="D30" s="305">
        <v>0</v>
      </c>
      <c r="E30" s="314"/>
      <c r="F30" s="305"/>
      <c r="G30" s="314"/>
      <c r="H30" s="305"/>
      <c r="I30" s="314">
        <v>12000000</v>
      </c>
      <c r="J30" s="305">
        <v>0</v>
      </c>
    </row>
    <row r="31" spans="1:10" ht="24.75" x14ac:dyDescent="0.25">
      <c r="A31" s="304" t="s">
        <v>1287</v>
      </c>
      <c r="B31" s="298" t="s">
        <v>1306</v>
      </c>
      <c r="C31" s="314">
        <v>2500000</v>
      </c>
      <c r="D31" s="305">
        <v>0</v>
      </c>
      <c r="E31" s="314"/>
      <c r="F31" s="305"/>
      <c r="G31" s="314"/>
      <c r="H31" s="305"/>
      <c r="I31" s="314">
        <v>2500000</v>
      </c>
      <c r="J31" s="305">
        <v>0</v>
      </c>
    </row>
    <row r="32" spans="1:10" x14ac:dyDescent="0.25">
      <c r="A32" s="304" t="s">
        <v>1346</v>
      </c>
      <c r="B32" s="298" t="s">
        <v>1324</v>
      </c>
      <c r="C32" s="314">
        <v>185000</v>
      </c>
      <c r="D32" s="305">
        <v>0</v>
      </c>
      <c r="E32" s="314"/>
      <c r="F32" s="305"/>
      <c r="G32" s="314"/>
      <c r="H32" s="305"/>
      <c r="I32" s="314">
        <v>185000</v>
      </c>
      <c r="J32" s="305">
        <v>0</v>
      </c>
    </row>
    <row r="33" spans="1:10" x14ac:dyDescent="0.25">
      <c r="A33" s="304" t="s">
        <v>1347</v>
      </c>
      <c r="B33" s="298" t="s">
        <v>1323</v>
      </c>
      <c r="C33" s="314">
        <v>150000</v>
      </c>
      <c r="D33" s="305">
        <v>0</v>
      </c>
      <c r="E33" s="314"/>
      <c r="F33" s="305"/>
      <c r="G33" s="314"/>
      <c r="H33" s="305"/>
      <c r="I33" s="314">
        <v>150000</v>
      </c>
      <c r="J33" s="305">
        <v>0</v>
      </c>
    </row>
    <row r="34" spans="1:10" ht="36.75" x14ac:dyDescent="0.25">
      <c r="A34" s="304" t="s">
        <v>1336</v>
      </c>
      <c r="B34" s="298" t="s">
        <v>1265</v>
      </c>
      <c r="C34" s="314">
        <v>531000</v>
      </c>
      <c r="D34" s="305">
        <v>0</v>
      </c>
      <c r="E34" s="314"/>
      <c r="F34" s="305"/>
      <c r="G34" s="314"/>
      <c r="H34" s="305"/>
      <c r="I34" s="314">
        <v>531000</v>
      </c>
      <c r="J34" s="305">
        <v>0</v>
      </c>
    </row>
    <row r="35" spans="1:10" x14ac:dyDescent="0.25">
      <c r="A35" s="304" t="s">
        <v>1337</v>
      </c>
      <c r="B35" s="298" t="s">
        <v>1338</v>
      </c>
      <c r="C35" s="314"/>
      <c r="D35" s="305"/>
      <c r="E35" s="314">
        <v>15000000</v>
      </c>
      <c r="F35" s="305">
        <v>0</v>
      </c>
      <c r="G35" s="314"/>
      <c r="H35" s="305"/>
      <c r="I35" s="314">
        <v>15000000</v>
      </c>
      <c r="J35" s="305">
        <v>0</v>
      </c>
    </row>
    <row r="36" spans="1:10" x14ac:dyDescent="0.25">
      <c r="A36" s="298" t="s">
        <v>138</v>
      </c>
      <c r="B36" s="298"/>
      <c r="C36" s="314">
        <v>104714850</v>
      </c>
      <c r="D36" s="305">
        <v>9450000</v>
      </c>
      <c r="E36" s="314">
        <v>62906000</v>
      </c>
      <c r="F36" s="305">
        <v>14160000</v>
      </c>
      <c r="G36" s="314">
        <v>15375000</v>
      </c>
      <c r="H36" s="305">
        <v>0</v>
      </c>
      <c r="I36" s="314">
        <v>182995850</v>
      </c>
      <c r="J36" s="305">
        <v>23610000</v>
      </c>
    </row>
  </sheetData>
  <pageMargins left="0.7" right="0.7" top="0.75" bottom="0.75" header="0.3" footer="0.3"/>
  <pageSetup scale="64" fitToHeight="0"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R62"/>
  <sheetViews>
    <sheetView topLeftCell="A13" zoomScale="93" zoomScaleNormal="93" workbookViewId="0">
      <selection activeCell="C52" sqref="C52"/>
    </sheetView>
  </sheetViews>
  <sheetFormatPr defaultRowHeight="15" outlineLevelRow="1" x14ac:dyDescent="0.25"/>
  <cols>
    <col min="1" max="1" width="63.140625" bestFit="1" customWidth="1"/>
    <col min="2" max="2" width="19.28515625" customWidth="1"/>
    <col min="3" max="3" width="14.7109375" bestFit="1" customWidth="1"/>
    <col min="4" max="5" width="14" customWidth="1"/>
    <col min="6" max="6" width="12.140625" bestFit="1" customWidth="1"/>
    <col min="7" max="7" width="12.7109375" bestFit="1" customWidth="1"/>
    <col min="8" max="8" width="11.5703125" bestFit="1" customWidth="1"/>
    <col min="9" max="9" width="11.7109375" bestFit="1" customWidth="1"/>
    <col min="10" max="11" width="12.7109375" bestFit="1" customWidth="1"/>
    <col min="12" max="12" width="11.7109375" bestFit="1" customWidth="1"/>
    <col min="13" max="13" width="12.28515625" bestFit="1" customWidth="1"/>
    <col min="14" max="14" width="15.28515625" bestFit="1" customWidth="1"/>
    <col min="15" max="15" width="13.28515625" bestFit="1" customWidth="1"/>
    <col min="16" max="16" width="22.5703125" bestFit="1" customWidth="1"/>
    <col min="17" max="17" width="13.28515625" bestFit="1" customWidth="1"/>
    <col min="18" max="18" width="13.42578125" bestFit="1" customWidth="1"/>
    <col min="19" max="19" width="10.85546875" bestFit="1" customWidth="1"/>
    <col min="20" max="20" width="9.85546875" bestFit="1" customWidth="1"/>
    <col min="21" max="21" width="10.85546875" bestFit="1" customWidth="1"/>
    <col min="22" max="22" width="11.140625" bestFit="1" customWidth="1"/>
    <col min="23" max="23" width="12.7109375" bestFit="1" customWidth="1"/>
    <col min="24" max="24" width="10.85546875" bestFit="1" customWidth="1"/>
    <col min="25" max="25" width="11.140625" bestFit="1" customWidth="1"/>
    <col min="26" max="26" width="11.28515625" bestFit="1" customWidth="1"/>
    <col min="27" max="27" width="13.140625" bestFit="1" customWidth="1"/>
    <col min="28" max="28" width="10.28515625" bestFit="1" customWidth="1"/>
    <col min="29" max="30" width="10.140625" bestFit="1" customWidth="1"/>
    <col min="31" max="31" width="13.140625" bestFit="1" customWidth="1"/>
    <col min="32" max="32" width="10.28515625" bestFit="1" customWidth="1"/>
    <col min="33" max="34" width="10.140625" bestFit="1" customWidth="1"/>
    <col min="35" max="35" width="13.140625" bestFit="1" customWidth="1"/>
    <col min="36" max="36" width="11.140625" bestFit="1" customWidth="1"/>
    <col min="37" max="37" width="13.140625" bestFit="1" customWidth="1"/>
    <col min="38" max="38" width="12.7109375" bestFit="1" customWidth="1"/>
    <col min="39" max="39" width="9" bestFit="1" customWidth="1"/>
    <col min="40" max="43" width="11" bestFit="1" customWidth="1"/>
  </cols>
  <sheetData>
    <row r="1" spans="1:18" x14ac:dyDescent="0.25">
      <c r="A1" t="s">
        <v>152</v>
      </c>
      <c r="B1" t="str" vm="6">
        <f>CUBEMEMBER("ThisWorkbookDataModel","[fActualAndBudget].[ReportType].&amp;[Предвидување]")</f>
        <v>Предвидување</v>
      </c>
      <c r="D1" s="251" t="s">
        <v>1258</v>
      </c>
    </row>
    <row r="2" spans="1:18" x14ac:dyDescent="0.25">
      <c r="A2" t="s">
        <v>244</v>
      </c>
      <c r="B2" t="str" vm="142">
        <f>CUBEMEMBER("ThisWorkbookDataModel","[fActualAndBudget].[ObrazecIme].&amp;[Finansiski plan_Bilans na sostojba]")</f>
        <v>Finansiski plan_Bilans na sostojba</v>
      </c>
    </row>
    <row r="3" spans="1:18" x14ac:dyDescent="0.25">
      <c r="A3" t="s">
        <v>151</v>
      </c>
      <c r="B3" t="str" vm="184">
        <f>CUBEMEMBER("ThisWorkbookDataModel","[Calendar].[Година].&amp;[2022]")</f>
        <v>2022</v>
      </c>
    </row>
    <row r="5" spans="1:18" x14ac:dyDescent="0.25">
      <c r="A5" t="str" vm="9">
        <f>CUBEMEMBER("ThisWorkbookDataModel","[Measures].[Sum of Износ]")</f>
        <v>Sum of Износ</v>
      </c>
      <c r="B5" t="s">
        <v>137</v>
      </c>
    </row>
    <row r="6" spans="1:18" s="2" customFormat="1" ht="30" x14ac:dyDescent="0.25">
      <c r="A6" s="2" t="s">
        <v>242</v>
      </c>
      <c r="B6" s="2" t="str" vm="10">
        <f>CUBEMEMBER("ThisWorkbookDataModel","[Calendar].[Година].&amp;[2020]")</f>
        <v>2020</v>
      </c>
      <c r="C6" s="2" t="str" vm="140">
        <f>CUBEMEMBER("ThisWorkbookDataModel","[Calendar].[Година].&amp;[2021]")</f>
        <v>2021</v>
      </c>
      <c r="D6" s="2" t="str" vm="13">
        <f>CUBEMEMBER("ThisWorkbookDataModel","[Calendar].[Месец].&amp;[Jan]")</f>
        <v>Jan</v>
      </c>
      <c r="E6" s="2" t="str" vm="14">
        <f>CUBEMEMBER("ThisWorkbookDataModel","[Calendar].[Месец].&amp;[Feb]")</f>
        <v>Feb</v>
      </c>
      <c r="F6" s="2" t="str" vm="15">
        <f>CUBEMEMBER("ThisWorkbookDataModel","[Calendar].[Месец].&amp;[Mar]")</f>
        <v>Mar</v>
      </c>
      <c r="G6" s="2" t="str" vm="16">
        <f>CUBEMEMBER("ThisWorkbookDataModel","[Calendar].[Месец].&amp;[Apr]")</f>
        <v>Apr</v>
      </c>
      <c r="H6" s="2" t="str" vm="17">
        <f>CUBEMEMBER("ThisWorkbookDataModel","[Calendar].[Месец].&amp;[May]")</f>
        <v>May</v>
      </c>
      <c r="I6" s="2" t="str" vm="18">
        <f>CUBEMEMBER("ThisWorkbookDataModel","[Calendar].[Месец].&amp;[Jun]")</f>
        <v>Jun</v>
      </c>
      <c r="J6" s="2" t="str" vm="19">
        <f>CUBEMEMBER("ThisWorkbookDataModel","[Calendar].[Месец].&amp;[Jul]")</f>
        <v>Jul</v>
      </c>
      <c r="K6" s="2" t="str" vm="20">
        <f>CUBEMEMBER("ThisWorkbookDataModel","[Calendar].[Месец].&amp;[Aug]")</f>
        <v>Aug</v>
      </c>
      <c r="L6" s="2" t="str" vm="21">
        <f>CUBEMEMBER("ThisWorkbookDataModel","[Calendar].[Месец].&amp;[Sep]")</f>
        <v>Sep</v>
      </c>
      <c r="M6" s="2" t="str" vm="22">
        <f>CUBEMEMBER("ThisWorkbookDataModel","[Calendar].[Месец].&amp;[Oct]")</f>
        <v>Oct</v>
      </c>
      <c r="N6" s="2" t="str" vm="25">
        <f>CUBEMEMBER("ThisWorkbookDataModel","[Calendar].[Месец].[All]","Grand Total")</f>
        <v>Grand Total</v>
      </c>
      <c r="O6" s="2" t="s">
        <v>1325</v>
      </c>
      <c r="P6" s="2" t="s">
        <v>1326</v>
      </c>
      <c r="Q6" s="2" t="s">
        <v>1094</v>
      </c>
    </row>
    <row r="7" spans="1:18" s="8" customFormat="1" x14ac:dyDescent="0.25">
      <c r="A7" s="99" t="str" vm="122">
        <f>CUBEMEMBER("ThisWorkbookDataModel","[fActualAndBudget].[StavkaKategorija].&amp;[1.1. Парични средства]")</f>
        <v>1.1. Парични средства</v>
      </c>
      <c r="B7" s="178" vm="209">
        <f>CUBEVALUE("ThisWorkbookDataModel","[fActualAndBudget].[ReportType].&amp;[Остварено]",$B$2,$A$5,$A7,B$6)</f>
        <v>81347615</v>
      </c>
      <c r="C7" s="100" vm="891">
        <f>CUBEVALUE("ThisWorkbookDataModel","[fActualAndBudget].[ReportType].&amp;[Остварено]",$B$2,$A$5,$A7,C$6)</f>
        <v>119915511</v>
      </c>
      <c r="D7" s="8" vm="1042">
        <f t="shared" ref="D7:N16" si="0">CUBEVALUE("ThisWorkbookDataModel",$B$1,$B$2,$B$3,$A$5,$A7,D$6)</f>
        <v>129368378</v>
      </c>
      <c r="E7" s="8" vm="1437">
        <f t="shared" si="0"/>
        <v>65637521</v>
      </c>
      <c r="F7" s="8" vm="1397">
        <f t="shared" si="0"/>
        <v>80305302</v>
      </c>
      <c r="G7" s="8" vm="1414">
        <f t="shared" si="0"/>
        <v>-10116554</v>
      </c>
      <c r="H7" s="8" vm="998">
        <f t="shared" si="0"/>
        <v>-2473102</v>
      </c>
      <c r="I7" s="8" vm="1312">
        <f t="shared" si="0"/>
        <v>-2739614</v>
      </c>
      <c r="J7" s="8" vm="1135">
        <f t="shared" si="0"/>
        <v>-23048879</v>
      </c>
      <c r="K7" s="8" vm="1334">
        <f t="shared" si="0"/>
        <v>-10066015</v>
      </c>
      <c r="L7" s="8" vm="951">
        <f t="shared" si="0"/>
        <v>-4430570</v>
      </c>
      <c r="M7" s="8" vm="1270">
        <f t="shared" si="0"/>
        <v>-3016893</v>
      </c>
      <c r="N7" s="147" vm="966">
        <f>CUBEVALUE("ThisWorkbookDataModel",$B$1,$B$2,$B$3,$A$5,$A7,N$6)</f>
        <v>219419574</v>
      </c>
      <c r="P7" s="196">
        <f>O13*2+11046957</f>
        <v>-25054543</v>
      </c>
      <c r="Q7" s="100">
        <f>SUM(N7:P7)</f>
        <v>194365031</v>
      </c>
      <c r="R7" s="196"/>
    </row>
    <row r="8" spans="1:18" hidden="1" outlineLevel="1" x14ac:dyDescent="0.25">
      <c r="A8" s="7" t="str" vm="163">
        <f>CUBEMEMBER("ThisWorkbookDataModel",{"[fActualAndBudget].[StavkaKategorija].&amp;[1.1. Парични средства]","[fActualAndBudget].[StavkaImeMK].&amp;[Готовина домашна валута]"})</f>
        <v>Готовина домашна валута</v>
      </c>
      <c r="B8" s="144" vm="211">
        <f t="shared" ref="B8:C53" si="1">CUBEVALUE("ThisWorkbookDataModel","[fActualAndBudget].[ReportType].&amp;[Остварено]",$B$2,$A$5,$A8,B$6)</f>
        <v>18210</v>
      </c>
      <c r="C8" vm="908">
        <f t="shared" si="1"/>
        <v>56943</v>
      </c>
      <c r="D8" vm="1281">
        <f t="shared" si="0"/>
        <v>51913</v>
      </c>
      <c r="E8" vm="1278">
        <f t="shared" si="0"/>
        <v>-560</v>
      </c>
      <c r="F8" vm="1055">
        <f t="shared" si="0"/>
        <v>-200</v>
      </c>
      <c r="G8" vm="934">
        <f t="shared" si="0"/>
        <v>-70</v>
      </c>
      <c r="H8" vm="1300">
        <f t="shared" si="0"/>
        <v>67621</v>
      </c>
      <c r="I8" vm="1165">
        <f t="shared" si="0"/>
        <v>-48623</v>
      </c>
      <c r="J8" vm="1282">
        <f t="shared" si="0"/>
        <v>-2317</v>
      </c>
      <c r="K8" vm="1096">
        <f t="shared" si="0"/>
        <v>0</v>
      </c>
      <c r="L8" vm="1420">
        <f t="shared" si="0"/>
        <v>-1968</v>
      </c>
      <c r="M8" vm="1250">
        <f t="shared" si="0"/>
        <v>-40597</v>
      </c>
      <c r="N8" s="36" vm="1356">
        <f t="shared" si="0"/>
        <v>25199</v>
      </c>
      <c r="O8" s="36"/>
      <c r="P8" s="36"/>
      <c r="Q8" s="36">
        <f t="shared" ref="Q8:Q53" si="2">SUM(N8:P8)</f>
        <v>25199</v>
      </c>
    </row>
    <row r="9" spans="1:18" hidden="1" outlineLevel="1" x14ac:dyDescent="0.25">
      <c r="A9" s="7" t="str" vm="155">
        <f>CUBEMEMBER("ThisWorkbookDataModel",{"[fActualAndBudget].[StavkaKategorija].&amp;[1.1. Парични средства]","[fActualAndBudget].[StavkaImeMK].&amp;[Готовина странска валута]"})</f>
        <v>Готовина странска валута</v>
      </c>
      <c r="B9" s="144" vm="201">
        <f t="shared" si="1"/>
        <v>261141</v>
      </c>
      <c r="C9" vm="910">
        <f t="shared" si="1"/>
        <v>316566</v>
      </c>
      <c r="D9" vm="1315">
        <f t="shared" si="0"/>
        <v>316886</v>
      </c>
      <c r="E9" vm="1210">
        <f t="shared" si="0"/>
        <v>0</v>
      </c>
      <c r="F9" vm="1175">
        <f t="shared" si="0"/>
        <v>10180</v>
      </c>
      <c r="G9" vm="1049">
        <f t="shared" si="0"/>
        <v>-12622</v>
      </c>
      <c r="H9" vm="947">
        <f t="shared" si="0"/>
        <v>140803</v>
      </c>
      <c r="I9" vm="1016">
        <f t="shared" si="0"/>
        <v>15732</v>
      </c>
      <c r="J9" vm="1328">
        <f t="shared" si="0"/>
        <v>-1480</v>
      </c>
      <c r="K9" vm="972">
        <f t="shared" si="0"/>
        <v>21323</v>
      </c>
      <c r="L9" vm="1417">
        <f t="shared" si="0"/>
        <v>16</v>
      </c>
      <c r="M9" vm="1304">
        <f t="shared" si="0"/>
        <v>9075</v>
      </c>
      <c r="N9" s="36" vm="927">
        <f t="shared" si="0"/>
        <v>499913</v>
      </c>
      <c r="P9" s="36"/>
      <c r="Q9" s="36">
        <f t="shared" si="2"/>
        <v>499913</v>
      </c>
    </row>
    <row r="10" spans="1:18" hidden="1" outlineLevel="1" x14ac:dyDescent="0.25">
      <c r="A10" s="7" t="str" vm="152">
        <f>CUBEMEMBER("ThisWorkbookDataModel",{"[fActualAndBudget].[StavkaKategorija].&amp;[1.1. Парични средства]","[fActualAndBudget].[StavkaImeMK].&amp;[Жиро сметки]"})</f>
        <v>Жиро сметки</v>
      </c>
      <c r="B10" s="144" vm="190">
        <f t="shared" si="1"/>
        <v>81068264</v>
      </c>
      <c r="C10" vm="893">
        <f t="shared" si="1"/>
        <v>119542002</v>
      </c>
      <c r="D10" vm="1251">
        <f t="shared" si="0"/>
        <v>128999579</v>
      </c>
      <c r="E10" vm="1347">
        <f t="shared" si="0"/>
        <v>65638081</v>
      </c>
      <c r="F10" vm="1068">
        <f t="shared" si="0"/>
        <v>80295322</v>
      </c>
      <c r="G10" vm="1233">
        <f t="shared" si="0"/>
        <v>-10103862</v>
      </c>
      <c r="H10" vm="1362">
        <f t="shared" si="0"/>
        <v>-2681526</v>
      </c>
      <c r="I10" vm="1072">
        <f t="shared" si="0"/>
        <v>-2706723</v>
      </c>
      <c r="J10" vm="1004">
        <f t="shared" si="0"/>
        <v>-23045082</v>
      </c>
      <c r="K10" vm="1059">
        <f t="shared" si="0"/>
        <v>-10087338</v>
      </c>
      <c r="L10" vm="1085">
        <f t="shared" si="0"/>
        <v>-4428618</v>
      </c>
      <c r="M10" vm="1303">
        <f t="shared" si="0"/>
        <v>-2985371</v>
      </c>
      <c r="N10" s="36" vm="1269">
        <f t="shared" si="0"/>
        <v>218894462</v>
      </c>
      <c r="P10" s="36"/>
      <c r="Q10" s="36">
        <f t="shared" si="2"/>
        <v>218894462</v>
      </c>
    </row>
    <row r="11" spans="1:18" s="8" customFormat="1" collapsed="1" x14ac:dyDescent="0.25">
      <c r="A11" s="99" t="str" vm="135">
        <f>CUBEMEMBER("ThisWorkbookDataModel","[fActualAndBudget].[StavkaKategorija].&amp;[1.13. Вонбилансна актива]")</f>
        <v>1.13. Вонбилансна актива</v>
      </c>
      <c r="B11" s="178" vm="216">
        <f t="shared" si="1"/>
        <v>0</v>
      </c>
      <c r="C11" s="100" vm="897">
        <f t="shared" si="1"/>
        <v>0</v>
      </c>
      <c r="D11" s="8" vm="978">
        <f t="shared" si="0"/>
        <v>0</v>
      </c>
      <c r="E11" s="8" vm="1217">
        <f t="shared" si="0"/>
        <v>0</v>
      </c>
      <c r="F11" s="8" vm="1227">
        <f t="shared" si="0"/>
        <v>0</v>
      </c>
      <c r="G11" s="8" vm="1034">
        <f t="shared" si="0"/>
        <v>0</v>
      </c>
      <c r="H11" s="8" vm="1154">
        <f t="shared" si="0"/>
        <v>0</v>
      </c>
      <c r="I11" s="8" vm="1146">
        <f t="shared" si="0"/>
        <v>0</v>
      </c>
      <c r="J11" s="8" vm="1116">
        <f t="shared" si="0"/>
        <v>0</v>
      </c>
      <c r="K11" s="8" vm="1088">
        <f t="shared" si="0"/>
        <v>0</v>
      </c>
      <c r="L11" s="8" vm="1323">
        <f t="shared" si="0"/>
        <v>0</v>
      </c>
      <c r="M11" s="8" vm="993">
        <f t="shared" si="0"/>
        <v>0</v>
      </c>
      <c r="N11" s="100" vm="1056">
        <f t="shared" si="0"/>
        <v>0</v>
      </c>
      <c r="O11" s="100"/>
      <c r="P11" s="100"/>
      <c r="Q11" s="100">
        <f t="shared" si="2"/>
        <v>0</v>
      </c>
    </row>
    <row r="12" spans="1:18" hidden="1" outlineLevel="1" x14ac:dyDescent="0.25">
      <c r="A12" s="7" t="str" vm="164">
        <f>CUBEMEMBER("ThisWorkbookDataModel",{"[fActualAndBudget].[StavkaKategorija].&amp;[1.13. Вонбилансна актива]","[fActualAndBudget].[StavkaImeMK].&amp;[Вонбилансна актива]"})</f>
        <v>Вонбилансна актива</v>
      </c>
      <c r="B12" s="144" vm="192">
        <f t="shared" si="1"/>
        <v>0</v>
      </c>
      <c r="C12" s="144" vm="920">
        <f t="shared" si="1"/>
        <v>0</v>
      </c>
      <c r="D12" vm="1379">
        <f t="shared" si="0"/>
        <v>0</v>
      </c>
      <c r="E12" vm="1279">
        <f t="shared" si="0"/>
        <v>0</v>
      </c>
      <c r="F12" vm="1195">
        <f t="shared" si="0"/>
        <v>0</v>
      </c>
      <c r="G12" vm="1350">
        <f t="shared" si="0"/>
        <v>0</v>
      </c>
      <c r="H12" vm="1149">
        <f t="shared" si="0"/>
        <v>0</v>
      </c>
      <c r="I12" vm="1136">
        <f t="shared" si="0"/>
        <v>0</v>
      </c>
      <c r="J12" vm="1392">
        <f t="shared" si="0"/>
        <v>0</v>
      </c>
      <c r="K12" vm="1090">
        <f t="shared" si="0"/>
        <v>0</v>
      </c>
      <c r="L12" vm="979">
        <f t="shared" si="0"/>
        <v>0</v>
      </c>
      <c r="M12" vm="1151">
        <f t="shared" si="0"/>
        <v>0</v>
      </c>
      <c r="N12" s="36" vm="1426">
        <f t="shared" si="0"/>
        <v>0</v>
      </c>
      <c r="O12" s="36"/>
      <c r="P12" s="36"/>
      <c r="Q12" s="36">
        <f t="shared" si="2"/>
        <v>0</v>
      </c>
    </row>
    <row r="13" spans="1:18" s="8" customFormat="1" collapsed="1" x14ac:dyDescent="0.25">
      <c r="A13" s="99" t="str" vm="133">
        <f>CUBEMEMBER("ThisWorkbookDataModel","[fActualAndBudget].[StavkaKategorija].&amp;[1.14. Краткорочни обврски]")</f>
        <v>1.14. Краткорочни обврски</v>
      </c>
      <c r="B13" s="178" vm="206">
        <f t="shared" si="1"/>
        <v>23095106</v>
      </c>
      <c r="C13" s="178" vm="894">
        <f t="shared" si="1"/>
        <v>10171911</v>
      </c>
      <c r="D13" s="8" vm="1329">
        <f t="shared" si="0"/>
        <v>21754452</v>
      </c>
      <c r="E13" s="8" vm="1061">
        <f t="shared" si="0"/>
        <v>-2058753</v>
      </c>
      <c r="F13" s="8" vm="1234">
        <f t="shared" si="0"/>
        <v>13234</v>
      </c>
      <c r="G13" s="8" vm="1416">
        <f t="shared" si="0"/>
        <v>-634770</v>
      </c>
      <c r="H13" s="8" vm="1157">
        <f t="shared" si="0"/>
        <v>9901</v>
      </c>
      <c r="I13" s="8" vm="1241">
        <f t="shared" si="0"/>
        <v>149784</v>
      </c>
      <c r="J13" s="8" vm="1152">
        <f t="shared" si="0"/>
        <v>-754257</v>
      </c>
      <c r="K13" s="8" vm="929">
        <f t="shared" si="0"/>
        <v>-10614</v>
      </c>
      <c r="L13" s="8" vm="1091">
        <f t="shared" si="0"/>
        <v>115955</v>
      </c>
      <c r="M13" s="8" vm="1115">
        <f t="shared" si="0"/>
        <v>-534182</v>
      </c>
      <c r="N13" s="239" vm="1153">
        <f t="shared" si="0"/>
        <v>18050750</v>
      </c>
      <c r="O13" s="100">
        <f>SUM(O14:O18)</f>
        <v>-18050750</v>
      </c>
      <c r="P13" s="100"/>
      <c r="Q13" s="100">
        <f t="shared" si="2"/>
        <v>0</v>
      </c>
      <c r="R13" s="8" t="s">
        <v>1257</v>
      </c>
    </row>
    <row r="14" spans="1:18" hidden="1" outlineLevel="1" x14ac:dyDescent="0.25">
      <c r="A14" s="7" t="str" vm="170">
        <f>CUBEMEMBER("ThisWorkbookDataModel",{"[fActualAndBudget].[StavkaKategorija].&amp;[1.14. Краткорочни обврски]","[fActualAndBudget].[StavkaImeMK].&amp;[Обврски за даноци и придонеси]"})</f>
        <v>Обврски за даноци и придонеси</v>
      </c>
      <c r="B14" s="144" vm="223">
        <f t="shared" si="1"/>
        <v>32480</v>
      </c>
      <c r="C14" s="144" vm="876">
        <f t="shared" si="1"/>
        <v>2763</v>
      </c>
      <c r="D14" vm="1345">
        <f t="shared" si="0"/>
        <v>6061072</v>
      </c>
      <c r="E14" vm="1192">
        <f t="shared" si="0"/>
        <v>-34530</v>
      </c>
      <c r="F14" vm="976">
        <f t="shared" si="0"/>
        <v>5395</v>
      </c>
      <c r="G14" vm="1239">
        <f t="shared" si="0"/>
        <v>31942</v>
      </c>
      <c r="H14" vm="1114">
        <f t="shared" si="0"/>
        <v>3383</v>
      </c>
      <c r="I14" vm="945">
        <f t="shared" si="0"/>
        <v>52661</v>
      </c>
      <c r="J14" vm="1129">
        <f t="shared" si="0"/>
        <v>-261894</v>
      </c>
      <c r="K14" vm="996">
        <f t="shared" si="0"/>
        <v>177827</v>
      </c>
      <c r="L14" vm="1021">
        <f t="shared" si="0"/>
        <v>54892</v>
      </c>
      <c r="M14" vm="1332">
        <f t="shared" si="0"/>
        <v>-80261</v>
      </c>
      <c r="N14" s="36" vm="1375">
        <f t="shared" si="0"/>
        <v>6010487</v>
      </c>
      <c r="O14" s="36">
        <f>-N14</f>
        <v>-6010487</v>
      </c>
      <c r="P14" s="94"/>
      <c r="Q14" s="36">
        <f t="shared" si="2"/>
        <v>0</v>
      </c>
    </row>
    <row r="15" spans="1:18" hidden="1" outlineLevel="1" x14ac:dyDescent="0.25">
      <c r="A15" s="7" t="str" vm="168">
        <f>CUBEMEMBER("ThisWorkbookDataModel",{"[fActualAndBudget].[StavkaKategorija].&amp;[1.14. Краткорочни обврски]","[fActualAndBudget].[StavkaImeMK].&amp;[Обврски кон вработените]"})</f>
        <v>Обврски кон вработените</v>
      </c>
      <c r="B15" s="144" vm="208">
        <f t="shared" si="1"/>
        <v>168432</v>
      </c>
      <c r="C15" s="144" vm="878">
        <f t="shared" si="1"/>
        <v>120731</v>
      </c>
      <c r="D15" vm="985">
        <f t="shared" si="0"/>
        <v>11911415</v>
      </c>
      <c r="E15" vm="987">
        <f t="shared" si="0"/>
        <v>-71954</v>
      </c>
      <c r="F15" vm="1366">
        <f t="shared" si="0"/>
        <v>7839</v>
      </c>
      <c r="G15" vm="1081">
        <f t="shared" si="0"/>
        <v>63570</v>
      </c>
      <c r="H15" vm="1104">
        <f t="shared" si="0"/>
        <v>6518</v>
      </c>
      <c r="I15" vm="1355">
        <f t="shared" si="0"/>
        <v>97123</v>
      </c>
      <c r="J15" vm="949">
        <f t="shared" si="0"/>
        <v>-492364</v>
      </c>
      <c r="K15" vm="1378">
        <f t="shared" si="0"/>
        <v>395288</v>
      </c>
      <c r="L15" vm="1120">
        <f t="shared" si="0"/>
        <v>61064</v>
      </c>
      <c r="M15" vm="999">
        <f t="shared" si="0"/>
        <v>-178391</v>
      </c>
      <c r="N15" s="36" vm="1228">
        <f t="shared" si="0"/>
        <v>11800108</v>
      </c>
      <c r="O15" s="36">
        <f>-N15</f>
        <v>-11800108</v>
      </c>
      <c r="P15" s="94"/>
      <c r="Q15" s="36">
        <f t="shared" si="2"/>
        <v>0</v>
      </c>
    </row>
    <row r="16" spans="1:18" hidden="1" outlineLevel="1" x14ac:dyDescent="0.25">
      <c r="A16" s="7" t="str" vm="162">
        <f>CUBEMEMBER("ThisWorkbookDataModel",{"[fActualAndBudget].[StavkaKategorija].&amp;[1.14. Краткорочни обврски]","[fActualAndBudget].[StavkaImeMK].&amp;[Обврски кон добавувачи во земјата]"})</f>
        <v>Обврски кон добавувачи во земјата</v>
      </c>
      <c r="B16" s="144" vm="224">
        <f t="shared" si="1"/>
        <v>22894194</v>
      </c>
      <c r="C16" s="144" vm="898">
        <f t="shared" si="1"/>
        <v>10048417</v>
      </c>
      <c r="D16" vm="1006">
        <f t="shared" si="0"/>
        <v>3781965</v>
      </c>
      <c r="E16" vm="1003">
        <f t="shared" si="0"/>
        <v>-1952269</v>
      </c>
      <c r="F16" vm="1207">
        <f t="shared" si="0"/>
        <v>0</v>
      </c>
      <c r="G16" vm="1275">
        <f t="shared" si="0"/>
        <v>-730282</v>
      </c>
      <c r="H16" vm="1100">
        <f t="shared" si="0"/>
        <v>0</v>
      </c>
      <c r="I16" vm="1053">
        <f t="shared" si="0"/>
        <v>0</v>
      </c>
      <c r="J16" vm="1298">
        <f t="shared" si="0"/>
        <v>1</v>
      </c>
      <c r="K16" vm="1330">
        <f t="shared" si="0"/>
        <v>-583729</v>
      </c>
      <c r="L16" vm="1266">
        <f t="shared" si="0"/>
        <v>-1</v>
      </c>
      <c r="M16" vm="1051">
        <f t="shared" si="0"/>
        <v>-275530</v>
      </c>
      <c r="N16" s="36" vm="1017">
        <f t="shared" si="0"/>
        <v>240155</v>
      </c>
      <c r="O16" s="36">
        <f>-N16</f>
        <v>-240155</v>
      </c>
      <c r="P16" s="94"/>
      <c r="Q16" s="36">
        <f t="shared" si="2"/>
        <v>0</v>
      </c>
    </row>
    <row r="17" spans="1:18" hidden="1" outlineLevel="1" x14ac:dyDescent="0.25">
      <c r="A17" s="7" t="str" vm="149">
        <f>CUBEMEMBER("ThisWorkbookDataModel",{"[fActualAndBudget].[StavkaKategorija].&amp;[1.14. Краткорочни обврски]","[fActualAndBudget].[StavkaImeMK].&amp;[Обврски спрема државата]"})</f>
        <v>Обврски спрема државата</v>
      </c>
      <c r="B17" s="144" vm="205">
        <f t="shared" si="1"/>
        <v>0</v>
      </c>
      <c r="C17" s="144" vm="895">
        <f t="shared" si="1"/>
        <v>0</v>
      </c>
      <c r="D17" vm="1339">
        <f t="shared" ref="D17:N26" si="3">CUBEVALUE("ThisWorkbookDataModel",$B$1,$B$2,$B$3,$A$5,$A17,D$6)</f>
        <v>0</v>
      </c>
      <c r="E17" vm="1435">
        <f t="shared" si="3"/>
        <v>0</v>
      </c>
      <c r="F17" vm="1103">
        <f t="shared" si="3"/>
        <v>0</v>
      </c>
      <c r="G17" vm="1236">
        <f t="shared" si="3"/>
        <v>0</v>
      </c>
      <c r="H17" vm="1208">
        <f t="shared" si="3"/>
        <v>0</v>
      </c>
      <c r="I17" vm="1134">
        <f t="shared" si="3"/>
        <v>0</v>
      </c>
      <c r="J17" vm="1342">
        <f t="shared" si="3"/>
        <v>0</v>
      </c>
      <c r="K17" vm="933">
        <f t="shared" si="3"/>
        <v>0</v>
      </c>
      <c r="L17" vm="1341">
        <f t="shared" si="3"/>
        <v>0</v>
      </c>
      <c r="M17" vm="1161">
        <f t="shared" si="3"/>
        <v>0</v>
      </c>
      <c r="N17" s="36" vm="1427">
        <f t="shared" si="3"/>
        <v>0</v>
      </c>
      <c r="O17" s="36"/>
      <c r="P17" s="36"/>
      <c r="Q17" s="36">
        <f t="shared" si="2"/>
        <v>0</v>
      </c>
    </row>
    <row r="18" spans="1:18" hidden="1" outlineLevel="1" x14ac:dyDescent="0.25">
      <c r="A18" s="7" t="str" vm="147">
        <f>CUBEMEMBER("ThisWorkbookDataModel",{"[fActualAndBudget].[StavkaKategorija].&amp;[1.14. Краткорочни обврски]","[fActualAndBudget].[StavkaImeMK].&amp;[Останати тековни обврски]"})</f>
        <v>Останати тековни обврски</v>
      </c>
      <c r="B18" s="144" vm="204">
        <f t="shared" si="1"/>
        <v>0</v>
      </c>
      <c r="C18" s="144" t="str" vm="904">
        <f t="shared" si="1"/>
        <v/>
      </c>
      <c r="D18" t="str" vm="1079">
        <f t="shared" si="3"/>
        <v/>
      </c>
      <c r="E18" t="str" vm="1263">
        <f t="shared" si="3"/>
        <v/>
      </c>
      <c r="F18" t="str" vm="1268">
        <f t="shared" si="3"/>
        <v/>
      </c>
      <c r="G18" t="str" vm="1194">
        <f t="shared" si="3"/>
        <v/>
      </c>
      <c r="H18" t="str" vm="1041">
        <f t="shared" si="3"/>
        <v/>
      </c>
      <c r="I18" t="str" vm="1238">
        <f t="shared" si="3"/>
        <v/>
      </c>
      <c r="J18" t="str" vm="1387">
        <f t="shared" si="3"/>
        <v/>
      </c>
      <c r="K18" t="str" vm="977">
        <f t="shared" si="3"/>
        <v/>
      </c>
      <c r="L18" t="str" vm="1421">
        <f t="shared" si="3"/>
        <v/>
      </c>
      <c r="M18" t="str" vm="1070">
        <f t="shared" si="3"/>
        <v/>
      </c>
      <c r="N18" s="36" t="str" vm="1410">
        <f t="shared" si="3"/>
        <v/>
      </c>
      <c r="O18" s="36"/>
      <c r="P18" s="36"/>
      <c r="Q18" s="36">
        <f t="shared" si="2"/>
        <v>0</v>
      </c>
    </row>
    <row r="19" spans="1:18" s="8" customFormat="1" collapsed="1" x14ac:dyDescent="0.25">
      <c r="A19" s="99" t="str" vm="131">
        <f>CUBEMEMBER("ThisWorkbookDataModel","[fActualAndBudget].[StavkaKategorija].&amp;[1.15. Одложено плаќање на трошоци и приходи (ПВР)]")</f>
        <v>1.15. Одложено плаќање на трошоци и приходи (ПВР)</v>
      </c>
      <c r="B19" s="178" vm="227">
        <f t="shared" si="1"/>
        <v>103358798</v>
      </c>
      <c r="C19" s="178" vm="915">
        <f t="shared" si="1"/>
        <v>98643026</v>
      </c>
      <c r="D19" s="8" vm="1142">
        <f t="shared" si="3"/>
        <v>98231476</v>
      </c>
      <c r="E19" s="8" vm="1026">
        <f t="shared" si="3"/>
        <v>-392981</v>
      </c>
      <c r="F19" s="8" vm="1111">
        <f t="shared" si="3"/>
        <v>-392981</v>
      </c>
      <c r="G19" s="8" vm="1039">
        <f t="shared" si="3"/>
        <v>-392981</v>
      </c>
      <c r="H19" s="8" vm="1189">
        <f t="shared" si="3"/>
        <v>-392981</v>
      </c>
      <c r="I19" s="8" vm="1147">
        <f t="shared" si="3"/>
        <v>-392981</v>
      </c>
      <c r="J19" s="8" vm="1418">
        <f t="shared" si="3"/>
        <v>-392981</v>
      </c>
      <c r="K19" s="8" vm="1433">
        <f t="shared" si="3"/>
        <v>-392981</v>
      </c>
      <c r="L19" s="8" vm="1201">
        <f t="shared" si="3"/>
        <v>-392981</v>
      </c>
      <c r="M19" s="8" vm="1002">
        <f t="shared" si="3"/>
        <v>-392981</v>
      </c>
      <c r="N19" s="239" vm="1344">
        <f t="shared" si="3"/>
        <v>94694647</v>
      </c>
      <c r="O19" s="100">
        <f>-392981*2</f>
        <v>-785962</v>
      </c>
      <c r="P19" s="100"/>
      <c r="Q19" s="100">
        <f t="shared" si="2"/>
        <v>93908685</v>
      </c>
      <c r="R19" s="250"/>
    </row>
    <row r="20" spans="1:18" hidden="1" outlineLevel="1" x14ac:dyDescent="0.25">
      <c r="A20" s="7" t="str" vm="167">
        <f>CUBEMEMBER("ThisWorkbookDataModel",{"[fActualAndBudget].[StavkaKategorija].&amp;[1.15. Одложено плаќање на трошоци и приходи (ПВР)]","[fActualAndBudget].[StavkaImeMK].&amp;[Одложено плаќање на трошоци и признавање на приходи (ПВР)]"})</f>
        <v>Одложено плаќање на трошоци и признавање на приходи (ПВР)</v>
      </c>
      <c r="B20" s="144" vm="231">
        <f t="shared" si="1"/>
        <v>103358798</v>
      </c>
      <c r="C20" s="144" vm="909">
        <f t="shared" si="1"/>
        <v>98643026</v>
      </c>
      <c r="D20" vm="953">
        <f t="shared" si="3"/>
        <v>98231476</v>
      </c>
      <c r="E20" vm="1247">
        <f t="shared" si="3"/>
        <v>-392981</v>
      </c>
      <c r="F20" vm="1336">
        <f t="shared" si="3"/>
        <v>-392981</v>
      </c>
      <c r="G20" vm="1295">
        <f t="shared" si="3"/>
        <v>-392981</v>
      </c>
      <c r="H20" vm="1211">
        <f t="shared" si="3"/>
        <v>-392981</v>
      </c>
      <c r="I20" vm="1037">
        <f t="shared" si="3"/>
        <v>-392981</v>
      </c>
      <c r="J20" vm="1101">
        <f t="shared" si="3"/>
        <v>-392981</v>
      </c>
      <c r="K20" vm="1313">
        <f t="shared" si="3"/>
        <v>-392981</v>
      </c>
      <c r="L20" vm="1143">
        <f t="shared" si="3"/>
        <v>-392981</v>
      </c>
      <c r="M20" vm="1187">
        <f t="shared" si="3"/>
        <v>-392981</v>
      </c>
      <c r="N20" s="36" vm="1285">
        <f t="shared" si="3"/>
        <v>94694647</v>
      </c>
      <c r="O20" s="36"/>
      <c r="P20" s="36"/>
      <c r="Q20" s="36">
        <f t="shared" si="2"/>
        <v>94694647</v>
      </c>
    </row>
    <row r="21" spans="1:18" s="8" customFormat="1" collapsed="1" x14ac:dyDescent="0.25">
      <c r="A21" s="99" t="str" vm="130">
        <f>CUBEMEMBER("ThisWorkbookDataModel","[fActualAndBudget].[StavkaKategorija].&amp;[1.17. Долгорочни обврски]")</f>
        <v>1.17. Долгорочни обврски</v>
      </c>
      <c r="B21" s="178" vm="220">
        <f t="shared" si="1"/>
        <v>86079840</v>
      </c>
      <c r="C21" s="178" vm="884">
        <f t="shared" si="1"/>
        <v>86277800</v>
      </c>
      <c r="D21" s="8" vm="989">
        <f t="shared" si="3"/>
        <v>86277800</v>
      </c>
      <c r="E21" s="8" vm="1267">
        <f t="shared" si="3"/>
        <v>0</v>
      </c>
      <c r="F21" s="8" vm="1181">
        <f t="shared" si="3"/>
        <v>0</v>
      </c>
      <c r="G21" s="8" vm="1180">
        <f t="shared" si="3"/>
        <v>0</v>
      </c>
      <c r="H21" s="8" vm="1167">
        <f t="shared" si="3"/>
        <v>0</v>
      </c>
      <c r="I21" s="8" vm="1123">
        <f t="shared" si="3"/>
        <v>0</v>
      </c>
      <c r="J21" s="8" vm="922">
        <f t="shared" si="3"/>
        <v>0</v>
      </c>
      <c r="K21" s="8" vm="1354">
        <f t="shared" si="3"/>
        <v>0</v>
      </c>
      <c r="L21" s="8" vm="1087">
        <f t="shared" si="3"/>
        <v>0</v>
      </c>
      <c r="M21" s="8" vm="1272">
        <f t="shared" si="3"/>
        <v>0</v>
      </c>
      <c r="N21" s="239" vm="980">
        <f t="shared" si="3"/>
        <v>86277800</v>
      </c>
      <c r="O21" s="100"/>
      <c r="Q21" s="100">
        <f t="shared" si="2"/>
        <v>86277800</v>
      </c>
    </row>
    <row r="22" spans="1:18" hidden="1" outlineLevel="1" x14ac:dyDescent="0.25">
      <c r="A22" s="7" t="str" vm="173">
        <f>CUBEMEMBER("ThisWorkbookDataModel",{"[fActualAndBudget].[StavkaKategorija].&amp;[1.17. Долгорочни обврски]","[fActualAndBudget].[StavkaImeMK].&amp;[Долгорочни финансиски обврски]"})</f>
        <v>Долгорочни финансиски обврски</v>
      </c>
      <c r="B22" s="144" vm="225">
        <f t="shared" si="1"/>
        <v>86079840</v>
      </c>
      <c r="C22" s="144" vm="892">
        <f t="shared" si="1"/>
        <v>86277800</v>
      </c>
      <c r="D22" vm="1086">
        <f t="shared" si="3"/>
        <v>86277800</v>
      </c>
      <c r="E22" vm="1035">
        <f t="shared" si="3"/>
        <v>0</v>
      </c>
      <c r="F22" vm="1199">
        <f t="shared" si="3"/>
        <v>0</v>
      </c>
      <c r="G22" vm="1369">
        <f t="shared" si="3"/>
        <v>0</v>
      </c>
      <c r="H22" vm="1400">
        <f t="shared" si="3"/>
        <v>0</v>
      </c>
      <c r="I22" vm="1119">
        <f t="shared" si="3"/>
        <v>0</v>
      </c>
      <c r="J22" vm="1225">
        <f t="shared" si="3"/>
        <v>0</v>
      </c>
      <c r="K22" vm="1176">
        <f t="shared" si="3"/>
        <v>0</v>
      </c>
      <c r="L22" vm="1406">
        <f t="shared" si="3"/>
        <v>0</v>
      </c>
      <c r="M22" vm="1337">
        <f t="shared" si="3"/>
        <v>0</v>
      </c>
      <c r="N22" s="36" vm="1399">
        <f t="shared" si="3"/>
        <v>86277800</v>
      </c>
      <c r="O22" s="36"/>
      <c r="Q22" s="36">
        <f t="shared" si="2"/>
        <v>86277800</v>
      </c>
    </row>
    <row r="23" spans="1:18" s="8" customFormat="1" collapsed="1" x14ac:dyDescent="0.25">
      <c r="A23" s="99" t="str" vm="123">
        <f>CUBEMEMBER("ThisWorkbookDataModel","[fActualAndBudget].[StavkaKategorija].&amp;[1.2. Побарувања]")</f>
        <v>1.2. Побарувања</v>
      </c>
      <c r="B23" s="178" vm="195">
        <f t="shared" si="1"/>
        <v>4240420</v>
      </c>
      <c r="C23" s="178" vm="912">
        <f t="shared" si="1"/>
        <v>2805920</v>
      </c>
      <c r="D23" s="8" vm="1124">
        <f t="shared" si="3"/>
        <v>2810920</v>
      </c>
      <c r="E23" s="8" vm="1408">
        <f t="shared" si="3"/>
        <v>0</v>
      </c>
      <c r="F23" s="8" vm="1318">
        <f t="shared" si="3"/>
        <v>-2184</v>
      </c>
      <c r="G23" s="8" vm="1374">
        <f t="shared" si="3"/>
        <v>-18440</v>
      </c>
      <c r="H23" s="8" vm="1321">
        <f t="shared" si="3"/>
        <v>-123733</v>
      </c>
      <c r="I23" s="8" vm="1093">
        <f t="shared" si="3"/>
        <v>123049</v>
      </c>
      <c r="J23" s="8" vm="1385">
        <f t="shared" si="3"/>
        <v>19123</v>
      </c>
      <c r="K23" s="8" vm="1213">
        <f t="shared" si="3"/>
        <v>1935</v>
      </c>
      <c r="L23" s="8" vm="932">
        <f t="shared" si="3"/>
        <v>-250</v>
      </c>
      <c r="M23" s="8" vm="1214">
        <f t="shared" si="3"/>
        <v>38000</v>
      </c>
      <c r="N23" s="147" vm="1133">
        <f t="shared" si="3"/>
        <v>2848420</v>
      </c>
      <c r="O23" s="100">
        <f>SUM(O24:O26)</f>
        <v>0</v>
      </c>
      <c r="Q23" s="100">
        <f t="shared" si="2"/>
        <v>2848420</v>
      </c>
    </row>
    <row r="24" spans="1:18" hidden="1" outlineLevel="1" x14ac:dyDescent="0.25">
      <c r="A24" s="7" t="str" vm="161">
        <f>CUBEMEMBER("ThisWorkbookDataModel",{"[fActualAndBudget].[StavkaKategorija].&amp;[1.2. Побарувања]","[fActualAndBudget].[StavkaImeMK].&amp;[Краткорочни финансиски побарувања]"})</f>
        <v>Краткорочни финансиски побарувања</v>
      </c>
      <c r="B24" s="144" vm="194">
        <f t="shared" si="1"/>
        <v>201210</v>
      </c>
      <c r="C24" s="144" vm="901">
        <f t="shared" si="1"/>
        <v>202130</v>
      </c>
      <c r="D24" vm="1382">
        <f t="shared" si="3"/>
        <v>202130</v>
      </c>
      <c r="E24" vm="1092">
        <f t="shared" si="3"/>
        <v>0</v>
      </c>
      <c r="F24" vm="1221">
        <f t="shared" si="3"/>
        <v>-2184</v>
      </c>
      <c r="G24" vm="1389">
        <f t="shared" si="3"/>
        <v>-18440</v>
      </c>
      <c r="H24" vm="1314">
        <f t="shared" si="3"/>
        <v>-144733</v>
      </c>
      <c r="I24" vm="935">
        <f t="shared" si="3"/>
        <v>144049</v>
      </c>
      <c r="J24" vm="973">
        <f t="shared" si="3"/>
        <v>19123</v>
      </c>
      <c r="K24" vm="1012">
        <f t="shared" si="3"/>
        <v>1935</v>
      </c>
      <c r="L24" vm="1357">
        <f t="shared" si="3"/>
        <v>-250</v>
      </c>
      <c r="M24" vm="974">
        <f t="shared" si="3"/>
        <v>0</v>
      </c>
      <c r="N24" s="36" vm="1425">
        <f t="shared" si="3"/>
        <v>201630</v>
      </c>
      <c r="Q24" s="36">
        <f t="shared" si="2"/>
        <v>201630</v>
      </c>
    </row>
    <row r="25" spans="1:18" hidden="1" outlineLevel="1" x14ac:dyDescent="0.25">
      <c r="A25" s="7" t="str" vm="154">
        <f>CUBEMEMBER("ThisWorkbookDataModel",{"[fActualAndBudget].[StavkaKategorija].&amp;[1.2. Побарувања]","[fActualAndBudget].[StavkaImeMK].&amp;[Побарувања од вработените]"})</f>
        <v>Побарувања од вработените</v>
      </c>
      <c r="B25" s="144" vm="202">
        <f t="shared" si="1"/>
        <v>885875</v>
      </c>
      <c r="C25" s="144" vm="880">
        <f t="shared" si="1"/>
        <v>885875</v>
      </c>
      <c r="D25" vm="1048">
        <f t="shared" si="3"/>
        <v>890875</v>
      </c>
      <c r="E25" vm="1364">
        <f t="shared" si="3"/>
        <v>0</v>
      </c>
      <c r="F25" vm="1398">
        <f t="shared" si="3"/>
        <v>0</v>
      </c>
      <c r="G25" vm="1360">
        <f t="shared" si="3"/>
        <v>0</v>
      </c>
      <c r="H25" vm="1291">
        <f t="shared" si="3"/>
        <v>21000</v>
      </c>
      <c r="I25" vm="943">
        <f t="shared" si="3"/>
        <v>-21000</v>
      </c>
      <c r="J25" vm="1193">
        <f t="shared" si="3"/>
        <v>0</v>
      </c>
      <c r="K25" vm="975">
        <f t="shared" si="3"/>
        <v>0</v>
      </c>
      <c r="L25" vm="1064">
        <f t="shared" si="3"/>
        <v>0</v>
      </c>
      <c r="M25" vm="1185">
        <f t="shared" si="3"/>
        <v>38000</v>
      </c>
      <c r="N25" s="36" vm="1141">
        <f t="shared" si="3"/>
        <v>928875</v>
      </c>
      <c r="Q25" s="36">
        <f t="shared" si="2"/>
        <v>928875</v>
      </c>
    </row>
    <row r="26" spans="1:18" hidden="1" outlineLevel="1" x14ac:dyDescent="0.25">
      <c r="A26" s="7" t="str" vm="151">
        <f>CUBEMEMBER("ThisWorkbookDataModel",{"[fActualAndBudget].[StavkaKategorija].&amp;[1.2. Побарувања]","[fActualAndBudget].[StavkaImeMK].&amp;[Побарувања од државата]"})</f>
        <v>Побарувања од државата</v>
      </c>
      <c r="B26" s="144" vm="229">
        <f t="shared" si="1"/>
        <v>3153335</v>
      </c>
      <c r="C26" s="144" vm="881">
        <f t="shared" si="1"/>
        <v>1717915</v>
      </c>
      <c r="D26" vm="1125">
        <f t="shared" si="3"/>
        <v>1717915</v>
      </c>
      <c r="E26" vm="1158">
        <f t="shared" si="3"/>
        <v>0</v>
      </c>
      <c r="F26" vm="1259">
        <f t="shared" si="3"/>
        <v>0</v>
      </c>
      <c r="G26" vm="1297">
        <f t="shared" si="3"/>
        <v>0</v>
      </c>
      <c r="H26" vm="1386">
        <f t="shared" si="3"/>
        <v>0</v>
      </c>
      <c r="I26" vm="1325">
        <f t="shared" si="3"/>
        <v>0</v>
      </c>
      <c r="J26" vm="1229">
        <f t="shared" si="3"/>
        <v>0</v>
      </c>
      <c r="K26" vm="1231">
        <f t="shared" si="3"/>
        <v>0</v>
      </c>
      <c r="L26" vm="992">
        <f t="shared" si="3"/>
        <v>0</v>
      </c>
      <c r="M26" vm="981">
        <f t="shared" si="3"/>
        <v>0</v>
      </c>
      <c r="N26" s="36" vm="1137">
        <f t="shared" si="3"/>
        <v>1717915</v>
      </c>
      <c r="Q26" s="36">
        <f t="shared" si="2"/>
        <v>1717915</v>
      </c>
    </row>
    <row r="27" spans="1:18" s="8" customFormat="1" collapsed="1" x14ac:dyDescent="0.25">
      <c r="A27" s="99" t="str" vm="126">
        <f>CUBEMEMBER("ThisWorkbookDataModel","[fActualAndBudget].[StavkaKategorija].&amp;[1.21. Капитал]")</f>
        <v>1.21. Капитал</v>
      </c>
      <c r="B27" s="178" vm="217">
        <f t="shared" si="1"/>
        <v>126859046</v>
      </c>
      <c r="C27" s="178" vm="921">
        <f t="shared" si="1"/>
        <v>126859046</v>
      </c>
      <c r="D27" s="8" vm="1139">
        <f t="shared" ref="D27:N36" si="4">CUBEVALUE("ThisWorkbookDataModel",$B$1,$B$2,$B$3,$A$5,$A27,D$6)</f>
        <v>126859046</v>
      </c>
      <c r="E27" s="8" vm="1438">
        <f t="shared" si="4"/>
        <v>0</v>
      </c>
      <c r="F27" s="8" vm="1256">
        <f t="shared" si="4"/>
        <v>0</v>
      </c>
      <c r="G27" s="8" vm="1058">
        <f t="shared" si="4"/>
        <v>0</v>
      </c>
      <c r="H27" s="8" vm="1188">
        <f t="shared" si="4"/>
        <v>0</v>
      </c>
      <c r="I27" s="8" vm="952">
        <f t="shared" si="4"/>
        <v>0</v>
      </c>
      <c r="J27" s="8" vm="1296">
        <f t="shared" si="4"/>
        <v>0</v>
      </c>
      <c r="K27" s="8" vm="1033">
        <f t="shared" si="4"/>
        <v>0</v>
      </c>
      <c r="L27" s="8" vm="1019">
        <f t="shared" si="4"/>
        <v>0</v>
      </c>
      <c r="M27" s="8" vm="1361">
        <f t="shared" si="4"/>
        <v>0</v>
      </c>
      <c r="N27" s="239" vm="1380">
        <f t="shared" si="4"/>
        <v>126859046</v>
      </c>
      <c r="Q27" s="100">
        <f t="shared" si="2"/>
        <v>126859046</v>
      </c>
    </row>
    <row r="28" spans="1:18" hidden="1" outlineLevel="1" x14ac:dyDescent="0.25">
      <c r="A28" s="7" t="str" vm="175">
        <f>CUBEMEMBER("ThisWorkbookDataModel",{"[fActualAndBudget].[StavkaKategorija].&amp;[1.21. Капитал]","[fActualAndBudget].[StavkaImeMK].&amp;[Државен капитал]"})</f>
        <v>Државен капитал</v>
      </c>
      <c r="B28" s="144" vm="235">
        <f t="shared" si="1"/>
        <v>126859046</v>
      </c>
      <c r="C28" s="144" vm="887">
        <f t="shared" si="1"/>
        <v>126859046</v>
      </c>
      <c r="D28" vm="941">
        <f t="shared" si="4"/>
        <v>126859046</v>
      </c>
      <c r="E28" vm="1436">
        <f t="shared" si="4"/>
        <v>0</v>
      </c>
      <c r="F28" vm="1338">
        <f t="shared" si="4"/>
        <v>0</v>
      </c>
      <c r="G28" vm="1043">
        <f t="shared" si="4"/>
        <v>0</v>
      </c>
      <c r="H28" vm="1122">
        <f t="shared" si="4"/>
        <v>0</v>
      </c>
      <c r="I28" vm="1075">
        <f t="shared" si="4"/>
        <v>0</v>
      </c>
      <c r="J28" vm="1126">
        <f t="shared" si="4"/>
        <v>0</v>
      </c>
      <c r="K28" vm="1108">
        <f t="shared" si="4"/>
        <v>0</v>
      </c>
      <c r="L28" vm="1255">
        <f t="shared" si="4"/>
        <v>0</v>
      </c>
      <c r="M28" vm="1235">
        <f t="shared" si="4"/>
        <v>0</v>
      </c>
      <c r="N28" s="36" vm="1352">
        <f t="shared" si="4"/>
        <v>126859046</v>
      </c>
      <c r="Q28" s="36">
        <f t="shared" si="2"/>
        <v>126859046</v>
      </c>
    </row>
    <row r="29" spans="1:18" s="8" customFormat="1" collapsed="1" x14ac:dyDescent="0.25">
      <c r="A29" s="99" t="str" vm="125">
        <f>CUBEMEMBER("ThisWorkbookDataModel","[fActualAndBudget].[StavkaKategorija].&amp;[1.22. Акумулирана добивка]")</f>
        <v>1.22. Акумулирана добивка</v>
      </c>
      <c r="B29" s="178" vm="222">
        <f t="shared" si="1"/>
        <v>292646501</v>
      </c>
      <c r="C29" s="178" vm="896">
        <f t="shared" si="1"/>
        <v>292646501</v>
      </c>
      <c r="D29" s="8" vm="924">
        <f t="shared" si="4"/>
        <v>292646501</v>
      </c>
      <c r="E29" s="8" vm="1348">
        <f t="shared" si="4"/>
        <v>0</v>
      </c>
      <c r="F29" s="8" vm="1335">
        <f t="shared" si="4"/>
        <v>0</v>
      </c>
      <c r="G29" s="8" vm="1292">
        <f t="shared" si="4"/>
        <v>0</v>
      </c>
      <c r="H29" s="8" vm="1184">
        <f t="shared" si="4"/>
        <v>0</v>
      </c>
      <c r="I29" s="8" vm="1320">
        <f t="shared" si="4"/>
        <v>0</v>
      </c>
      <c r="J29" s="8" vm="1132">
        <f t="shared" si="4"/>
        <v>0</v>
      </c>
      <c r="K29" s="8" vm="1131">
        <f t="shared" si="4"/>
        <v>0</v>
      </c>
      <c r="L29" s="8" vm="1428">
        <f t="shared" si="4"/>
        <v>0</v>
      </c>
      <c r="M29" s="8" vm="1144">
        <f t="shared" si="4"/>
        <v>0</v>
      </c>
      <c r="N29" s="239" vm="1367">
        <f t="shared" si="4"/>
        <v>292646501</v>
      </c>
      <c r="Q29" s="100">
        <f t="shared" si="2"/>
        <v>292646501</v>
      </c>
    </row>
    <row r="30" spans="1:18" hidden="1" outlineLevel="1" x14ac:dyDescent="0.25">
      <c r="A30" s="7" t="str" vm="174">
        <f>CUBEMEMBER("ThisWorkbookDataModel",{"[fActualAndBudget].[StavkaKategorija].&amp;[1.22. Акумулирана добивка]","[fActualAndBudget].[StavkaImeMK].&amp;[Акумулирана добивка]"})</f>
        <v>Акумулирана добивка</v>
      </c>
      <c r="B30" s="144" vm="193">
        <f t="shared" si="1"/>
        <v>292646501</v>
      </c>
      <c r="C30" s="144" vm="900">
        <f t="shared" si="1"/>
        <v>292646501</v>
      </c>
      <c r="D30" vm="1223">
        <f t="shared" si="4"/>
        <v>292646501</v>
      </c>
      <c r="E30" vm="1343">
        <f t="shared" si="4"/>
        <v>0</v>
      </c>
      <c r="F30" vm="1365">
        <f t="shared" si="4"/>
        <v>0</v>
      </c>
      <c r="G30" vm="1071">
        <f t="shared" si="4"/>
        <v>0</v>
      </c>
      <c r="H30" vm="1302">
        <f t="shared" si="4"/>
        <v>0</v>
      </c>
      <c r="I30" vm="1327">
        <f t="shared" si="4"/>
        <v>0</v>
      </c>
      <c r="J30" vm="937">
        <f t="shared" si="4"/>
        <v>0</v>
      </c>
      <c r="K30" vm="1322">
        <f t="shared" si="4"/>
        <v>0</v>
      </c>
      <c r="L30" vm="930">
        <f t="shared" si="4"/>
        <v>0</v>
      </c>
      <c r="M30" vm="1316">
        <f t="shared" si="4"/>
        <v>0</v>
      </c>
      <c r="N30" s="36" vm="1319">
        <f t="shared" si="4"/>
        <v>292646501</v>
      </c>
      <c r="Q30" s="36">
        <f t="shared" si="2"/>
        <v>292646501</v>
      </c>
    </row>
    <row r="31" spans="1:18" s="8" customFormat="1" collapsed="1" x14ac:dyDescent="0.25">
      <c r="A31" s="99" t="str" vm="132">
        <f>CUBEMEMBER("ThisWorkbookDataModel","[fActualAndBudget].[StavkaKategorija].&amp;[1.23. Резерви]")</f>
        <v>1.23. Резерви</v>
      </c>
      <c r="B31" s="178" vm="230">
        <f t="shared" si="1"/>
        <v>121393152</v>
      </c>
      <c r="C31" s="178" vm="877">
        <f t="shared" si="1"/>
        <v>162977979</v>
      </c>
      <c r="D31" s="8" vm="944">
        <f t="shared" si="4"/>
        <v>162977979</v>
      </c>
      <c r="E31" s="8" vm="1209">
        <f t="shared" si="4"/>
        <v>0</v>
      </c>
      <c r="F31" s="8" vm="1025">
        <f t="shared" si="4"/>
        <v>0</v>
      </c>
      <c r="G31" s="8" vm="1063">
        <f t="shared" si="4"/>
        <v>0</v>
      </c>
      <c r="H31" s="8" vm="1371">
        <f t="shared" si="4"/>
        <v>0</v>
      </c>
      <c r="I31" s="8" vm="963">
        <f t="shared" si="4"/>
        <v>0</v>
      </c>
      <c r="J31" s="8" vm="1305">
        <f t="shared" si="4"/>
        <v>0</v>
      </c>
      <c r="K31" s="8" vm="1073">
        <f t="shared" si="4"/>
        <v>0</v>
      </c>
      <c r="L31" s="8" vm="1261">
        <f t="shared" si="4"/>
        <v>0</v>
      </c>
      <c r="M31" s="8" vm="954">
        <f t="shared" si="4"/>
        <v>0</v>
      </c>
      <c r="N31" s="239" vm="938">
        <f t="shared" si="4"/>
        <v>162977979</v>
      </c>
      <c r="Q31" s="100">
        <f t="shared" si="2"/>
        <v>162977979</v>
      </c>
    </row>
    <row r="32" spans="1:18" hidden="1" outlineLevel="1" x14ac:dyDescent="0.25">
      <c r="A32" s="7" t="str" vm="160">
        <f>CUBEMEMBER("ThisWorkbookDataModel",{"[fActualAndBudget].[StavkaKategorija].&amp;[1.23. Резерви]","[fActualAndBudget].[StavkaImeMK].&amp;[Законска резерва]"})</f>
        <v>Законска резерва</v>
      </c>
      <c r="B32" s="144" vm="200">
        <f t="shared" si="1"/>
        <v>10134688</v>
      </c>
      <c r="C32" s="144" vm="913">
        <f t="shared" si="1"/>
        <v>12213929</v>
      </c>
      <c r="D32" vm="1286">
        <f t="shared" si="4"/>
        <v>12213929</v>
      </c>
      <c r="E32" vm="1159">
        <f t="shared" si="4"/>
        <v>0</v>
      </c>
      <c r="F32" vm="1182">
        <f t="shared" si="4"/>
        <v>0</v>
      </c>
      <c r="G32" vm="965">
        <f t="shared" si="4"/>
        <v>0</v>
      </c>
      <c r="H32" vm="1029">
        <f t="shared" si="4"/>
        <v>0</v>
      </c>
      <c r="I32" vm="1044">
        <f t="shared" si="4"/>
        <v>0</v>
      </c>
      <c r="J32" vm="1340">
        <f t="shared" si="4"/>
        <v>0</v>
      </c>
      <c r="K32" vm="971">
        <f t="shared" si="4"/>
        <v>0</v>
      </c>
      <c r="L32" vm="1333">
        <f t="shared" si="4"/>
        <v>0</v>
      </c>
      <c r="M32" vm="1008">
        <f t="shared" si="4"/>
        <v>0</v>
      </c>
      <c r="N32" s="36" vm="1166">
        <f t="shared" si="4"/>
        <v>12213929</v>
      </c>
      <c r="Q32" s="36">
        <f t="shared" si="2"/>
        <v>12213929</v>
      </c>
    </row>
    <row r="33" spans="1:18" hidden="1" outlineLevel="1" x14ac:dyDescent="0.25">
      <c r="A33" s="7" t="str" vm="148">
        <f>CUBEMEMBER("ThisWorkbookDataModel",{"[fActualAndBudget].[StavkaKategorija].&amp;[1.23. Резерви]","[fActualAndBudget].[StavkaImeMK].&amp;[Останати резерви - резерви за развој]"})</f>
        <v>Останати резерви - резерви за развој</v>
      </c>
      <c r="B33" s="144" vm="210">
        <f t="shared" si="1"/>
        <v>52177460</v>
      </c>
      <c r="C33" s="144" vm="905">
        <f t="shared" si="1"/>
        <v>91683046</v>
      </c>
      <c r="D33" vm="1027">
        <f t="shared" si="4"/>
        <v>91683046</v>
      </c>
      <c r="E33" vm="1434">
        <f t="shared" si="4"/>
        <v>0</v>
      </c>
      <c r="F33" vm="1293">
        <f t="shared" si="4"/>
        <v>0</v>
      </c>
      <c r="G33" vm="1023">
        <f t="shared" si="4"/>
        <v>0</v>
      </c>
      <c r="H33" vm="1047">
        <f t="shared" si="4"/>
        <v>0</v>
      </c>
      <c r="I33" vm="1160">
        <f t="shared" si="4"/>
        <v>0</v>
      </c>
      <c r="J33" vm="1258">
        <f t="shared" si="4"/>
        <v>0</v>
      </c>
      <c r="K33" vm="1242">
        <f t="shared" si="4"/>
        <v>0</v>
      </c>
      <c r="L33" vm="1074">
        <f t="shared" si="4"/>
        <v>0</v>
      </c>
      <c r="M33" vm="1010">
        <f t="shared" si="4"/>
        <v>0</v>
      </c>
      <c r="N33" s="36" vm="1308">
        <f t="shared" si="4"/>
        <v>91683046</v>
      </c>
      <c r="O33" s="8"/>
      <c r="Q33" s="36">
        <f t="shared" si="2"/>
        <v>91683046</v>
      </c>
    </row>
    <row r="34" spans="1:18" hidden="1" outlineLevel="1" x14ac:dyDescent="0.25">
      <c r="A34" s="7" t="str" vm="146">
        <f>CUBEMEMBER("ThisWorkbookDataModel",{"[fActualAndBudget].[StavkaKategorija].&amp;[1.23. Резерви]","[fActualAndBudget].[StavkaImeMK].&amp;[Реинвестирана добивка]"})</f>
        <v>Реинвестирана добивка</v>
      </c>
      <c r="B34" s="144" vm="215">
        <f t="shared" si="1"/>
        <v>59081004</v>
      </c>
      <c r="C34" s="144" vm="879">
        <f t="shared" si="1"/>
        <v>59081004</v>
      </c>
      <c r="D34" vm="1351">
        <f t="shared" si="4"/>
        <v>59081004</v>
      </c>
      <c r="E34" vm="1155">
        <f t="shared" si="4"/>
        <v>0</v>
      </c>
      <c r="F34" vm="1264">
        <f t="shared" si="4"/>
        <v>0</v>
      </c>
      <c r="G34" vm="990">
        <f t="shared" si="4"/>
        <v>0</v>
      </c>
      <c r="H34" vm="1005">
        <f t="shared" si="4"/>
        <v>0</v>
      </c>
      <c r="I34" vm="1317">
        <f t="shared" si="4"/>
        <v>0</v>
      </c>
      <c r="J34" vm="1381">
        <f t="shared" si="4"/>
        <v>0</v>
      </c>
      <c r="K34" vm="1309">
        <f t="shared" si="4"/>
        <v>0</v>
      </c>
      <c r="L34" vm="1197">
        <f t="shared" si="4"/>
        <v>0</v>
      </c>
      <c r="M34" vm="1038">
        <f t="shared" si="4"/>
        <v>0</v>
      </c>
      <c r="N34" s="36" vm="1084">
        <f t="shared" si="4"/>
        <v>59081004</v>
      </c>
      <c r="Q34" s="36">
        <f t="shared" si="2"/>
        <v>59081004</v>
      </c>
    </row>
    <row r="35" spans="1:18" s="8" customFormat="1" hidden="1" outlineLevel="1" x14ac:dyDescent="0.25">
      <c r="A35" s="99" t="str" vm="134">
        <f>CUBEMEMBER("ThisWorkbookDataModel","[fActualAndBudget].[StavkaKategorija].&amp;[1.25. Добивка / Загуба за деловната година]")</f>
        <v>1.25. Добивка / Загуба за деловната година</v>
      </c>
      <c r="B35" s="178" vm="226">
        <f t="shared" si="1"/>
        <v>0</v>
      </c>
      <c r="C35" s="178" vm="889">
        <f t="shared" si="1"/>
        <v>0</v>
      </c>
      <c r="D35" s="8" vm="1395">
        <f t="shared" si="4"/>
        <v>0</v>
      </c>
      <c r="E35" s="8" vm="1349">
        <f t="shared" si="4"/>
        <v>0</v>
      </c>
      <c r="F35" s="8" vm="1368">
        <f t="shared" si="4"/>
        <v>0</v>
      </c>
      <c r="G35" s="8" vm="1015">
        <f t="shared" si="4"/>
        <v>0</v>
      </c>
      <c r="H35" s="8" vm="1105">
        <f t="shared" si="4"/>
        <v>0</v>
      </c>
      <c r="I35" s="8" vm="1007">
        <f t="shared" si="4"/>
        <v>0</v>
      </c>
      <c r="J35" s="8" vm="1394">
        <f t="shared" si="4"/>
        <v>0</v>
      </c>
      <c r="K35" s="8" vm="1363">
        <f t="shared" si="4"/>
        <v>0</v>
      </c>
      <c r="L35" s="8" vm="956">
        <f t="shared" si="4"/>
        <v>0</v>
      </c>
      <c r="M35" s="8" vm="1089">
        <f t="shared" si="4"/>
        <v>0</v>
      </c>
      <c r="N35" s="100" vm="1423">
        <f t="shared" si="4"/>
        <v>0</v>
      </c>
      <c r="Q35" s="100">
        <f t="shared" si="2"/>
        <v>0</v>
      </c>
    </row>
    <row r="36" spans="1:18" hidden="1" outlineLevel="1" x14ac:dyDescent="0.25">
      <c r="A36" s="7" t="str" vm="166">
        <f>CUBEMEMBER("ThisWorkbookDataModel",{"[fActualAndBudget].[StavkaKategorija].&amp;[1.25. Добивка / Загуба за деловната година]","[fActualAndBudget].[StavkaImeMK].&amp;[Добивка/ Загуба за деловната година]"})</f>
        <v>Добивка/ Загуба за деловната година</v>
      </c>
      <c r="B36" s="144" vm="199">
        <f t="shared" si="1"/>
        <v>0</v>
      </c>
      <c r="C36" s="144" vm="886">
        <f t="shared" si="1"/>
        <v>0</v>
      </c>
      <c r="D36" vm="1253">
        <f t="shared" si="4"/>
        <v>0</v>
      </c>
      <c r="E36" vm="1245">
        <f t="shared" si="4"/>
        <v>0</v>
      </c>
      <c r="F36" vm="1170">
        <f t="shared" si="4"/>
        <v>0</v>
      </c>
      <c r="G36" vm="1219">
        <f t="shared" si="4"/>
        <v>0</v>
      </c>
      <c r="H36" vm="1274">
        <f t="shared" si="4"/>
        <v>0</v>
      </c>
      <c r="I36" vm="1162">
        <f t="shared" si="4"/>
        <v>0</v>
      </c>
      <c r="J36" vm="1383">
        <f t="shared" si="4"/>
        <v>0</v>
      </c>
      <c r="K36" vm="1110">
        <f t="shared" si="4"/>
        <v>0</v>
      </c>
      <c r="L36" vm="1419">
        <f t="shared" si="4"/>
        <v>0</v>
      </c>
      <c r="M36" vm="1391">
        <f t="shared" si="4"/>
        <v>0</v>
      </c>
      <c r="N36" s="36" vm="931">
        <f t="shared" si="4"/>
        <v>0</v>
      </c>
      <c r="Q36" s="36">
        <f t="shared" si="2"/>
        <v>0</v>
      </c>
    </row>
    <row r="37" spans="1:18" s="8" customFormat="1" collapsed="1" x14ac:dyDescent="0.25">
      <c r="A37" s="99" t="str" vm="129">
        <f>CUBEMEMBER("ThisWorkbookDataModel","[fActualAndBudget].[StavkaKategorija].&amp;[1.28. Вонбилансна пасива]")</f>
        <v>1.28. Вонбилансна пасива</v>
      </c>
      <c r="B37" s="178" vm="228">
        <f t="shared" si="1"/>
        <v>0</v>
      </c>
      <c r="C37" s="178" t="str" vm="917">
        <f t="shared" si="1"/>
        <v/>
      </c>
      <c r="D37" s="8" vm="983">
        <f t="shared" ref="D37:N46" si="5">CUBEVALUE("ThisWorkbookDataModel",$B$1,$B$2,$B$3,$A$5,$A37,D$6)</f>
        <v>0</v>
      </c>
      <c r="E37" s="8" vm="1020">
        <f t="shared" si="5"/>
        <v>0</v>
      </c>
      <c r="F37" s="8" vm="1405">
        <f t="shared" si="5"/>
        <v>0</v>
      </c>
      <c r="G37" s="8" vm="961">
        <f t="shared" si="5"/>
        <v>0</v>
      </c>
      <c r="H37" s="8" vm="1284">
        <f t="shared" si="5"/>
        <v>0</v>
      </c>
      <c r="I37" s="8" vm="1102">
        <f t="shared" si="5"/>
        <v>0</v>
      </c>
      <c r="J37" s="8" vm="1359">
        <f t="shared" si="5"/>
        <v>0</v>
      </c>
      <c r="K37" s="8" vm="1353">
        <f t="shared" si="5"/>
        <v>0</v>
      </c>
      <c r="L37" s="8" vm="1013">
        <f t="shared" si="5"/>
        <v>0</v>
      </c>
      <c r="M37" s="8" vm="1220">
        <f t="shared" si="5"/>
        <v>0</v>
      </c>
      <c r="N37" s="100" vm="955">
        <f t="shared" si="5"/>
        <v>0</v>
      </c>
      <c r="Q37" s="100">
        <f t="shared" si="2"/>
        <v>0</v>
      </c>
    </row>
    <row r="38" spans="1:18" hidden="1" outlineLevel="1" x14ac:dyDescent="0.25">
      <c r="A38" s="7" t="str" vm="165">
        <f>CUBEMEMBER("ThisWorkbookDataModel",{"[fActualAndBudget].[StavkaKategorija].&amp;[1.28. Вонбилансна пасива]","[fActualAndBudget].[StavkaImeMK].&amp;[Вонбилансна пасива]"})</f>
        <v>Вонбилансна пасива</v>
      </c>
      <c r="B38" s="144" vm="219">
        <f t="shared" si="1"/>
        <v>0</v>
      </c>
      <c r="C38" s="144" t="str" vm="882">
        <f t="shared" si="1"/>
        <v/>
      </c>
      <c r="D38" vm="1009">
        <f t="shared" si="5"/>
        <v>0</v>
      </c>
      <c r="E38" vm="1404">
        <f t="shared" si="5"/>
        <v>0</v>
      </c>
      <c r="F38" vm="1082">
        <f t="shared" si="5"/>
        <v>0</v>
      </c>
      <c r="G38" vm="1095">
        <f t="shared" si="5"/>
        <v>0</v>
      </c>
      <c r="H38" vm="984">
        <f t="shared" si="5"/>
        <v>0</v>
      </c>
      <c r="I38" vm="1171">
        <f t="shared" si="5"/>
        <v>0</v>
      </c>
      <c r="J38" vm="1403">
        <f t="shared" si="5"/>
        <v>0</v>
      </c>
      <c r="K38" vm="970">
        <f t="shared" si="5"/>
        <v>0</v>
      </c>
      <c r="L38" vm="1373">
        <f t="shared" si="5"/>
        <v>0</v>
      </c>
      <c r="M38" vm="1001">
        <f t="shared" si="5"/>
        <v>0</v>
      </c>
      <c r="N38" s="36" vm="1028">
        <f t="shared" si="5"/>
        <v>0</v>
      </c>
      <c r="Q38" s="36">
        <f t="shared" si="2"/>
        <v>0</v>
      </c>
    </row>
    <row r="39" spans="1:18" s="8" customFormat="1" collapsed="1" x14ac:dyDescent="0.25">
      <c r="A39" s="99" t="str" vm="124">
        <f>CUBEMEMBER("ThisWorkbookDataModel","[fActualAndBudget].[StavkaKategorija].&amp;[1.3. Залихи]")</f>
        <v>1.3. Залихи</v>
      </c>
      <c r="B39" s="178" vm="221">
        <f t="shared" si="1"/>
        <v>1335757</v>
      </c>
      <c r="C39" s="178" vm="890">
        <f t="shared" si="1"/>
        <v>943451</v>
      </c>
      <c r="D39" s="8" vm="925">
        <f t="shared" si="5"/>
        <v>943451</v>
      </c>
      <c r="E39" s="8" vm="991">
        <f t="shared" si="5"/>
        <v>32226</v>
      </c>
      <c r="F39" s="8" vm="1045">
        <f t="shared" si="5"/>
        <v>0</v>
      </c>
      <c r="G39" s="8" vm="986">
        <f t="shared" si="5"/>
        <v>361482</v>
      </c>
      <c r="H39" s="8" vm="1018">
        <f t="shared" si="5"/>
        <v>186241</v>
      </c>
      <c r="I39" s="8" vm="1287">
        <f t="shared" si="5"/>
        <v>0</v>
      </c>
      <c r="J39" s="8" vm="939">
        <f t="shared" si="5"/>
        <v>-8210</v>
      </c>
      <c r="K39" s="8" vm="1307">
        <f t="shared" si="5"/>
        <v>206877</v>
      </c>
      <c r="L39" s="8" vm="1265">
        <f t="shared" si="5"/>
        <v>-96889</v>
      </c>
      <c r="M39" s="8" vm="1260">
        <f t="shared" si="5"/>
        <v>-140551</v>
      </c>
      <c r="N39" s="147" vm="1054">
        <f t="shared" si="5"/>
        <v>1484627</v>
      </c>
      <c r="Q39" s="100">
        <f t="shared" si="2"/>
        <v>1484627</v>
      </c>
    </row>
    <row r="40" spans="1:18" hidden="1" outlineLevel="1" x14ac:dyDescent="0.25">
      <c r="A40" s="7" t="str" vm="159">
        <f>CUBEMEMBER("ThisWorkbookDataModel",{"[fActualAndBudget].[StavkaKategorija].&amp;[1.3. Залихи]","[fActualAndBudget].[StavkaImeMK].&amp;[Залихи на канцелариски и останат материјал]"})</f>
        <v>Залихи на канцелариски и останат материјал</v>
      </c>
      <c r="B40" s="144" vm="236">
        <f t="shared" si="1"/>
        <v>828698</v>
      </c>
      <c r="C40" s="144" vm="902">
        <f t="shared" si="1"/>
        <v>683911</v>
      </c>
      <c r="D40" vm="1411">
        <f t="shared" si="5"/>
        <v>683911</v>
      </c>
      <c r="E40" vm="1098">
        <f t="shared" si="5"/>
        <v>0</v>
      </c>
      <c r="F40" vm="1107">
        <f t="shared" si="5"/>
        <v>0</v>
      </c>
      <c r="G40" vm="1065">
        <f t="shared" si="5"/>
        <v>360538</v>
      </c>
      <c r="H40" vm="995">
        <f t="shared" si="5"/>
        <v>186241</v>
      </c>
      <c r="I40" vm="1215">
        <f t="shared" si="5"/>
        <v>0</v>
      </c>
      <c r="J40" vm="1230">
        <f t="shared" si="5"/>
        <v>489713</v>
      </c>
      <c r="K40" vm="959">
        <f t="shared" si="5"/>
        <v>-291483</v>
      </c>
      <c r="L40" vm="942">
        <f t="shared" si="5"/>
        <v>-95040</v>
      </c>
      <c r="M40" vm="1289">
        <f t="shared" si="5"/>
        <v>-63129</v>
      </c>
      <c r="N40" s="36" vm="1412">
        <f t="shared" si="5"/>
        <v>1270751</v>
      </c>
      <c r="Q40" s="36">
        <f t="shared" si="2"/>
        <v>1270751</v>
      </c>
    </row>
    <row r="41" spans="1:18" hidden="1" outlineLevel="1" x14ac:dyDescent="0.25">
      <c r="A41" s="7" t="str" vm="153">
        <f>CUBEMEMBER("ThisWorkbookDataModel",{"[fActualAndBudget].[StavkaKategorija].&amp;[1.3. Залихи]","[fActualAndBudget].[StavkaImeMK].&amp;[Залихи на резервни делови]"})</f>
        <v>Залихи на резервни делови</v>
      </c>
      <c r="B41" s="144" vm="212">
        <f t="shared" si="1"/>
        <v>0</v>
      </c>
      <c r="C41" s="144" vm="903">
        <f t="shared" si="1"/>
        <v>0</v>
      </c>
      <c r="D41" vm="1422">
        <f t="shared" si="5"/>
        <v>0</v>
      </c>
      <c r="E41" vm="1283">
        <f t="shared" si="5"/>
        <v>32226</v>
      </c>
      <c r="F41" vm="1249">
        <f t="shared" si="5"/>
        <v>0</v>
      </c>
      <c r="G41" vm="982">
        <f t="shared" si="5"/>
        <v>0</v>
      </c>
      <c r="H41" vm="1200">
        <f t="shared" si="5"/>
        <v>0</v>
      </c>
      <c r="I41" vm="1248">
        <f t="shared" si="5"/>
        <v>0</v>
      </c>
      <c r="J41" vm="936">
        <f t="shared" si="5"/>
        <v>-496708</v>
      </c>
      <c r="K41" vm="1191">
        <f t="shared" si="5"/>
        <v>496708</v>
      </c>
      <c r="L41" vm="1273">
        <f t="shared" si="5"/>
        <v>-7749</v>
      </c>
      <c r="M41" vm="1432">
        <f t="shared" si="5"/>
        <v>-76207</v>
      </c>
      <c r="N41" s="36" vm="1083">
        <f t="shared" si="5"/>
        <v>-51730</v>
      </c>
      <c r="O41" s="179"/>
      <c r="Q41" s="36">
        <f t="shared" si="2"/>
        <v>-51730</v>
      </c>
    </row>
    <row r="42" spans="1:18" hidden="1" outlineLevel="1" x14ac:dyDescent="0.25">
      <c r="A42" s="7" t="str" vm="150">
        <f>CUBEMEMBER("ThisWorkbookDataModel",{"[fActualAndBudget].[StavkaKategorija].&amp;[1.3. Залихи]","[fActualAndBudget].[StavkaImeMK].&amp;[Залихи на ситен инвентар и авто гуми]"})</f>
        <v>Залихи на ситен инвентар и авто гуми</v>
      </c>
      <c r="B42" s="144" vm="213">
        <f t="shared" si="1"/>
        <v>507059</v>
      </c>
      <c r="C42" s="144" vm="907">
        <f t="shared" si="1"/>
        <v>259540</v>
      </c>
      <c r="D42" vm="1306">
        <f t="shared" si="5"/>
        <v>259540</v>
      </c>
      <c r="E42" vm="1040">
        <f t="shared" si="5"/>
        <v>0</v>
      </c>
      <c r="F42" vm="1377">
        <f t="shared" si="5"/>
        <v>0</v>
      </c>
      <c r="G42" vm="1415">
        <f t="shared" si="5"/>
        <v>944</v>
      </c>
      <c r="H42" vm="1138">
        <f t="shared" si="5"/>
        <v>0</v>
      </c>
      <c r="I42" vm="940">
        <f t="shared" si="5"/>
        <v>0</v>
      </c>
      <c r="J42" vm="1000">
        <f t="shared" si="5"/>
        <v>-1215</v>
      </c>
      <c r="K42" vm="1179">
        <f t="shared" si="5"/>
        <v>1652</v>
      </c>
      <c r="L42" vm="1290">
        <f t="shared" si="5"/>
        <v>5900</v>
      </c>
      <c r="M42" vm="1022">
        <f t="shared" si="5"/>
        <v>-1215</v>
      </c>
      <c r="N42" s="36" vm="1431">
        <f t="shared" si="5"/>
        <v>265606</v>
      </c>
      <c r="Q42" s="36">
        <f t="shared" si="2"/>
        <v>265606</v>
      </c>
    </row>
    <row r="43" spans="1:18" s="8" customFormat="1" collapsed="1" x14ac:dyDescent="0.25">
      <c r="A43" s="99" t="str" vm="128">
        <f>CUBEMEMBER("ThisWorkbookDataModel","[fActualAndBudget].[StavkaKategorija].&amp;[1.7. Материјални средства и вложувања во недвижности]")</f>
        <v>1.7. Материјални средства и вложувања во недвижности</v>
      </c>
      <c r="B43" s="178" vm="234">
        <f t="shared" si="1"/>
        <v>608316917</v>
      </c>
      <c r="C43" s="178" vm="916">
        <f t="shared" si="1"/>
        <v>594729260</v>
      </c>
      <c r="D43" s="8" vm="1121">
        <f t="shared" si="5"/>
        <v>593117348</v>
      </c>
      <c r="E43" s="8" vm="1243">
        <f t="shared" si="5"/>
        <v>-2826514</v>
      </c>
      <c r="F43" s="8" vm="1164">
        <f t="shared" si="5"/>
        <v>-2826514</v>
      </c>
      <c r="G43" s="8" vm="1262">
        <f t="shared" si="5"/>
        <v>-2848013</v>
      </c>
      <c r="H43" s="8" vm="988">
        <f t="shared" si="5"/>
        <v>-2847244</v>
      </c>
      <c r="I43" s="8" vm="1190">
        <f t="shared" si="5"/>
        <v>-2847244</v>
      </c>
      <c r="J43" s="8" vm="1232">
        <f t="shared" si="5"/>
        <v>4780639</v>
      </c>
      <c r="K43" s="8" vm="1031">
        <f t="shared" si="5"/>
        <v>-2855758</v>
      </c>
      <c r="L43" s="8" vm="1109">
        <f t="shared" si="5"/>
        <v>-2928321</v>
      </c>
      <c r="M43" s="8" vm="1080">
        <f t="shared" si="5"/>
        <v>-2931861</v>
      </c>
      <c r="N43" s="147" vm="1388">
        <f t="shared" si="5"/>
        <v>574986518</v>
      </c>
      <c r="O43" s="191">
        <f>'CAPEX po meseci CUBE'!E66</f>
        <v>0</v>
      </c>
      <c r="P43" s="253">
        <f>Amortizacija_CUBE!C20*-1</f>
        <v>-5863722</v>
      </c>
      <c r="Q43" s="100">
        <f t="shared" si="2"/>
        <v>569122796</v>
      </c>
      <c r="R43" s="249" t="s">
        <v>1254</v>
      </c>
    </row>
    <row r="44" spans="1:18" outlineLevel="1" x14ac:dyDescent="0.25">
      <c r="A44" s="7" t="str" vm="172">
        <f>CUBEMEMBER("ThisWorkbookDataModel",{"[fActualAndBudget].[StavkaKategorija].&amp;[1.7. Материјални средства и вложувања во недвижности]","[fActualAndBudget].[StavkaImeMK].&amp;[Инвестиции во тек - недвижности]"})</f>
        <v>Инвестиции во тек - недвижности</v>
      </c>
      <c r="B44" s="144" vm="207">
        <f t="shared" si="1"/>
        <v>406156412</v>
      </c>
      <c r="C44" s="144" vm="911">
        <f t="shared" si="1"/>
        <v>404138135</v>
      </c>
      <c r="D44" vm="1036">
        <f t="shared" si="5"/>
        <v>404131113</v>
      </c>
      <c r="E44" vm="1276">
        <f t="shared" si="5"/>
        <v>0</v>
      </c>
      <c r="F44" vm="1205">
        <f t="shared" si="5"/>
        <v>-1837831</v>
      </c>
      <c r="G44" vm="1173">
        <f t="shared" si="5"/>
        <v>-36924</v>
      </c>
      <c r="H44" vm="1113">
        <f t="shared" si="5"/>
        <v>0</v>
      </c>
      <c r="I44" vm="1252">
        <f t="shared" si="5"/>
        <v>-36924</v>
      </c>
      <c r="J44" vm="1011">
        <f t="shared" si="5"/>
        <v>7163850</v>
      </c>
      <c r="K44" vm="1130">
        <f t="shared" si="5"/>
        <v>-6854100</v>
      </c>
      <c r="L44" vm="1030">
        <f t="shared" si="5"/>
        <v>-212400</v>
      </c>
      <c r="M44" vm="1257">
        <f t="shared" si="5"/>
        <v>0</v>
      </c>
      <c r="N44" s="36" vm="1150">
        <f t="shared" si="5"/>
        <v>402316784</v>
      </c>
      <c r="O44" s="192"/>
      <c r="P44" s="192"/>
      <c r="Q44" s="36">
        <f t="shared" si="2"/>
        <v>402316784</v>
      </c>
    </row>
    <row r="45" spans="1:18" outlineLevel="1" x14ac:dyDescent="0.25">
      <c r="A45" s="7" t="str" vm="171">
        <f>CUBEMEMBER("ThisWorkbookDataModel",{"[fActualAndBudget].[StavkaKategorija].&amp;[1.7. Материјални средства и вложувања во недвижности]","[fActualAndBudget].[StavkaImeMK].&amp;[Канцелариски мебел]"})</f>
        <v>Канцелариски мебел</v>
      </c>
      <c r="B45" s="144" vm="196">
        <f t="shared" si="1"/>
        <v>8825069</v>
      </c>
      <c r="C45" s="144" vm="875">
        <f t="shared" si="1"/>
        <v>10221419</v>
      </c>
      <c r="D45" vm="1069">
        <f t="shared" si="5"/>
        <v>10050136</v>
      </c>
      <c r="E45" vm="1066">
        <f t="shared" si="5"/>
        <v>-234528</v>
      </c>
      <c r="F45" vm="1198">
        <f t="shared" si="5"/>
        <v>-203328</v>
      </c>
      <c r="G45" vm="1280">
        <f t="shared" si="5"/>
        <v>-235048</v>
      </c>
      <c r="H45" vm="1299">
        <f t="shared" si="5"/>
        <v>-235048</v>
      </c>
      <c r="I45" vm="1183">
        <f t="shared" si="5"/>
        <v>-235048</v>
      </c>
      <c r="J45" vm="1384">
        <f t="shared" si="5"/>
        <v>229754</v>
      </c>
      <c r="K45" vm="1057">
        <f t="shared" si="5"/>
        <v>22707</v>
      </c>
      <c r="L45" vm="1226">
        <f t="shared" si="5"/>
        <v>-34818</v>
      </c>
      <c r="M45" vm="1052">
        <f t="shared" si="5"/>
        <v>-250758</v>
      </c>
      <c r="N45" s="36" vm="1050">
        <f t="shared" si="5"/>
        <v>8874021</v>
      </c>
      <c r="O45" s="192"/>
      <c r="P45" s="192"/>
      <c r="Q45" s="36">
        <f t="shared" si="2"/>
        <v>8874021</v>
      </c>
    </row>
    <row r="46" spans="1:18" outlineLevel="1" x14ac:dyDescent="0.25">
      <c r="A46" s="7" t="str" vm="169">
        <f>CUBEMEMBER("ThisWorkbookDataModel",{"[fActualAndBudget].[StavkaKategorija].&amp;[1.7. Материјални средства и вложувања во недвижности]","[fActualAndBudget].[StavkaImeMK].&amp;[Компјутерска и останата опрема]"})</f>
        <v>Компјутерска и останата опрема</v>
      </c>
      <c r="B46" s="144" vm="197">
        <f t="shared" si="1"/>
        <v>56709141</v>
      </c>
      <c r="C46" s="144" vm="919">
        <f>CUBEVALUE("ThisWorkbookDataModel","[fActualAndBudget].[ReportType].&amp;[Остварено]",$B$2,$A$5,$A46,C$6)</f>
        <v>54248538</v>
      </c>
      <c r="D46" vm="1224">
        <f t="shared" si="5"/>
        <v>53329433</v>
      </c>
      <c r="E46" vm="1097">
        <f t="shared" si="5"/>
        <v>-1938650</v>
      </c>
      <c r="F46" vm="1117">
        <f t="shared" si="5"/>
        <v>-132019</v>
      </c>
      <c r="G46" vm="1324">
        <f t="shared" si="5"/>
        <v>-1922705</v>
      </c>
      <c r="H46" vm="1106">
        <f t="shared" si="5"/>
        <v>-1958860</v>
      </c>
      <c r="I46" vm="1168">
        <f t="shared" si="5"/>
        <v>-1921936</v>
      </c>
      <c r="J46" vm="926">
        <f t="shared" si="5"/>
        <v>-1959629</v>
      </c>
      <c r="K46" vm="923">
        <f t="shared" si="5"/>
        <v>4628971</v>
      </c>
      <c r="L46" vm="1430">
        <f t="shared" si="5"/>
        <v>-2027767</v>
      </c>
      <c r="M46" vm="1218">
        <f t="shared" si="5"/>
        <v>-2027767</v>
      </c>
      <c r="N46" s="36" vm="968">
        <f t="shared" si="5"/>
        <v>44069071</v>
      </c>
      <c r="O46" s="192"/>
      <c r="P46" s="192"/>
      <c r="Q46" s="36">
        <f t="shared" si="2"/>
        <v>44069071</v>
      </c>
    </row>
    <row r="47" spans="1:18" outlineLevel="1" x14ac:dyDescent="0.25">
      <c r="A47" s="7" t="str" vm="156">
        <f>CUBEMEMBER("ThisWorkbookDataModel",{"[fActualAndBudget].[StavkaKategorija].&amp;[1.7. Материјални средства и вложувања во недвижности]","[fActualAndBudget].[StavkaImeMK].&amp;[Недвижности]"})</f>
        <v>Недвижности</v>
      </c>
      <c r="B47" s="144" vm="198">
        <f t="shared" si="1"/>
        <v>129468263</v>
      </c>
      <c r="C47" s="144" vm="918">
        <f t="shared" si="1"/>
        <v>123732839</v>
      </c>
      <c r="D47" vm="1311">
        <f t="shared" ref="D47:N53" si="6">CUBEVALUE("ThisWorkbookDataModel",$B$1,$B$2,$B$3,$A$5,$A47,D$6)</f>
        <v>123247898</v>
      </c>
      <c r="E47" vm="1401">
        <f t="shared" si="6"/>
        <v>-477952</v>
      </c>
      <c r="F47" vm="1202">
        <f t="shared" si="6"/>
        <v>-477952</v>
      </c>
      <c r="G47" vm="1310">
        <f t="shared" si="6"/>
        <v>-477952</v>
      </c>
      <c r="H47" vm="1402">
        <f t="shared" si="6"/>
        <v>-477952</v>
      </c>
      <c r="I47" vm="1370">
        <f t="shared" si="6"/>
        <v>-477952</v>
      </c>
      <c r="J47" vm="1212">
        <f t="shared" si="6"/>
        <v>-477952</v>
      </c>
      <c r="K47" vm="1407">
        <f t="shared" si="6"/>
        <v>-477952</v>
      </c>
      <c r="L47" vm="1177">
        <f t="shared" si="6"/>
        <v>-477952</v>
      </c>
      <c r="M47" vm="1204">
        <f t="shared" si="6"/>
        <v>-477952</v>
      </c>
      <c r="N47" s="36" vm="1372">
        <f t="shared" si="6"/>
        <v>118946330</v>
      </c>
      <c r="O47" s="192"/>
      <c r="P47" s="192"/>
      <c r="Q47" s="36">
        <f t="shared" si="2"/>
        <v>118946330</v>
      </c>
    </row>
    <row r="48" spans="1:18" outlineLevel="1" x14ac:dyDescent="0.25">
      <c r="A48" s="7" t="str" vm="158">
        <f>CUBEMEMBER("ThisWorkbookDataModel",{"[fActualAndBudget].[StavkaKategorija].&amp;[1.7. Материјални средства и вложувања во недвижности]","[fActualAndBudget].[StavkaImeMK].&amp;[Останати материјални основни средства]"})</f>
        <v>Останати материјални основни средства</v>
      </c>
      <c r="B48" s="144" vm="232">
        <f t="shared" si="1"/>
        <v>697806</v>
      </c>
      <c r="C48" s="144" vm="883">
        <f t="shared" si="1"/>
        <v>679470</v>
      </c>
      <c r="D48" vm="1046">
        <f t="shared" si="6"/>
        <v>679476</v>
      </c>
      <c r="E48" vm="1254">
        <f t="shared" si="6"/>
        <v>-1528</v>
      </c>
      <c r="F48" vm="1062">
        <f t="shared" si="6"/>
        <v>-1528</v>
      </c>
      <c r="G48" vm="1331">
        <f t="shared" si="6"/>
        <v>-1528</v>
      </c>
      <c r="H48" vm="960">
        <f t="shared" si="6"/>
        <v>-1528</v>
      </c>
      <c r="I48" vm="1148">
        <f t="shared" si="6"/>
        <v>-1528</v>
      </c>
      <c r="J48" vm="1390">
        <f t="shared" si="6"/>
        <v>-1528</v>
      </c>
      <c r="K48" vm="1172">
        <f t="shared" si="6"/>
        <v>-1528</v>
      </c>
      <c r="L48" vm="1424">
        <f t="shared" si="6"/>
        <v>-1528</v>
      </c>
      <c r="M48" vm="1169">
        <f t="shared" si="6"/>
        <v>-1528</v>
      </c>
      <c r="N48" s="36" vm="1076">
        <f t="shared" si="6"/>
        <v>665724</v>
      </c>
      <c r="O48" s="192"/>
      <c r="P48" s="192"/>
      <c r="Q48" s="36">
        <f t="shared" si="2"/>
        <v>665724</v>
      </c>
    </row>
    <row r="49" spans="1:18" outlineLevel="1" x14ac:dyDescent="0.25">
      <c r="A49" s="7" t="str" vm="157">
        <f>CUBEMEMBER("ThisWorkbookDataModel",{"[fActualAndBudget].[StavkaKategorija].&amp;[1.7. Материјални средства и вложувања во недвижности]","[fActualAndBudget].[StavkaImeMK].&amp;[Патнички автомобили]"})</f>
        <v>Патнички автомобили</v>
      </c>
      <c r="B49" s="144" vm="218">
        <f t="shared" si="1"/>
        <v>3795131</v>
      </c>
      <c r="C49" s="144" vm="899">
        <f t="shared" si="1"/>
        <v>1708859</v>
      </c>
      <c r="D49" vm="1178">
        <f t="shared" si="6"/>
        <v>1679292</v>
      </c>
      <c r="E49" vm="1346">
        <f t="shared" si="6"/>
        <v>-173856</v>
      </c>
      <c r="F49" vm="994">
        <f t="shared" si="6"/>
        <v>-173856</v>
      </c>
      <c r="G49" vm="1246">
        <f t="shared" si="6"/>
        <v>-173856</v>
      </c>
      <c r="H49" vm="1094">
        <f t="shared" si="6"/>
        <v>-173856</v>
      </c>
      <c r="I49" vm="1294">
        <f t="shared" si="6"/>
        <v>-173856</v>
      </c>
      <c r="J49" vm="946">
        <f t="shared" si="6"/>
        <v>-173856</v>
      </c>
      <c r="K49" vm="1024">
        <f t="shared" si="6"/>
        <v>-173856</v>
      </c>
      <c r="L49" vm="928">
        <f t="shared" si="6"/>
        <v>-173856</v>
      </c>
      <c r="M49" vm="1127">
        <f t="shared" si="6"/>
        <v>-173856</v>
      </c>
      <c r="N49" s="36" vm="1128">
        <f t="shared" si="6"/>
        <v>114588</v>
      </c>
      <c r="O49" s="192"/>
      <c r="P49" s="192"/>
      <c r="Q49" s="36">
        <f t="shared" si="2"/>
        <v>114588</v>
      </c>
    </row>
    <row r="50" spans="1:18" outlineLevel="1" x14ac:dyDescent="0.25">
      <c r="A50" s="7" t="str" vm="145">
        <f>CUBEMEMBER("ThisWorkbookDataModel",{"[fActualAndBudget].[StavkaKategorija].&amp;[1.7. Материјални средства и вложувања во недвижности]","[fActualAndBudget].[StavkaImeMK].&amp;[Побарувања за аванси за материјални исредства]"})</f>
        <v>Побарувања за аванси за материјални исредства</v>
      </c>
      <c r="B50" s="144" vm="233">
        <f t="shared" si="1"/>
        <v>2665095</v>
      </c>
      <c r="C50" s="144" vm="914">
        <f t="shared" si="1"/>
        <v>0</v>
      </c>
      <c r="D50" vm="1358">
        <f t="shared" si="6"/>
        <v>0</v>
      </c>
      <c r="E50" vm="1118">
        <f t="shared" si="6"/>
        <v>0</v>
      </c>
      <c r="F50" vm="1206">
        <f t="shared" si="6"/>
        <v>0</v>
      </c>
      <c r="G50" vm="1429">
        <f t="shared" si="6"/>
        <v>0</v>
      </c>
      <c r="H50" vm="1077">
        <f t="shared" si="6"/>
        <v>0</v>
      </c>
      <c r="I50" vm="958">
        <f t="shared" si="6"/>
        <v>0</v>
      </c>
      <c r="J50" vm="1032">
        <f t="shared" si="6"/>
        <v>0</v>
      </c>
      <c r="K50" vm="1237">
        <f t="shared" si="6"/>
        <v>0</v>
      </c>
      <c r="L50" vm="1393">
        <f t="shared" si="6"/>
        <v>0</v>
      </c>
      <c r="M50" vm="969">
        <f t="shared" si="6"/>
        <v>0</v>
      </c>
      <c r="N50" s="36" vm="997">
        <f t="shared" si="6"/>
        <v>0</v>
      </c>
      <c r="O50" s="192"/>
      <c r="P50" s="192"/>
      <c r="Q50" s="36">
        <f t="shared" si="2"/>
        <v>0</v>
      </c>
    </row>
    <row r="51" spans="1:18" s="8" customFormat="1" x14ac:dyDescent="0.25">
      <c r="A51" s="99" t="str" vm="127">
        <f>CUBEMEMBER("ThisWorkbookDataModel","[fActualAndBudget].[StavkaKategorija].&amp;[1.9. Нематеријални средства]")</f>
        <v>1.9. Нематеријални средства</v>
      </c>
      <c r="B51" s="178" vm="203">
        <f t="shared" si="1"/>
        <v>58191734</v>
      </c>
      <c r="C51" s="178" vm="888">
        <f t="shared" si="1"/>
        <v>59182121</v>
      </c>
      <c r="D51" s="8" vm="1240">
        <f t="shared" si="6"/>
        <v>57936411</v>
      </c>
      <c r="E51" s="8" vm="1099">
        <f t="shared" si="6"/>
        <v>-1542864</v>
      </c>
      <c r="F51" s="8" vm="1244">
        <f t="shared" si="6"/>
        <v>-1542864</v>
      </c>
      <c r="G51" s="8" vm="1413">
        <f t="shared" si="6"/>
        <v>-1545322</v>
      </c>
      <c r="H51" s="8" vm="1145">
        <f t="shared" si="6"/>
        <v>-1545322</v>
      </c>
      <c r="I51" s="8" vm="1409">
        <f t="shared" si="6"/>
        <v>-1545322</v>
      </c>
      <c r="J51" s="8" vm="1186">
        <f t="shared" si="6"/>
        <v>1432221</v>
      </c>
      <c r="K51" s="8" vm="1271">
        <f t="shared" si="6"/>
        <v>1207958</v>
      </c>
      <c r="L51" s="8" vm="1196">
        <f t="shared" si="6"/>
        <v>620078</v>
      </c>
      <c r="M51" s="8" vm="1203">
        <f t="shared" si="6"/>
        <v>-1607354</v>
      </c>
      <c r="N51" s="147" vm="1288">
        <f t="shared" si="6"/>
        <v>51867620</v>
      </c>
      <c r="O51" s="191">
        <f>'CAPEX po meseci CUBE'!E74</f>
        <v>0</v>
      </c>
      <c r="P51" s="191">
        <f>Amortizacija_CUBE!C19*-1</f>
        <v>-3214708</v>
      </c>
      <c r="Q51" s="100">
        <f t="shared" si="2"/>
        <v>48652912</v>
      </c>
      <c r="R51" s="249" t="s">
        <v>1255</v>
      </c>
    </row>
    <row r="52" spans="1:18" outlineLevel="1" x14ac:dyDescent="0.25">
      <c r="A52" s="7" t="str" vm="144">
        <f>CUBEMEMBER("ThisWorkbookDataModel",{"[fActualAndBudget].[StavkaKategorija].&amp;[1.9. Нематеријални средства]","[fActualAndBudget].[StavkaImeMK].&amp;[Нематеријални средства во подготовка]"})</f>
        <v>Нематеријални средства во подготовка</v>
      </c>
      <c r="B52" s="144" vm="214">
        <f t="shared" si="1"/>
        <v>36416605</v>
      </c>
      <c r="C52" s="144" vm="885">
        <f t="shared" si="1"/>
        <v>2207500</v>
      </c>
      <c r="D52" vm="1060">
        <f t="shared" si="6"/>
        <v>2207500</v>
      </c>
      <c r="E52" vm="1376">
        <f t="shared" si="6"/>
        <v>0</v>
      </c>
      <c r="F52" vm="1140">
        <f t="shared" si="6"/>
        <v>-118000</v>
      </c>
      <c r="G52" vm="1174">
        <f t="shared" si="6"/>
        <v>0</v>
      </c>
      <c r="H52" vm="1301">
        <f t="shared" si="6"/>
        <v>0</v>
      </c>
      <c r="I52" vm="1067">
        <f t="shared" si="6"/>
        <v>0</v>
      </c>
      <c r="J52" vm="967">
        <f t="shared" si="6"/>
        <v>0</v>
      </c>
      <c r="K52" vm="948">
        <f t="shared" si="6"/>
        <v>2815312</v>
      </c>
      <c r="L52" vm="1163">
        <f t="shared" si="6"/>
        <v>2227432</v>
      </c>
      <c r="M52" vm="1014">
        <f t="shared" si="6"/>
        <v>0</v>
      </c>
      <c r="N52" vm="1112">
        <f t="shared" si="6"/>
        <v>7132244</v>
      </c>
      <c r="Q52" s="36">
        <f t="shared" si="2"/>
        <v>7132244</v>
      </c>
    </row>
    <row r="53" spans="1:18" outlineLevel="1" x14ac:dyDescent="0.25">
      <c r="A53" s="7" t="str" vm="143">
        <f>CUBEMEMBER("ThisWorkbookDataModel",{"[fActualAndBudget].[StavkaKategorija].&amp;[1.9. Нематеријални средства]","[fActualAndBudget].[StavkaImeMK].&amp;[Софтвер]"})</f>
        <v>Софтвер</v>
      </c>
      <c r="B53" s="144" vm="191">
        <f t="shared" si="1"/>
        <v>21775129</v>
      </c>
      <c r="C53" s="144" vm="906">
        <f t="shared" si="1"/>
        <v>56974621</v>
      </c>
      <c r="D53" vm="962">
        <f t="shared" si="6"/>
        <v>55728911</v>
      </c>
      <c r="E53" vm="1396">
        <f t="shared" si="6"/>
        <v>-1542864</v>
      </c>
      <c r="F53" vm="1078">
        <f t="shared" si="6"/>
        <v>-1424864</v>
      </c>
      <c r="G53" vm="1156">
        <f t="shared" si="6"/>
        <v>-1545322</v>
      </c>
      <c r="H53" vm="957">
        <f t="shared" si="6"/>
        <v>-1545322</v>
      </c>
      <c r="I53" vm="1277">
        <f t="shared" si="6"/>
        <v>-1545322</v>
      </c>
      <c r="J53" vm="950">
        <f t="shared" si="6"/>
        <v>1432221</v>
      </c>
      <c r="K53" vm="1222">
        <f t="shared" si="6"/>
        <v>-1607354</v>
      </c>
      <c r="L53" vm="1216">
        <f t="shared" si="6"/>
        <v>-1607354</v>
      </c>
      <c r="M53" vm="1326">
        <f t="shared" si="6"/>
        <v>-1607354</v>
      </c>
      <c r="N53" vm="964">
        <f t="shared" si="6"/>
        <v>44735376</v>
      </c>
      <c r="Q53" s="36">
        <f t="shared" si="2"/>
        <v>44735376</v>
      </c>
    </row>
    <row r="56" spans="1:18" x14ac:dyDescent="0.25">
      <c r="A56" t="s">
        <v>1095</v>
      </c>
      <c r="B56" s="94">
        <f>B7+B23+B39+B43+B51</f>
        <v>753432443</v>
      </c>
      <c r="C56" s="94">
        <f t="shared" ref="C56:N56" si="7">C7+C23+C39+C43+C51</f>
        <v>777576263</v>
      </c>
      <c r="D56" s="94">
        <f t="shared" si="7"/>
        <v>784176508</v>
      </c>
      <c r="E56" s="94">
        <f t="shared" si="7"/>
        <v>61300369</v>
      </c>
      <c r="F56" s="94">
        <f t="shared" si="7"/>
        <v>75933740</v>
      </c>
      <c r="G56" s="94">
        <f t="shared" si="7"/>
        <v>-14166847</v>
      </c>
      <c r="H56" s="94">
        <f t="shared" si="7"/>
        <v>-6803160</v>
      </c>
      <c r="I56" s="94">
        <f t="shared" si="7"/>
        <v>-7009131</v>
      </c>
      <c r="J56" s="94">
        <f t="shared" si="7"/>
        <v>-16825106</v>
      </c>
      <c r="K56" s="94">
        <f t="shared" si="7"/>
        <v>-11505003</v>
      </c>
      <c r="L56" s="94">
        <f t="shared" si="7"/>
        <v>-6835952</v>
      </c>
      <c r="M56" s="94">
        <f t="shared" si="7"/>
        <v>-7658659</v>
      </c>
      <c r="N56" s="94">
        <f t="shared" si="7"/>
        <v>850606759</v>
      </c>
    </row>
    <row r="57" spans="1:18" x14ac:dyDescent="0.25">
      <c r="A57" t="s">
        <v>1096</v>
      </c>
      <c r="B57" s="94">
        <f t="shared" ref="B57:C57" si="8">B13+B19+B21+B29+B31+B27</f>
        <v>753432443</v>
      </c>
      <c r="C57" s="94">
        <f t="shared" si="8"/>
        <v>777576263</v>
      </c>
      <c r="D57" s="94">
        <f>D13+D19+D21+D29+D31+D27</f>
        <v>788747254</v>
      </c>
      <c r="E57" s="94">
        <f t="shared" ref="E57:N57" si="9">E13+E19+E21+E29+E31+E27</f>
        <v>-2451734</v>
      </c>
      <c r="F57" s="94">
        <f t="shared" si="9"/>
        <v>-379747</v>
      </c>
      <c r="G57" s="94">
        <f t="shared" si="9"/>
        <v>-1027751</v>
      </c>
      <c r="H57" s="94">
        <f t="shared" si="9"/>
        <v>-383080</v>
      </c>
      <c r="I57" s="94">
        <f t="shared" si="9"/>
        <v>-243197</v>
      </c>
      <c r="J57" s="94">
        <f t="shared" si="9"/>
        <v>-1147238</v>
      </c>
      <c r="K57" s="94">
        <f t="shared" si="9"/>
        <v>-403595</v>
      </c>
      <c r="L57" s="94">
        <f t="shared" si="9"/>
        <v>-277026</v>
      </c>
      <c r="M57" s="94">
        <f t="shared" si="9"/>
        <v>-927163</v>
      </c>
      <c r="N57" s="94">
        <f t="shared" si="9"/>
        <v>781506723</v>
      </c>
    </row>
    <row r="58" spans="1:18" x14ac:dyDescent="0.25">
      <c r="A58" t="s">
        <v>1097</v>
      </c>
      <c r="B58" s="94">
        <f>B56-B57</f>
        <v>0</v>
      </c>
      <c r="C58" s="94">
        <f t="shared" ref="C58:N58" si="10">C56-C57</f>
        <v>0</v>
      </c>
      <c r="D58" s="94">
        <f t="shared" si="10"/>
        <v>-4570746</v>
      </c>
      <c r="E58" s="94">
        <f t="shared" si="10"/>
        <v>63752103</v>
      </c>
      <c r="F58" s="94">
        <f t="shared" si="10"/>
        <v>76313487</v>
      </c>
      <c r="G58" s="94">
        <f t="shared" si="10"/>
        <v>-13139096</v>
      </c>
      <c r="H58" s="94">
        <f t="shared" si="10"/>
        <v>-6420080</v>
      </c>
      <c r="I58" s="94">
        <f t="shared" si="10"/>
        <v>-6765934</v>
      </c>
      <c r="J58" s="94">
        <f t="shared" si="10"/>
        <v>-15677868</v>
      </c>
      <c r="K58" s="94">
        <f t="shared" si="10"/>
        <v>-11101408</v>
      </c>
      <c r="L58" s="94">
        <f t="shared" si="10"/>
        <v>-6558926</v>
      </c>
      <c r="M58" s="94">
        <f t="shared" si="10"/>
        <v>-6731496</v>
      </c>
      <c r="N58" s="94">
        <f t="shared" si="10"/>
        <v>69100036</v>
      </c>
    </row>
    <row r="60" spans="1:18" x14ac:dyDescent="0.25">
      <c r="N60" s="94">
        <f>N58-'1. BilansNaSostojba'!C59</f>
        <v>15296261</v>
      </c>
    </row>
    <row r="62" spans="1:18" x14ac:dyDescent="0.25">
      <c r="N62" s="94"/>
    </row>
  </sheetData>
  <pageMargins left="0.7" right="0.7" top="0.75" bottom="0.75" header="0.3" footer="0.3"/>
  <pageSetup paperSize="9"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6"/>
  <dimension ref="A3:R5966"/>
  <sheetViews>
    <sheetView showGridLines="0" topLeftCell="A4" zoomScale="110" zoomScaleNormal="110" workbookViewId="0">
      <pane xSplit="1" ySplit="7" topLeftCell="B23" activePane="bottomRight" state="frozen"/>
      <selection activeCell="H36" sqref="H36"/>
      <selection pane="topRight" activeCell="H36" sqref="H36"/>
      <selection pane="bottomLeft" activeCell="H36" sqref="H36"/>
      <selection pane="bottomRight" activeCell="Q16" sqref="Q16"/>
    </sheetView>
  </sheetViews>
  <sheetFormatPr defaultRowHeight="15" x14ac:dyDescent="0.25"/>
  <cols>
    <col min="1" max="1" width="51" style="2" customWidth="1"/>
    <col min="2" max="2" width="11.28515625" style="2" bestFit="1" customWidth="1"/>
    <col min="3" max="3" width="14.5703125" customWidth="1"/>
    <col min="4" max="4" width="11" bestFit="1" customWidth="1"/>
    <col min="5" max="5" width="11.140625" bestFit="1" customWidth="1"/>
    <col min="6" max="6" width="11.140625" style="8" bestFit="1" customWidth="1"/>
    <col min="7" max="15" width="11.140625" bestFit="1" customWidth="1"/>
    <col min="16" max="16" width="11.7109375" customWidth="1"/>
    <col min="17" max="17" width="13.42578125" customWidth="1"/>
    <col min="18" max="18" width="11.140625" customWidth="1"/>
    <col min="19" max="20" width="11.140625" bestFit="1" customWidth="1"/>
    <col min="21" max="25" width="10.140625" bestFit="1" customWidth="1"/>
    <col min="26" max="26" width="11.28515625" bestFit="1" customWidth="1"/>
    <col min="27" max="28" width="11.140625" bestFit="1" customWidth="1"/>
    <col min="29" max="31" width="12.7109375" bestFit="1" customWidth="1"/>
    <col min="32" max="32" width="8.42578125" bestFit="1" customWidth="1"/>
    <col min="33" max="33" width="9.42578125" bestFit="1" customWidth="1"/>
    <col min="34" max="35" width="8.42578125" bestFit="1" customWidth="1"/>
    <col min="37" max="37" width="11.28515625" bestFit="1" customWidth="1"/>
  </cols>
  <sheetData>
    <row r="3" spans="1:18" x14ac:dyDescent="0.25">
      <c r="F3"/>
    </row>
    <row r="4" spans="1:18" ht="13.9" customHeight="1" x14ac:dyDescent="0.25">
      <c r="D4" s="1">
        <f>C5-D5</f>
        <v>-1635327</v>
      </c>
      <c r="E4" s="1">
        <f t="shared" ref="E4:O4" si="0">D5-E5</f>
        <v>4195073</v>
      </c>
      <c r="F4" s="1">
        <f t="shared" si="0"/>
        <v>-14762722</v>
      </c>
      <c r="G4" s="1">
        <f t="shared" si="0"/>
        <v>-7320592</v>
      </c>
      <c r="H4" s="1">
        <f t="shared" si="0"/>
        <v>4114908</v>
      </c>
      <c r="I4" s="1">
        <f t="shared" si="0"/>
        <v>5228033</v>
      </c>
      <c r="J4" s="1">
        <f t="shared" si="0"/>
        <v>5378033</v>
      </c>
      <c r="K4" s="1">
        <f t="shared" si="0"/>
        <v>-6176134</v>
      </c>
      <c r="L4" s="1">
        <f t="shared" si="0"/>
        <v>-11551759</v>
      </c>
      <c r="M4" s="1">
        <f t="shared" si="0"/>
        <v>-1731946</v>
      </c>
      <c r="N4" s="1">
        <f t="shared" si="0"/>
        <v>-18165071</v>
      </c>
      <c r="O4" s="1">
        <f t="shared" si="0"/>
        <v>-14262884</v>
      </c>
      <c r="P4" s="1">
        <f>SUM(D4:O4)</f>
        <v>-56690388</v>
      </c>
    </row>
    <row r="5" spans="1:18" ht="30" x14ac:dyDescent="0.25">
      <c r="A5" s="63" t="s">
        <v>187</v>
      </c>
      <c r="B5" s="63" t="s">
        <v>1101</v>
      </c>
      <c r="C5" s="1">
        <f t="shared" ref="C5:O5" si="1">SUM(C18:C20)</f>
        <v>617775708</v>
      </c>
      <c r="D5" s="1">
        <f t="shared" si="1"/>
        <v>619411035</v>
      </c>
      <c r="E5" s="1">
        <f t="shared" si="1"/>
        <v>615215962</v>
      </c>
      <c r="F5" s="1">
        <f t="shared" si="1"/>
        <v>629978684</v>
      </c>
      <c r="G5" s="1">
        <f t="shared" si="1"/>
        <v>637299276</v>
      </c>
      <c r="H5" s="1">
        <f t="shared" si="1"/>
        <v>633184368</v>
      </c>
      <c r="I5" s="1">
        <f t="shared" si="1"/>
        <v>627956335</v>
      </c>
      <c r="J5" s="1">
        <f t="shared" si="1"/>
        <v>622578302</v>
      </c>
      <c r="K5" s="1">
        <f t="shared" si="1"/>
        <v>628754436</v>
      </c>
      <c r="L5" s="1">
        <f t="shared" si="1"/>
        <v>640306195</v>
      </c>
      <c r="M5" s="1">
        <f t="shared" si="1"/>
        <v>642038141</v>
      </c>
      <c r="N5" s="1">
        <f t="shared" si="1"/>
        <v>660203212</v>
      </c>
      <c r="O5" s="1">
        <f t="shared" si="1"/>
        <v>674466096</v>
      </c>
      <c r="P5" s="1">
        <f>C5-O5</f>
        <v>-56690388</v>
      </c>
      <c r="Q5" s="1">
        <f>P5-'2. Bilans Na Uspeh'!F90</f>
        <v>-123174850</v>
      </c>
      <c r="R5" s="1">
        <f>Q5-P5</f>
        <v>-66484462</v>
      </c>
    </row>
    <row r="6" spans="1:18" x14ac:dyDescent="0.25">
      <c r="C6" s="1">
        <f>C20</f>
        <v>48652912</v>
      </c>
      <c r="D6" s="1">
        <f>C6+'CAPEX po meseci CUBE'!F52</f>
        <v>54742912</v>
      </c>
      <c r="E6" s="1">
        <f>D6+'CAPEX po meseci CUBE'!G52</f>
        <v>55238512</v>
      </c>
      <c r="F6" s="1">
        <f>E6+'CAPEX po meseci CUBE'!H52</f>
        <v>57238512</v>
      </c>
      <c r="G6" s="1">
        <f>F6+'CAPEX po meseci CUBE'!I52</f>
        <v>69030762</v>
      </c>
      <c r="H6" s="1">
        <f>G6+'CAPEX po meseci CUBE'!J52</f>
        <v>70290762</v>
      </c>
      <c r="I6" s="1">
        <f>H6+'CAPEX po meseci CUBE'!K52</f>
        <v>70290762</v>
      </c>
      <c r="J6" s="1">
        <f>I6+'CAPEX po meseci CUBE'!L52</f>
        <v>70290762</v>
      </c>
      <c r="K6" s="1">
        <f>J6+'CAPEX po meseci CUBE'!M52</f>
        <v>70290762</v>
      </c>
      <c r="L6" s="1">
        <f>K6+'CAPEX po meseci CUBE'!N52</f>
        <v>87680762</v>
      </c>
      <c r="M6" s="1">
        <f>L6+'CAPEX po meseci CUBE'!O52</f>
        <v>95500762</v>
      </c>
      <c r="N6" s="1">
        <f>M6+'CAPEX po meseci CUBE'!P52</f>
        <v>110500762</v>
      </c>
      <c r="O6" s="1">
        <f>N6+'CAPEX po meseci CUBE'!Q52</f>
        <v>125000762</v>
      </c>
      <c r="P6" s="1">
        <f>O6-D6</f>
        <v>70257850</v>
      </c>
      <c r="Q6" s="255">
        <f>Q5*-1-'CAPEX po meseci CUBE'!R53</f>
        <v>0</v>
      </c>
      <c r="R6" s="200">
        <f>R5-'2. Bilans Na Uspeh'!F90*-1</f>
        <v>0</v>
      </c>
    </row>
    <row r="7" spans="1:18" x14ac:dyDescent="0.25">
      <c r="A7"/>
      <c r="B7"/>
      <c r="D7" s="1">
        <f>D6-C6</f>
        <v>6090000</v>
      </c>
      <c r="E7" s="1">
        <f t="shared" ref="E7:O7" si="2">E6-D6</f>
        <v>495600</v>
      </c>
      <c r="F7" s="1">
        <f t="shared" si="2"/>
        <v>2000000</v>
      </c>
      <c r="G7" s="1">
        <f t="shared" si="2"/>
        <v>11792250</v>
      </c>
      <c r="H7" s="1">
        <f t="shared" si="2"/>
        <v>1260000</v>
      </c>
      <c r="I7" s="1">
        <f t="shared" si="2"/>
        <v>0</v>
      </c>
      <c r="J7" s="1">
        <f t="shared" si="2"/>
        <v>0</v>
      </c>
      <c r="K7" s="1">
        <f t="shared" si="2"/>
        <v>0</v>
      </c>
      <c r="L7" s="1">
        <f t="shared" si="2"/>
        <v>17390000</v>
      </c>
      <c r="M7" s="1">
        <f t="shared" si="2"/>
        <v>7820000</v>
      </c>
      <c r="N7" s="1">
        <f t="shared" si="2"/>
        <v>15000000</v>
      </c>
      <c r="O7" s="1">
        <f t="shared" si="2"/>
        <v>14500000</v>
      </c>
      <c r="P7" s="1">
        <f>SUM(D7:O7)</f>
        <v>76347850</v>
      </c>
      <c r="Q7" s="1">
        <f>Q5+'CAPEX po meseci CUBE'!R68</f>
        <v>-18460000</v>
      </c>
    </row>
    <row r="8" spans="1:18" x14ac:dyDescent="0.25">
      <c r="D8" s="1"/>
      <c r="E8" s="1"/>
      <c r="F8" s="1"/>
      <c r="G8" s="1"/>
      <c r="H8" s="1"/>
      <c r="I8" s="1"/>
      <c r="J8" s="1"/>
      <c r="K8" s="1"/>
      <c r="L8" s="1"/>
      <c r="M8" s="1"/>
      <c r="N8" s="1"/>
      <c r="O8" s="1"/>
    </row>
    <row r="9" spans="1:18" x14ac:dyDescent="0.25">
      <c r="A9" s="3" t="str" vm="9">
        <f>CUBEMEMBER("ThisWorkbookDataModel","[Measures].[Sum of Износ]")</f>
        <v>Sum of Износ</v>
      </c>
      <c r="B9" s="3"/>
    </row>
    <row r="10" spans="1:18" s="15" customFormat="1" x14ac:dyDescent="0.25">
      <c r="A10" s="33" t="s">
        <v>1252</v>
      </c>
      <c r="B10" s="37">
        <v>44531</v>
      </c>
      <c r="C10" s="37">
        <v>44896</v>
      </c>
      <c r="D10" s="37">
        <v>44927</v>
      </c>
      <c r="E10" s="37">
        <v>44958</v>
      </c>
      <c r="F10" s="37">
        <v>44986</v>
      </c>
      <c r="G10" s="37">
        <v>45017</v>
      </c>
      <c r="H10" s="37">
        <v>45047</v>
      </c>
      <c r="I10" s="37">
        <v>45078</v>
      </c>
      <c r="J10" s="37">
        <v>45108</v>
      </c>
      <c r="K10" s="37">
        <v>45139</v>
      </c>
      <c r="L10" s="37">
        <v>45170</v>
      </c>
      <c r="M10" s="37">
        <v>45200</v>
      </c>
      <c r="N10" s="37">
        <v>45231</v>
      </c>
      <c r="O10" s="38">
        <v>45261</v>
      </c>
    </row>
    <row r="11" spans="1:18" s="15" customFormat="1" x14ac:dyDescent="0.25">
      <c r="A11" s="34" t="s">
        <v>177</v>
      </c>
      <c r="B11" s="75"/>
      <c r="C11" s="39"/>
      <c r="D11" s="39"/>
      <c r="E11" s="39"/>
      <c r="F11" s="40"/>
      <c r="G11" s="41"/>
      <c r="H11" s="41"/>
      <c r="I11" s="41"/>
      <c r="J11" s="41"/>
      <c r="K11" s="41"/>
      <c r="L11" s="41"/>
      <c r="M11" s="41"/>
      <c r="N11" s="41"/>
      <c r="O11" s="42"/>
    </row>
    <row r="12" spans="1:18" x14ac:dyDescent="0.25">
      <c r="A12" s="43" t="str" vm="122">
        <f>CUBEMEMBER("ThisWorkbookDataModel",{"[fActualAndBudget].[StavkaKategorija].&amp;[1.1. Парични средства]"})</f>
        <v>1.1. Парични средства</v>
      </c>
      <c r="B12" s="25" vm="891">
        <f>BS_predviduvanje!C7</f>
        <v>119915511</v>
      </c>
      <c r="C12" s="183">
        <f>BS_predviduvanje!Q7</f>
        <v>194365031</v>
      </c>
      <c r="D12" s="25">
        <f>'8. Izv. za paricni tekovi'!B21</f>
        <v>177667528</v>
      </c>
      <c r="E12" s="25">
        <f>'8. Izv. za paricni tekovi'!C21</f>
        <v>243809999</v>
      </c>
      <c r="F12" s="25">
        <f>'8. Izv. za paricni tekovi'!D21</f>
        <v>302451193</v>
      </c>
      <c r="G12" s="25">
        <f>'8. Izv. za paricni tekovi'!E21</f>
        <v>281745391</v>
      </c>
      <c r="H12" s="25">
        <f>'8. Izv. za paricni tekovi'!F21</f>
        <v>275108143</v>
      </c>
      <c r="I12" s="25">
        <f>'8. Izv. za paricni tekovi'!G21</f>
        <v>269340056</v>
      </c>
      <c r="J12" s="25">
        <f>'8. Izv. za paricni tekovi'!H21</f>
        <v>251632893</v>
      </c>
      <c r="K12" s="25">
        <f>'8. Izv. za paricni tekovi'!I21</f>
        <v>227655532</v>
      </c>
      <c r="L12" s="25">
        <f>'8. Izv. za paricni tekovi'!J21</f>
        <v>204246458</v>
      </c>
      <c r="M12" s="25">
        <f>'8. Izv. za paricni tekovi'!K21</f>
        <v>189527443</v>
      </c>
      <c r="N12" s="25">
        <f>'8. Izv. za paricni tekovi'!L21</f>
        <v>156718615</v>
      </c>
      <c r="O12" s="25">
        <f>'8. Izv. za paricni tekovi'!M21</f>
        <v>152956073</v>
      </c>
    </row>
    <row r="13" spans="1:18" x14ac:dyDescent="0.25">
      <c r="A13" s="43" t="str" vm="123">
        <f>CUBEMEMBER("ThisWorkbookDataModel",{"[fActualAndBudget].[StavkaKategorija].&amp;[1.2. Побарувања]"})</f>
        <v>1.2. Побарувања</v>
      </c>
      <c r="B13" s="25" vm="912">
        <f>BS_predviduvanje!C23</f>
        <v>2805920</v>
      </c>
      <c r="C13" s="184">
        <f>BS_predviduvanje!Q23</f>
        <v>2848420</v>
      </c>
      <c r="D13" s="25">
        <f t="shared" ref="D13:O13" si="3">C13</f>
        <v>2848420</v>
      </c>
      <c r="E13" s="25">
        <f t="shared" si="3"/>
        <v>2848420</v>
      </c>
      <c r="F13" s="25">
        <f t="shared" si="3"/>
        <v>2848420</v>
      </c>
      <c r="G13" s="25">
        <f t="shared" si="3"/>
        <v>2848420</v>
      </c>
      <c r="H13" s="25">
        <f t="shared" si="3"/>
        <v>2848420</v>
      </c>
      <c r="I13" s="25">
        <f t="shared" si="3"/>
        <v>2848420</v>
      </c>
      <c r="J13" s="25">
        <f t="shared" si="3"/>
        <v>2848420</v>
      </c>
      <c r="K13" s="25">
        <f t="shared" si="3"/>
        <v>2848420</v>
      </c>
      <c r="L13" s="25">
        <f t="shared" si="3"/>
        <v>2848420</v>
      </c>
      <c r="M13" s="25">
        <f t="shared" si="3"/>
        <v>2848420</v>
      </c>
      <c r="N13" s="25">
        <f t="shared" si="3"/>
        <v>2848420</v>
      </c>
      <c r="O13" s="47">
        <f t="shared" si="3"/>
        <v>2848420</v>
      </c>
    </row>
    <row r="14" spans="1:18" s="8" customFormat="1" x14ac:dyDescent="0.25">
      <c r="A14" s="43" t="str" vm="124">
        <f>CUBEMEMBER("ThisWorkbookDataModel",{"[fActualAndBudget].[StavkaKategorija].&amp;[1.3. Залихи]"})</f>
        <v>1.3. Залихи</v>
      </c>
      <c r="B14" s="25" vm="890">
        <f>BS_predviduvanje!C39</f>
        <v>943451</v>
      </c>
      <c r="C14" s="25">
        <f>BS_predviduvanje!Q39</f>
        <v>1484627</v>
      </c>
      <c r="D14" s="25">
        <f>C14</f>
        <v>1484627</v>
      </c>
      <c r="E14" s="25">
        <f t="shared" ref="E14:O14" si="4">D14</f>
        <v>1484627</v>
      </c>
      <c r="F14" s="25">
        <f t="shared" si="4"/>
        <v>1484627</v>
      </c>
      <c r="G14" s="25">
        <f t="shared" si="4"/>
        <v>1484627</v>
      </c>
      <c r="H14" s="25">
        <f t="shared" si="4"/>
        <v>1484627</v>
      </c>
      <c r="I14" s="25">
        <f t="shared" si="4"/>
        <v>1484627</v>
      </c>
      <c r="J14" s="25">
        <f t="shared" si="4"/>
        <v>1484627</v>
      </c>
      <c r="K14" s="25">
        <f t="shared" si="4"/>
        <v>1484627</v>
      </c>
      <c r="L14" s="25">
        <f t="shared" si="4"/>
        <v>1484627</v>
      </c>
      <c r="M14" s="25">
        <f t="shared" si="4"/>
        <v>1484627</v>
      </c>
      <c r="N14" s="25">
        <f t="shared" si="4"/>
        <v>1484627</v>
      </c>
      <c r="O14" s="47">
        <f t="shared" si="4"/>
        <v>1484627</v>
      </c>
    </row>
    <row r="15" spans="1:18" s="8" customFormat="1" x14ac:dyDescent="0.25">
      <c r="A15" s="43" t="e">
        <f>CUBEMEMBER("ThisWorkbookDataModel",{"[fActualAndBudget].[StavkaKategorija].&amp;[1.4. Краткорочни финансиски средства]"})</f>
        <v>#N/A</v>
      </c>
      <c r="B15" s="169"/>
      <c r="C15" s="169"/>
      <c r="D15" s="29"/>
      <c r="E15" s="29"/>
      <c r="F15" s="29"/>
      <c r="G15" s="30"/>
      <c r="H15" s="48"/>
      <c r="I15" s="48"/>
      <c r="J15" s="48"/>
      <c r="K15" s="48"/>
      <c r="L15" s="48"/>
      <c r="M15" s="48"/>
      <c r="N15" s="48"/>
      <c r="O15" s="49"/>
      <c r="Q15" s="14"/>
    </row>
    <row r="16" spans="1:18" s="8" customFormat="1" x14ac:dyDescent="0.25">
      <c r="A16" s="43" t="e">
        <f>CUBEMEMBER("ThisWorkbookDataModel",{"[fActualAndBudget].[StavkaKategorija].&amp;[1.5. Други тековни средства (АВР)"})</f>
        <v>#N/A</v>
      </c>
      <c r="B16" s="169"/>
      <c r="C16" s="169"/>
      <c r="D16" s="29"/>
      <c r="E16" s="29"/>
      <c r="F16" s="29"/>
      <c r="G16" s="30"/>
      <c r="H16" s="48"/>
      <c r="I16" s="48"/>
      <c r="J16" s="48"/>
      <c r="K16" s="48"/>
      <c r="L16" s="48"/>
      <c r="M16" s="48"/>
      <c r="N16" s="48"/>
      <c r="O16" s="49"/>
    </row>
    <row r="17" spans="1:17" s="8" customFormat="1" x14ac:dyDescent="0.25">
      <c r="A17" s="50" t="s">
        <v>178</v>
      </c>
      <c r="B17" s="29">
        <f t="shared" ref="B17:O17" si="5">SUM(B12:B16)</f>
        <v>123664882</v>
      </c>
      <c r="C17" s="29">
        <f>SUM(C12:C16)</f>
        <v>198698078</v>
      </c>
      <c r="D17" s="29">
        <f t="shared" si="5"/>
        <v>182000575</v>
      </c>
      <c r="E17" s="29">
        <f t="shared" si="5"/>
        <v>248143046</v>
      </c>
      <c r="F17" s="29">
        <f t="shared" si="5"/>
        <v>306784240</v>
      </c>
      <c r="G17" s="29">
        <f t="shared" si="5"/>
        <v>286078438</v>
      </c>
      <c r="H17" s="29">
        <f t="shared" si="5"/>
        <v>279441190</v>
      </c>
      <c r="I17" s="29">
        <f t="shared" si="5"/>
        <v>273673103</v>
      </c>
      <c r="J17" s="29">
        <f t="shared" si="5"/>
        <v>255965940</v>
      </c>
      <c r="K17" s="29">
        <f t="shared" si="5"/>
        <v>231988579</v>
      </c>
      <c r="L17" s="29">
        <f t="shared" si="5"/>
        <v>208579505</v>
      </c>
      <c r="M17" s="29">
        <f t="shared" si="5"/>
        <v>193860490</v>
      </c>
      <c r="N17" s="29">
        <f t="shared" si="5"/>
        <v>161051662</v>
      </c>
      <c r="O17" s="51">
        <f t="shared" si="5"/>
        <v>157289120</v>
      </c>
    </row>
    <row r="18" spans="1:17" s="8" customFormat="1" x14ac:dyDescent="0.25">
      <c r="A18" s="43" t="str" vm="128">
        <f>CUBEMEMBER("ThisWorkbookDataModel",{"[fActualAndBudget].[StavkaKategorija].&amp;[1.7. Материјални средства и вложувања во недвижности]"})</f>
        <v>1.7. Материјални средства и вложувања во недвижности</v>
      </c>
      <c r="B18" s="25" vm="916">
        <f>BS_predviduvanje!C43</f>
        <v>594729260</v>
      </c>
      <c r="C18" s="25">
        <f>BS_predviduvanje!Q43</f>
        <v>569122796</v>
      </c>
      <c r="D18" s="25">
        <f>C18+'CAPEX po meseci CUBE'!F51-Amortizacija_CUBE!D20</f>
        <v>566402352</v>
      </c>
      <c r="E18" s="25">
        <f>D18+'CAPEX po meseci CUBE'!G51-Amortizacija_CUBE!E20</f>
        <v>563445908</v>
      </c>
      <c r="F18" s="25">
        <f>E18+'CAPEX po meseci CUBE'!H51-Amortizacija_CUBE!F20</f>
        <v>577942859</v>
      </c>
      <c r="G18" s="25">
        <f>F18+'CAPEX po meseci CUBE'!I51-Amortizacija_CUBE!G20</f>
        <v>575469539</v>
      </c>
      <c r="H18" s="25">
        <f>G18+'CAPEX po meseci CUBE'!J51-Amortizacija_CUBE!H20</f>
        <v>572119219</v>
      </c>
      <c r="I18" s="25">
        <f>H18+'CAPEX po meseci CUBE'!K51-Amortizacija_CUBE!I20</f>
        <v>568915774</v>
      </c>
      <c r="J18" s="25">
        <f>I18+'CAPEX po meseci CUBE'!L51-Amortizacija_CUBE!J20</f>
        <v>565562329</v>
      </c>
      <c r="K18" s="25">
        <f>J18+'CAPEX po meseci CUBE'!M51-Amortizacija_CUBE!K20</f>
        <v>573763051</v>
      </c>
      <c r="L18" s="25">
        <f>K18+'CAPEX po meseci CUBE'!N51-Amortizacija_CUBE!L20</f>
        <v>570163773</v>
      </c>
      <c r="M18" s="25">
        <f>L18+'CAPEX po meseci CUBE'!O51-Amortizacija_CUBE!M20</f>
        <v>566564495</v>
      </c>
      <c r="N18" s="25">
        <f>M18+'CAPEX po meseci CUBE'!P51-Amortizacija_CUBE!N20</f>
        <v>572218342</v>
      </c>
      <c r="O18" s="25">
        <f>N18+'CAPEX po meseci CUBE'!Q51-Amortizacija_CUBE!O20</f>
        <v>574772085</v>
      </c>
      <c r="P18" s="14"/>
    </row>
    <row r="19" spans="1:17" s="8" customFormat="1" x14ac:dyDescent="0.25">
      <c r="A19" s="43" t="e">
        <f>CUBEMEMBER("ThisWorkbookDataModel",{"[fActualAndBudget].[StavkaKategorija].&amp;[1.8. Долгорочни финансиски вложувања]"})</f>
        <v>#N/A</v>
      </c>
      <c r="B19" s="169"/>
      <c r="C19" s="169"/>
      <c r="D19" s="25"/>
      <c r="E19" s="25"/>
      <c r="F19" s="25"/>
      <c r="G19" s="25"/>
      <c r="H19" s="25"/>
      <c r="I19" s="25"/>
      <c r="J19" s="25"/>
      <c r="K19" s="25"/>
      <c r="L19" s="25"/>
      <c r="M19" s="25"/>
      <c r="N19" s="25"/>
      <c r="O19" s="25"/>
    </row>
    <row r="20" spans="1:17" s="8" customFormat="1" x14ac:dyDescent="0.25">
      <c r="A20" s="43" t="str" vm="127">
        <f>CUBEMEMBER("ThisWorkbookDataModel",{"[fActualAndBudget].[StavkaKategorija].&amp;[1.9. Нематеријални средства]"})</f>
        <v>1.9. Нематеријални средства</v>
      </c>
      <c r="B20" s="25" vm="888">
        <f>BS_predviduvanje!C51</f>
        <v>59182121</v>
      </c>
      <c r="C20" s="25">
        <f>BS_predviduvanje!Q51</f>
        <v>48652912</v>
      </c>
      <c r="D20" s="25">
        <f>C20+'CAPEX po meseci CUBE'!F52-Amortizacija_CUBE!D19</f>
        <v>53008683</v>
      </c>
      <c r="E20" s="25">
        <f>D20+'CAPEX po meseci CUBE'!G52-Amortizacija_CUBE!E19</f>
        <v>51770054</v>
      </c>
      <c r="F20" s="25">
        <f>E20+'CAPEX po meseci CUBE'!H52-Amortizacija_CUBE!F19</f>
        <v>52035825</v>
      </c>
      <c r="G20" s="25">
        <f>F20+'CAPEX po meseci CUBE'!I52-Amortizacija_CUBE!G19</f>
        <v>61829737</v>
      </c>
      <c r="H20" s="25">
        <f>G20+'CAPEX po meseci CUBE'!J52-Amortizacija_CUBE!H19</f>
        <v>61065149</v>
      </c>
      <c r="I20" s="25">
        <f>H20+'CAPEX po meseci CUBE'!K52-Amortizacija_CUBE!I19</f>
        <v>59040561</v>
      </c>
      <c r="J20" s="25">
        <f>I20+'CAPEX po meseci CUBE'!L52-Amortizacija_CUBE!J19</f>
        <v>57015973</v>
      </c>
      <c r="K20" s="25">
        <f>J20+'CAPEX po meseci CUBE'!M52-Amortizacija_CUBE!K19</f>
        <v>54991385</v>
      </c>
      <c r="L20" s="25">
        <f>K20+'CAPEX po meseci CUBE'!N52-Amortizacija_CUBE!L19</f>
        <v>70142422</v>
      </c>
      <c r="M20" s="25">
        <f>L20+'CAPEX po meseci CUBE'!O52-Amortizacija_CUBE!M19</f>
        <v>75473646</v>
      </c>
      <c r="N20" s="25">
        <f>M20+'CAPEX po meseci CUBE'!P52-Amortizacija_CUBE!N19</f>
        <v>87984870</v>
      </c>
      <c r="O20" s="25">
        <f>N20+'CAPEX po meseci CUBE'!Q52-Amortizacija_CUBE!O19</f>
        <v>99694011</v>
      </c>
      <c r="P20" s="14">
        <f>O20-C20</f>
        <v>51041099</v>
      </c>
    </row>
    <row r="21" spans="1:17" s="8" customFormat="1" x14ac:dyDescent="0.25">
      <c r="A21" s="43" t="e">
        <f>CUBEMEMBER("ThisWorkbookDataModel",{"[fActualAndBudget].[StavkaKategorija].&amp;[1.10. Долгорочни финансиски средства]"})</f>
        <v>#N/A</v>
      </c>
      <c r="B21" s="169"/>
      <c r="C21" s="169"/>
      <c r="D21" s="25"/>
      <c r="E21" s="25"/>
      <c r="F21" s="25"/>
      <c r="G21" s="25"/>
      <c r="H21" s="25"/>
      <c r="I21" s="25"/>
      <c r="J21" s="25"/>
      <c r="K21" s="25"/>
      <c r="L21" s="25"/>
      <c r="M21" s="25"/>
      <c r="N21" s="25"/>
      <c r="O21" s="25"/>
      <c r="Q21" s="14"/>
    </row>
    <row r="22" spans="1:17" s="8" customFormat="1" x14ac:dyDescent="0.25">
      <c r="A22" s="43" t="e">
        <f>CUBEMEMBER("ThisWorkbookDataModel",{"[fActualAndBudget].[StavkaKategorija].&amp;[1.11. Други средства]"})</f>
        <v>#N/A</v>
      </c>
      <c r="B22" s="169"/>
      <c r="C22" s="169"/>
      <c r="D22" s="25"/>
      <c r="E22" s="25"/>
      <c r="F22" s="25"/>
      <c r="G22" s="25"/>
      <c r="H22" s="25"/>
      <c r="I22" s="25"/>
      <c r="J22" s="25"/>
      <c r="K22" s="25"/>
      <c r="L22" s="25"/>
      <c r="M22" s="25"/>
      <c r="N22" s="25"/>
      <c r="O22" s="25"/>
    </row>
    <row r="23" spans="1:17" s="8" customFormat="1" x14ac:dyDescent="0.25">
      <c r="A23" s="50" t="s">
        <v>179</v>
      </c>
      <c r="B23" s="29">
        <f t="shared" ref="B23:O23" si="6">SUM(B17:B22)</f>
        <v>777576263</v>
      </c>
      <c r="C23" s="29">
        <f>SUM(C17:C22)</f>
        <v>816473786</v>
      </c>
      <c r="D23" s="29">
        <f t="shared" si="6"/>
        <v>801411610</v>
      </c>
      <c r="E23" s="29">
        <f t="shared" si="6"/>
        <v>863359008</v>
      </c>
      <c r="F23" s="29">
        <f t="shared" si="6"/>
        <v>936762924</v>
      </c>
      <c r="G23" s="29">
        <f t="shared" si="6"/>
        <v>923377714</v>
      </c>
      <c r="H23" s="29">
        <f t="shared" si="6"/>
        <v>912625558</v>
      </c>
      <c r="I23" s="29">
        <f t="shared" si="6"/>
        <v>901629438</v>
      </c>
      <c r="J23" s="29">
        <f t="shared" si="6"/>
        <v>878544242</v>
      </c>
      <c r="K23" s="29">
        <f t="shared" si="6"/>
        <v>860743015</v>
      </c>
      <c r="L23" s="29">
        <f t="shared" si="6"/>
        <v>848885700</v>
      </c>
      <c r="M23" s="29">
        <f t="shared" si="6"/>
        <v>835898631</v>
      </c>
      <c r="N23" s="29">
        <f t="shared" si="6"/>
        <v>821254874</v>
      </c>
      <c r="O23" s="51">
        <f t="shared" si="6"/>
        <v>831755216</v>
      </c>
    </row>
    <row r="24" spans="1:17" s="8" customFormat="1" x14ac:dyDescent="0.25">
      <c r="A24" s="52" t="str" vm="135">
        <f>CUBEMEMBER("ThisWorkbookDataModel",{"[fActualAndBudget].[StavkaKategorija].&amp;[1.13. Вонбилансна актива]"})</f>
        <v>1.13. Вонбилансна актива</v>
      </c>
      <c r="B24" s="25" vm="897">
        <f>BS_predviduvanje!C11</f>
        <v>0</v>
      </c>
      <c r="C24" s="25" vm="897">
        <f>BS_predviduvanje!C11</f>
        <v>0</v>
      </c>
      <c r="D24" s="25" vm="897">
        <f>C24</f>
        <v>0</v>
      </c>
      <c r="E24" s="25" vm="897">
        <f t="shared" ref="E24:O24" si="7">D24</f>
        <v>0</v>
      </c>
      <c r="F24" s="25" vm="897">
        <f t="shared" si="7"/>
        <v>0</v>
      </c>
      <c r="G24" s="25" vm="897">
        <f t="shared" si="7"/>
        <v>0</v>
      </c>
      <c r="H24" s="25" vm="897">
        <f t="shared" si="7"/>
        <v>0</v>
      </c>
      <c r="I24" s="25" vm="897">
        <f t="shared" si="7"/>
        <v>0</v>
      </c>
      <c r="J24" s="25" vm="897">
        <f t="shared" si="7"/>
        <v>0</v>
      </c>
      <c r="K24" s="25" vm="897">
        <f t="shared" si="7"/>
        <v>0</v>
      </c>
      <c r="L24" s="25" vm="897">
        <f t="shared" si="7"/>
        <v>0</v>
      </c>
      <c r="M24" s="25" vm="897">
        <f t="shared" si="7"/>
        <v>0</v>
      </c>
      <c r="N24" s="25" vm="897">
        <f t="shared" si="7"/>
        <v>0</v>
      </c>
      <c r="O24" s="25" vm="897">
        <f t="shared" si="7"/>
        <v>0</v>
      </c>
    </row>
    <row r="25" spans="1:17" s="8" customFormat="1" x14ac:dyDescent="0.25">
      <c r="A25" s="7"/>
      <c r="B25" s="7"/>
      <c r="C25" s="7"/>
      <c r="D25" s="14"/>
      <c r="E25" s="14"/>
      <c r="F25" s="14"/>
      <c r="G25" s="14"/>
    </row>
    <row r="26" spans="1:17" s="8" customFormat="1" x14ac:dyDescent="0.25">
      <c r="A26" s="54" t="s">
        <v>180</v>
      </c>
      <c r="B26" s="170"/>
      <c r="C26" s="170"/>
      <c r="D26" s="55"/>
      <c r="E26" s="55"/>
      <c r="F26" s="55"/>
      <c r="G26" s="55"/>
      <c r="H26" s="56"/>
      <c r="I26" s="56"/>
      <c r="J26" s="56"/>
      <c r="K26" s="56"/>
      <c r="L26" s="56"/>
      <c r="M26" s="56"/>
      <c r="N26" s="56"/>
      <c r="O26" s="57"/>
    </row>
    <row r="27" spans="1:17" x14ac:dyDescent="0.25">
      <c r="A27" s="43" t="str" vm="133">
        <f>CUBEMEMBER("ThisWorkbookDataModel",{"[fActualAndBudget].[StavkaKategorija].&amp;[1.14. Краткорочни обврски]"})</f>
        <v>1.14. Краткорочни обврски</v>
      </c>
      <c r="B27" s="25" vm="894">
        <f>BS_predviduvanje!C13</f>
        <v>10171911</v>
      </c>
      <c r="C27" s="25">
        <f>BS_predviduvanje!Q13</f>
        <v>0</v>
      </c>
      <c r="D27" s="25">
        <v>0</v>
      </c>
      <c r="E27" s="25">
        <v>0</v>
      </c>
      <c r="F27" s="25">
        <v>0</v>
      </c>
      <c r="G27" s="25">
        <v>0</v>
      </c>
      <c r="H27" s="25">
        <v>0</v>
      </c>
      <c r="I27" s="25">
        <v>0</v>
      </c>
      <c r="J27" s="25">
        <v>0</v>
      </c>
      <c r="K27" s="25">
        <v>0</v>
      </c>
      <c r="L27" s="25">
        <v>0</v>
      </c>
      <c r="M27" s="25">
        <v>0</v>
      </c>
      <c r="N27" s="25">
        <v>0</v>
      </c>
      <c r="O27" s="25">
        <v>19012130</v>
      </c>
    </row>
    <row r="28" spans="1:17" x14ac:dyDescent="0.25">
      <c r="A28" s="43" t="str" vm="131">
        <f>CUBEMEMBER("ThisWorkbookDataModel",{"[fActualAndBudget].[StavkaKategorija].&amp;[1.15. Одложено плаќање на трошоци и приходи (ПВР)]"})</f>
        <v>1.15. Одложено плаќање на трошоци и приходи (ПВР)</v>
      </c>
      <c r="B28" s="25" vm="915">
        <f>BS_predviduvanje!C19</f>
        <v>98643026</v>
      </c>
      <c r="C28" s="25">
        <f>BS_predviduvanje!Q19</f>
        <v>93908685</v>
      </c>
      <c r="D28" s="243">
        <f>C28-D44-392981</f>
        <v>93515704</v>
      </c>
      <c r="E28" s="243">
        <f t="shared" ref="E28:O28" si="8">D28-E44-392981</f>
        <v>93122723</v>
      </c>
      <c r="F28" s="243">
        <f t="shared" si="8"/>
        <v>92729742</v>
      </c>
      <c r="G28" s="243">
        <f t="shared" si="8"/>
        <v>92336761</v>
      </c>
      <c r="H28" s="243">
        <f t="shared" si="8"/>
        <v>91943780</v>
      </c>
      <c r="I28" s="243">
        <f t="shared" si="8"/>
        <v>91550799</v>
      </c>
      <c r="J28" s="243">
        <f t="shared" si="8"/>
        <v>91157818</v>
      </c>
      <c r="K28" s="243">
        <f t="shared" si="8"/>
        <v>90764837</v>
      </c>
      <c r="L28" s="243">
        <f t="shared" si="8"/>
        <v>90371856</v>
      </c>
      <c r="M28" s="243">
        <f t="shared" si="8"/>
        <v>89978875</v>
      </c>
      <c r="N28" s="243">
        <f t="shared" si="8"/>
        <v>89389019</v>
      </c>
      <c r="O28" s="243">
        <f t="shared" si="8"/>
        <v>88799163</v>
      </c>
      <c r="P28" s="1"/>
    </row>
    <row r="29" spans="1:17" x14ac:dyDescent="0.25">
      <c r="A29" s="50" t="s">
        <v>181</v>
      </c>
      <c r="B29" s="29">
        <f t="shared" ref="B29:O29" si="9">SUM(B27:B28)</f>
        <v>108814937</v>
      </c>
      <c r="C29" s="29">
        <f>SUM(C27:C28)</f>
        <v>93908685</v>
      </c>
      <c r="D29" s="29">
        <f t="shared" si="9"/>
        <v>93515704</v>
      </c>
      <c r="E29" s="29">
        <f t="shared" si="9"/>
        <v>93122723</v>
      </c>
      <c r="F29" s="29">
        <f t="shared" si="9"/>
        <v>92729742</v>
      </c>
      <c r="G29" s="29">
        <f t="shared" si="9"/>
        <v>92336761</v>
      </c>
      <c r="H29" s="29">
        <f t="shared" si="9"/>
        <v>91943780</v>
      </c>
      <c r="I29" s="29">
        <f t="shared" si="9"/>
        <v>91550799</v>
      </c>
      <c r="J29" s="29">
        <f t="shared" si="9"/>
        <v>91157818</v>
      </c>
      <c r="K29" s="29">
        <f t="shared" si="9"/>
        <v>90764837</v>
      </c>
      <c r="L29" s="29">
        <f t="shared" si="9"/>
        <v>90371856</v>
      </c>
      <c r="M29" s="29">
        <f t="shared" si="9"/>
        <v>89978875</v>
      </c>
      <c r="N29" s="29">
        <f t="shared" si="9"/>
        <v>89389019</v>
      </c>
      <c r="O29" s="51">
        <f t="shared" si="9"/>
        <v>107811293</v>
      </c>
    </row>
    <row r="30" spans="1:17" x14ac:dyDescent="0.25">
      <c r="A30" s="43" t="str" vm="130">
        <f>CUBEMEMBER("ThisWorkbookDataModel",{"[fActualAndBudget].[StavkaKategorija].&amp;[1.17. Долгорочни обврски]"})</f>
        <v>1.17. Долгорочни обврски</v>
      </c>
      <c r="B30" s="25" vm="884">
        <f>BS_predviduvanje!C21</f>
        <v>86277800</v>
      </c>
      <c r="C30" s="25">
        <f>BS_predviduvanje!Q21</f>
        <v>86277800</v>
      </c>
      <c r="D30" s="25">
        <f t="shared" ref="D30:O30" si="10">C30</f>
        <v>86277800</v>
      </c>
      <c r="E30" s="25">
        <f t="shared" si="10"/>
        <v>86277800</v>
      </c>
      <c r="F30" s="25">
        <f t="shared" si="10"/>
        <v>86277800</v>
      </c>
      <c r="G30" s="25">
        <f t="shared" si="10"/>
        <v>86277800</v>
      </c>
      <c r="H30" s="25">
        <f t="shared" si="10"/>
        <v>86277800</v>
      </c>
      <c r="I30" s="25">
        <f t="shared" si="10"/>
        <v>86277800</v>
      </c>
      <c r="J30" s="25">
        <f t="shared" si="10"/>
        <v>86277800</v>
      </c>
      <c r="K30" s="25">
        <f t="shared" si="10"/>
        <v>86277800</v>
      </c>
      <c r="L30" s="25">
        <f t="shared" si="10"/>
        <v>86277800</v>
      </c>
      <c r="M30" s="25">
        <f t="shared" si="10"/>
        <v>86277800</v>
      </c>
      <c r="N30" s="25">
        <f t="shared" si="10"/>
        <v>86277800</v>
      </c>
      <c r="O30" s="47">
        <f t="shared" si="10"/>
        <v>86277800</v>
      </c>
    </row>
    <row r="31" spans="1:17" x14ac:dyDescent="0.25">
      <c r="A31" s="43" t="e">
        <f>CUBEMEMBER("ThisWorkbookDataModel",{"[fActualAndBudget].[StavkaKategorija].&amp;[1.18. Други долгорочни обврски и резервирања за ризици и трошоци]"})</f>
        <v>#N/A</v>
      </c>
      <c r="B31" s="169"/>
      <c r="C31" s="169"/>
      <c r="D31" s="25"/>
      <c r="E31" s="25"/>
      <c r="F31" s="44"/>
      <c r="G31" s="26"/>
      <c r="H31" s="45"/>
      <c r="I31" s="45"/>
      <c r="J31" s="45"/>
      <c r="K31" s="45"/>
      <c r="L31" s="45"/>
      <c r="M31" s="45"/>
      <c r="N31" s="45"/>
      <c r="O31" s="46"/>
    </row>
    <row r="32" spans="1:17" x14ac:dyDescent="0.25">
      <c r="A32" s="50" t="s">
        <v>182</v>
      </c>
      <c r="B32" s="29">
        <f t="shared" ref="B32:O32" si="11">SUM(B30:B31)</f>
        <v>86277800</v>
      </c>
      <c r="C32" s="29">
        <f>SUM(C30:C31)</f>
        <v>86277800</v>
      </c>
      <c r="D32" s="29">
        <f t="shared" si="11"/>
        <v>86277800</v>
      </c>
      <c r="E32" s="29">
        <f t="shared" si="11"/>
        <v>86277800</v>
      </c>
      <c r="F32" s="29">
        <f t="shared" si="11"/>
        <v>86277800</v>
      </c>
      <c r="G32" s="29">
        <f t="shared" si="11"/>
        <v>86277800</v>
      </c>
      <c r="H32" s="29">
        <f t="shared" si="11"/>
        <v>86277800</v>
      </c>
      <c r="I32" s="29">
        <f t="shared" si="11"/>
        <v>86277800</v>
      </c>
      <c r="J32" s="29">
        <f t="shared" si="11"/>
        <v>86277800</v>
      </c>
      <c r="K32" s="29">
        <f t="shared" si="11"/>
        <v>86277800</v>
      </c>
      <c r="L32" s="29">
        <f t="shared" si="11"/>
        <v>86277800</v>
      </c>
      <c r="M32" s="29">
        <f t="shared" si="11"/>
        <v>86277800</v>
      </c>
      <c r="N32" s="29">
        <f t="shared" si="11"/>
        <v>86277800</v>
      </c>
      <c r="O32" s="51">
        <f t="shared" si="11"/>
        <v>86277800</v>
      </c>
    </row>
    <row r="33" spans="1:16" x14ac:dyDescent="0.25">
      <c r="A33" s="50" t="s">
        <v>183</v>
      </c>
      <c r="B33" s="29">
        <f t="shared" ref="B33:O33" si="12">SUM(B32,B29)</f>
        <v>195092737</v>
      </c>
      <c r="C33" s="29">
        <f>SUM(C32,C29)</f>
        <v>180186485</v>
      </c>
      <c r="D33" s="29">
        <f t="shared" si="12"/>
        <v>179793504</v>
      </c>
      <c r="E33" s="29">
        <f t="shared" si="12"/>
        <v>179400523</v>
      </c>
      <c r="F33" s="29">
        <f t="shared" si="12"/>
        <v>179007542</v>
      </c>
      <c r="G33" s="29">
        <f t="shared" si="12"/>
        <v>178614561</v>
      </c>
      <c r="H33" s="29">
        <f t="shared" si="12"/>
        <v>178221580</v>
      </c>
      <c r="I33" s="29">
        <f t="shared" si="12"/>
        <v>177828599</v>
      </c>
      <c r="J33" s="29">
        <f t="shared" si="12"/>
        <v>177435618</v>
      </c>
      <c r="K33" s="29">
        <f t="shared" si="12"/>
        <v>177042637</v>
      </c>
      <c r="L33" s="29">
        <f t="shared" si="12"/>
        <v>176649656</v>
      </c>
      <c r="M33" s="29">
        <f t="shared" si="12"/>
        <v>176256675</v>
      </c>
      <c r="N33" s="29">
        <f t="shared" si="12"/>
        <v>175666819</v>
      </c>
      <c r="O33" s="51">
        <f t="shared" si="12"/>
        <v>194089093</v>
      </c>
    </row>
    <row r="34" spans="1:16" x14ac:dyDescent="0.25">
      <c r="A34" s="43" t="str" vm="126">
        <f>CUBEMEMBER("ThisWorkbookDataModel",{"[fActualAndBudget].[StavkaKategorija].&amp;[1.21. Капитал]"})</f>
        <v>1.21. Капитал</v>
      </c>
      <c r="B34" s="25" vm="921">
        <f>BS_predviduvanje!C27</f>
        <v>126859046</v>
      </c>
      <c r="C34" s="25">
        <f>BS_predviduvanje!Q27</f>
        <v>126859046</v>
      </c>
      <c r="D34" s="25">
        <f t="shared" ref="D34:O34" si="13">C34</f>
        <v>126859046</v>
      </c>
      <c r="E34" s="25">
        <f t="shared" si="13"/>
        <v>126859046</v>
      </c>
      <c r="F34" s="25">
        <f t="shared" si="13"/>
        <v>126859046</v>
      </c>
      <c r="G34" s="25">
        <f t="shared" si="13"/>
        <v>126859046</v>
      </c>
      <c r="H34" s="25">
        <f t="shared" si="13"/>
        <v>126859046</v>
      </c>
      <c r="I34" s="25">
        <f t="shared" si="13"/>
        <v>126859046</v>
      </c>
      <c r="J34" s="25">
        <f t="shared" si="13"/>
        <v>126859046</v>
      </c>
      <c r="K34" s="25">
        <f t="shared" si="13"/>
        <v>126859046</v>
      </c>
      <c r="L34" s="25">
        <f t="shared" si="13"/>
        <v>126859046</v>
      </c>
      <c r="M34" s="25">
        <f t="shared" si="13"/>
        <v>126859046</v>
      </c>
      <c r="N34" s="25">
        <f t="shared" si="13"/>
        <v>126859046</v>
      </c>
      <c r="O34" s="47">
        <f t="shared" si="13"/>
        <v>126859046</v>
      </c>
    </row>
    <row r="35" spans="1:16" x14ac:dyDescent="0.25">
      <c r="A35" s="43" t="str" vm="125">
        <f>CUBEMEMBER("ThisWorkbookDataModel",{"[fActualAndBudget].[StavkaKategorija].&amp;[1.22. Акумулирана добивка]"})</f>
        <v>1.22. Акумулирана добивка</v>
      </c>
      <c r="B35" s="25">
        <f>BS_predviduvanje!C29-B38</f>
        <v>249674519</v>
      </c>
      <c r="C35" s="25">
        <f>BS_predviduvanje!Q29</f>
        <v>292646501</v>
      </c>
      <c r="D35" s="25">
        <f>C35+C38</f>
        <v>346450276</v>
      </c>
      <c r="E35" s="25">
        <f>D35</f>
        <v>346450276</v>
      </c>
      <c r="F35" s="25">
        <f t="shared" ref="F35:O36" si="14">E35</f>
        <v>346450276</v>
      </c>
      <c r="G35" s="25">
        <f t="shared" si="14"/>
        <v>346450276</v>
      </c>
      <c r="H35" s="25">
        <f t="shared" si="14"/>
        <v>346450276</v>
      </c>
      <c r="I35" s="25">
        <f t="shared" si="14"/>
        <v>346450276</v>
      </c>
      <c r="J35" s="25">
        <f t="shared" si="14"/>
        <v>346450276</v>
      </c>
      <c r="K35" s="25">
        <f t="shared" si="14"/>
        <v>346450276</v>
      </c>
      <c r="L35" s="25">
        <f t="shared" si="14"/>
        <v>346450276</v>
      </c>
      <c r="M35" s="25">
        <f t="shared" si="14"/>
        <v>346450276</v>
      </c>
      <c r="N35" s="25">
        <f t="shared" si="14"/>
        <v>346450276</v>
      </c>
      <c r="O35" s="47">
        <f t="shared" si="14"/>
        <v>346450276</v>
      </c>
    </row>
    <row r="36" spans="1:16" x14ac:dyDescent="0.25">
      <c r="A36" s="43" t="str" vm="132">
        <f>CUBEMEMBER("ThisWorkbookDataModel",{"[fActualAndBudget].[StavkaKategorija].&amp;[1.23. Резерви]"})</f>
        <v>1.23. Резерви</v>
      </c>
      <c r="B36" s="25" vm="877">
        <f>BS_predviduvanje!C31</f>
        <v>162977979</v>
      </c>
      <c r="C36" s="25">
        <f>BS_predviduvanje!Q31</f>
        <v>162977979</v>
      </c>
      <c r="D36" s="25">
        <f>C36</f>
        <v>162977979</v>
      </c>
      <c r="E36" s="25">
        <f>D36</f>
        <v>162977979</v>
      </c>
      <c r="F36" s="25">
        <f t="shared" si="14"/>
        <v>162977979</v>
      </c>
      <c r="G36" s="25">
        <f t="shared" si="14"/>
        <v>162977979</v>
      </c>
      <c r="H36" s="25">
        <f t="shared" si="14"/>
        <v>162977979</v>
      </c>
      <c r="I36" s="25">
        <f t="shared" si="14"/>
        <v>162977979</v>
      </c>
      <c r="J36" s="25">
        <f t="shared" si="14"/>
        <v>162977979</v>
      </c>
      <c r="K36" s="25">
        <f t="shared" si="14"/>
        <v>162977979</v>
      </c>
      <c r="L36" s="25">
        <f t="shared" si="14"/>
        <v>162977979</v>
      </c>
      <c r="M36" s="25">
        <f t="shared" si="14"/>
        <v>162977979</v>
      </c>
      <c r="N36" s="25">
        <f t="shared" si="14"/>
        <v>162977979</v>
      </c>
      <c r="O36" s="47">
        <f t="shared" si="14"/>
        <v>162977979</v>
      </c>
    </row>
    <row r="37" spans="1:16" x14ac:dyDescent="0.25">
      <c r="A37" s="43" t="e">
        <f>CUBEMEMBER("ThisWorkbookDataModel",{"[fActualAndBudget].[StavkaKategorija].&amp;[1.24. Ревалоризациони резерви]"})</f>
        <v>#N/A</v>
      </c>
      <c r="B37" s="169"/>
      <c r="C37" s="169"/>
      <c r="D37" s="25"/>
      <c r="E37" s="25"/>
      <c r="F37" s="44"/>
      <c r="G37" s="26"/>
      <c r="H37" s="45"/>
      <c r="I37" s="45"/>
      <c r="J37" s="45"/>
      <c r="K37" s="45"/>
      <c r="L37" s="45"/>
      <c r="M37" s="45"/>
      <c r="N37" s="45"/>
      <c r="O37" s="46"/>
    </row>
    <row r="38" spans="1:16" x14ac:dyDescent="0.25">
      <c r="A38" s="43" t="str" vm="134">
        <f>CUBEMEMBER("ThisWorkbookDataModel",{"[fActualAndBudget].[StavkaKategorija].&amp;[1.25. Добивка / Загуба за деловната година]"})</f>
        <v>1.25. Добивка / Загуба за деловната година</v>
      </c>
      <c r="B38" s="25">
        <f>'2. Bilans Na Uspeh'!C113</f>
        <v>42971982</v>
      </c>
      <c r="C38" s="25">
        <f>'2. Bilans Na Uspeh'!D113</f>
        <v>53803775</v>
      </c>
      <c r="D38" s="25">
        <f>SUM('BU_pomosen_meseceн CUBE'!$C$59:C59)</f>
        <v>-14669195</v>
      </c>
      <c r="E38" s="25">
        <f>SUM('BU_pomosen_meseceн CUBE'!$C$59:D59)</f>
        <v>47671184</v>
      </c>
      <c r="F38" s="25">
        <f>SUM('BU_pomosen_meseceн CUBE'!$C$59:E59)</f>
        <v>121468081</v>
      </c>
      <c r="G38" s="25">
        <f>SUM('BU_pomosen_meseceн CUBE'!$C$59:F59)</f>
        <v>108475852</v>
      </c>
      <c r="H38" s="25">
        <f>SUM('BU_pomosen_meseceн CUBE'!$C$59:G59)</f>
        <v>98116677</v>
      </c>
      <c r="I38" s="25">
        <f>SUM('BU_pomosen_meseceн CUBE'!$C$59:H59)</f>
        <v>87513538</v>
      </c>
      <c r="J38" s="25">
        <f>SUM('BU_pomosen_meseceн CUBE'!$C$59:I59)</f>
        <v>64821323</v>
      </c>
      <c r="K38" s="25">
        <f>SUM('BU_pomosen_meseceн CUBE'!$C$59:J59)</f>
        <v>47413077</v>
      </c>
      <c r="L38" s="25">
        <f>SUM('BU_pomosen_meseceн CUBE'!$C$59:K59)</f>
        <v>35948743</v>
      </c>
      <c r="M38" s="25">
        <f>SUM('BU_pomosen_meseceн CUBE'!$C$59:L59)</f>
        <v>23354655</v>
      </c>
      <c r="N38" s="25">
        <f>SUM('BU_pomosen_meseceн CUBE'!$C$59:M59)</f>
        <v>9300754</v>
      </c>
      <c r="O38" s="25">
        <f>SUM('BU_pomosen_meseceн CUBE'!$C$59:N59)</f>
        <v>1378822</v>
      </c>
    </row>
    <row r="39" spans="1:16" x14ac:dyDescent="0.25">
      <c r="A39" s="50" t="s">
        <v>184</v>
      </c>
      <c r="B39" s="29">
        <f>SUM(B34:B38)</f>
        <v>582483526</v>
      </c>
      <c r="C39" s="29">
        <f>SUM(C34:C38)</f>
        <v>636287301</v>
      </c>
      <c r="D39" s="29">
        <f t="shared" ref="D39:O39" si="15">SUM(D34:D38)</f>
        <v>621618106</v>
      </c>
      <c r="E39" s="29">
        <f t="shared" si="15"/>
        <v>683958485</v>
      </c>
      <c r="F39" s="29">
        <f t="shared" si="15"/>
        <v>757755382</v>
      </c>
      <c r="G39" s="29">
        <f t="shared" si="15"/>
        <v>744763153</v>
      </c>
      <c r="H39" s="29">
        <f t="shared" si="15"/>
        <v>734403978</v>
      </c>
      <c r="I39" s="29">
        <f t="shared" si="15"/>
        <v>723800839</v>
      </c>
      <c r="J39" s="29">
        <f t="shared" si="15"/>
        <v>701108624</v>
      </c>
      <c r="K39" s="29">
        <f t="shared" si="15"/>
        <v>683700378</v>
      </c>
      <c r="L39" s="29">
        <f t="shared" si="15"/>
        <v>672236044</v>
      </c>
      <c r="M39" s="29">
        <f t="shared" si="15"/>
        <v>659641956</v>
      </c>
      <c r="N39" s="29">
        <f t="shared" si="15"/>
        <v>645588055</v>
      </c>
      <c r="O39" s="51">
        <f t="shared" si="15"/>
        <v>637666123</v>
      </c>
    </row>
    <row r="40" spans="1:16" x14ac:dyDescent="0.25">
      <c r="A40" s="58" t="s">
        <v>185</v>
      </c>
      <c r="B40" s="32">
        <f>SUM(B33,B39)</f>
        <v>777576263</v>
      </c>
      <c r="C40" s="32">
        <f>SUM(C33,C39)</f>
        <v>816473786</v>
      </c>
      <c r="D40" s="32">
        <f t="shared" ref="D40:O40" si="16">SUM(D33,D39)</f>
        <v>801411610</v>
      </c>
      <c r="E40" s="32">
        <f t="shared" si="16"/>
        <v>863359008</v>
      </c>
      <c r="F40" s="32">
        <f t="shared" si="16"/>
        <v>936762924</v>
      </c>
      <c r="G40" s="32">
        <f t="shared" si="16"/>
        <v>923377714</v>
      </c>
      <c r="H40" s="32">
        <f t="shared" si="16"/>
        <v>912625558</v>
      </c>
      <c r="I40" s="32">
        <f t="shared" si="16"/>
        <v>901629438</v>
      </c>
      <c r="J40" s="32">
        <f t="shared" si="16"/>
        <v>878544242</v>
      </c>
      <c r="K40" s="32">
        <f t="shared" si="16"/>
        <v>860743015</v>
      </c>
      <c r="L40" s="32">
        <f t="shared" si="16"/>
        <v>848885700</v>
      </c>
      <c r="M40" s="32">
        <f t="shared" si="16"/>
        <v>835898631</v>
      </c>
      <c r="N40" s="32">
        <f t="shared" si="16"/>
        <v>821254874</v>
      </c>
      <c r="O40" s="59">
        <f t="shared" si="16"/>
        <v>831755216</v>
      </c>
    </row>
    <row r="41" spans="1:16" x14ac:dyDescent="0.25">
      <c r="A41" s="60" t="str" vm="129">
        <f>CUBEMEMBER("ThisWorkbookDataModel",{"[fActualAndBudget].[StavkaKategorija].&amp;[1.28. Вонбилансна пасива]"})</f>
        <v>1.28. Вонбилансна пасива</v>
      </c>
      <c r="B41" s="25" vm="228">
        <f>BS_predviduvanje!B37</f>
        <v>0</v>
      </c>
      <c r="C41" s="25" t="str" vm="917">
        <f>BS_predviduvanje!C37</f>
        <v/>
      </c>
      <c r="D41" s="61" t="str" vm="917">
        <f>C41</f>
        <v/>
      </c>
      <c r="E41" s="61" t="str" vm="917">
        <f t="shared" ref="E41:O41" si="17">D41</f>
        <v/>
      </c>
      <c r="F41" s="61" t="str" vm="917">
        <f t="shared" si="17"/>
        <v/>
      </c>
      <c r="G41" s="61" t="str" vm="917">
        <f t="shared" si="17"/>
        <v/>
      </c>
      <c r="H41" s="61" t="str" vm="917">
        <f t="shared" si="17"/>
        <v/>
      </c>
      <c r="I41" s="61" t="str" vm="917">
        <f t="shared" si="17"/>
        <v/>
      </c>
      <c r="J41" s="61" t="str" vm="917">
        <f t="shared" si="17"/>
        <v/>
      </c>
      <c r="K41" s="61" t="str" vm="917">
        <f t="shared" si="17"/>
        <v/>
      </c>
      <c r="L41" s="61" t="str" vm="917">
        <f t="shared" si="17"/>
        <v/>
      </c>
      <c r="M41" s="61" t="str" vm="917">
        <f t="shared" si="17"/>
        <v/>
      </c>
      <c r="N41" s="61" t="str" vm="917">
        <f t="shared" si="17"/>
        <v/>
      </c>
      <c r="O41" s="61" t="str" vm="917">
        <f t="shared" si="17"/>
        <v/>
      </c>
    </row>
    <row r="42" spans="1:16" x14ac:dyDescent="0.25">
      <c r="A42"/>
      <c r="B42" s="1">
        <f t="shared" ref="B42:O42" si="18">B40-B23</f>
        <v>0</v>
      </c>
      <c r="C42" s="1">
        <f t="shared" si="18"/>
        <v>0</v>
      </c>
      <c r="D42" s="1">
        <f t="shared" si="18"/>
        <v>0</v>
      </c>
      <c r="E42" s="1">
        <f t="shared" si="18"/>
        <v>0</v>
      </c>
      <c r="F42" s="1">
        <f t="shared" si="18"/>
        <v>0</v>
      </c>
      <c r="G42" s="1">
        <f t="shared" si="18"/>
        <v>0</v>
      </c>
      <c r="H42" s="1">
        <f t="shared" si="18"/>
        <v>0</v>
      </c>
      <c r="I42" s="1">
        <f t="shared" si="18"/>
        <v>0</v>
      </c>
      <c r="J42" s="1">
        <f t="shared" si="18"/>
        <v>0</v>
      </c>
      <c r="K42" s="1">
        <f t="shared" si="18"/>
        <v>0</v>
      </c>
      <c r="L42" s="1">
        <f t="shared" si="18"/>
        <v>0</v>
      </c>
      <c r="M42" s="1">
        <f t="shared" si="18"/>
        <v>0</v>
      </c>
      <c r="N42" s="1">
        <f t="shared" si="18"/>
        <v>0</v>
      </c>
      <c r="O42" s="1">
        <f t="shared" si="18"/>
        <v>0</v>
      </c>
      <c r="P42" t="s">
        <v>1102</v>
      </c>
    </row>
    <row r="43" spans="1:16" x14ac:dyDescent="0.25">
      <c r="A43"/>
      <c r="B43"/>
      <c r="C43" s="1"/>
      <c r="D43" s="1">
        <f>D42-C42</f>
        <v>0</v>
      </c>
      <c r="E43" s="1">
        <f>E42-D42</f>
        <v>0</v>
      </c>
      <c r="F43" s="1">
        <f t="shared" ref="F43:K43" si="19">F42-E42</f>
        <v>0</v>
      </c>
      <c r="G43" s="1">
        <f t="shared" si="19"/>
        <v>0</v>
      </c>
      <c r="H43" s="1">
        <f t="shared" si="19"/>
        <v>0</v>
      </c>
      <c r="I43" s="1">
        <f t="shared" si="19"/>
        <v>0</v>
      </c>
      <c r="J43" s="1">
        <f t="shared" si="19"/>
        <v>0</v>
      </c>
      <c r="K43" s="1">
        <f t="shared" si="19"/>
        <v>0</v>
      </c>
      <c r="L43" s="1">
        <f>L42-K42</f>
        <v>0</v>
      </c>
      <c r="M43" s="1">
        <f>M42-L42</f>
        <v>0</v>
      </c>
      <c r="N43" s="1">
        <f>N42-M42</f>
        <v>0</v>
      </c>
      <c r="O43" s="1">
        <f>O42-N42</f>
        <v>0</v>
      </c>
      <c r="P43" t="s">
        <v>1102</v>
      </c>
    </row>
    <row r="44" spans="1:16" x14ac:dyDescent="0.25">
      <c r="A44" t="s">
        <v>233</v>
      </c>
      <c r="B44"/>
      <c r="C44" s="1"/>
      <c r="M44" s="95"/>
      <c r="N44" s="242">
        <v>196875</v>
      </c>
      <c r="O44" s="242">
        <v>196875</v>
      </c>
      <c r="P44" t="s">
        <v>1103</v>
      </c>
    </row>
    <row r="45" spans="1:16" x14ac:dyDescent="0.25">
      <c r="A45"/>
      <c r="B45"/>
    </row>
    <row r="46" spans="1:16" x14ac:dyDescent="0.25">
      <c r="A46"/>
      <c r="B46"/>
    </row>
    <row r="47" spans="1:16" x14ac:dyDescent="0.25">
      <c r="A47"/>
      <c r="B47" s="1"/>
    </row>
    <row r="48" spans="1:16" x14ac:dyDescent="0.25">
      <c r="A48"/>
      <c r="B48"/>
    </row>
    <row r="49" spans="1:2" x14ac:dyDescent="0.25">
      <c r="A49"/>
      <c r="B49"/>
    </row>
    <row r="50" spans="1:2" x14ac:dyDescent="0.25">
      <c r="A50"/>
      <c r="B50"/>
    </row>
    <row r="51" spans="1:2" x14ac:dyDescent="0.25">
      <c r="A51"/>
      <c r="B51"/>
    </row>
    <row r="52" spans="1:2" x14ac:dyDescent="0.25">
      <c r="A52"/>
      <c r="B52"/>
    </row>
    <row r="53" spans="1:2" x14ac:dyDescent="0.25">
      <c r="A53"/>
      <c r="B53"/>
    </row>
    <row r="54" spans="1:2" x14ac:dyDescent="0.25">
      <c r="A54"/>
      <c r="B54"/>
    </row>
    <row r="55" spans="1:2" x14ac:dyDescent="0.25">
      <c r="A55"/>
      <c r="B55"/>
    </row>
    <row r="56" spans="1:2" x14ac:dyDescent="0.25">
      <c r="A56"/>
      <c r="B56"/>
    </row>
    <row r="57" spans="1:2" x14ac:dyDescent="0.25">
      <c r="A57"/>
      <c r="B57"/>
    </row>
    <row r="58" spans="1:2" x14ac:dyDescent="0.25">
      <c r="A58"/>
      <c r="B58"/>
    </row>
    <row r="59" spans="1:2" x14ac:dyDescent="0.25">
      <c r="A59"/>
      <c r="B59"/>
    </row>
    <row r="60" spans="1:2" x14ac:dyDescent="0.25">
      <c r="A60"/>
      <c r="B60"/>
    </row>
    <row r="61" spans="1:2" x14ac:dyDescent="0.25">
      <c r="A61"/>
      <c r="B61"/>
    </row>
    <row r="62" spans="1:2" x14ac:dyDescent="0.25">
      <c r="A62"/>
      <c r="B62"/>
    </row>
    <row r="63" spans="1:2" x14ac:dyDescent="0.25">
      <c r="A63"/>
      <c r="B63"/>
    </row>
    <row r="64" spans="1:2" x14ac:dyDescent="0.25">
      <c r="A64"/>
      <c r="B64"/>
    </row>
    <row r="65" spans="1:2" x14ac:dyDescent="0.25">
      <c r="A65"/>
      <c r="B65"/>
    </row>
    <row r="66" spans="1:2" x14ac:dyDescent="0.25">
      <c r="A66"/>
      <c r="B66"/>
    </row>
    <row r="67" spans="1:2" x14ac:dyDescent="0.25">
      <c r="A67"/>
      <c r="B67"/>
    </row>
    <row r="68" spans="1:2" x14ac:dyDescent="0.25">
      <c r="A68"/>
      <c r="B68"/>
    </row>
    <row r="69" spans="1:2" x14ac:dyDescent="0.25">
      <c r="A69"/>
      <c r="B69"/>
    </row>
    <row r="70" spans="1:2" x14ac:dyDescent="0.25">
      <c r="A70"/>
      <c r="B70"/>
    </row>
    <row r="71" spans="1:2" x14ac:dyDescent="0.25">
      <c r="A71"/>
      <c r="B71"/>
    </row>
    <row r="72" spans="1:2" x14ac:dyDescent="0.25">
      <c r="A72"/>
      <c r="B72"/>
    </row>
    <row r="73" spans="1:2" x14ac:dyDescent="0.25">
      <c r="A73"/>
      <c r="B73"/>
    </row>
    <row r="74" spans="1:2" x14ac:dyDescent="0.25">
      <c r="A74"/>
      <c r="B74"/>
    </row>
    <row r="75" spans="1:2" x14ac:dyDescent="0.25">
      <c r="A75"/>
      <c r="B75"/>
    </row>
    <row r="76" spans="1:2" x14ac:dyDescent="0.25">
      <c r="A76"/>
      <c r="B76"/>
    </row>
    <row r="77" spans="1:2" x14ac:dyDescent="0.25">
      <c r="A77"/>
      <c r="B77"/>
    </row>
    <row r="78" spans="1:2" x14ac:dyDescent="0.25">
      <c r="A78"/>
      <c r="B78"/>
    </row>
    <row r="79" spans="1:2" x14ac:dyDescent="0.25">
      <c r="A79"/>
      <c r="B79"/>
    </row>
    <row r="80" spans="1:2" x14ac:dyDescent="0.25">
      <c r="A80"/>
      <c r="B80"/>
    </row>
    <row r="81" spans="1:2" x14ac:dyDescent="0.25">
      <c r="A81"/>
      <c r="B81"/>
    </row>
    <row r="82" spans="1:2" x14ac:dyDescent="0.25">
      <c r="A82"/>
      <c r="B82"/>
    </row>
    <row r="83" spans="1:2" x14ac:dyDescent="0.25">
      <c r="A83"/>
      <c r="B83"/>
    </row>
    <row r="84" spans="1:2" x14ac:dyDescent="0.25">
      <c r="A84"/>
      <c r="B84"/>
    </row>
    <row r="85" spans="1:2" x14ac:dyDescent="0.25">
      <c r="A85"/>
      <c r="B85"/>
    </row>
    <row r="86" spans="1:2" x14ac:dyDescent="0.25">
      <c r="A86"/>
      <c r="B86"/>
    </row>
    <row r="87" spans="1:2" x14ac:dyDescent="0.25">
      <c r="A87"/>
      <c r="B87"/>
    </row>
    <row r="88" spans="1:2" x14ac:dyDescent="0.25">
      <c r="A88"/>
      <c r="B88"/>
    </row>
    <row r="89" spans="1:2" x14ac:dyDescent="0.25">
      <c r="A89"/>
      <c r="B89"/>
    </row>
    <row r="90" spans="1:2" x14ac:dyDescent="0.25">
      <c r="A90"/>
      <c r="B90"/>
    </row>
    <row r="91" spans="1:2" x14ac:dyDescent="0.25">
      <c r="A91"/>
      <c r="B91"/>
    </row>
    <row r="92" spans="1:2" x14ac:dyDescent="0.25">
      <c r="A92"/>
      <c r="B92"/>
    </row>
    <row r="93" spans="1:2" x14ac:dyDescent="0.25">
      <c r="A93"/>
      <c r="B93"/>
    </row>
    <row r="94" spans="1:2" x14ac:dyDescent="0.25">
      <c r="A94"/>
      <c r="B94"/>
    </row>
    <row r="95" spans="1:2" x14ac:dyDescent="0.25">
      <c r="A95"/>
      <c r="B95"/>
    </row>
    <row r="96" spans="1:2" x14ac:dyDescent="0.25">
      <c r="A96"/>
      <c r="B96"/>
    </row>
    <row r="97" spans="1:2" x14ac:dyDescent="0.25">
      <c r="A97"/>
      <c r="B97"/>
    </row>
    <row r="98" spans="1:2" x14ac:dyDescent="0.25">
      <c r="A98"/>
      <c r="B98"/>
    </row>
    <row r="99" spans="1:2" x14ac:dyDescent="0.25">
      <c r="A99"/>
      <c r="B99"/>
    </row>
    <row r="100" spans="1:2" x14ac:dyDescent="0.25">
      <c r="A100"/>
      <c r="B100"/>
    </row>
    <row r="101" spans="1:2" x14ac:dyDescent="0.25">
      <c r="A101"/>
      <c r="B101"/>
    </row>
    <row r="102" spans="1:2" x14ac:dyDescent="0.25">
      <c r="A102"/>
      <c r="B102"/>
    </row>
    <row r="103" spans="1:2" x14ac:dyDescent="0.25">
      <c r="A103"/>
      <c r="B103"/>
    </row>
    <row r="104" spans="1:2" x14ac:dyDescent="0.25">
      <c r="A104"/>
      <c r="B104"/>
    </row>
    <row r="105" spans="1:2" x14ac:dyDescent="0.25">
      <c r="A105"/>
      <c r="B105"/>
    </row>
    <row r="106" spans="1:2" x14ac:dyDescent="0.25">
      <c r="A106"/>
      <c r="B106"/>
    </row>
    <row r="107" spans="1:2" x14ac:dyDescent="0.25">
      <c r="A107"/>
      <c r="B107"/>
    </row>
    <row r="108" spans="1:2" x14ac:dyDescent="0.25">
      <c r="A108"/>
      <c r="B108"/>
    </row>
    <row r="109" spans="1:2" x14ac:dyDescent="0.25">
      <c r="A109"/>
      <c r="B109"/>
    </row>
    <row r="110" spans="1:2" x14ac:dyDescent="0.25">
      <c r="A110"/>
      <c r="B110"/>
    </row>
    <row r="111" spans="1:2" x14ac:dyDescent="0.25">
      <c r="A111"/>
      <c r="B111"/>
    </row>
    <row r="112" spans="1:2" x14ac:dyDescent="0.25">
      <c r="A112"/>
      <c r="B112"/>
    </row>
    <row r="113" spans="1:2" x14ac:dyDescent="0.25">
      <c r="A113"/>
      <c r="B113"/>
    </row>
    <row r="114" spans="1:2" x14ac:dyDescent="0.25">
      <c r="A114"/>
      <c r="B114"/>
    </row>
    <row r="115" spans="1:2" x14ac:dyDescent="0.25">
      <c r="A115"/>
      <c r="B115"/>
    </row>
    <row r="116" spans="1:2" x14ac:dyDescent="0.25">
      <c r="A116"/>
      <c r="B116"/>
    </row>
    <row r="117" spans="1:2" x14ac:dyDescent="0.25">
      <c r="A117"/>
      <c r="B117"/>
    </row>
    <row r="118" spans="1:2" x14ac:dyDescent="0.25">
      <c r="A118"/>
      <c r="B118"/>
    </row>
    <row r="119" spans="1:2" x14ac:dyDescent="0.25">
      <c r="A119"/>
      <c r="B119"/>
    </row>
    <row r="120" spans="1:2" x14ac:dyDescent="0.25">
      <c r="A120"/>
      <c r="B120"/>
    </row>
    <row r="121" spans="1:2" x14ac:dyDescent="0.25">
      <c r="A121"/>
      <c r="B121"/>
    </row>
    <row r="122" spans="1:2" x14ac:dyDescent="0.25">
      <c r="A122"/>
      <c r="B122"/>
    </row>
    <row r="123" spans="1:2" x14ac:dyDescent="0.25">
      <c r="A123"/>
      <c r="B123"/>
    </row>
    <row r="124" spans="1:2" x14ac:dyDescent="0.25">
      <c r="A124"/>
      <c r="B124"/>
    </row>
    <row r="125" spans="1:2" x14ac:dyDescent="0.25">
      <c r="A125"/>
      <c r="B125"/>
    </row>
    <row r="126" spans="1:2" x14ac:dyDescent="0.25">
      <c r="A126"/>
      <c r="B126"/>
    </row>
    <row r="127" spans="1:2" x14ac:dyDescent="0.25">
      <c r="A127"/>
      <c r="B127"/>
    </row>
    <row r="128" spans="1:2" x14ac:dyDescent="0.25">
      <c r="A128"/>
      <c r="B128"/>
    </row>
    <row r="129" spans="1:2" x14ac:dyDescent="0.25">
      <c r="A129"/>
      <c r="B129"/>
    </row>
    <row r="130" spans="1:2" x14ac:dyDescent="0.25">
      <c r="A130"/>
      <c r="B130"/>
    </row>
    <row r="131" spans="1:2" x14ac:dyDescent="0.25">
      <c r="A131"/>
      <c r="B131"/>
    </row>
    <row r="132" spans="1:2" x14ac:dyDescent="0.25">
      <c r="A132"/>
      <c r="B132"/>
    </row>
    <row r="133" spans="1:2" x14ac:dyDescent="0.25">
      <c r="A133"/>
      <c r="B133"/>
    </row>
    <row r="134" spans="1:2" x14ac:dyDescent="0.25">
      <c r="A134"/>
      <c r="B134"/>
    </row>
    <row r="135" spans="1:2" x14ac:dyDescent="0.25">
      <c r="A135"/>
      <c r="B135"/>
    </row>
    <row r="136" spans="1:2" x14ac:dyDescent="0.25">
      <c r="A136"/>
      <c r="B136"/>
    </row>
    <row r="137" spans="1:2" x14ac:dyDescent="0.25">
      <c r="A137"/>
      <c r="B137"/>
    </row>
    <row r="138" spans="1:2" x14ac:dyDescent="0.25">
      <c r="A138"/>
      <c r="B138"/>
    </row>
    <row r="139" spans="1:2" x14ac:dyDescent="0.25">
      <c r="A139"/>
      <c r="B139"/>
    </row>
    <row r="140" spans="1:2" x14ac:dyDescent="0.25">
      <c r="A140"/>
      <c r="B140"/>
    </row>
    <row r="141" spans="1:2" x14ac:dyDescent="0.25">
      <c r="A141"/>
      <c r="B141"/>
    </row>
    <row r="142" spans="1:2" x14ac:dyDescent="0.25">
      <c r="A142"/>
      <c r="B142"/>
    </row>
    <row r="143" spans="1:2" x14ac:dyDescent="0.25">
      <c r="A143"/>
      <c r="B143"/>
    </row>
    <row r="144" spans="1:2" x14ac:dyDescent="0.25">
      <c r="A144"/>
      <c r="B144"/>
    </row>
    <row r="145" spans="1:2" x14ac:dyDescent="0.25">
      <c r="A145"/>
      <c r="B145"/>
    </row>
    <row r="146" spans="1:2" x14ac:dyDescent="0.25">
      <c r="A146"/>
      <c r="B146"/>
    </row>
    <row r="147" spans="1:2" x14ac:dyDescent="0.25">
      <c r="A147"/>
      <c r="B147"/>
    </row>
    <row r="148" spans="1:2" x14ac:dyDescent="0.25">
      <c r="A148"/>
      <c r="B148"/>
    </row>
    <row r="149" spans="1:2" x14ac:dyDescent="0.25">
      <c r="A149"/>
      <c r="B149"/>
    </row>
    <row r="150" spans="1:2" x14ac:dyDescent="0.25">
      <c r="A150"/>
      <c r="B150"/>
    </row>
    <row r="151" spans="1:2" x14ac:dyDescent="0.25">
      <c r="A151"/>
      <c r="B151"/>
    </row>
    <row r="152" spans="1:2" x14ac:dyDescent="0.25">
      <c r="A152"/>
      <c r="B152"/>
    </row>
    <row r="153" spans="1:2" x14ac:dyDescent="0.25">
      <c r="A153"/>
      <c r="B153"/>
    </row>
    <row r="154" spans="1:2" x14ac:dyDescent="0.25">
      <c r="A154"/>
      <c r="B154"/>
    </row>
    <row r="155" spans="1:2" x14ac:dyDescent="0.25">
      <c r="A155"/>
      <c r="B155"/>
    </row>
    <row r="156" spans="1:2" x14ac:dyDescent="0.25">
      <c r="A156"/>
      <c r="B156"/>
    </row>
    <row r="157" spans="1:2" x14ac:dyDescent="0.25">
      <c r="A157"/>
      <c r="B157"/>
    </row>
    <row r="158" spans="1:2" x14ac:dyDescent="0.25">
      <c r="A158"/>
      <c r="B158"/>
    </row>
    <row r="159" spans="1:2" x14ac:dyDescent="0.25">
      <c r="A159"/>
      <c r="B159"/>
    </row>
    <row r="160" spans="1:2" x14ac:dyDescent="0.25">
      <c r="A160"/>
      <c r="B160"/>
    </row>
    <row r="161" spans="1:2" x14ac:dyDescent="0.25">
      <c r="A161"/>
      <c r="B161"/>
    </row>
    <row r="162" spans="1:2" x14ac:dyDescent="0.25">
      <c r="A162"/>
      <c r="B162"/>
    </row>
    <row r="163" spans="1:2" x14ac:dyDescent="0.25">
      <c r="A163"/>
      <c r="B163"/>
    </row>
    <row r="164" spans="1:2" x14ac:dyDescent="0.25">
      <c r="A164"/>
      <c r="B164"/>
    </row>
    <row r="165" spans="1:2" x14ac:dyDescent="0.25">
      <c r="A165"/>
      <c r="B165"/>
    </row>
    <row r="166" spans="1:2" x14ac:dyDescent="0.25">
      <c r="A166"/>
      <c r="B166"/>
    </row>
    <row r="167" spans="1:2" x14ac:dyDescent="0.25">
      <c r="A167"/>
      <c r="B167"/>
    </row>
    <row r="168" spans="1:2" x14ac:dyDescent="0.25">
      <c r="A168"/>
      <c r="B168"/>
    </row>
    <row r="169" spans="1:2" x14ac:dyDescent="0.25">
      <c r="A169"/>
      <c r="B169"/>
    </row>
    <row r="170" spans="1:2" x14ac:dyDescent="0.25">
      <c r="A170"/>
      <c r="B170"/>
    </row>
    <row r="171" spans="1:2" x14ac:dyDescent="0.25">
      <c r="A171"/>
      <c r="B171"/>
    </row>
    <row r="172" spans="1:2" x14ac:dyDescent="0.25">
      <c r="A172"/>
      <c r="B172"/>
    </row>
    <row r="173" spans="1:2" x14ac:dyDescent="0.25">
      <c r="A173"/>
      <c r="B173"/>
    </row>
    <row r="174" spans="1:2" x14ac:dyDescent="0.25">
      <c r="A174"/>
      <c r="B174"/>
    </row>
    <row r="175" spans="1:2" x14ac:dyDescent="0.25">
      <c r="A175"/>
      <c r="B175"/>
    </row>
    <row r="176" spans="1:2" x14ac:dyDescent="0.25">
      <c r="A176"/>
      <c r="B176"/>
    </row>
    <row r="177" spans="1:2" x14ac:dyDescent="0.25">
      <c r="A177"/>
      <c r="B177"/>
    </row>
    <row r="178" spans="1:2" x14ac:dyDescent="0.25">
      <c r="A178"/>
      <c r="B178"/>
    </row>
    <row r="179" spans="1:2" x14ac:dyDescent="0.25">
      <c r="A179"/>
      <c r="B179"/>
    </row>
    <row r="180" spans="1:2" x14ac:dyDescent="0.25">
      <c r="A180"/>
      <c r="B180"/>
    </row>
    <row r="181" spans="1:2" x14ac:dyDescent="0.25">
      <c r="A181"/>
      <c r="B181"/>
    </row>
    <row r="182" spans="1:2" x14ac:dyDescent="0.25">
      <c r="A182"/>
      <c r="B182"/>
    </row>
    <row r="183" spans="1:2" x14ac:dyDescent="0.25">
      <c r="A183"/>
      <c r="B183"/>
    </row>
    <row r="184" spans="1:2" x14ac:dyDescent="0.25">
      <c r="A184"/>
      <c r="B184"/>
    </row>
    <row r="185" spans="1:2" x14ac:dyDescent="0.25">
      <c r="A185"/>
      <c r="B185"/>
    </row>
    <row r="186" spans="1:2" x14ac:dyDescent="0.25">
      <c r="A186"/>
      <c r="B186"/>
    </row>
    <row r="187" spans="1:2" x14ac:dyDescent="0.25">
      <c r="A187"/>
      <c r="B187"/>
    </row>
    <row r="188" spans="1:2" x14ac:dyDescent="0.25">
      <c r="A188"/>
      <c r="B188"/>
    </row>
    <row r="189" spans="1:2" x14ac:dyDescent="0.25">
      <c r="A189"/>
      <c r="B189"/>
    </row>
    <row r="190" spans="1:2" x14ac:dyDescent="0.25">
      <c r="A190"/>
      <c r="B190"/>
    </row>
    <row r="191" spans="1:2" x14ac:dyDescent="0.25">
      <c r="A191"/>
      <c r="B191"/>
    </row>
    <row r="192" spans="1:2" x14ac:dyDescent="0.25">
      <c r="A192"/>
      <c r="B192"/>
    </row>
    <row r="193" spans="1:2" x14ac:dyDescent="0.25">
      <c r="A193"/>
      <c r="B193"/>
    </row>
    <row r="194" spans="1:2" x14ac:dyDescent="0.25">
      <c r="A194"/>
      <c r="B194"/>
    </row>
    <row r="195" spans="1:2" x14ac:dyDescent="0.25">
      <c r="A195"/>
      <c r="B195"/>
    </row>
    <row r="196" spans="1:2" x14ac:dyDescent="0.25">
      <c r="A196"/>
      <c r="B196"/>
    </row>
    <row r="197" spans="1:2" x14ac:dyDescent="0.25">
      <c r="A197"/>
      <c r="B197"/>
    </row>
    <row r="198" spans="1:2" x14ac:dyDescent="0.25">
      <c r="A198"/>
      <c r="B198"/>
    </row>
    <row r="199" spans="1:2" x14ac:dyDescent="0.25">
      <c r="A199"/>
      <c r="B199"/>
    </row>
    <row r="200" spans="1:2" x14ac:dyDescent="0.25">
      <c r="A200"/>
      <c r="B200"/>
    </row>
    <row r="201" spans="1:2" x14ac:dyDescent="0.25">
      <c r="A201"/>
      <c r="B201"/>
    </row>
    <row r="202" spans="1:2" x14ac:dyDescent="0.25">
      <c r="A202"/>
      <c r="B202"/>
    </row>
    <row r="203" spans="1:2" x14ac:dyDescent="0.25">
      <c r="A203"/>
      <c r="B203"/>
    </row>
    <row r="204" spans="1:2" x14ac:dyDescent="0.25">
      <c r="A204"/>
      <c r="B204"/>
    </row>
    <row r="205" spans="1:2" x14ac:dyDescent="0.25">
      <c r="A205"/>
      <c r="B205"/>
    </row>
    <row r="206" spans="1:2" x14ac:dyDescent="0.25">
      <c r="A206"/>
      <c r="B206"/>
    </row>
    <row r="207" spans="1:2" x14ac:dyDescent="0.25">
      <c r="A207"/>
      <c r="B207"/>
    </row>
    <row r="208" spans="1:2" x14ac:dyDescent="0.25">
      <c r="A208"/>
      <c r="B208"/>
    </row>
    <row r="209" spans="1:2" x14ac:dyDescent="0.25">
      <c r="A209"/>
      <c r="B209"/>
    </row>
    <row r="210" spans="1:2" x14ac:dyDescent="0.25">
      <c r="A210"/>
      <c r="B210"/>
    </row>
    <row r="211" spans="1:2" x14ac:dyDescent="0.25">
      <c r="A211"/>
      <c r="B211"/>
    </row>
    <row r="212" spans="1:2" x14ac:dyDescent="0.25">
      <c r="A212"/>
      <c r="B212"/>
    </row>
    <row r="213" spans="1:2" x14ac:dyDescent="0.25">
      <c r="A213"/>
      <c r="B213"/>
    </row>
    <row r="214" spans="1:2" x14ac:dyDescent="0.25">
      <c r="A214"/>
      <c r="B214"/>
    </row>
    <row r="215" spans="1:2" x14ac:dyDescent="0.25">
      <c r="A215"/>
      <c r="B215"/>
    </row>
    <row r="216" spans="1:2" x14ac:dyDescent="0.25">
      <c r="A216"/>
      <c r="B216"/>
    </row>
    <row r="217" spans="1:2" x14ac:dyDescent="0.25">
      <c r="A217"/>
      <c r="B217"/>
    </row>
    <row r="218" spans="1:2" x14ac:dyDescent="0.25">
      <c r="A218"/>
      <c r="B218"/>
    </row>
    <row r="219" spans="1:2" x14ac:dyDescent="0.25">
      <c r="A219"/>
      <c r="B219"/>
    </row>
    <row r="220" spans="1:2" x14ac:dyDescent="0.25">
      <c r="A220"/>
      <c r="B220"/>
    </row>
    <row r="221" spans="1:2" x14ac:dyDescent="0.25">
      <c r="A221"/>
      <c r="B221"/>
    </row>
    <row r="222" spans="1:2" x14ac:dyDescent="0.25">
      <c r="A222"/>
      <c r="B222"/>
    </row>
    <row r="223" spans="1:2" x14ac:dyDescent="0.25">
      <c r="A223"/>
      <c r="B223"/>
    </row>
    <row r="224" spans="1:2" x14ac:dyDescent="0.25">
      <c r="A224"/>
      <c r="B224"/>
    </row>
    <row r="225" spans="1:2" x14ac:dyDescent="0.25">
      <c r="A225"/>
      <c r="B225"/>
    </row>
    <row r="226" spans="1:2" x14ac:dyDescent="0.25">
      <c r="A226"/>
      <c r="B226"/>
    </row>
    <row r="227" spans="1:2" x14ac:dyDescent="0.25">
      <c r="A227"/>
      <c r="B227"/>
    </row>
    <row r="228" spans="1:2" x14ac:dyDescent="0.25">
      <c r="A228"/>
      <c r="B228"/>
    </row>
    <row r="229" spans="1:2" x14ac:dyDescent="0.25">
      <c r="A229"/>
      <c r="B229"/>
    </row>
    <row r="230" spans="1:2" x14ac:dyDescent="0.25">
      <c r="A230"/>
      <c r="B230"/>
    </row>
    <row r="231" spans="1:2" x14ac:dyDescent="0.25">
      <c r="A231"/>
      <c r="B231"/>
    </row>
    <row r="232" spans="1:2" x14ac:dyDescent="0.25">
      <c r="A232"/>
      <c r="B232"/>
    </row>
    <row r="233" spans="1:2" x14ac:dyDescent="0.25">
      <c r="A233"/>
      <c r="B233"/>
    </row>
    <row r="234" spans="1:2" x14ac:dyDescent="0.25">
      <c r="A234"/>
      <c r="B234"/>
    </row>
    <row r="235" spans="1:2" x14ac:dyDescent="0.25">
      <c r="A235"/>
      <c r="B235"/>
    </row>
    <row r="236" spans="1:2" x14ac:dyDescent="0.25">
      <c r="A236"/>
      <c r="B236"/>
    </row>
    <row r="237" spans="1:2" x14ac:dyDescent="0.25">
      <c r="A237"/>
      <c r="B237"/>
    </row>
    <row r="238" spans="1:2" x14ac:dyDescent="0.25">
      <c r="A238"/>
      <c r="B238"/>
    </row>
    <row r="239" spans="1:2" x14ac:dyDescent="0.25">
      <c r="A239"/>
      <c r="B239"/>
    </row>
    <row r="240" spans="1:2" x14ac:dyDescent="0.25">
      <c r="A240"/>
      <c r="B240"/>
    </row>
    <row r="241" spans="1:2" x14ac:dyDescent="0.25">
      <c r="A241"/>
      <c r="B241"/>
    </row>
    <row r="242" spans="1:2" x14ac:dyDescent="0.25">
      <c r="A242"/>
      <c r="B242"/>
    </row>
    <row r="243" spans="1:2" x14ac:dyDescent="0.25">
      <c r="A243"/>
      <c r="B243"/>
    </row>
    <row r="244" spans="1:2" x14ac:dyDescent="0.25">
      <c r="A244"/>
      <c r="B244"/>
    </row>
    <row r="245" spans="1:2" x14ac:dyDescent="0.25">
      <c r="A245"/>
      <c r="B245"/>
    </row>
    <row r="246" spans="1:2" x14ac:dyDescent="0.25">
      <c r="A246"/>
      <c r="B246"/>
    </row>
    <row r="247" spans="1:2" x14ac:dyDescent="0.25">
      <c r="A247"/>
      <c r="B247"/>
    </row>
    <row r="248" spans="1:2" x14ac:dyDescent="0.25">
      <c r="A248"/>
      <c r="B248"/>
    </row>
    <row r="249" spans="1:2" x14ac:dyDescent="0.25">
      <c r="A249"/>
      <c r="B249"/>
    </row>
    <row r="250" spans="1:2" x14ac:dyDescent="0.25">
      <c r="A250"/>
      <c r="B250"/>
    </row>
    <row r="251" spans="1:2" x14ac:dyDescent="0.25">
      <c r="A251"/>
      <c r="B251"/>
    </row>
    <row r="252" spans="1:2" x14ac:dyDescent="0.25">
      <c r="A252"/>
      <c r="B252"/>
    </row>
    <row r="253" spans="1:2" x14ac:dyDescent="0.25">
      <c r="A253"/>
      <c r="B253"/>
    </row>
    <row r="254" spans="1:2" x14ac:dyDescent="0.25">
      <c r="A254"/>
      <c r="B254"/>
    </row>
    <row r="255" spans="1:2" x14ac:dyDescent="0.25">
      <c r="A255"/>
      <c r="B255"/>
    </row>
    <row r="256" spans="1:2" x14ac:dyDescent="0.25">
      <c r="A256"/>
      <c r="B256"/>
    </row>
    <row r="257" spans="1:2" x14ac:dyDescent="0.25">
      <c r="A257"/>
      <c r="B257"/>
    </row>
    <row r="258" spans="1:2" x14ac:dyDescent="0.25">
      <c r="A258"/>
      <c r="B258"/>
    </row>
    <row r="259" spans="1:2" x14ac:dyDescent="0.25">
      <c r="A259"/>
      <c r="B259"/>
    </row>
    <row r="260" spans="1:2" x14ac:dyDescent="0.25">
      <c r="A260"/>
      <c r="B260"/>
    </row>
    <row r="261" spans="1:2" x14ac:dyDescent="0.25">
      <c r="A261"/>
      <c r="B261"/>
    </row>
    <row r="262" spans="1:2" x14ac:dyDescent="0.25">
      <c r="A262"/>
      <c r="B262"/>
    </row>
    <row r="263" spans="1:2" x14ac:dyDescent="0.25">
      <c r="A263"/>
      <c r="B263"/>
    </row>
    <row r="264" spans="1:2" x14ac:dyDescent="0.25">
      <c r="A264"/>
      <c r="B264"/>
    </row>
    <row r="265" spans="1:2" x14ac:dyDescent="0.25">
      <c r="A265"/>
      <c r="B265"/>
    </row>
    <row r="266" spans="1:2" x14ac:dyDescent="0.25">
      <c r="A266"/>
      <c r="B266"/>
    </row>
    <row r="267" spans="1:2" x14ac:dyDescent="0.25">
      <c r="A267"/>
      <c r="B267"/>
    </row>
    <row r="268" spans="1:2" x14ac:dyDescent="0.25">
      <c r="A268"/>
      <c r="B268"/>
    </row>
    <row r="269" spans="1:2" x14ac:dyDescent="0.25">
      <c r="A269"/>
      <c r="B269"/>
    </row>
    <row r="270" spans="1:2" x14ac:dyDescent="0.25">
      <c r="A270"/>
      <c r="B270"/>
    </row>
    <row r="271" spans="1:2" x14ac:dyDescent="0.25">
      <c r="A271"/>
      <c r="B271"/>
    </row>
    <row r="272" spans="1:2" x14ac:dyDescent="0.25">
      <c r="A272"/>
      <c r="B272"/>
    </row>
    <row r="273" spans="1:2" x14ac:dyDescent="0.25">
      <c r="A273"/>
      <c r="B273"/>
    </row>
    <row r="274" spans="1:2" x14ac:dyDescent="0.25">
      <c r="A274"/>
      <c r="B274"/>
    </row>
    <row r="275" spans="1:2" x14ac:dyDescent="0.25">
      <c r="A275"/>
      <c r="B275"/>
    </row>
    <row r="276" spans="1:2" x14ac:dyDescent="0.25">
      <c r="A276"/>
      <c r="B276"/>
    </row>
    <row r="277" spans="1:2" x14ac:dyDescent="0.25">
      <c r="A277"/>
      <c r="B277"/>
    </row>
    <row r="278" spans="1:2" x14ac:dyDescent="0.25">
      <c r="A278"/>
      <c r="B278"/>
    </row>
    <row r="279" spans="1:2" x14ac:dyDescent="0.25">
      <c r="A279"/>
      <c r="B279"/>
    </row>
    <row r="280" spans="1:2" x14ac:dyDescent="0.25">
      <c r="A280"/>
      <c r="B280"/>
    </row>
    <row r="281" spans="1:2" x14ac:dyDescent="0.25">
      <c r="A281"/>
      <c r="B281"/>
    </row>
    <row r="282" spans="1:2" x14ac:dyDescent="0.25">
      <c r="A282"/>
      <c r="B282"/>
    </row>
    <row r="283" spans="1:2" x14ac:dyDescent="0.25">
      <c r="A283"/>
      <c r="B283"/>
    </row>
    <row r="284" spans="1:2" x14ac:dyDescent="0.25">
      <c r="A284"/>
      <c r="B284"/>
    </row>
    <row r="285" spans="1:2" x14ac:dyDescent="0.25">
      <c r="A285"/>
      <c r="B285"/>
    </row>
    <row r="286" spans="1:2" x14ac:dyDescent="0.25">
      <c r="A286"/>
      <c r="B286"/>
    </row>
    <row r="287" spans="1:2" x14ac:dyDescent="0.25">
      <c r="A287"/>
      <c r="B287"/>
    </row>
    <row r="288" spans="1:2" x14ac:dyDescent="0.25">
      <c r="A288"/>
      <c r="B288"/>
    </row>
    <row r="289" spans="1:2" x14ac:dyDescent="0.25">
      <c r="A289"/>
      <c r="B289"/>
    </row>
    <row r="290" spans="1:2" x14ac:dyDescent="0.25">
      <c r="A290"/>
      <c r="B290"/>
    </row>
    <row r="291" spans="1:2" x14ac:dyDescent="0.25">
      <c r="A291"/>
      <c r="B291"/>
    </row>
    <row r="292" spans="1:2" x14ac:dyDescent="0.25">
      <c r="A292"/>
      <c r="B292"/>
    </row>
    <row r="293" spans="1:2" x14ac:dyDescent="0.25">
      <c r="A293"/>
      <c r="B293"/>
    </row>
    <row r="294" spans="1:2" x14ac:dyDescent="0.25">
      <c r="A294"/>
      <c r="B294"/>
    </row>
    <row r="295" spans="1:2" x14ac:dyDescent="0.25">
      <c r="A295"/>
      <c r="B295"/>
    </row>
    <row r="296" spans="1:2" x14ac:dyDescent="0.25">
      <c r="A296"/>
      <c r="B296"/>
    </row>
    <row r="297" spans="1:2" x14ac:dyDescent="0.25">
      <c r="A297"/>
      <c r="B297"/>
    </row>
    <row r="298" spans="1:2" x14ac:dyDescent="0.25">
      <c r="A298"/>
      <c r="B298"/>
    </row>
    <row r="299" spans="1:2" x14ac:dyDescent="0.25">
      <c r="A299"/>
      <c r="B299"/>
    </row>
    <row r="300" spans="1:2" x14ac:dyDescent="0.25">
      <c r="A300"/>
      <c r="B300"/>
    </row>
    <row r="301" spans="1:2" x14ac:dyDescent="0.25">
      <c r="A301"/>
      <c r="B301"/>
    </row>
    <row r="302" spans="1:2" x14ac:dyDescent="0.25">
      <c r="A302"/>
      <c r="B302"/>
    </row>
    <row r="303" spans="1:2" x14ac:dyDescent="0.25">
      <c r="A303"/>
      <c r="B303"/>
    </row>
    <row r="304" spans="1:2" x14ac:dyDescent="0.25">
      <c r="A304"/>
      <c r="B304"/>
    </row>
    <row r="305" spans="1:2" x14ac:dyDescent="0.25">
      <c r="A305"/>
      <c r="B305"/>
    </row>
    <row r="306" spans="1:2" x14ac:dyDescent="0.25">
      <c r="A306"/>
      <c r="B306"/>
    </row>
    <row r="307" spans="1:2" x14ac:dyDescent="0.25">
      <c r="A307"/>
      <c r="B307"/>
    </row>
    <row r="308" spans="1:2" x14ac:dyDescent="0.25">
      <c r="A308"/>
      <c r="B308"/>
    </row>
    <row r="309" spans="1:2" x14ac:dyDescent="0.25">
      <c r="A309"/>
      <c r="B309"/>
    </row>
    <row r="310" spans="1:2" x14ac:dyDescent="0.25">
      <c r="A310"/>
      <c r="B310"/>
    </row>
    <row r="311" spans="1:2" x14ac:dyDescent="0.25">
      <c r="A311"/>
      <c r="B311"/>
    </row>
    <row r="312" spans="1:2" x14ac:dyDescent="0.25">
      <c r="A312"/>
      <c r="B312"/>
    </row>
    <row r="313" spans="1:2" x14ac:dyDescent="0.25">
      <c r="A313"/>
      <c r="B313"/>
    </row>
    <row r="314" spans="1:2" x14ac:dyDescent="0.25">
      <c r="A314"/>
      <c r="B314"/>
    </row>
    <row r="315" spans="1:2" x14ac:dyDescent="0.25">
      <c r="A315"/>
      <c r="B315"/>
    </row>
    <row r="316" spans="1:2" x14ac:dyDescent="0.25">
      <c r="A316"/>
      <c r="B316"/>
    </row>
    <row r="317" spans="1:2" x14ac:dyDescent="0.25">
      <c r="A317"/>
      <c r="B317"/>
    </row>
    <row r="318" spans="1:2" x14ac:dyDescent="0.25">
      <c r="A318"/>
      <c r="B318"/>
    </row>
    <row r="319" spans="1:2" x14ac:dyDescent="0.25">
      <c r="A319"/>
      <c r="B319"/>
    </row>
    <row r="320" spans="1:2" x14ac:dyDescent="0.25">
      <c r="A320"/>
      <c r="B320"/>
    </row>
    <row r="321" spans="1:2" x14ac:dyDescent="0.25">
      <c r="A321"/>
      <c r="B321"/>
    </row>
    <row r="322" spans="1:2" x14ac:dyDescent="0.25">
      <c r="A322"/>
      <c r="B322"/>
    </row>
    <row r="323" spans="1:2" x14ac:dyDescent="0.25">
      <c r="A323"/>
      <c r="B323"/>
    </row>
    <row r="324" spans="1:2" x14ac:dyDescent="0.25">
      <c r="A324"/>
      <c r="B324"/>
    </row>
    <row r="325" spans="1:2" x14ac:dyDescent="0.25">
      <c r="A325"/>
      <c r="B325"/>
    </row>
    <row r="326" spans="1:2" x14ac:dyDescent="0.25">
      <c r="A326"/>
      <c r="B326"/>
    </row>
    <row r="327" spans="1:2" x14ac:dyDescent="0.25">
      <c r="A327"/>
      <c r="B327"/>
    </row>
    <row r="328" spans="1:2" x14ac:dyDescent="0.25">
      <c r="A328"/>
      <c r="B328"/>
    </row>
    <row r="329" spans="1:2" x14ac:dyDescent="0.25">
      <c r="A329"/>
      <c r="B329"/>
    </row>
    <row r="330" spans="1:2" x14ac:dyDescent="0.25">
      <c r="A330"/>
      <c r="B330"/>
    </row>
    <row r="331" spans="1:2" x14ac:dyDescent="0.25">
      <c r="A331"/>
      <c r="B331"/>
    </row>
    <row r="332" spans="1:2" x14ac:dyDescent="0.25">
      <c r="A332"/>
      <c r="B332"/>
    </row>
    <row r="333" spans="1:2" x14ac:dyDescent="0.25">
      <c r="A333"/>
      <c r="B333"/>
    </row>
    <row r="334" spans="1:2" x14ac:dyDescent="0.25">
      <c r="A334"/>
      <c r="B334"/>
    </row>
    <row r="335" spans="1:2" x14ac:dyDescent="0.25">
      <c r="A335"/>
      <c r="B335"/>
    </row>
    <row r="336" spans="1:2" x14ac:dyDescent="0.25">
      <c r="A336"/>
      <c r="B336"/>
    </row>
    <row r="337" spans="1:2" x14ac:dyDescent="0.25">
      <c r="A337"/>
      <c r="B337"/>
    </row>
    <row r="338" spans="1:2" x14ac:dyDescent="0.25">
      <c r="A338"/>
      <c r="B338"/>
    </row>
    <row r="339" spans="1:2" x14ac:dyDescent="0.25">
      <c r="A339"/>
      <c r="B339"/>
    </row>
    <row r="340" spans="1:2" x14ac:dyDescent="0.25">
      <c r="A340"/>
      <c r="B340"/>
    </row>
    <row r="341" spans="1:2" x14ac:dyDescent="0.25">
      <c r="A341"/>
      <c r="B341"/>
    </row>
    <row r="342" spans="1:2" x14ac:dyDescent="0.25">
      <c r="A342"/>
      <c r="B342"/>
    </row>
    <row r="343" spans="1:2" x14ac:dyDescent="0.25">
      <c r="A343"/>
      <c r="B343"/>
    </row>
    <row r="344" spans="1:2" x14ac:dyDescent="0.25">
      <c r="A344"/>
      <c r="B344"/>
    </row>
    <row r="345" spans="1:2" x14ac:dyDescent="0.25">
      <c r="A345"/>
      <c r="B345"/>
    </row>
    <row r="346" spans="1:2" x14ac:dyDescent="0.25">
      <c r="A346"/>
      <c r="B346"/>
    </row>
    <row r="347" spans="1:2" x14ac:dyDescent="0.25">
      <c r="A347"/>
      <c r="B347"/>
    </row>
    <row r="348" spans="1:2" x14ac:dyDescent="0.25">
      <c r="A348"/>
      <c r="B348"/>
    </row>
    <row r="349" spans="1:2" x14ac:dyDescent="0.25">
      <c r="A349"/>
      <c r="B349"/>
    </row>
    <row r="350" spans="1:2" x14ac:dyDescent="0.25">
      <c r="A350"/>
      <c r="B350"/>
    </row>
    <row r="351" spans="1:2" x14ac:dyDescent="0.25">
      <c r="A351"/>
      <c r="B351"/>
    </row>
    <row r="352" spans="1:2" x14ac:dyDescent="0.25">
      <c r="A352"/>
      <c r="B352"/>
    </row>
    <row r="353" spans="1:2" x14ac:dyDescent="0.25">
      <c r="A353"/>
      <c r="B353"/>
    </row>
    <row r="354" spans="1:2" x14ac:dyDescent="0.25">
      <c r="A354"/>
      <c r="B354"/>
    </row>
    <row r="355" spans="1:2" x14ac:dyDescent="0.25">
      <c r="A355"/>
      <c r="B355"/>
    </row>
    <row r="356" spans="1:2" x14ac:dyDescent="0.25">
      <c r="A356"/>
      <c r="B356"/>
    </row>
    <row r="357" spans="1:2" x14ac:dyDescent="0.25">
      <c r="A357"/>
      <c r="B357"/>
    </row>
    <row r="358" spans="1:2" x14ac:dyDescent="0.25">
      <c r="A358"/>
      <c r="B358"/>
    </row>
    <row r="359" spans="1:2" x14ac:dyDescent="0.25">
      <c r="A359"/>
      <c r="B359"/>
    </row>
    <row r="360" spans="1:2" x14ac:dyDescent="0.25">
      <c r="A360"/>
      <c r="B360"/>
    </row>
    <row r="361" spans="1:2" x14ac:dyDescent="0.25">
      <c r="A361"/>
      <c r="B361"/>
    </row>
    <row r="362" spans="1:2" x14ac:dyDescent="0.25">
      <c r="A362"/>
      <c r="B362"/>
    </row>
    <row r="363" spans="1:2" x14ac:dyDescent="0.25">
      <c r="A363"/>
      <c r="B363"/>
    </row>
    <row r="364" spans="1:2" x14ac:dyDescent="0.25">
      <c r="A364"/>
      <c r="B364"/>
    </row>
    <row r="365" spans="1:2" x14ac:dyDescent="0.25">
      <c r="A365"/>
      <c r="B365"/>
    </row>
    <row r="366" spans="1:2" x14ac:dyDescent="0.25">
      <c r="A366"/>
      <c r="B366"/>
    </row>
    <row r="367" spans="1:2" x14ac:dyDescent="0.25">
      <c r="A367"/>
      <c r="B367"/>
    </row>
    <row r="368" spans="1:2" x14ac:dyDescent="0.25">
      <c r="A368"/>
      <c r="B368"/>
    </row>
    <row r="369" spans="1:2" x14ac:dyDescent="0.25">
      <c r="A369"/>
      <c r="B369"/>
    </row>
    <row r="370" spans="1:2" x14ac:dyDescent="0.25">
      <c r="A370"/>
      <c r="B370"/>
    </row>
    <row r="371" spans="1:2" x14ac:dyDescent="0.25">
      <c r="A371"/>
      <c r="B371"/>
    </row>
    <row r="372" spans="1:2" x14ac:dyDescent="0.25">
      <c r="A372"/>
      <c r="B372"/>
    </row>
    <row r="373" spans="1:2" x14ac:dyDescent="0.25">
      <c r="A373"/>
      <c r="B373"/>
    </row>
    <row r="374" spans="1:2" x14ac:dyDescent="0.25">
      <c r="A374"/>
      <c r="B374"/>
    </row>
    <row r="375" spans="1:2" x14ac:dyDescent="0.25">
      <c r="A375"/>
      <c r="B375"/>
    </row>
    <row r="376" spans="1:2" x14ac:dyDescent="0.25">
      <c r="A376"/>
      <c r="B376"/>
    </row>
    <row r="377" spans="1:2" x14ac:dyDescent="0.25">
      <c r="A377"/>
      <c r="B377"/>
    </row>
    <row r="378" spans="1:2" x14ac:dyDescent="0.25">
      <c r="A378"/>
      <c r="B378"/>
    </row>
    <row r="379" spans="1:2" x14ac:dyDescent="0.25">
      <c r="A379"/>
      <c r="B379"/>
    </row>
    <row r="380" spans="1:2" x14ac:dyDescent="0.25">
      <c r="A380"/>
      <c r="B380"/>
    </row>
    <row r="381" spans="1:2" x14ac:dyDescent="0.25">
      <c r="A381"/>
      <c r="B381"/>
    </row>
    <row r="382" spans="1:2" x14ac:dyDescent="0.25">
      <c r="A382"/>
      <c r="B382"/>
    </row>
    <row r="383" spans="1:2" x14ac:dyDescent="0.25">
      <c r="A383"/>
      <c r="B383"/>
    </row>
    <row r="384" spans="1:2" x14ac:dyDescent="0.25">
      <c r="A384"/>
      <c r="B384"/>
    </row>
    <row r="385" spans="1:2" x14ac:dyDescent="0.25">
      <c r="A385"/>
      <c r="B385"/>
    </row>
    <row r="386" spans="1:2" x14ac:dyDescent="0.25">
      <c r="A386"/>
      <c r="B386"/>
    </row>
    <row r="387" spans="1:2" x14ac:dyDescent="0.25">
      <c r="A387"/>
      <c r="B387"/>
    </row>
    <row r="388" spans="1:2" x14ac:dyDescent="0.25">
      <c r="A388"/>
      <c r="B388"/>
    </row>
    <row r="389" spans="1:2" x14ac:dyDescent="0.25">
      <c r="A389"/>
      <c r="B389"/>
    </row>
    <row r="390" spans="1:2" x14ac:dyDescent="0.25">
      <c r="A390"/>
      <c r="B390"/>
    </row>
    <row r="391" spans="1:2" x14ac:dyDescent="0.25">
      <c r="A391"/>
      <c r="B391"/>
    </row>
    <row r="392" spans="1:2" x14ac:dyDescent="0.25">
      <c r="A392"/>
      <c r="B392"/>
    </row>
    <row r="393" spans="1:2" x14ac:dyDescent="0.25">
      <c r="A393"/>
      <c r="B393"/>
    </row>
    <row r="394" spans="1:2" x14ac:dyDescent="0.25">
      <c r="A394"/>
      <c r="B394"/>
    </row>
    <row r="395" spans="1:2" x14ac:dyDescent="0.25">
      <c r="A395"/>
      <c r="B395"/>
    </row>
    <row r="396" spans="1:2" x14ac:dyDescent="0.25">
      <c r="A396"/>
      <c r="B396"/>
    </row>
    <row r="397" spans="1:2" x14ac:dyDescent="0.25">
      <c r="A397"/>
      <c r="B397"/>
    </row>
    <row r="398" spans="1:2" x14ac:dyDescent="0.25">
      <c r="A398"/>
      <c r="B398"/>
    </row>
    <row r="399" spans="1:2" x14ac:dyDescent="0.25">
      <c r="A399"/>
      <c r="B399"/>
    </row>
    <row r="400" spans="1:2" x14ac:dyDescent="0.25">
      <c r="A400"/>
      <c r="B400"/>
    </row>
    <row r="401" spans="1:2" x14ac:dyDescent="0.25">
      <c r="A401"/>
      <c r="B401"/>
    </row>
    <row r="402" spans="1:2" x14ac:dyDescent="0.25">
      <c r="A402"/>
      <c r="B402"/>
    </row>
    <row r="403" spans="1:2" x14ac:dyDescent="0.25">
      <c r="A403"/>
      <c r="B403"/>
    </row>
    <row r="404" spans="1:2" x14ac:dyDescent="0.25">
      <c r="A404"/>
      <c r="B404"/>
    </row>
    <row r="405" spans="1:2" x14ac:dyDescent="0.25">
      <c r="A405"/>
      <c r="B405"/>
    </row>
    <row r="406" spans="1:2" x14ac:dyDescent="0.25">
      <c r="A406"/>
      <c r="B406"/>
    </row>
    <row r="407" spans="1:2" x14ac:dyDescent="0.25">
      <c r="A407"/>
      <c r="B407"/>
    </row>
    <row r="408" spans="1:2" x14ac:dyDescent="0.25">
      <c r="A408"/>
      <c r="B408"/>
    </row>
    <row r="409" spans="1:2" x14ac:dyDescent="0.25">
      <c r="A409"/>
      <c r="B409"/>
    </row>
    <row r="410" spans="1:2" x14ac:dyDescent="0.25">
      <c r="A410"/>
      <c r="B410"/>
    </row>
    <row r="411" spans="1:2" x14ac:dyDescent="0.25">
      <c r="A411"/>
      <c r="B411"/>
    </row>
    <row r="412" spans="1:2" x14ac:dyDescent="0.25">
      <c r="A412"/>
      <c r="B412"/>
    </row>
    <row r="413" spans="1:2" x14ac:dyDescent="0.25">
      <c r="A413"/>
      <c r="B413"/>
    </row>
    <row r="414" spans="1:2" x14ac:dyDescent="0.25">
      <c r="A414"/>
      <c r="B414"/>
    </row>
    <row r="415" spans="1:2" x14ac:dyDescent="0.25">
      <c r="A415"/>
      <c r="B415"/>
    </row>
    <row r="416" spans="1:2" x14ac:dyDescent="0.25">
      <c r="A416"/>
      <c r="B416"/>
    </row>
    <row r="417" spans="1:2" x14ac:dyDescent="0.25">
      <c r="A417"/>
      <c r="B417"/>
    </row>
    <row r="418" spans="1:2" x14ac:dyDescent="0.25">
      <c r="A418"/>
      <c r="B418"/>
    </row>
    <row r="419" spans="1:2" x14ac:dyDescent="0.25">
      <c r="A419"/>
      <c r="B419"/>
    </row>
    <row r="420" spans="1:2" x14ac:dyDescent="0.25">
      <c r="A420"/>
      <c r="B420"/>
    </row>
    <row r="421" spans="1:2" x14ac:dyDescent="0.25">
      <c r="A421"/>
      <c r="B421"/>
    </row>
    <row r="422" spans="1:2" x14ac:dyDescent="0.25">
      <c r="A422"/>
      <c r="B422"/>
    </row>
    <row r="423" spans="1:2" x14ac:dyDescent="0.25">
      <c r="A423"/>
      <c r="B423"/>
    </row>
    <row r="424" spans="1:2" x14ac:dyDescent="0.25">
      <c r="A424"/>
      <c r="B424"/>
    </row>
    <row r="425" spans="1:2" x14ac:dyDescent="0.25">
      <c r="A425"/>
      <c r="B425"/>
    </row>
    <row r="426" spans="1:2" x14ac:dyDescent="0.25">
      <c r="A426"/>
      <c r="B426"/>
    </row>
    <row r="427" spans="1:2" x14ac:dyDescent="0.25">
      <c r="A427"/>
      <c r="B427"/>
    </row>
    <row r="428" spans="1:2" x14ac:dyDescent="0.25">
      <c r="A428"/>
      <c r="B428"/>
    </row>
    <row r="429" spans="1:2" x14ac:dyDescent="0.25">
      <c r="A429"/>
      <c r="B429"/>
    </row>
    <row r="430" spans="1:2" x14ac:dyDescent="0.25">
      <c r="A430"/>
      <c r="B430"/>
    </row>
    <row r="431" spans="1:2" x14ac:dyDescent="0.25">
      <c r="A431"/>
      <c r="B431"/>
    </row>
    <row r="432" spans="1:2" x14ac:dyDescent="0.25">
      <c r="A432"/>
      <c r="B432"/>
    </row>
    <row r="433" spans="1:2" x14ac:dyDescent="0.25">
      <c r="A433"/>
      <c r="B433"/>
    </row>
    <row r="434" spans="1:2" x14ac:dyDescent="0.25">
      <c r="A434"/>
      <c r="B434"/>
    </row>
    <row r="435" spans="1:2" x14ac:dyDescent="0.25">
      <c r="A435"/>
      <c r="B435"/>
    </row>
    <row r="436" spans="1:2" x14ac:dyDescent="0.25">
      <c r="A436"/>
      <c r="B436"/>
    </row>
    <row r="437" spans="1:2" x14ac:dyDescent="0.25">
      <c r="A437"/>
      <c r="B437"/>
    </row>
    <row r="438" spans="1:2" x14ac:dyDescent="0.25">
      <c r="A438"/>
      <c r="B438"/>
    </row>
    <row r="439" spans="1:2" x14ac:dyDescent="0.25">
      <c r="A439"/>
      <c r="B439"/>
    </row>
    <row r="440" spans="1:2" x14ac:dyDescent="0.25">
      <c r="A440"/>
      <c r="B440"/>
    </row>
    <row r="441" spans="1:2" x14ac:dyDescent="0.25">
      <c r="A441"/>
      <c r="B441"/>
    </row>
    <row r="442" spans="1:2" x14ac:dyDescent="0.25">
      <c r="A442"/>
      <c r="B442"/>
    </row>
    <row r="443" spans="1:2" x14ac:dyDescent="0.25">
      <c r="A443"/>
      <c r="B443"/>
    </row>
    <row r="444" spans="1:2" x14ac:dyDescent="0.25">
      <c r="A444"/>
      <c r="B444"/>
    </row>
    <row r="445" spans="1:2" x14ac:dyDescent="0.25">
      <c r="A445"/>
      <c r="B445"/>
    </row>
    <row r="446" spans="1:2" x14ac:dyDescent="0.25">
      <c r="A446"/>
      <c r="B446"/>
    </row>
    <row r="447" spans="1:2" x14ac:dyDescent="0.25">
      <c r="A447"/>
      <c r="B447"/>
    </row>
    <row r="448" spans="1:2" x14ac:dyDescent="0.25">
      <c r="A448"/>
      <c r="B448"/>
    </row>
    <row r="449" spans="1:2" x14ac:dyDescent="0.25">
      <c r="A449"/>
      <c r="B449"/>
    </row>
    <row r="450" spans="1:2" x14ac:dyDescent="0.25">
      <c r="A450"/>
      <c r="B450"/>
    </row>
    <row r="451" spans="1:2" x14ac:dyDescent="0.25">
      <c r="A451"/>
      <c r="B451"/>
    </row>
    <row r="452" spans="1:2" x14ac:dyDescent="0.25">
      <c r="A452"/>
      <c r="B452"/>
    </row>
    <row r="453" spans="1:2" x14ac:dyDescent="0.25">
      <c r="A453"/>
      <c r="B453"/>
    </row>
    <row r="454" spans="1:2" x14ac:dyDescent="0.25">
      <c r="A454"/>
      <c r="B454"/>
    </row>
    <row r="455" spans="1:2" x14ac:dyDescent="0.25">
      <c r="A455"/>
      <c r="B455"/>
    </row>
    <row r="456" spans="1:2" x14ac:dyDescent="0.25">
      <c r="A456"/>
      <c r="B456"/>
    </row>
    <row r="457" spans="1:2" x14ac:dyDescent="0.25">
      <c r="A457"/>
      <c r="B457"/>
    </row>
    <row r="458" spans="1:2" x14ac:dyDescent="0.25">
      <c r="A458"/>
      <c r="B458"/>
    </row>
    <row r="459" spans="1:2" x14ac:dyDescent="0.25">
      <c r="A459"/>
      <c r="B459"/>
    </row>
    <row r="460" spans="1:2" x14ac:dyDescent="0.25">
      <c r="A460"/>
      <c r="B460"/>
    </row>
    <row r="461" spans="1:2" x14ac:dyDescent="0.25">
      <c r="A461"/>
      <c r="B461"/>
    </row>
    <row r="462" spans="1:2" x14ac:dyDescent="0.25">
      <c r="A462"/>
      <c r="B462"/>
    </row>
    <row r="463" spans="1:2" x14ac:dyDescent="0.25">
      <c r="A463"/>
      <c r="B463"/>
    </row>
    <row r="464" spans="1:2" x14ac:dyDescent="0.25">
      <c r="A464"/>
      <c r="B464"/>
    </row>
    <row r="465" spans="1:2" x14ac:dyDescent="0.25">
      <c r="A465"/>
      <c r="B465"/>
    </row>
    <row r="466" spans="1:2" x14ac:dyDescent="0.25">
      <c r="A466"/>
      <c r="B466"/>
    </row>
    <row r="467" spans="1:2" x14ac:dyDescent="0.25">
      <c r="A467"/>
      <c r="B467"/>
    </row>
    <row r="468" spans="1:2" x14ac:dyDescent="0.25">
      <c r="A468"/>
      <c r="B468"/>
    </row>
    <row r="469" spans="1:2" x14ac:dyDescent="0.25">
      <c r="A469"/>
      <c r="B469"/>
    </row>
    <row r="470" spans="1:2" x14ac:dyDescent="0.25">
      <c r="A470"/>
      <c r="B470"/>
    </row>
    <row r="471" spans="1:2" x14ac:dyDescent="0.25">
      <c r="A471"/>
      <c r="B471"/>
    </row>
    <row r="472" spans="1:2" x14ac:dyDescent="0.25">
      <c r="A472"/>
      <c r="B472"/>
    </row>
    <row r="473" spans="1:2" x14ac:dyDescent="0.25">
      <c r="A473"/>
      <c r="B473"/>
    </row>
    <row r="474" spans="1:2" x14ac:dyDescent="0.25">
      <c r="A474"/>
      <c r="B474"/>
    </row>
    <row r="475" spans="1:2" x14ac:dyDescent="0.25">
      <c r="A475"/>
      <c r="B475"/>
    </row>
    <row r="476" spans="1:2" x14ac:dyDescent="0.25">
      <c r="A476"/>
      <c r="B476"/>
    </row>
    <row r="477" spans="1:2" x14ac:dyDescent="0.25">
      <c r="A477"/>
      <c r="B477"/>
    </row>
    <row r="478" spans="1:2" x14ac:dyDescent="0.25">
      <c r="A478"/>
      <c r="B478"/>
    </row>
    <row r="479" spans="1:2" x14ac:dyDescent="0.25">
      <c r="A479"/>
      <c r="B479"/>
    </row>
    <row r="480" spans="1:2" x14ac:dyDescent="0.25">
      <c r="A480"/>
      <c r="B480"/>
    </row>
    <row r="481" spans="1:2" x14ac:dyDescent="0.25">
      <c r="A481"/>
      <c r="B481"/>
    </row>
    <row r="482" spans="1:2" x14ac:dyDescent="0.25">
      <c r="A482"/>
      <c r="B482"/>
    </row>
    <row r="483" spans="1:2" x14ac:dyDescent="0.25">
      <c r="A483"/>
      <c r="B483"/>
    </row>
    <row r="484" spans="1:2" x14ac:dyDescent="0.25">
      <c r="A484"/>
      <c r="B484"/>
    </row>
    <row r="485" spans="1:2" x14ac:dyDescent="0.25">
      <c r="A485"/>
      <c r="B485"/>
    </row>
    <row r="486" spans="1:2" x14ac:dyDescent="0.25">
      <c r="A486"/>
      <c r="B486"/>
    </row>
    <row r="487" spans="1:2" x14ac:dyDescent="0.25">
      <c r="A487"/>
      <c r="B487"/>
    </row>
    <row r="488" spans="1:2" x14ac:dyDescent="0.25">
      <c r="A488"/>
      <c r="B488"/>
    </row>
    <row r="489" spans="1:2" x14ac:dyDescent="0.25">
      <c r="A489"/>
      <c r="B489"/>
    </row>
    <row r="490" spans="1:2" x14ac:dyDescent="0.25">
      <c r="A490"/>
      <c r="B490"/>
    </row>
    <row r="491" spans="1:2" x14ac:dyDescent="0.25">
      <c r="A491"/>
      <c r="B491"/>
    </row>
    <row r="492" spans="1:2" x14ac:dyDescent="0.25">
      <c r="A492"/>
      <c r="B492"/>
    </row>
    <row r="493" spans="1:2" x14ac:dyDescent="0.25">
      <c r="A493"/>
      <c r="B493"/>
    </row>
    <row r="494" spans="1:2" x14ac:dyDescent="0.25">
      <c r="A494"/>
      <c r="B494"/>
    </row>
    <row r="495" spans="1:2" x14ac:dyDescent="0.25">
      <c r="A495"/>
      <c r="B495"/>
    </row>
    <row r="496" spans="1:2" x14ac:dyDescent="0.25">
      <c r="A496"/>
      <c r="B496"/>
    </row>
    <row r="497" spans="1:2" x14ac:dyDescent="0.25">
      <c r="A497"/>
      <c r="B497"/>
    </row>
    <row r="498" spans="1:2" x14ac:dyDescent="0.25">
      <c r="A498"/>
      <c r="B498"/>
    </row>
    <row r="499" spans="1:2" x14ac:dyDescent="0.25">
      <c r="A499"/>
      <c r="B499"/>
    </row>
    <row r="500" spans="1:2" x14ac:dyDescent="0.25">
      <c r="A500"/>
      <c r="B500"/>
    </row>
    <row r="501" spans="1:2" x14ac:dyDescent="0.25">
      <c r="A501"/>
      <c r="B501"/>
    </row>
    <row r="502" spans="1:2" x14ac:dyDescent="0.25">
      <c r="A502"/>
      <c r="B502"/>
    </row>
    <row r="503" spans="1:2" x14ac:dyDescent="0.25">
      <c r="A503"/>
      <c r="B503"/>
    </row>
    <row r="504" spans="1:2" x14ac:dyDescent="0.25">
      <c r="A504"/>
      <c r="B504"/>
    </row>
    <row r="505" spans="1:2" x14ac:dyDescent="0.25">
      <c r="A505"/>
      <c r="B505"/>
    </row>
    <row r="506" spans="1:2" x14ac:dyDescent="0.25">
      <c r="A506"/>
      <c r="B506"/>
    </row>
    <row r="507" spans="1:2" x14ac:dyDescent="0.25">
      <c r="A507"/>
      <c r="B507"/>
    </row>
    <row r="508" spans="1:2" x14ac:dyDescent="0.25">
      <c r="A508"/>
      <c r="B508"/>
    </row>
    <row r="509" spans="1:2" x14ac:dyDescent="0.25">
      <c r="A509"/>
      <c r="B509"/>
    </row>
    <row r="510" spans="1:2" x14ac:dyDescent="0.25">
      <c r="A510"/>
      <c r="B510"/>
    </row>
    <row r="511" spans="1:2" x14ac:dyDescent="0.25">
      <c r="A511"/>
      <c r="B511"/>
    </row>
    <row r="512" spans="1:2" x14ac:dyDescent="0.25">
      <c r="A512"/>
      <c r="B512"/>
    </row>
    <row r="513" spans="1:2" x14ac:dyDescent="0.25">
      <c r="A513"/>
      <c r="B513"/>
    </row>
    <row r="514" spans="1:2" x14ac:dyDescent="0.25">
      <c r="A514"/>
      <c r="B514"/>
    </row>
    <row r="515" spans="1:2" x14ac:dyDescent="0.25">
      <c r="A515"/>
      <c r="B515"/>
    </row>
    <row r="516" spans="1:2" x14ac:dyDescent="0.25">
      <c r="A516"/>
      <c r="B516"/>
    </row>
    <row r="517" spans="1:2" x14ac:dyDescent="0.25">
      <c r="A517"/>
      <c r="B517"/>
    </row>
    <row r="518" spans="1:2" x14ac:dyDescent="0.25">
      <c r="A518"/>
      <c r="B518"/>
    </row>
    <row r="519" spans="1:2" x14ac:dyDescent="0.25">
      <c r="A519"/>
      <c r="B519"/>
    </row>
    <row r="520" spans="1:2" x14ac:dyDescent="0.25">
      <c r="A520"/>
      <c r="B520"/>
    </row>
    <row r="521" spans="1:2" x14ac:dyDescent="0.25">
      <c r="A521"/>
      <c r="B521"/>
    </row>
    <row r="522" spans="1:2" x14ac:dyDescent="0.25">
      <c r="A522"/>
      <c r="B522"/>
    </row>
    <row r="523" spans="1:2" x14ac:dyDescent="0.25">
      <c r="A523"/>
      <c r="B523"/>
    </row>
    <row r="524" spans="1:2" x14ac:dyDescent="0.25">
      <c r="A524"/>
      <c r="B524"/>
    </row>
    <row r="525" spans="1:2" x14ac:dyDescent="0.25">
      <c r="A525"/>
      <c r="B525"/>
    </row>
    <row r="526" spans="1:2" x14ac:dyDescent="0.25">
      <c r="A526"/>
      <c r="B526"/>
    </row>
    <row r="527" spans="1:2" x14ac:dyDescent="0.25">
      <c r="A527"/>
      <c r="B527"/>
    </row>
    <row r="528" spans="1:2" x14ac:dyDescent="0.25">
      <c r="A528"/>
      <c r="B528"/>
    </row>
    <row r="529" spans="1:2" x14ac:dyDescent="0.25">
      <c r="A529"/>
      <c r="B529"/>
    </row>
    <row r="530" spans="1:2" x14ac:dyDescent="0.25">
      <c r="A530"/>
      <c r="B530"/>
    </row>
    <row r="531" spans="1:2" x14ac:dyDescent="0.25">
      <c r="A531"/>
      <c r="B531"/>
    </row>
    <row r="532" spans="1:2" x14ac:dyDescent="0.25">
      <c r="A532"/>
      <c r="B532"/>
    </row>
    <row r="533" spans="1:2" x14ac:dyDescent="0.25">
      <c r="A533"/>
      <c r="B533"/>
    </row>
    <row r="534" spans="1:2" x14ac:dyDescent="0.25">
      <c r="A534"/>
      <c r="B534"/>
    </row>
    <row r="535" spans="1:2" x14ac:dyDescent="0.25">
      <c r="A535"/>
      <c r="B535"/>
    </row>
    <row r="536" spans="1:2" x14ac:dyDescent="0.25">
      <c r="A536"/>
      <c r="B536"/>
    </row>
    <row r="537" spans="1:2" x14ac:dyDescent="0.25">
      <c r="A537"/>
      <c r="B537"/>
    </row>
    <row r="538" spans="1:2" x14ac:dyDescent="0.25">
      <c r="A538"/>
      <c r="B538"/>
    </row>
    <row r="539" spans="1:2" x14ac:dyDescent="0.25">
      <c r="A539"/>
      <c r="B539"/>
    </row>
    <row r="540" spans="1:2" x14ac:dyDescent="0.25">
      <c r="A540"/>
      <c r="B540"/>
    </row>
    <row r="541" spans="1:2" x14ac:dyDescent="0.25">
      <c r="A541"/>
      <c r="B541"/>
    </row>
    <row r="542" spans="1:2" x14ac:dyDescent="0.25">
      <c r="A542"/>
      <c r="B542"/>
    </row>
    <row r="543" spans="1:2" x14ac:dyDescent="0.25">
      <c r="A543"/>
      <c r="B543"/>
    </row>
    <row r="544" spans="1:2" x14ac:dyDescent="0.25">
      <c r="A544"/>
      <c r="B544"/>
    </row>
    <row r="545" spans="1:2" x14ac:dyDescent="0.25">
      <c r="A545"/>
      <c r="B545"/>
    </row>
    <row r="546" spans="1:2" x14ac:dyDescent="0.25">
      <c r="A546"/>
      <c r="B546"/>
    </row>
    <row r="547" spans="1:2" x14ac:dyDescent="0.25">
      <c r="A547"/>
      <c r="B547"/>
    </row>
    <row r="548" spans="1:2" x14ac:dyDescent="0.25">
      <c r="A548"/>
      <c r="B548"/>
    </row>
    <row r="549" spans="1:2" x14ac:dyDescent="0.25">
      <c r="A549"/>
      <c r="B549"/>
    </row>
    <row r="550" spans="1:2" x14ac:dyDescent="0.25">
      <c r="A550"/>
      <c r="B550"/>
    </row>
    <row r="551" spans="1:2" x14ac:dyDescent="0.25">
      <c r="A551"/>
      <c r="B551"/>
    </row>
    <row r="552" spans="1:2" x14ac:dyDescent="0.25">
      <c r="A552"/>
      <c r="B552"/>
    </row>
    <row r="553" spans="1:2" x14ac:dyDescent="0.25">
      <c r="A553"/>
      <c r="B553"/>
    </row>
    <row r="554" spans="1:2" x14ac:dyDescent="0.25">
      <c r="A554"/>
      <c r="B554"/>
    </row>
    <row r="555" spans="1:2" x14ac:dyDescent="0.25">
      <c r="A555"/>
      <c r="B555"/>
    </row>
    <row r="556" spans="1:2" x14ac:dyDescent="0.25">
      <c r="A556"/>
      <c r="B556"/>
    </row>
    <row r="557" spans="1:2" x14ac:dyDescent="0.25">
      <c r="A557"/>
      <c r="B557"/>
    </row>
    <row r="558" spans="1:2" x14ac:dyDescent="0.25">
      <c r="A558"/>
      <c r="B558"/>
    </row>
    <row r="559" spans="1:2" x14ac:dyDescent="0.25">
      <c r="A559"/>
      <c r="B559"/>
    </row>
    <row r="560" spans="1:2" x14ac:dyDescent="0.25">
      <c r="A560"/>
      <c r="B560"/>
    </row>
    <row r="561" spans="1:2" x14ac:dyDescent="0.25">
      <c r="A561"/>
      <c r="B561"/>
    </row>
    <row r="562" spans="1:2" x14ac:dyDescent="0.25">
      <c r="A562"/>
      <c r="B562"/>
    </row>
    <row r="563" spans="1:2" x14ac:dyDescent="0.25">
      <c r="A563"/>
      <c r="B563"/>
    </row>
    <row r="564" spans="1:2" x14ac:dyDescent="0.25">
      <c r="A564"/>
      <c r="B564"/>
    </row>
    <row r="565" spans="1:2" x14ac:dyDescent="0.25">
      <c r="A565"/>
      <c r="B565"/>
    </row>
    <row r="566" spans="1:2" x14ac:dyDescent="0.25">
      <c r="A566"/>
      <c r="B566"/>
    </row>
    <row r="567" spans="1:2" x14ac:dyDescent="0.25">
      <c r="A567"/>
      <c r="B567"/>
    </row>
    <row r="568" spans="1:2" x14ac:dyDescent="0.25">
      <c r="A568"/>
      <c r="B568"/>
    </row>
    <row r="569" spans="1:2" x14ac:dyDescent="0.25">
      <c r="A569"/>
      <c r="B569"/>
    </row>
    <row r="570" spans="1:2" x14ac:dyDescent="0.25">
      <c r="A570"/>
      <c r="B570"/>
    </row>
    <row r="571" spans="1:2" x14ac:dyDescent="0.25">
      <c r="A571"/>
      <c r="B571"/>
    </row>
    <row r="572" spans="1:2" x14ac:dyDescent="0.25">
      <c r="A572"/>
      <c r="B572"/>
    </row>
    <row r="573" spans="1:2" x14ac:dyDescent="0.25">
      <c r="A573"/>
      <c r="B573"/>
    </row>
    <row r="574" spans="1:2" x14ac:dyDescent="0.25">
      <c r="A574"/>
      <c r="B574"/>
    </row>
    <row r="575" spans="1:2" x14ac:dyDescent="0.25">
      <c r="A575"/>
      <c r="B575"/>
    </row>
    <row r="576" spans="1:2" x14ac:dyDescent="0.25">
      <c r="A576"/>
      <c r="B576"/>
    </row>
    <row r="577" spans="1:2" x14ac:dyDescent="0.25">
      <c r="A577"/>
      <c r="B577"/>
    </row>
    <row r="578" spans="1:2" x14ac:dyDescent="0.25">
      <c r="A578"/>
      <c r="B578"/>
    </row>
    <row r="579" spans="1:2" x14ac:dyDescent="0.25">
      <c r="A579"/>
      <c r="B579"/>
    </row>
    <row r="580" spans="1:2" x14ac:dyDescent="0.25">
      <c r="A580"/>
      <c r="B580"/>
    </row>
    <row r="581" spans="1:2" x14ac:dyDescent="0.25">
      <c r="A581"/>
      <c r="B581"/>
    </row>
    <row r="582" spans="1:2" x14ac:dyDescent="0.25">
      <c r="A582"/>
      <c r="B582"/>
    </row>
    <row r="583" spans="1:2" x14ac:dyDescent="0.25">
      <c r="A583"/>
      <c r="B583"/>
    </row>
    <row r="584" spans="1:2" x14ac:dyDescent="0.25">
      <c r="A584"/>
      <c r="B584"/>
    </row>
    <row r="585" spans="1:2" x14ac:dyDescent="0.25">
      <c r="A585"/>
      <c r="B585"/>
    </row>
    <row r="586" spans="1:2" x14ac:dyDescent="0.25">
      <c r="A586"/>
      <c r="B586"/>
    </row>
    <row r="587" spans="1:2" x14ac:dyDescent="0.25">
      <c r="A587"/>
      <c r="B587"/>
    </row>
    <row r="588" spans="1:2" x14ac:dyDescent="0.25">
      <c r="A588"/>
      <c r="B588"/>
    </row>
    <row r="589" spans="1:2" x14ac:dyDescent="0.25">
      <c r="A589"/>
      <c r="B589"/>
    </row>
    <row r="590" spans="1:2" x14ac:dyDescent="0.25">
      <c r="A590"/>
      <c r="B590"/>
    </row>
    <row r="591" spans="1:2" x14ac:dyDescent="0.25">
      <c r="A591"/>
      <c r="B591"/>
    </row>
    <row r="592" spans="1:2" x14ac:dyDescent="0.25">
      <c r="A592"/>
      <c r="B592"/>
    </row>
    <row r="593" spans="1:2" x14ac:dyDescent="0.25">
      <c r="A593"/>
      <c r="B593"/>
    </row>
    <row r="594" spans="1:2" x14ac:dyDescent="0.25">
      <c r="A594"/>
      <c r="B594"/>
    </row>
    <row r="595" spans="1:2" x14ac:dyDescent="0.25">
      <c r="A595"/>
      <c r="B595"/>
    </row>
    <row r="596" spans="1:2" x14ac:dyDescent="0.25">
      <c r="A596"/>
      <c r="B596"/>
    </row>
    <row r="597" spans="1:2" x14ac:dyDescent="0.25">
      <c r="A597"/>
      <c r="B597"/>
    </row>
    <row r="598" spans="1:2" x14ac:dyDescent="0.25">
      <c r="A598"/>
      <c r="B598"/>
    </row>
    <row r="599" spans="1:2" x14ac:dyDescent="0.25">
      <c r="A599"/>
      <c r="B599"/>
    </row>
    <row r="600" spans="1:2" x14ac:dyDescent="0.25">
      <c r="A600"/>
      <c r="B600"/>
    </row>
    <row r="601" spans="1:2" x14ac:dyDescent="0.25">
      <c r="A601"/>
      <c r="B601"/>
    </row>
    <row r="602" spans="1:2" x14ac:dyDescent="0.25">
      <c r="A602"/>
      <c r="B602"/>
    </row>
    <row r="603" spans="1:2" x14ac:dyDescent="0.25">
      <c r="A603"/>
      <c r="B603"/>
    </row>
    <row r="604" spans="1:2" x14ac:dyDescent="0.25">
      <c r="A604"/>
      <c r="B604"/>
    </row>
    <row r="605" spans="1:2" x14ac:dyDescent="0.25">
      <c r="A605"/>
      <c r="B605"/>
    </row>
    <row r="606" spans="1:2" x14ac:dyDescent="0.25">
      <c r="A606"/>
      <c r="B606"/>
    </row>
    <row r="607" spans="1:2" x14ac:dyDescent="0.25">
      <c r="A607"/>
      <c r="B607"/>
    </row>
    <row r="608" spans="1:2" x14ac:dyDescent="0.25">
      <c r="A608"/>
      <c r="B608"/>
    </row>
    <row r="609" spans="1:2" x14ac:dyDescent="0.25">
      <c r="A609"/>
      <c r="B609"/>
    </row>
    <row r="610" spans="1:2" x14ac:dyDescent="0.25">
      <c r="A610"/>
      <c r="B610"/>
    </row>
    <row r="611" spans="1:2" x14ac:dyDescent="0.25">
      <c r="A611"/>
      <c r="B611"/>
    </row>
    <row r="612" spans="1:2" x14ac:dyDescent="0.25">
      <c r="A612"/>
      <c r="B612"/>
    </row>
    <row r="613" spans="1:2" x14ac:dyDescent="0.25">
      <c r="A613"/>
      <c r="B613"/>
    </row>
    <row r="614" spans="1:2" x14ac:dyDescent="0.25">
      <c r="A614"/>
      <c r="B614"/>
    </row>
    <row r="615" spans="1:2" x14ac:dyDescent="0.25">
      <c r="A615"/>
      <c r="B615"/>
    </row>
    <row r="616" spans="1:2" x14ac:dyDescent="0.25">
      <c r="A616"/>
      <c r="B616"/>
    </row>
    <row r="617" spans="1:2" x14ac:dyDescent="0.25">
      <c r="A617"/>
      <c r="B617"/>
    </row>
    <row r="618" spans="1:2" x14ac:dyDescent="0.25">
      <c r="A618"/>
      <c r="B618"/>
    </row>
    <row r="619" spans="1:2" x14ac:dyDescent="0.25">
      <c r="A619"/>
      <c r="B619"/>
    </row>
    <row r="620" spans="1:2" x14ac:dyDescent="0.25">
      <c r="A620"/>
      <c r="B620"/>
    </row>
    <row r="621" spans="1:2" x14ac:dyDescent="0.25">
      <c r="A621"/>
      <c r="B621"/>
    </row>
    <row r="622" spans="1:2" x14ac:dyDescent="0.25">
      <c r="A622"/>
      <c r="B622"/>
    </row>
    <row r="623" spans="1:2" x14ac:dyDescent="0.25">
      <c r="A623"/>
      <c r="B623"/>
    </row>
    <row r="624" spans="1:2" x14ac:dyDescent="0.25">
      <c r="A624"/>
      <c r="B624"/>
    </row>
    <row r="625" spans="1:2" x14ac:dyDescent="0.25">
      <c r="A625"/>
      <c r="B625"/>
    </row>
    <row r="626" spans="1:2" x14ac:dyDescent="0.25">
      <c r="A626"/>
      <c r="B626"/>
    </row>
    <row r="627" spans="1:2" x14ac:dyDescent="0.25">
      <c r="A627"/>
      <c r="B627"/>
    </row>
    <row r="628" spans="1:2" x14ac:dyDescent="0.25">
      <c r="A628"/>
      <c r="B628"/>
    </row>
    <row r="629" spans="1:2" x14ac:dyDescent="0.25">
      <c r="A629"/>
      <c r="B629"/>
    </row>
    <row r="630" spans="1:2" x14ac:dyDescent="0.25">
      <c r="A630"/>
      <c r="B630"/>
    </row>
    <row r="631" spans="1:2" x14ac:dyDescent="0.25">
      <c r="A631"/>
      <c r="B631"/>
    </row>
    <row r="632" spans="1:2" x14ac:dyDescent="0.25">
      <c r="A632"/>
      <c r="B632"/>
    </row>
    <row r="633" spans="1:2" x14ac:dyDescent="0.25">
      <c r="A633"/>
      <c r="B633"/>
    </row>
    <row r="634" spans="1:2" x14ac:dyDescent="0.25">
      <c r="A634"/>
      <c r="B634"/>
    </row>
    <row r="635" spans="1:2" x14ac:dyDescent="0.25">
      <c r="A635"/>
      <c r="B635"/>
    </row>
    <row r="636" spans="1:2" x14ac:dyDescent="0.25">
      <c r="A636"/>
      <c r="B636"/>
    </row>
    <row r="637" spans="1:2" x14ac:dyDescent="0.25">
      <c r="A637"/>
      <c r="B637"/>
    </row>
    <row r="638" spans="1:2" x14ac:dyDescent="0.25">
      <c r="A638"/>
      <c r="B638"/>
    </row>
    <row r="639" spans="1:2" x14ac:dyDescent="0.25">
      <c r="A639"/>
      <c r="B639"/>
    </row>
    <row r="640" spans="1:2" x14ac:dyDescent="0.25">
      <c r="A640"/>
      <c r="B640"/>
    </row>
    <row r="641" spans="1:2" x14ac:dyDescent="0.25">
      <c r="A641"/>
      <c r="B641"/>
    </row>
    <row r="642" spans="1:2" x14ac:dyDescent="0.25">
      <c r="A642"/>
      <c r="B642"/>
    </row>
    <row r="643" spans="1:2" x14ac:dyDescent="0.25">
      <c r="A643"/>
      <c r="B643"/>
    </row>
    <row r="644" spans="1:2" x14ac:dyDescent="0.25">
      <c r="A644"/>
      <c r="B644"/>
    </row>
    <row r="645" spans="1:2" x14ac:dyDescent="0.25">
      <c r="A645"/>
      <c r="B645"/>
    </row>
    <row r="646" spans="1:2" x14ac:dyDescent="0.25">
      <c r="A646"/>
      <c r="B646"/>
    </row>
    <row r="647" spans="1:2" x14ac:dyDescent="0.25">
      <c r="A647"/>
      <c r="B647"/>
    </row>
    <row r="648" spans="1:2" x14ac:dyDescent="0.25">
      <c r="A648"/>
      <c r="B648"/>
    </row>
    <row r="649" spans="1:2" x14ac:dyDescent="0.25">
      <c r="A649"/>
      <c r="B649"/>
    </row>
    <row r="650" spans="1:2" x14ac:dyDescent="0.25">
      <c r="A650"/>
      <c r="B650"/>
    </row>
    <row r="651" spans="1:2" x14ac:dyDescent="0.25">
      <c r="A651"/>
      <c r="B651"/>
    </row>
    <row r="652" spans="1:2" x14ac:dyDescent="0.25">
      <c r="A652"/>
      <c r="B652"/>
    </row>
    <row r="653" spans="1:2" x14ac:dyDescent="0.25">
      <c r="A653"/>
      <c r="B653"/>
    </row>
    <row r="654" spans="1:2" x14ac:dyDescent="0.25">
      <c r="A654"/>
      <c r="B654"/>
    </row>
    <row r="655" spans="1:2" x14ac:dyDescent="0.25">
      <c r="A655"/>
      <c r="B655"/>
    </row>
    <row r="656" spans="1:2" x14ac:dyDescent="0.25">
      <c r="A656"/>
      <c r="B656"/>
    </row>
    <row r="657" spans="1:2" x14ac:dyDescent="0.25">
      <c r="A657"/>
      <c r="B657"/>
    </row>
    <row r="658" spans="1:2" x14ac:dyDescent="0.25">
      <c r="A658"/>
      <c r="B658"/>
    </row>
    <row r="659" spans="1:2" x14ac:dyDescent="0.25">
      <c r="A659"/>
      <c r="B659"/>
    </row>
    <row r="660" spans="1:2" x14ac:dyDescent="0.25">
      <c r="A660"/>
      <c r="B660"/>
    </row>
    <row r="661" spans="1:2" x14ac:dyDescent="0.25">
      <c r="A661"/>
      <c r="B661"/>
    </row>
    <row r="662" spans="1:2" x14ac:dyDescent="0.25">
      <c r="A662"/>
      <c r="B662"/>
    </row>
    <row r="663" spans="1:2" x14ac:dyDescent="0.25">
      <c r="A663"/>
      <c r="B663"/>
    </row>
    <row r="664" spans="1:2" x14ac:dyDescent="0.25">
      <c r="A664"/>
      <c r="B664"/>
    </row>
    <row r="665" spans="1:2" x14ac:dyDescent="0.25">
      <c r="A665"/>
      <c r="B665"/>
    </row>
    <row r="666" spans="1:2" x14ac:dyDescent="0.25">
      <c r="A666"/>
      <c r="B666"/>
    </row>
    <row r="667" spans="1:2" x14ac:dyDescent="0.25">
      <c r="A667"/>
      <c r="B667"/>
    </row>
    <row r="668" spans="1:2" x14ac:dyDescent="0.25">
      <c r="A668"/>
      <c r="B668"/>
    </row>
    <row r="669" spans="1:2" x14ac:dyDescent="0.25">
      <c r="A669"/>
      <c r="B669"/>
    </row>
    <row r="670" spans="1:2" x14ac:dyDescent="0.25">
      <c r="A670"/>
      <c r="B670"/>
    </row>
    <row r="671" spans="1:2" x14ac:dyDescent="0.25">
      <c r="A671"/>
      <c r="B671"/>
    </row>
    <row r="672" spans="1:2" x14ac:dyDescent="0.25">
      <c r="A672"/>
      <c r="B672"/>
    </row>
    <row r="673" spans="1:2" x14ac:dyDescent="0.25">
      <c r="A673"/>
      <c r="B673"/>
    </row>
    <row r="674" spans="1:2" x14ac:dyDescent="0.25">
      <c r="A674"/>
      <c r="B674"/>
    </row>
    <row r="675" spans="1:2" x14ac:dyDescent="0.25">
      <c r="A675"/>
      <c r="B675"/>
    </row>
    <row r="676" spans="1:2" x14ac:dyDescent="0.25">
      <c r="A676"/>
      <c r="B676"/>
    </row>
    <row r="677" spans="1:2" x14ac:dyDescent="0.25">
      <c r="A677"/>
      <c r="B677"/>
    </row>
    <row r="678" spans="1:2" x14ac:dyDescent="0.25">
      <c r="A678"/>
      <c r="B678"/>
    </row>
    <row r="679" spans="1:2" x14ac:dyDescent="0.25">
      <c r="A679"/>
      <c r="B679"/>
    </row>
    <row r="680" spans="1:2" x14ac:dyDescent="0.25">
      <c r="A680"/>
      <c r="B680"/>
    </row>
    <row r="681" spans="1:2" x14ac:dyDescent="0.25">
      <c r="A681"/>
      <c r="B681"/>
    </row>
    <row r="682" spans="1:2" x14ac:dyDescent="0.25">
      <c r="A682"/>
      <c r="B682"/>
    </row>
    <row r="683" spans="1:2" x14ac:dyDescent="0.25">
      <c r="A683"/>
      <c r="B683"/>
    </row>
    <row r="684" spans="1:2" x14ac:dyDescent="0.25">
      <c r="A684"/>
      <c r="B684"/>
    </row>
    <row r="685" spans="1:2" x14ac:dyDescent="0.25">
      <c r="A685"/>
      <c r="B685"/>
    </row>
    <row r="686" spans="1:2" x14ac:dyDescent="0.25">
      <c r="A686"/>
      <c r="B686"/>
    </row>
    <row r="687" spans="1:2" x14ac:dyDescent="0.25">
      <c r="A687"/>
      <c r="B687"/>
    </row>
    <row r="688" spans="1:2" x14ac:dyDescent="0.25">
      <c r="A688"/>
      <c r="B688"/>
    </row>
    <row r="689" spans="1:2" x14ac:dyDescent="0.25">
      <c r="A689"/>
      <c r="B689"/>
    </row>
    <row r="690" spans="1:2" x14ac:dyDescent="0.25">
      <c r="A690"/>
      <c r="B690"/>
    </row>
    <row r="691" spans="1:2" x14ac:dyDescent="0.25">
      <c r="A691"/>
      <c r="B691"/>
    </row>
    <row r="692" spans="1:2" x14ac:dyDescent="0.25">
      <c r="A692"/>
      <c r="B692"/>
    </row>
    <row r="693" spans="1:2" x14ac:dyDescent="0.25">
      <c r="A693"/>
      <c r="B693"/>
    </row>
    <row r="694" spans="1:2" x14ac:dyDescent="0.25">
      <c r="A694"/>
      <c r="B694"/>
    </row>
    <row r="695" spans="1:2" x14ac:dyDescent="0.25">
      <c r="A695"/>
      <c r="B695"/>
    </row>
    <row r="696" spans="1:2" x14ac:dyDescent="0.25">
      <c r="A696"/>
      <c r="B696"/>
    </row>
    <row r="697" spans="1:2" x14ac:dyDescent="0.25">
      <c r="A697"/>
      <c r="B697"/>
    </row>
    <row r="698" spans="1:2" x14ac:dyDescent="0.25">
      <c r="A698"/>
      <c r="B698"/>
    </row>
    <row r="699" spans="1:2" x14ac:dyDescent="0.25">
      <c r="A699"/>
      <c r="B699"/>
    </row>
    <row r="700" spans="1:2" x14ac:dyDescent="0.25">
      <c r="A700"/>
      <c r="B700"/>
    </row>
    <row r="701" spans="1:2" x14ac:dyDescent="0.25">
      <c r="A701"/>
      <c r="B701"/>
    </row>
    <row r="702" spans="1:2" x14ac:dyDescent="0.25">
      <c r="A702"/>
      <c r="B702"/>
    </row>
    <row r="703" spans="1:2" x14ac:dyDescent="0.25">
      <c r="A703"/>
      <c r="B703"/>
    </row>
    <row r="704" spans="1:2" x14ac:dyDescent="0.25">
      <c r="A704"/>
      <c r="B704"/>
    </row>
    <row r="705" spans="1:2" x14ac:dyDescent="0.25">
      <c r="A705"/>
      <c r="B705"/>
    </row>
    <row r="706" spans="1:2" x14ac:dyDescent="0.25">
      <c r="A706"/>
      <c r="B706"/>
    </row>
    <row r="707" spans="1:2" x14ac:dyDescent="0.25">
      <c r="A707"/>
      <c r="B707"/>
    </row>
    <row r="708" spans="1:2" x14ac:dyDescent="0.25">
      <c r="A708"/>
      <c r="B708"/>
    </row>
    <row r="709" spans="1:2" x14ac:dyDescent="0.25">
      <c r="A709"/>
      <c r="B709"/>
    </row>
    <row r="710" spans="1:2" x14ac:dyDescent="0.25">
      <c r="A710"/>
      <c r="B710"/>
    </row>
    <row r="711" spans="1:2" x14ac:dyDescent="0.25">
      <c r="A711"/>
      <c r="B711"/>
    </row>
    <row r="712" spans="1:2" x14ac:dyDescent="0.25">
      <c r="A712"/>
      <c r="B712"/>
    </row>
    <row r="713" spans="1:2" x14ac:dyDescent="0.25">
      <c r="A713"/>
      <c r="B713"/>
    </row>
    <row r="714" spans="1:2" x14ac:dyDescent="0.25">
      <c r="A714"/>
      <c r="B714"/>
    </row>
    <row r="715" spans="1:2" x14ac:dyDescent="0.25">
      <c r="A715"/>
      <c r="B715"/>
    </row>
    <row r="716" spans="1:2" x14ac:dyDescent="0.25">
      <c r="A716"/>
      <c r="B716"/>
    </row>
    <row r="717" spans="1:2" x14ac:dyDescent="0.25">
      <c r="A717"/>
      <c r="B717"/>
    </row>
    <row r="718" spans="1:2" x14ac:dyDescent="0.25">
      <c r="A718"/>
      <c r="B718"/>
    </row>
    <row r="719" spans="1:2" x14ac:dyDescent="0.25">
      <c r="A719"/>
      <c r="B719"/>
    </row>
    <row r="720" spans="1:2" x14ac:dyDescent="0.25">
      <c r="A720"/>
      <c r="B720"/>
    </row>
    <row r="721" spans="1:2" x14ac:dyDescent="0.25">
      <c r="A721"/>
      <c r="B721"/>
    </row>
    <row r="722" spans="1:2" x14ac:dyDescent="0.25">
      <c r="A722"/>
      <c r="B722"/>
    </row>
    <row r="723" spans="1:2" x14ac:dyDescent="0.25">
      <c r="A723"/>
      <c r="B723"/>
    </row>
    <row r="724" spans="1:2" x14ac:dyDescent="0.25">
      <c r="A724"/>
      <c r="B724"/>
    </row>
    <row r="725" spans="1:2" x14ac:dyDescent="0.25">
      <c r="A725"/>
      <c r="B725"/>
    </row>
    <row r="726" spans="1:2" x14ac:dyDescent="0.25">
      <c r="A726"/>
      <c r="B726"/>
    </row>
    <row r="727" spans="1:2" x14ac:dyDescent="0.25">
      <c r="A727"/>
      <c r="B727"/>
    </row>
    <row r="728" spans="1:2" x14ac:dyDescent="0.25">
      <c r="A728"/>
      <c r="B728"/>
    </row>
    <row r="729" spans="1:2" x14ac:dyDescent="0.25">
      <c r="A729"/>
      <c r="B729"/>
    </row>
    <row r="730" spans="1:2" x14ac:dyDescent="0.25">
      <c r="A730"/>
      <c r="B730"/>
    </row>
    <row r="731" spans="1:2" x14ac:dyDescent="0.25">
      <c r="A731"/>
      <c r="B731"/>
    </row>
    <row r="732" spans="1:2" x14ac:dyDescent="0.25">
      <c r="A732"/>
      <c r="B732"/>
    </row>
    <row r="733" spans="1:2" x14ac:dyDescent="0.25">
      <c r="A733"/>
      <c r="B733"/>
    </row>
    <row r="734" spans="1:2" x14ac:dyDescent="0.25">
      <c r="A734"/>
      <c r="B734"/>
    </row>
    <row r="735" spans="1:2" x14ac:dyDescent="0.25">
      <c r="A735"/>
      <c r="B735"/>
    </row>
    <row r="736" spans="1:2" x14ac:dyDescent="0.25">
      <c r="A736"/>
      <c r="B736"/>
    </row>
    <row r="737" spans="1:2" x14ac:dyDescent="0.25">
      <c r="A737"/>
      <c r="B737"/>
    </row>
    <row r="738" spans="1:2" x14ac:dyDescent="0.25">
      <c r="A738"/>
      <c r="B738"/>
    </row>
    <row r="739" spans="1:2" x14ac:dyDescent="0.25">
      <c r="A739"/>
      <c r="B739"/>
    </row>
    <row r="740" spans="1:2" x14ac:dyDescent="0.25">
      <c r="A740"/>
      <c r="B740"/>
    </row>
    <row r="741" spans="1:2" x14ac:dyDescent="0.25">
      <c r="A741"/>
      <c r="B741"/>
    </row>
    <row r="742" spans="1:2" x14ac:dyDescent="0.25">
      <c r="A742"/>
      <c r="B742"/>
    </row>
    <row r="743" spans="1:2" x14ac:dyDescent="0.25">
      <c r="A743"/>
      <c r="B743"/>
    </row>
    <row r="744" spans="1:2" x14ac:dyDescent="0.25">
      <c r="A744"/>
      <c r="B744"/>
    </row>
    <row r="745" spans="1:2" x14ac:dyDescent="0.25">
      <c r="A745"/>
      <c r="B745"/>
    </row>
    <row r="746" spans="1:2" x14ac:dyDescent="0.25">
      <c r="A746"/>
      <c r="B746"/>
    </row>
    <row r="747" spans="1:2" x14ac:dyDescent="0.25">
      <c r="A747"/>
      <c r="B747"/>
    </row>
    <row r="748" spans="1:2" x14ac:dyDescent="0.25">
      <c r="A748"/>
      <c r="B748"/>
    </row>
    <row r="749" spans="1:2" x14ac:dyDescent="0.25">
      <c r="A749"/>
      <c r="B749"/>
    </row>
    <row r="750" spans="1:2" x14ac:dyDescent="0.25">
      <c r="A750"/>
      <c r="B750"/>
    </row>
    <row r="751" spans="1:2" x14ac:dyDescent="0.25">
      <c r="A751"/>
      <c r="B751"/>
    </row>
    <row r="752" spans="1:2" x14ac:dyDescent="0.25">
      <c r="A752"/>
      <c r="B752"/>
    </row>
    <row r="753" spans="1:2" x14ac:dyDescent="0.25">
      <c r="A753"/>
      <c r="B753"/>
    </row>
    <row r="754" spans="1:2" x14ac:dyDescent="0.25">
      <c r="A754"/>
      <c r="B754"/>
    </row>
    <row r="755" spans="1:2" x14ac:dyDescent="0.25">
      <c r="A755"/>
      <c r="B755"/>
    </row>
    <row r="756" spans="1:2" x14ac:dyDescent="0.25">
      <c r="A756"/>
      <c r="B756"/>
    </row>
    <row r="757" spans="1:2" x14ac:dyDescent="0.25">
      <c r="A757"/>
      <c r="B757"/>
    </row>
    <row r="758" spans="1:2" x14ac:dyDescent="0.25">
      <c r="A758"/>
      <c r="B758"/>
    </row>
    <row r="759" spans="1:2" x14ac:dyDescent="0.25">
      <c r="A759"/>
      <c r="B759"/>
    </row>
    <row r="760" spans="1:2" x14ac:dyDescent="0.25">
      <c r="A760"/>
      <c r="B760"/>
    </row>
    <row r="761" spans="1:2" x14ac:dyDescent="0.25">
      <c r="A761"/>
      <c r="B761"/>
    </row>
    <row r="762" spans="1:2" x14ac:dyDescent="0.25">
      <c r="A762"/>
      <c r="B762"/>
    </row>
    <row r="763" spans="1:2" x14ac:dyDescent="0.25">
      <c r="A763"/>
      <c r="B763"/>
    </row>
    <row r="764" spans="1:2" x14ac:dyDescent="0.25">
      <c r="A764"/>
      <c r="B764"/>
    </row>
    <row r="765" spans="1:2" x14ac:dyDescent="0.25">
      <c r="A765"/>
      <c r="B765"/>
    </row>
    <row r="766" spans="1:2" x14ac:dyDescent="0.25">
      <c r="A766"/>
      <c r="B766"/>
    </row>
    <row r="767" spans="1:2" x14ac:dyDescent="0.25">
      <c r="A767"/>
      <c r="B767"/>
    </row>
    <row r="768" spans="1:2" x14ac:dyDescent="0.25">
      <c r="A768"/>
      <c r="B768"/>
    </row>
    <row r="769" spans="1:2" x14ac:dyDescent="0.25">
      <c r="A769"/>
      <c r="B769"/>
    </row>
    <row r="770" spans="1:2" x14ac:dyDescent="0.25">
      <c r="A770"/>
      <c r="B770"/>
    </row>
    <row r="771" spans="1:2" x14ac:dyDescent="0.25">
      <c r="A771"/>
      <c r="B771"/>
    </row>
    <row r="772" spans="1:2" x14ac:dyDescent="0.25">
      <c r="A772"/>
      <c r="B772"/>
    </row>
    <row r="773" spans="1:2" x14ac:dyDescent="0.25">
      <c r="A773"/>
      <c r="B773"/>
    </row>
    <row r="774" spans="1:2" x14ac:dyDescent="0.25">
      <c r="A774"/>
      <c r="B774"/>
    </row>
    <row r="775" spans="1:2" x14ac:dyDescent="0.25">
      <c r="A775"/>
      <c r="B775"/>
    </row>
    <row r="776" spans="1:2" x14ac:dyDescent="0.25">
      <c r="A776"/>
      <c r="B776"/>
    </row>
    <row r="777" spans="1:2" x14ac:dyDescent="0.25">
      <c r="A777"/>
      <c r="B777"/>
    </row>
    <row r="778" spans="1:2" x14ac:dyDescent="0.25">
      <c r="A778"/>
      <c r="B778"/>
    </row>
    <row r="779" spans="1:2" x14ac:dyDescent="0.25">
      <c r="A779"/>
      <c r="B779"/>
    </row>
    <row r="780" spans="1:2" x14ac:dyDescent="0.25">
      <c r="A780"/>
      <c r="B780"/>
    </row>
    <row r="781" spans="1:2" x14ac:dyDescent="0.25">
      <c r="A781"/>
      <c r="B781"/>
    </row>
    <row r="782" spans="1:2" x14ac:dyDescent="0.25">
      <c r="A782"/>
      <c r="B782"/>
    </row>
    <row r="783" spans="1:2" x14ac:dyDescent="0.25">
      <c r="A783"/>
      <c r="B783"/>
    </row>
    <row r="784" spans="1:2" x14ac:dyDescent="0.25">
      <c r="A784"/>
      <c r="B784"/>
    </row>
    <row r="785" spans="1:2" x14ac:dyDescent="0.25">
      <c r="A785"/>
      <c r="B785"/>
    </row>
    <row r="786" spans="1:2" x14ac:dyDescent="0.25">
      <c r="A786"/>
      <c r="B786"/>
    </row>
    <row r="787" spans="1:2" x14ac:dyDescent="0.25">
      <c r="A787"/>
      <c r="B787"/>
    </row>
    <row r="788" spans="1:2" x14ac:dyDescent="0.25">
      <c r="A788"/>
      <c r="B788"/>
    </row>
    <row r="789" spans="1:2" x14ac:dyDescent="0.25">
      <c r="A789"/>
      <c r="B789"/>
    </row>
    <row r="790" spans="1:2" x14ac:dyDescent="0.25">
      <c r="A790"/>
      <c r="B790"/>
    </row>
    <row r="791" spans="1:2" x14ac:dyDescent="0.25">
      <c r="A791"/>
      <c r="B791"/>
    </row>
    <row r="792" spans="1:2" x14ac:dyDescent="0.25">
      <c r="A792"/>
      <c r="B792"/>
    </row>
    <row r="793" spans="1:2" x14ac:dyDescent="0.25">
      <c r="A793"/>
      <c r="B793"/>
    </row>
    <row r="794" spans="1:2" x14ac:dyDescent="0.25">
      <c r="A794"/>
      <c r="B794"/>
    </row>
    <row r="795" spans="1:2" x14ac:dyDescent="0.25">
      <c r="A795"/>
      <c r="B795"/>
    </row>
    <row r="796" spans="1:2" x14ac:dyDescent="0.25">
      <c r="A796"/>
      <c r="B796"/>
    </row>
    <row r="797" spans="1:2" x14ac:dyDescent="0.25">
      <c r="A797"/>
      <c r="B797"/>
    </row>
    <row r="798" spans="1:2" x14ac:dyDescent="0.25">
      <c r="A798"/>
      <c r="B798"/>
    </row>
    <row r="799" spans="1:2" x14ac:dyDescent="0.25">
      <c r="A799"/>
      <c r="B799"/>
    </row>
    <row r="800" spans="1:2" x14ac:dyDescent="0.25">
      <c r="A800"/>
      <c r="B800"/>
    </row>
    <row r="801" spans="1:2" x14ac:dyDescent="0.25">
      <c r="A801"/>
      <c r="B801"/>
    </row>
    <row r="802" spans="1:2" x14ac:dyDescent="0.25">
      <c r="A802"/>
      <c r="B802"/>
    </row>
    <row r="803" spans="1:2" x14ac:dyDescent="0.25">
      <c r="A803"/>
      <c r="B803"/>
    </row>
    <row r="804" spans="1:2" x14ac:dyDescent="0.25">
      <c r="A804"/>
      <c r="B804"/>
    </row>
    <row r="805" spans="1:2" x14ac:dyDescent="0.25">
      <c r="A805"/>
      <c r="B805"/>
    </row>
    <row r="806" spans="1:2" x14ac:dyDescent="0.25">
      <c r="A806"/>
      <c r="B806"/>
    </row>
    <row r="807" spans="1:2" x14ac:dyDescent="0.25">
      <c r="A807"/>
      <c r="B807"/>
    </row>
    <row r="808" spans="1:2" x14ac:dyDescent="0.25">
      <c r="A808"/>
      <c r="B808"/>
    </row>
    <row r="809" spans="1:2" x14ac:dyDescent="0.25">
      <c r="A809"/>
      <c r="B809"/>
    </row>
    <row r="810" spans="1:2" x14ac:dyDescent="0.25">
      <c r="A810"/>
      <c r="B810"/>
    </row>
    <row r="811" spans="1:2" x14ac:dyDescent="0.25">
      <c r="A811"/>
      <c r="B811"/>
    </row>
    <row r="812" spans="1:2" x14ac:dyDescent="0.25">
      <c r="A812"/>
      <c r="B812"/>
    </row>
    <row r="813" spans="1:2" x14ac:dyDescent="0.25">
      <c r="A813"/>
      <c r="B813"/>
    </row>
    <row r="814" spans="1:2" x14ac:dyDescent="0.25">
      <c r="A814"/>
      <c r="B814"/>
    </row>
    <row r="815" spans="1:2" x14ac:dyDescent="0.25">
      <c r="A815"/>
      <c r="B815"/>
    </row>
    <row r="816" spans="1:2" x14ac:dyDescent="0.25">
      <c r="A816"/>
      <c r="B816"/>
    </row>
    <row r="817" spans="1:2" x14ac:dyDescent="0.25">
      <c r="A817"/>
      <c r="B817"/>
    </row>
    <row r="818" spans="1:2" x14ac:dyDescent="0.25">
      <c r="A818"/>
      <c r="B818"/>
    </row>
    <row r="819" spans="1:2" x14ac:dyDescent="0.25">
      <c r="A819"/>
      <c r="B819"/>
    </row>
    <row r="820" spans="1:2" x14ac:dyDescent="0.25">
      <c r="A820"/>
      <c r="B820"/>
    </row>
    <row r="821" spans="1:2" x14ac:dyDescent="0.25">
      <c r="A821"/>
      <c r="B821"/>
    </row>
    <row r="822" spans="1:2" x14ac:dyDescent="0.25">
      <c r="A822"/>
      <c r="B822"/>
    </row>
    <row r="823" spans="1:2" x14ac:dyDescent="0.25">
      <c r="A823"/>
      <c r="B823"/>
    </row>
    <row r="824" spans="1:2" x14ac:dyDescent="0.25">
      <c r="A824"/>
      <c r="B824"/>
    </row>
    <row r="825" spans="1:2" x14ac:dyDescent="0.25">
      <c r="A825"/>
      <c r="B825"/>
    </row>
    <row r="826" spans="1:2" x14ac:dyDescent="0.25">
      <c r="A826"/>
      <c r="B826"/>
    </row>
    <row r="827" spans="1:2" x14ac:dyDescent="0.25">
      <c r="A827"/>
      <c r="B827"/>
    </row>
    <row r="828" spans="1:2" x14ac:dyDescent="0.25">
      <c r="A828"/>
      <c r="B828"/>
    </row>
    <row r="829" spans="1:2" x14ac:dyDescent="0.25">
      <c r="A829"/>
      <c r="B829"/>
    </row>
    <row r="830" spans="1:2" x14ac:dyDescent="0.25">
      <c r="A830"/>
      <c r="B830"/>
    </row>
    <row r="831" spans="1:2" x14ac:dyDescent="0.25">
      <c r="A831"/>
      <c r="B831"/>
    </row>
    <row r="832" spans="1:2" x14ac:dyDescent="0.25">
      <c r="A832"/>
      <c r="B832"/>
    </row>
    <row r="833" spans="1:2" x14ac:dyDescent="0.25">
      <c r="A833"/>
      <c r="B833"/>
    </row>
    <row r="834" spans="1:2" x14ac:dyDescent="0.25">
      <c r="A834"/>
      <c r="B834"/>
    </row>
    <row r="835" spans="1:2" x14ac:dyDescent="0.25">
      <c r="A835"/>
      <c r="B835"/>
    </row>
    <row r="836" spans="1:2" x14ac:dyDescent="0.25">
      <c r="A836"/>
      <c r="B836"/>
    </row>
    <row r="837" spans="1:2" x14ac:dyDescent="0.25">
      <c r="A837"/>
      <c r="B837"/>
    </row>
    <row r="838" spans="1:2" x14ac:dyDescent="0.25">
      <c r="A838"/>
      <c r="B838"/>
    </row>
    <row r="839" spans="1:2" x14ac:dyDescent="0.25">
      <c r="A839"/>
      <c r="B839"/>
    </row>
    <row r="840" spans="1:2" x14ac:dyDescent="0.25">
      <c r="A840"/>
      <c r="B840"/>
    </row>
    <row r="841" spans="1:2" x14ac:dyDescent="0.25">
      <c r="A841"/>
      <c r="B841"/>
    </row>
    <row r="842" spans="1:2" x14ac:dyDescent="0.25">
      <c r="A842"/>
      <c r="B842"/>
    </row>
    <row r="843" spans="1:2" x14ac:dyDescent="0.25">
      <c r="A843"/>
      <c r="B843"/>
    </row>
    <row r="844" spans="1:2" x14ac:dyDescent="0.25">
      <c r="A844"/>
      <c r="B844"/>
    </row>
    <row r="845" spans="1:2" x14ac:dyDescent="0.25">
      <c r="A845"/>
      <c r="B845"/>
    </row>
    <row r="846" spans="1:2" x14ac:dyDescent="0.25">
      <c r="A846"/>
      <c r="B846"/>
    </row>
    <row r="847" spans="1:2" x14ac:dyDescent="0.25">
      <c r="A847"/>
      <c r="B847"/>
    </row>
    <row r="848" spans="1:2" x14ac:dyDescent="0.25">
      <c r="A848"/>
      <c r="B848"/>
    </row>
    <row r="849" spans="1:2" x14ac:dyDescent="0.25">
      <c r="A849"/>
      <c r="B849"/>
    </row>
    <row r="850" spans="1:2" x14ac:dyDescent="0.25">
      <c r="A850"/>
      <c r="B850"/>
    </row>
    <row r="851" spans="1:2" x14ac:dyDescent="0.25">
      <c r="A851"/>
      <c r="B851"/>
    </row>
    <row r="852" spans="1:2" x14ac:dyDescent="0.25">
      <c r="A852"/>
      <c r="B852"/>
    </row>
    <row r="853" spans="1:2" x14ac:dyDescent="0.25">
      <c r="A853"/>
      <c r="B853"/>
    </row>
    <row r="854" spans="1:2" x14ac:dyDescent="0.25">
      <c r="A854"/>
      <c r="B854"/>
    </row>
    <row r="855" spans="1:2" x14ac:dyDescent="0.25">
      <c r="A855"/>
      <c r="B855"/>
    </row>
    <row r="856" spans="1:2" x14ac:dyDescent="0.25">
      <c r="A856"/>
      <c r="B856"/>
    </row>
    <row r="857" spans="1:2" x14ac:dyDescent="0.25">
      <c r="A857"/>
      <c r="B857"/>
    </row>
    <row r="858" spans="1:2" x14ac:dyDescent="0.25">
      <c r="A858"/>
      <c r="B858"/>
    </row>
    <row r="859" spans="1:2" x14ac:dyDescent="0.25">
      <c r="A859"/>
      <c r="B859"/>
    </row>
    <row r="860" spans="1:2" x14ac:dyDescent="0.25">
      <c r="A860"/>
      <c r="B860"/>
    </row>
    <row r="861" spans="1:2" x14ac:dyDescent="0.25">
      <c r="A861"/>
      <c r="B861"/>
    </row>
    <row r="862" spans="1:2" x14ac:dyDescent="0.25">
      <c r="A862"/>
      <c r="B862"/>
    </row>
    <row r="863" spans="1:2" x14ac:dyDescent="0.25">
      <c r="A863"/>
      <c r="B863"/>
    </row>
    <row r="864" spans="1:2" x14ac:dyDescent="0.25">
      <c r="A864"/>
      <c r="B864"/>
    </row>
    <row r="865" spans="1:2" x14ac:dyDescent="0.25">
      <c r="A865"/>
      <c r="B865"/>
    </row>
    <row r="866" spans="1:2" x14ac:dyDescent="0.25">
      <c r="A866"/>
      <c r="B866"/>
    </row>
    <row r="867" spans="1:2" x14ac:dyDescent="0.25">
      <c r="A867"/>
      <c r="B867"/>
    </row>
    <row r="868" spans="1:2" x14ac:dyDescent="0.25">
      <c r="A868"/>
      <c r="B868"/>
    </row>
    <row r="869" spans="1:2" x14ac:dyDescent="0.25">
      <c r="A869"/>
      <c r="B869"/>
    </row>
    <row r="870" spans="1:2" x14ac:dyDescent="0.25">
      <c r="A870"/>
      <c r="B870"/>
    </row>
    <row r="871" spans="1:2" x14ac:dyDescent="0.25">
      <c r="A871"/>
      <c r="B871"/>
    </row>
    <row r="872" spans="1:2" x14ac:dyDescent="0.25">
      <c r="A872"/>
      <c r="B872"/>
    </row>
    <row r="873" spans="1:2" x14ac:dyDescent="0.25">
      <c r="A873"/>
      <c r="B873"/>
    </row>
    <row r="874" spans="1:2" x14ac:dyDescent="0.25">
      <c r="A874"/>
      <c r="B874"/>
    </row>
    <row r="875" spans="1:2" x14ac:dyDescent="0.25">
      <c r="A875"/>
      <c r="B875"/>
    </row>
    <row r="876" spans="1:2" x14ac:dyDescent="0.25">
      <c r="A876"/>
      <c r="B876"/>
    </row>
    <row r="877" spans="1:2" x14ac:dyDescent="0.25">
      <c r="A877"/>
      <c r="B877"/>
    </row>
    <row r="878" spans="1:2" x14ac:dyDescent="0.25">
      <c r="A878"/>
      <c r="B878"/>
    </row>
    <row r="879" spans="1:2" x14ac:dyDescent="0.25">
      <c r="A879"/>
      <c r="B879"/>
    </row>
    <row r="880" spans="1:2" x14ac:dyDescent="0.25">
      <c r="A880"/>
      <c r="B880"/>
    </row>
    <row r="881" spans="1:2" x14ac:dyDescent="0.25">
      <c r="A881"/>
      <c r="B881"/>
    </row>
    <row r="882" spans="1:2" x14ac:dyDescent="0.25">
      <c r="A882"/>
      <c r="B882"/>
    </row>
    <row r="883" spans="1:2" x14ac:dyDescent="0.25">
      <c r="A883"/>
      <c r="B883"/>
    </row>
    <row r="884" spans="1:2" x14ac:dyDescent="0.25">
      <c r="A884"/>
      <c r="B884"/>
    </row>
    <row r="885" spans="1:2" x14ac:dyDescent="0.25">
      <c r="A885"/>
      <c r="B885"/>
    </row>
    <row r="886" spans="1:2" x14ac:dyDescent="0.25">
      <c r="A886"/>
      <c r="B886"/>
    </row>
    <row r="887" spans="1:2" x14ac:dyDescent="0.25">
      <c r="A887"/>
      <c r="B887"/>
    </row>
    <row r="888" spans="1:2" x14ac:dyDescent="0.25">
      <c r="A888"/>
      <c r="B888"/>
    </row>
    <row r="889" spans="1:2" x14ac:dyDescent="0.25">
      <c r="A889"/>
      <c r="B889"/>
    </row>
    <row r="890" spans="1:2" x14ac:dyDescent="0.25">
      <c r="A890"/>
      <c r="B890"/>
    </row>
    <row r="891" spans="1:2" x14ac:dyDescent="0.25">
      <c r="A891"/>
      <c r="B891"/>
    </row>
    <row r="892" spans="1:2" x14ac:dyDescent="0.25">
      <c r="A892"/>
      <c r="B892"/>
    </row>
    <row r="893" spans="1:2" x14ac:dyDescent="0.25">
      <c r="A893"/>
      <c r="B893"/>
    </row>
    <row r="894" spans="1:2" x14ac:dyDescent="0.25">
      <c r="A894"/>
      <c r="B894"/>
    </row>
    <row r="895" spans="1:2" x14ac:dyDescent="0.25">
      <c r="A895"/>
      <c r="B895"/>
    </row>
    <row r="896" spans="1:2" x14ac:dyDescent="0.25">
      <c r="A896"/>
      <c r="B896"/>
    </row>
    <row r="897" spans="1:2" x14ac:dyDescent="0.25">
      <c r="A897"/>
      <c r="B897"/>
    </row>
    <row r="898" spans="1:2" x14ac:dyDescent="0.25">
      <c r="A898"/>
      <c r="B898"/>
    </row>
    <row r="899" spans="1:2" x14ac:dyDescent="0.25">
      <c r="A899"/>
      <c r="B899"/>
    </row>
    <row r="900" spans="1:2" x14ac:dyDescent="0.25">
      <c r="A900"/>
      <c r="B900"/>
    </row>
    <row r="901" spans="1:2" x14ac:dyDescent="0.25">
      <c r="A901"/>
      <c r="B901"/>
    </row>
    <row r="902" spans="1:2" x14ac:dyDescent="0.25">
      <c r="A902"/>
      <c r="B902"/>
    </row>
    <row r="903" spans="1:2" x14ac:dyDescent="0.25">
      <c r="A903"/>
      <c r="B903"/>
    </row>
    <row r="904" spans="1:2" x14ac:dyDescent="0.25">
      <c r="A904"/>
      <c r="B904"/>
    </row>
    <row r="905" spans="1:2" x14ac:dyDescent="0.25">
      <c r="A905"/>
      <c r="B905"/>
    </row>
    <row r="906" spans="1:2" x14ac:dyDescent="0.25">
      <c r="A906"/>
      <c r="B906"/>
    </row>
    <row r="907" spans="1:2" x14ac:dyDescent="0.25">
      <c r="A907"/>
      <c r="B907"/>
    </row>
    <row r="908" spans="1:2" x14ac:dyDescent="0.25">
      <c r="A908"/>
      <c r="B908"/>
    </row>
    <row r="909" spans="1:2" x14ac:dyDescent="0.25">
      <c r="A909"/>
      <c r="B909"/>
    </row>
    <row r="910" spans="1:2" x14ac:dyDescent="0.25">
      <c r="A910"/>
      <c r="B910"/>
    </row>
    <row r="911" spans="1:2" x14ac:dyDescent="0.25">
      <c r="A911"/>
      <c r="B911"/>
    </row>
    <row r="912" spans="1:2" x14ac:dyDescent="0.25">
      <c r="A912"/>
      <c r="B912"/>
    </row>
    <row r="913" spans="1:2" x14ac:dyDescent="0.25">
      <c r="A913"/>
      <c r="B913"/>
    </row>
    <row r="914" spans="1:2" x14ac:dyDescent="0.25">
      <c r="A914"/>
      <c r="B914"/>
    </row>
    <row r="915" spans="1:2" x14ac:dyDescent="0.25">
      <c r="A915"/>
      <c r="B915"/>
    </row>
    <row r="916" spans="1:2" x14ac:dyDescent="0.25">
      <c r="A916"/>
      <c r="B916"/>
    </row>
    <row r="917" spans="1:2" x14ac:dyDescent="0.25">
      <c r="A917"/>
      <c r="B917"/>
    </row>
    <row r="918" spans="1:2" x14ac:dyDescent="0.25">
      <c r="A918"/>
      <c r="B918"/>
    </row>
    <row r="919" spans="1:2" x14ac:dyDescent="0.25">
      <c r="A919"/>
      <c r="B919"/>
    </row>
    <row r="920" spans="1:2" x14ac:dyDescent="0.25">
      <c r="A920"/>
      <c r="B920"/>
    </row>
    <row r="921" spans="1:2" x14ac:dyDescent="0.25">
      <c r="A921"/>
      <c r="B921"/>
    </row>
    <row r="922" spans="1:2" x14ac:dyDescent="0.25">
      <c r="A922"/>
      <c r="B922"/>
    </row>
    <row r="923" spans="1:2" x14ac:dyDescent="0.25">
      <c r="A923"/>
      <c r="B923"/>
    </row>
    <row r="924" spans="1:2" x14ac:dyDescent="0.25">
      <c r="A924"/>
      <c r="B924"/>
    </row>
    <row r="925" spans="1:2" x14ac:dyDescent="0.25">
      <c r="A925"/>
      <c r="B925"/>
    </row>
    <row r="926" spans="1:2" x14ac:dyDescent="0.25">
      <c r="A926"/>
      <c r="B926"/>
    </row>
    <row r="927" spans="1:2" x14ac:dyDescent="0.25">
      <c r="A927"/>
      <c r="B927"/>
    </row>
    <row r="928" spans="1:2" x14ac:dyDescent="0.25">
      <c r="A928"/>
      <c r="B928"/>
    </row>
    <row r="929" spans="1:2" x14ac:dyDescent="0.25">
      <c r="A929"/>
      <c r="B929"/>
    </row>
    <row r="930" spans="1:2" x14ac:dyDescent="0.25">
      <c r="A930"/>
      <c r="B930"/>
    </row>
    <row r="931" spans="1:2" x14ac:dyDescent="0.25">
      <c r="A931"/>
      <c r="B931"/>
    </row>
    <row r="932" spans="1:2" x14ac:dyDescent="0.25">
      <c r="A932"/>
      <c r="B932"/>
    </row>
    <row r="933" spans="1:2" x14ac:dyDescent="0.25">
      <c r="A933"/>
      <c r="B933"/>
    </row>
    <row r="934" spans="1:2" x14ac:dyDescent="0.25">
      <c r="A934"/>
      <c r="B934"/>
    </row>
    <row r="935" spans="1:2" x14ac:dyDescent="0.25">
      <c r="A935"/>
      <c r="B935"/>
    </row>
    <row r="936" spans="1:2" x14ac:dyDescent="0.25">
      <c r="A936"/>
      <c r="B936"/>
    </row>
    <row r="937" spans="1:2" x14ac:dyDescent="0.25">
      <c r="A937"/>
      <c r="B937"/>
    </row>
    <row r="938" spans="1:2" x14ac:dyDescent="0.25">
      <c r="A938"/>
      <c r="B938"/>
    </row>
    <row r="939" spans="1:2" x14ac:dyDescent="0.25">
      <c r="A939"/>
      <c r="B939"/>
    </row>
    <row r="940" spans="1:2" x14ac:dyDescent="0.25">
      <c r="A940"/>
      <c r="B940"/>
    </row>
    <row r="941" spans="1:2" x14ac:dyDescent="0.25">
      <c r="A941"/>
      <c r="B941"/>
    </row>
    <row r="942" spans="1:2" x14ac:dyDescent="0.25">
      <c r="A942"/>
      <c r="B942"/>
    </row>
    <row r="943" spans="1:2" x14ac:dyDescent="0.25">
      <c r="A943"/>
      <c r="B943"/>
    </row>
    <row r="944" spans="1:2" x14ac:dyDescent="0.25">
      <c r="A944"/>
      <c r="B944"/>
    </row>
    <row r="945" spans="1:2" x14ac:dyDescent="0.25">
      <c r="A945"/>
      <c r="B945"/>
    </row>
    <row r="946" spans="1:2" x14ac:dyDescent="0.25">
      <c r="A946"/>
      <c r="B946"/>
    </row>
    <row r="947" spans="1:2" x14ac:dyDescent="0.25">
      <c r="A947"/>
      <c r="B947"/>
    </row>
    <row r="948" spans="1:2" x14ac:dyDescent="0.25">
      <c r="A948"/>
      <c r="B948"/>
    </row>
    <row r="949" spans="1:2" x14ac:dyDescent="0.25">
      <c r="A949"/>
      <c r="B949"/>
    </row>
    <row r="950" spans="1:2" x14ac:dyDescent="0.25">
      <c r="A950"/>
      <c r="B950"/>
    </row>
    <row r="951" spans="1:2" x14ac:dyDescent="0.25">
      <c r="A951"/>
      <c r="B951"/>
    </row>
    <row r="952" spans="1:2" x14ac:dyDescent="0.25">
      <c r="A952"/>
      <c r="B952"/>
    </row>
    <row r="953" spans="1:2" x14ac:dyDescent="0.25">
      <c r="A953"/>
      <c r="B953"/>
    </row>
    <row r="954" spans="1:2" x14ac:dyDescent="0.25">
      <c r="A954"/>
      <c r="B954"/>
    </row>
    <row r="955" spans="1:2" x14ac:dyDescent="0.25">
      <c r="A955"/>
      <c r="B955"/>
    </row>
    <row r="956" spans="1:2" x14ac:dyDescent="0.25">
      <c r="A956"/>
      <c r="B956"/>
    </row>
    <row r="957" spans="1:2" x14ac:dyDescent="0.25">
      <c r="A957"/>
      <c r="B957"/>
    </row>
    <row r="958" spans="1:2" x14ac:dyDescent="0.25">
      <c r="A958"/>
      <c r="B958"/>
    </row>
    <row r="959" spans="1:2" x14ac:dyDescent="0.25">
      <c r="A959"/>
      <c r="B959"/>
    </row>
    <row r="960" spans="1:2" x14ac:dyDescent="0.25">
      <c r="A960"/>
      <c r="B960"/>
    </row>
    <row r="961" spans="1:2" x14ac:dyDescent="0.25">
      <c r="A961"/>
      <c r="B961"/>
    </row>
    <row r="962" spans="1:2" x14ac:dyDescent="0.25">
      <c r="A962"/>
      <c r="B962"/>
    </row>
    <row r="963" spans="1:2" x14ac:dyDescent="0.25">
      <c r="A963"/>
      <c r="B963"/>
    </row>
    <row r="964" spans="1:2" x14ac:dyDescent="0.25">
      <c r="A964"/>
      <c r="B964"/>
    </row>
    <row r="965" spans="1:2" x14ac:dyDescent="0.25">
      <c r="A965"/>
      <c r="B965"/>
    </row>
    <row r="966" spans="1:2" x14ac:dyDescent="0.25">
      <c r="A966"/>
      <c r="B966"/>
    </row>
    <row r="967" spans="1:2" x14ac:dyDescent="0.25">
      <c r="A967"/>
      <c r="B967"/>
    </row>
    <row r="968" spans="1:2" x14ac:dyDescent="0.25">
      <c r="A968"/>
      <c r="B968"/>
    </row>
    <row r="969" spans="1:2" x14ac:dyDescent="0.25">
      <c r="A969"/>
      <c r="B969"/>
    </row>
    <row r="970" spans="1:2" x14ac:dyDescent="0.25">
      <c r="A970"/>
      <c r="B970"/>
    </row>
    <row r="971" spans="1:2" x14ac:dyDescent="0.25">
      <c r="A971"/>
      <c r="B971"/>
    </row>
    <row r="972" spans="1:2" x14ac:dyDescent="0.25">
      <c r="A972"/>
      <c r="B972"/>
    </row>
    <row r="973" spans="1:2" x14ac:dyDescent="0.25">
      <c r="A973"/>
      <c r="B973"/>
    </row>
    <row r="974" spans="1:2" x14ac:dyDescent="0.25">
      <c r="A974"/>
      <c r="B974"/>
    </row>
    <row r="975" spans="1:2" x14ac:dyDescent="0.25">
      <c r="A975"/>
      <c r="B975"/>
    </row>
    <row r="976" spans="1:2" x14ac:dyDescent="0.25">
      <c r="A976"/>
      <c r="B976"/>
    </row>
    <row r="977" spans="1:2" x14ac:dyDescent="0.25">
      <c r="A977"/>
      <c r="B977"/>
    </row>
    <row r="978" spans="1:2" x14ac:dyDescent="0.25">
      <c r="A978"/>
      <c r="B978"/>
    </row>
    <row r="979" spans="1:2" x14ac:dyDescent="0.25">
      <c r="A979"/>
      <c r="B979"/>
    </row>
    <row r="980" spans="1:2" x14ac:dyDescent="0.25">
      <c r="A980"/>
      <c r="B980"/>
    </row>
    <row r="981" spans="1:2" x14ac:dyDescent="0.25">
      <c r="A981"/>
      <c r="B981"/>
    </row>
    <row r="982" spans="1:2" x14ac:dyDescent="0.25">
      <c r="A982"/>
      <c r="B982"/>
    </row>
    <row r="983" spans="1:2" x14ac:dyDescent="0.25">
      <c r="A983"/>
      <c r="B983"/>
    </row>
    <row r="984" spans="1:2" x14ac:dyDescent="0.25">
      <c r="A984"/>
      <c r="B984"/>
    </row>
    <row r="985" spans="1:2" x14ac:dyDescent="0.25">
      <c r="A985"/>
      <c r="B985"/>
    </row>
    <row r="986" spans="1:2" x14ac:dyDescent="0.25">
      <c r="A986"/>
      <c r="B986"/>
    </row>
    <row r="987" spans="1:2" x14ac:dyDescent="0.25">
      <c r="A987"/>
      <c r="B987"/>
    </row>
    <row r="988" spans="1:2" x14ac:dyDescent="0.25">
      <c r="A988"/>
      <c r="B988"/>
    </row>
    <row r="989" spans="1:2" x14ac:dyDescent="0.25">
      <c r="A989"/>
      <c r="B989"/>
    </row>
    <row r="990" spans="1:2" x14ac:dyDescent="0.25">
      <c r="A990"/>
      <c r="B990"/>
    </row>
    <row r="991" spans="1:2" x14ac:dyDescent="0.25">
      <c r="A991"/>
      <c r="B991"/>
    </row>
    <row r="992" spans="1:2" x14ac:dyDescent="0.25">
      <c r="A992"/>
      <c r="B992"/>
    </row>
    <row r="993" spans="1:2" x14ac:dyDescent="0.25">
      <c r="A993"/>
      <c r="B993"/>
    </row>
    <row r="994" spans="1:2" x14ac:dyDescent="0.25">
      <c r="A994"/>
      <c r="B994"/>
    </row>
    <row r="995" spans="1:2" x14ac:dyDescent="0.25">
      <c r="A995"/>
      <c r="B995"/>
    </row>
    <row r="996" spans="1:2" x14ac:dyDescent="0.25">
      <c r="A996"/>
      <c r="B996"/>
    </row>
    <row r="997" spans="1:2" x14ac:dyDescent="0.25">
      <c r="A997"/>
      <c r="B997"/>
    </row>
    <row r="998" spans="1:2" x14ac:dyDescent="0.25">
      <c r="A998"/>
      <c r="B998"/>
    </row>
    <row r="999" spans="1:2" x14ac:dyDescent="0.25">
      <c r="A999"/>
      <c r="B999"/>
    </row>
    <row r="1000" spans="1:2" x14ac:dyDescent="0.25">
      <c r="A1000"/>
      <c r="B1000"/>
    </row>
    <row r="1001" spans="1:2" x14ac:dyDescent="0.25">
      <c r="A1001"/>
      <c r="B1001"/>
    </row>
    <row r="1002" spans="1:2" x14ac:dyDescent="0.25">
      <c r="A1002"/>
      <c r="B1002"/>
    </row>
    <row r="1003" spans="1:2" x14ac:dyDescent="0.25">
      <c r="A1003"/>
      <c r="B1003"/>
    </row>
    <row r="1004" spans="1:2" x14ac:dyDescent="0.25">
      <c r="A1004"/>
      <c r="B1004"/>
    </row>
    <row r="1005" spans="1:2" x14ac:dyDescent="0.25">
      <c r="A1005"/>
      <c r="B1005"/>
    </row>
    <row r="1006" spans="1:2" x14ac:dyDescent="0.25">
      <c r="A1006"/>
      <c r="B1006"/>
    </row>
    <row r="1007" spans="1:2" x14ac:dyDescent="0.25">
      <c r="A1007"/>
      <c r="B1007"/>
    </row>
    <row r="1008" spans="1:2" x14ac:dyDescent="0.25">
      <c r="A1008"/>
      <c r="B1008"/>
    </row>
    <row r="1009" spans="1:2" x14ac:dyDescent="0.25">
      <c r="A1009"/>
      <c r="B1009"/>
    </row>
    <row r="1010" spans="1:2" x14ac:dyDescent="0.25">
      <c r="A1010"/>
      <c r="B1010"/>
    </row>
    <row r="1011" spans="1:2" x14ac:dyDescent="0.25">
      <c r="A1011"/>
      <c r="B1011"/>
    </row>
    <row r="1012" spans="1:2" x14ac:dyDescent="0.25">
      <c r="A1012"/>
      <c r="B1012"/>
    </row>
    <row r="1013" spans="1:2" x14ac:dyDescent="0.25">
      <c r="A1013"/>
      <c r="B1013"/>
    </row>
    <row r="1014" spans="1:2" x14ac:dyDescent="0.25">
      <c r="A1014"/>
      <c r="B1014"/>
    </row>
    <row r="1015" spans="1:2" x14ac:dyDescent="0.25">
      <c r="A1015"/>
      <c r="B1015"/>
    </row>
    <row r="1016" spans="1:2" x14ac:dyDescent="0.25">
      <c r="A1016"/>
      <c r="B1016"/>
    </row>
    <row r="1017" spans="1:2" x14ac:dyDescent="0.25">
      <c r="A1017"/>
      <c r="B1017"/>
    </row>
    <row r="1018" spans="1:2" x14ac:dyDescent="0.25">
      <c r="A1018"/>
      <c r="B1018"/>
    </row>
    <row r="1019" spans="1:2" x14ac:dyDescent="0.25">
      <c r="A1019"/>
      <c r="B1019"/>
    </row>
    <row r="1020" spans="1:2" x14ac:dyDescent="0.25">
      <c r="A1020"/>
      <c r="B1020"/>
    </row>
    <row r="1021" spans="1:2" x14ac:dyDescent="0.25">
      <c r="A1021"/>
      <c r="B1021"/>
    </row>
    <row r="1022" spans="1:2" x14ac:dyDescent="0.25">
      <c r="A1022"/>
      <c r="B1022"/>
    </row>
    <row r="1023" spans="1:2" x14ac:dyDescent="0.25">
      <c r="A1023"/>
      <c r="B1023"/>
    </row>
    <row r="1024" spans="1:2" x14ac:dyDescent="0.25">
      <c r="A1024"/>
      <c r="B1024"/>
    </row>
    <row r="1025" spans="1:2" x14ac:dyDescent="0.25">
      <c r="A1025"/>
      <c r="B1025"/>
    </row>
    <row r="1026" spans="1:2" x14ac:dyDescent="0.25">
      <c r="A1026"/>
      <c r="B1026"/>
    </row>
    <row r="1027" spans="1:2" x14ac:dyDescent="0.25">
      <c r="A1027"/>
      <c r="B1027"/>
    </row>
    <row r="1028" spans="1:2" x14ac:dyDescent="0.25">
      <c r="A1028"/>
      <c r="B1028"/>
    </row>
    <row r="1029" spans="1:2" x14ac:dyDescent="0.25">
      <c r="A1029"/>
      <c r="B1029"/>
    </row>
    <row r="1030" spans="1:2" x14ac:dyDescent="0.25">
      <c r="A1030"/>
      <c r="B1030"/>
    </row>
    <row r="1031" spans="1:2" x14ac:dyDescent="0.25">
      <c r="A1031"/>
      <c r="B1031"/>
    </row>
    <row r="1032" spans="1:2" x14ac:dyDescent="0.25">
      <c r="A1032"/>
      <c r="B1032"/>
    </row>
    <row r="1033" spans="1:2" x14ac:dyDescent="0.25">
      <c r="A1033"/>
      <c r="B1033"/>
    </row>
    <row r="1034" spans="1:2" x14ac:dyDescent="0.25">
      <c r="A1034"/>
      <c r="B1034"/>
    </row>
    <row r="1035" spans="1:2" x14ac:dyDescent="0.25">
      <c r="A1035"/>
      <c r="B1035"/>
    </row>
    <row r="1036" spans="1:2" x14ac:dyDescent="0.25">
      <c r="A1036"/>
      <c r="B1036"/>
    </row>
    <row r="1037" spans="1:2" x14ac:dyDescent="0.25">
      <c r="A1037"/>
      <c r="B1037"/>
    </row>
    <row r="1038" spans="1:2" x14ac:dyDescent="0.25">
      <c r="A1038"/>
      <c r="B1038"/>
    </row>
    <row r="1039" spans="1:2" x14ac:dyDescent="0.25">
      <c r="A1039"/>
      <c r="B1039"/>
    </row>
    <row r="1040" spans="1:2" x14ac:dyDescent="0.25">
      <c r="A1040"/>
      <c r="B1040"/>
    </row>
    <row r="1041" spans="1:2" x14ac:dyDescent="0.25">
      <c r="A1041"/>
      <c r="B1041"/>
    </row>
    <row r="1042" spans="1:2" x14ac:dyDescent="0.25">
      <c r="A1042"/>
      <c r="B1042"/>
    </row>
    <row r="1043" spans="1:2" x14ac:dyDescent="0.25">
      <c r="A1043"/>
      <c r="B1043"/>
    </row>
    <row r="1044" spans="1:2" x14ac:dyDescent="0.25">
      <c r="A1044"/>
      <c r="B1044"/>
    </row>
    <row r="1045" spans="1:2" x14ac:dyDescent="0.25">
      <c r="A1045"/>
      <c r="B1045"/>
    </row>
    <row r="1046" spans="1:2" x14ac:dyDescent="0.25">
      <c r="A1046"/>
      <c r="B1046"/>
    </row>
    <row r="1047" spans="1:2" x14ac:dyDescent="0.25">
      <c r="A1047"/>
      <c r="B1047"/>
    </row>
    <row r="1048" spans="1:2" x14ac:dyDescent="0.25">
      <c r="A1048"/>
      <c r="B1048"/>
    </row>
    <row r="1049" spans="1:2" x14ac:dyDescent="0.25">
      <c r="A1049"/>
      <c r="B1049"/>
    </row>
    <row r="1050" spans="1:2" x14ac:dyDescent="0.25">
      <c r="A1050"/>
      <c r="B1050"/>
    </row>
    <row r="1051" spans="1:2" x14ac:dyDescent="0.25">
      <c r="A1051"/>
      <c r="B1051"/>
    </row>
    <row r="1052" spans="1:2" x14ac:dyDescent="0.25">
      <c r="A1052"/>
      <c r="B1052"/>
    </row>
    <row r="1053" spans="1:2" x14ac:dyDescent="0.25">
      <c r="A1053"/>
      <c r="B1053"/>
    </row>
    <row r="1054" spans="1:2" x14ac:dyDescent="0.25">
      <c r="A1054"/>
      <c r="B1054"/>
    </row>
    <row r="1055" spans="1:2" x14ac:dyDescent="0.25">
      <c r="A1055"/>
      <c r="B1055"/>
    </row>
    <row r="1056" spans="1:2" x14ac:dyDescent="0.25">
      <c r="A1056"/>
      <c r="B1056"/>
    </row>
    <row r="1057" spans="1:2" x14ac:dyDescent="0.25">
      <c r="A1057"/>
      <c r="B1057"/>
    </row>
    <row r="1058" spans="1:2" x14ac:dyDescent="0.25">
      <c r="A1058"/>
      <c r="B1058"/>
    </row>
    <row r="1059" spans="1:2" x14ac:dyDescent="0.25">
      <c r="A1059"/>
      <c r="B1059"/>
    </row>
    <row r="1060" spans="1:2" x14ac:dyDescent="0.25">
      <c r="A1060"/>
      <c r="B1060"/>
    </row>
    <row r="1061" spans="1:2" x14ac:dyDescent="0.25">
      <c r="A1061"/>
      <c r="B1061"/>
    </row>
    <row r="1062" spans="1:2" x14ac:dyDescent="0.25">
      <c r="A1062"/>
      <c r="B1062"/>
    </row>
    <row r="1063" spans="1:2" x14ac:dyDescent="0.25">
      <c r="A1063"/>
      <c r="B1063"/>
    </row>
    <row r="1064" spans="1:2" x14ac:dyDescent="0.25">
      <c r="A1064"/>
      <c r="B1064"/>
    </row>
    <row r="1065" spans="1:2" x14ac:dyDescent="0.25">
      <c r="A1065"/>
      <c r="B1065"/>
    </row>
    <row r="1066" spans="1:2" x14ac:dyDescent="0.25">
      <c r="A1066"/>
      <c r="B1066"/>
    </row>
    <row r="1067" spans="1:2" x14ac:dyDescent="0.25">
      <c r="A1067"/>
      <c r="B1067"/>
    </row>
    <row r="1068" spans="1:2" x14ac:dyDescent="0.25">
      <c r="A1068"/>
      <c r="B1068"/>
    </row>
    <row r="1069" spans="1:2" x14ac:dyDescent="0.25">
      <c r="A1069"/>
      <c r="B1069"/>
    </row>
    <row r="1070" spans="1:2" x14ac:dyDescent="0.25">
      <c r="A1070"/>
      <c r="B1070"/>
    </row>
    <row r="1071" spans="1:2" x14ac:dyDescent="0.25">
      <c r="A1071"/>
      <c r="B1071"/>
    </row>
    <row r="1072" spans="1:2" x14ac:dyDescent="0.25">
      <c r="A1072"/>
      <c r="B1072"/>
    </row>
    <row r="1073" spans="1:2" x14ac:dyDescent="0.25">
      <c r="A1073"/>
      <c r="B1073"/>
    </row>
    <row r="1074" spans="1:2" x14ac:dyDescent="0.25">
      <c r="A1074"/>
      <c r="B1074"/>
    </row>
    <row r="1075" spans="1:2" x14ac:dyDescent="0.25">
      <c r="A1075"/>
      <c r="B1075"/>
    </row>
    <row r="1076" spans="1:2" x14ac:dyDescent="0.25">
      <c r="A1076"/>
      <c r="B1076"/>
    </row>
    <row r="1077" spans="1:2" x14ac:dyDescent="0.25">
      <c r="A1077"/>
      <c r="B1077"/>
    </row>
    <row r="1078" spans="1:2" x14ac:dyDescent="0.25">
      <c r="A1078"/>
      <c r="B1078"/>
    </row>
    <row r="1079" spans="1:2" x14ac:dyDescent="0.25">
      <c r="A1079"/>
      <c r="B1079"/>
    </row>
    <row r="1080" spans="1:2" x14ac:dyDescent="0.25">
      <c r="A1080"/>
      <c r="B1080"/>
    </row>
    <row r="1081" spans="1:2" x14ac:dyDescent="0.25">
      <c r="A1081"/>
      <c r="B1081"/>
    </row>
    <row r="1082" spans="1:2" x14ac:dyDescent="0.25">
      <c r="A1082"/>
      <c r="B1082"/>
    </row>
    <row r="1083" spans="1:2" x14ac:dyDescent="0.25">
      <c r="A1083"/>
      <c r="B1083"/>
    </row>
    <row r="1084" spans="1:2" x14ac:dyDescent="0.25">
      <c r="A1084"/>
      <c r="B1084"/>
    </row>
    <row r="1085" spans="1:2" x14ac:dyDescent="0.25">
      <c r="A1085"/>
      <c r="B1085"/>
    </row>
    <row r="1086" spans="1:2" x14ac:dyDescent="0.25">
      <c r="A1086"/>
      <c r="B1086"/>
    </row>
    <row r="1087" spans="1:2" x14ac:dyDescent="0.25">
      <c r="A1087"/>
      <c r="B1087"/>
    </row>
    <row r="1088" spans="1:2" x14ac:dyDescent="0.25">
      <c r="A1088"/>
      <c r="B1088"/>
    </row>
    <row r="1089" spans="1:2" x14ac:dyDescent="0.25">
      <c r="A1089"/>
      <c r="B1089"/>
    </row>
    <row r="1090" spans="1:2" x14ac:dyDescent="0.25">
      <c r="A1090"/>
      <c r="B1090"/>
    </row>
    <row r="1091" spans="1:2" x14ac:dyDescent="0.25">
      <c r="A1091"/>
      <c r="B1091"/>
    </row>
    <row r="1092" spans="1:2" x14ac:dyDescent="0.25">
      <c r="A1092"/>
      <c r="B1092"/>
    </row>
    <row r="1093" spans="1:2" x14ac:dyDescent="0.25">
      <c r="A1093"/>
      <c r="B1093"/>
    </row>
    <row r="1094" spans="1:2" x14ac:dyDescent="0.25">
      <c r="A1094"/>
      <c r="B1094"/>
    </row>
    <row r="1095" spans="1:2" x14ac:dyDescent="0.25">
      <c r="A1095"/>
      <c r="B1095"/>
    </row>
    <row r="1096" spans="1:2" x14ac:dyDescent="0.25">
      <c r="A1096"/>
      <c r="B1096"/>
    </row>
    <row r="1097" spans="1:2" x14ac:dyDescent="0.25">
      <c r="A1097"/>
      <c r="B1097"/>
    </row>
    <row r="1098" spans="1:2" x14ac:dyDescent="0.25">
      <c r="A1098"/>
      <c r="B1098"/>
    </row>
    <row r="1099" spans="1:2" x14ac:dyDescent="0.25">
      <c r="A1099"/>
      <c r="B1099"/>
    </row>
    <row r="1100" spans="1:2" x14ac:dyDescent="0.25">
      <c r="A1100"/>
      <c r="B1100"/>
    </row>
    <row r="1101" spans="1:2" x14ac:dyDescent="0.25">
      <c r="A1101"/>
      <c r="B1101"/>
    </row>
    <row r="1102" spans="1:2" x14ac:dyDescent="0.25">
      <c r="A1102"/>
      <c r="B1102"/>
    </row>
    <row r="1103" spans="1:2" x14ac:dyDescent="0.25">
      <c r="A1103"/>
      <c r="B1103"/>
    </row>
    <row r="1104" spans="1:2" x14ac:dyDescent="0.25">
      <c r="A1104"/>
      <c r="B1104"/>
    </row>
    <row r="1105" spans="1:2" x14ac:dyDescent="0.25">
      <c r="A1105"/>
      <c r="B1105"/>
    </row>
    <row r="1106" spans="1:2" x14ac:dyDescent="0.25">
      <c r="A1106"/>
      <c r="B1106"/>
    </row>
    <row r="1107" spans="1:2" x14ac:dyDescent="0.25">
      <c r="A1107"/>
      <c r="B1107"/>
    </row>
    <row r="1108" spans="1:2" x14ac:dyDescent="0.25">
      <c r="A1108"/>
      <c r="B1108"/>
    </row>
    <row r="1109" spans="1:2" x14ac:dyDescent="0.25">
      <c r="A1109"/>
      <c r="B1109"/>
    </row>
    <row r="1110" spans="1:2" x14ac:dyDescent="0.25">
      <c r="A1110"/>
      <c r="B1110"/>
    </row>
    <row r="1111" spans="1:2" x14ac:dyDescent="0.25">
      <c r="A1111"/>
      <c r="B1111"/>
    </row>
    <row r="1112" spans="1:2" x14ac:dyDescent="0.25">
      <c r="A1112"/>
      <c r="B1112"/>
    </row>
    <row r="1113" spans="1:2" x14ac:dyDescent="0.25">
      <c r="A1113"/>
      <c r="B1113"/>
    </row>
    <row r="1114" spans="1:2" x14ac:dyDescent="0.25">
      <c r="A1114"/>
      <c r="B1114"/>
    </row>
    <row r="1115" spans="1:2" x14ac:dyDescent="0.25">
      <c r="A1115"/>
      <c r="B1115"/>
    </row>
    <row r="1116" spans="1:2" x14ac:dyDescent="0.25">
      <c r="A1116"/>
      <c r="B1116"/>
    </row>
    <row r="1117" spans="1:2" x14ac:dyDescent="0.25">
      <c r="A1117"/>
      <c r="B1117"/>
    </row>
    <row r="1118" spans="1:2" x14ac:dyDescent="0.25">
      <c r="A1118"/>
      <c r="B1118"/>
    </row>
    <row r="1119" spans="1:2" x14ac:dyDescent="0.25">
      <c r="A1119"/>
      <c r="B1119"/>
    </row>
    <row r="1120" spans="1:2" x14ac:dyDescent="0.25">
      <c r="A1120"/>
      <c r="B1120"/>
    </row>
    <row r="1121" spans="1:2" x14ac:dyDescent="0.25">
      <c r="A1121"/>
      <c r="B1121"/>
    </row>
    <row r="1122" spans="1:2" x14ac:dyDescent="0.25">
      <c r="A1122"/>
      <c r="B1122"/>
    </row>
    <row r="1123" spans="1:2" x14ac:dyDescent="0.25">
      <c r="A1123"/>
      <c r="B1123"/>
    </row>
    <row r="1124" spans="1:2" x14ac:dyDescent="0.25">
      <c r="A1124"/>
      <c r="B1124"/>
    </row>
    <row r="1125" spans="1:2" x14ac:dyDescent="0.25">
      <c r="A1125"/>
      <c r="B1125"/>
    </row>
    <row r="1126" spans="1:2" x14ac:dyDescent="0.25">
      <c r="A1126"/>
      <c r="B1126"/>
    </row>
    <row r="1127" spans="1:2" x14ac:dyDescent="0.25">
      <c r="A1127"/>
      <c r="B1127"/>
    </row>
    <row r="1128" spans="1:2" x14ac:dyDescent="0.25">
      <c r="A1128"/>
      <c r="B1128"/>
    </row>
    <row r="1129" spans="1:2" x14ac:dyDescent="0.25">
      <c r="A1129"/>
      <c r="B1129"/>
    </row>
    <row r="1130" spans="1:2" x14ac:dyDescent="0.25">
      <c r="A1130"/>
      <c r="B1130"/>
    </row>
    <row r="1131" spans="1:2" x14ac:dyDescent="0.25">
      <c r="A1131"/>
      <c r="B1131"/>
    </row>
    <row r="1132" spans="1:2" x14ac:dyDescent="0.25">
      <c r="A1132"/>
      <c r="B1132"/>
    </row>
    <row r="1133" spans="1:2" x14ac:dyDescent="0.25">
      <c r="A1133"/>
      <c r="B1133"/>
    </row>
    <row r="1134" spans="1:2" x14ac:dyDescent="0.25">
      <c r="A1134"/>
      <c r="B1134"/>
    </row>
    <row r="1135" spans="1:2" x14ac:dyDescent="0.25">
      <c r="A1135"/>
      <c r="B1135"/>
    </row>
    <row r="1136" spans="1:2" x14ac:dyDescent="0.25">
      <c r="A1136"/>
      <c r="B1136"/>
    </row>
    <row r="1137" spans="1:2" x14ac:dyDescent="0.25">
      <c r="A1137"/>
      <c r="B1137"/>
    </row>
    <row r="1138" spans="1:2" x14ac:dyDescent="0.25">
      <c r="A1138"/>
      <c r="B1138"/>
    </row>
    <row r="1139" spans="1:2" x14ac:dyDescent="0.25">
      <c r="A1139"/>
      <c r="B1139"/>
    </row>
    <row r="1140" spans="1:2" x14ac:dyDescent="0.25">
      <c r="A1140"/>
      <c r="B1140"/>
    </row>
    <row r="1141" spans="1:2" x14ac:dyDescent="0.25">
      <c r="A1141"/>
      <c r="B1141"/>
    </row>
    <row r="1142" spans="1:2" x14ac:dyDescent="0.25">
      <c r="A1142"/>
      <c r="B1142"/>
    </row>
    <row r="1143" spans="1:2" x14ac:dyDescent="0.25">
      <c r="A1143"/>
      <c r="B1143"/>
    </row>
    <row r="1144" spans="1:2" x14ac:dyDescent="0.25">
      <c r="A1144"/>
      <c r="B1144"/>
    </row>
    <row r="1145" spans="1:2" x14ac:dyDescent="0.25">
      <c r="A1145"/>
      <c r="B1145"/>
    </row>
    <row r="1146" spans="1:2" x14ac:dyDescent="0.25">
      <c r="A1146"/>
      <c r="B1146"/>
    </row>
    <row r="1147" spans="1:2" x14ac:dyDescent="0.25">
      <c r="A1147"/>
      <c r="B1147"/>
    </row>
    <row r="1148" spans="1:2" x14ac:dyDescent="0.25">
      <c r="A1148"/>
      <c r="B1148"/>
    </row>
    <row r="1149" spans="1:2" x14ac:dyDescent="0.25">
      <c r="A1149"/>
      <c r="B1149"/>
    </row>
    <row r="1150" spans="1:2" x14ac:dyDescent="0.25">
      <c r="A1150"/>
      <c r="B1150"/>
    </row>
    <row r="1151" spans="1:2" x14ac:dyDescent="0.25">
      <c r="A1151"/>
      <c r="B1151"/>
    </row>
    <row r="1152" spans="1:2" x14ac:dyDescent="0.25">
      <c r="A1152"/>
      <c r="B1152"/>
    </row>
    <row r="1153" spans="1:2" x14ac:dyDescent="0.25">
      <c r="A1153"/>
      <c r="B1153"/>
    </row>
    <row r="1154" spans="1:2" x14ac:dyDescent="0.25">
      <c r="A1154"/>
      <c r="B1154"/>
    </row>
    <row r="1155" spans="1:2" x14ac:dyDescent="0.25">
      <c r="A1155"/>
      <c r="B1155"/>
    </row>
    <row r="1156" spans="1:2" x14ac:dyDescent="0.25">
      <c r="A1156"/>
      <c r="B1156"/>
    </row>
    <row r="1157" spans="1:2" x14ac:dyDescent="0.25">
      <c r="A1157"/>
      <c r="B1157"/>
    </row>
    <row r="1158" spans="1:2" x14ac:dyDescent="0.25">
      <c r="A1158"/>
      <c r="B1158"/>
    </row>
    <row r="1159" spans="1:2" x14ac:dyDescent="0.25">
      <c r="A1159"/>
      <c r="B1159"/>
    </row>
    <row r="1160" spans="1:2" x14ac:dyDescent="0.25">
      <c r="A1160"/>
      <c r="B1160"/>
    </row>
    <row r="1161" spans="1:2" x14ac:dyDescent="0.25">
      <c r="A1161"/>
      <c r="B1161"/>
    </row>
    <row r="1162" spans="1:2" x14ac:dyDescent="0.25">
      <c r="A1162"/>
      <c r="B1162"/>
    </row>
    <row r="1163" spans="1:2" x14ac:dyDescent="0.25">
      <c r="A1163"/>
      <c r="B1163"/>
    </row>
    <row r="1164" spans="1:2" x14ac:dyDescent="0.25">
      <c r="A1164"/>
      <c r="B1164"/>
    </row>
    <row r="1165" spans="1:2" x14ac:dyDescent="0.25">
      <c r="A1165"/>
      <c r="B1165"/>
    </row>
    <row r="1166" spans="1:2" x14ac:dyDescent="0.25">
      <c r="A1166"/>
      <c r="B1166"/>
    </row>
    <row r="1167" spans="1:2" x14ac:dyDescent="0.25">
      <c r="A1167"/>
      <c r="B1167"/>
    </row>
    <row r="1168" spans="1:2" x14ac:dyDescent="0.25">
      <c r="A1168"/>
      <c r="B1168"/>
    </row>
    <row r="1169" spans="1:2" x14ac:dyDescent="0.25">
      <c r="A1169"/>
      <c r="B1169"/>
    </row>
    <row r="1170" spans="1:2" x14ac:dyDescent="0.25">
      <c r="A1170"/>
      <c r="B1170"/>
    </row>
    <row r="1171" spans="1:2" x14ac:dyDescent="0.25">
      <c r="A1171"/>
      <c r="B1171"/>
    </row>
    <row r="1172" spans="1:2" x14ac:dyDescent="0.25">
      <c r="A1172"/>
      <c r="B1172"/>
    </row>
    <row r="1173" spans="1:2" x14ac:dyDescent="0.25">
      <c r="A1173"/>
      <c r="B1173"/>
    </row>
    <row r="1174" spans="1:2" x14ac:dyDescent="0.25">
      <c r="A1174"/>
      <c r="B1174"/>
    </row>
    <row r="1175" spans="1:2" x14ac:dyDescent="0.25">
      <c r="A1175"/>
      <c r="B1175"/>
    </row>
    <row r="1176" spans="1:2" x14ac:dyDescent="0.25">
      <c r="A1176"/>
      <c r="B1176"/>
    </row>
    <row r="1177" spans="1:2" x14ac:dyDescent="0.25">
      <c r="A1177"/>
      <c r="B1177"/>
    </row>
    <row r="1178" spans="1:2" x14ac:dyDescent="0.25">
      <c r="A1178"/>
      <c r="B1178"/>
    </row>
    <row r="1179" spans="1:2" x14ac:dyDescent="0.25">
      <c r="A1179"/>
      <c r="B1179"/>
    </row>
    <row r="1180" spans="1:2" x14ac:dyDescent="0.25">
      <c r="A1180"/>
      <c r="B1180"/>
    </row>
    <row r="1181" spans="1:2" x14ac:dyDescent="0.25">
      <c r="A1181"/>
      <c r="B1181"/>
    </row>
    <row r="1182" spans="1:2" x14ac:dyDescent="0.25">
      <c r="A1182"/>
      <c r="B1182"/>
    </row>
    <row r="1183" spans="1:2" x14ac:dyDescent="0.25">
      <c r="A1183"/>
      <c r="B1183"/>
    </row>
    <row r="1184" spans="1:2" x14ac:dyDescent="0.25">
      <c r="A1184"/>
      <c r="B1184"/>
    </row>
    <row r="1185" spans="1:2" x14ac:dyDescent="0.25">
      <c r="A1185"/>
      <c r="B1185"/>
    </row>
    <row r="1186" spans="1:2" x14ac:dyDescent="0.25">
      <c r="A1186"/>
      <c r="B1186"/>
    </row>
    <row r="1187" spans="1:2" x14ac:dyDescent="0.25">
      <c r="A1187"/>
      <c r="B1187"/>
    </row>
    <row r="1188" spans="1:2" x14ac:dyDescent="0.25">
      <c r="A1188"/>
      <c r="B1188"/>
    </row>
    <row r="1189" spans="1:2" x14ac:dyDescent="0.25">
      <c r="A1189"/>
      <c r="B1189"/>
    </row>
    <row r="1190" spans="1:2" x14ac:dyDescent="0.25">
      <c r="A1190"/>
      <c r="B1190"/>
    </row>
    <row r="1191" spans="1:2" x14ac:dyDescent="0.25">
      <c r="A1191"/>
      <c r="B1191"/>
    </row>
    <row r="1192" spans="1:2" x14ac:dyDescent="0.25">
      <c r="A1192"/>
      <c r="B1192"/>
    </row>
    <row r="1193" spans="1:2" x14ac:dyDescent="0.25">
      <c r="A1193"/>
      <c r="B1193"/>
    </row>
    <row r="1194" spans="1:2" x14ac:dyDescent="0.25">
      <c r="A1194"/>
      <c r="B1194"/>
    </row>
    <row r="1195" spans="1:2" x14ac:dyDescent="0.25">
      <c r="A1195"/>
      <c r="B1195"/>
    </row>
    <row r="1196" spans="1:2" x14ac:dyDescent="0.25">
      <c r="A1196"/>
      <c r="B1196"/>
    </row>
    <row r="1197" spans="1:2" x14ac:dyDescent="0.25">
      <c r="A1197"/>
      <c r="B1197"/>
    </row>
    <row r="1198" spans="1:2" x14ac:dyDescent="0.25">
      <c r="A1198"/>
      <c r="B1198"/>
    </row>
    <row r="1199" spans="1:2" x14ac:dyDescent="0.25">
      <c r="A1199"/>
      <c r="B1199"/>
    </row>
    <row r="1200" spans="1:2" x14ac:dyDescent="0.25">
      <c r="A1200"/>
      <c r="B1200"/>
    </row>
    <row r="1201" spans="1:2" x14ac:dyDescent="0.25">
      <c r="A1201"/>
      <c r="B1201"/>
    </row>
    <row r="1202" spans="1:2" x14ac:dyDescent="0.25">
      <c r="A1202"/>
      <c r="B1202"/>
    </row>
    <row r="1203" spans="1:2" x14ac:dyDescent="0.25">
      <c r="A1203"/>
      <c r="B1203"/>
    </row>
    <row r="1204" spans="1:2" x14ac:dyDescent="0.25">
      <c r="A1204"/>
      <c r="B1204"/>
    </row>
    <row r="1205" spans="1:2" x14ac:dyDescent="0.25">
      <c r="A1205"/>
      <c r="B1205"/>
    </row>
    <row r="1206" spans="1:2" x14ac:dyDescent="0.25">
      <c r="A1206"/>
      <c r="B1206"/>
    </row>
    <row r="1207" spans="1:2" x14ac:dyDescent="0.25">
      <c r="A1207"/>
      <c r="B1207"/>
    </row>
    <row r="1208" spans="1:2" x14ac:dyDescent="0.25">
      <c r="A1208"/>
      <c r="B1208"/>
    </row>
    <row r="1209" spans="1:2" x14ac:dyDescent="0.25">
      <c r="A1209"/>
      <c r="B1209"/>
    </row>
    <row r="1210" spans="1:2" x14ac:dyDescent="0.25">
      <c r="A1210"/>
      <c r="B1210"/>
    </row>
    <row r="1211" spans="1:2" x14ac:dyDescent="0.25">
      <c r="A1211"/>
      <c r="B1211"/>
    </row>
    <row r="1212" spans="1:2" x14ac:dyDescent="0.25">
      <c r="A1212"/>
      <c r="B1212"/>
    </row>
    <row r="1213" spans="1:2" x14ac:dyDescent="0.25">
      <c r="A1213"/>
      <c r="B1213"/>
    </row>
    <row r="1214" spans="1:2" x14ac:dyDescent="0.25">
      <c r="A1214"/>
      <c r="B1214"/>
    </row>
    <row r="1215" spans="1:2" x14ac:dyDescent="0.25">
      <c r="A1215"/>
      <c r="B1215"/>
    </row>
    <row r="1216" spans="1:2" x14ac:dyDescent="0.25">
      <c r="A1216"/>
      <c r="B1216"/>
    </row>
    <row r="1217" spans="1:2" x14ac:dyDescent="0.25">
      <c r="A1217"/>
      <c r="B1217"/>
    </row>
    <row r="1218" spans="1:2" x14ac:dyDescent="0.25">
      <c r="A1218"/>
      <c r="B1218"/>
    </row>
    <row r="1219" spans="1:2" x14ac:dyDescent="0.25">
      <c r="A1219"/>
      <c r="B1219"/>
    </row>
    <row r="1220" spans="1:2" x14ac:dyDescent="0.25">
      <c r="A1220"/>
      <c r="B1220"/>
    </row>
    <row r="1221" spans="1:2" x14ac:dyDescent="0.25">
      <c r="A1221"/>
      <c r="B1221"/>
    </row>
    <row r="1222" spans="1:2" x14ac:dyDescent="0.25">
      <c r="A1222"/>
      <c r="B1222"/>
    </row>
    <row r="1223" spans="1:2" x14ac:dyDescent="0.25">
      <c r="A1223"/>
      <c r="B1223"/>
    </row>
    <row r="1224" spans="1:2" x14ac:dyDescent="0.25">
      <c r="A1224"/>
      <c r="B1224"/>
    </row>
    <row r="1225" spans="1:2" x14ac:dyDescent="0.25">
      <c r="A1225"/>
      <c r="B1225"/>
    </row>
    <row r="1226" spans="1:2" x14ac:dyDescent="0.25">
      <c r="A1226"/>
      <c r="B1226"/>
    </row>
    <row r="1227" spans="1:2" x14ac:dyDescent="0.25">
      <c r="A1227"/>
      <c r="B1227"/>
    </row>
    <row r="1228" spans="1:2" x14ac:dyDescent="0.25">
      <c r="A1228"/>
      <c r="B1228"/>
    </row>
    <row r="1229" spans="1:2" x14ac:dyDescent="0.25">
      <c r="A1229"/>
      <c r="B1229"/>
    </row>
    <row r="1230" spans="1:2" x14ac:dyDescent="0.25">
      <c r="A1230"/>
      <c r="B1230"/>
    </row>
    <row r="1231" spans="1:2" x14ac:dyDescent="0.25">
      <c r="A1231"/>
      <c r="B1231"/>
    </row>
    <row r="1232" spans="1:2" x14ac:dyDescent="0.25">
      <c r="A1232"/>
      <c r="B1232"/>
    </row>
    <row r="1233" spans="1:2" x14ac:dyDescent="0.25">
      <c r="A1233"/>
      <c r="B1233"/>
    </row>
    <row r="1234" spans="1:2" x14ac:dyDescent="0.25">
      <c r="A1234"/>
      <c r="B1234"/>
    </row>
    <row r="1235" spans="1:2" x14ac:dyDescent="0.25">
      <c r="A1235"/>
      <c r="B1235"/>
    </row>
    <row r="1236" spans="1:2" x14ac:dyDescent="0.25">
      <c r="A1236"/>
      <c r="B1236"/>
    </row>
    <row r="1237" spans="1:2" x14ac:dyDescent="0.25">
      <c r="A1237"/>
      <c r="B1237"/>
    </row>
    <row r="1238" spans="1:2" x14ac:dyDescent="0.25">
      <c r="A1238"/>
      <c r="B1238"/>
    </row>
    <row r="1239" spans="1:2" x14ac:dyDescent="0.25">
      <c r="A1239"/>
      <c r="B1239"/>
    </row>
    <row r="1240" spans="1:2" x14ac:dyDescent="0.25">
      <c r="A1240"/>
      <c r="B1240"/>
    </row>
    <row r="1241" spans="1:2" x14ac:dyDescent="0.25">
      <c r="A1241"/>
      <c r="B1241"/>
    </row>
    <row r="1242" spans="1:2" x14ac:dyDescent="0.25">
      <c r="A1242"/>
      <c r="B1242"/>
    </row>
    <row r="1243" spans="1:2" x14ac:dyDescent="0.25">
      <c r="A1243"/>
      <c r="B1243"/>
    </row>
    <row r="1244" spans="1:2" x14ac:dyDescent="0.25">
      <c r="A1244"/>
      <c r="B1244"/>
    </row>
    <row r="1245" spans="1:2" x14ac:dyDescent="0.25">
      <c r="A1245"/>
      <c r="B1245"/>
    </row>
    <row r="1246" spans="1:2" x14ac:dyDescent="0.25">
      <c r="A1246"/>
      <c r="B1246"/>
    </row>
    <row r="1247" spans="1:2" x14ac:dyDescent="0.25">
      <c r="A1247"/>
      <c r="B1247"/>
    </row>
    <row r="1248" spans="1:2" x14ac:dyDescent="0.25">
      <c r="A1248"/>
      <c r="B1248"/>
    </row>
    <row r="1249" spans="1:2" x14ac:dyDescent="0.25">
      <c r="A1249"/>
      <c r="B1249"/>
    </row>
    <row r="1250" spans="1:2" x14ac:dyDescent="0.25">
      <c r="A1250"/>
      <c r="B1250"/>
    </row>
    <row r="1251" spans="1:2" x14ac:dyDescent="0.25">
      <c r="A1251"/>
      <c r="B1251"/>
    </row>
    <row r="1252" spans="1:2" x14ac:dyDescent="0.25">
      <c r="A1252"/>
      <c r="B1252"/>
    </row>
    <row r="1253" spans="1:2" x14ac:dyDescent="0.25">
      <c r="A1253"/>
      <c r="B1253"/>
    </row>
    <row r="1254" spans="1:2" x14ac:dyDescent="0.25">
      <c r="A1254"/>
      <c r="B1254"/>
    </row>
    <row r="1255" spans="1:2" x14ac:dyDescent="0.25">
      <c r="A1255"/>
      <c r="B1255"/>
    </row>
    <row r="1256" spans="1:2" x14ac:dyDescent="0.25">
      <c r="A1256"/>
      <c r="B1256"/>
    </row>
    <row r="1257" spans="1:2" x14ac:dyDescent="0.25">
      <c r="A1257"/>
      <c r="B1257"/>
    </row>
    <row r="1258" spans="1:2" x14ac:dyDescent="0.25">
      <c r="A1258"/>
      <c r="B1258"/>
    </row>
    <row r="1259" spans="1:2" x14ac:dyDescent="0.25">
      <c r="A1259"/>
      <c r="B1259"/>
    </row>
    <row r="1260" spans="1:2" x14ac:dyDescent="0.25">
      <c r="A1260"/>
      <c r="B1260"/>
    </row>
    <row r="1261" spans="1:2" x14ac:dyDescent="0.25">
      <c r="A1261"/>
      <c r="B1261"/>
    </row>
    <row r="1262" spans="1:2" x14ac:dyDescent="0.25">
      <c r="A1262"/>
      <c r="B1262"/>
    </row>
    <row r="1263" spans="1:2" x14ac:dyDescent="0.25">
      <c r="A1263"/>
      <c r="B1263"/>
    </row>
    <row r="1264" spans="1:2" x14ac:dyDescent="0.25">
      <c r="A1264"/>
      <c r="B1264"/>
    </row>
    <row r="1265" spans="1:2" x14ac:dyDescent="0.25">
      <c r="A1265"/>
      <c r="B1265"/>
    </row>
    <row r="1266" spans="1:2" x14ac:dyDescent="0.25">
      <c r="A1266"/>
      <c r="B1266"/>
    </row>
    <row r="1267" spans="1:2" x14ac:dyDescent="0.25">
      <c r="A1267"/>
      <c r="B1267"/>
    </row>
    <row r="1268" spans="1:2" x14ac:dyDescent="0.25">
      <c r="A1268"/>
      <c r="B1268"/>
    </row>
    <row r="1269" spans="1:2" x14ac:dyDescent="0.25">
      <c r="A1269"/>
      <c r="B1269"/>
    </row>
    <row r="1270" spans="1:2" x14ac:dyDescent="0.25">
      <c r="A1270"/>
      <c r="B1270"/>
    </row>
    <row r="1271" spans="1:2" x14ac:dyDescent="0.25">
      <c r="A1271"/>
      <c r="B1271"/>
    </row>
    <row r="1272" spans="1:2" x14ac:dyDescent="0.25">
      <c r="A1272"/>
      <c r="B1272"/>
    </row>
    <row r="1273" spans="1:2" x14ac:dyDescent="0.25">
      <c r="A1273"/>
      <c r="B1273"/>
    </row>
    <row r="1274" spans="1:2" x14ac:dyDescent="0.25">
      <c r="A1274"/>
      <c r="B1274"/>
    </row>
    <row r="1275" spans="1:2" x14ac:dyDescent="0.25">
      <c r="A1275"/>
      <c r="B1275"/>
    </row>
    <row r="1276" spans="1:2" x14ac:dyDescent="0.25">
      <c r="A1276"/>
      <c r="B1276"/>
    </row>
    <row r="1277" spans="1:2" x14ac:dyDescent="0.25">
      <c r="A1277"/>
      <c r="B1277"/>
    </row>
    <row r="1278" spans="1:2" x14ac:dyDescent="0.25">
      <c r="A1278"/>
      <c r="B1278"/>
    </row>
    <row r="1279" spans="1:2" x14ac:dyDescent="0.25">
      <c r="A1279"/>
      <c r="B1279"/>
    </row>
    <row r="1280" spans="1:2" x14ac:dyDescent="0.25">
      <c r="A1280"/>
      <c r="B1280"/>
    </row>
    <row r="1281" spans="1:2" x14ac:dyDescent="0.25">
      <c r="A1281"/>
      <c r="B1281"/>
    </row>
    <row r="1282" spans="1:2" x14ac:dyDescent="0.25">
      <c r="A1282"/>
      <c r="B1282"/>
    </row>
    <row r="1283" spans="1:2" x14ac:dyDescent="0.25">
      <c r="A1283"/>
      <c r="B1283"/>
    </row>
    <row r="1284" spans="1:2" x14ac:dyDescent="0.25">
      <c r="A1284"/>
      <c r="B1284"/>
    </row>
    <row r="1285" spans="1:2" x14ac:dyDescent="0.25">
      <c r="A1285"/>
      <c r="B1285"/>
    </row>
    <row r="1286" spans="1:2" x14ac:dyDescent="0.25">
      <c r="A1286"/>
      <c r="B1286"/>
    </row>
    <row r="1287" spans="1:2" x14ac:dyDescent="0.25">
      <c r="A1287"/>
      <c r="B1287"/>
    </row>
    <row r="1288" spans="1:2" x14ac:dyDescent="0.25">
      <c r="A1288"/>
      <c r="B1288"/>
    </row>
    <row r="1289" spans="1:2" x14ac:dyDescent="0.25">
      <c r="A1289"/>
      <c r="B1289"/>
    </row>
    <row r="1290" spans="1:2" x14ac:dyDescent="0.25">
      <c r="A1290"/>
      <c r="B1290"/>
    </row>
    <row r="1291" spans="1:2" x14ac:dyDescent="0.25">
      <c r="A1291"/>
      <c r="B1291"/>
    </row>
    <row r="1292" spans="1:2" x14ac:dyDescent="0.25">
      <c r="A1292"/>
      <c r="B1292"/>
    </row>
    <row r="1293" spans="1:2" x14ac:dyDescent="0.25">
      <c r="A1293"/>
      <c r="B1293"/>
    </row>
    <row r="1294" spans="1:2" x14ac:dyDescent="0.25">
      <c r="A1294"/>
      <c r="B1294"/>
    </row>
    <row r="1295" spans="1:2" x14ac:dyDescent="0.25">
      <c r="A1295"/>
      <c r="B1295"/>
    </row>
    <row r="1296" spans="1:2" x14ac:dyDescent="0.25">
      <c r="A1296"/>
      <c r="B1296"/>
    </row>
    <row r="1297" spans="1:2" x14ac:dyDescent="0.25">
      <c r="A1297"/>
      <c r="B1297"/>
    </row>
    <row r="1298" spans="1:2" x14ac:dyDescent="0.25">
      <c r="A1298"/>
      <c r="B1298"/>
    </row>
    <row r="1299" spans="1:2" x14ac:dyDescent="0.25">
      <c r="A1299"/>
      <c r="B1299"/>
    </row>
    <row r="1300" spans="1:2" x14ac:dyDescent="0.25">
      <c r="A1300"/>
      <c r="B1300"/>
    </row>
    <row r="1301" spans="1:2" x14ac:dyDescent="0.25">
      <c r="A1301"/>
      <c r="B1301"/>
    </row>
    <row r="1302" spans="1:2" x14ac:dyDescent="0.25">
      <c r="A1302"/>
      <c r="B1302"/>
    </row>
    <row r="1303" spans="1:2" x14ac:dyDescent="0.25">
      <c r="A1303"/>
      <c r="B1303"/>
    </row>
    <row r="1304" spans="1:2" x14ac:dyDescent="0.25">
      <c r="A1304"/>
      <c r="B1304"/>
    </row>
    <row r="1305" spans="1:2" x14ac:dyDescent="0.25">
      <c r="A1305"/>
      <c r="B1305"/>
    </row>
    <row r="1306" spans="1:2" x14ac:dyDescent="0.25">
      <c r="A1306"/>
      <c r="B1306"/>
    </row>
    <row r="1307" spans="1:2" x14ac:dyDescent="0.25">
      <c r="A1307"/>
      <c r="B1307"/>
    </row>
    <row r="1308" spans="1:2" x14ac:dyDescent="0.25">
      <c r="A1308"/>
      <c r="B1308"/>
    </row>
    <row r="1309" spans="1:2" x14ac:dyDescent="0.25">
      <c r="A1309"/>
      <c r="B1309"/>
    </row>
    <row r="1310" spans="1:2" x14ac:dyDescent="0.25">
      <c r="A1310"/>
      <c r="B1310"/>
    </row>
    <row r="1311" spans="1:2" x14ac:dyDescent="0.25">
      <c r="A1311"/>
      <c r="B1311"/>
    </row>
    <row r="1312" spans="1:2" x14ac:dyDescent="0.25">
      <c r="A1312"/>
      <c r="B1312"/>
    </row>
    <row r="1313" spans="1:2" x14ac:dyDescent="0.25">
      <c r="A1313"/>
      <c r="B1313"/>
    </row>
    <row r="1314" spans="1:2" x14ac:dyDescent="0.25">
      <c r="A1314"/>
      <c r="B1314"/>
    </row>
    <row r="1315" spans="1:2" x14ac:dyDescent="0.25">
      <c r="A1315"/>
      <c r="B1315"/>
    </row>
    <row r="1316" spans="1:2" x14ac:dyDescent="0.25">
      <c r="A1316"/>
      <c r="B1316"/>
    </row>
    <row r="1317" spans="1:2" x14ac:dyDescent="0.25">
      <c r="A1317"/>
      <c r="B1317"/>
    </row>
    <row r="1318" spans="1:2" x14ac:dyDescent="0.25">
      <c r="A1318"/>
      <c r="B1318"/>
    </row>
    <row r="1319" spans="1:2" x14ac:dyDescent="0.25">
      <c r="A1319"/>
      <c r="B1319"/>
    </row>
    <row r="1320" spans="1:2" x14ac:dyDescent="0.25">
      <c r="A1320"/>
      <c r="B1320"/>
    </row>
    <row r="1321" spans="1:2" x14ac:dyDescent="0.25">
      <c r="A1321"/>
      <c r="B1321"/>
    </row>
    <row r="1322" spans="1:2" x14ac:dyDescent="0.25">
      <c r="A1322"/>
      <c r="B1322"/>
    </row>
    <row r="1323" spans="1:2" x14ac:dyDescent="0.25">
      <c r="A1323"/>
      <c r="B1323"/>
    </row>
    <row r="1324" spans="1:2" x14ac:dyDescent="0.25">
      <c r="A1324"/>
      <c r="B1324"/>
    </row>
    <row r="1325" spans="1:2" x14ac:dyDescent="0.25">
      <c r="A1325"/>
      <c r="B1325"/>
    </row>
    <row r="1326" spans="1:2" x14ac:dyDescent="0.25">
      <c r="A1326"/>
      <c r="B1326"/>
    </row>
    <row r="1327" spans="1:2" x14ac:dyDescent="0.25">
      <c r="A1327"/>
      <c r="B1327"/>
    </row>
    <row r="1328" spans="1:2" x14ac:dyDescent="0.25">
      <c r="A1328"/>
      <c r="B1328"/>
    </row>
    <row r="1329" spans="1:2" x14ac:dyDescent="0.25">
      <c r="A1329"/>
      <c r="B1329"/>
    </row>
    <row r="1330" spans="1:2" x14ac:dyDescent="0.25">
      <c r="A1330"/>
      <c r="B1330"/>
    </row>
    <row r="1331" spans="1:2" x14ac:dyDescent="0.25">
      <c r="A1331"/>
      <c r="B1331"/>
    </row>
    <row r="1332" spans="1:2" x14ac:dyDescent="0.25">
      <c r="A1332"/>
      <c r="B1332"/>
    </row>
    <row r="1333" spans="1:2" x14ac:dyDescent="0.25">
      <c r="A1333"/>
      <c r="B1333"/>
    </row>
    <row r="1334" spans="1:2" x14ac:dyDescent="0.25">
      <c r="A1334"/>
      <c r="B1334"/>
    </row>
    <row r="1335" spans="1:2" x14ac:dyDescent="0.25">
      <c r="A1335"/>
      <c r="B1335"/>
    </row>
    <row r="1336" spans="1:2" x14ac:dyDescent="0.25">
      <c r="A1336"/>
      <c r="B1336"/>
    </row>
    <row r="1337" spans="1:2" x14ac:dyDescent="0.25">
      <c r="A1337"/>
      <c r="B1337"/>
    </row>
    <row r="1338" spans="1:2" x14ac:dyDescent="0.25">
      <c r="A1338"/>
      <c r="B1338"/>
    </row>
    <row r="1339" spans="1:2" x14ac:dyDescent="0.25">
      <c r="A1339"/>
      <c r="B1339"/>
    </row>
    <row r="1340" spans="1:2" x14ac:dyDescent="0.25">
      <c r="A1340"/>
      <c r="B1340"/>
    </row>
    <row r="1341" spans="1:2" x14ac:dyDescent="0.25">
      <c r="A1341"/>
      <c r="B1341"/>
    </row>
    <row r="1342" spans="1:2" x14ac:dyDescent="0.25">
      <c r="A1342"/>
      <c r="B1342"/>
    </row>
    <row r="1343" spans="1:2" x14ac:dyDescent="0.25">
      <c r="A1343"/>
      <c r="B1343"/>
    </row>
    <row r="1344" spans="1:2" x14ac:dyDescent="0.25">
      <c r="A1344"/>
      <c r="B1344"/>
    </row>
    <row r="1345" spans="1:2" x14ac:dyDescent="0.25">
      <c r="A1345"/>
      <c r="B1345"/>
    </row>
    <row r="1346" spans="1:2" x14ac:dyDescent="0.25">
      <c r="A1346"/>
      <c r="B1346"/>
    </row>
    <row r="1347" spans="1:2" x14ac:dyDescent="0.25">
      <c r="A1347"/>
      <c r="B1347"/>
    </row>
    <row r="1348" spans="1:2" x14ac:dyDescent="0.25">
      <c r="A1348"/>
      <c r="B1348"/>
    </row>
    <row r="1349" spans="1:2" x14ac:dyDescent="0.25">
      <c r="A1349"/>
      <c r="B1349"/>
    </row>
    <row r="1350" spans="1:2" x14ac:dyDescent="0.25">
      <c r="A1350"/>
      <c r="B1350"/>
    </row>
    <row r="1351" spans="1:2" x14ac:dyDescent="0.25">
      <c r="A1351"/>
      <c r="B1351"/>
    </row>
    <row r="1352" spans="1:2" x14ac:dyDescent="0.25">
      <c r="A1352"/>
      <c r="B1352"/>
    </row>
    <row r="1353" spans="1:2" x14ac:dyDescent="0.25">
      <c r="A1353"/>
      <c r="B1353"/>
    </row>
    <row r="1354" spans="1:2" x14ac:dyDescent="0.25">
      <c r="A1354"/>
      <c r="B1354"/>
    </row>
    <row r="1355" spans="1:2" x14ac:dyDescent="0.25">
      <c r="A1355"/>
      <c r="B1355"/>
    </row>
    <row r="1356" spans="1:2" x14ac:dyDescent="0.25">
      <c r="A1356"/>
      <c r="B1356"/>
    </row>
    <row r="1357" spans="1:2" x14ac:dyDescent="0.25">
      <c r="A1357"/>
      <c r="B1357"/>
    </row>
    <row r="1358" spans="1:2" x14ac:dyDescent="0.25">
      <c r="A1358"/>
      <c r="B1358"/>
    </row>
    <row r="1359" spans="1:2" x14ac:dyDescent="0.25">
      <c r="A1359"/>
      <c r="B1359"/>
    </row>
    <row r="1360" spans="1:2" x14ac:dyDescent="0.25">
      <c r="A1360"/>
      <c r="B1360"/>
    </row>
    <row r="1361" spans="1:2" x14ac:dyDescent="0.25">
      <c r="A1361"/>
      <c r="B1361"/>
    </row>
    <row r="1362" spans="1:2" x14ac:dyDescent="0.25">
      <c r="A1362"/>
      <c r="B1362"/>
    </row>
    <row r="1363" spans="1:2" x14ac:dyDescent="0.25">
      <c r="A1363"/>
      <c r="B1363"/>
    </row>
    <row r="1364" spans="1:2" x14ac:dyDescent="0.25">
      <c r="A1364"/>
      <c r="B1364"/>
    </row>
    <row r="1365" spans="1:2" x14ac:dyDescent="0.25">
      <c r="A1365"/>
      <c r="B1365"/>
    </row>
    <row r="1366" spans="1:2" x14ac:dyDescent="0.25">
      <c r="A1366"/>
      <c r="B1366"/>
    </row>
    <row r="1367" spans="1:2" x14ac:dyDescent="0.25">
      <c r="A1367"/>
      <c r="B1367"/>
    </row>
    <row r="1368" spans="1:2" x14ac:dyDescent="0.25">
      <c r="A1368"/>
      <c r="B1368"/>
    </row>
    <row r="1369" spans="1:2" x14ac:dyDescent="0.25">
      <c r="A1369"/>
      <c r="B1369"/>
    </row>
    <row r="1370" spans="1:2" x14ac:dyDescent="0.25">
      <c r="A1370"/>
      <c r="B1370"/>
    </row>
    <row r="1371" spans="1:2" x14ac:dyDescent="0.25">
      <c r="A1371"/>
      <c r="B1371"/>
    </row>
    <row r="1372" spans="1:2" x14ac:dyDescent="0.25">
      <c r="A1372"/>
      <c r="B1372"/>
    </row>
    <row r="1373" spans="1:2" x14ac:dyDescent="0.25">
      <c r="A1373"/>
      <c r="B1373"/>
    </row>
    <row r="1374" spans="1:2" x14ac:dyDescent="0.25">
      <c r="A1374"/>
      <c r="B1374"/>
    </row>
    <row r="1375" spans="1:2" x14ac:dyDescent="0.25">
      <c r="A1375"/>
      <c r="B1375"/>
    </row>
    <row r="1376" spans="1:2" x14ac:dyDescent="0.25">
      <c r="A1376"/>
      <c r="B1376"/>
    </row>
    <row r="1377" spans="1:2" x14ac:dyDescent="0.25">
      <c r="A1377"/>
      <c r="B1377"/>
    </row>
    <row r="1378" spans="1:2" x14ac:dyDescent="0.25">
      <c r="A1378"/>
      <c r="B1378"/>
    </row>
    <row r="1379" spans="1:2" x14ac:dyDescent="0.25">
      <c r="A1379"/>
      <c r="B1379"/>
    </row>
    <row r="1380" spans="1:2" x14ac:dyDescent="0.25">
      <c r="A1380"/>
      <c r="B1380"/>
    </row>
    <row r="1381" spans="1:2" x14ac:dyDescent="0.25">
      <c r="A1381"/>
      <c r="B1381"/>
    </row>
    <row r="1382" spans="1:2" x14ac:dyDescent="0.25">
      <c r="A1382"/>
      <c r="B1382"/>
    </row>
    <row r="1383" spans="1:2" x14ac:dyDescent="0.25">
      <c r="A1383"/>
      <c r="B1383"/>
    </row>
    <row r="1384" spans="1:2" x14ac:dyDescent="0.25">
      <c r="A1384"/>
      <c r="B1384"/>
    </row>
    <row r="1385" spans="1:2" x14ac:dyDescent="0.25">
      <c r="A1385"/>
      <c r="B1385"/>
    </row>
    <row r="1386" spans="1:2" x14ac:dyDescent="0.25">
      <c r="A1386"/>
      <c r="B1386"/>
    </row>
    <row r="1387" spans="1:2" x14ac:dyDescent="0.25">
      <c r="A1387"/>
      <c r="B1387"/>
    </row>
    <row r="1388" spans="1:2" x14ac:dyDescent="0.25">
      <c r="A1388"/>
      <c r="B1388"/>
    </row>
    <row r="1389" spans="1:2" x14ac:dyDescent="0.25">
      <c r="A1389"/>
      <c r="B1389"/>
    </row>
    <row r="1390" spans="1:2" x14ac:dyDescent="0.25">
      <c r="A1390"/>
      <c r="B1390"/>
    </row>
    <row r="1391" spans="1:2" x14ac:dyDescent="0.25">
      <c r="A1391"/>
      <c r="B1391"/>
    </row>
    <row r="1392" spans="1:2" x14ac:dyDescent="0.25">
      <c r="A1392"/>
      <c r="B1392"/>
    </row>
    <row r="1393" spans="1:2" x14ac:dyDescent="0.25">
      <c r="A1393"/>
      <c r="B1393"/>
    </row>
    <row r="1394" spans="1:2" x14ac:dyDescent="0.25">
      <c r="A1394"/>
      <c r="B1394"/>
    </row>
    <row r="1395" spans="1:2" x14ac:dyDescent="0.25">
      <c r="A1395"/>
      <c r="B1395"/>
    </row>
    <row r="1396" spans="1:2" x14ac:dyDescent="0.25">
      <c r="A1396"/>
      <c r="B1396"/>
    </row>
    <row r="1397" spans="1:2" x14ac:dyDescent="0.25">
      <c r="A1397"/>
      <c r="B1397"/>
    </row>
    <row r="1398" spans="1:2" x14ac:dyDescent="0.25">
      <c r="A1398"/>
      <c r="B1398"/>
    </row>
    <row r="1399" spans="1:2" x14ac:dyDescent="0.25">
      <c r="A1399"/>
      <c r="B1399"/>
    </row>
    <row r="1400" spans="1:2" x14ac:dyDescent="0.25">
      <c r="A1400"/>
      <c r="B1400"/>
    </row>
    <row r="1401" spans="1:2" x14ac:dyDescent="0.25">
      <c r="A1401"/>
      <c r="B1401"/>
    </row>
    <row r="1402" spans="1:2" x14ac:dyDescent="0.25">
      <c r="A1402"/>
      <c r="B1402"/>
    </row>
    <row r="1403" spans="1:2" x14ac:dyDescent="0.25">
      <c r="A1403"/>
      <c r="B1403"/>
    </row>
    <row r="1404" spans="1:2" x14ac:dyDescent="0.25">
      <c r="A1404"/>
      <c r="B1404"/>
    </row>
    <row r="1405" spans="1:2" x14ac:dyDescent="0.25">
      <c r="A1405"/>
      <c r="B1405"/>
    </row>
    <row r="1406" spans="1:2" x14ac:dyDescent="0.25">
      <c r="A1406"/>
      <c r="B1406"/>
    </row>
    <row r="1407" spans="1:2" x14ac:dyDescent="0.25">
      <c r="A1407"/>
      <c r="B1407"/>
    </row>
    <row r="1408" spans="1:2" x14ac:dyDescent="0.25">
      <c r="A1408"/>
      <c r="B1408"/>
    </row>
    <row r="1409" spans="1:2" x14ac:dyDescent="0.25">
      <c r="A1409"/>
      <c r="B1409"/>
    </row>
    <row r="1410" spans="1:2" x14ac:dyDescent="0.25">
      <c r="A1410"/>
      <c r="B1410"/>
    </row>
    <row r="1411" spans="1:2" x14ac:dyDescent="0.25">
      <c r="A1411"/>
      <c r="B1411"/>
    </row>
    <row r="1412" spans="1:2" x14ac:dyDescent="0.25">
      <c r="A1412"/>
      <c r="B1412"/>
    </row>
    <row r="1413" spans="1:2" x14ac:dyDescent="0.25">
      <c r="A1413"/>
      <c r="B1413"/>
    </row>
    <row r="1414" spans="1:2" x14ac:dyDescent="0.25">
      <c r="A1414"/>
      <c r="B1414"/>
    </row>
    <row r="1415" spans="1:2" x14ac:dyDescent="0.25">
      <c r="A1415"/>
      <c r="B1415"/>
    </row>
    <row r="1416" spans="1:2" x14ac:dyDescent="0.25">
      <c r="A1416"/>
      <c r="B1416"/>
    </row>
    <row r="1417" spans="1:2" x14ac:dyDescent="0.25">
      <c r="A1417"/>
      <c r="B1417"/>
    </row>
    <row r="1418" spans="1:2" x14ac:dyDescent="0.25">
      <c r="A1418"/>
      <c r="B1418"/>
    </row>
    <row r="1419" spans="1:2" x14ac:dyDescent="0.25">
      <c r="A1419"/>
      <c r="B1419"/>
    </row>
    <row r="1420" spans="1:2" x14ac:dyDescent="0.25">
      <c r="A1420"/>
      <c r="B1420"/>
    </row>
    <row r="1421" spans="1:2" x14ac:dyDescent="0.25">
      <c r="A1421"/>
      <c r="B1421"/>
    </row>
    <row r="1422" spans="1:2" x14ac:dyDescent="0.25">
      <c r="A1422"/>
      <c r="B1422"/>
    </row>
    <row r="1423" spans="1:2" x14ac:dyDescent="0.25">
      <c r="A1423"/>
      <c r="B1423"/>
    </row>
    <row r="1424" spans="1:2" x14ac:dyDescent="0.25">
      <c r="A1424"/>
      <c r="B1424"/>
    </row>
    <row r="1425" spans="1:2" x14ac:dyDescent="0.25">
      <c r="A1425"/>
      <c r="B1425"/>
    </row>
    <row r="1426" spans="1:2" x14ac:dyDescent="0.25">
      <c r="A1426"/>
      <c r="B1426"/>
    </row>
    <row r="1427" spans="1:2" x14ac:dyDescent="0.25">
      <c r="A1427"/>
      <c r="B1427"/>
    </row>
    <row r="1428" spans="1:2" x14ac:dyDescent="0.25">
      <c r="A1428"/>
      <c r="B1428"/>
    </row>
    <row r="1429" spans="1:2" x14ac:dyDescent="0.25">
      <c r="A1429"/>
      <c r="B1429"/>
    </row>
    <row r="1430" spans="1:2" x14ac:dyDescent="0.25">
      <c r="A1430"/>
      <c r="B1430"/>
    </row>
    <row r="1431" spans="1:2" x14ac:dyDescent="0.25">
      <c r="A1431"/>
      <c r="B1431"/>
    </row>
    <row r="1432" spans="1:2" x14ac:dyDescent="0.25">
      <c r="A1432"/>
      <c r="B1432"/>
    </row>
    <row r="1433" spans="1:2" x14ac:dyDescent="0.25">
      <c r="A1433"/>
      <c r="B1433"/>
    </row>
    <row r="1434" spans="1:2" x14ac:dyDescent="0.25">
      <c r="A1434"/>
      <c r="B1434"/>
    </row>
    <row r="1435" spans="1:2" x14ac:dyDescent="0.25">
      <c r="A1435"/>
      <c r="B1435"/>
    </row>
    <row r="1436" spans="1:2" x14ac:dyDescent="0.25">
      <c r="A1436"/>
      <c r="B1436"/>
    </row>
    <row r="1437" spans="1:2" x14ac:dyDescent="0.25">
      <c r="A1437"/>
      <c r="B1437"/>
    </row>
    <row r="1438" spans="1:2" x14ac:dyDescent="0.25">
      <c r="A1438"/>
      <c r="B1438"/>
    </row>
    <row r="1439" spans="1:2" x14ac:dyDescent="0.25">
      <c r="A1439"/>
      <c r="B1439"/>
    </row>
    <row r="1440" spans="1:2" x14ac:dyDescent="0.25">
      <c r="A1440"/>
      <c r="B1440"/>
    </row>
    <row r="1441" spans="1:2" x14ac:dyDescent="0.25">
      <c r="A1441"/>
      <c r="B1441"/>
    </row>
    <row r="1442" spans="1:2" x14ac:dyDescent="0.25">
      <c r="A1442"/>
      <c r="B1442"/>
    </row>
    <row r="1443" spans="1:2" x14ac:dyDescent="0.25">
      <c r="A1443"/>
      <c r="B1443"/>
    </row>
    <row r="1444" spans="1:2" x14ac:dyDescent="0.25">
      <c r="A1444"/>
      <c r="B1444"/>
    </row>
    <row r="1445" spans="1:2" x14ac:dyDescent="0.25">
      <c r="A1445"/>
      <c r="B1445"/>
    </row>
    <row r="1446" spans="1:2" x14ac:dyDescent="0.25">
      <c r="A1446"/>
      <c r="B1446"/>
    </row>
    <row r="1447" spans="1:2" x14ac:dyDescent="0.25">
      <c r="A1447"/>
      <c r="B1447"/>
    </row>
    <row r="1448" spans="1:2" x14ac:dyDescent="0.25">
      <c r="A1448"/>
      <c r="B1448"/>
    </row>
    <row r="1449" spans="1:2" x14ac:dyDescent="0.25">
      <c r="A1449"/>
      <c r="B1449"/>
    </row>
    <row r="1450" spans="1:2" x14ac:dyDescent="0.25">
      <c r="A1450"/>
      <c r="B1450"/>
    </row>
    <row r="1451" spans="1:2" x14ac:dyDescent="0.25">
      <c r="A1451"/>
      <c r="B1451"/>
    </row>
    <row r="1452" spans="1:2" x14ac:dyDescent="0.25">
      <c r="A1452"/>
      <c r="B1452"/>
    </row>
    <row r="1453" spans="1:2" x14ac:dyDescent="0.25">
      <c r="A1453"/>
      <c r="B1453"/>
    </row>
    <row r="1454" spans="1:2" x14ac:dyDescent="0.25">
      <c r="A1454"/>
      <c r="B1454"/>
    </row>
    <row r="1455" spans="1:2" x14ac:dyDescent="0.25">
      <c r="A1455"/>
      <c r="B1455"/>
    </row>
    <row r="1456" spans="1:2" x14ac:dyDescent="0.25">
      <c r="A1456"/>
      <c r="B1456"/>
    </row>
    <row r="1457" spans="1:2" x14ac:dyDescent="0.25">
      <c r="A1457"/>
      <c r="B1457"/>
    </row>
    <row r="1458" spans="1:2" x14ac:dyDescent="0.25">
      <c r="A1458"/>
      <c r="B1458"/>
    </row>
    <row r="1459" spans="1:2" x14ac:dyDescent="0.25">
      <c r="A1459"/>
      <c r="B1459"/>
    </row>
    <row r="1460" spans="1:2" x14ac:dyDescent="0.25">
      <c r="A1460"/>
      <c r="B1460"/>
    </row>
    <row r="1461" spans="1:2" x14ac:dyDescent="0.25">
      <c r="A1461"/>
      <c r="B1461"/>
    </row>
    <row r="1462" spans="1:2" x14ac:dyDescent="0.25">
      <c r="A1462"/>
      <c r="B1462"/>
    </row>
    <row r="1463" spans="1:2" x14ac:dyDescent="0.25">
      <c r="A1463"/>
      <c r="B1463"/>
    </row>
    <row r="1464" spans="1:2" x14ac:dyDescent="0.25">
      <c r="A1464"/>
      <c r="B1464"/>
    </row>
    <row r="1465" spans="1:2" x14ac:dyDescent="0.25">
      <c r="A1465"/>
      <c r="B1465"/>
    </row>
    <row r="1466" spans="1:2" x14ac:dyDescent="0.25">
      <c r="A1466"/>
      <c r="B1466"/>
    </row>
    <row r="1467" spans="1:2" x14ac:dyDescent="0.25">
      <c r="A1467"/>
      <c r="B1467"/>
    </row>
    <row r="1468" spans="1:2" x14ac:dyDescent="0.25">
      <c r="A1468"/>
      <c r="B1468"/>
    </row>
    <row r="1469" spans="1:2" x14ac:dyDescent="0.25">
      <c r="A1469"/>
      <c r="B1469"/>
    </row>
    <row r="1470" spans="1:2" x14ac:dyDescent="0.25">
      <c r="A1470"/>
      <c r="B1470"/>
    </row>
    <row r="1471" spans="1:2" x14ac:dyDescent="0.25">
      <c r="A1471"/>
      <c r="B1471"/>
    </row>
    <row r="1472" spans="1:2" x14ac:dyDescent="0.25">
      <c r="A1472"/>
      <c r="B1472"/>
    </row>
    <row r="1473" spans="1:2" x14ac:dyDescent="0.25">
      <c r="A1473"/>
      <c r="B1473"/>
    </row>
    <row r="1474" spans="1:2" x14ac:dyDescent="0.25">
      <c r="A1474"/>
      <c r="B1474"/>
    </row>
    <row r="1475" spans="1:2" x14ac:dyDescent="0.25">
      <c r="A1475"/>
      <c r="B1475"/>
    </row>
    <row r="1476" spans="1:2" x14ac:dyDescent="0.25">
      <c r="A1476"/>
      <c r="B1476"/>
    </row>
    <row r="1477" spans="1:2" x14ac:dyDescent="0.25">
      <c r="A1477"/>
      <c r="B1477"/>
    </row>
    <row r="1478" spans="1:2" x14ac:dyDescent="0.25">
      <c r="A1478"/>
      <c r="B1478"/>
    </row>
    <row r="1479" spans="1:2" x14ac:dyDescent="0.25">
      <c r="A1479"/>
      <c r="B1479"/>
    </row>
    <row r="1480" spans="1:2" x14ac:dyDescent="0.25">
      <c r="A1480"/>
      <c r="B1480"/>
    </row>
    <row r="1481" spans="1:2" x14ac:dyDescent="0.25">
      <c r="A1481"/>
      <c r="B1481"/>
    </row>
    <row r="1482" spans="1:2" x14ac:dyDescent="0.25">
      <c r="A1482"/>
      <c r="B1482"/>
    </row>
    <row r="1483" spans="1:2" x14ac:dyDescent="0.25">
      <c r="A1483"/>
      <c r="B1483"/>
    </row>
    <row r="1484" spans="1:2" x14ac:dyDescent="0.25">
      <c r="A1484"/>
      <c r="B1484"/>
    </row>
    <row r="1485" spans="1:2" x14ac:dyDescent="0.25">
      <c r="A1485"/>
      <c r="B1485"/>
    </row>
    <row r="1486" spans="1:2" x14ac:dyDescent="0.25">
      <c r="A1486"/>
      <c r="B1486"/>
    </row>
    <row r="1487" spans="1:2" x14ac:dyDescent="0.25">
      <c r="A1487"/>
      <c r="B1487"/>
    </row>
    <row r="1488" spans="1:2" x14ac:dyDescent="0.25">
      <c r="A1488"/>
      <c r="B1488"/>
    </row>
    <row r="1489" spans="1:2" x14ac:dyDescent="0.25">
      <c r="A1489"/>
      <c r="B1489"/>
    </row>
    <row r="1490" spans="1:2" x14ac:dyDescent="0.25">
      <c r="A1490"/>
      <c r="B1490"/>
    </row>
    <row r="1491" spans="1:2" x14ac:dyDescent="0.25">
      <c r="A1491"/>
      <c r="B1491"/>
    </row>
    <row r="1492" spans="1:2" x14ac:dyDescent="0.25">
      <c r="A1492"/>
      <c r="B1492"/>
    </row>
    <row r="1493" spans="1:2" x14ac:dyDescent="0.25">
      <c r="A1493"/>
      <c r="B1493"/>
    </row>
    <row r="1494" spans="1:2" x14ac:dyDescent="0.25">
      <c r="A1494"/>
      <c r="B1494"/>
    </row>
    <row r="1495" spans="1:2" x14ac:dyDescent="0.25">
      <c r="A1495"/>
      <c r="B1495"/>
    </row>
    <row r="1496" spans="1:2" x14ac:dyDescent="0.25">
      <c r="A1496"/>
      <c r="B1496"/>
    </row>
    <row r="1497" spans="1:2" x14ac:dyDescent="0.25">
      <c r="A1497"/>
      <c r="B1497"/>
    </row>
    <row r="1498" spans="1:2" x14ac:dyDescent="0.25">
      <c r="A1498"/>
      <c r="B1498"/>
    </row>
    <row r="1499" spans="1:2" x14ac:dyDescent="0.25">
      <c r="A1499"/>
      <c r="B1499"/>
    </row>
    <row r="1500" spans="1:2" x14ac:dyDescent="0.25">
      <c r="A1500"/>
      <c r="B1500"/>
    </row>
    <row r="1501" spans="1:2" x14ac:dyDescent="0.25">
      <c r="A1501"/>
      <c r="B1501"/>
    </row>
    <row r="1502" spans="1:2" x14ac:dyDescent="0.25">
      <c r="A1502"/>
      <c r="B1502"/>
    </row>
    <row r="1503" spans="1:2" x14ac:dyDescent="0.25">
      <c r="A1503"/>
      <c r="B1503"/>
    </row>
    <row r="1504" spans="1:2" x14ac:dyDescent="0.25">
      <c r="A1504"/>
      <c r="B1504"/>
    </row>
    <row r="1505" spans="1:2" x14ac:dyDescent="0.25">
      <c r="A1505"/>
      <c r="B1505"/>
    </row>
    <row r="1506" spans="1:2" x14ac:dyDescent="0.25">
      <c r="A1506"/>
      <c r="B1506"/>
    </row>
    <row r="1507" spans="1:2" x14ac:dyDescent="0.25">
      <c r="A1507"/>
      <c r="B1507"/>
    </row>
    <row r="1508" spans="1:2" x14ac:dyDescent="0.25">
      <c r="A1508"/>
      <c r="B1508"/>
    </row>
    <row r="1509" spans="1:2" x14ac:dyDescent="0.25">
      <c r="A1509"/>
      <c r="B1509"/>
    </row>
    <row r="1510" spans="1:2" x14ac:dyDescent="0.25">
      <c r="A1510"/>
      <c r="B1510"/>
    </row>
    <row r="1511" spans="1:2" x14ac:dyDescent="0.25">
      <c r="A1511"/>
      <c r="B1511"/>
    </row>
    <row r="1512" spans="1:2" x14ac:dyDescent="0.25">
      <c r="A1512"/>
      <c r="B1512"/>
    </row>
    <row r="1513" spans="1:2" x14ac:dyDescent="0.25">
      <c r="A1513"/>
      <c r="B1513"/>
    </row>
    <row r="1514" spans="1:2" x14ac:dyDescent="0.25">
      <c r="A1514"/>
      <c r="B1514"/>
    </row>
    <row r="1515" spans="1:2" x14ac:dyDescent="0.25">
      <c r="A1515"/>
      <c r="B1515"/>
    </row>
    <row r="1516" spans="1:2" x14ac:dyDescent="0.25">
      <c r="A1516"/>
      <c r="B1516"/>
    </row>
    <row r="1517" spans="1:2" x14ac:dyDescent="0.25">
      <c r="A1517"/>
      <c r="B1517"/>
    </row>
    <row r="1518" spans="1:2" x14ac:dyDescent="0.25">
      <c r="A1518"/>
      <c r="B1518"/>
    </row>
    <row r="1519" spans="1:2" x14ac:dyDescent="0.25">
      <c r="A1519"/>
      <c r="B1519"/>
    </row>
    <row r="1520" spans="1:2" x14ac:dyDescent="0.25">
      <c r="A1520"/>
      <c r="B1520"/>
    </row>
    <row r="1521" spans="1:2" x14ac:dyDescent="0.25">
      <c r="A1521"/>
      <c r="B1521"/>
    </row>
    <row r="1522" spans="1:2" x14ac:dyDescent="0.25">
      <c r="A1522"/>
      <c r="B1522"/>
    </row>
    <row r="1523" spans="1:2" x14ac:dyDescent="0.25">
      <c r="A1523"/>
      <c r="B1523"/>
    </row>
    <row r="1524" spans="1:2" x14ac:dyDescent="0.25">
      <c r="A1524"/>
      <c r="B1524"/>
    </row>
    <row r="1525" spans="1:2" x14ac:dyDescent="0.25">
      <c r="A1525"/>
      <c r="B1525"/>
    </row>
    <row r="1526" spans="1:2" x14ac:dyDescent="0.25">
      <c r="A1526"/>
      <c r="B1526"/>
    </row>
    <row r="1527" spans="1:2" x14ac:dyDescent="0.25">
      <c r="A1527"/>
      <c r="B1527"/>
    </row>
    <row r="1528" spans="1:2" x14ac:dyDescent="0.25">
      <c r="A1528"/>
      <c r="B1528"/>
    </row>
    <row r="1529" spans="1:2" x14ac:dyDescent="0.25">
      <c r="A1529"/>
      <c r="B1529"/>
    </row>
    <row r="1530" spans="1:2" x14ac:dyDescent="0.25">
      <c r="A1530"/>
      <c r="B1530"/>
    </row>
    <row r="1531" spans="1:2" x14ac:dyDescent="0.25">
      <c r="A1531"/>
      <c r="B1531"/>
    </row>
    <row r="1532" spans="1:2" x14ac:dyDescent="0.25">
      <c r="A1532"/>
      <c r="B1532"/>
    </row>
    <row r="1533" spans="1:2" x14ac:dyDescent="0.25">
      <c r="A1533"/>
      <c r="B1533"/>
    </row>
    <row r="1534" spans="1:2" x14ac:dyDescent="0.25">
      <c r="A1534"/>
      <c r="B1534"/>
    </row>
    <row r="1535" spans="1:2" x14ac:dyDescent="0.25">
      <c r="A1535"/>
      <c r="B1535"/>
    </row>
    <row r="1536" spans="1:2" x14ac:dyDescent="0.25">
      <c r="A1536"/>
      <c r="B1536"/>
    </row>
    <row r="1537" spans="1:2" x14ac:dyDescent="0.25">
      <c r="A1537"/>
      <c r="B1537"/>
    </row>
    <row r="1538" spans="1:2" x14ac:dyDescent="0.25">
      <c r="A1538"/>
      <c r="B1538"/>
    </row>
    <row r="1539" spans="1:2" x14ac:dyDescent="0.25">
      <c r="A1539"/>
      <c r="B1539"/>
    </row>
    <row r="1540" spans="1:2" x14ac:dyDescent="0.25">
      <c r="A1540"/>
      <c r="B1540"/>
    </row>
    <row r="1541" spans="1:2" x14ac:dyDescent="0.25">
      <c r="A1541"/>
      <c r="B1541"/>
    </row>
    <row r="1542" spans="1:2" x14ac:dyDescent="0.25">
      <c r="A1542"/>
      <c r="B1542"/>
    </row>
    <row r="1543" spans="1:2" x14ac:dyDescent="0.25">
      <c r="A1543"/>
      <c r="B1543"/>
    </row>
    <row r="1544" spans="1:2" x14ac:dyDescent="0.25">
      <c r="A1544"/>
      <c r="B1544"/>
    </row>
    <row r="1545" spans="1:2" x14ac:dyDescent="0.25">
      <c r="A1545"/>
      <c r="B1545"/>
    </row>
    <row r="1546" spans="1:2" x14ac:dyDescent="0.25">
      <c r="A1546"/>
      <c r="B1546"/>
    </row>
    <row r="1547" spans="1:2" x14ac:dyDescent="0.25">
      <c r="A1547"/>
      <c r="B1547"/>
    </row>
    <row r="1548" spans="1:2" x14ac:dyDescent="0.25">
      <c r="A1548"/>
      <c r="B1548"/>
    </row>
    <row r="1549" spans="1:2" x14ac:dyDescent="0.25">
      <c r="A1549"/>
      <c r="B1549"/>
    </row>
    <row r="1550" spans="1:2" x14ac:dyDescent="0.25">
      <c r="A1550"/>
      <c r="B1550"/>
    </row>
    <row r="1551" spans="1:2" x14ac:dyDescent="0.25">
      <c r="A1551"/>
      <c r="B1551"/>
    </row>
    <row r="1552" spans="1:2" x14ac:dyDescent="0.25">
      <c r="A1552"/>
      <c r="B1552"/>
    </row>
    <row r="1553" spans="1:2" x14ac:dyDescent="0.25">
      <c r="A1553"/>
      <c r="B1553"/>
    </row>
    <row r="1554" spans="1:2" x14ac:dyDescent="0.25">
      <c r="A1554"/>
      <c r="B1554"/>
    </row>
    <row r="1555" spans="1:2" x14ac:dyDescent="0.25">
      <c r="A1555"/>
      <c r="B1555"/>
    </row>
    <row r="1556" spans="1:2" x14ac:dyDescent="0.25">
      <c r="A1556"/>
      <c r="B1556"/>
    </row>
    <row r="1557" spans="1:2" x14ac:dyDescent="0.25">
      <c r="A1557"/>
      <c r="B1557"/>
    </row>
    <row r="1558" spans="1:2" x14ac:dyDescent="0.25">
      <c r="A1558"/>
      <c r="B1558"/>
    </row>
    <row r="1559" spans="1:2" x14ac:dyDescent="0.25">
      <c r="A1559"/>
      <c r="B1559"/>
    </row>
    <row r="1560" spans="1:2" x14ac:dyDescent="0.25">
      <c r="A1560"/>
      <c r="B1560"/>
    </row>
    <row r="1561" spans="1:2" x14ac:dyDescent="0.25">
      <c r="A1561"/>
      <c r="B1561"/>
    </row>
    <row r="1562" spans="1:2" x14ac:dyDescent="0.25">
      <c r="A1562"/>
      <c r="B1562"/>
    </row>
    <row r="1563" spans="1:2" x14ac:dyDescent="0.25">
      <c r="A1563"/>
      <c r="B1563"/>
    </row>
    <row r="1564" spans="1:2" x14ac:dyDescent="0.25">
      <c r="A1564"/>
      <c r="B1564"/>
    </row>
    <row r="1565" spans="1:2" x14ac:dyDescent="0.25">
      <c r="A1565"/>
      <c r="B1565"/>
    </row>
    <row r="1566" spans="1:2" x14ac:dyDescent="0.25">
      <c r="A1566"/>
      <c r="B1566"/>
    </row>
    <row r="1567" spans="1:2" x14ac:dyDescent="0.25">
      <c r="A1567"/>
      <c r="B1567"/>
    </row>
    <row r="1568" spans="1:2" x14ac:dyDescent="0.25">
      <c r="A1568"/>
      <c r="B1568"/>
    </row>
    <row r="1569" spans="1:2" x14ac:dyDescent="0.25">
      <c r="A1569"/>
      <c r="B1569"/>
    </row>
    <row r="1570" spans="1:2" x14ac:dyDescent="0.25">
      <c r="A1570"/>
      <c r="B1570"/>
    </row>
    <row r="1571" spans="1:2" x14ac:dyDescent="0.25">
      <c r="A1571"/>
      <c r="B1571"/>
    </row>
    <row r="1572" spans="1:2" x14ac:dyDescent="0.25">
      <c r="A1572"/>
      <c r="B1572"/>
    </row>
    <row r="1573" spans="1:2" x14ac:dyDescent="0.25">
      <c r="A1573"/>
      <c r="B1573"/>
    </row>
    <row r="1574" spans="1:2" x14ac:dyDescent="0.25">
      <c r="A1574"/>
      <c r="B1574"/>
    </row>
    <row r="1575" spans="1:2" x14ac:dyDescent="0.25">
      <c r="A1575"/>
      <c r="B1575"/>
    </row>
    <row r="1576" spans="1:2" x14ac:dyDescent="0.25">
      <c r="A1576"/>
      <c r="B1576"/>
    </row>
    <row r="1577" spans="1:2" x14ac:dyDescent="0.25">
      <c r="A1577"/>
      <c r="B1577"/>
    </row>
    <row r="1578" spans="1:2" x14ac:dyDescent="0.25">
      <c r="A1578"/>
      <c r="B1578"/>
    </row>
    <row r="1579" spans="1:2" x14ac:dyDescent="0.25">
      <c r="A1579"/>
      <c r="B1579"/>
    </row>
    <row r="1580" spans="1:2" x14ac:dyDescent="0.25">
      <c r="A1580"/>
      <c r="B1580"/>
    </row>
    <row r="1581" spans="1:2" x14ac:dyDescent="0.25">
      <c r="A1581"/>
      <c r="B1581"/>
    </row>
    <row r="1582" spans="1:2" x14ac:dyDescent="0.25">
      <c r="A1582"/>
      <c r="B1582"/>
    </row>
    <row r="1583" spans="1:2" x14ac:dyDescent="0.25">
      <c r="A1583"/>
      <c r="B1583"/>
    </row>
    <row r="1584" spans="1:2" x14ac:dyDescent="0.25">
      <c r="A1584"/>
      <c r="B1584"/>
    </row>
    <row r="1585" spans="1:2" x14ac:dyDescent="0.25">
      <c r="A1585"/>
      <c r="B1585"/>
    </row>
    <row r="1586" spans="1:2" x14ac:dyDescent="0.25">
      <c r="A1586"/>
      <c r="B1586"/>
    </row>
    <row r="1587" spans="1:2" x14ac:dyDescent="0.25">
      <c r="A1587"/>
      <c r="B1587"/>
    </row>
    <row r="1588" spans="1:2" x14ac:dyDescent="0.25">
      <c r="A1588"/>
      <c r="B1588"/>
    </row>
    <row r="1589" spans="1:2" x14ac:dyDescent="0.25">
      <c r="A1589"/>
      <c r="B1589"/>
    </row>
    <row r="1590" spans="1:2" x14ac:dyDescent="0.25">
      <c r="A1590"/>
      <c r="B1590"/>
    </row>
    <row r="1591" spans="1:2" x14ac:dyDescent="0.25">
      <c r="A1591"/>
      <c r="B1591"/>
    </row>
    <row r="1592" spans="1:2" x14ac:dyDescent="0.25">
      <c r="A1592"/>
      <c r="B1592"/>
    </row>
    <row r="1593" spans="1:2" x14ac:dyDescent="0.25">
      <c r="A1593"/>
      <c r="B1593"/>
    </row>
    <row r="1594" spans="1:2" x14ac:dyDescent="0.25">
      <c r="A1594"/>
      <c r="B1594"/>
    </row>
    <row r="1595" spans="1:2" x14ac:dyDescent="0.25">
      <c r="A1595"/>
      <c r="B1595"/>
    </row>
    <row r="1596" spans="1:2" x14ac:dyDescent="0.25">
      <c r="A1596"/>
      <c r="B1596"/>
    </row>
    <row r="1597" spans="1:2" x14ac:dyDescent="0.25">
      <c r="A1597"/>
      <c r="B1597"/>
    </row>
    <row r="1598" spans="1:2" x14ac:dyDescent="0.25">
      <c r="A1598"/>
      <c r="B1598"/>
    </row>
    <row r="1599" spans="1:2" x14ac:dyDescent="0.25">
      <c r="A1599"/>
      <c r="B1599"/>
    </row>
    <row r="1600" spans="1:2" x14ac:dyDescent="0.25">
      <c r="A1600"/>
      <c r="B1600"/>
    </row>
    <row r="1601" spans="1:2" x14ac:dyDescent="0.25">
      <c r="A1601"/>
      <c r="B1601"/>
    </row>
    <row r="1602" spans="1:2" x14ac:dyDescent="0.25">
      <c r="A1602"/>
      <c r="B1602"/>
    </row>
    <row r="1603" spans="1:2" x14ac:dyDescent="0.25">
      <c r="A1603"/>
      <c r="B1603"/>
    </row>
    <row r="1604" spans="1:2" x14ac:dyDescent="0.25">
      <c r="A1604"/>
      <c r="B1604"/>
    </row>
    <row r="1605" spans="1:2" x14ac:dyDescent="0.25">
      <c r="A1605"/>
      <c r="B1605"/>
    </row>
    <row r="1606" spans="1:2" x14ac:dyDescent="0.25">
      <c r="A1606"/>
      <c r="B1606"/>
    </row>
    <row r="1607" spans="1:2" x14ac:dyDescent="0.25">
      <c r="A1607"/>
      <c r="B1607"/>
    </row>
    <row r="1608" spans="1:2" x14ac:dyDescent="0.25">
      <c r="A1608"/>
      <c r="B1608"/>
    </row>
    <row r="1609" spans="1:2" x14ac:dyDescent="0.25">
      <c r="A1609"/>
      <c r="B1609"/>
    </row>
    <row r="1610" spans="1:2" x14ac:dyDescent="0.25">
      <c r="A1610"/>
      <c r="B1610"/>
    </row>
    <row r="1611" spans="1:2" x14ac:dyDescent="0.25">
      <c r="A1611"/>
      <c r="B1611"/>
    </row>
    <row r="1612" spans="1:2" x14ac:dyDescent="0.25">
      <c r="A1612"/>
      <c r="B1612"/>
    </row>
    <row r="1613" spans="1:2" x14ac:dyDescent="0.25">
      <c r="A1613"/>
      <c r="B1613"/>
    </row>
    <row r="1614" spans="1:2" x14ac:dyDescent="0.25">
      <c r="A1614"/>
      <c r="B1614"/>
    </row>
    <row r="1615" spans="1:2" x14ac:dyDescent="0.25">
      <c r="A1615"/>
      <c r="B1615"/>
    </row>
    <row r="1616" spans="1:2" x14ac:dyDescent="0.25">
      <c r="A1616"/>
      <c r="B1616"/>
    </row>
    <row r="1617" spans="1:2" x14ac:dyDescent="0.25">
      <c r="A1617"/>
      <c r="B1617"/>
    </row>
    <row r="1618" spans="1:2" x14ac:dyDescent="0.25">
      <c r="A1618"/>
      <c r="B1618"/>
    </row>
    <row r="1619" spans="1:2" x14ac:dyDescent="0.25">
      <c r="A1619"/>
      <c r="B1619"/>
    </row>
    <row r="1620" spans="1:2" x14ac:dyDescent="0.25">
      <c r="A1620"/>
      <c r="B1620"/>
    </row>
    <row r="1621" spans="1:2" x14ac:dyDescent="0.25">
      <c r="A1621"/>
      <c r="B1621"/>
    </row>
    <row r="1622" spans="1:2" x14ac:dyDescent="0.25">
      <c r="A1622"/>
      <c r="B1622"/>
    </row>
    <row r="1623" spans="1:2" x14ac:dyDescent="0.25">
      <c r="A1623"/>
      <c r="B1623"/>
    </row>
    <row r="1624" spans="1:2" x14ac:dyDescent="0.25">
      <c r="A1624"/>
      <c r="B1624"/>
    </row>
    <row r="1625" spans="1:2" x14ac:dyDescent="0.25">
      <c r="A1625"/>
      <c r="B1625"/>
    </row>
    <row r="1626" spans="1:2" x14ac:dyDescent="0.25">
      <c r="A1626"/>
      <c r="B1626"/>
    </row>
    <row r="1627" spans="1:2" x14ac:dyDescent="0.25">
      <c r="A1627"/>
      <c r="B1627"/>
    </row>
    <row r="1628" spans="1:2" x14ac:dyDescent="0.25">
      <c r="A1628"/>
      <c r="B1628"/>
    </row>
    <row r="1629" spans="1:2" x14ac:dyDescent="0.25">
      <c r="A1629"/>
      <c r="B1629"/>
    </row>
    <row r="1630" spans="1:2" x14ac:dyDescent="0.25">
      <c r="A1630"/>
      <c r="B1630"/>
    </row>
    <row r="1631" spans="1:2" x14ac:dyDescent="0.25">
      <c r="A1631"/>
      <c r="B1631"/>
    </row>
    <row r="1632" spans="1:2" x14ac:dyDescent="0.25">
      <c r="A1632"/>
      <c r="B1632"/>
    </row>
    <row r="1633" spans="1:2" x14ac:dyDescent="0.25">
      <c r="A1633"/>
      <c r="B1633"/>
    </row>
    <row r="1634" spans="1:2" x14ac:dyDescent="0.25">
      <c r="A1634"/>
      <c r="B1634"/>
    </row>
    <row r="1635" spans="1:2" x14ac:dyDescent="0.25">
      <c r="A1635"/>
      <c r="B1635"/>
    </row>
    <row r="1636" spans="1:2" x14ac:dyDescent="0.25">
      <c r="A1636"/>
      <c r="B1636"/>
    </row>
    <row r="1637" spans="1:2" x14ac:dyDescent="0.25">
      <c r="A1637"/>
      <c r="B1637"/>
    </row>
    <row r="1638" spans="1:2" x14ac:dyDescent="0.25">
      <c r="A1638"/>
      <c r="B1638"/>
    </row>
    <row r="1639" spans="1:2" x14ac:dyDescent="0.25">
      <c r="A1639"/>
      <c r="B1639"/>
    </row>
    <row r="1640" spans="1:2" x14ac:dyDescent="0.25">
      <c r="A1640"/>
      <c r="B1640"/>
    </row>
    <row r="1641" spans="1:2" x14ac:dyDescent="0.25">
      <c r="A1641"/>
      <c r="B1641"/>
    </row>
    <row r="1642" spans="1:2" x14ac:dyDescent="0.25">
      <c r="A1642"/>
      <c r="B1642"/>
    </row>
    <row r="1643" spans="1:2" x14ac:dyDescent="0.25">
      <c r="A1643"/>
      <c r="B1643"/>
    </row>
    <row r="1644" spans="1:2" x14ac:dyDescent="0.25">
      <c r="A1644"/>
      <c r="B1644"/>
    </row>
    <row r="1645" spans="1:2" x14ac:dyDescent="0.25">
      <c r="A1645"/>
      <c r="B1645"/>
    </row>
    <row r="1646" spans="1:2" x14ac:dyDescent="0.25">
      <c r="A1646"/>
      <c r="B1646"/>
    </row>
    <row r="1647" spans="1:2" x14ac:dyDescent="0.25">
      <c r="A1647"/>
      <c r="B1647"/>
    </row>
    <row r="1648" spans="1:2" x14ac:dyDescent="0.25">
      <c r="A1648"/>
      <c r="B1648"/>
    </row>
    <row r="1649" spans="1:2" x14ac:dyDescent="0.25">
      <c r="A1649"/>
      <c r="B1649"/>
    </row>
    <row r="1650" spans="1:2" x14ac:dyDescent="0.25">
      <c r="A1650"/>
      <c r="B1650"/>
    </row>
    <row r="1651" spans="1:2" x14ac:dyDescent="0.25">
      <c r="A1651"/>
      <c r="B1651"/>
    </row>
    <row r="1652" spans="1:2" x14ac:dyDescent="0.25">
      <c r="A1652"/>
      <c r="B1652"/>
    </row>
    <row r="1653" spans="1:2" x14ac:dyDescent="0.25">
      <c r="A1653"/>
      <c r="B1653"/>
    </row>
    <row r="1654" spans="1:2" x14ac:dyDescent="0.25">
      <c r="A1654"/>
      <c r="B1654"/>
    </row>
    <row r="1655" spans="1:2" x14ac:dyDescent="0.25">
      <c r="A1655"/>
      <c r="B1655"/>
    </row>
    <row r="1656" spans="1:2" x14ac:dyDescent="0.25">
      <c r="A1656"/>
      <c r="B1656"/>
    </row>
    <row r="1657" spans="1:2" x14ac:dyDescent="0.25">
      <c r="A1657"/>
      <c r="B1657"/>
    </row>
    <row r="1658" spans="1:2" x14ac:dyDescent="0.25">
      <c r="A1658"/>
      <c r="B1658"/>
    </row>
    <row r="1659" spans="1:2" x14ac:dyDescent="0.25">
      <c r="A1659"/>
      <c r="B1659"/>
    </row>
    <row r="1660" spans="1:2" x14ac:dyDescent="0.25">
      <c r="A1660"/>
      <c r="B1660"/>
    </row>
    <row r="1661" spans="1:2" x14ac:dyDescent="0.25">
      <c r="A1661"/>
      <c r="B1661"/>
    </row>
    <row r="1662" spans="1:2" x14ac:dyDescent="0.25">
      <c r="A1662"/>
      <c r="B1662"/>
    </row>
    <row r="1663" spans="1:2" x14ac:dyDescent="0.25">
      <c r="A1663"/>
      <c r="B1663"/>
    </row>
    <row r="1664" spans="1:2" x14ac:dyDescent="0.25">
      <c r="A1664"/>
      <c r="B1664"/>
    </row>
    <row r="1665" spans="1:2" x14ac:dyDescent="0.25">
      <c r="A1665"/>
      <c r="B1665"/>
    </row>
    <row r="1666" spans="1:2" x14ac:dyDescent="0.25">
      <c r="A1666"/>
      <c r="B1666"/>
    </row>
    <row r="1667" spans="1:2" x14ac:dyDescent="0.25">
      <c r="A1667"/>
      <c r="B1667"/>
    </row>
    <row r="1668" spans="1:2" x14ac:dyDescent="0.25">
      <c r="A1668"/>
      <c r="B1668"/>
    </row>
    <row r="1669" spans="1:2" x14ac:dyDescent="0.25">
      <c r="A1669"/>
      <c r="B1669"/>
    </row>
    <row r="1670" spans="1:2" x14ac:dyDescent="0.25">
      <c r="A1670"/>
      <c r="B1670"/>
    </row>
    <row r="1671" spans="1:2" x14ac:dyDescent="0.25">
      <c r="A1671"/>
      <c r="B1671"/>
    </row>
    <row r="1672" spans="1:2" x14ac:dyDescent="0.25">
      <c r="A1672"/>
      <c r="B1672"/>
    </row>
    <row r="1673" spans="1:2" x14ac:dyDescent="0.25">
      <c r="A1673"/>
      <c r="B1673"/>
    </row>
    <row r="1674" spans="1:2" x14ac:dyDescent="0.25">
      <c r="A1674"/>
      <c r="B1674"/>
    </row>
    <row r="1675" spans="1:2" x14ac:dyDescent="0.25">
      <c r="A1675"/>
      <c r="B1675"/>
    </row>
    <row r="1676" spans="1:2" x14ac:dyDescent="0.25">
      <c r="A1676"/>
      <c r="B1676"/>
    </row>
    <row r="1677" spans="1:2" x14ac:dyDescent="0.25">
      <c r="A1677"/>
      <c r="B1677"/>
    </row>
    <row r="1678" spans="1:2" x14ac:dyDescent="0.25">
      <c r="A1678"/>
      <c r="B1678"/>
    </row>
    <row r="1679" spans="1:2" x14ac:dyDescent="0.25">
      <c r="A1679"/>
      <c r="B1679"/>
    </row>
    <row r="1680" spans="1:2" x14ac:dyDescent="0.25">
      <c r="A1680"/>
      <c r="B1680"/>
    </row>
    <row r="1681" spans="1:2" x14ac:dyDescent="0.25">
      <c r="A1681"/>
      <c r="B1681"/>
    </row>
    <row r="1682" spans="1:2" x14ac:dyDescent="0.25">
      <c r="A1682"/>
      <c r="B1682"/>
    </row>
    <row r="1683" spans="1:2" x14ac:dyDescent="0.25">
      <c r="A1683"/>
      <c r="B1683"/>
    </row>
    <row r="1684" spans="1:2" x14ac:dyDescent="0.25">
      <c r="A1684"/>
      <c r="B1684"/>
    </row>
    <row r="1685" spans="1:2" x14ac:dyDescent="0.25">
      <c r="A1685"/>
      <c r="B1685"/>
    </row>
    <row r="1686" spans="1:2" x14ac:dyDescent="0.25">
      <c r="A1686"/>
      <c r="B1686"/>
    </row>
    <row r="1687" spans="1:2" x14ac:dyDescent="0.25">
      <c r="A1687"/>
      <c r="B1687"/>
    </row>
    <row r="1688" spans="1:2" x14ac:dyDescent="0.25">
      <c r="A1688"/>
      <c r="B1688"/>
    </row>
    <row r="1689" spans="1:2" x14ac:dyDescent="0.25">
      <c r="A1689"/>
      <c r="B1689"/>
    </row>
    <row r="1690" spans="1:2" x14ac:dyDescent="0.25">
      <c r="A1690"/>
      <c r="B1690"/>
    </row>
    <row r="1691" spans="1:2" x14ac:dyDescent="0.25">
      <c r="A1691"/>
      <c r="B1691"/>
    </row>
    <row r="1692" spans="1:2" x14ac:dyDescent="0.25">
      <c r="A1692"/>
      <c r="B1692"/>
    </row>
    <row r="1693" spans="1:2" x14ac:dyDescent="0.25">
      <c r="A1693"/>
      <c r="B1693"/>
    </row>
    <row r="1694" spans="1:2" x14ac:dyDescent="0.25">
      <c r="A1694"/>
      <c r="B1694"/>
    </row>
    <row r="1695" spans="1:2" x14ac:dyDescent="0.25">
      <c r="A1695"/>
      <c r="B1695"/>
    </row>
    <row r="1696" spans="1:2" x14ac:dyDescent="0.25">
      <c r="A1696"/>
      <c r="B1696"/>
    </row>
    <row r="1697" spans="1:2" x14ac:dyDescent="0.25">
      <c r="A1697"/>
      <c r="B1697"/>
    </row>
    <row r="1698" spans="1:2" x14ac:dyDescent="0.25">
      <c r="A1698"/>
      <c r="B1698"/>
    </row>
    <row r="1699" spans="1:2" x14ac:dyDescent="0.25">
      <c r="A1699"/>
      <c r="B1699"/>
    </row>
    <row r="1700" spans="1:2" x14ac:dyDescent="0.25">
      <c r="A1700"/>
      <c r="B1700"/>
    </row>
    <row r="1701" spans="1:2" x14ac:dyDescent="0.25">
      <c r="A1701"/>
      <c r="B1701"/>
    </row>
    <row r="1702" spans="1:2" x14ac:dyDescent="0.25">
      <c r="A1702"/>
      <c r="B1702"/>
    </row>
    <row r="1703" spans="1:2" x14ac:dyDescent="0.25">
      <c r="A1703"/>
      <c r="B1703"/>
    </row>
    <row r="1704" spans="1:2" x14ac:dyDescent="0.25">
      <c r="A1704"/>
      <c r="B1704"/>
    </row>
    <row r="1705" spans="1:2" x14ac:dyDescent="0.25">
      <c r="A1705"/>
      <c r="B1705"/>
    </row>
    <row r="1706" spans="1:2" x14ac:dyDescent="0.25">
      <c r="A1706"/>
      <c r="B1706"/>
    </row>
    <row r="1707" spans="1:2" x14ac:dyDescent="0.25">
      <c r="A1707"/>
      <c r="B1707"/>
    </row>
    <row r="1708" spans="1:2" x14ac:dyDescent="0.25">
      <c r="A1708"/>
      <c r="B1708"/>
    </row>
    <row r="1709" spans="1:2" x14ac:dyDescent="0.25">
      <c r="A1709"/>
      <c r="B1709"/>
    </row>
    <row r="1710" spans="1:2" x14ac:dyDescent="0.25">
      <c r="A1710"/>
      <c r="B1710"/>
    </row>
    <row r="1711" spans="1:2" x14ac:dyDescent="0.25">
      <c r="A1711"/>
      <c r="B1711"/>
    </row>
    <row r="1712" spans="1:2" x14ac:dyDescent="0.25">
      <c r="A1712"/>
      <c r="B1712"/>
    </row>
    <row r="1713" spans="1:2" x14ac:dyDescent="0.25">
      <c r="A1713"/>
      <c r="B1713"/>
    </row>
    <row r="1714" spans="1:2" x14ac:dyDescent="0.25">
      <c r="A1714"/>
      <c r="B1714"/>
    </row>
    <row r="1715" spans="1:2" x14ac:dyDescent="0.25">
      <c r="A1715"/>
      <c r="B1715"/>
    </row>
    <row r="1716" spans="1:2" x14ac:dyDescent="0.25">
      <c r="A1716"/>
      <c r="B1716"/>
    </row>
    <row r="1717" spans="1:2" x14ac:dyDescent="0.25">
      <c r="A1717"/>
      <c r="B1717"/>
    </row>
    <row r="1718" spans="1:2" x14ac:dyDescent="0.25">
      <c r="A1718"/>
      <c r="B1718"/>
    </row>
    <row r="1719" spans="1:2" x14ac:dyDescent="0.25">
      <c r="A1719"/>
      <c r="B1719"/>
    </row>
    <row r="1720" spans="1:2" x14ac:dyDescent="0.25">
      <c r="A1720"/>
      <c r="B1720"/>
    </row>
    <row r="1721" spans="1:2" x14ac:dyDescent="0.25">
      <c r="A1721"/>
      <c r="B1721"/>
    </row>
    <row r="1722" spans="1:2" x14ac:dyDescent="0.25">
      <c r="A1722"/>
      <c r="B1722"/>
    </row>
    <row r="1723" spans="1:2" x14ac:dyDescent="0.25">
      <c r="A1723"/>
      <c r="B1723"/>
    </row>
    <row r="1724" spans="1:2" x14ac:dyDescent="0.25">
      <c r="A1724"/>
      <c r="B1724"/>
    </row>
    <row r="1725" spans="1:2" x14ac:dyDescent="0.25">
      <c r="A1725"/>
      <c r="B1725"/>
    </row>
    <row r="1726" spans="1:2" x14ac:dyDescent="0.25">
      <c r="A1726"/>
      <c r="B1726"/>
    </row>
    <row r="1727" spans="1:2" x14ac:dyDescent="0.25">
      <c r="A1727"/>
      <c r="B1727"/>
    </row>
    <row r="1728" spans="1:2" x14ac:dyDescent="0.25">
      <c r="A1728"/>
      <c r="B1728"/>
    </row>
    <row r="1729" spans="1:2" x14ac:dyDescent="0.25">
      <c r="A1729"/>
      <c r="B1729"/>
    </row>
    <row r="1730" spans="1:2" x14ac:dyDescent="0.25">
      <c r="A1730"/>
      <c r="B1730"/>
    </row>
    <row r="1731" spans="1:2" x14ac:dyDescent="0.25">
      <c r="A1731"/>
      <c r="B1731"/>
    </row>
    <row r="1732" spans="1:2" x14ac:dyDescent="0.25">
      <c r="A1732"/>
      <c r="B1732"/>
    </row>
    <row r="1733" spans="1:2" x14ac:dyDescent="0.25">
      <c r="A1733"/>
      <c r="B1733"/>
    </row>
    <row r="1734" spans="1:2" x14ac:dyDescent="0.25">
      <c r="A1734"/>
      <c r="B1734"/>
    </row>
    <row r="1735" spans="1:2" x14ac:dyDescent="0.25">
      <c r="A1735"/>
      <c r="B1735"/>
    </row>
    <row r="1736" spans="1:2" x14ac:dyDescent="0.25">
      <c r="A1736"/>
      <c r="B1736"/>
    </row>
    <row r="1737" spans="1:2" x14ac:dyDescent="0.25">
      <c r="A1737"/>
      <c r="B1737"/>
    </row>
    <row r="1738" spans="1:2" x14ac:dyDescent="0.25">
      <c r="A1738"/>
      <c r="B1738"/>
    </row>
    <row r="1739" spans="1:2" x14ac:dyDescent="0.25">
      <c r="A1739"/>
      <c r="B1739"/>
    </row>
    <row r="1740" spans="1:2" x14ac:dyDescent="0.25">
      <c r="A1740"/>
      <c r="B1740"/>
    </row>
    <row r="1741" spans="1:2" x14ac:dyDescent="0.25">
      <c r="A1741"/>
      <c r="B1741"/>
    </row>
    <row r="1742" spans="1:2" x14ac:dyDescent="0.25">
      <c r="A1742"/>
      <c r="B1742"/>
    </row>
    <row r="1743" spans="1:2" x14ac:dyDescent="0.25">
      <c r="A1743"/>
      <c r="B1743"/>
    </row>
    <row r="1744" spans="1:2" x14ac:dyDescent="0.25">
      <c r="A1744"/>
      <c r="B1744"/>
    </row>
    <row r="1745" spans="1:2" x14ac:dyDescent="0.25">
      <c r="A1745"/>
      <c r="B1745"/>
    </row>
    <row r="1746" spans="1:2" x14ac:dyDescent="0.25">
      <c r="A1746"/>
      <c r="B1746"/>
    </row>
    <row r="1747" spans="1:2" x14ac:dyDescent="0.25">
      <c r="A1747"/>
      <c r="B1747"/>
    </row>
    <row r="1748" spans="1:2" x14ac:dyDescent="0.25">
      <c r="A1748"/>
      <c r="B1748"/>
    </row>
    <row r="1749" spans="1:2" x14ac:dyDescent="0.25">
      <c r="A1749"/>
      <c r="B1749"/>
    </row>
    <row r="1750" spans="1:2" x14ac:dyDescent="0.25">
      <c r="A1750"/>
      <c r="B1750"/>
    </row>
    <row r="1751" spans="1:2" x14ac:dyDescent="0.25">
      <c r="A1751"/>
      <c r="B1751"/>
    </row>
    <row r="1752" spans="1:2" x14ac:dyDescent="0.25">
      <c r="A1752"/>
      <c r="B1752"/>
    </row>
    <row r="1753" spans="1:2" x14ac:dyDescent="0.25">
      <c r="A1753"/>
      <c r="B1753"/>
    </row>
    <row r="1754" spans="1:2" x14ac:dyDescent="0.25">
      <c r="A1754"/>
      <c r="B1754"/>
    </row>
    <row r="1755" spans="1:2" x14ac:dyDescent="0.25">
      <c r="A1755"/>
      <c r="B1755"/>
    </row>
    <row r="1756" spans="1:2" x14ac:dyDescent="0.25">
      <c r="A1756"/>
      <c r="B1756"/>
    </row>
    <row r="1757" spans="1:2" x14ac:dyDescent="0.25">
      <c r="A1757"/>
      <c r="B1757"/>
    </row>
    <row r="1758" spans="1:2" x14ac:dyDescent="0.25">
      <c r="A1758"/>
      <c r="B1758"/>
    </row>
    <row r="1759" spans="1:2" x14ac:dyDescent="0.25">
      <c r="A1759"/>
      <c r="B1759"/>
    </row>
    <row r="1760" spans="1:2" x14ac:dyDescent="0.25">
      <c r="A1760"/>
      <c r="B1760"/>
    </row>
    <row r="1761" spans="1:2" x14ac:dyDescent="0.25">
      <c r="A1761"/>
      <c r="B1761"/>
    </row>
    <row r="1762" spans="1:2" x14ac:dyDescent="0.25">
      <c r="A1762"/>
      <c r="B1762"/>
    </row>
    <row r="1763" spans="1:2" x14ac:dyDescent="0.25">
      <c r="A1763"/>
      <c r="B1763"/>
    </row>
    <row r="1764" spans="1:2" x14ac:dyDescent="0.25">
      <c r="A1764"/>
      <c r="B1764"/>
    </row>
    <row r="1765" spans="1:2" x14ac:dyDescent="0.25">
      <c r="A1765"/>
      <c r="B1765"/>
    </row>
    <row r="1766" spans="1:2" x14ac:dyDescent="0.25">
      <c r="A1766"/>
      <c r="B1766"/>
    </row>
    <row r="1767" spans="1:2" x14ac:dyDescent="0.25">
      <c r="A1767"/>
      <c r="B1767"/>
    </row>
    <row r="1768" spans="1:2" x14ac:dyDescent="0.25">
      <c r="A1768"/>
      <c r="B1768"/>
    </row>
    <row r="1769" spans="1:2" x14ac:dyDescent="0.25">
      <c r="A1769"/>
      <c r="B1769"/>
    </row>
    <row r="1770" spans="1:2" x14ac:dyDescent="0.25">
      <c r="A1770"/>
      <c r="B1770"/>
    </row>
    <row r="1771" spans="1:2" x14ac:dyDescent="0.25">
      <c r="A1771"/>
      <c r="B1771"/>
    </row>
    <row r="1772" spans="1:2" x14ac:dyDescent="0.25">
      <c r="A1772"/>
      <c r="B1772"/>
    </row>
    <row r="1773" spans="1:2" x14ac:dyDescent="0.25">
      <c r="A1773"/>
      <c r="B1773"/>
    </row>
    <row r="1774" spans="1:2" x14ac:dyDescent="0.25">
      <c r="A1774"/>
      <c r="B1774"/>
    </row>
    <row r="1775" spans="1:2" x14ac:dyDescent="0.25">
      <c r="A1775"/>
      <c r="B1775"/>
    </row>
    <row r="1776" spans="1:2" x14ac:dyDescent="0.25">
      <c r="A1776"/>
      <c r="B1776"/>
    </row>
    <row r="1777" spans="1:2" x14ac:dyDescent="0.25">
      <c r="A1777"/>
      <c r="B1777"/>
    </row>
    <row r="1778" spans="1:2" x14ac:dyDescent="0.25">
      <c r="A1778"/>
      <c r="B1778"/>
    </row>
    <row r="1779" spans="1:2" x14ac:dyDescent="0.25">
      <c r="A1779"/>
      <c r="B1779"/>
    </row>
    <row r="1780" spans="1:2" x14ac:dyDescent="0.25">
      <c r="A1780"/>
      <c r="B1780"/>
    </row>
    <row r="1781" spans="1:2" x14ac:dyDescent="0.25">
      <c r="A1781"/>
      <c r="B1781"/>
    </row>
    <row r="1782" spans="1:2" x14ac:dyDescent="0.25">
      <c r="A1782"/>
      <c r="B1782"/>
    </row>
    <row r="1783" spans="1:2" x14ac:dyDescent="0.25">
      <c r="A1783"/>
      <c r="B1783"/>
    </row>
    <row r="1784" spans="1:2" x14ac:dyDescent="0.25">
      <c r="A1784"/>
      <c r="B1784"/>
    </row>
    <row r="1785" spans="1:2" x14ac:dyDescent="0.25">
      <c r="A1785"/>
      <c r="B1785"/>
    </row>
    <row r="1786" spans="1:2" x14ac:dyDescent="0.25">
      <c r="A1786"/>
      <c r="B1786"/>
    </row>
    <row r="1787" spans="1:2" x14ac:dyDescent="0.25">
      <c r="A1787"/>
      <c r="B1787"/>
    </row>
    <row r="1788" spans="1:2" x14ac:dyDescent="0.25">
      <c r="A1788"/>
      <c r="B1788"/>
    </row>
    <row r="1789" spans="1:2" x14ac:dyDescent="0.25">
      <c r="A1789"/>
      <c r="B1789"/>
    </row>
    <row r="1790" spans="1:2" x14ac:dyDescent="0.25">
      <c r="A1790"/>
      <c r="B1790"/>
    </row>
    <row r="1791" spans="1:2" x14ac:dyDescent="0.25">
      <c r="A1791"/>
      <c r="B1791"/>
    </row>
    <row r="1792" spans="1:2" x14ac:dyDescent="0.25">
      <c r="A1792"/>
      <c r="B1792"/>
    </row>
    <row r="1793" spans="1:2" x14ac:dyDescent="0.25">
      <c r="A1793"/>
      <c r="B1793"/>
    </row>
    <row r="1794" spans="1:2" x14ac:dyDescent="0.25">
      <c r="A1794"/>
      <c r="B1794"/>
    </row>
    <row r="1795" spans="1:2" x14ac:dyDescent="0.25">
      <c r="A1795"/>
      <c r="B1795"/>
    </row>
    <row r="1796" spans="1:2" x14ac:dyDescent="0.25">
      <c r="A1796"/>
      <c r="B1796"/>
    </row>
    <row r="1797" spans="1:2" x14ac:dyDescent="0.25">
      <c r="A1797"/>
      <c r="B1797"/>
    </row>
    <row r="1798" spans="1:2" x14ac:dyDescent="0.25">
      <c r="A1798"/>
      <c r="B1798"/>
    </row>
    <row r="1799" spans="1:2" x14ac:dyDescent="0.25">
      <c r="A1799"/>
      <c r="B1799"/>
    </row>
    <row r="1800" spans="1:2" x14ac:dyDescent="0.25">
      <c r="A1800"/>
      <c r="B1800"/>
    </row>
    <row r="1801" spans="1:2" x14ac:dyDescent="0.25">
      <c r="A1801"/>
      <c r="B1801"/>
    </row>
    <row r="1802" spans="1:2" x14ac:dyDescent="0.25">
      <c r="A1802"/>
      <c r="B1802"/>
    </row>
    <row r="1803" spans="1:2" x14ac:dyDescent="0.25">
      <c r="A1803"/>
      <c r="B1803"/>
    </row>
    <row r="1804" spans="1:2" x14ac:dyDescent="0.25">
      <c r="A1804"/>
      <c r="B1804"/>
    </row>
    <row r="1805" spans="1:2" x14ac:dyDescent="0.25">
      <c r="A1805"/>
      <c r="B1805"/>
    </row>
    <row r="1806" spans="1:2" x14ac:dyDescent="0.25">
      <c r="A1806"/>
      <c r="B1806"/>
    </row>
    <row r="1807" spans="1:2" x14ac:dyDescent="0.25">
      <c r="A1807"/>
      <c r="B1807"/>
    </row>
    <row r="1808" spans="1:2" x14ac:dyDescent="0.25">
      <c r="A1808"/>
      <c r="B1808"/>
    </row>
    <row r="1809" spans="1:2" x14ac:dyDescent="0.25">
      <c r="A1809"/>
      <c r="B1809"/>
    </row>
    <row r="1810" spans="1:2" x14ac:dyDescent="0.25">
      <c r="A1810"/>
      <c r="B1810"/>
    </row>
    <row r="1811" spans="1:2" x14ac:dyDescent="0.25">
      <c r="A1811"/>
      <c r="B1811"/>
    </row>
    <row r="1812" spans="1:2" x14ac:dyDescent="0.25">
      <c r="A1812"/>
      <c r="B1812"/>
    </row>
    <row r="1813" spans="1:2" x14ac:dyDescent="0.25">
      <c r="A1813"/>
      <c r="B1813"/>
    </row>
    <row r="1814" spans="1:2" x14ac:dyDescent="0.25">
      <c r="A1814"/>
      <c r="B1814"/>
    </row>
    <row r="1815" spans="1:2" x14ac:dyDescent="0.25">
      <c r="A1815"/>
      <c r="B1815"/>
    </row>
    <row r="1816" spans="1:2" x14ac:dyDescent="0.25">
      <c r="A1816"/>
      <c r="B1816"/>
    </row>
    <row r="1817" spans="1:2" x14ac:dyDescent="0.25">
      <c r="A1817"/>
      <c r="B1817"/>
    </row>
    <row r="1818" spans="1:2" x14ac:dyDescent="0.25">
      <c r="A1818"/>
      <c r="B1818"/>
    </row>
    <row r="1819" spans="1:2" x14ac:dyDescent="0.25">
      <c r="A1819"/>
      <c r="B1819"/>
    </row>
    <row r="1820" spans="1:2" x14ac:dyDescent="0.25">
      <c r="A1820"/>
      <c r="B1820"/>
    </row>
    <row r="1821" spans="1:2" x14ac:dyDescent="0.25">
      <c r="A1821"/>
      <c r="B1821"/>
    </row>
    <row r="1822" spans="1:2" x14ac:dyDescent="0.25">
      <c r="A1822"/>
      <c r="B1822"/>
    </row>
    <row r="1823" spans="1:2" x14ac:dyDescent="0.25">
      <c r="A1823"/>
      <c r="B1823"/>
    </row>
    <row r="1824" spans="1:2" x14ac:dyDescent="0.25">
      <c r="A1824"/>
      <c r="B1824"/>
    </row>
    <row r="1825" spans="1:2" x14ac:dyDescent="0.25">
      <c r="A1825"/>
      <c r="B1825"/>
    </row>
    <row r="1826" spans="1:2" x14ac:dyDescent="0.25">
      <c r="A1826"/>
      <c r="B1826"/>
    </row>
    <row r="1827" spans="1:2" x14ac:dyDescent="0.25">
      <c r="A1827"/>
      <c r="B1827"/>
    </row>
    <row r="1828" spans="1:2" x14ac:dyDescent="0.25">
      <c r="A1828"/>
      <c r="B1828"/>
    </row>
    <row r="1829" spans="1:2" x14ac:dyDescent="0.25">
      <c r="A1829"/>
      <c r="B1829"/>
    </row>
    <row r="1830" spans="1:2" x14ac:dyDescent="0.25">
      <c r="A1830"/>
      <c r="B1830"/>
    </row>
    <row r="1831" spans="1:2" x14ac:dyDescent="0.25">
      <c r="A1831"/>
      <c r="B1831"/>
    </row>
    <row r="1832" spans="1:2" x14ac:dyDescent="0.25">
      <c r="A1832"/>
      <c r="B1832"/>
    </row>
    <row r="1833" spans="1:2" x14ac:dyDescent="0.25">
      <c r="A1833"/>
      <c r="B1833"/>
    </row>
    <row r="1834" spans="1:2" x14ac:dyDescent="0.25">
      <c r="A1834"/>
      <c r="B1834"/>
    </row>
    <row r="1835" spans="1:2" x14ac:dyDescent="0.25">
      <c r="A1835"/>
      <c r="B1835"/>
    </row>
    <row r="1836" spans="1:2" x14ac:dyDescent="0.25">
      <c r="A1836"/>
      <c r="B1836"/>
    </row>
    <row r="1837" spans="1:2" x14ac:dyDescent="0.25">
      <c r="A1837"/>
      <c r="B1837"/>
    </row>
    <row r="1838" spans="1:2" x14ac:dyDescent="0.25">
      <c r="A1838"/>
      <c r="B1838"/>
    </row>
    <row r="1839" spans="1:2" x14ac:dyDescent="0.25">
      <c r="A1839"/>
      <c r="B1839"/>
    </row>
    <row r="1840" spans="1:2" x14ac:dyDescent="0.25">
      <c r="A1840"/>
      <c r="B1840"/>
    </row>
    <row r="1841" spans="1:2" x14ac:dyDescent="0.25">
      <c r="A1841"/>
      <c r="B1841"/>
    </row>
    <row r="1842" spans="1:2" x14ac:dyDescent="0.25">
      <c r="A1842"/>
      <c r="B1842"/>
    </row>
    <row r="1843" spans="1:2" x14ac:dyDescent="0.25">
      <c r="A1843"/>
      <c r="B1843"/>
    </row>
    <row r="1844" spans="1:2" x14ac:dyDescent="0.25">
      <c r="A1844"/>
      <c r="B1844"/>
    </row>
    <row r="1845" spans="1:2" x14ac:dyDescent="0.25">
      <c r="A1845"/>
      <c r="B1845"/>
    </row>
    <row r="1846" spans="1:2" x14ac:dyDescent="0.25">
      <c r="A1846"/>
      <c r="B1846"/>
    </row>
    <row r="1847" spans="1:2" x14ac:dyDescent="0.25">
      <c r="A1847"/>
      <c r="B1847"/>
    </row>
    <row r="1848" spans="1:2" x14ac:dyDescent="0.25">
      <c r="A1848"/>
      <c r="B1848"/>
    </row>
    <row r="1849" spans="1:2" x14ac:dyDescent="0.25">
      <c r="A1849"/>
      <c r="B1849"/>
    </row>
    <row r="1850" spans="1:2" x14ac:dyDescent="0.25">
      <c r="A1850"/>
      <c r="B1850"/>
    </row>
    <row r="1851" spans="1:2" x14ac:dyDescent="0.25">
      <c r="A1851"/>
      <c r="B1851"/>
    </row>
    <row r="1852" spans="1:2" x14ac:dyDescent="0.25">
      <c r="A1852"/>
      <c r="B1852"/>
    </row>
    <row r="1853" spans="1:2" x14ac:dyDescent="0.25">
      <c r="A1853"/>
      <c r="B1853"/>
    </row>
    <row r="1854" spans="1:2" x14ac:dyDescent="0.25">
      <c r="A1854"/>
      <c r="B1854"/>
    </row>
    <row r="1855" spans="1:2" x14ac:dyDescent="0.25">
      <c r="A1855"/>
      <c r="B1855"/>
    </row>
    <row r="1856" spans="1:2" x14ac:dyDescent="0.25">
      <c r="A1856"/>
      <c r="B1856"/>
    </row>
    <row r="1857" spans="1:2" x14ac:dyDescent="0.25">
      <c r="A1857"/>
      <c r="B1857"/>
    </row>
    <row r="1858" spans="1:2" x14ac:dyDescent="0.25">
      <c r="A1858"/>
      <c r="B1858"/>
    </row>
    <row r="1859" spans="1:2" x14ac:dyDescent="0.25">
      <c r="A1859"/>
      <c r="B1859"/>
    </row>
    <row r="1860" spans="1:2" x14ac:dyDescent="0.25">
      <c r="A1860"/>
      <c r="B1860"/>
    </row>
    <row r="1861" spans="1:2" x14ac:dyDescent="0.25">
      <c r="A1861"/>
      <c r="B1861"/>
    </row>
    <row r="1862" spans="1:2" x14ac:dyDescent="0.25">
      <c r="A1862"/>
      <c r="B1862"/>
    </row>
    <row r="1863" spans="1:2" x14ac:dyDescent="0.25">
      <c r="A1863"/>
      <c r="B1863"/>
    </row>
    <row r="1864" spans="1:2" x14ac:dyDescent="0.25">
      <c r="A1864"/>
      <c r="B1864"/>
    </row>
    <row r="1865" spans="1:2" x14ac:dyDescent="0.25">
      <c r="A1865"/>
      <c r="B1865"/>
    </row>
    <row r="1866" spans="1:2" x14ac:dyDescent="0.25">
      <c r="A1866"/>
      <c r="B1866"/>
    </row>
    <row r="1867" spans="1:2" x14ac:dyDescent="0.25">
      <c r="A1867"/>
      <c r="B1867"/>
    </row>
    <row r="1868" spans="1:2" x14ac:dyDescent="0.25">
      <c r="A1868"/>
      <c r="B1868"/>
    </row>
    <row r="1869" spans="1:2" x14ac:dyDescent="0.25">
      <c r="A1869"/>
      <c r="B1869"/>
    </row>
    <row r="1870" spans="1:2" x14ac:dyDescent="0.25">
      <c r="A1870"/>
      <c r="B1870"/>
    </row>
    <row r="1871" spans="1:2" x14ac:dyDescent="0.25">
      <c r="A1871"/>
      <c r="B1871"/>
    </row>
    <row r="1872" spans="1:2" x14ac:dyDescent="0.25">
      <c r="A1872"/>
      <c r="B1872"/>
    </row>
    <row r="1873" spans="1:2" x14ac:dyDescent="0.25">
      <c r="A1873"/>
      <c r="B1873"/>
    </row>
    <row r="1874" spans="1:2" x14ac:dyDescent="0.25">
      <c r="A1874"/>
      <c r="B1874"/>
    </row>
    <row r="1875" spans="1:2" x14ac:dyDescent="0.25">
      <c r="A1875"/>
      <c r="B1875"/>
    </row>
    <row r="1876" spans="1:2" x14ac:dyDescent="0.25">
      <c r="A1876"/>
      <c r="B1876"/>
    </row>
    <row r="1877" spans="1:2" x14ac:dyDescent="0.25">
      <c r="A1877"/>
      <c r="B1877"/>
    </row>
    <row r="1878" spans="1:2" x14ac:dyDescent="0.25">
      <c r="A1878"/>
      <c r="B1878"/>
    </row>
    <row r="1879" spans="1:2" x14ac:dyDescent="0.25">
      <c r="A1879"/>
      <c r="B1879"/>
    </row>
    <row r="1880" spans="1:2" x14ac:dyDescent="0.25">
      <c r="A1880"/>
      <c r="B1880"/>
    </row>
    <row r="1881" spans="1:2" x14ac:dyDescent="0.25">
      <c r="A1881"/>
      <c r="B1881"/>
    </row>
    <row r="1882" spans="1:2" x14ac:dyDescent="0.25">
      <c r="A1882"/>
      <c r="B1882"/>
    </row>
    <row r="1883" spans="1:2" x14ac:dyDescent="0.25">
      <c r="A1883"/>
      <c r="B1883"/>
    </row>
    <row r="1884" spans="1:2" x14ac:dyDescent="0.25">
      <c r="A1884"/>
      <c r="B1884"/>
    </row>
    <row r="1885" spans="1:2" x14ac:dyDescent="0.25">
      <c r="A1885"/>
      <c r="B1885"/>
    </row>
    <row r="1886" spans="1:2" x14ac:dyDescent="0.25">
      <c r="A1886"/>
      <c r="B1886"/>
    </row>
    <row r="1887" spans="1:2" x14ac:dyDescent="0.25">
      <c r="A1887"/>
      <c r="B1887"/>
    </row>
    <row r="1888" spans="1:2" x14ac:dyDescent="0.25">
      <c r="A1888"/>
      <c r="B1888"/>
    </row>
    <row r="1889" spans="1:2" x14ac:dyDescent="0.25">
      <c r="A1889"/>
      <c r="B1889"/>
    </row>
    <row r="1890" spans="1:2" x14ac:dyDescent="0.25">
      <c r="A1890"/>
      <c r="B1890"/>
    </row>
    <row r="1891" spans="1:2" x14ac:dyDescent="0.25">
      <c r="A1891"/>
      <c r="B1891"/>
    </row>
    <row r="1892" spans="1:2" x14ac:dyDescent="0.25">
      <c r="A1892"/>
      <c r="B1892"/>
    </row>
    <row r="1893" spans="1:2" x14ac:dyDescent="0.25">
      <c r="A1893"/>
      <c r="B1893"/>
    </row>
    <row r="1894" spans="1:2" x14ac:dyDescent="0.25">
      <c r="A1894"/>
      <c r="B1894"/>
    </row>
    <row r="1895" spans="1:2" x14ac:dyDescent="0.25">
      <c r="A1895"/>
      <c r="B1895"/>
    </row>
    <row r="1896" spans="1:2" x14ac:dyDescent="0.25">
      <c r="A1896"/>
      <c r="B1896"/>
    </row>
    <row r="1897" spans="1:2" x14ac:dyDescent="0.25">
      <c r="A1897"/>
      <c r="B1897"/>
    </row>
    <row r="1898" spans="1:2" x14ac:dyDescent="0.25">
      <c r="A1898"/>
      <c r="B1898"/>
    </row>
    <row r="1899" spans="1:2" x14ac:dyDescent="0.25">
      <c r="A1899"/>
      <c r="B1899"/>
    </row>
    <row r="1900" spans="1:2" x14ac:dyDescent="0.25">
      <c r="A1900"/>
      <c r="B1900"/>
    </row>
    <row r="1901" spans="1:2" x14ac:dyDescent="0.25">
      <c r="A1901"/>
      <c r="B1901"/>
    </row>
    <row r="1902" spans="1:2" x14ac:dyDescent="0.25">
      <c r="A1902"/>
      <c r="B1902"/>
    </row>
    <row r="1903" spans="1:2" x14ac:dyDescent="0.25">
      <c r="A1903"/>
      <c r="B1903"/>
    </row>
    <row r="1904" spans="1:2" x14ac:dyDescent="0.25">
      <c r="A1904"/>
      <c r="B1904"/>
    </row>
    <row r="1905" spans="1:2" x14ac:dyDescent="0.25">
      <c r="A1905"/>
      <c r="B1905"/>
    </row>
    <row r="1906" spans="1:2" x14ac:dyDescent="0.25">
      <c r="A1906"/>
      <c r="B1906"/>
    </row>
    <row r="1907" spans="1:2" x14ac:dyDescent="0.25">
      <c r="A1907"/>
      <c r="B1907"/>
    </row>
    <row r="1908" spans="1:2" x14ac:dyDescent="0.25">
      <c r="A1908"/>
      <c r="B1908"/>
    </row>
    <row r="1909" spans="1:2" x14ac:dyDescent="0.25">
      <c r="A1909"/>
      <c r="B1909"/>
    </row>
    <row r="1910" spans="1:2" x14ac:dyDescent="0.25">
      <c r="A1910"/>
      <c r="B1910"/>
    </row>
    <row r="1911" spans="1:2" x14ac:dyDescent="0.25">
      <c r="A1911"/>
      <c r="B1911"/>
    </row>
    <row r="1912" spans="1:2" x14ac:dyDescent="0.25">
      <c r="A1912"/>
      <c r="B1912"/>
    </row>
    <row r="1913" spans="1:2" x14ac:dyDescent="0.25">
      <c r="A1913"/>
      <c r="B1913"/>
    </row>
    <row r="1914" spans="1:2" x14ac:dyDescent="0.25">
      <c r="A1914"/>
      <c r="B1914"/>
    </row>
    <row r="1915" spans="1:2" x14ac:dyDescent="0.25">
      <c r="A1915"/>
      <c r="B1915"/>
    </row>
    <row r="1916" spans="1:2" x14ac:dyDescent="0.25">
      <c r="A1916"/>
      <c r="B1916"/>
    </row>
    <row r="1917" spans="1:2" x14ac:dyDescent="0.25">
      <c r="A1917"/>
      <c r="B1917"/>
    </row>
    <row r="1918" spans="1:2" x14ac:dyDescent="0.25">
      <c r="A1918"/>
      <c r="B1918"/>
    </row>
    <row r="1919" spans="1:2" x14ac:dyDescent="0.25">
      <c r="A1919"/>
      <c r="B1919"/>
    </row>
    <row r="1920" spans="1:2" x14ac:dyDescent="0.25">
      <c r="A1920"/>
      <c r="B1920"/>
    </row>
    <row r="1921" spans="1:2" x14ac:dyDescent="0.25">
      <c r="A1921"/>
      <c r="B1921"/>
    </row>
    <row r="1922" spans="1:2" x14ac:dyDescent="0.25">
      <c r="A1922"/>
      <c r="B1922"/>
    </row>
    <row r="1923" spans="1:2" x14ac:dyDescent="0.25">
      <c r="A1923"/>
      <c r="B1923"/>
    </row>
    <row r="1924" spans="1:2" x14ac:dyDescent="0.25">
      <c r="A1924"/>
      <c r="B1924"/>
    </row>
    <row r="1925" spans="1:2" x14ac:dyDescent="0.25">
      <c r="A1925"/>
      <c r="B1925"/>
    </row>
    <row r="1926" spans="1:2" x14ac:dyDescent="0.25">
      <c r="A1926"/>
      <c r="B1926"/>
    </row>
    <row r="1927" spans="1:2" x14ac:dyDescent="0.25">
      <c r="A1927"/>
      <c r="B1927"/>
    </row>
    <row r="1928" spans="1:2" x14ac:dyDescent="0.25">
      <c r="A1928"/>
      <c r="B1928"/>
    </row>
    <row r="1929" spans="1:2" x14ac:dyDescent="0.25">
      <c r="A1929"/>
      <c r="B1929"/>
    </row>
    <row r="1930" spans="1:2" x14ac:dyDescent="0.25">
      <c r="A1930"/>
      <c r="B1930"/>
    </row>
    <row r="1931" spans="1:2" x14ac:dyDescent="0.25">
      <c r="A1931"/>
      <c r="B1931"/>
    </row>
    <row r="1932" spans="1:2" x14ac:dyDescent="0.25">
      <c r="A1932"/>
      <c r="B1932"/>
    </row>
    <row r="1933" spans="1:2" x14ac:dyDescent="0.25">
      <c r="A1933"/>
      <c r="B1933"/>
    </row>
    <row r="1934" spans="1:2" x14ac:dyDescent="0.25">
      <c r="A1934"/>
      <c r="B1934"/>
    </row>
    <row r="1935" spans="1:2" x14ac:dyDescent="0.25">
      <c r="A1935"/>
      <c r="B1935"/>
    </row>
    <row r="1936" spans="1:2" x14ac:dyDescent="0.25">
      <c r="A1936"/>
      <c r="B1936"/>
    </row>
    <row r="1937" spans="1:2" x14ac:dyDescent="0.25">
      <c r="A1937"/>
      <c r="B1937"/>
    </row>
    <row r="1938" spans="1:2" x14ac:dyDescent="0.25">
      <c r="A1938"/>
      <c r="B1938"/>
    </row>
    <row r="1939" spans="1:2" x14ac:dyDescent="0.25">
      <c r="A1939"/>
      <c r="B1939"/>
    </row>
    <row r="1940" spans="1:2" x14ac:dyDescent="0.25">
      <c r="A1940"/>
      <c r="B1940"/>
    </row>
    <row r="1941" spans="1:2" x14ac:dyDescent="0.25">
      <c r="A1941"/>
      <c r="B1941"/>
    </row>
    <row r="1942" spans="1:2" x14ac:dyDescent="0.25">
      <c r="A1942"/>
      <c r="B1942"/>
    </row>
    <row r="1943" spans="1:2" x14ac:dyDescent="0.25">
      <c r="A1943"/>
      <c r="B1943"/>
    </row>
    <row r="1944" spans="1:2" x14ac:dyDescent="0.25">
      <c r="A1944"/>
      <c r="B1944"/>
    </row>
    <row r="1945" spans="1:2" x14ac:dyDescent="0.25">
      <c r="A1945"/>
      <c r="B1945"/>
    </row>
    <row r="1946" spans="1:2" x14ac:dyDescent="0.25">
      <c r="A1946"/>
      <c r="B1946"/>
    </row>
    <row r="1947" spans="1:2" x14ac:dyDescent="0.25">
      <c r="A1947"/>
      <c r="B1947"/>
    </row>
    <row r="1948" spans="1:2" x14ac:dyDescent="0.25">
      <c r="A1948"/>
      <c r="B1948"/>
    </row>
    <row r="1949" spans="1:2" x14ac:dyDescent="0.25">
      <c r="A1949"/>
      <c r="B1949"/>
    </row>
    <row r="1950" spans="1:2" x14ac:dyDescent="0.25">
      <c r="A1950"/>
      <c r="B1950"/>
    </row>
    <row r="1951" spans="1:2" x14ac:dyDescent="0.25">
      <c r="A1951"/>
      <c r="B1951"/>
    </row>
    <row r="1952" spans="1:2" x14ac:dyDescent="0.25">
      <c r="A1952"/>
      <c r="B1952"/>
    </row>
    <row r="1953" spans="1:2" x14ac:dyDescent="0.25">
      <c r="A1953"/>
      <c r="B1953"/>
    </row>
    <row r="1954" spans="1:2" x14ac:dyDescent="0.25">
      <c r="A1954"/>
      <c r="B1954"/>
    </row>
    <row r="1955" spans="1:2" x14ac:dyDescent="0.25">
      <c r="A1955"/>
      <c r="B1955"/>
    </row>
    <row r="1956" spans="1:2" x14ac:dyDescent="0.25">
      <c r="A1956"/>
      <c r="B1956"/>
    </row>
    <row r="1957" spans="1:2" x14ac:dyDescent="0.25">
      <c r="A1957"/>
      <c r="B1957"/>
    </row>
    <row r="1958" spans="1:2" x14ac:dyDescent="0.25">
      <c r="A1958"/>
      <c r="B1958"/>
    </row>
    <row r="1959" spans="1:2" x14ac:dyDescent="0.25">
      <c r="A1959"/>
      <c r="B1959"/>
    </row>
    <row r="1960" spans="1:2" x14ac:dyDescent="0.25">
      <c r="A1960"/>
      <c r="B1960"/>
    </row>
    <row r="1961" spans="1:2" x14ac:dyDescent="0.25">
      <c r="A1961"/>
      <c r="B1961"/>
    </row>
    <row r="1962" spans="1:2" x14ac:dyDescent="0.25">
      <c r="A1962"/>
      <c r="B1962"/>
    </row>
    <row r="1963" spans="1:2" x14ac:dyDescent="0.25">
      <c r="A1963"/>
      <c r="B1963"/>
    </row>
    <row r="1964" spans="1:2" x14ac:dyDescent="0.25">
      <c r="A1964"/>
      <c r="B1964"/>
    </row>
    <row r="1965" spans="1:2" x14ac:dyDescent="0.25">
      <c r="A1965"/>
      <c r="B1965"/>
    </row>
    <row r="1966" spans="1:2" x14ac:dyDescent="0.25">
      <c r="A1966"/>
      <c r="B1966"/>
    </row>
    <row r="1967" spans="1:2" x14ac:dyDescent="0.25">
      <c r="A1967"/>
      <c r="B1967"/>
    </row>
    <row r="1968" spans="1:2" x14ac:dyDescent="0.25">
      <c r="A1968"/>
      <c r="B1968"/>
    </row>
    <row r="1969" spans="1:2" x14ac:dyDescent="0.25">
      <c r="A1969"/>
      <c r="B1969"/>
    </row>
    <row r="1970" spans="1:2" x14ac:dyDescent="0.25">
      <c r="A1970"/>
      <c r="B1970"/>
    </row>
    <row r="1971" spans="1:2" x14ac:dyDescent="0.25">
      <c r="A1971"/>
      <c r="B1971"/>
    </row>
    <row r="1972" spans="1:2" x14ac:dyDescent="0.25">
      <c r="A1972"/>
      <c r="B1972"/>
    </row>
    <row r="1973" spans="1:2" x14ac:dyDescent="0.25">
      <c r="A1973"/>
      <c r="B1973"/>
    </row>
    <row r="1974" spans="1:2" x14ac:dyDescent="0.25">
      <c r="A1974"/>
      <c r="B1974"/>
    </row>
    <row r="1975" spans="1:2" x14ac:dyDescent="0.25">
      <c r="A1975"/>
      <c r="B1975"/>
    </row>
    <row r="1976" spans="1:2" x14ac:dyDescent="0.25">
      <c r="A1976"/>
      <c r="B1976"/>
    </row>
    <row r="1977" spans="1:2" x14ac:dyDescent="0.25">
      <c r="A1977"/>
      <c r="B1977"/>
    </row>
    <row r="1978" spans="1:2" x14ac:dyDescent="0.25">
      <c r="A1978"/>
      <c r="B1978"/>
    </row>
    <row r="1979" spans="1:2" x14ac:dyDescent="0.25">
      <c r="A1979"/>
      <c r="B1979"/>
    </row>
    <row r="1980" spans="1:2" x14ac:dyDescent="0.25">
      <c r="A1980"/>
      <c r="B1980"/>
    </row>
    <row r="1981" spans="1:2" x14ac:dyDescent="0.25">
      <c r="A1981"/>
      <c r="B1981"/>
    </row>
    <row r="1982" spans="1:2" x14ac:dyDescent="0.25">
      <c r="A1982"/>
      <c r="B1982"/>
    </row>
    <row r="1983" spans="1:2" x14ac:dyDescent="0.25">
      <c r="A1983"/>
      <c r="B1983"/>
    </row>
    <row r="1984" spans="1:2" x14ac:dyDescent="0.25">
      <c r="A1984"/>
      <c r="B1984"/>
    </row>
    <row r="1985" spans="1:2" x14ac:dyDescent="0.25">
      <c r="A1985"/>
      <c r="B1985"/>
    </row>
    <row r="1986" spans="1:2" x14ac:dyDescent="0.25">
      <c r="A1986"/>
      <c r="B1986"/>
    </row>
    <row r="1987" spans="1:2" x14ac:dyDescent="0.25">
      <c r="A1987"/>
      <c r="B1987"/>
    </row>
    <row r="1988" spans="1:2" x14ac:dyDescent="0.25">
      <c r="A1988"/>
      <c r="B1988"/>
    </row>
    <row r="1989" spans="1:2" x14ac:dyDescent="0.25">
      <c r="A1989"/>
      <c r="B1989"/>
    </row>
    <row r="1990" spans="1:2" x14ac:dyDescent="0.25">
      <c r="A1990"/>
      <c r="B1990"/>
    </row>
    <row r="1991" spans="1:2" x14ac:dyDescent="0.25">
      <c r="A1991"/>
      <c r="B1991"/>
    </row>
    <row r="1992" spans="1:2" x14ac:dyDescent="0.25">
      <c r="A1992"/>
      <c r="B1992"/>
    </row>
    <row r="1993" spans="1:2" x14ac:dyDescent="0.25">
      <c r="A1993"/>
      <c r="B1993"/>
    </row>
    <row r="1994" spans="1:2" x14ac:dyDescent="0.25">
      <c r="A1994"/>
      <c r="B1994"/>
    </row>
    <row r="1995" spans="1:2" x14ac:dyDescent="0.25">
      <c r="A1995"/>
      <c r="B1995"/>
    </row>
    <row r="1996" spans="1:2" x14ac:dyDescent="0.25">
      <c r="A1996"/>
      <c r="B1996"/>
    </row>
    <row r="1997" spans="1:2" x14ac:dyDescent="0.25">
      <c r="A1997"/>
      <c r="B1997"/>
    </row>
    <row r="1998" spans="1:2" x14ac:dyDescent="0.25">
      <c r="A1998"/>
      <c r="B1998"/>
    </row>
    <row r="1999" spans="1:2" x14ac:dyDescent="0.25">
      <c r="A1999"/>
      <c r="B1999"/>
    </row>
    <row r="2000" spans="1:2" x14ac:dyDescent="0.25">
      <c r="A2000"/>
      <c r="B2000"/>
    </row>
    <row r="2001" spans="1:2" x14ac:dyDescent="0.25">
      <c r="A2001"/>
      <c r="B2001"/>
    </row>
    <row r="2002" spans="1:2" x14ac:dyDescent="0.25">
      <c r="A2002"/>
      <c r="B2002"/>
    </row>
    <row r="2003" spans="1:2" x14ac:dyDescent="0.25">
      <c r="A2003"/>
      <c r="B2003"/>
    </row>
    <row r="2004" spans="1:2" x14ac:dyDescent="0.25">
      <c r="A2004"/>
      <c r="B2004"/>
    </row>
    <row r="2005" spans="1:2" x14ac:dyDescent="0.25">
      <c r="A2005"/>
      <c r="B2005"/>
    </row>
    <row r="2006" spans="1:2" x14ac:dyDescent="0.25">
      <c r="A2006"/>
      <c r="B2006"/>
    </row>
    <row r="2007" spans="1:2" x14ac:dyDescent="0.25">
      <c r="A2007"/>
      <c r="B2007"/>
    </row>
    <row r="2008" spans="1:2" x14ac:dyDescent="0.25">
      <c r="A2008"/>
      <c r="B2008"/>
    </row>
    <row r="2009" spans="1:2" x14ac:dyDescent="0.25">
      <c r="A2009"/>
      <c r="B2009"/>
    </row>
    <row r="2010" spans="1:2" x14ac:dyDescent="0.25">
      <c r="A2010"/>
      <c r="B2010"/>
    </row>
    <row r="2011" spans="1:2" x14ac:dyDescent="0.25">
      <c r="A2011"/>
      <c r="B2011"/>
    </row>
    <row r="2012" spans="1:2" x14ac:dyDescent="0.25">
      <c r="A2012"/>
      <c r="B2012"/>
    </row>
    <row r="2013" spans="1:2" x14ac:dyDescent="0.25">
      <c r="A2013"/>
      <c r="B2013"/>
    </row>
    <row r="2014" spans="1:2" x14ac:dyDescent="0.25">
      <c r="A2014"/>
      <c r="B2014"/>
    </row>
    <row r="2015" spans="1:2" x14ac:dyDescent="0.25">
      <c r="A2015"/>
      <c r="B2015"/>
    </row>
    <row r="2016" spans="1:2" x14ac:dyDescent="0.25">
      <c r="A2016"/>
      <c r="B2016"/>
    </row>
    <row r="2017" spans="1:2" x14ac:dyDescent="0.25">
      <c r="A2017"/>
      <c r="B2017"/>
    </row>
    <row r="2018" spans="1:2" x14ac:dyDescent="0.25">
      <c r="A2018"/>
      <c r="B2018"/>
    </row>
    <row r="2019" spans="1:2" x14ac:dyDescent="0.25">
      <c r="A2019"/>
      <c r="B2019"/>
    </row>
    <row r="2020" spans="1:2" x14ac:dyDescent="0.25">
      <c r="A2020"/>
      <c r="B2020"/>
    </row>
    <row r="2021" spans="1:2" x14ac:dyDescent="0.25">
      <c r="A2021"/>
      <c r="B2021"/>
    </row>
    <row r="2022" spans="1:2" x14ac:dyDescent="0.25">
      <c r="A2022"/>
      <c r="B2022"/>
    </row>
    <row r="2023" spans="1:2" x14ac:dyDescent="0.25">
      <c r="A2023"/>
      <c r="B2023"/>
    </row>
    <row r="2024" spans="1:2" x14ac:dyDescent="0.25">
      <c r="A2024"/>
      <c r="B2024"/>
    </row>
    <row r="2025" spans="1:2" x14ac:dyDescent="0.25">
      <c r="A2025"/>
      <c r="B2025"/>
    </row>
    <row r="2026" spans="1:2" x14ac:dyDescent="0.25">
      <c r="A2026"/>
      <c r="B2026"/>
    </row>
    <row r="2027" spans="1:2" x14ac:dyDescent="0.25">
      <c r="A2027"/>
      <c r="B2027"/>
    </row>
    <row r="2028" spans="1:2" x14ac:dyDescent="0.25">
      <c r="A2028"/>
      <c r="B2028"/>
    </row>
    <row r="2029" spans="1:2" x14ac:dyDescent="0.25">
      <c r="A2029"/>
      <c r="B2029"/>
    </row>
    <row r="2030" spans="1:2" x14ac:dyDescent="0.25">
      <c r="A2030"/>
      <c r="B2030"/>
    </row>
    <row r="2031" spans="1:2" x14ac:dyDescent="0.25">
      <c r="A2031"/>
      <c r="B2031"/>
    </row>
    <row r="2032" spans="1:2" x14ac:dyDescent="0.25">
      <c r="A2032"/>
      <c r="B2032"/>
    </row>
    <row r="2033" spans="1:2" x14ac:dyDescent="0.25">
      <c r="A2033"/>
      <c r="B2033"/>
    </row>
    <row r="2034" spans="1:2" x14ac:dyDescent="0.25">
      <c r="A2034"/>
      <c r="B2034"/>
    </row>
    <row r="2035" spans="1:2" x14ac:dyDescent="0.25">
      <c r="A2035"/>
      <c r="B2035"/>
    </row>
    <row r="2036" spans="1:2" x14ac:dyDescent="0.25">
      <c r="A2036"/>
      <c r="B2036"/>
    </row>
    <row r="2037" spans="1:2" x14ac:dyDescent="0.25">
      <c r="A2037"/>
      <c r="B2037"/>
    </row>
    <row r="2038" spans="1:2" x14ac:dyDescent="0.25">
      <c r="A2038"/>
      <c r="B2038"/>
    </row>
    <row r="2039" spans="1:2" x14ac:dyDescent="0.25">
      <c r="A2039"/>
      <c r="B2039"/>
    </row>
    <row r="2040" spans="1:2" x14ac:dyDescent="0.25">
      <c r="A2040"/>
      <c r="B2040"/>
    </row>
    <row r="2041" spans="1:2" x14ac:dyDescent="0.25">
      <c r="A2041"/>
      <c r="B2041"/>
    </row>
    <row r="2042" spans="1:2" x14ac:dyDescent="0.25">
      <c r="A2042"/>
      <c r="B2042"/>
    </row>
    <row r="2043" spans="1:2" x14ac:dyDescent="0.25">
      <c r="A2043"/>
      <c r="B2043"/>
    </row>
    <row r="2044" spans="1:2" x14ac:dyDescent="0.25">
      <c r="A2044"/>
      <c r="B2044"/>
    </row>
    <row r="2045" spans="1:2" x14ac:dyDescent="0.25">
      <c r="A2045"/>
      <c r="B2045"/>
    </row>
    <row r="2046" spans="1:2" x14ac:dyDescent="0.25">
      <c r="A2046"/>
      <c r="B2046"/>
    </row>
    <row r="2047" spans="1:2" x14ac:dyDescent="0.25">
      <c r="A2047"/>
      <c r="B2047"/>
    </row>
    <row r="2048" spans="1:2" x14ac:dyDescent="0.25">
      <c r="A2048"/>
      <c r="B2048"/>
    </row>
    <row r="2049" spans="1:2" x14ac:dyDescent="0.25">
      <c r="A2049"/>
      <c r="B2049"/>
    </row>
    <row r="2050" spans="1:2" x14ac:dyDescent="0.25">
      <c r="A2050"/>
      <c r="B2050"/>
    </row>
    <row r="2051" spans="1:2" x14ac:dyDescent="0.25">
      <c r="A2051"/>
      <c r="B2051"/>
    </row>
    <row r="2052" spans="1:2" x14ac:dyDescent="0.25">
      <c r="A2052"/>
      <c r="B2052"/>
    </row>
    <row r="2053" spans="1:2" x14ac:dyDescent="0.25">
      <c r="A2053"/>
      <c r="B2053"/>
    </row>
    <row r="2054" spans="1:2" x14ac:dyDescent="0.25">
      <c r="A2054"/>
      <c r="B2054"/>
    </row>
    <row r="2055" spans="1:2" x14ac:dyDescent="0.25">
      <c r="A2055"/>
      <c r="B2055"/>
    </row>
    <row r="2056" spans="1:2" x14ac:dyDescent="0.25">
      <c r="A2056"/>
      <c r="B2056"/>
    </row>
    <row r="2057" spans="1:2" x14ac:dyDescent="0.25">
      <c r="A2057"/>
      <c r="B2057"/>
    </row>
    <row r="2058" spans="1:2" x14ac:dyDescent="0.25">
      <c r="A2058"/>
      <c r="B2058"/>
    </row>
    <row r="2059" spans="1:2" x14ac:dyDescent="0.25">
      <c r="A2059"/>
      <c r="B2059"/>
    </row>
    <row r="2060" spans="1:2" x14ac:dyDescent="0.25">
      <c r="A2060"/>
      <c r="B2060"/>
    </row>
    <row r="2061" spans="1:2" x14ac:dyDescent="0.25">
      <c r="A2061"/>
      <c r="B2061"/>
    </row>
    <row r="2062" spans="1:2" x14ac:dyDescent="0.25">
      <c r="A2062"/>
      <c r="B2062"/>
    </row>
    <row r="2063" spans="1:2" x14ac:dyDescent="0.25">
      <c r="A2063"/>
      <c r="B2063"/>
    </row>
    <row r="2064" spans="1:2" x14ac:dyDescent="0.25">
      <c r="A2064"/>
      <c r="B2064"/>
    </row>
    <row r="2065" spans="1:2" x14ac:dyDescent="0.25">
      <c r="A2065"/>
      <c r="B2065"/>
    </row>
    <row r="2066" spans="1:2" x14ac:dyDescent="0.25">
      <c r="A2066"/>
      <c r="B2066"/>
    </row>
    <row r="2067" spans="1:2" x14ac:dyDescent="0.25">
      <c r="A2067"/>
      <c r="B2067"/>
    </row>
    <row r="2068" spans="1:2" x14ac:dyDescent="0.25">
      <c r="A2068"/>
      <c r="B2068"/>
    </row>
    <row r="2069" spans="1:2" x14ac:dyDescent="0.25">
      <c r="A2069"/>
      <c r="B2069"/>
    </row>
    <row r="2070" spans="1:2" x14ac:dyDescent="0.25">
      <c r="A2070"/>
      <c r="B2070"/>
    </row>
    <row r="2071" spans="1:2" x14ac:dyDescent="0.25">
      <c r="A2071"/>
      <c r="B2071"/>
    </row>
    <row r="2072" spans="1:2" x14ac:dyDescent="0.25">
      <c r="A2072"/>
      <c r="B2072"/>
    </row>
    <row r="2073" spans="1:2" x14ac:dyDescent="0.25">
      <c r="A2073"/>
      <c r="B2073"/>
    </row>
    <row r="2074" spans="1:2" x14ac:dyDescent="0.25">
      <c r="A2074"/>
      <c r="B2074"/>
    </row>
    <row r="2075" spans="1:2" x14ac:dyDescent="0.25">
      <c r="A2075"/>
      <c r="B2075"/>
    </row>
    <row r="2076" spans="1:2" x14ac:dyDescent="0.25">
      <c r="A2076"/>
      <c r="B2076"/>
    </row>
    <row r="2077" spans="1:2" x14ac:dyDescent="0.25">
      <c r="A2077"/>
      <c r="B2077"/>
    </row>
    <row r="2078" spans="1:2" x14ac:dyDescent="0.25">
      <c r="A2078"/>
      <c r="B2078"/>
    </row>
    <row r="2079" spans="1:2" x14ac:dyDescent="0.25">
      <c r="A2079"/>
      <c r="B2079"/>
    </row>
    <row r="2080" spans="1:2" x14ac:dyDescent="0.25">
      <c r="A2080"/>
      <c r="B2080"/>
    </row>
    <row r="2081" spans="1:2" x14ac:dyDescent="0.25">
      <c r="A2081"/>
      <c r="B2081"/>
    </row>
    <row r="2082" spans="1:2" x14ac:dyDescent="0.25">
      <c r="A2082"/>
      <c r="B2082"/>
    </row>
    <row r="2083" spans="1:2" x14ac:dyDescent="0.25">
      <c r="A2083"/>
      <c r="B2083"/>
    </row>
    <row r="2084" spans="1:2" x14ac:dyDescent="0.25">
      <c r="A2084"/>
      <c r="B2084"/>
    </row>
    <row r="2085" spans="1:2" x14ac:dyDescent="0.25">
      <c r="A2085"/>
      <c r="B2085"/>
    </row>
    <row r="2086" spans="1:2" x14ac:dyDescent="0.25">
      <c r="A2086"/>
      <c r="B2086"/>
    </row>
    <row r="2087" spans="1:2" x14ac:dyDescent="0.25">
      <c r="A2087"/>
      <c r="B2087"/>
    </row>
    <row r="2088" spans="1:2" x14ac:dyDescent="0.25">
      <c r="A2088"/>
      <c r="B2088"/>
    </row>
    <row r="2089" spans="1:2" x14ac:dyDescent="0.25">
      <c r="A2089"/>
      <c r="B2089"/>
    </row>
    <row r="2090" spans="1:2" x14ac:dyDescent="0.25">
      <c r="A2090"/>
      <c r="B2090"/>
    </row>
    <row r="2091" spans="1:2" x14ac:dyDescent="0.25">
      <c r="A2091"/>
      <c r="B2091"/>
    </row>
    <row r="2092" spans="1:2" x14ac:dyDescent="0.25">
      <c r="A2092"/>
      <c r="B2092"/>
    </row>
    <row r="2093" spans="1:2" x14ac:dyDescent="0.25">
      <c r="A2093"/>
      <c r="B2093"/>
    </row>
    <row r="2094" spans="1:2" x14ac:dyDescent="0.25">
      <c r="A2094"/>
      <c r="B2094"/>
    </row>
    <row r="2095" spans="1:2" x14ac:dyDescent="0.25">
      <c r="A2095"/>
      <c r="B2095"/>
    </row>
    <row r="2096" spans="1:2" x14ac:dyDescent="0.25">
      <c r="A2096"/>
      <c r="B2096"/>
    </row>
    <row r="2097" spans="1:2" x14ac:dyDescent="0.25">
      <c r="A2097"/>
      <c r="B2097"/>
    </row>
    <row r="2098" spans="1:2" x14ac:dyDescent="0.25">
      <c r="A2098"/>
      <c r="B2098"/>
    </row>
    <row r="2099" spans="1:2" x14ac:dyDescent="0.25">
      <c r="A2099"/>
      <c r="B2099"/>
    </row>
    <row r="2100" spans="1:2" x14ac:dyDescent="0.25">
      <c r="A2100"/>
      <c r="B2100"/>
    </row>
    <row r="2101" spans="1:2" x14ac:dyDescent="0.25">
      <c r="A2101"/>
      <c r="B2101"/>
    </row>
    <row r="2102" spans="1:2" x14ac:dyDescent="0.25">
      <c r="A2102"/>
      <c r="B2102"/>
    </row>
    <row r="2103" spans="1:2" x14ac:dyDescent="0.25">
      <c r="A2103"/>
      <c r="B2103"/>
    </row>
    <row r="2104" spans="1:2" x14ac:dyDescent="0.25">
      <c r="A2104"/>
      <c r="B2104"/>
    </row>
    <row r="2105" spans="1:2" x14ac:dyDescent="0.25">
      <c r="A2105"/>
      <c r="B2105"/>
    </row>
    <row r="2106" spans="1:2" x14ac:dyDescent="0.25">
      <c r="A2106"/>
      <c r="B2106"/>
    </row>
    <row r="2107" spans="1:2" x14ac:dyDescent="0.25">
      <c r="A2107"/>
      <c r="B2107"/>
    </row>
    <row r="2108" spans="1:2" x14ac:dyDescent="0.25">
      <c r="A2108"/>
      <c r="B2108"/>
    </row>
    <row r="2109" spans="1:2" x14ac:dyDescent="0.25">
      <c r="A2109"/>
      <c r="B2109"/>
    </row>
    <row r="2110" spans="1:2" x14ac:dyDescent="0.25">
      <c r="A2110"/>
      <c r="B2110"/>
    </row>
    <row r="2111" spans="1:2" x14ac:dyDescent="0.25">
      <c r="A2111"/>
      <c r="B2111"/>
    </row>
    <row r="2112" spans="1:2" x14ac:dyDescent="0.25">
      <c r="A2112"/>
      <c r="B2112"/>
    </row>
    <row r="2113" spans="1:2" x14ac:dyDescent="0.25">
      <c r="A2113"/>
      <c r="B2113"/>
    </row>
    <row r="2114" spans="1:2" x14ac:dyDescent="0.25">
      <c r="A2114"/>
      <c r="B2114"/>
    </row>
    <row r="2115" spans="1:2" x14ac:dyDescent="0.25">
      <c r="A2115"/>
      <c r="B2115"/>
    </row>
    <row r="2116" spans="1:2" x14ac:dyDescent="0.25">
      <c r="A2116"/>
      <c r="B2116"/>
    </row>
    <row r="2117" spans="1:2" x14ac:dyDescent="0.25">
      <c r="A2117"/>
      <c r="B2117"/>
    </row>
    <row r="2118" spans="1:2" x14ac:dyDescent="0.25">
      <c r="A2118"/>
      <c r="B2118"/>
    </row>
    <row r="2119" spans="1:2" x14ac:dyDescent="0.25">
      <c r="A2119"/>
      <c r="B2119"/>
    </row>
    <row r="2120" spans="1:2" x14ac:dyDescent="0.25">
      <c r="A2120"/>
      <c r="B2120"/>
    </row>
    <row r="2121" spans="1:2" x14ac:dyDescent="0.25">
      <c r="A2121"/>
      <c r="B2121"/>
    </row>
    <row r="2122" spans="1:2" x14ac:dyDescent="0.25">
      <c r="A2122"/>
      <c r="B2122"/>
    </row>
    <row r="2123" spans="1:2" x14ac:dyDescent="0.25">
      <c r="A2123"/>
      <c r="B2123"/>
    </row>
    <row r="2124" spans="1:2" x14ac:dyDescent="0.25">
      <c r="A2124"/>
      <c r="B2124"/>
    </row>
    <row r="2125" spans="1:2" x14ac:dyDescent="0.25">
      <c r="A2125"/>
      <c r="B2125"/>
    </row>
    <row r="2126" spans="1:2" x14ac:dyDescent="0.25">
      <c r="A2126"/>
      <c r="B2126"/>
    </row>
    <row r="2127" spans="1:2" x14ac:dyDescent="0.25">
      <c r="A2127"/>
      <c r="B2127"/>
    </row>
    <row r="2128" spans="1:2" x14ac:dyDescent="0.25">
      <c r="A2128"/>
      <c r="B2128"/>
    </row>
    <row r="2129" spans="1:2" x14ac:dyDescent="0.25">
      <c r="A2129"/>
      <c r="B2129"/>
    </row>
    <row r="2130" spans="1:2" x14ac:dyDescent="0.25">
      <c r="A2130"/>
      <c r="B2130"/>
    </row>
    <row r="2131" spans="1:2" x14ac:dyDescent="0.25">
      <c r="A2131"/>
      <c r="B2131"/>
    </row>
    <row r="2132" spans="1:2" x14ac:dyDescent="0.25">
      <c r="A2132"/>
      <c r="B2132"/>
    </row>
    <row r="2133" spans="1:2" x14ac:dyDescent="0.25">
      <c r="A2133"/>
      <c r="B2133"/>
    </row>
    <row r="2134" spans="1:2" x14ac:dyDescent="0.25">
      <c r="A2134"/>
      <c r="B2134"/>
    </row>
    <row r="2135" spans="1:2" x14ac:dyDescent="0.25">
      <c r="A2135"/>
      <c r="B2135"/>
    </row>
    <row r="2136" spans="1:2" x14ac:dyDescent="0.25">
      <c r="A2136"/>
      <c r="B2136"/>
    </row>
    <row r="2137" spans="1:2" x14ac:dyDescent="0.25">
      <c r="A2137"/>
      <c r="B2137"/>
    </row>
    <row r="2138" spans="1:2" x14ac:dyDescent="0.25">
      <c r="A2138"/>
      <c r="B2138"/>
    </row>
    <row r="2139" spans="1:2" x14ac:dyDescent="0.25">
      <c r="A2139"/>
      <c r="B2139"/>
    </row>
    <row r="2140" spans="1:2" x14ac:dyDescent="0.25">
      <c r="A2140"/>
      <c r="B2140"/>
    </row>
    <row r="2141" spans="1:2" x14ac:dyDescent="0.25">
      <c r="A2141"/>
      <c r="B2141"/>
    </row>
    <row r="2142" spans="1:2" x14ac:dyDescent="0.25">
      <c r="A2142"/>
      <c r="B2142"/>
    </row>
    <row r="2143" spans="1:2" x14ac:dyDescent="0.25">
      <c r="A2143"/>
      <c r="B2143"/>
    </row>
    <row r="2144" spans="1:2" x14ac:dyDescent="0.25">
      <c r="A2144"/>
      <c r="B2144"/>
    </row>
    <row r="2145" spans="1:2" x14ac:dyDescent="0.25">
      <c r="A2145"/>
      <c r="B2145"/>
    </row>
    <row r="2146" spans="1:2" x14ac:dyDescent="0.25">
      <c r="A2146"/>
      <c r="B2146"/>
    </row>
    <row r="2147" spans="1:2" x14ac:dyDescent="0.25">
      <c r="A2147"/>
      <c r="B2147"/>
    </row>
    <row r="2148" spans="1:2" x14ac:dyDescent="0.25">
      <c r="A2148"/>
      <c r="B2148"/>
    </row>
    <row r="2149" spans="1:2" x14ac:dyDescent="0.25">
      <c r="A2149"/>
      <c r="B2149"/>
    </row>
    <row r="2150" spans="1:2" x14ac:dyDescent="0.25">
      <c r="A2150"/>
      <c r="B2150"/>
    </row>
    <row r="2151" spans="1:2" x14ac:dyDescent="0.25">
      <c r="A2151"/>
      <c r="B2151"/>
    </row>
    <row r="2152" spans="1:2" x14ac:dyDescent="0.25">
      <c r="A2152"/>
      <c r="B2152"/>
    </row>
    <row r="2153" spans="1:2" x14ac:dyDescent="0.25">
      <c r="A2153"/>
      <c r="B2153"/>
    </row>
    <row r="2154" spans="1:2" x14ac:dyDescent="0.25">
      <c r="A2154"/>
      <c r="B2154"/>
    </row>
    <row r="2155" spans="1:2" x14ac:dyDescent="0.25">
      <c r="A2155"/>
      <c r="B2155"/>
    </row>
    <row r="2156" spans="1:2" x14ac:dyDescent="0.25">
      <c r="A2156"/>
      <c r="B2156"/>
    </row>
    <row r="2157" spans="1:2" x14ac:dyDescent="0.25">
      <c r="A2157"/>
      <c r="B2157"/>
    </row>
    <row r="2158" spans="1:2" x14ac:dyDescent="0.25">
      <c r="A2158"/>
      <c r="B2158"/>
    </row>
    <row r="2159" spans="1:2" x14ac:dyDescent="0.25">
      <c r="A2159"/>
      <c r="B2159"/>
    </row>
    <row r="2160" spans="1:2" x14ac:dyDescent="0.25">
      <c r="A2160"/>
      <c r="B2160"/>
    </row>
    <row r="2161" spans="1:2" x14ac:dyDescent="0.25">
      <c r="A2161"/>
      <c r="B2161"/>
    </row>
    <row r="2162" spans="1:2" x14ac:dyDescent="0.25">
      <c r="A2162"/>
      <c r="B2162"/>
    </row>
    <row r="2163" spans="1:2" x14ac:dyDescent="0.25">
      <c r="A2163"/>
      <c r="B2163"/>
    </row>
    <row r="2164" spans="1:2" x14ac:dyDescent="0.25">
      <c r="A2164"/>
      <c r="B2164"/>
    </row>
    <row r="2165" spans="1:2" x14ac:dyDescent="0.25">
      <c r="A2165"/>
      <c r="B2165"/>
    </row>
    <row r="2166" spans="1:2" x14ac:dyDescent="0.25">
      <c r="A2166"/>
      <c r="B2166"/>
    </row>
    <row r="2167" spans="1:2" x14ac:dyDescent="0.25">
      <c r="A2167"/>
      <c r="B2167"/>
    </row>
    <row r="2168" spans="1:2" x14ac:dyDescent="0.25">
      <c r="A2168"/>
      <c r="B2168"/>
    </row>
    <row r="2169" spans="1:2" x14ac:dyDescent="0.25">
      <c r="A2169"/>
      <c r="B2169"/>
    </row>
    <row r="2170" spans="1:2" x14ac:dyDescent="0.25">
      <c r="A2170"/>
      <c r="B2170"/>
    </row>
    <row r="2171" spans="1:2" x14ac:dyDescent="0.25">
      <c r="A2171"/>
      <c r="B2171"/>
    </row>
    <row r="2172" spans="1:2" x14ac:dyDescent="0.25">
      <c r="A2172"/>
      <c r="B2172"/>
    </row>
    <row r="2173" spans="1:2" x14ac:dyDescent="0.25">
      <c r="A2173"/>
      <c r="B2173"/>
    </row>
    <row r="2174" spans="1:2" x14ac:dyDescent="0.25">
      <c r="A2174"/>
      <c r="B2174"/>
    </row>
    <row r="2175" spans="1:2" x14ac:dyDescent="0.25">
      <c r="A2175"/>
      <c r="B2175"/>
    </row>
    <row r="2176" spans="1:2" x14ac:dyDescent="0.25">
      <c r="A2176"/>
      <c r="B2176"/>
    </row>
    <row r="2177" spans="1:2" x14ac:dyDescent="0.25">
      <c r="A2177"/>
      <c r="B2177"/>
    </row>
    <row r="2178" spans="1:2" x14ac:dyDescent="0.25">
      <c r="A2178"/>
      <c r="B2178"/>
    </row>
    <row r="2179" spans="1:2" x14ac:dyDescent="0.25">
      <c r="A2179"/>
      <c r="B2179"/>
    </row>
    <row r="2180" spans="1:2" x14ac:dyDescent="0.25">
      <c r="A2180"/>
      <c r="B2180"/>
    </row>
    <row r="2181" spans="1:2" x14ac:dyDescent="0.25">
      <c r="A2181"/>
      <c r="B2181"/>
    </row>
    <row r="2182" spans="1:2" x14ac:dyDescent="0.25">
      <c r="A2182"/>
      <c r="B2182"/>
    </row>
    <row r="2183" spans="1:2" x14ac:dyDescent="0.25">
      <c r="A2183"/>
      <c r="B2183"/>
    </row>
    <row r="2184" spans="1:2" x14ac:dyDescent="0.25">
      <c r="A2184"/>
      <c r="B2184"/>
    </row>
    <row r="2185" spans="1:2" x14ac:dyDescent="0.25">
      <c r="A2185"/>
      <c r="B2185"/>
    </row>
    <row r="2186" spans="1:2" x14ac:dyDescent="0.25">
      <c r="A2186"/>
      <c r="B2186"/>
    </row>
    <row r="2187" spans="1:2" x14ac:dyDescent="0.25">
      <c r="A2187"/>
      <c r="B2187"/>
    </row>
    <row r="2188" spans="1:2" x14ac:dyDescent="0.25">
      <c r="A2188"/>
      <c r="B2188"/>
    </row>
    <row r="2189" spans="1:2" x14ac:dyDescent="0.25">
      <c r="A2189"/>
      <c r="B2189"/>
    </row>
    <row r="2190" spans="1:2" x14ac:dyDescent="0.25">
      <c r="A2190"/>
      <c r="B2190"/>
    </row>
    <row r="2191" spans="1:2" x14ac:dyDescent="0.25">
      <c r="A2191"/>
      <c r="B2191"/>
    </row>
    <row r="2192" spans="1:2" x14ac:dyDescent="0.25">
      <c r="A2192"/>
      <c r="B2192"/>
    </row>
    <row r="2193" spans="1:2" x14ac:dyDescent="0.25">
      <c r="A2193"/>
      <c r="B2193"/>
    </row>
    <row r="2194" spans="1:2" x14ac:dyDescent="0.25">
      <c r="A2194"/>
      <c r="B2194"/>
    </row>
    <row r="2195" spans="1:2" x14ac:dyDescent="0.25">
      <c r="A2195"/>
      <c r="B2195"/>
    </row>
    <row r="2196" spans="1:2" x14ac:dyDescent="0.25">
      <c r="A2196"/>
      <c r="B2196"/>
    </row>
    <row r="2197" spans="1:2" x14ac:dyDescent="0.25">
      <c r="A2197"/>
      <c r="B2197"/>
    </row>
    <row r="2198" spans="1:2" x14ac:dyDescent="0.25">
      <c r="A2198"/>
      <c r="B2198"/>
    </row>
    <row r="2199" spans="1:2" x14ac:dyDescent="0.25">
      <c r="A2199"/>
      <c r="B2199"/>
    </row>
    <row r="2200" spans="1:2" x14ac:dyDescent="0.25">
      <c r="A2200"/>
      <c r="B2200"/>
    </row>
    <row r="2201" spans="1:2" x14ac:dyDescent="0.25">
      <c r="A2201"/>
      <c r="B2201"/>
    </row>
    <row r="2202" spans="1:2" x14ac:dyDescent="0.25">
      <c r="A2202"/>
      <c r="B2202"/>
    </row>
    <row r="2203" spans="1:2" x14ac:dyDescent="0.25">
      <c r="A2203"/>
      <c r="B2203"/>
    </row>
    <row r="2204" spans="1:2" x14ac:dyDescent="0.25">
      <c r="A2204"/>
      <c r="B2204"/>
    </row>
    <row r="2205" spans="1:2" x14ac:dyDescent="0.25">
      <c r="A2205"/>
      <c r="B2205"/>
    </row>
    <row r="2206" spans="1:2" x14ac:dyDescent="0.25">
      <c r="A2206"/>
      <c r="B2206"/>
    </row>
    <row r="2207" spans="1:2" x14ac:dyDescent="0.25">
      <c r="A2207"/>
      <c r="B2207"/>
    </row>
    <row r="2208" spans="1:2" x14ac:dyDescent="0.25">
      <c r="A2208"/>
      <c r="B2208"/>
    </row>
    <row r="2209" spans="1:2" x14ac:dyDescent="0.25">
      <c r="A2209"/>
      <c r="B2209"/>
    </row>
    <row r="2210" spans="1:2" x14ac:dyDescent="0.25">
      <c r="A2210"/>
      <c r="B2210"/>
    </row>
    <row r="2211" spans="1:2" x14ac:dyDescent="0.25">
      <c r="A2211"/>
      <c r="B2211"/>
    </row>
    <row r="2212" spans="1:2" x14ac:dyDescent="0.25">
      <c r="A2212"/>
      <c r="B2212"/>
    </row>
    <row r="2213" spans="1:2" x14ac:dyDescent="0.25">
      <c r="A2213"/>
      <c r="B2213"/>
    </row>
    <row r="2214" spans="1:2" x14ac:dyDescent="0.25">
      <c r="A2214"/>
      <c r="B2214"/>
    </row>
    <row r="2215" spans="1:2" x14ac:dyDescent="0.25">
      <c r="A2215"/>
      <c r="B2215"/>
    </row>
    <row r="2216" spans="1:2" x14ac:dyDescent="0.25">
      <c r="A2216"/>
      <c r="B2216"/>
    </row>
    <row r="2217" spans="1:2" x14ac:dyDescent="0.25">
      <c r="A2217"/>
      <c r="B2217"/>
    </row>
    <row r="2218" spans="1:2" x14ac:dyDescent="0.25">
      <c r="A2218"/>
      <c r="B2218"/>
    </row>
    <row r="2219" spans="1:2" x14ac:dyDescent="0.25">
      <c r="A2219"/>
      <c r="B2219"/>
    </row>
    <row r="2220" spans="1:2" x14ac:dyDescent="0.25">
      <c r="A2220"/>
      <c r="B2220"/>
    </row>
    <row r="2221" spans="1:2" x14ac:dyDescent="0.25">
      <c r="A2221"/>
      <c r="B2221"/>
    </row>
    <row r="2222" spans="1:2" x14ac:dyDescent="0.25">
      <c r="A2222"/>
      <c r="B2222"/>
    </row>
    <row r="2223" spans="1:2" x14ac:dyDescent="0.25">
      <c r="A2223"/>
      <c r="B2223"/>
    </row>
    <row r="2224" spans="1:2" x14ac:dyDescent="0.25">
      <c r="A2224"/>
      <c r="B2224"/>
    </row>
    <row r="2225" spans="1:2" x14ac:dyDescent="0.25">
      <c r="A2225"/>
      <c r="B2225"/>
    </row>
    <row r="2226" spans="1:2" x14ac:dyDescent="0.25">
      <c r="A2226"/>
      <c r="B2226"/>
    </row>
    <row r="2227" spans="1:2" x14ac:dyDescent="0.25">
      <c r="A2227"/>
      <c r="B2227"/>
    </row>
    <row r="2228" spans="1:2" x14ac:dyDescent="0.25">
      <c r="A2228"/>
      <c r="B2228"/>
    </row>
    <row r="2229" spans="1:2" x14ac:dyDescent="0.25">
      <c r="A2229"/>
      <c r="B2229"/>
    </row>
    <row r="2230" spans="1:2" x14ac:dyDescent="0.25">
      <c r="A2230"/>
      <c r="B2230"/>
    </row>
    <row r="2231" spans="1:2" x14ac:dyDescent="0.25">
      <c r="A2231"/>
      <c r="B2231"/>
    </row>
    <row r="2232" spans="1:2" x14ac:dyDescent="0.25">
      <c r="A2232"/>
      <c r="B2232"/>
    </row>
    <row r="2233" spans="1:2" x14ac:dyDescent="0.25">
      <c r="A2233"/>
      <c r="B2233"/>
    </row>
    <row r="2234" spans="1:2" x14ac:dyDescent="0.25">
      <c r="A2234"/>
      <c r="B2234"/>
    </row>
    <row r="2235" spans="1:2" x14ac:dyDescent="0.25">
      <c r="A2235"/>
      <c r="B2235"/>
    </row>
    <row r="2236" spans="1:2" x14ac:dyDescent="0.25">
      <c r="A2236"/>
      <c r="B2236"/>
    </row>
    <row r="2237" spans="1:2" x14ac:dyDescent="0.25">
      <c r="A2237"/>
      <c r="B2237"/>
    </row>
    <row r="2238" spans="1:2" x14ac:dyDescent="0.25">
      <c r="A2238"/>
      <c r="B2238"/>
    </row>
    <row r="2239" spans="1:2" x14ac:dyDescent="0.25">
      <c r="A2239"/>
      <c r="B2239"/>
    </row>
    <row r="2240" spans="1:2" x14ac:dyDescent="0.25">
      <c r="A2240"/>
      <c r="B2240"/>
    </row>
    <row r="2241" spans="1:2" x14ac:dyDescent="0.25">
      <c r="A2241"/>
      <c r="B2241"/>
    </row>
    <row r="2242" spans="1:2" x14ac:dyDescent="0.25">
      <c r="A2242"/>
      <c r="B2242"/>
    </row>
    <row r="2243" spans="1:2" x14ac:dyDescent="0.25">
      <c r="A2243"/>
      <c r="B2243"/>
    </row>
    <row r="2244" spans="1:2" x14ac:dyDescent="0.25">
      <c r="A2244"/>
      <c r="B2244"/>
    </row>
    <row r="2245" spans="1:2" x14ac:dyDescent="0.25">
      <c r="A2245"/>
      <c r="B2245"/>
    </row>
    <row r="2246" spans="1:2" x14ac:dyDescent="0.25">
      <c r="A2246"/>
      <c r="B2246"/>
    </row>
    <row r="2247" spans="1:2" x14ac:dyDescent="0.25">
      <c r="A2247"/>
      <c r="B2247"/>
    </row>
    <row r="2248" spans="1:2" x14ac:dyDescent="0.25">
      <c r="A2248"/>
      <c r="B2248"/>
    </row>
    <row r="2249" spans="1:2" x14ac:dyDescent="0.25">
      <c r="A2249"/>
      <c r="B2249"/>
    </row>
    <row r="2250" spans="1:2" x14ac:dyDescent="0.25">
      <c r="A2250"/>
      <c r="B2250"/>
    </row>
    <row r="2251" spans="1:2" x14ac:dyDescent="0.25">
      <c r="A2251"/>
      <c r="B2251"/>
    </row>
    <row r="2252" spans="1:2" x14ac:dyDescent="0.25">
      <c r="A2252"/>
      <c r="B2252"/>
    </row>
    <row r="2253" spans="1:2" x14ac:dyDescent="0.25">
      <c r="A2253"/>
      <c r="B2253"/>
    </row>
    <row r="2254" spans="1:2" x14ac:dyDescent="0.25">
      <c r="A2254"/>
      <c r="B2254"/>
    </row>
    <row r="2255" spans="1:2" x14ac:dyDescent="0.25">
      <c r="A2255"/>
      <c r="B2255"/>
    </row>
    <row r="2256" spans="1:2" x14ac:dyDescent="0.25">
      <c r="A2256"/>
      <c r="B2256"/>
    </row>
    <row r="2257" spans="1:2" x14ac:dyDescent="0.25">
      <c r="A2257"/>
      <c r="B2257"/>
    </row>
    <row r="2258" spans="1:2" x14ac:dyDescent="0.25">
      <c r="A2258"/>
      <c r="B2258"/>
    </row>
    <row r="2259" spans="1:2" x14ac:dyDescent="0.25">
      <c r="A2259"/>
      <c r="B2259"/>
    </row>
    <row r="2260" spans="1:2" x14ac:dyDescent="0.25">
      <c r="A2260"/>
      <c r="B2260"/>
    </row>
    <row r="2261" spans="1:2" x14ac:dyDescent="0.25">
      <c r="A2261"/>
      <c r="B2261"/>
    </row>
    <row r="2262" spans="1:2" x14ac:dyDescent="0.25">
      <c r="A2262"/>
      <c r="B2262"/>
    </row>
    <row r="2263" spans="1:2" x14ac:dyDescent="0.25">
      <c r="A2263"/>
      <c r="B2263"/>
    </row>
    <row r="2264" spans="1:2" x14ac:dyDescent="0.25">
      <c r="A2264"/>
      <c r="B2264"/>
    </row>
    <row r="2265" spans="1:2" x14ac:dyDescent="0.25">
      <c r="A2265"/>
      <c r="B2265"/>
    </row>
    <row r="2266" spans="1:2" x14ac:dyDescent="0.25">
      <c r="A2266"/>
      <c r="B2266"/>
    </row>
    <row r="2267" spans="1:2" x14ac:dyDescent="0.25">
      <c r="A2267"/>
      <c r="B2267"/>
    </row>
    <row r="2268" spans="1:2" x14ac:dyDescent="0.25">
      <c r="A2268"/>
      <c r="B2268"/>
    </row>
    <row r="2269" spans="1:2" x14ac:dyDescent="0.25">
      <c r="A2269"/>
      <c r="B2269"/>
    </row>
    <row r="2270" spans="1:2" x14ac:dyDescent="0.25">
      <c r="A2270"/>
      <c r="B2270"/>
    </row>
    <row r="2271" spans="1:2" x14ac:dyDescent="0.25">
      <c r="A2271"/>
      <c r="B2271"/>
    </row>
    <row r="2272" spans="1:2" x14ac:dyDescent="0.25">
      <c r="A2272"/>
      <c r="B2272"/>
    </row>
    <row r="2273" spans="1:2" x14ac:dyDescent="0.25">
      <c r="A2273"/>
      <c r="B2273"/>
    </row>
    <row r="2274" spans="1:2" x14ac:dyDescent="0.25">
      <c r="A2274"/>
      <c r="B2274"/>
    </row>
    <row r="2275" spans="1:2" x14ac:dyDescent="0.25">
      <c r="A2275"/>
      <c r="B2275"/>
    </row>
    <row r="2276" spans="1:2" x14ac:dyDescent="0.25">
      <c r="A2276"/>
      <c r="B2276"/>
    </row>
    <row r="2277" spans="1:2" x14ac:dyDescent="0.25">
      <c r="A2277"/>
      <c r="B2277"/>
    </row>
    <row r="2278" spans="1:2" x14ac:dyDescent="0.25">
      <c r="A2278"/>
      <c r="B2278"/>
    </row>
    <row r="2279" spans="1:2" x14ac:dyDescent="0.25">
      <c r="A2279"/>
      <c r="B2279"/>
    </row>
    <row r="2280" spans="1:2" x14ac:dyDescent="0.25">
      <c r="A2280"/>
      <c r="B2280"/>
    </row>
    <row r="2281" spans="1:2" x14ac:dyDescent="0.25">
      <c r="A2281"/>
      <c r="B2281"/>
    </row>
    <row r="2282" spans="1:2" x14ac:dyDescent="0.25">
      <c r="A2282"/>
      <c r="B2282"/>
    </row>
    <row r="2283" spans="1:2" x14ac:dyDescent="0.25">
      <c r="A2283"/>
      <c r="B2283"/>
    </row>
    <row r="2284" spans="1:2" x14ac:dyDescent="0.25">
      <c r="A2284"/>
      <c r="B2284"/>
    </row>
    <row r="2285" spans="1:2" x14ac:dyDescent="0.25">
      <c r="A2285"/>
      <c r="B2285"/>
    </row>
    <row r="2286" spans="1:2" x14ac:dyDescent="0.25">
      <c r="A2286"/>
      <c r="B2286"/>
    </row>
    <row r="2287" spans="1:2" x14ac:dyDescent="0.25">
      <c r="A2287"/>
      <c r="B2287"/>
    </row>
    <row r="2288" spans="1:2" x14ac:dyDescent="0.25">
      <c r="A2288"/>
      <c r="B2288"/>
    </row>
    <row r="2289" spans="1:2" x14ac:dyDescent="0.25">
      <c r="A2289"/>
      <c r="B2289"/>
    </row>
    <row r="2290" spans="1:2" x14ac:dyDescent="0.25">
      <c r="A2290"/>
      <c r="B2290"/>
    </row>
    <row r="2291" spans="1:2" x14ac:dyDescent="0.25">
      <c r="A2291"/>
      <c r="B2291"/>
    </row>
    <row r="2292" spans="1:2" x14ac:dyDescent="0.25">
      <c r="A2292"/>
      <c r="B2292"/>
    </row>
    <row r="2293" spans="1:2" x14ac:dyDescent="0.25">
      <c r="A2293"/>
      <c r="B2293"/>
    </row>
    <row r="2294" spans="1:2" x14ac:dyDescent="0.25">
      <c r="A2294"/>
      <c r="B2294"/>
    </row>
    <row r="2295" spans="1:2" x14ac:dyDescent="0.25">
      <c r="A2295"/>
      <c r="B2295"/>
    </row>
    <row r="2296" spans="1:2" x14ac:dyDescent="0.25">
      <c r="A2296"/>
      <c r="B2296"/>
    </row>
    <row r="2297" spans="1:2" x14ac:dyDescent="0.25">
      <c r="A2297"/>
      <c r="B2297"/>
    </row>
    <row r="2298" spans="1:2" x14ac:dyDescent="0.25">
      <c r="A2298"/>
      <c r="B2298"/>
    </row>
    <row r="2299" spans="1:2" x14ac:dyDescent="0.25">
      <c r="A2299"/>
      <c r="B2299"/>
    </row>
    <row r="2300" spans="1:2" x14ac:dyDescent="0.25">
      <c r="A2300"/>
      <c r="B2300"/>
    </row>
    <row r="2301" spans="1:2" x14ac:dyDescent="0.25">
      <c r="A2301"/>
      <c r="B2301"/>
    </row>
    <row r="2302" spans="1:2" x14ac:dyDescent="0.25">
      <c r="A2302"/>
      <c r="B2302"/>
    </row>
    <row r="2303" spans="1:2" x14ac:dyDescent="0.25">
      <c r="A2303"/>
      <c r="B2303"/>
    </row>
    <row r="2304" spans="1:2" x14ac:dyDescent="0.25">
      <c r="A2304"/>
      <c r="B2304"/>
    </row>
    <row r="2305" spans="1:2" x14ac:dyDescent="0.25">
      <c r="A2305"/>
      <c r="B2305"/>
    </row>
    <row r="2306" spans="1:2" x14ac:dyDescent="0.25">
      <c r="A2306"/>
      <c r="B2306"/>
    </row>
    <row r="2307" spans="1:2" x14ac:dyDescent="0.25">
      <c r="A2307"/>
      <c r="B2307"/>
    </row>
    <row r="2308" spans="1:2" x14ac:dyDescent="0.25">
      <c r="A2308"/>
      <c r="B2308"/>
    </row>
    <row r="2309" spans="1:2" x14ac:dyDescent="0.25">
      <c r="A2309"/>
      <c r="B2309"/>
    </row>
    <row r="2310" spans="1:2" x14ac:dyDescent="0.25">
      <c r="A2310"/>
      <c r="B2310"/>
    </row>
    <row r="2311" spans="1:2" x14ac:dyDescent="0.25">
      <c r="A2311"/>
      <c r="B2311"/>
    </row>
    <row r="2312" spans="1:2" x14ac:dyDescent="0.25">
      <c r="A2312"/>
      <c r="B2312"/>
    </row>
    <row r="2313" spans="1:2" x14ac:dyDescent="0.25">
      <c r="A2313"/>
      <c r="B2313"/>
    </row>
    <row r="2314" spans="1:2" x14ac:dyDescent="0.25">
      <c r="A2314"/>
      <c r="B2314"/>
    </row>
    <row r="2315" spans="1:2" x14ac:dyDescent="0.25">
      <c r="A2315"/>
      <c r="B2315"/>
    </row>
    <row r="2316" spans="1:2" x14ac:dyDescent="0.25">
      <c r="A2316"/>
      <c r="B2316"/>
    </row>
    <row r="2317" spans="1:2" x14ac:dyDescent="0.25">
      <c r="A2317"/>
      <c r="B2317"/>
    </row>
    <row r="2318" spans="1:2" x14ac:dyDescent="0.25">
      <c r="A2318"/>
      <c r="B2318"/>
    </row>
    <row r="2319" spans="1:2" x14ac:dyDescent="0.25">
      <c r="A2319"/>
      <c r="B2319"/>
    </row>
    <row r="2320" spans="1:2" x14ac:dyDescent="0.25">
      <c r="A2320"/>
      <c r="B2320"/>
    </row>
    <row r="2321" spans="1:2" x14ac:dyDescent="0.25">
      <c r="A2321"/>
      <c r="B2321"/>
    </row>
    <row r="2322" spans="1:2" x14ac:dyDescent="0.25">
      <c r="A2322"/>
      <c r="B2322"/>
    </row>
    <row r="2323" spans="1:2" x14ac:dyDescent="0.25">
      <c r="A2323"/>
      <c r="B2323"/>
    </row>
    <row r="2324" spans="1:2" x14ac:dyDescent="0.25">
      <c r="A2324"/>
      <c r="B2324"/>
    </row>
    <row r="2325" spans="1:2" x14ac:dyDescent="0.25">
      <c r="A2325"/>
      <c r="B2325"/>
    </row>
    <row r="2326" spans="1:2" x14ac:dyDescent="0.25">
      <c r="A2326"/>
      <c r="B2326"/>
    </row>
    <row r="2327" spans="1:2" x14ac:dyDescent="0.25">
      <c r="A2327"/>
      <c r="B2327"/>
    </row>
    <row r="2328" spans="1:2" x14ac:dyDescent="0.25">
      <c r="A2328"/>
      <c r="B2328"/>
    </row>
    <row r="2329" spans="1:2" x14ac:dyDescent="0.25">
      <c r="A2329"/>
      <c r="B2329"/>
    </row>
    <row r="2330" spans="1:2" x14ac:dyDescent="0.25">
      <c r="A2330"/>
      <c r="B2330"/>
    </row>
    <row r="2331" spans="1:2" x14ac:dyDescent="0.25">
      <c r="A2331"/>
      <c r="B2331"/>
    </row>
    <row r="2332" spans="1:2" x14ac:dyDescent="0.25">
      <c r="A2332"/>
      <c r="B2332"/>
    </row>
    <row r="2333" spans="1:2" x14ac:dyDescent="0.25">
      <c r="A2333"/>
      <c r="B2333"/>
    </row>
    <row r="2334" spans="1:2" x14ac:dyDescent="0.25">
      <c r="A2334"/>
      <c r="B2334"/>
    </row>
    <row r="2335" spans="1:2" x14ac:dyDescent="0.25">
      <c r="A2335"/>
      <c r="B2335"/>
    </row>
    <row r="2336" spans="1:2" x14ac:dyDescent="0.25">
      <c r="A2336"/>
      <c r="B2336"/>
    </row>
    <row r="2337" spans="1:2" x14ac:dyDescent="0.25">
      <c r="A2337"/>
      <c r="B2337"/>
    </row>
    <row r="2338" spans="1:2" x14ac:dyDescent="0.25">
      <c r="A2338"/>
      <c r="B2338"/>
    </row>
    <row r="2339" spans="1:2" x14ac:dyDescent="0.25">
      <c r="A2339"/>
      <c r="B2339"/>
    </row>
    <row r="2340" spans="1:2" x14ac:dyDescent="0.25">
      <c r="A2340"/>
      <c r="B2340"/>
    </row>
    <row r="2341" spans="1:2" x14ac:dyDescent="0.25">
      <c r="A2341"/>
      <c r="B2341"/>
    </row>
    <row r="2342" spans="1:2" x14ac:dyDescent="0.25">
      <c r="A2342"/>
      <c r="B2342"/>
    </row>
    <row r="2343" spans="1:2" x14ac:dyDescent="0.25">
      <c r="A2343"/>
      <c r="B2343"/>
    </row>
    <row r="2344" spans="1:2" x14ac:dyDescent="0.25">
      <c r="A2344"/>
      <c r="B2344"/>
    </row>
    <row r="2345" spans="1:2" x14ac:dyDescent="0.25">
      <c r="A2345"/>
      <c r="B2345"/>
    </row>
    <row r="2346" spans="1:2" x14ac:dyDescent="0.25">
      <c r="A2346"/>
      <c r="B2346"/>
    </row>
    <row r="2347" spans="1:2" x14ac:dyDescent="0.25">
      <c r="A2347"/>
      <c r="B2347"/>
    </row>
    <row r="2348" spans="1:2" x14ac:dyDescent="0.25">
      <c r="A2348"/>
      <c r="B2348"/>
    </row>
    <row r="2349" spans="1:2" x14ac:dyDescent="0.25">
      <c r="A2349"/>
      <c r="B2349"/>
    </row>
    <row r="2350" spans="1:2" x14ac:dyDescent="0.25">
      <c r="A2350"/>
      <c r="B2350"/>
    </row>
    <row r="2351" spans="1:2" x14ac:dyDescent="0.25">
      <c r="A2351"/>
      <c r="B2351"/>
    </row>
    <row r="2352" spans="1:2" x14ac:dyDescent="0.25">
      <c r="A2352"/>
      <c r="B2352"/>
    </row>
    <row r="2353" spans="1:2" x14ac:dyDescent="0.25">
      <c r="A2353"/>
      <c r="B2353"/>
    </row>
    <row r="2354" spans="1:2" x14ac:dyDescent="0.25">
      <c r="A2354"/>
      <c r="B2354"/>
    </row>
    <row r="2355" spans="1:2" x14ac:dyDescent="0.25">
      <c r="A2355"/>
      <c r="B2355"/>
    </row>
    <row r="2356" spans="1:2" x14ac:dyDescent="0.25">
      <c r="A2356"/>
      <c r="B2356"/>
    </row>
    <row r="2357" spans="1:2" x14ac:dyDescent="0.25">
      <c r="A2357"/>
      <c r="B2357"/>
    </row>
    <row r="2358" spans="1:2" x14ac:dyDescent="0.25">
      <c r="A2358"/>
      <c r="B2358"/>
    </row>
    <row r="2359" spans="1:2" x14ac:dyDescent="0.25">
      <c r="A2359"/>
      <c r="B2359"/>
    </row>
    <row r="2360" spans="1:2" x14ac:dyDescent="0.25">
      <c r="A2360"/>
      <c r="B2360"/>
    </row>
    <row r="2361" spans="1:2" x14ac:dyDescent="0.25">
      <c r="A2361"/>
      <c r="B2361"/>
    </row>
    <row r="2362" spans="1:2" x14ac:dyDescent="0.25">
      <c r="A2362"/>
      <c r="B2362"/>
    </row>
    <row r="2363" spans="1:2" x14ac:dyDescent="0.25">
      <c r="A2363"/>
      <c r="B2363"/>
    </row>
    <row r="2364" spans="1:2" x14ac:dyDescent="0.25">
      <c r="A2364"/>
      <c r="B2364"/>
    </row>
    <row r="2365" spans="1:2" x14ac:dyDescent="0.25">
      <c r="A2365"/>
      <c r="B2365"/>
    </row>
    <row r="2366" spans="1:2" x14ac:dyDescent="0.25">
      <c r="A2366"/>
      <c r="B2366"/>
    </row>
    <row r="2367" spans="1:2" x14ac:dyDescent="0.25">
      <c r="A2367"/>
      <c r="B2367"/>
    </row>
    <row r="2368" spans="1:2" x14ac:dyDescent="0.25">
      <c r="A2368"/>
      <c r="B2368"/>
    </row>
    <row r="2369" spans="1:2" x14ac:dyDescent="0.25">
      <c r="A2369"/>
      <c r="B2369"/>
    </row>
    <row r="2370" spans="1:2" x14ac:dyDescent="0.25">
      <c r="A2370"/>
      <c r="B2370"/>
    </row>
    <row r="2371" spans="1:2" x14ac:dyDescent="0.25">
      <c r="A2371"/>
      <c r="B2371"/>
    </row>
    <row r="2372" spans="1:2" x14ac:dyDescent="0.25">
      <c r="A2372"/>
      <c r="B2372"/>
    </row>
    <row r="2373" spans="1:2" x14ac:dyDescent="0.25">
      <c r="A2373"/>
      <c r="B2373"/>
    </row>
    <row r="2374" spans="1:2" x14ac:dyDescent="0.25">
      <c r="A2374"/>
      <c r="B2374"/>
    </row>
    <row r="2375" spans="1:2" x14ac:dyDescent="0.25">
      <c r="A2375"/>
      <c r="B2375"/>
    </row>
    <row r="2376" spans="1:2" x14ac:dyDescent="0.25">
      <c r="A2376"/>
      <c r="B2376"/>
    </row>
    <row r="2377" spans="1:2" x14ac:dyDescent="0.25">
      <c r="A2377"/>
      <c r="B2377"/>
    </row>
    <row r="2378" spans="1:2" x14ac:dyDescent="0.25">
      <c r="A2378"/>
      <c r="B2378"/>
    </row>
    <row r="2379" spans="1:2" x14ac:dyDescent="0.25">
      <c r="A2379"/>
      <c r="B2379"/>
    </row>
    <row r="2380" spans="1:2" x14ac:dyDescent="0.25">
      <c r="A2380"/>
      <c r="B2380"/>
    </row>
    <row r="2381" spans="1:2" x14ac:dyDescent="0.25">
      <c r="A2381"/>
      <c r="B2381"/>
    </row>
    <row r="2382" spans="1:2" x14ac:dyDescent="0.25">
      <c r="A2382"/>
      <c r="B2382"/>
    </row>
    <row r="2383" spans="1:2" x14ac:dyDescent="0.25">
      <c r="A2383"/>
      <c r="B2383"/>
    </row>
    <row r="2384" spans="1:2" x14ac:dyDescent="0.25">
      <c r="A2384"/>
      <c r="B2384"/>
    </row>
    <row r="2385" spans="1:2" x14ac:dyDescent="0.25">
      <c r="A2385"/>
      <c r="B2385"/>
    </row>
    <row r="2386" spans="1:2" x14ac:dyDescent="0.25">
      <c r="A2386"/>
      <c r="B2386"/>
    </row>
    <row r="2387" spans="1:2" x14ac:dyDescent="0.25">
      <c r="A2387"/>
      <c r="B2387"/>
    </row>
    <row r="2388" spans="1:2" x14ac:dyDescent="0.25">
      <c r="A2388"/>
      <c r="B2388"/>
    </row>
    <row r="2389" spans="1:2" x14ac:dyDescent="0.25">
      <c r="A2389"/>
      <c r="B2389"/>
    </row>
    <row r="2390" spans="1:2" x14ac:dyDescent="0.25">
      <c r="A2390"/>
      <c r="B2390"/>
    </row>
    <row r="2391" spans="1:2" x14ac:dyDescent="0.25">
      <c r="A2391"/>
      <c r="B2391"/>
    </row>
    <row r="2392" spans="1:2" x14ac:dyDescent="0.25">
      <c r="A2392"/>
      <c r="B2392"/>
    </row>
    <row r="2393" spans="1:2" x14ac:dyDescent="0.25">
      <c r="A2393"/>
      <c r="B2393"/>
    </row>
    <row r="2394" spans="1:2" x14ac:dyDescent="0.25">
      <c r="A2394"/>
      <c r="B2394"/>
    </row>
    <row r="2395" spans="1:2" x14ac:dyDescent="0.25">
      <c r="A2395"/>
      <c r="B2395"/>
    </row>
    <row r="2396" spans="1:2" x14ac:dyDescent="0.25">
      <c r="A2396"/>
      <c r="B2396"/>
    </row>
    <row r="2397" spans="1:2" x14ac:dyDescent="0.25">
      <c r="A2397"/>
      <c r="B2397"/>
    </row>
    <row r="2398" spans="1:2" x14ac:dyDescent="0.25">
      <c r="A2398"/>
      <c r="B2398"/>
    </row>
    <row r="2399" spans="1:2" x14ac:dyDescent="0.25">
      <c r="A2399"/>
      <c r="B2399"/>
    </row>
    <row r="2400" spans="1:2" x14ac:dyDescent="0.25">
      <c r="A2400"/>
      <c r="B2400"/>
    </row>
    <row r="2401" spans="1:2" x14ac:dyDescent="0.25">
      <c r="A2401"/>
      <c r="B2401"/>
    </row>
    <row r="2402" spans="1:2" x14ac:dyDescent="0.25">
      <c r="A2402"/>
      <c r="B2402"/>
    </row>
    <row r="2403" spans="1:2" x14ac:dyDescent="0.25">
      <c r="A2403"/>
      <c r="B2403"/>
    </row>
    <row r="2404" spans="1:2" x14ac:dyDescent="0.25">
      <c r="A2404"/>
      <c r="B2404"/>
    </row>
    <row r="2405" spans="1:2" x14ac:dyDescent="0.25">
      <c r="A2405"/>
      <c r="B2405"/>
    </row>
    <row r="2406" spans="1:2" x14ac:dyDescent="0.25">
      <c r="A2406"/>
      <c r="B2406"/>
    </row>
    <row r="2407" spans="1:2" x14ac:dyDescent="0.25">
      <c r="A2407"/>
      <c r="B2407"/>
    </row>
    <row r="2408" spans="1:2" x14ac:dyDescent="0.25">
      <c r="A2408"/>
      <c r="B2408"/>
    </row>
    <row r="2409" spans="1:2" x14ac:dyDescent="0.25">
      <c r="A2409"/>
      <c r="B2409"/>
    </row>
    <row r="2410" spans="1:2" x14ac:dyDescent="0.25">
      <c r="A2410"/>
      <c r="B2410"/>
    </row>
    <row r="2411" spans="1:2" x14ac:dyDescent="0.25">
      <c r="A2411"/>
      <c r="B2411"/>
    </row>
    <row r="2412" spans="1:2" x14ac:dyDescent="0.25">
      <c r="A2412"/>
      <c r="B2412"/>
    </row>
    <row r="2413" spans="1:2" x14ac:dyDescent="0.25">
      <c r="A2413"/>
      <c r="B2413"/>
    </row>
    <row r="2414" spans="1:2" x14ac:dyDescent="0.25">
      <c r="A2414"/>
      <c r="B2414"/>
    </row>
    <row r="2415" spans="1:2" x14ac:dyDescent="0.25">
      <c r="A2415"/>
      <c r="B2415"/>
    </row>
    <row r="2416" spans="1:2" x14ac:dyDescent="0.25">
      <c r="A2416"/>
      <c r="B2416"/>
    </row>
    <row r="2417" spans="1:2" x14ac:dyDescent="0.25">
      <c r="A2417"/>
      <c r="B2417"/>
    </row>
    <row r="2418" spans="1:2" x14ac:dyDescent="0.25">
      <c r="A2418"/>
      <c r="B2418"/>
    </row>
    <row r="2419" spans="1:2" x14ac:dyDescent="0.25">
      <c r="A2419"/>
      <c r="B2419"/>
    </row>
    <row r="2420" spans="1:2" x14ac:dyDescent="0.25">
      <c r="A2420"/>
      <c r="B2420"/>
    </row>
    <row r="2421" spans="1:2" x14ac:dyDescent="0.25">
      <c r="A2421"/>
      <c r="B2421"/>
    </row>
    <row r="2422" spans="1:2" x14ac:dyDescent="0.25">
      <c r="A2422"/>
      <c r="B2422"/>
    </row>
    <row r="2423" spans="1:2" x14ac:dyDescent="0.25">
      <c r="A2423"/>
      <c r="B2423"/>
    </row>
    <row r="2424" spans="1:2" x14ac:dyDescent="0.25">
      <c r="A2424"/>
      <c r="B2424"/>
    </row>
    <row r="2425" spans="1:2" x14ac:dyDescent="0.25">
      <c r="A2425"/>
      <c r="B2425"/>
    </row>
    <row r="2426" spans="1:2" x14ac:dyDescent="0.25">
      <c r="A2426"/>
      <c r="B2426"/>
    </row>
    <row r="2427" spans="1:2" x14ac:dyDescent="0.25">
      <c r="A2427"/>
      <c r="B2427"/>
    </row>
    <row r="2428" spans="1:2" x14ac:dyDescent="0.25">
      <c r="A2428"/>
      <c r="B2428"/>
    </row>
    <row r="2429" spans="1:2" x14ac:dyDescent="0.25">
      <c r="A2429"/>
      <c r="B2429"/>
    </row>
    <row r="2430" spans="1:2" x14ac:dyDescent="0.25">
      <c r="A2430"/>
      <c r="B2430"/>
    </row>
    <row r="2431" spans="1:2" x14ac:dyDescent="0.25">
      <c r="A2431"/>
      <c r="B2431"/>
    </row>
    <row r="2432" spans="1:2" x14ac:dyDescent="0.25">
      <c r="A2432"/>
      <c r="B2432"/>
    </row>
    <row r="2433" spans="1:2" x14ac:dyDescent="0.25">
      <c r="A2433"/>
      <c r="B2433"/>
    </row>
    <row r="2434" spans="1:2" x14ac:dyDescent="0.25">
      <c r="A2434"/>
      <c r="B2434"/>
    </row>
    <row r="2435" spans="1:2" x14ac:dyDescent="0.25">
      <c r="A2435"/>
      <c r="B2435"/>
    </row>
    <row r="2436" spans="1:2" x14ac:dyDescent="0.25">
      <c r="A2436"/>
      <c r="B2436"/>
    </row>
    <row r="2437" spans="1:2" x14ac:dyDescent="0.25">
      <c r="A2437"/>
      <c r="B2437"/>
    </row>
    <row r="2438" spans="1:2" x14ac:dyDescent="0.25">
      <c r="A2438"/>
      <c r="B2438"/>
    </row>
    <row r="2439" spans="1:2" x14ac:dyDescent="0.25">
      <c r="A2439"/>
      <c r="B2439"/>
    </row>
    <row r="2440" spans="1:2" x14ac:dyDescent="0.25">
      <c r="A2440"/>
      <c r="B2440"/>
    </row>
    <row r="2441" spans="1:2" x14ac:dyDescent="0.25">
      <c r="A2441"/>
      <c r="B2441"/>
    </row>
    <row r="2442" spans="1:2" x14ac:dyDescent="0.25">
      <c r="A2442"/>
      <c r="B2442"/>
    </row>
    <row r="2443" spans="1:2" x14ac:dyDescent="0.25">
      <c r="A2443"/>
      <c r="B2443"/>
    </row>
    <row r="2444" spans="1:2" x14ac:dyDescent="0.25">
      <c r="A2444"/>
      <c r="B2444"/>
    </row>
    <row r="2445" spans="1:2" x14ac:dyDescent="0.25">
      <c r="A2445"/>
      <c r="B2445"/>
    </row>
    <row r="2446" spans="1:2" x14ac:dyDescent="0.25">
      <c r="A2446"/>
      <c r="B2446"/>
    </row>
    <row r="2447" spans="1:2" x14ac:dyDescent="0.25">
      <c r="A2447"/>
      <c r="B2447"/>
    </row>
    <row r="2448" spans="1:2" x14ac:dyDescent="0.25">
      <c r="A2448"/>
      <c r="B2448"/>
    </row>
    <row r="2449" spans="1:2" x14ac:dyDescent="0.25">
      <c r="A2449"/>
      <c r="B2449"/>
    </row>
    <row r="2450" spans="1:2" x14ac:dyDescent="0.25">
      <c r="A2450"/>
      <c r="B2450"/>
    </row>
    <row r="2451" spans="1:2" x14ac:dyDescent="0.25">
      <c r="A2451"/>
      <c r="B2451"/>
    </row>
    <row r="2452" spans="1:2" x14ac:dyDescent="0.25">
      <c r="A2452"/>
      <c r="B2452"/>
    </row>
    <row r="2453" spans="1:2" x14ac:dyDescent="0.25">
      <c r="A2453"/>
      <c r="B2453"/>
    </row>
    <row r="2454" spans="1:2" x14ac:dyDescent="0.25">
      <c r="A2454"/>
      <c r="B2454"/>
    </row>
    <row r="2455" spans="1:2" x14ac:dyDescent="0.25">
      <c r="A2455"/>
      <c r="B2455"/>
    </row>
    <row r="2456" spans="1:2" x14ac:dyDescent="0.25">
      <c r="A2456"/>
      <c r="B2456"/>
    </row>
    <row r="2457" spans="1:2" x14ac:dyDescent="0.25">
      <c r="A2457"/>
      <c r="B2457"/>
    </row>
    <row r="2458" spans="1:2" x14ac:dyDescent="0.25">
      <c r="A2458"/>
      <c r="B2458"/>
    </row>
    <row r="2459" spans="1:2" x14ac:dyDescent="0.25">
      <c r="A2459"/>
      <c r="B2459"/>
    </row>
    <row r="2460" spans="1:2" x14ac:dyDescent="0.25">
      <c r="A2460"/>
      <c r="B2460"/>
    </row>
    <row r="2461" spans="1:2" x14ac:dyDescent="0.25">
      <c r="A2461"/>
      <c r="B2461"/>
    </row>
    <row r="2462" spans="1:2" x14ac:dyDescent="0.25">
      <c r="A2462"/>
      <c r="B2462"/>
    </row>
    <row r="2463" spans="1:2" x14ac:dyDescent="0.25">
      <c r="A2463"/>
      <c r="B2463"/>
    </row>
    <row r="2464" spans="1:2" x14ac:dyDescent="0.25">
      <c r="A2464"/>
      <c r="B2464"/>
    </row>
    <row r="2465" spans="1:2" x14ac:dyDescent="0.25">
      <c r="A2465"/>
      <c r="B2465"/>
    </row>
    <row r="2466" spans="1:2" x14ac:dyDescent="0.25">
      <c r="A2466"/>
      <c r="B2466"/>
    </row>
    <row r="2467" spans="1:2" x14ac:dyDescent="0.25">
      <c r="A2467"/>
      <c r="B2467"/>
    </row>
    <row r="2468" spans="1:2" x14ac:dyDescent="0.25">
      <c r="A2468"/>
      <c r="B2468"/>
    </row>
    <row r="2469" spans="1:2" x14ac:dyDescent="0.25">
      <c r="A2469"/>
      <c r="B2469"/>
    </row>
    <row r="2470" spans="1:2" x14ac:dyDescent="0.25">
      <c r="A2470"/>
      <c r="B2470"/>
    </row>
    <row r="2471" spans="1:2" x14ac:dyDescent="0.25">
      <c r="A2471"/>
      <c r="B2471"/>
    </row>
    <row r="2472" spans="1:2" x14ac:dyDescent="0.25">
      <c r="A2472"/>
      <c r="B2472"/>
    </row>
    <row r="2473" spans="1:2" x14ac:dyDescent="0.25">
      <c r="A2473"/>
      <c r="B2473"/>
    </row>
    <row r="2474" spans="1:2" x14ac:dyDescent="0.25">
      <c r="A2474"/>
      <c r="B2474"/>
    </row>
    <row r="2475" spans="1:2" x14ac:dyDescent="0.25">
      <c r="A2475"/>
      <c r="B2475"/>
    </row>
    <row r="2476" spans="1:2" x14ac:dyDescent="0.25">
      <c r="A2476"/>
      <c r="B2476"/>
    </row>
    <row r="2477" spans="1:2" x14ac:dyDescent="0.25">
      <c r="A2477"/>
      <c r="B2477"/>
    </row>
    <row r="2478" spans="1:2" x14ac:dyDescent="0.25">
      <c r="A2478"/>
      <c r="B2478"/>
    </row>
    <row r="2479" spans="1:2" x14ac:dyDescent="0.25">
      <c r="A2479"/>
      <c r="B2479"/>
    </row>
    <row r="2480" spans="1:2" x14ac:dyDescent="0.25">
      <c r="A2480"/>
      <c r="B2480"/>
    </row>
    <row r="2481" spans="1:2" x14ac:dyDescent="0.25">
      <c r="A2481"/>
      <c r="B2481"/>
    </row>
    <row r="2482" spans="1:2" x14ac:dyDescent="0.25">
      <c r="A2482"/>
      <c r="B2482"/>
    </row>
    <row r="2483" spans="1:2" x14ac:dyDescent="0.25">
      <c r="A2483"/>
      <c r="B2483"/>
    </row>
    <row r="2484" spans="1:2" x14ac:dyDescent="0.25">
      <c r="A2484"/>
      <c r="B2484"/>
    </row>
    <row r="2485" spans="1:2" x14ac:dyDescent="0.25">
      <c r="A2485"/>
      <c r="B2485"/>
    </row>
    <row r="2486" spans="1:2" x14ac:dyDescent="0.25">
      <c r="A2486"/>
      <c r="B2486"/>
    </row>
    <row r="2487" spans="1:2" x14ac:dyDescent="0.25">
      <c r="A2487"/>
      <c r="B2487"/>
    </row>
    <row r="2488" spans="1:2" x14ac:dyDescent="0.25">
      <c r="A2488"/>
      <c r="B2488"/>
    </row>
    <row r="2489" spans="1:2" x14ac:dyDescent="0.25">
      <c r="A2489"/>
      <c r="B2489"/>
    </row>
    <row r="2490" spans="1:2" x14ac:dyDescent="0.25">
      <c r="A2490"/>
      <c r="B2490"/>
    </row>
    <row r="2491" spans="1:2" x14ac:dyDescent="0.25">
      <c r="A2491"/>
      <c r="B2491"/>
    </row>
    <row r="2492" spans="1:2" x14ac:dyDescent="0.25">
      <c r="A2492"/>
      <c r="B2492"/>
    </row>
    <row r="2493" spans="1:2" x14ac:dyDescent="0.25">
      <c r="A2493"/>
      <c r="B2493"/>
    </row>
    <row r="2494" spans="1:2" x14ac:dyDescent="0.25">
      <c r="A2494"/>
      <c r="B2494"/>
    </row>
    <row r="2495" spans="1:2" x14ac:dyDescent="0.25">
      <c r="A2495"/>
      <c r="B2495"/>
    </row>
    <row r="2496" spans="1:2" x14ac:dyDescent="0.25">
      <c r="A2496"/>
      <c r="B2496"/>
    </row>
    <row r="2497" spans="1:2" x14ac:dyDescent="0.25">
      <c r="A2497"/>
      <c r="B2497"/>
    </row>
    <row r="2498" spans="1:2" x14ac:dyDescent="0.25">
      <c r="A2498"/>
      <c r="B2498"/>
    </row>
    <row r="2499" spans="1:2" x14ac:dyDescent="0.25">
      <c r="A2499"/>
      <c r="B2499"/>
    </row>
    <row r="2500" spans="1:2" x14ac:dyDescent="0.25">
      <c r="A2500"/>
      <c r="B2500"/>
    </row>
    <row r="2501" spans="1:2" x14ac:dyDescent="0.25">
      <c r="A2501"/>
      <c r="B2501"/>
    </row>
    <row r="2502" spans="1:2" x14ac:dyDescent="0.25">
      <c r="A2502"/>
      <c r="B2502"/>
    </row>
    <row r="2503" spans="1:2" x14ac:dyDescent="0.25">
      <c r="A2503"/>
      <c r="B2503"/>
    </row>
    <row r="2504" spans="1:2" x14ac:dyDescent="0.25">
      <c r="A2504"/>
      <c r="B2504"/>
    </row>
    <row r="2505" spans="1:2" x14ac:dyDescent="0.25">
      <c r="A2505"/>
      <c r="B2505"/>
    </row>
    <row r="2506" spans="1:2" x14ac:dyDescent="0.25">
      <c r="A2506"/>
      <c r="B2506"/>
    </row>
    <row r="2507" spans="1:2" x14ac:dyDescent="0.25">
      <c r="A2507"/>
      <c r="B2507"/>
    </row>
    <row r="2508" spans="1:2" x14ac:dyDescent="0.25">
      <c r="A2508"/>
      <c r="B2508"/>
    </row>
    <row r="2509" spans="1:2" x14ac:dyDescent="0.25">
      <c r="A2509"/>
      <c r="B2509"/>
    </row>
    <row r="2510" spans="1:2" x14ac:dyDescent="0.25">
      <c r="A2510"/>
      <c r="B2510"/>
    </row>
    <row r="2511" spans="1:2" x14ac:dyDescent="0.25">
      <c r="A2511"/>
      <c r="B2511"/>
    </row>
    <row r="2512" spans="1:2" x14ac:dyDescent="0.25">
      <c r="A2512"/>
      <c r="B2512"/>
    </row>
    <row r="2513" spans="1:2" x14ac:dyDescent="0.25">
      <c r="A2513"/>
      <c r="B2513"/>
    </row>
    <row r="2514" spans="1:2" x14ac:dyDescent="0.25">
      <c r="A2514"/>
      <c r="B2514"/>
    </row>
    <row r="2515" spans="1:2" x14ac:dyDescent="0.25">
      <c r="A2515"/>
      <c r="B2515"/>
    </row>
    <row r="2516" spans="1:2" x14ac:dyDescent="0.25">
      <c r="A2516"/>
      <c r="B2516"/>
    </row>
    <row r="2517" spans="1:2" x14ac:dyDescent="0.25">
      <c r="A2517"/>
      <c r="B2517"/>
    </row>
    <row r="2518" spans="1:2" x14ac:dyDescent="0.25">
      <c r="A2518"/>
      <c r="B2518"/>
    </row>
    <row r="2519" spans="1:2" x14ac:dyDescent="0.25">
      <c r="A2519"/>
      <c r="B2519"/>
    </row>
    <row r="2520" spans="1:2" x14ac:dyDescent="0.25">
      <c r="A2520"/>
      <c r="B2520"/>
    </row>
    <row r="2521" spans="1:2" x14ac:dyDescent="0.25">
      <c r="A2521"/>
      <c r="B2521"/>
    </row>
    <row r="2522" spans="1:2" x14ac:dyDescent="0.25">
      <c r="A2522"/>
      <c r="B2522"/>
    </row>
    <row r="2523" spans="1:2" x14ac:dyDescent="0.25">
      <c r="A2523"/>
      <c r="B2523"/>
    </row>
    <row r="2524" spans="1:2" x14ac:dyDescent="0.25">
      <c r="A2524"/>
      <c r="B2524"/>
    </row>
    <row r="2525" spans="1:2" x14ac:dyDescent="0.25">
      <c r="A2525"/>
      <c r="B2525"/>
    </row>
    <row r="2526" spans="1:2" x14ac:dyDescent="0.25">
      <c r="A2526"/>
      <c r="B2526"/>
    </row>
    <row r="2527" spans="1:2" x14ac:dyDescent="0.25">
      <c r="A2527"/>
      <c r="B2527"/>
    </row>
    <row r="2528" spans="1:2" x14ac:dyDescent="0.25">
      <c r="A2528"/>
      <c r="B2528"/>
    </row>
    <row r="2529" spans="1:2" x14ac:dyDescent="0.25">
      <c r="A2529"/>
      <c r="B2529"/>
    </row>
    <row r="2530" spans="1:2" x14ac:dyDescent="0.25">
      <c r="A2530"/>
      <c r="B2530"/>
    </row>
    <row r="2531" spans="1:2" x14ac:dyDescent="0.25">
      <c r="A2531"/>
      <c r="B2531"/>
    </row>
    <row r="2532" spans="1:2" x14ac:dyDescent="0.25">
      <c r="A2532"/>
      <c r="B2532"/>
    </row>
    <row r="2533" spans="1:2" x14ac:dyDescent="0.25">
      <c r="A2533"/>
      <c r="B2533"/>
    </row>
    <row r="2534" spans="1:2" x14ac:dyDescent="0.25">
      <c r="A2534"/>
      <c r="B2534"/>
    </row>
    <row r="2535" spans="1:2" x14ac:dyDescent="0.25">
      <c r="A2535"/>
      <c r="B2535"/>
    </row>
    <row r="2536" spans="1:2" x14ac:dyDescent="0.25">
      <c r="A2536"/>
      <c r="B2536"/>
    </row>
    <row r="2537" spans="1:2" x14ac:dyDescent="0.25">
      <c r="A2537"/>
      <c r="B2537"/>
    </row>
    <row r="2538" spans="1:2" x14ac:dyDescent="0.25">
      <c r="A2538"/>
      <c r="B2538"/>
    </row>
    <row r="2539" spans="1:2" x14ac:dyDescent="0.25">
      <c r="A2539"/>
      <c r="B2539"/>
    </row>
    <row r="2540" spans="1:2" x14ac:dyDescent="0.25">
      <c r="A2540"/>
      <c r="B2540"/>
    </row>
    <row r="2541" spans="1:2" x14ac:dyDescent="0.25">
      <c r="A2541"/>
      <c r="B2541"/>
    </row>
    <row r="2542" spans="1:2" x14ac:dyDescent="0.25">
      <c r="A2542"/>
      <c r="B2542"/>
    </row>
    <row r="2543" spans="1:2" x14ac:dyDescent="0.25">
      <c r="A2543"/>
      <c r="B2543"/>
    </row>
    <row r="2544" spans="1:2" x14ac:dyDescent="0.25">
      <c r="A2544"/>
      <c r="B2544"/>
    </row>
    <row r="2545" spans="1:2" x14ac:dyDescent="0.25">
      <c r="A2545"/>
      <c r="B2545"/>
    </row>
    <row r="2546" spans="1:2" x14ac:dyDescent="0.25">
      <c r="A2546"/>
      <c r="B2546"/>
    </row>
    <row r="2547" spans="1:2" x14ac:dyDescent="0.25">
      <c r="A2547"/>
      <c r="B2547"/>
    </row>
    <row r="2548" spans="1:2" x14ac:dyDescent="0.25">
      <c r="A2548"/>
      <c r="B2548"/>
    </row>
    <row r="2549" spans="1:2" x14ac:dyDescent="0.25">
      <c r="A2549"/>
      <c r="B2549"/>
    </row>
    <row r="2550" spans="1:2" x14ac:dyDescent="0.25">
      <c r="A2550"/>
      <c r="B2550"/>
    </row>
    <row r="2551" spans="1:2" x14ac:dyDescent="0.25">
      <c r="A2551"/>
      <c r="B2551"/>
    </row>
    <row r="2552" spans="1:2" x14ac:dyDescent="0.25">
      <c r="A2552"/>
      <c r="B2552"/>
    </row>
    <row r="2553" spans="1:2" x14ac:dyDescent="0.25">
      <c r="A2553"/>
      <c r="B2553"/>
    </row>
    <row r="2554" spans="1:2" x14ac:dyDescent="0.25">
      <c r="A2554"/>
      <c r="B2554"/>
    </row>
    <row r="2555" spans="1:2" x14ac:dyDescent="0.25">
      <c r="A2555"/>
      <c r="B2555"/>
    </row>
    <row r="2556" spans="1:2" x14ac:dyDescent="0.25">
      <c r="A2556"/>
      <c r="B2556"/>
    </row>
    <row r="2557" spans="1:2" x14ac:dyDescent="0.25">
      <c r="A2557"/>
      <c r="B2557"/>
    </row>
    <row r="2558" spans="1:2" x14ac:dyDescent="0.25">
      <c r="A2558"/>
      <c r="B2558"/>
    </row>
    <row r="2559" spans="1:2" x14ac:dyDescent="0.25">
      <c r="A2559"/>
      <c r="B2559"/>
    </row>
    <row r="2560" spans="1:2" x14ac:dyDescent="0.25">
      <c r="A2560"/>
      <c r="B2560"/>
    </row>
    <row r="2561" spans="1:2" x14ac:dyDescent="0.25">
      <c r="A2561"/>
      <c r="B2561"/>
    </row>
    <row r="2562" spans="1:2" x14ac:dyDescent="0.25">
      <c r="A2562"/>
      <c r="B2562"/>
    </row>
    <row r="2563" spans="1:2" x14ac:dyDescent="0.25">
      <c r="A2563"/>
      <c r="B2563"/>
    </row>
    <row r="2564" spans="1:2" x14ac:dyDescent="0.25">
      <c r="A2564"/>
      <c r="B2564"/>
    </row>
    <row r="2565" spans="1:2" x14ac:dyDescent="0.25">
      <c r="A2565"/>
      <c r="B2565"/>
    </row>
    <row r="2566" spans="1:2" x14ac:dyDescent="0.25">
      <c r="A2566"/>
      <c r="B2566"/>
    </row>
    <row r="2567" spans="1:2" x14ac:dyDescent="0.25">
      <c r="A2567"/>
      <c r="B2567"/>
    </row>
    <row r="2568" spans="1:2" x14ac:dyDescent="0.25">
      <c r="A2568"/>
      <c r="B2568"/>
    </row>
    <row r="2569" spans="1:2" x14ac:dyDescent="0.25">
      <c r="A2569"/>
      <c r="B2569"/>
    </row>
    <row r="2570" spans="1:2" x14ac:dyDescent="0.25">
      <c r="A2570"/>
      <c r="B2570"/>
    </row>
    <row r="2571" spans="1:2" x14ac:dyDescent="0.25">
      <c r="A2571"/>
      <c r="B2571"/>
    </row>
    <row r="2572" spans="1:2" x14ac:dyDescent="0.25">
      <c r="A2572"/>
      <c r="B2572"/>
    </row>
    <row r="2573" spans="1:2" x14ac:dyDescent="0.25">
      <c r="A2573"/>
      <c r="B2573"/>
    </row>
    <row r="2574" spans="1:2" x14ac:dyDescent="0.25">
      <c r="A2574"/>
      <c r="B2574"/>
    </row>
    <row r="2575" spans="1:2" x14ac:dyDescent="0.25">
      <c r="A2575"/>
      <c r="B2575"/>
    </row>
    <row r="2576" spans="1:2" x14ac:dyDescent="0.25">
      <c r="A2576"/>
      <c r="B2576"/>
    </row>
    <row r="2577" spans="1:2" x14ac:dyDescent="0.25">
      <c r="A2577"/>
      <c r="B2577"/>
    </row>
    <row r="2578" spans="1:2" x14ac:dyDescent="0.25">
      <c r="A2578"/>
      <c r="B2578"/>
    </row>
    <row r="2579" spans="1:2" x14ac:dyDescent="0.25">
      <c r="A2579"/>
      <c r="B2579"/>
    </row>
    <row r="2580" spans="1:2" x14ac:dyDescent="0.25">
      <c r="A2580"/>
      <c r="B2580"/>
    </row>
    <row r="2581" spans="1:2" x14ac:dyDescent="0.25">
      <c r="A2581"/>
      <c r="B2581"/>
    </row>
    <row r="2582" spans="1:2" x14ac:dyDescent="0.25">
      <c r="A2582"/>
      <c r="B2582"/>
    </row>
    <row r="2583" spans="1:2" x14ac:dyDescent="0.25">
      <c r="A2583"/>
      <c r="B2583"/>
    </row>
    <row r="2584" spans="1:2" x14ac:dyDescent="0.25">
      <c r="A2584"/>
      <c r="B2584"/>
    </row>
    <row r="2585" spans="1:2" x14ac:dyDescent="0.25">
      <c r="A2585"/>
      <c r="B2585"/>
    </row>
    <row r="2586" spans="1:2" x14ac:dyDescent="0.25">
      <c r="A2586"/>
      <c r="B2586"/>
    </row>
    <row r="2587" spans="1:2" x14ac:dyDescent="0.25">
      <c r="A2587"/>
      <c r="B2587"/>
    </row>
    <row r="2588" spans="1:2" x14ac:dyDescent="0.25">
      <c r="A2588"/>
      <c r="B2588"/>
    </row>
    <row r="2589" spans="1:2" x14ac:dyDescent="0.25">
      <c r="A2589"/>
      <c r="B2589"/>
    </row>
    <row r="2590" spans="1:2" x14ac:dyDescent="0.25">
      <c r="A2590"/>
      <c r="B2590"/>
    </row>
    <row r="2591" spans="1:2" x14ac:dyDescent="0.25">
      <c r="A2591"/>
      <c r="B2591"/>
    </row>
    <row r="2592" spans="1:2" x14ac:dyDescent="0.25">
      <c r="A2592"/>
      <c r="B2592"/>
    </row>
    <row r="2593" spans="1:2" x14ac:dyDescent="0.25">
      <c r="A2593"/>
      <c r="B2593"/>
    </row>
    <row r="2594" spans="1:2" x14ac:dyDescent="0.25">
      <c r="A2594"/>
      <c r="B2594"/>
    </row>
    <row r="2595" spans="1:2" x14ac:dyDescent="0.25">
      <c r="A2595"/>
      <c r="B2595"/>
    </row>
    <row r="2596" spans="1:2" x14ac:dyDescent="0.25">
      <c r="A2596"/>
      <c r="B2596"/>
    </row>
    <row r="2597" spans="1:2" x14ac:dyDescent="0.25">
      <c r="A2597"/>
      <c r="B2597"/>
    </row>
    <row r="2598" spans="1:2" x14ac:dyDescent="0.25">
      <c r="A2598"/>
      <c r="B2598"/>
    </row>
    <row r="2599" spans="1:2" x14ac:dyDescent="0.25">
      <c r="A2599"/>
      <c r="B2599"/>
    </row>
    <row r="2600" spans="1:2" x14ac:dyDescent="0.25">
      <c r="A2600"/>
      <c r="B2600"/>
    </row>
    <row r="2601" spans="1:2" x14ac:dyDescent="0.25">
      <c r="A2601"/>
      <c r="B2601"/>
    </row>
    <row r="2602" spans="1:2" x14ac:dyDescent="0.25">
      <c r="A2602"/>
      <c r="B2602"/>
    </row>
    <row r="2603" spans="1:2" x14ac:dyDescent="0.25">
      <c r="A2603"/>
      <c r="B2603"/>
    </row>
    <row r="2604" spans="1:2" x14ac:dyDescent="0.25">
      <c r="A2604"/>
      <c r="B2604"/>
    </row>
    <row r="2605" spans="1:2" x14ac:dyDescent="0.25">
      <c r="A2605"/>
      <c r="B2605"/>
    </row>
    <row r="2606" spans="1:2" x14ac:dyDescent="0.25">
      <c r="A2606"/>
      <c r="B2606"/>
    </row>
    <row r="2607" spans="1:2" x14ac:dyDescent="0.25">
      <c r="A2607"/>
      <c r="B2607"/>
    </row>
    <row r="2608" spans="1:2" x14ac:dyDescent="0.25">
      <c r="A2608"/>
      <c r="B2608"/>
    </row>
    <row r="2609" spans="1:2" x14ac:dyDescent="0.25">
      <c r="A2609"/>
      <c r="B2609"/>
    </row>
    <row r="2610" spans="1:2" x14ac:dyDescent="0.25">
      <c r="A2610"/>
      <c r="B2610"/>
    </row>
    <row r="2611" spans="1:2" x14ac:dyDescent="0.25">
      <c r="A2611"/>
      <c r="B2611"/>
    </row>
    <row r="2612" spans="1:2" x14ac:dyDescent="0.25">
      <c r="A2612"/>
      <c r="B2612"/>
    </row>
    <row r="2613" spans="1:2" x14ac:dyDescent="0.25">
      <c r="A2613"/>
      <c r="B2613"/>
    </row>
    <row r="2614" spans="1:2" x14ac:dyDescent="0.25">
      <c r="A2614"/>
      <c r="B2614"/>
    </row>
    <row r="2615" spans="1:2" x14ac:dyDescent="0.25">
      <c r="A2615"/>
      <c r="B2615"/>
    </row>
    <row r="2616" spans="1:2" x14ac:dyDescent="0.25">
      <c r="A2616"/>
      <c r="B2616"/>
    </row>
    <row r="2617" spans="1:2" x14ac:dyDescent="0.25">
      <c r="A2617"/>
      <c r="B2617"/>
    </row>
    <row r="2618" spans="1:2" x14ac:dyDescent="0.25">
      <c r="A2618"/>
      <c r="B2618"/>
    </row>
    <row r="2619" spans="1:2" x14ac:dyDescent="0.25">
      <c r="A2619"/>
      <c r="B2619"/>
    </row>
    <row r="2620" spans="1:2" x14ac:dyDescent="0.25">
      <c r="A2620"/>
      <c r="B2620"/>
    </row>
    <row r="2621" spans="1:2" x14ac:dyDescent="0.25">
      <c r="A2621"/>
      <c r="B2621"/>
    </row>
    <row r="2622" spans="1:2" x14ac:dyDescent="0.25">
      <c r="A2622"/>
      <c r="B2622"/>
    </row>
    <row r="2623" spans="1:2" x14ac:dyDescent="0.25">
      <c r="A2623"/>
      <c r="B2623"/>
    </row>
    <row r="2624" spans="1:2" x14ac:dyDescent="0.25">
      <c r="A2624"/>
      <c r="B2624"/>
    </row>
    <row r="2625" spans="1:2" x14ac:dyDescent="0.25">
      <c r="A2625"/>
      <c r="B2625"/>
    </row>
    <row r="2626" spans="1:2" x14ac:dyDescent="0.25">
      <c r="A2626"/>
      <c r="B2626"/>
    </row>
    <row r="2627" spans="1:2" x14ac:dyDescent="0.25">
      <c r="A2627"/>
      <c r="B2627"/>
    </row>
    <row r="2628" spans="1:2" x14ac:dyDescent="0.25">
      <c r="A2628"/>
      <c r="B2628"/>
    </row>
    <row r="2629" spans="1:2" x14ac:dyDescent="0.25">
      <c r="A2629"/>
      <c r="B2629"/>
    </row>
    <row r="2630" spans="1:2" x14ac:dyDescent="0.25">
      <c r="A2630"/>
      <c r="B2630"/>
    </row>
    <row r="2631" spans="1:2" x14ac:dyDescent="0.25">
      <c r="A2631"/>
      <c r="B2631"/>
    </row>
    <row r="2632" spans="1:2" x14ac:dyDescent="0.25">
      <c r="A2632"/>
      <c r="B2632"/>
    </row>
    <row r="2633" spans="1:2" x14ac:dyDescent="0.25">
      <c r="A2633"/>
      <c r="B2633"/>
    </row>
    <row r="2634" spans="1:2" x14ac:dyDescent="0.25">
      <c r="A2634"/>
      <c r="B2634"/>
    </row>
    <row r="2635" spans="1:2" x14ac:dyDescent="0.25">
      <c r="A2635"/>
      <c r="B2635"/>
    </row>
    <row r="2636" spans="1:2" x14ac:dyDescent="0.25">
      <c r="A2636"/>
      <c r="B2636"/>
    </row>
    <row r="2637" spans="1:2" x14ac:dyDescent="0.25">
      <c r="A2637"/>
      <c r="B2637"/>
    </row>
    <row r="2638" spans="1:2" x14ac:dyDescent="0.25">
      <c r="A2638"/>
      <c r="B2638"/>
    </row>
    <row r="2639" spans="1:2" x14ac:dyDescent="0.25">
      <c r="A2639"/>
      <c r="B2639"/>
    </row>
    <row r="2640" spans="1:2" x14ac:dyDescent="0.25">
      <c r="A2640"/>
      <c r="B2640"/>
    </row>
    <row r="2641" spans="1:2" x14ac:dyDescent="0.25">
      <c r="A2641"/>
      <c r="B2641"/>
    </row>
    <row r="2642" spans="1:2" x14ac:dyDescent="0.25">
      <c r="A2642"/>
      <c r="B2642"/>
    </row>
    <row r="2643" spans="1:2" x14ac:dyDescent="0.25">
      <c r="A2643"/>
      <c r="B2643"/>
    </row>
    <row r="2644" spans="1:2" x14ac:dyDescent="0.25">
      <c r="A2644"/>
      <c r="B2644"/>
    </row>
    <row r="2645" spans="1:2" x14ac:dyDescent="0.25">
      <c r="A2645"/>
      <c r="B2645"/>
    </row>
    <row r="2646" spans="1:2" x14ac:dyDescent="0.25">
      <c r="A2646"/>
      <c r="B2646"/>
    </row>
    <row r="2647" spans="1:2" x14ac:dyDescent="0.25">
      <c r="A2647"/>
      <c r="B2647"/>
    </row>
    <row r="2648" spans="1:2" x14ac:dyDescent="0.25">
      <c r="A2648"/>
      <c r="B2648"/>
    </row>
    <row r="2649" spans="1:2" x14ac:dyDescent="0.25">
      <c r="A2649"/>
      <c r="B2649"/>
    </row>
    <row r="2650" spans="1:2" x14ac:dyDescent="0.25">
      <c r="A2650"/>
      <c r="B2650"/>
    </row>
    <row r="2651" spans="1:2" x14ac:dyDescent="0.25">
      <c r="A2651"/>
      <c r="B2651"/>
    </row>
    <row r="2652" spans="1:2" x14ac:dyDescent="0.25">
      <c r="A2652"/>
      <c r="B2652"/>
    </row>
    <row r="2653" spans="1:2" x14ac:dyDescent="0.25">
      <c r="A2653"/>
      <c r="B2653"/>
    </row>
    <row r="2654" spans="1:2" x14ac:dyDescent="0.25">
      <c r="A2654"/>
      <c r="B2654"/>
    </row>
    <row r="2655" spans="1:2" x14ac:dyDescent="0.25">
      <c r="A2655"/>
      <c r="B2655"/>
    </row>
    <row r="2656" spans="1:2" x14ac:dyDescent="0.25">
      <c r="A2656"/>
      <c r="B2656"/>
    </row>
    <row r="2657" spans="1:2" x14ac:dyDescent="0.25">
      <c r="A2657"/>
      <c r="B2657"/>
    </row>
    <row r="2658" spans="1:2" x14ac:dyDescent="0.25">
      <c r="A2658"/>
      <c r="B2658"/>
    </row>
    <row r="2659" spans="1:2" x14ac:dyDescent="0.25">
      <c r="A2659"/>
      <c r="B2659"/>
    </row>
    <row r="2660" spans="1:2" x14ac:dyDescent="0.25">
      <c r="A2660"/>
      <c r="B2660"/>
    </row>
    <row r="2661" spans="1:2" x14ac:dyDescent="0.25">
      <c r="A2661"/>
      <c r="B2661"/>
    </row>
    <row r="2662" spans="1:2" x14ac:dyDescent="0.25">
      <c r="A2662"/>
      <c r="B2662"/>
    </row>
    <row r="2663" spans="1:2" x14ac:dyDescent="0.25">
      <c r="A2663"/>
      <c r="B2663"/>
    </row>
    <row r="2664" spans="1:2" x14ac:dyDescent="0.25">
      <c r="A2664"/>
      <c r="B2664"/>
    </row>
    <row r="2665" spans="1:2" x14ac:dyDescent="0.25">
      <c r="A2665"/>
      <c r="B2665"/>
    </row>
    <row r="2666" spans="1:2" x14ac:dyDescent="0.25">
      <c r="A2666"/>
      <c r="B2666"/>
    </row>
    <row r="2667" spans="1:2" x14ac:dyDescent="0.25">
      <c r="A2667"/>
      <c r="B2667"/>
    </row>
    <row r="2668" spans="1:2" x14ac:dyDescent="0.25">
      <c r="A2668"/>
      <c r="B2668"/>
    </row>
    <row r="2669" spans="1:2" x14ac:dyDescent="0.25">
      <c r="A2669"/>
      <c r="B2669"/>
    </row>
    <row r="2670" spans="1:2" x14ac:dyDescent="0.25">
      <c r="A2670"/>
      <c r="B2670"/>
    </row>
    <row r="2671" spans="1:2" x14ac:dyDescent="0.25">
      <c r="A2671"/>
      <c r="B2671"/>
    </row>
    <row r="2672" spans="1:2" x14ac:dyDescent="0.25">
      <c r="A2672"/>
      <c r="B2672"/>
    </row>
    <row r="2673" spans="1:2" x14ac:dyDescent="0.25">
      <c r="A2673"/>
      <c r="B2673"/>
    </row>
    <row r="2674" spans="1:2" x14ac:dyDescent="0.25">
      <c r="A2674"/>
      <c r="B2674"/>
    </row>
    <row r="2675" spans="1:2" x14ac:dyDescent="0.25">
      <c r="A2675"/>
      <c r="B2675"/>
    </row>
    <row r="2676" spans="1:2" x14ac:dyDescent="0.25">
      <c r="A2676"/>
      <c r="B2676"/>
    </row>
    <row r="2677" spans="1:2" x14ac:dyDescent="0.25">
      <c r="A2677"/>
      <c r="B2677"/>
    </row>
    <row r="2678" spans="1:2" x14ac:dyDescent="0.25">
      <c r="A2678"/>
      <c r="B2678"/>
    </row>
    <row r="2679" spans="1:2" x14ac:dyDescent="0.25">
      <c r="A2679"/>
      <c r="B2679"/>
    </row>
    <row r="2680" spans="1:2" x14ac:dyDescent="0.25">
      <c r="A2680"/>
      <c r="B2680"/>
    </row>
    <row r="2681" spans="1:2" x14ac:dyDescent="0.25">
      <c r="A2681"/>
      <c r="B2681"/>
    </row>
    <row r="2682" spans="1:2" x14ac:dyDescent="0.25">
      <c r="A2682"/>
      <c r="B2682"/>
    </row>
    <row r="2683" spans="1:2" x14ac:dyDescent="0.25">
      <c r="A2683"/>
      <c r="B2683"/>
    </row>
    <row r="2684" spans="1:2" x14ac:dyDescent="0.25">
      <c r="A2684"/>
      <c r="B2684"/>
    </row>
    <row r="2685" spans="1:2" x14ac:dyDescent="0.25">
      <c r="A2685"/>
      <c r="B2685"/>
    </row>
    <row r="2686" spans="1:2" x14ac:dyDescent="0.25">
      <c r="A2686"/>
      <c r="B2686"/>
    </row>
    <row r="2687" spans="1:2" x14ac:dyDescent="0.25">
      <c r="A2687"/>
      <c r="B2687"/>
    </row>
    <row r="2688" spans="1:2" x14ac:dyDescent="0.25">
      <c r="A2688"/>
      <c r="B2688"/>
    </row>
    <row r="2689" spans="1:2" x14ac:dyDescent="0.25">
      <c r="A2689"/>
      <c r="B2689"/>
    </row>
    <row r="2690" spans="1:2" x14ac:dyDescent="0.25">
      <c r="A2690"/>
      <c r="B2690"/>
    </row>
    <row r="2691" spans="1:2" x14ac:dyDescent="0.25">
      <c r="A2691"/>
      <c r="B2691"/>
    </row>
    <row r="2692" spans="1:2" x14ac:dyDescent="0.25">
      <c r="A2692"/>
      <c r="B2692"/>
    </row>
    <row r="2693" spans="1:2" x14ac:dyDescent="0.25">
      <c r="A2693"/>
      <c r="B2693"/>
    </row>
    <row r="2694" spans="1:2" x14ac:dyDescent="0.25">
      <c r="A2694"/>
      <c r="B2694"/>
    </row>
    <row r="2695" spans="1:2" x14ac:dyDescent="0.25">
      <c r="A2695"/>
      <c r="B2695"/>
    </row>
    <row r="2696" spans="1:2" x14ac:dyDescent="0.25">
      <c r="A2696"/>
      <c r="B2696"/>
    </row>
    <row r="2697" spans="1:2" x14ac:dyDescent="0.25">
      <c r="A2697"/>
      <c r="B2697"/>
    </row>
    <row r="2698" spans="1:2" x14ac:dyDescent="0.25">
      <c r="A2698"/>
      <c r="B2698"/>
    </row>
    <row r="2699" spans="1:2" x14ac:dyDescent="0.25">
      <c r="A2699"/>
      <c r="B2699"/>
    </row>
    <row r="2700" spans="1:2" x14ac:dyDescent="0.25">
      <c r="A2700"/>
      <c r="B2700"/>
    </row>
    <row r="2701" spans="1:2" x14ac:dyDescent="0.25">
      <c r="A2701"/>
      <c r="B2701"/>
    </row>
    <row r="2702" spans="1:2" x14ac:dyDescent="0.25">
      <c r="A2702"/>
      <c r="B2702"/>
    </row>
    <row r="2703" spans="1:2" x14ac:dyDescent="0.25">
      <c r="A2703"/>
      <c r="B2703"/>
    </row>
    <row r="2704" spans="1:2" x14ac:dyDescent="0.25">
      <c r="A2704"/>
      <c r="B2704"/>
    </row>
    <row r="2705" spans="1:2" x14ac:dyDescent="0.25">
      <c r="A2705"/>
      <c r="B2705"/>
    </row>
    <row r="2706" spans="1:2" x14ac:dyDescent="0.25">
      <c r="A2706"/>
      <c r="B2706"/>
    </row>
    <row r="2707" spans="1:2" x14ac:dyDescent="0.25">
      <c r="A2707"/>
      <c r="B2707"/>
    </row>
    <row r="2708" spans="1:2" x14ac:dyDescent="0.25">
      <c r="A2708"/>
      <c r="B2708"/>
    </row>
    <row r="2709" spans="1:2" x14ac:dyDescent="0.25">
      <c r="A2709"/>
      <c r="B2709"/>
    </row>
    <row r="2710" spans="1:2" x14ac:dyDescent="0.25">
      <c r="A2710"/>
      <c r="B2710"/>
    </row>
    <row r="2711" spans="1:2" x14ac:dyDescent="0.25">
      <c r="A2711"/>
      <c r="B2711"/>
    </row>
    <row r="2712" spans="1:2" x14ac:dyDescent="0.25">
      <c r="A2712"/>
      <c r="B2712"/>
    </row>
    <row r="2713" spans="1:2" x14ac:dyDescent="0.25">
      <c r="A2713"/>
      <c r="B2713"/>
    </row>
    <row r="2714" spans="1:2" x14ac:dyDescent="0.25">
      <c r="A2714"/>
      <c r="B2714"/>
    </row>
    <row r="2715" spans="1:2" x14ac:dyDescent="0.25">
      <c r="A2715"/>
      <c r="B2715"/>
    </row>
    <row r="2716" spans="1:2" x14ac:dyDescent="0.25">
      <c r="A2716"/>
      <c r="B2716"/>
    </row>
    <row r="2717" spans="1:2" x14ac:dyDescent="0.25">
      <c r="A2717"/>
      <c r="B2717"/>
    </row>
    <row r="2718" spans="1:2" x14ac:dyDescent="0.25">
      <c r="A2718"/>
      <c r="B2718"/>
    </row>
    <row r="2719" spans="1:2" x14ac:dyDescent="0.25">
      <c r="A2719"/>
      <c r="B2719"/>
    </row>
    <row r="2720" spans="1:2" x14ac:dyDescent="0.25">
      <c r="A2720"/>
      <c r="B2720"/>
    </row>
    <row r="2721" spans="1:2" x14ac:dyDescent="0.25">
      <c r="A2721"/>
      <c r="B2721"/>
    </row>
    <row r="2722" spans="1:2" x14ac:dyDescent="0.25">
      <c r="A2722"/>
      <c r="B2722"/>
    </row>
    <row r="2723" spans="1:2" x14ac:dyDescent="0.25">
      <c r="A2723"/>
      <c r="B2723"/>
    </row>
    <row r="2724" spans="1:2" x14ac:dyDescent="0.25">
      <c r="A2724"/>
      <c r="B2724"/>
    </row>
    <row r="2725" spans="1:2" x14ac:dyDescent="0.25">
      <c r="A2725"/>
      <c r="B2725"/>
    </row>
    <row r="2726" spans="1:2" x14ac:dyDescent="0.25">
      <c r="A2726"/>
      <c r="B2726"/>
    </row>
    <row r="2727" spans="1:2" x14ac:dyDescent="0.25">
      <c r="A2727"/>
      <c r="B2727"/>
    </row>
    <row r="2728" spans="1:2" x14ac:dyDescent="0.25">
      <c r="A2728"/>
      <c r="B2728"/>
    </row>
    <row r="2729" spans="1:2" x14ac:dyDescent="0.25">
      <c r="A2729"/>
      <c r="B2729"/>
    </row>
    <row r="2730" spans="1:2" x14ac:dyDescent="0.25">
      <c r="A2730"/>
      <c r="B2730"/>
    </row>
    <row r="2731" spans="1:2" x14ac:dyDescent="0.25">
      <c r="A2731"/>
      <c r="B2731"/>
    </row>
    <row r="2732" spans="1:2" x14ac:dyDescent="0.25">
      <c r="A2732"/>
      <c r="B2732"/>
    </row>
    <row r="2733" spans="1:2" x14ac:dyDescent="0.25">
      <c r="A2733"/>
      <c r="B2733"/>
    </row>
    <row r="2734" spans="1:2" x14ac:dyDescent="0.25">
      <c r="A2734"/>
      <c r="B2734"/>
    </row>
    <row r="2735" spans="1:2" x14ac:dyDescent="0.25">
      <c r="A2735"/>
      <c r="B2735"/>
    </row>
    <row r="2736" spans="1:2" x14ac:dyDescent="0.25">
      <c r="A2736"/>
      <c r="B2736"/>
    </row>
    <row r="2737" spans="1:2" x14ac:dyDescent="0.25">
      <c r="A2737"/>
      <c r="B2737"/>
    </row>
    <row r="2738" spans="1:2" x14ac:dyDescent="0.25">
      <c r="A2738"/>
      <c r="B2738"/>
    </row>
    <row r="2739" spans="1:2" x14ac:dyDescent="0.25">
      <c r="A2739"/>
      <c r="B2739"/>
    </row>
    <row r="2740" spans="1:2" x14ac:dyDescent="0.25">
      <c r="A2740"/>
      <c r="B2740"/>
    </row>
    <row r="2741" spans="1:2" x14ac:dyDescent="0.25">
      <c r="A2741"/>
      <c r="B2741"/>
    </row>
    <row r="2742" spans="1:2" x14ac:dyDescent="0.25">
      <c r="A2742"/>
      <c r="B2742"/>
    </row>
    <row r="2743" spans="1:2" x14ac:dyDescent="0.25">
      <c r="A2743"/>
      <c r="B2743"/>
    </row>
    <row r="2744" spans="1:2" x14ac:dyDescent="0.25">
      <c r="A2744"/>
      <c r="B2744"/>
    </row>
    <row r="2745" spans="1:2" x14ac:dyDescent="0.25">
      <c r="A2745"/>
      <c r="B2745"/>
    </row>
    <row r="2746" spans="1:2" x14ac:dyDescent="0.25">
      <c r="A2746"/>
      <c r="B2746"/>
    </row>
    <row r="2747" spans="1:2" x14ac:dyDescent="0.25">
      <c r="A2747"/>
      <c r="B2747"/>
    </row>
    <row r="2748" spans="1:2" x14ac:dyDescent="0.25">
      <c r="A2748"/>
      <c r="B2748"/>
    </row>
    <row r="2749" spans="1:2" x14ac:dyDescent="0.25">
      <c r="A2749"/>
      <c r="B2749"/>
    </row>
    <row r="2750" spans="1:2" x14ac:dyDescent="0.25">
      <c r="A2750"/>
      <c r="B2750"/>
    </row>
    <row r="2751" spans="1:2" x14ac:dyDescent="0.25">
      <c r="A2751"/>
      <c r="B2751"/>
    </row>
    <row r="2752" spans="1:2" x14ac:dyDescent="0.25">
      <c r="A2752"/>
      <c r="B2752"/>
    </row>
    <row r="2753" spans="1:2" x14ac:dyDescent="0.25">
      <c r="A2753"/>
      <c r="B2753"/>
    </row>
    <row r="2754" spans="1:2" x14ac:dyDescent="0.25">
      <c r="A2754"/>
      <c r="B2754"/>
    </row>
    <row r="2755" spans="1:2" x14ac:dyDescent="0.25">
      <c r="A2755"/>
      <c r="B2755"/>
    </row>
    <row r="2756" spans="1:2" x14ac:dyDescent="0.25">
      <c r="A2756"/>
      <c r="B2756"/>
    </row>
    <row r="2757" spans="1:2" x14ac:dyDescent="0.25">
      <c r="A2757"/>
      <c r="B2757"/>
    </row>
    <row r="2758" spans="1:2" x14ac:dyDescent="0.25">
      <c r="A2758"/>
      <c r="B2758"/>
    </row>
    <row r="2759" spans="1:2" x14ac:dyDescent="0.25">
      <c r="A2759"/>
      <c r="B2759"/>
    </row>
    <row r="2760" spans="1:2" x14ac:dyDescent="0.25">
      <c r="A2760"/>
      <c r="B2760"/>
    </row>
    <row r="2761" spans="1:2" x14ac:dyDescent="0.25">
      <c r="A2761"/>
      <c r="B2761"/>
    </row>
    <row r="2762" spans="1:2" x14ac:dyDescent="0.25">
      <c r="A2762"/>
      <c r="B2762"/>
    </row>
    <row r="2763" spans="1:2" x14ac:dyDescent="0.25">
      <c r="A2763"/>
      <c r="B2763"/>
    </row>
    <row r="2764" spans="1:2" x14ac:dyDescent="0.25">
      <c r="A2764"/>
      <c r="B2764"/>
    </row>
    <row r="2765" spans="1:2" x14ac:dyDescent="0.25">
      <c r="A2765"/>
      <c r="B2765"/>
    </row>
    <row r="2766" spans="1:2" x14ac:dyDescent="0.25">
      <c r="A2766"/>
      <c r="B2766"/>
    </row>
    <row r="2767" spans="1:2" x14ac:dyDescent="0.25">
      <c r="A2767"/>
      <c r="B2767"/>
    </row>
    <row r="2768" spans="1:2" x14ac:dyDescent="0.25">
      <c r="A2768"/>
      <c r="B2768"/>
    </row>
    <row r="2769" spans="1:2" x14ac:dyDescent="0.25">
      <c r="A2769"/>
      <c r="B2769"/>
    </row>
    <row r="2770" spans="1:2" x14ac:dyDescent="0.25">
      <c r="A2770"/>
      <c r="B2770"/>
    </row>
    <row r="2771" spans="1:2" x14ac:dyDescent="0.25">
      <c r="A2771"/>
      <c r="B2771"/>
    </row>
    <row r="2772" spans="1:2" x14ac:dyDescent="0.25">
      <c r="A2772"/>
      <c r="B2772"/>
    </row>
    <row r="2773" spans="1:2" x14ac:dyDescent="0.25">
      <c r="A2773"/>
      <c r="B2773"/>
    </row>
    <row r="2774" spans="1:2" x14ac:dyDescent="0.25">
      <c r="A2774"/>
      <c r="B2774"/>
    </row>
    <row r="2775" spans="1:2" x14ac:dyDescent="0.25">
      <c r="A2775"/>
      <c r="B2775"/>
    </row>
    <row r="2776" spans="1:2" x14ac:dyDescent="0.25">
      <c r="A2776"/>
      <c r="B2776"/>
    </row>
    <row r="2777" spans="1:2" x14ac:dyDescent="0.25">
      <c r="A2777"/>
      <c r="B2777"/>
    </row>
    <row r="2778" spans="1:2" x14ac:dyDescent="0.25">
      <c r="A2778"/>
      <c r="B2778"/>
    </row>
    <row r="2779" spans="1:2" x14ac:dyDescent="0.25">
      <c r="A2779"/>
      <c r="B2779"/>
    </row>
    <row r="2780" spans="1:2" x14ac:dyDescent="0.25">
      <c r="A2780"/>
      <c r="B2780"/>
    </row>
    <row r="2781" spans="1:2" x14ac:dyDescent="0.25">
      <c r="A2781"/>
      <c r="B2781"/>
    </row>
    <row r="2782" spans="1:2" x14ac:dyDescent="0.25">
      <c r="A2782"/>
      <c r="B2782"/>
    </row>
    <row r="2783" spans="1:2" x14ac:dyDescent="0.25">
      <c r="A2783"/>
      <c r="B2783"/>
    </row>
    <row r="2784" spans="1:2" x14ac:dyDescent="0.25">
      <c r="A2784"/>
      <c r="B2784"/>
    </row>
    <row r="2785" spans="1:2" x14ac:dyDescent="0.25">
      <c r="A2785"/>
      <c r="B2785"/>
    </row>
    <row r="2786" spans="1:2" x14ac:dyDescent="0.25">
      <c r="A2786"/>
      <c r="B2786"/>
    </row>
    <row r="2787" spans="1:2" x14ac:dyDescent="0.25">
      <c r="A2787"/>
      <c r="B2787"/>
    </row>
    <row r="2788" spans="1:2" x14ac:dyDescent="0.25">
      <c r="A2788"/>
      <c r="B2788"/>
    </row>
    <row r="2789" spans="1:2" x14ac:dyDescent="0.25">
      <c r="A2789"/>
      <c r="B2789"/>
    </row>
    <row r="2790" spans="1:2" x14ac:dyDescent="0.25">
      <c r="A2790"/>
      <c r="B2790"/>
    </row>
    <row r="2791" spans="1:2" x14ac:dyDescent="0.25">
      <c r="A2791"/>
      <c r="B2791"/>
    </row>
    <row r="2792" spans="1:2" x14ac:dyDescent="0.25">
      <c r="A2792"/>
      <c r="B2792"/>
    </row>
    <row r="2793" spans="1:2" x14ac:dyDescent="0.25">
      <c r="A2793"/>
      <c r="B2793"/>
    </row>
    <row r="2794" spans="1:2" x14ac:dyDescent="0.25">
      <c r="A2794"/>
      <c r="B2794"/>
    </row>
    <row r="2795" spans="1:2" x14ac:dyDescent="0.25">
      <c r="A2795"/>
      <c r="B2795"/>
    </row>
    <row r="2796" spans="1:2" x14ac:dyDescent="0.25">
      <c r="A2796"/>
      <c r="B2796"/>
    </row>
    <row r="2797" spans="1:2" x14ac:dyDescent="0.25">
      <c r="A2797"/>
      <c r="B2797"/>
    </row>
    <row r="2798" spans="1:2" x14ac:dyDescent="0.25">
      <c r="A2798"/>
      <c r="B2798"/>
    </row>
    <row r="2799" spans="1:2" x14ac:dyDescent="0.25">
      <c r="A2799"/>
      <c r="B2799"/>
    </row>
    <row r="2800" spans="1:2" x14ac:dyDescent="0.25">
      <c r="A2800"/>
      <c r="B2800"/>
    </row>
    <row r="2801" spans="1:2" x14ac:dyDescent="0.25">
      <c r="A2801"/>
      <c r="B2801"/>
    </row>
    <row r="2802" spans="1:2" x14ac:dyDescent="0.25">
      <c r="A2802"/>
      <c r="B2802"/>
    </row>
    <row r="2803" spans="1:2" x14ac:dyDescent="0.25">
      <c r="A2803"/>
      <c r="B2803"/>
    </row>
    <row r="2804" spans="1:2" x14ac:dyDescent="0.25">
      <c r="A2804"/>
      <c r="B2804"/>
    </row>
    <row r="2805" spans="1:2" x14ac:dyDescent="0.25">
      <c r="A2805"/>
      <c r="B2805"/>
    </row>
    <row r="2806" spans="1:2" x14ac:dyDescent="0.25">
      <c r="A2806"/>
      <c r="B2806"/>
    </row>
    <row r="2807" spans="1:2" x14ac:dyDescent="0.25">
      <c r="A2807"/>
      <c r="B2807"/>
    </row>
    <row r="2808" spans="1:2" x14ac:dyDescent="0.25">
      <c r="A2808"/>
      <c r="B2808"/>
    </row>
    <row r="2809" spans="1:2" x14ac:dyDescent="0.25">
      <c r="A2809"/>
      <c r="B2809"/>
    </row>
    <row r="2810" spans="1:2" x14ac:dyDescent="0.25">
      <c r="A2810"/>
      <c r="B2810"/>
    </row>
    <row r="2811" spans="1:2" x14ac:dyDescent="0.25">
      <c r="A2811"/>
      <c r="B2811"/>
    </row>
    <row r="2812" spans="1:2" x14ac:dyDescent="0.25">
      <c r="A2812"/>
      <c r="B2812"/>
    </row>
    <row r="2813" spans="1:2" x14ac:dyDescent="0.25">
      <c r="A2813"/>
      <c r="B2813"/>
    </row>
    <row r="2814" spans="1:2" x14ac:dyDescent="0.25">
      <c r="A2814"/>
      <c r="B2814"/>
    </row>
    <row r="2815" spans="1:2" x14ac:dyDescent="0.25">
      <c r="A2815"/>
      <c r="B2815"/>
    </row>
    <row r="2816" spans="1:2" x14ac:dyDescent="0.25">
      <c r="A2816"/>
      <c r="B2816"/>
    </row>
    <row r="2817" spans="1:2" x14ac:dyDescent="0.25">
      <c r="A2817"/>
      <c r="B2817"/>
    </row>
    <row r="2818" spans="1:2" x14ac:dyDescent="0.25">
      <c r="A2818"/>
      <c r="B2818"/>
    </row>
    <row r="2819" spans="1:2" x14ac:dyDescent="0.25">
      <c r="A2819"/>
      <c r="B2819"/>
    </row>
    <row r="2820" spans="1:2" x14ac:dyDescent="0.25">
      <c r="A2820"/>
      <c r="B2820"/>
    </row>
    <row r="2821" spans="1:2" x14ac:dyDescent="0.25">
      <c r="A2821"/>
      <c r="B2821"/>
    </row>
    <row r="2822" spans="1:2" x14ac:dyDescent="0.25">
      <c r="A2822"/>
      <c r="B2822"/>
    </row>
    <row r="2823" spans="1:2" x14ac:dyDescent="0.25">
      <c r="A2823"/>
      <c r="B2823"/>
    </row>
    <row r="2824" spans="1:2" x14ac:dyDescent="0.25">
      <c r="A2824"/>
      <c r="B2824"/>
    </row>
    <row r="2825" spans="1:2" x14ac:dyDescent="0.25">
      <c r="A2825"/>
      <c r="B2825"/>
    </row>
    <row r="2826" spans="1:2" x14ac:dyDescent="0.25">
      <c r="A2826"/>
      <c r="B2826"/>
    </row>
    <row r="2827" spans="1:2" x14ac:dyDescent="0.25">
      <c r="A2827"/>
      <c r="B2827"/>
    </row>
    <row r="2828" spans="1:2" x14ac:dyDescent="0.25">
      <c r="A2828"/>
      <c r="B2828"/>
    </row>
    <row r="2829" spans="1:2" x14ac:dyDescent="0.25">
      <c r="A2829"/>
      <c r="B2829"/>
    </row>
    <row r="2830" spans="1:2" x14ac:dyDescent="0.25">
      <c r="A2830"/>
      <c r="B2830"/>
    </row>
    <row r="2831" spans="1:2" x14ac:dyDescent="0.25">
      <c r="A2831"/>
      <c r="B2831"/>
    </row>
    <row r="2832" spans="1:2" x14ac:dyDescent="0.25">
      <c r="A2832"/>
      <c r="B2832"/>
    </row>
    <row r="2833" spans="1:2" x14ac:dyDescent="0.25">
      <c r="A2833"/>
      <c r="B2833"/>
    </row>
    <row r="2834" spans="1:2" x14ac:dyDescent="0.25">
      <c r="A2834"/>
      <c r="B2834"/>
    </row>
    <row r="2835" spans="1:2" x14ac:dyDescent="0.25">
      <c r="A2835"/>
      <c r="B2835"/>
    </row>
    <row r="2836" spans="1:2" x14ac:dyDescent="0.25">
      <c r="A2836"/>
      <c r="B2836"/>
    </row>
    <row r="2837" spans="1:2" x14ac:dyDescent="0.25">
      <c r="A2837"/>
      <c r="B2837"/>
    </row>
    <row r="2838" spans="1:2" x14ac:dyDescent="0.25">
      <c r="A2838"/>
      <c r="B2838"/>
    </row>
    <row r="2839" spans="1:2" x14ac:dyDescent="0.25">
      <c r="A2839"/>
      <c r="B2839"/>
    </row>
    <row r="2840" spans="1:2" x14ac:dyDescent="0.25">
      <c r="A2840"/>
      <c r="B2840"/>
    </row>
    <row r="2841" spans="1:2" x14ac:dyDescent="0.25">
      <c r="A2841"/>
      <c r="B2841"/>
    </row>
    <row r="2842" spans="1:2" x14ac:dyDescent="0.25">
      <c r="A2842"/>
      <c r="B2842"/>
    </row>
    <row r="2843" spans="1:2" x14ac:dyDescent="0.25">
      <c r="A2843"/>
      <c r="B2843"/>
    </row>
    <row r="2844" spans="1:2" x14ac:dyDescent="0.25">
      <c r="A2844"/>
      <c r="B2844"/>
    </row>
    <row r="2845" spans="1:2" x14ac:dyDescent="0.25">
      <c r="A2845"/>
      <c r="B2845"/>
    </row>
    <row r="2846" spans="1:2" x14ac:dyDescent="0.25">
      <c r="A2846"/>
      <c r="B2846"/>
    </row>
    <row r="2847" spans="1:2" x14ac:dyDescent="0.25">
      <c r="A2847"/>
      <c r="B2847"/>
    </row>
    <row r="2848" spans="1:2" x14ac:dyDescent="0.25">
      <c r="A2848"/>
      <c r="B2848"/>
    </row>
    <row r="2849" spans="1:2" x14ac:dyDescent="0.25">
      <c r="A2849"/>
      <c r="B2849"/>
    </row>
    <row r="2850" spans="1:2" x14ac:dyDescent="0.25">
      <c r="A2850"/>
      <c r="B2850"/>
    </row>
    <row r="2851" spans="1:2" x14ac:dyDescent="0.25">
      <c r="A2851"/>
      <c r="B2851"/>
    </row>
    <row r="2852" spans="1:2" x14ac:dyDescent="0.25">
      <c r="A2852"/>
      <c r="B2852"/>
    </row>
    <row r="2853" spans="1:2" x14ac:dyDescent="0.25">
      <c r="A2853"/>
      <c r="B2853"/>
    </row>
    <row r="2854" spans="1:2" x14ac:dyDescent="0.25">
      <c r="A2854"/>
      <c r="B2854"/>
    </row>
    <row r="2855" spans="1:2" x14ac:dyDescent="0.25">
      <c r="A2855"/>
      <c r="B2855"/>
    </row>
    <row r="2856" spans="1:2" x14ac:dyDescent="0.25">
      <c r="A2856"/>
      <c r="B2856"/>
    </row>
    <row r="2857" spans="1:2" x14ac:dyDescent="0.25">
      <c r="A2857"/>
      <c r="B2857"/>
    </row>
    <row r="2858" spans="1:2" x14ac:dyDescent="0.25">
      <c r="A2858"/>
      <c r="B2858"/>
    </row>
    <row r="2859" spans="1:2" x14ac:dyDescent="0.25">
      <c r="A2859"/>
      <c r="B2859"/>
    </row>
    <row r="2860" spans="1:2" x14ac:dyDescent="0.25">
      <c r="A2860"/>
      <c r="B2860"/>
    </row>
    <row r="2861" spans="1:2" x14ac:dyDescent="0.25">
      <c r="A2861"/>
      <c r="B2861"/>
    </row>
    <row r="2862" spans="1:2" x14ac:dyDescent="0.25">
      <c r="A2862"/>
      <c r="B2862"/>
    </row>
    <row r="2863" spans="1:2" x14ac:dyDescent="0.25">
      <c r="A2863"/>
      <c r="B2863"/>
    </row>
    <row r="2864" spans="1:2" x14ac:dyDescent="0.25">
      <c r="A2864"/>
      <c r="B2864"/>
    </row>
    <row r="2865" spans="1:2" x14ac:dyDescent="0.25">
      <c r="A2865"/>
      <c r="B2865"/>
    </row>
    <row r="2866" spans="1:2" x14ac:dyDescent="0.25">
      <c r="A2866"/>
      <c r="B2866"/>
    </row>
    <row r="2867" spans="1:2" x14ac:dyDescent="0.25">
      <c r="A2867"/>
      <c r="B2867"/>
    </row>
    <row r="2868" spans="1:2" x14ac:dyDescent="0.25">
      <c r="A2868"/>
      <c r="B2868"/>
    </row>
    <row r="2869" spans="1:2" x14ac:dyDescent="0.25">
      <c r="A2869"/>
      <c r="B2869"/>
    </row>
    <row r="2870" spans="1:2" x14ac:dyDescent="0.25">
      <c r="A2870"/>
      <c r="B2870"/>
    </row>
    <row r="2871" spans="1:2" x14ac:dyDescent="0.25">
      <c r="A2871"/>
      <c r="B2871"/>
    </row>
    <row r="2872" spans="1:2" x14ac:dyDescent="0.25">
      <c r="A2872"/>
      <c r="B2872"/>
    </row>
    <row r="2873" spans="1:2" x14ac:dyDescent="0.25">
      <c r="A2873"/>
      <c r="B2873"/>
    </row>
    <row r="2874" spans="1:2" x14ac:dyDescent="0.25">
      <c r="A2874"/>
      <c r="B2874"/>
    </row>
    <row r="2875" spans="1:2" x14ac:dyDescent="0.25">
      <c r="A2875"/>
      <c r="B2875"/>
    </row>
    <row r="2876" spans="1:2" x14ac:dyDescent="0.25">
      <c r="A2876"/>
      <c r="B2876"/>
    </row>
    <row r="2877" spans="1:2" x14ac:dyDescent="0.25">
      <c r="A2877"/>
      <c r="B2877"/>
    </row>
    <row r="2878" spans="1:2" x14ac:dyDescent="0.25">
      <c r="A2878"/>
      <c r="B2878"/>
    </row>
    <row r="2879" spans="1:2" x14ac:dyDescent="0.25">
      <c r="A2879"/>
      <c r="B2879"/>
    </row>
    <row r="2880" spans="1:2" x14ac:dyDescent="0.25">
      <c r="A2880"/>
      <c r="B2880"/>
    </row>
    <row r="2881" spans="1:2" x14ac:dyDescent="0.25">
      <c r="A2881"/>
      <c r="B2881"/>
    </row>
    <row r="2882" spans="1:2" x14ac:dyDescent="0.25">
      <c r="A2882"/>
      <c r="B2882"/>
    </row>
    <row r="2883" spans="1:2" x14ac:dyDescent="0.25">
      <c r="A2883"/>
      <c r="B2883"/>
    </row>
    <row r="2884" spans="1:2" x14ac:dyDescent="0.25">
      <c r="A2884"/>
      <c r="B2884"/>
    </row>
    <row r="2885" spans="1:2" x14ac:dyDescent="0.25">
      <c r="A2885"/>
      <c r="B2885"/>
    </row>
    <row r="2886" spans="1:2" x14ac:dyDescent="0.25">
      <c r="A2886"/>
      <c r="B2886"/>
    </row>
    <row r="2887" spans="1:2" x14ac:dyDescent="0.25">
      <c r="A2887"/>
      <c r="B2887"/>
    </row>
    <row r="2888" spans="1:2" x14ac:dyDescent="0.25">
      <c r="A2888"/>
      <c r="B2888"/>
    </row>
    <row r="2889" spans="1:2" x14ac:dyDescent="0.25">
      <c r="A2889"/>
      <c r="B2889"/>
    </row>
    <row r="2890" spans="1:2" x14ac:dyDescent="0.25">
      <c r="A2890"/>
      <c r="B2890"/>
    </row>
    <row r="2891" spans="1:2" x14ac:dyDescent="0.25">
      <c r="A2891"/>
      <c r="B2891"/>
    </row>
    <row r="2892" spans="1:2" x14ac:dyDescent="0.25">
      <c r="A2892"/>
      <c r="B2892"/>
    </row>
    <row r="2893" spans="1:2" x14ac:dyDescent="0.25">
      <c r="A2893"/>
      <c r="B2893"/>
    </row>
    <row r="2894" spans="1:2" x14ac:dyDescent="0.25">
      <c r="A2894"/>
      <c r="B2894"/>
    </row>
    <row r="2895" spans="1:2" x14ac:dyDescent="0.25">
      <c r="A2895"/>
      <c r="B2895"/>
    </row>
    <row r="2896" spans="1:2" x14ac:dyDescent="0.25">
      <c r="A2896"/>
      <c r="B2896"/>
    </row>
    <row r="2897" spans="1:2" x14ac:dyDescent="0.25">
      <c r="A2897"/>
      <c r="B2897"/>
    </row>
    <row r="2898" spans="1:2" x14ac:dyDescent="0.25">
      <c r="A2898"/>
      <c r="B2898"/>
    </row>
    <row r="2899" spans="1:2" x14ac:dyDescent="0.25">
      <c r="A2899"/>
      <c r="B2899"/>
    </row>
    <row r="2900" spans="1:2" x14ac:dyDescent="0.25">
      <c r="A2900"/>
      <c r="B2900"/>
    </row>
    <row r="2901" spans="1:2" x14ac:dyDescent="0.25">
      <c r="A2901"/>
      <c r="B2901"/>
    </row>
    <row r="2902" spans="1:2" x14ac:dyDescent="0.25">
      <c r="A2902"/>
      <c r="B2902"/>
    </row>
    <row r="2903" spans="1:2" x14ac:dyDescent="0.25">
      <c r="A2903"/>
      <c r="B2903"/>
    </row>
    <row r="2904" spans="1:2" x14ac:dyDescent="0.25">
      <c r="A2904"/>
      <c r="B2904"/>
    </row>
    <row r="2905" spans="1:2" x14ac:dyDescent="0.25">
      <c r="A2905"/>
      <c r="B2905"/>
    </row>
    <row r="2906" spans="1:2" x14ac:dyDescent="0.25">
      <c r="A2906"/>
      <c r="B2906"/>
    </row>
    <row r="2907" spans="1:2" x14ac:dyDescent="0.25">
      <c r="A2907"/>
      <c r="B2907"/>
    </row>
    <row r="2908" spans="1:2" x14ac:dyDescent="0.25">
      <c r="A2908"/>
      <c r="B2908"/>
    </row>
    <row r="2909" spans="1:2" x14ac:dyDescent="0.25">
      <c r="A2909"/>
      <c r="B2909"/>
    </row>
    <row r="2910" spans="1:2" x14ac:dyDescent="0.25">
      <c r="A2910"/>
      <c r="B2910"/>
    </row>
    <row r="2911" spans="1:2" x14ac:dyDescent="0.25">
      <c r="A2911"/>
      <c r="B2911"/>
    </row>
    <row r="2912" spans="1:2" x14ac:dyDescent="0.25">
      <c r="A2912"/>
      <c r="B2912"/>
    </row>
    <row r="2913" spans="1:2" x14ac:dyDescent="0.25">
      <c r="A2913"/>
      <c r="B2913"/>
    </row>
    <row r="2914" spans="1:2" x14ac:dyDescent="0.25">
      <c r="A2914"/>
      <c r="B2914"/>
    </row>
    <row r="2915" spans="1:2" x14ac:dyDescent="0.25">
      <c r="A2915"/>
      <c r="B2915"/>
    </row>
    <row r="2916" spans="1:2" x14ac:dyDescent="0.25">
      <c r="A2916"/>
      <c r="B2916"/>
    </row>
    <row r="2917" spans="1:2" x14ac:dyDescent="0.25">
      <c r="A2917"/>
      <c r="B2917"/>
    </row>
    <row r="2918" spans="1:2" x14ac:dyDescent="0.25">
      <c r="A2918"/>
      <c r="B2918"/>
    </row>
    <row r="2919" spans="1:2" x14ac:dyDescent="0.25">
      <c r="A2919"/>
      <c r="B2919"/>
    </row>
    <row r="2920" spans="1:2" x14ac:dyDescent="0.25">
      <c r="A2920"/>
      <c r="B2920"/>
    </row>
    <row r="2921" spans="1:2" x14ac:dyDescent="0.25">
      <c r="A2921"/>
      <c r="B2921"/>
    </row>
    <row r="2922" spans="1:2" x14ac:dyDescent="0.25">
      <c r="A2922"/>
      <c r="B2922"/>
    </row>
    <row r="2923" spans="1:2" x14ac:dyDescent="0.25">
      <c r="A2923"/>
      <c r="B2923"/>
    </row>
    <row r="2924" spans="1:2" x14ac:dyDescent="0.25">
      <c r="A2924"/>
      <c r="B2924"/>
    </row>
    <row r="2925" spans="1:2" x14ac:dyDescent="0.25">
      <c r="A2925"/>
      <c r="B2925"/>
    </row>
    <row r="2926" spans="1:2" x14ac:dyDescent="0.25">
      <c r="A2926"/>
      <c r="B2926"/>
    </row>
    <row r="2927" spans="1:2" x14ac:dyDescent="0.25">
      <c r="A2927"/>
      <c r="B2927"/>
    </row>
    <row r="2928" spans="1:2" x14ac:dyDescent="0.25">
      <c r="A2928"/>
      <c r="B2928"/>
    </row>
    <row r="2929" spans="1:2" x14ac:dyDescent="0.25">
      <c r="A2929"/>
      <c r="B2929"/>
    </row>
    <row r="2930" spans="1:2" x14ac:dyDescent="0.25">
      <c r="A2930"/>
      <c r="B2930"/>
    </row>
    <row r="2931" spans="1:2" x14ac:dyDescent="0.25">
      <c r="A2931"/>
      <c r="B2931"/>
    </row>
    <row r="2932" spans="1:2" x14ac:dyDescent="0.25">
      <c r="A2932"/>
      <c r="B2932"/>
    </row>
    <row r="2933" spans="1:2" x14ac:dyDescent="0.25">
      <c r="A2933"/>
      <c r="B2933"/>
    </row>
    <row r="2934" spans="1:2" x14ac:dyDescent="0.25">
      <c r="A2934"/>
      <c r="B2934"/>
    </row>
    <row r="2935" spans="1:2" x14ac:dyDescent="0.25">
      <c r="A2935"/>
      <c r="B2935"/>
    </row>
    <row r="2936" spans="1:2" x14ac:dyDescent="0.25">
      <c r="A2936"/>
      <c r="B2936"/>
    </row>
    <row r="2937" spans="1:2" x14ac:dyDescent="0.25">
      <c r="A2937"/>
      <c r="B2937"/>
    </row>
    <row r="2938" spans="1:2" x14ac:dyDescent="0.25">
      <c r="A2938"/>
      <c r="B2938"/>
    </row>
    <row r="2939" spans="1:2" x14ac:dyDescent="0.25">
      <c r="A2939"/>
      <c r="B2939"/>
    </row>
    <row r="2940" spans="1:2" x14ac:dyDescent="0.25">
      <c r="A2940"/>
      <c r="B2940"/>
    </row>
    <row r="2941" spans="1:2" x14ac:dyDescent="0.25">
      <c r="A2941"/>
      <c r="B2941"/>
    </row>
    <row r="2942" spans="1:2" x14ac:dyDescent="0.25">
      <c r="A2942"/>
      <c r="B2942"/>
    </row>
    <row r="2943" spans="1:2" x14ac:dyDescent="0.25">
      <c r="A2943"/>
      <c r="B2943"/>
    </row>
    <row r="2944" spans="1:2" x14ac:dyDescent="0.25">
      <c r="A2944"/>
      <c r="B2944"/>
    </row>
    <row r="2945" spans="1:2" x14ac:dyDescent="0.25">
      <c r="A2945"/>
      <c r="B2945"/>
    </row>
    <row r="2946" spans="1:2" x14ac:dyDescent="0.25">
      <c r="A2946"/>
      <c r="B2946"/>
    </row>
    <row r="2947" spans="1:2" x14ac:dyDescent="0.25">
      <c r="A2947"/>
      <c r="B2947"/>
    </row>
    <row r="2948" spans="1:2" x14ac:dyDescent="0.25">
      <c r="A2948"/>
      <c r="B2948"/>
    </row>
    <row r="2949" spans="1:2" x14ac:dyDescent="0.25">
      <c r="A2949"/>
      <c r="B2949"/>
    </row>
    <row r="2950" spans="1:2" x14ac:dyDescent="0.25">
      <c r="A2950"/>
      <c r="B2950"/>
    </row>
    <row r="2951" spans="1:2" x14ac:dyDescent="0.25">
      <c r="A2951"/>
      <c r="B2951"/>
    </row>
    <row r="2952" spans="1:2" x14ac:dyDescent="0.25">
      <c r="A2952"/>
      <c r="B2952"/>
    </row>
    <row r="2953" spans="1:2" x14ac:dyDescent="0.25">
      <c r="A2953"/>
      <c r="B2953"/>
    </row>
    <row r="2954" spans="1:2" x14ac:dyDescent="0.25">
      <c r="A2954"/>
      <c r="B2954"/>
    </row>
    <row r="2955" spans="1:2" x14ac:dyDescent="0.25">
      <c r="A2955"/>
      <c r="B2955"/>
    </row>
    <row r="2956" spans="1:2" x14ac:dyDescent="0.25">
      <c r="A2956"/>
      <c r="B2956"/>
    </row>
    <row r="2957" spans="1:2" x14ac:dyDescent="0.25">
      <c r="A2957"/>
      <c r="B2957"/>
    </row>
    <row r="2958" spans="1:2" x14ac:dyDescent="0.25">
      <c r="A2958"/>
      <c r="B2958"/>
    </row>
    <row r="2959" spans="1:2" x14ac:dyDescent="0.25">
      <c r="A2959"/>
      <c r="B2959"/>
    </row>
    <row r="2960" spans="1:2" x14ac:dyDescent="0.25">
      <c r="A2960"/>
      <c r="B2960"/>
    </row>
    <row r="2961" spans="1:2" x14ac:dyDescent="0.25">
      <c r="A2961"/>
      <c r="B2961"/>
    </row>
    <row r="2962" spans="1:2" x14ac:dyDescent="0.25">
      <c r="A2962"/>
      <c r="B2962"/>
    </row>
    <row r="2963" spans="1:2" x14ac:dyDescent="0.25">
      <c r="A2963"/>
      <c r="B2963"/>
    </row>
    <row r="2964" spans="1:2" x14ac:dyDescent="0.25">
      <c r="A2964"/>
      <c r="B2964"/>
    </row>
    <row r="2965" spans="1:2" x14ac:dyDescent="0.25">
      <c r="A2965"/>
      <c r="B2965"/>
    </row>
    <row r="2966" spans="1:2" x14ac:dyDescent="0.25">
      <c r="A2966"/>
      <c r="B2966"/>
    </row>
    <row r="2967" spans="1:2" x14ac:dyDescent="0.25">
      <c r="A2967"/>
      <c r="B2967"/>
    </row>
    <row r="2968" spans="1:2" x14ac:dyDescent="0.25">
      <c r="A2968"/>
      <c r="B2968"/>
    </row>
    <row r="2969" spans="1:2" x14ac:dyDescent="0.25">
      <c r="A2969"/>
      <c r="B2969"/>
    </row>
    <row r="2970" spans="1:2" x14ac:dyDescent="0.25">
      <c r="A2970"/>
      <c r="B2970"/>
    </row>
    <row r="2971" spans="1:2" x14ac:dyDescent="0.25">
      <c r="A2971"/>
      <c r="B2971"/>
    </row>
    <row r="2972" spans="1:2" x14ac:dyDescent="0.25">
      <c r="A2972"/>
      <c r="B2972"/>
    </row>
    <row r="2973" spans="1:2" x14ac:dyDescent="0.25">
      <c r="A2973"/>
      <c r="B2973"/>
    </row>
    <row r="2974" spans="1:2" x14ac:dyDescent="0.25">
      <c r="A2974"/>
      <c r="B2974"/>
    </row>
    <row r="2975" spans="1:2" x14ac:dyDescent="0.25">
      <c r="A2975"/>
      <c r="B2975"/>
    </row>
    <row r="2976" spans="1:2" x14ac:dyDescent="0.25">
      <c r="A2976"/>
      <c r="B2976"/>
    </row>
    <row r="2977" spans="1:2" x14ac:dyDescent="0.25">
      <c r="A2977"/>
      <c r="B2977"/>
    </row>
    <row r="2978" spans="1:2" x14ac:dyDescent="0.25">
      <c r="A2978"/>
      <c r="B2978"/>
    </row>
    <row r="2979" spans="1:2" x14ac:dyDescent="0.25">
      <c r="A2979"/>
      <c r="B2979"/>
    </row>
    <row r="2980" spans="1:2" x14ac:dyDescent="0.25">
      <c r="A2980"/>
      <c r="B2980"/>
    </row>
    <row r="2981" spans="1:2" x14ac:dyDescent="0.25">
      <c r="A2981"/>
      <c r="B2981"/>
    </row>
    <row r="2982" spans="1:2" x14ac:dyDescent="0.25">
      <c r="A2982"/>
      <c r="B2982"/>
    </row>
    <row r="2983" spans="1:2" x14ac:dyDescent="0.25">
      <c r="A2983"/>
      <c r="B2983"/>
    </row>
    <row r="2984" spans="1:2" x14ac:dyDescent="0.25">
      <c r="A2984"/>
      <c r="B2984"/>
    </row>
    <row r="2985" spans="1:2" x14ac:dyDescent="0.25">
      <c r="A2985"/>
      <c r="B2985"/>
    </row>
    <row r="2986" spans="1:2" x14ac:dyDescent="0.25">
      <c r="A2986"/>
      <c r="B2986"/>
    </row>
    <row r="2987" spans="1:2" x14ac:dyDescent="0.25">
      <c r="A2987"/>
      <c r="B2987"/>
    </row>
    <row r="2988" spans="1:2" x14ac:dyDescent="0.25">
      <c r="A2988"/>
      <c r="B2988"/>
    </row>
    <row r="2989" spans="1:2" x14ac:dyDescent="0.25">
      <c r="A2989"/>
      <c r="B2989"/>
    </row>
    <row r="2990" spans="1:2" x14ac:dyDescent="0.25">
      <c r="A2990"/>
      <c r="B2990"/>
    </row>
    <row r="2991" spans="1:2" x14ac:dyDescent="0.25">
      <c r="A2991"/>
      <c r="B2991"/>
    </row>
    <row r="2992" spans="1:2" x14ac:dyDescent="0.25">
      <c r="A2992"/>
      <c r="B2992"/>
    </row>
    <row r="2993" spans="1:2" x14ac:dyDescent="0.25">
      <c r="A2993"/>
      <c r="B2993"/>
    </row>
    <row r="2994" spans="1:2" x14ac:dyDescent="0.25">
      <c r="A2994"/>
      <c r="B2994"/>
    </row>
    <row r="2995" spans="1:2" x14ac:dyDescent="0.25">
      <c r="A2995"/>
      <c r="B2995"/>
    </row>
    <row r="2996" spans="1:2" x14ac:dyDescent="0.25">
      <c r="A2996"/>
      <c r="B2996"/>
    </row>
    <row r="2997" spans="1:2" x14ac:dyDescent="0.25">
      <c r="A2997"/>
      <c r="B2997"/>
    </row>
    <row r="2998" spans="1:2" x14ac:dyDescent="0.25">
      <c r="A2998"/>
      <c r="B2998"/>
    </row>
    <row r="2999" spans="1:2" x14ac:dyDescent="0.25">
      <c r="A2999"/>
      <c r="B2999"/>
    </row>
    <row r="3000" spans="1:2" x14ac:dyDescent="0.25">
      <c r="A3000"/>
      <c r="B3000"/>
    </row>
    <row r="3001" spans="1:2" x14ac:dyDescent="0.25">
      <c r="A3001"/>
      <c r="B3001"/>
    </row>
    <row r="3002" spans="1:2" x14ac:dyDescent="0.25">
      <c r="A3002"/>
      <c r="B3002"/>
    </row>
    <row r="3003" spans="1:2" x14ac:dyDescent="0.25">
      <c r="A3003"/>
      <c r="B3003"/>
    </row>
    <row r="3004" spans="1:2" x14ac:dyDescent="0.25">
      <c r="A3004"/>
      <c r="B3004"/>
    </row>
    <row r="3005" spans="1:2" x14ac:dyDescent="0.25">
      <c r="A3005"/>
      <c r="B3005"/>
    </row>
    <row r="3006" spans="1:2" x14ac:dyDescent="0.25">
      <c r="A3006"/>
      <c r="B3006"/>
    </row>
    <row r="3007" spans="1:2" x14ac:dyDescent="0.25">
      <c r="A3007"/>
      <c r="B3007"/>
    </row>
    <row r="3008" spans="1:2" x14ac:dyDescent="0.25">
      <c r="A3008"/>
      <c r="B3008"/>
    </row>
    <row r="3009" spans="1:2" x14ac:dyDescent="0.25">
      <c r="A3009"/>
      <c r="B3009"/>
    </row>
    <row r="3010" spans="1:2" x14ac:dyDescent="0.25">
      <c r="A3010"/>
      <c r="B3010"/>
    </row>
    <row r="3011" spans="1:2" x14ac:dyDescent="0.25">
      <c r="A3011"/>
      <c r="B3011"/>
    </row>
    <row r="3012" spans="1:2" x14ac:dyDescent="0.25">
      <c r="A3012"/>
      <c r="B3012"/>
    </row>
    <row r="3013" spans="1:2" x14ac:dyDescent="0.25">
      <c r="A3013"/>
      <c r="B3013"/>
    </row>
    <row r="3014" spans="1:2" x14ac:dyDescent="0.25">
      <c r="A3014"/>
      <c r="B3014"/>
    </row>
    <row r="3015" spans="1:2" x14ac:dyDescent="0.25">
      <c r="A3015"/>
      <c r="B3015"/>
    </row>
    <row r="3016" spans="1:2" x14ac:dyDescent="0.25">
      <c r="A3016"/>
      <c r="B3016"/>
    </row>
    <row r="3017" spans="1:2" x14ac:dyDescent="0.25">
      <c r="A3017"/>
      <c r="B3017"/>
    </row>
    <row r="3018" spans="1:2" x14ac:dyDescent="0.25">
      <c r="A3018"/>
      <c r="B3018"/>
    </row>
    <row r="3019" spans="1:2" x14ac:dyDescent="0.25">
      <c r="A3019"/>
      <c r="B3019"/>
    </row>
    <row r="3020" spans="1:2" x14ac:dyDescent="0.25">
      <c r="A3020"/>
      <c r="B3020"/>
    </row>
    <row r="3021" spans="1:2" x14ac:dyDescent="0.25">
      <c r="A3021"/>
      <c r="B3021"/>
    </row>
    <row r="3022" spans="1:2" x14ac:dyDescent="0.25">
      <c r="A3022"/>
      <c r="B3022"/>
    </row>
    <row r="3023" spans="1:2" x14ac:dyDescent="0.25">
      <c r="A3023"/>
      <c r="B3023"/>
    </row>
    <row r="3024" spans="1:2" x14ac:dyDescent="0.25">
      <c r="A3024"/>
      <c r="B3024"/>
    </row>
    <row r="3025" spans="1:2" x14ac:dyDescent="0.25">
      <c r="A3025"/>
      <c r="B3025"/>
    </row>
    <row r="3026" spans="1:2" x14ac:dyDescent="0.25">
      <c r="A3026"/>
      <c r="B3026"/>
    </row>
    <row r="3027" spans="1:2" x14ac:dyDescent="0.25">
      <c r="A3027"/>
      <c r="B3027"/>
    </row>
    <row r="3028" spans="1:2" x14ac:dyDescent="0.25">
      <c r="A3028"/>
      <c r="B3028"/>
    </row>
    <row r="3029" spans="1:2" x14ac:dyDescent="0.25">
      <c r="A3029"/>
      <c r="B3029"/>
    </row>
    <row r="3030" spans="1:2" x14ac:dyDescent="0.25">
      <c r="A3030"/>
      <c r="B3030"/>
    </row>
    <row r="3031" spans="1:2" x14ac:dyDescent="0.25">
      <c r="A3031"/>
      <c r="B3031"/>
    </row>
    <row r="3032" spans="1:2" x14ac:dyDescent="0.25">
      <c r="A3032"/>
      <c r="B3032"/>
    </row>
    <row r="3033" spans="1:2" x14ac:dyDescent="0.25">
      <c r="A3033"/>
      <c r="B3033"/>
    </row>
    <row r="3034" spans="1:2" x14ac:dyDescent="0.25">
      <c r="A3034"/>
      <c r="B3034"/>
    </row>
    <row r="3035" spans="1:2" x14ac:dyDescent="0.25">
      <c r="A3035"/>
      <c r="B3035"/>
    </row>
    <row r="3036" spans="1:2" x14ac:dyDescent="0.25">
      <c r="A3036"/>
      <c r="B3036"/>
    </row>
    <row r="3037" spans="1:2" x14ac:dyDescent="0.25">
      <c r="A3037"/>
      <c r="B3037"/>
    </row>
    <row r="3038" spans="1:2" x14ac:dyDescent="0.25">
      <c r="A3038"/>
      <c r="B3038"/>
    </row>
    <row r="3039" spans="1:2" x14ac:dyDescent="0.25">
      <c r="A3039"/>
      <c r="B3039"/>
    </row>
    <row r="3040" spans="1:2" x14ac:dyDescent="0.25">
      <c r="A3040"/>
      <c r="B3040"/>
    </row>
    <row r="3041" spans="1:2" x14ac:dyDescent="0.25">
      <c r="A3041"/>
      <c r="B3041"/>
    </row>
    <row r="3042" spans="1:2" x14ac:dyDescent="0.25">
      <c r="A3042"/>
      <c r="B3042"/>
    </row>
    <row r="3043" spans="1:2" x14ac:dyDescent="0.25">
      <c r="A3043"/>
      <c r="B3043"/>
    </row>
    <row r="3044" spans="1:2" x14ac:dyDescent="0.25">
      <c r="A3044"/>
      <c r="B3044"/>
    </row>
    <row r="3045" spans="1:2" x14ac:dyDescent="0.25">
      <c r="A3045"/>
      <c r="B3045"/>
    </row>
    <row r="3046" spans="1:2" x14ac:dyDescent="0.25">
      <c r="A3046"/>
      <c r="B3046"/>
    </row>
    <row r="3047" spans="1:2" x14ac:dyDescent="0.25">
      <c r="A3047"/>
      <c r="B3047"/>
    </row>
    <row r="3048" spans="1:2" x14ac:dyDescent="0.25">
      <c r="A3048"/>
      <c r="B3048"/>
    </row>
    <row r="3049" spans="1:2" x14ac:dyDescent="0.25">
      <c r="A3049"/>
      <c r="B3049"/>
    </row>
    <row r="3050" spans="1:2" x14ac:dyDescent="0.25">
      <c r="A3050"/>
      <c r="B3050"/>
    </row>
    <row r="3051" spans="1:2" x14ac:dyDescent="0.25">
      <c r="A3051"/>
      <c r="B3051"/>
    </row>
    <row r="3052" spans="1:2" x14ac:dyDescent="0.25">
      <c r="A3052"/>
      <c r="B3052"/>
    </row>
    <row r="3053" spans="1:2" x14ac:dyDescent="0.25">
      <c r="A3053"/>
      <c r="B3053"/>
    </row>
    <row r="3054" spans="1:2" x14ac:dyDescent="0.25">
      <c r="A3054"/>
      <c r="B3054"/>
    </row>
    <row r="3055" spans="1:2" x14ac:dyDescent="0.25">
      <c r="A3055"/>
      <c r="B3055"/>
    </row>
    <row r="3056" spans="1:2" x14ac:dyDescent="0.25">
      <c r="A3056"/>
      <c r="B3056"/>
    </row>
    <row r="3057" spans="1:2" x14ac:dyDescent="0.25">
      <c r="A3057"/>
      <c r="B3057"/>
    </row>
    <row r="3058" spans="1:2" x14ac:dyDescent="0.25">
      <c r="A3058"/>
      <c r="B3058"/>
    </row>
    <row r="3059" spans="1:2" x14ac:dyDescent="0.25">
      <c r="A3059"/>
      <c r="B3059"/>
    </row>
    <row r="3060" spans="1:2" x14ac:dyDescent="0.25">
      <c r="A3060"/>
      <c r="B3060"/>
    </row>
    <row r="3061" spans="1:2" x14ac:dyDescent="0.25">
      <c r="A3061"/>
      <c r="B3061"/>
    </row>
    <row r="3062" spans="1:2" x14ac:dyDescent="0.25">
      <c r="A3062"/>
      <c r="B3062"/>
    </row>
    <row r="3063" spans="1:2" x14ac:dyDescent="0.25">
      <c r="A3063"/>
      <c r="B3063"/>
    </row>
    <row r="3064" spans="1:2" x14ac:dyDescent="0.25">
      <c r="A3064"/>
      <c r="B3064"/>
    </row>
    <row r="3065" spans="1:2" x14ac:dyDescent="0.25">
      <c r="A3065"/>
      <c r="B3065"/>
    </row>
    <row r="3066" spans="1:2" x14ac:dyDescent="0.25">
      <c r="A3066"/>
      <c r="B3066"/>
    </row>
    <row r="3067" spans="1:2" x14ac:dyDescent="0.25">
      <c r="A3067"/>
      <c r="B3067"/>
    </row>
    <row r="3068" spans="1:2" x14ac:dyDescent="0.25">
      <c r="A3068"/>
      <c r="B3068"/>
    </row>
    <row r="3069" spans="1:2" x14ac:dyDescent="0.25">
      <c r="A3069"/>
      <c r="B3069"/>
    </row>
    <row r="3070" spans="1:2" x14ac:dyDescent="0.25">
      <c r="A3070"/>
      <c r="B3070"/>
    </row>
    <row r="3071" spans="1:2" x14ac:dyDescent="0.25">
      <c r="A3071"/>
      <c r="B3071"/>
    </row>
    <row r="3072" spans="1:2" x14ac:dyDescent="0.25">
      <c r="A3072"/>
      <c r="B3072"/>
    </row>
    <row r="3073" spans="1:2" x14ac:dyDescent="0.25">
      <c r="A3073"/>
      <c r="B3073"/>
    </row>
    <row r="3074" spans="1:2" x14ac:dyDescent="0.25">
      <c r="A3074"/>
      <c r="B3074"/>
    </row>
    <row r="3075" spans="1:2" x14ac:dyDescent="0.25">
      <c r="A3075"/>
      <c r="B3075"/>
    </row>
    <row r="3076" spans="1:2" x14ac:dyDescent="0.25">
      <c r="A3076"/>
      <c r="B3076"/>
    </row>
    <row r="3077" spans="1:2" x14ac:dyDescent="0.25">
      <c r="A3077"/>
      <c r="B3077"/>
    </row>
    <row r="3078" spans="1:2" x14ac:dyDescent="0.25">
      <c r="A3078"/>
      <c r="B3078"/>
    </row>
    <row r="3079" spans="1:2" x14ac:dyDescent="0.25">
      <c r="A3079"/>
      <c r="B3079"/>
    </row>
    <row r="3080" spans="1:2" x14ac:dyDescent="0.25">
      <c r="A3080"/>
      <c r="B3080"/>
    </row>
    <row r="3081" spans="1:2" x14ac:dyDescent="0.25">
      <c r="A3081"/>
      <c r="B3081"/>
    </row>
    <row r="3082" spans="1:2" x14ac:dyDescent="0.25">
      <c r="A3082"/>
      <c r="B3082"/>
    </row>
    <row r="3083" spans="1:2" x14ac:dyDescent="0.25">
      <c r="A3083"/>
      <c r="B3083"/>
    </row>
    <row r="3084" spans="1:2" x14ac:dyDescent="0.25">
      <c r="A3084"/>
      <c r="B3084"/>
    </row>
    <row r="3085" spans="1:2" x14ac:dyDescent="0.25">
      <c r="A3085"/>
      <c r="B3085"/>
    </row>
    <row r="3086" spans="1:2" x14ac:dyDescent="0.25">
      <c r="A3086"/>
      <c r="B3086"/>
    </row>
    <row r="3087" spans="1:2" x14ac:dyDescent="0.25">
      <c r="A3087"/>
      <c r="B3087"/>
    </row>
    <row r="3088" spans="1:2" x14ac:dyDescent="0.25">
      <c r="A3088"/>
      <c r="B3088"/>
    </row>
    <row r="3089" spans="1:2" x14ac:dyDescent="0.25">
      <c r="A3089"/>
      <c r="B3089"/>
    </row>
    <row r="3090" spans="1:2" x14ac:dyDescent="0.25">
      <c r="A3090"/>
      <c r="B3090"/>
    </row>
    <row r="3091" spans="1:2" x14ac:dyDescent="0.25">
      <c r="A3091"/>
      <c r="B3091"/>
    </row>
    <row r="3092" spans="1:2" x14ac:dyDescent="0.25">
      <c r="A3092"/>
      <c r="B3092"/>
    </row>
    <row r="3093" spans="1:2" x14ac:dyDescent="0.25">
      <c r="A3093"/>
      <c r="B3093"/>
    </row>
    <row r="3094" spans="1:2" x14ac:dyDescent="0.25">
      <c r="A3094"/>
      <c r="B3094"/>
    </row>
    <row r="3095" spans="1:2" x14ac:dyDescent="0.25">
      <c r="A3095"/>
      <c r="B3095"/>
    </row>
    <row r="3096" spans="1:2" x14ac:dyDescent="0.25">
      <c r="A3096"/>
      <c r="B3096"/>
    </row>
    <row r="3097" spans="1:2" x14ac:dyDescent="0.25">
      <c r="A3097"/>
      <c r="B3097"/>
    </row>
    <row r="3098" spans="1:2" x14ac:dyDescent="0.25">
      <c r="A3098"/>
      <c r="B3098"/>
    </row>
    <row r="3099" spans="1:2" x14ac:dyDescent="0.25">
      <c r="A3099"/>
      <c r="B3099"/>
    </row>
    <row r="3100" spans="1:2" x14ac:dyDescent="0.25">
      <c r="A3100"/>
      <c r="B3100"/>
    </row>
    <row r="3101" spans="1:2" x14ac:dyDescent="0.25">
      <c r="A3101"/>
      <c r="B3101"/>
    </row>
    <row r="3102" spans="1:2" x14ac:dyDescent="0.25">
      <c r="A3102"/>
      <c r="B3102"/>
    </row>
    <row r="3103" spans="1:2" x14ac:dyDescent="0.25">
      <c r="A3103"/>
      <c r="B3103"/>
    </row>
    <row r="3104" spans="1:2" x14ac:dyDescent="0.25">
      <c r="A3104"/>
      <c r="B3104"/>
    </row>
    <row r="3105" spans="1:2" x14ac:dyDescent="0.25">
      <c r="A3105"/>
      <c r="B3105"/>
    </row>
    <row r="3106" spans="1:2" x14ac:dyDescent="0.25">
      <c r="A3106"/>
      <c r="B3106"/>
    </row>
    <row r="3107" spans="1:2" x14ac:dyDescent="0.25">
      <c r="A3107"/>
      <c r="B3107"/>
    </row>
    <row r="3108" spans="1:2" x14ac:dyDescent="0.25">
      <c r="A3108"/>
      <c r="B3108"/>
    </row>
    <row r="3109" spans="1:2" x14ac:dyDescent="0.25">
      <c r="A3109"/>
      <c r="B3109"/>
    </row>
    <row r="3110" spans="1:2" x14ac:dyDescent="0.25">
      <c r="A3110"/>
      <c r="B3110"/>
    </row>
    <row r="3111" spans="1:2" x14ac:dyDescent="0.25">
      <c r="A3111"/>
      <c r="B3111"/>
    </row>
    <row r="3112" spans="1:2" x14ac:dyDescent="0.25">
      <c r="A3112"/>
      <c r="B3112"/>
    </row>
    <row r="3113" spans="1:2" x14ac:dyDescent="0.25">
      <c r="A3113"/>
      <c r="B3113"/>
    </row>
    <row r="3114" spans="1:2" x14ac:dyDescent="0.25">
      <c r="A3114"/>
      <c r="B3114"/>
    </row>
    <row r="3115" spans="1:2" x14ac:dyDescent="0.25">
      <c r="A3115"/>
      <c r="B3115"/>
    </row>
    <row r="3116" spans="1:2" x14ac:dyDescent="0.25">
      <c r="A3116"/>
      <c r="B3116"/>
    </row>
    <row r="3117" spans="1:2" x14ac:dyDescent="0.25">
      <c r="A3117"/>
      <c r="B3117"/>
    </row>
    <row r="3118" spans="1:2" x14ac:dyDescent="0.25">
      <c r="A3118"/>
      <c r="B3118"/>
    </row>
    <row r="3119" spans="1:2" x14ac:dyDescent="0.25">
      <c r="A3119"/>
      <c r="B3119"/>
    </row>
    <row r="3120" spans="1:2" x14ac:dyDescent="0.25">
      <c r="A3120"/>
      <c r="B3120"/>
    </row>
    <row r="3121" spans="1:2" x14ac:dyDescent="0.25">
      <c r="A3121"/>
      <c r="B3121"/>
    </row>
    <row r="3122" spans="1:2" x14ac:dyDescent="0.25">
      <c r="A3122"/>
      <c r="B3122"/>
    </row>
    <row r="3123" spans="1:2" x14ac:dyDescent="0.25">
      <c r="A3123"/>
      <c r="B3123"/>
    </row>
    <row r="3124" spans="1:2" x14ac:dyDescent="0.25">
      <c r="A3124"/>
      <c r="B3124"/>
    </row>
    <row r="3125" spans="1:2" x14ac:dyDescent="0.25">
      <c r="A3125"/>
      <c r="B3125"/>
    </row>
    <row r="3126" spans="1:2" x14ac:dyDescent="0.25">
      <c r="A3126"/>
      <c r="B3126"/>
    </row>
    <row r="3127" spans="1:2" x14ac:dyDescent="0.25">
      <c r="A3127"/>
      <c r="B3127"/>
    </row>
    <row r="3128" spans="1:2" x14ac:dyDescent="0.25">
      <c r="A3128"/>
      <c r="B3128"/>
    </row>
    <row r="3129" spans="1:2" x14ac:dyDescent="0.25">
      <c r="A3129"/>
      <c r="B3129"/>
    </row>
    <row r="3130" spans="1:2" x14ac:dyDescent="0.25">
      <c r="A3130"/>
      <c r="B3130"/>
    </row>
    <row r="3131" spans="1:2" x14ac:dyDescent="0.25">
      <c r="A3131"/>
      <c r="B3131"/>
    </row>
    <row r="3132" spans="1:2" x14ac:dyDescent="0.25">
      <c r="A3132"/>
      <c r="B3132"/>
    </row>
    <row r="3133" spans="1:2" x14ac:dyDescent="0.25">
      <c r="A3133"/>
      <c r="B3133"/>
    </row>
    <row r="3134" spans="1:2" x14ac:dyDescent="0.25">
      <c r="A3134"/>
      <c r="B3134"/>
    </row>
    <row r="3135" spans="1:2" x14ac:dyDescent="0.25">
      <c r="A3135"/>
      <c r="B3135"/>
    </row>
    <row r="3136" spans="1:2" x14ac:dyDescent="0.25">
      <c r="A3136"/>
      <c r="B3136"/>
    </row>
    <row r="3137" spans="1:2" x14ac:dyDescent="0.25">
      <c r="A3137"/>
      <c r="B3137"/>
    </row>
    <row r="3138" spans="1:2" x14ac:dyDescent="0.25">
      <c r="A3138"/>
      <c r="B3138"/>
    </row>
    <row r="3139" spans="1:2" x14ac:dyDescent="0.25">
      <c r="A3139"/>
      <c r="B3139"/>
    </row>
    <row r="3140" spans="1:2" x14ac:dyDescent="0.25">
      <c r="A3140"/>
      <c r="B3140"/>
    </row>
    <row r="3141" spans="1:2" x14ac:dyDescent="0.25">
      <c r="A3141"/>
      <c r="B3141"/>
    </row>
    <row r="3142" spans="1:2" x14ac:dyDescent="0.25">
      <c r="A3142"/>
      <c r="B3142"/>
    </row>
    <row r="3143" spans="1:2" x14ac:dyDescent="0.25">
      <c r="A3143"/>
      <c r="B3143"/>
    </row>
    <row r="3144" spans="1:2" x14ac:dyDescent="0.25">
      <c r="A3144"/>
      <c r="B3144"/>
    </row>
    <row r="3145" spans="1:2" x14ac:dyDescent="0.25">
      <c r="A3145"/>
      <c r="B3145"/>
    </row>
    <row r="3146" spans="1:2" x14ac:dyDescent="0.25">
      <c r="A3146"/>
      <c r="B3146"/>
    </row>
    <row r="3147" spans="1:2" x14ac:dyDescent="0.25">
      <c r="A3147"/>
      <c r="B3147"/>
    </row>
    <row r="3148" spans="1:2" x14ac:dyDescent="0.25">
      <c r="A3148"/>
      <c r="B3148"/>
    </row>
    <row r="3149" spans="1:2" x14ac:dyDescent="0.25">
      <c r="A3149"/>
      <c r="B3149"/>
    </row>
    <row r="3150" spans="1:2" x14ac:dyDescent="0.25">
      <c r="A3150"/>
      <c r="B3150"/>
    </row>
    <row r="3151" spans="1:2" x14ac:dyDescent="0.25">
      <c r="A3151"/>
      <c r="B3151"/>
    </row>
    <row r="3152" spans="1:2" x14ac:dyDescent="0.25">
      <c r="A3152"/>
      <c r="B3152"/>
    </row>
    <row r="3153" spans="1:2" x14ac:dyDescent="0.25">
      <c r="A3153"/>
      <c r="B3153"/>
    </row>
    <row r="3154" spans="1:2" x14ac:dyDescent="0.25">
      <c r="A3154"/>
      <c r="B3154"/>
    </row>
    <row r="3155" spans="1:2" x14ac:dyDescent="0.25">
      <c r="A3155"/>
      <c r="B3155"/>
    </row>
    <row r="3156" spans="1:2" x14ac:dyDescent="0.25">
      <c r="A3156"/>
      <c r="B3156"/>
    </row>
    <row r="3157" spans="1:2" x14ac:dyDescent="0.25">
      <c r="A3157"/>
      <c r="B3157"/>
    </row>
    <row r="3158" spans="1:2" x14ac:dyDescent="0.25">
      <c r="A3158"/>
      <c r="B3158"/>
    </row>
    <row r="3159" spans="1:2" x14ac:dyDescent="0.25">
      <c r="A3159"/>
      <c r="B3159"/>
    </row>
    <row r="3160" spans="1:2" x14ac:dyDescent="0.25">
      <c r="A3160"/>
      <c r="B3160"/>
    </row>
    <row r="3161" spans="1:2" x14ac:dyDescent="0.25">
      <c r="A3161"/>
      <c r="B3161"/>
    </row>
    <row r="3162" spans="1:2" x14ac:dyDescent="0.25">
      <c r="A3162"/>
      <c r="B3162"/>
    </row>
    <row r="3163" spans="1:2" x14ac:dyDescent="0.25">
      <c r="A3163"/>
      <c r="B3163"/>
    </row>
    <row r="3164" spans="1:2" x14ac:dyDescent="0.25">
      <c r="A3164"/>
      <c r="B3164"/>
    </row>
    <row r="3165" spans="1:2" x14ac:dyDescent="0.25">
      <c r="A3165"/>
      <c r="B3165"/>
    </row>
    <row r="3166" spans="1:2" x14ac:dyDescent="0.25">
      <c r="A3166"/>
      <c r="B3166"/>
    </row>
    <row r="3167" spans="1:2" x14ac:dyDescent="0.25">
      <c r="A3167"/>
      <c r="B3167"/>
    </row>
    <row r="3168" spans="1:2" x14ac:dyDescent="0.25">
      <c r="A3168"/>
      <c r="B3168"/>
    </row>
    <row r="3169" spans="1:2" x14ac:dyDescent="0.25">
      <c r="A3169"/>
      <c r="B3169"/>
    </row>
    <row r="3170" spans="1:2" x14ac:dyDescent="0.25">
      <c r="A3170"/>
      <c r="B3170"/>
    </row>
    <row r="3171" spans="1:2" x14ac:dyDescent="0.25">
      <c r="A3171"/>
      <c r="B3171"/>
    </row>
    <row r="3172" spans="1:2" x14ac:dyDescent="0.25">
      <c r="A3172"/>
      <c r="B3172"/>
    </row>
    <row r="3173" spans="1:2" x14ac:dyDescent="0.25">
      <c r="A3173"/>
      <c r="B3173"/>
    </row>
    <row r="3174" spans="1:2" x14ac:dyDescent="0.25">
      <c r="A3174"/>
      <c r="B3174"/>
    </row>
    <row r="3175" spans="1:2" x14ac:dyDescent="0.25">
      <c r="A3175"/>
      <c r="B3175"/>
    </row>
    <row r="3176" spans="1:2" x14ac:dyDescent="0.25">
      <c r="A3176"/>
      <c r="B3176"/>
    </row>
    <row r="3177" spans="1:2" x14ac:dyDescent="0.25">
      <c r="A3177"/>
      <c r="B3177"/>
    </row>
    <row r="3178" spans="1:2" x14ac:dyDescent="0.25">
      <c r="A3178"/>
      <c r="B3178"/>
    </row>
    <row r="3179" spans="1:2" x14ac:dyDescent="0.25">
      <c r="A3179"/>
      <c r="B3179"/>
    </row>
    <row r="3180" spans="1:2" x14ac:dyDescent="0.25">
      <c r="A3180"/>
      <c r="B3180"/>
    </row>
    <row r="3181" spans="1:2" x14ac:dyDescent="0.25">
      <c r="A3181"/>
      <c r="B3181"/>
    </row>
    <row r="3182" spans="1:2" x14ac:dyDescent="0.25">
      <c r="A3182"/>
      <c r="B3182"/>
    </row>
    <row r="3183" spans="1:2" x14ac:dyDescent="0.25">
      <c r="A3183"/>
      <c r="B3183"/>
    </row>
    <row r="3184" spans="1:2" x14ac:dyDescent="0.25">
      <c r="A3184"/>
      <c r="B3184"/>
    </row>
    <row r="3185" spans="1:2" x14ac:dyDescent="0.25">
      <c r="A3185"/>
      <c r="B3185"/>
    </row>
    <row r="3186" spans="1:2" x14ac:dyDescent="0.25">
      <c r="A3186"/>
      <c r="B3186"/>
    </row>
    <row r="3187" spans="1:2" x14ac:dyDescent="0.25">
      <c r="A3187"/>
      <c r="B3187"/>
    </row>
    <row r="3188" spans="1:2" x14ac:dyDescent="0.25">
      <c r="A3188"/>
      <c r="B3188"/>
    </row>
    <row r="3189" spans="1:2" x14ac:dyDescent="0.25">
      <c r="A3189"/>
      <c r="B3189"/>
    </row>
    <row r="3190" spans="1:2" x14ac:dyDescent="0.25">
      <c r="A3190"/>
      <c r="B3190"/>
    </row>
    <row r="3191" spans="1:2" x14ac:dyDescent="0.25">
      <c r="A3191"/>
      <c r="B3191"/>
    </row>
    <row r="3192" spans="1:2" x14ac:dyDescent="0.25">
      <c r="A3192"/>
      <c r="B3192"/>
    </row>
    <row r="3193" spans="1:2" x14ac:dyDescent="0.25">
      <c r="A3193"/>
      <c r="B3193"/>
    </row>
    <row r="3194" spans="1:2" x14ac:dyDescent="0.25">
      <c r="A3194"/>
      <c r="B3194"/>
    </row>
    <row r="3195" spans="1:2" x14ac:dyDescent="0.25">
      <c r="A3195"/>
      <c r="B3195"/>
    </row>
    <row r="3196" spans="1:2" x14ac:dyDescent="0.25">
      <c r="A3196"/>
      <c r="B3196"/>
    </row>
    <row r="3197" spans="1:2" x14ac:dyDescent="0.25">
      <c r="A3197"/>
      <c r="B3197"/>
    </row>
    <row r="3198" spans="1:2" x14ac:dyDescent="0.25">
      <c r="A3198"/>
      <c r="B3198"/>
    </row>
    <row r="3199" spans="1:2" x14ac:dyDescent="0.25">
      <c r="A3199"/>
      <c r="B3199"/>
    </row>
    <row r="3200" spans="1:2" x14ac:dyDescent="0.25">
      <c r="A3200"/>
      <c r="B3200"/>
    </row>
    <row r="3201" spans="1:2" x14ac:dyDescent="0.25">
      <c r="A3201"/>
      <c r="B3201"/>
    </row>
    <row r="3202" spans="1:2" x14ac:dyDescent="0.25">
      <c r="A3202"/>
      <c r="B3202"/>
    </row>
    <row r="3203" spans="1:2" x14ac:dyDescent="0.25">
      <c r="A3203"/>
      <c r="B3203"/>
    </row>
    <row r="3204" spans="1:2" x14ac:dyDescent="0.25">
      <c r="A3204"/>
      <c r="B3204"/>
    </row>
    <row r="3205" spans="1:2" x14ac:dyDescent="0.25">
      <c r="A3205"/>
      <c r="B3205"/>
    </row>
    <row r="3206" spans="1:2" x14ac:dyDescent="0.25">
      <c r="A3206"/>
      <c r="B3206"/>
    </row>
    <row r="3207" spans="1:2" x14ac:dyDescent="0.25">
      <c r="A3207"/>
      <c r="B3207"/>
    </row>
    <row r="3208" spans="1:2" x14ac:dyDescent="0.25">
      <c r="A3208"/>
      <c r="B3208"/>
    </row>
    <row r="3209" spans="1:2" x14ac:dyDescent="0.25">
      <c r="A3209"/>
      <c r="B3209"/>
    </row>
    <row r="3210" spans="1:2" x14ac:dyDescent="0.25">
      <c r="A3210"/>
      <c r="B3210"/>
    </row>
    <row r="3211" spans="1:2" x14ac:dyDescent="0.25">
      <c r="A3211"/>
      <c r="B3211"/>
    </row>
    <row r="3212" spans="1:2" x14ac:dyDescent="0.25">
      <c r="A3212"/>
      <c r="B3212"/>
    </row>
    <row r="3213" spans="1:2" x14ac:dyDescent="0.25">
      <c r="A3213"/>
      <c r="B3213"/>
    </row>
    <row r="3214" spans="1:2" x14ac:dyDescent="0.25">
      <c r="A3214"/>
      <c r="B3214"/>
    </row>
    <row r="3215" spans="1:2" x14ac:dyDescent="0.25">
      <c r="A3215"/>
      <c r="B3215"/>
    </row>
    <row r="3216" spans="1:2" x14ac:dyDescent="0.25">
      <c r="A3216"/>
      <c r="B3216"/>
    </row>
    <row r="3217" spans="1:2" x14ac:dyDescent="0.25">
      <c r="A3217"/>
      <c r="B3217"/>
    </row>
    <row r="3218" spans="1:2" x14ac:dyDescent="0.25">
      <c r="A3218"/>
      <c r="B3218"/>
    </row>
    <row r="3219" spans="1:2" x14ac:dyDescent="0.25">
      <c r="A3219"/>
      <c r="B3219"/>
    </row>
    <row r="3220" spans="1:2" x14ac:dyDescent="0.25">
      <c r="A3220"/>
      <c r="B3220"/>
    </row>
    <row r="3221" spans="1:2" x14ac:dyDescent="0.25">
      <c r="A3221"/>
      <c r="B3221"/>
    </row>
    <row r="3222" spans="1:2" x14ac:dyDescent="0.25">
      <c r="A3222"/>
      <c r="B3222"/>
    </row>
    <row r="3223" spans="1:2" x14ac:dyDescent="0.25">
      <c r="A3223"/>
      <c r="B3223"/>
    </row>
    <row r="3224" spans="1:2" x14ac:dyDescent="0.25">
      <c r="A3224"/>
      <c r="B3224"/>
    </row>
    <row r="3225" spans="1:2" x14ac:dyDescent="0.25">
      <c r="A3225"/>
      <c r="B3225"/>
    </row>
    <row r="3226" spans="1:2" x14ac:dyDescent="0.25">
      <c r="A3226"/>
      <c r="B3226"/>
    </row>
    <row r="3227" spans="1:2" x14ac:dyDescent="0.25">
      <c r="A3227"/>
      <c r="B3227"/>
    </row>
    <row r="3228" spans="1:2" x14ac:dyDescent="0.25">
      <c r="A3228"/>
      <c r="B3228"/>
    </row>
    <row r="3229" spans="1:2" x14ac:dyDescent="0.25">
      <c r="A3229"/>
      <c r="B3229"/>
    </row>
    <row r="3230" spans="1:2" x14ac:dyDescent="0.25">
      <c r="A3230"/>
      <c r="B3230"/>
    </row>
    <row r="3231" spans="1:2" x14ac:dyDescent="0.25">
      <c r="A3231"/>
      <c r="B3231"/>
    </row>
    <row r="3232" spans="1:2" x14ac:dyDescent="0.25">
      <c r="A3232"/>
      <c r="B3232"/>
    </row>
    <row r="3233" spans="1:2" x14ac:dyDescent="0.25">
      <c r="A3233"/>
      <c r="B3233"/>
    </row>
    <row r="3234" spans="1:2" x14ac:dyDescent="0.25">
      <c r="A3234"/>
      <c r="B3234"/>
    </row>
    <row r="3235" spans="1:2" x14ac:dyDescent="0.25">
      <c r="A3235"/>
      <c r="B3235"/>
    </row>
    <row r="3236" spans="1:2" x14ac:dyDescent="0.25">
      <c r="A3236"/>
      <c r="B3236"/>
    </row>
    <row r="3237" spans="1:2" x14ac:dyDescent="0.25">
      <c r="A3237"/>
      <c r="B3237"/>
    </row>
    <row r="3238" spans="1:2" x14ac:dyDescent="0.25">
      <c r="A3238"/>
      <c r="B3238"/>
    </row>
    <row r="3239" spans="1:2" x14ac:dyDescent="0.25">
      <c r="A3239"/>
      <c r="B3239"/>
    </row>
    <row r="3240" spans="1:2" x14ac:dyDescent="0.25">
      <c r="A3240"/>
      <c r="B3240"/>
    </row>
    <row r="3241" spans="1:2" x14ac:dyDescent="0.25">
      <c r="A3241"/>
      <c r="B3241"/>
    </row>
    <row r="3242" spans="1:2" x14ac:dyDescent="0.25">
      <c r="A3242"/>
      <c r="B3242"/>
    </row>
    <row r="3243" spans="1:2" x14ac:dyDescent="0.25">
      <c r="A3243"/>
      <c r="B3243"/>
    </row>
    <row r="3244" spans="1:2" x14ac:dyDescent="0.25">
      <c r="A3244"/>
      <c r="B3244"/>
    </row>
    <row r="3245" spans="1:2" x14ac:dyDescent="0.25">
      <c r="A3245"/>
      <c r="B3245"/>
    </row>
    <row r="3246" spans="1:2" x14ac:dyDescent="0.25">
      <c r="A3246"/>
      <c r="B3246"/>
    </row>
    <row r="3247" spans="1:2" x14ac:dyDescent="0.25">
      <c r="A3247"/>
      <c r="B3247"/>
    </row>
    <row r="3248" spans="1:2" x14ac:dyDescent="0.25">
      <c r="A3248"/>
      <c r="B3248"/>
    </row>
    <row r="3249" spans="1:2" x14ac:dyDescent="0.25">
      <c r="A3249"/>
      <c r="B3249"/>
    </row>
    <row r="3250" spans="1:2" x14ac:dyDescent="0.25">
      <c r="A3250"/>
      <c r="B3250"/>
    </row>
    <row r="3251" spans="1:2" x14ac:dyDescent="0.25">
      <c r="A3251"/>
      <c r="B3251"/>
    </row>
    <row r="3252" spans="1:2" x14ac:dyDescent="0.25">
      <c r="A3252"/>
      <c r="B3252"/>
    </row>
    <row r="3253" spans="1:2" x14ac:dyDescent="0.25">
      <c r="A3253"/>
      <c r="B3253"/>
    </row>
    <row r="3254" spans="1:2" x14ac:dyDescent="0.25">
      <c r="A3254"/>
      <c r="B3254"/>
    </row>
    <row r="3255" spans="1:2" x14ac:dyDescent="0.25">
      <c r="A3255"/>
      <c r="B3255"/>
    </row>
    <row r="3256" spans="1:2" x14ac:dyDescent="0.25">
      <c r="A3256"/>
      <c r="B3256"/>
    </row>
    <row r="3257" spans="1:2" x14ac:dyDescent="0.25">
      <c r="A3257"/>
      <c r="B3257"/>
    </row>
    <row r="3258" spans="1:2" x14ac:dyDescent="0.25">
      <c r="A3258"/>
      <c r="B3258"/>
    </row>
    <row r="3259" spans="1:2" x14ac:dyDescent="0.25">
      <c r="A3259"/>
      <c r="B3259"/>
    </row>
    <row r="3260" spans="1:2" x14ac:dyDescent="0.25">
      <c r="A3260"/>
      <c r="B3260"/>
    </row>
    <row r="3261" spans="1:2" x14ac:dyDescent="0.25">
      <c r="A3261"/>
      <c r="B3261"/>
    </row>
    <row r="3262" spans="1:2" x14ac:dyDescent="0.25">
      <c r="A3262"/>
      <c r="B3262"/>
    </row>
    <row r="3263" spans="1:2" x14ac:dyDescent="0.25">
      <c r="A3263"/>
      <c r="B3263"/>
    </row>
    <row r="3264" spans="1:2" x14ac:dyDescent="0.25">
      <c r="A3264"/>
      <c r="B3264"/>
    </row>
    <row r="3265" spans="1:2" x14ac:dyDescent="0.25">
      <c r="A3265"/>
      <c r="B3265"/>
    </row>
    <row r="3266" spans="1:2" x14ac:dyDescent="0.25">
      <c r="A3266"/>
      <c r="B3266"/>
    </row>
    <row r="3267" spans="1:2" x14ac:dyDescent="0.25">
      <c r="A3267"/>
      <c r="B3267"/>
    </row>
    <row r="3268" spans="1:2" x14ac:dyDescent="0.25">
      <c r="A3268"/>
      <c r="B3268"/>
    </row>
    <row r="3269" spans="1:2" x14ac:dyDescent="0.25">
      <c r="A3269"/>
      <c r="B3269"/>
    </row>
    <row r="3270" spans="1:2" x14ac:dyDescent="0.25">
      <c r="A3270"/>
      <c r="B3270"/>
    </row>
    <row r="3271" spans="1:2" x14ac:dyDescent="0.25">
      <c r="A3271"/>
      <c r="B3271"/>
    </row>
    <row r="3272" spans="1:2" x14ac:dyDescent="0.25">
      <c r="A3272"/>
      <c r="B3272"/>
    </row>
    <row r="3273" spans="1:2" x14ac:dyDescent="0.25">
      <c r="A3273"/>
      <c r="B3273"/>
    </row>
    <row r="3274" spans="1:2" x14ac:dyDescent="0.25">
      <c r="A3274"/>
      <c r="B3274"/>
    </row>
    <row r="3275" spans="1:2" x14ac:dyDescent="0.25">
      <c r="A3275"/>
      <c r="B3275"/>
    </row>
    <row r="3276" spans="1:2" x14ac:dyDescent="0.25">
      <c r="A3276"/>
      <c r="B3276"/>
    </row>
    <row r="3277" spans="1:2" x14ac:dyDescent="0.25">
      <c r="A3277"/>
      <c r="B3277"/>
    </row>
    <row r="3278" spans="1:2" x14ac:dyDescent="0.25">
      <c r="A3278"/>
      <c r="B3278"/>
    </row>
    <row r="3279" spans="1:2" x14ac:dyDescent="0.25">
      <c r="A3279"/>
      <c r="B3279"/>
    </row>
    <row r="3280" spans="1:2" x14ac:dyDescent="0.25">
      <c r="A3280"/>
      <c r="B3280"/>
    </row>
    <row r="3281" spans="1:2" x14ac:dyDescent="0.25">
      <c r="A3281"/>
      <c r="B3281"/>
    </row>
    <row r="3282" spans="1:2" x14ac:dyDescent="0.25">
      <c r="A3282"/>
      <c r="B3282"/>
    </row>
    <row r="3283" spans="1:2" x14ac:dyDescent="0.25">
      <c r="A3283"/>
      <c r="B3283"/>
    </row>
    <row r="3284" spans="1:2" x14ac:dyDescent="0.25">
      <c r="A3284"/>
      <c r="B3284"/>
    </row>
    <row r="3285" spans="1:2" x14ac:dyDescent="0.25">
      <c r="A3285"/>
      <c r="B3285"/>
    </row>
    <row r="3286" spans="1:2" x14ac:dyDescent="0.25">
      <c r="A3286"/>
      <c r="B3286"/>
    </row>
    <row r="3287" spans="1:2" x14ac:dyDescent="0.25">
      <c r="A3287"/>
      <c r="B3287"/>
    </row>
    <row r="3288" spans="1:2" x14ac:dyDescent="0.25">
      <c r="A3288"/>
      <c r="B3288"/>
    </row>
    <row r="3289" spans="1:2" x14ac:dyDescent="0.25">
      <c r="A3289"/>
      <c r="B3289"/>
    </row>
    <row r="3290" spans="1:2" x14ac:dyDescent="0.25">
      <c r="A3290"/>
      <c r="B3290"/>
    </row>
    <row r="3291" spans="1:2" x14ac:dyDescent="0.25">
      <c r="A3291"/>
      <c r="B3291"/>
    </row>
    <row r="3292" spans="1:2" x14ac:dyDescent="0.25">
      <c r="A3292"/>
      <c r="B3292"/>
    </row>
    <row r="3293" spans="1:2" x14ac:dyDescent="0.25">
      <c r="A3293"/>
      <c r="B3293"/>
    </row>
    <row r="3294" spans="1:2" x14ac:dyDescent="0.25">
      <c r="A3294"/>
      <c r="B3294"/>
    </row>
    <row r="3295" spans="1:2" x14ac:dyDescent="0.25">
      <c r="A3295"/>
      <c r="B3295"/>
    </row>
    <row r="3296" spans="1:2" x14ac:dyDescent="0.25">
      <c r="A3296"/>
      <c r="B3296"/>
    </row>
    <row r="3297" spans="1:2" x14ac:dyDescent="0.25">
      <c r="A3297"/>
      <c r="B3297"/>
    </row>
    <row r="3298" spans="1:2" x14ac:dyDescent="0.25">
      <c r="A3298"/>
      <c r="B3298"/>
    </row>
    <row r="3299" spans="1:2" x14ac:dyDescent="0.25">
      <c r="A3299"/>
      <c r="B3299"/>
    </row>
    <row r="3300" spans="1:2" x14ac:dyDescent="0.25">
      <c r="A3300"/>
      <c r="B3300"/>
    </row>
    <row r="3301" spans="1:2" x14ac:dyDescent="0.25">
      <c r="A3301"/>
      <c r="B3301"/>
    </row>
    <row r="3302" spans="1:2" x14ac:dyDescent="0.25">
      <c r="A3302"/>
      <c r="B3302"/>
    </row>
    <row r="3303" spans="1:2" x14ac:dyDescent="0.25">
      <c r="A3303"/>
      <c r="B3303"/>
    </row>
    <row r="3304" spans="1:2" x14ac:dyDescent="0.25">
      <c r="A3304"/>
      <c r="B3304"/>
    </row>
    <row r="3305" spans="1:2" x14ac:dyDescent="0.25">
      <c r="A3305"/>
      <c r="B3305"/>
    </row>
    <row r="3306" spans="1:2" x14ac:dyDescent="0.25">
      <c r="A3306"/>
      <c r="B3306"/>
    </row>
    <row r="3307" spans="1:2" x14ac:dyDescent="0.25">
      <c r="A3307"/>
      <c r="B3307"/>
    </row>
    <row r="3308" spans="1:2" x14ac:dyDescent="0.25">
      <c r="A3308"/>
      <c r="B3308"/>
    </row>
    <row r="3309" spans="1:2" x14ac:dyDescent="0.25">
      <c r="A3309"/>
      <c r="B3309"/>
    </row>
    <row r="3310" spans="1:2" x14ac:dyDescent="0.25">
      <c r="A3310"/>
      <c r="B3310"/>
    </row>
    <row r="3311" spans="1:2" x14ac:dyDescent="0.25">
      <c r="A3311"/>
      <c r="B3311"/>
    </row>
    <row r="3312" spans="1:2" x14ac:dyDescent="0.25">
      <c r="A3312"/>
      <c r="B3312"/>
    </row>
    <row r="3313" spans="1:2" x14ac:dyDescent="0.25">
      <c r="A3313"/>
      <c r="B3313"/>
    </row>
    <row r="3314" spans="1:2" x14ac:dyDescent="0.25">
      <c r="A3314"/>
      <c r="B3314"/>
    </row>
    <row r="3315" spans="1:2" x14ac:dyDescent="0.25">
      <c r="A3315"/>
      <c r="B3315"/>
    </row>
    <row r="3316" spans="1:2" x14ac:dyDescent="0.25">
      <c r="A3316"/>
      <c r="B3316"/>
    </row>
    <row r="3317" spans="1:2" x14ac:dyDescent="0.25">
      <c r="A3317"/>
      <c r="B3317"/>
    </row>
    <row r="3318" spans="1:2" x14ac:dyDescent="0.25">
      <c r="A3318"/>
      <c r="B3318"/>
    </row>
    <row r="3319" spans="1:2" x14ac:dyDescent="0.25">
      <c r="A3319"/>
      <c r="B3319"/>
    </row>
    <row r="3320" spans="1:2" x14ac:dyDescent="0.25">
      <c r="A3320"/>
      <c r="B3320"/>
    </row>
    <row r="3321" spans="1:2" x14ac:dyDescent="0.25">
      <c r="A3321"/>
      <c r="B3321"/>
    </row>
    <row r="3322" spans="1:2" x14ac:dyDescent="0.25">
      <c r="A3322"/>
      <c r="B3322"/>
    </row>
    <row r="3323" spans="1:2" x14ac:dyDescent="0.25">
      <c r="A3323"/>
      <c r="B3323"/>
    </row>
    <row r="3324" spans="1:2" x14ac:dyDescent="0.25">
      <c r="A3324"/>
      <c r="B3324"/>
    </row>
    <row r="3325" spans="1:2" x14ac:dyDescent="0.25">
      <c r="A3325"/>
      <c r="B3325"/>
    </row>
    <row r="3326" spans="1:2" x14ac:dyDescent="0.25">
      <c r="A3326"/>
      <c r="B3326"/>
    </row>
    <row r="3327" spans="1:2" x14ac:dyDescent="0.25">
      <c r="A3327"/>
      <c r="B3327"/>
    </row>
    <row r="3328" spans="1:2" x14ac:dyDescent="0.25">
      <c r="A3328"/>
      <c r="B3328"/>
    </row>
    <row r="3329" spans="1:2" x14ac:dyDescent="0.25">
      <c r="A3329"/>
      <c r="B3329"/>
    </row>
    <row r="3330" spans="1:2" x14ac:dyDescent="0.25">
      <c r="A3330"/>
      <c r="B3330"/>
    </row>
    <row r="3331" spans="1:2" x14ac:dyDescent="0.25">
      <c r="A3331"/>
      <c r="B3331"/>
    </row>
    <row r="3332" spans="1:2" x14ac:dyDescent="0.25">
      <c r="A3332"/>
      <c r="B3332"/>
    </row>
    <row r="3333" spans="1:2" x14ac:dyDescent="0.25">
      <c r="A3333"/>
      <c r="B3333"/>
    </row>
    <row r="3334" spans="1:2" x14ac:dyDescent="0.25">
      <c r="A3334"/>
      <c r="B3334"/>
    </row>
    <row r="3335" spans="1:2" x14ac:dyDescent="0.25">
      <c r="A3335"/>
      <c r="B3335"/>
    </row>
    <row r="3336" spans="1:2" x14ac:dyDescent="0.25">
      <c r="A3336"/>
      <c r="B3336"/>
    </row>
    <row r="3337" spans="1:2" x14ac:dyDescent="0.25">
      <c r="A3337"/>
      <c r="B3337"/>
    </row>
    <row r="3338" spans="1:2" x14ac:dyDescent="0.25">
      <c r="A3338"/>
      <c r="B3338"/>
    </row>
    <row r="3339" spans="1:2" x14ac:dyDescent="0.25">
      <c r="A3339"/>
      <c r="B3339"/>
    </row>
    <row r="3340" spans="1:2" x14ac:dyDescent="0.25">
      <c r="A3340"/>
      <c r="B3340"/>
    </row>
    <row r="3341" spans="1:2" x14ac:dyDescent="0.25">
      <c r="A3341"/>
      <c r="B3341"/>
    </row>
    <row r="3342" spans="1:2" x14ac:dyDescent="0.25">
      <c r="A3342"/>
      <c r="B3342"/>
    </row>
    <row r="3343" spans="1:2" x14ac:dyDescent="0.25">
      <c r="A3343"/>
      <c r="B3343"/>
    </row>
    <row r="3344" spans="1:2" x14ac:dyDescent="0.25">
      <c r="A3344"/>
      <c r="B3344"/>
    </row>
    <row r="3345" spans="1:2" x14ac:dyDescent="0.25">
      <c r="A3345"/>
      <c r="B3345"/>
    </row>
    <row r="3346" spans="1:2" x14ac:dyDescent="0.25">
      <c r="A3346"/>
      <c r="B3346"/>
    </row>
    <row r="3347" spans="1:2" x14ac:dyDescent="0.25">
      <c r="A3347"/>
      <c r="B3347"/>
    </row>
    <row r="3348" spans="1:2" x14ac:dyDescent="0.25">
      <c r="A3348"/>
      <c r="B3348"/>
    </row>
    <row r="3349" spans="1:2" x14ac:dyDescent="0.25">
      <c r="A3349"/>
      <c r="B3349"/>
    </row>
    <row r="3350" spans="1:2" x14ac:dyDescent="0.25">
      <c r="A3350"/>
      <c r="B3350"/>
    </row>
    <row r="3351" spans="1:2" x14ac:dyDescent="0.25">
      <c r="A3351"/>
      <c r="B3351"/>
    </row>
    <row r="3352" spans="1:2" x14ac:dyDescent="0.25">
      <c r="A3352"/>
      <c r="B3352"/>
    </row>
    <row r="3353" spans="1:2" x14ac:dyDescent="0.25">
      <c r="A3353"/>
      <c r="B3353"/>
    </row>
    <row r="3354" spans="1:2" x14ac:dyDescent="0.25">
      <c r="A3354"/>
      <c r="B3354"/>
    </row>
    <row r="3355" spans="1:2" x14ac:dyDescent="0.25">
      <c r="A3355"/>
      <c r="B3355"/>
    </row>
    <row r="3356" spans="1:2" x14ac:dyDescent="0.25">
      <c r="A3356"/>
      <c r="B3356"/>
    </row>
    <row r="3357" spans="1:2" x14ac:dyDescent="0.25">
      <c r="A3357"/>
      <c r="B3357"/>
    </row>
    <row r="3358" spans="1:2" x14ac:dyDescent="0.25">
      <c r="A3358"/>
      <c r="B3358"/>
    </row>
    <row r="3359" spans="1:2" x14ac:dyDescent="0.25">
      <c r="A3359"/>
      <c r="B3359"/>
    </row>
    <row r="3360" spans="1:2" x14ac:dyDescent="0.25">
      <c r="A3360"/>
      <c r="B3360"/>
    </row>
    <row r="3361" spans="1:2" x14ac:dyDescent="0.25">
      <c r="A3361"/>
      <c r="B3361"/>
    </row>
    <row r="3362" spans="1:2" x14ac:dyDescent="0.25">
      <c r="A3362"/>
      <c r="B3362"/>
    </row>
    <row r="3363" spans="1:2" x14ac:dyDescent="0.25">
      <c r="A3363"/>
      <c r="B3363"/>
    </row>
    <row r="3364" spans="1:2" x14ac:dyDescent="0.25">
      <c r="A3364"/>
      <c r="B3364"/>
    </row>
    <row r="3365" spans="1:2" x14ac:dyDescent="0.25">
      <c r="A3365"/>
      <c r="B3365"/>
    </row>
    <row r="3366" spans="1:2" x14ac:dyDescent="0.25">
      <c r="A3366"/>
      <c r="B3366"/>
    </row>
    <row r="3367" spans="1:2" x14ac:dyDescent="0.25">
      <c r="A3367"/>
      <c r="B3367"/>
    </row>
    <row r="3368" spans="1:2" x14ac:dyDescent="0.25">
      <c r="A3368"/>
      <c r="B3368"/>
    </row>
    <row r="3369" spans="1:2" x14ac:dyDescent="0.25">
      <c r="A3369"/>
      <c r="B3369"/>
    </row>
    <row r="3370" spans="1:2" x14ac:dyDescent="0.25">
      <c r="A3370"/>
      <c r="B3370"/>
    </row>
    <row r="3371" spans="1:2" x14ac:dyDescent="0.25">
      <c r="A3371"/>
      <c r="B3371"/>
    </row>
    <row r="3372" spans="1:2" x14ac:dyDescent="0.25">
      <c r="A3372"/>
      <c r="B3372"/>
    </row>
    <row r="3373" spans="1:2" x14ac:dyDescent="0.25">
      <c r="A3373"/>
      <c r="B3373"/>
    </row>
    <row r="3374" spans="1:2" x14ac:dyDescent="0.25">
      <c r="A3374"/>
      <c r="B3374"/>
    </row>
    <row r="3375" spans="1:2" x14ac:dyDescent="0.25">
      <c r="A3375"/>
      <c r="B3375"/>
    </row>
    <row r="3376" spans="1:2" x14ac:dyDescent="0.25">
      <c r="A3376"/>
      <c r="B3376"/>
    </row>
    <row r="3377" spans="1:2" x14ac:dyDescent="0.25">
      <c r="A3377"/>
      <c r="B3377"/>
    </row>
    <row r="3378" spans="1:2" x14ac:dyDescent="0.25">
      <c r="A3378"/>
      <c r="B3378"/>
    </row>
    <row r="3379" spans="1:2" x14ac:dyDescent="0.25">
      <c r="A3379"/>
      <c r="B3379"/>
    </row>
    <row r="3380" spans="1:2" x14ac:dyDescent="0.25">
      <c r="A3380"/>
      <c r="B3380"/>
    </row>
    <row r="3381" spans="1:2" x14ac:dyDescent="0.25">
      <c r="A3381"/>
      <c r="B3381"/>
    </row>
    <row r="3382" spans="1:2" x14ac:dyDescent="0.25">
      <c r="A3382"/>
      <c r="B3382"/>
    </row>
    <row r="3383" spans="1:2" x14ac:dyDescent="0.25">
      <c r="A3383"/>
      <c r="B3383"/>
    </row>
    <row r="3384" spans="1:2" x14ac:dyDescent="0.25">
      <c r="A3384"/>
      <c r="B3384"/>
    </row>
    <row r="3385" spans="1:2" x14ac:dyDescent="0.25">
      <c r="A3385"/>
      <c r="B3385"/>
    </row>
    <row r="3386" spans="1:2" x14ac:dyDescent="0.25">
      <c r="A3386"/>
      <c r="B3386"/>
    </row>
    <row r="3387" spans="1:2" x14ac:dyDescent="0.25">
      <c r="A3387"/>
      <c r="B3387"/>
    </row>
    <row r="3388" spans="1:2" x14ac:dyDescent="0.25">
      <c r="A3388"/>
      <c r="B3388"/>
    </row>
    <row r="3389" spans="1:2" x14ac:dyDescent="0.25">
      <c r="A3389"/>
      <c r="B3389"/>
    </row>
    <row r="3390" spans="1:2" x14ac:dyDescent="0.25">
      <c r="A3390"/>
      <c r="B3390"/>
    </row>
    <row r="3391" spans="1:2" x14ac:dyDescent="0.25">
      <c r="A3391"/>
      <c r="B3391"/>
    </row>
    <row r="3392" spans="1:2" x14ac:dyDescent="0.25">
      <c r="A3392"/>
      <c r="B3392"/>
    </row>
    <row r="3393" spans="1:2" x14ac:dyDescent="0.25">
      <c r="A3393"/>
      <c r="B3393"/>
    </row>
    <row r="3394" spans="1:2" x14ac:dyDescent="0.25">
      <c r="A3394"/>
      <c r="B3394"/>
    </row>
    <row r="3395" spans="1:2" x14ac:dyDescent="0.25">
      <c r="A3395"/>
      <c r="B3395"/>
    </row>
    <row r="3396" spans="1:2" x14ac:dyDescent="0.25">
      <c r="A3396"/>
      <c r="B3396"/>
    </row>
    <row r="3397" spans="1:2" x14ac:dyDescent="0.25">
      <c r="A3397"/>
      <c r="B3397"/>
    </row>
    <row r="3398" spans="1:2" x14ac:dyDescent="0.25">
      <c r="A3398"/>
      <c r="B3398"/>
    </row>
    <row r="3399" spans="1:2" x14ac:dyDescent="0.25">
      <c r="A3399"/>
      <c r="B3399"/>
    </row>
    <row r="3400" spans="1:2" x14ac:dyDescent="0.25">
      <c r="A3400"/>
      <c r="B3400"/>
    </row>
    <row r="3401" spans="1:2" x14ac:dyDescent="0.25">
      <c r="A3401"/>
      <c r="B3401"/>
    </row>
    <row r="3402" spans="1:2" x14ac:dyDescent="0.25">
      <c r="A3402"/>
      <c r="B3402"/>
    </row>
    <row r="3403" spans="1:2" x14ac:dyDescent="0.25">
      <c r="A3403"/>
      <c r="B3403"/>
    </row>
    <row r="3404" spans="1:2" x14ac:dyDescent="0.25">
      <c r="A3404"/>
      <c r="B3404"/>
    </row>
    <row r="3405" spans="1:2" x14ac:dyDescent="0.25">
      <c r="A3405"/>
      <c r="B3405"/>
    </row>
    <row r="3406" spans="1:2" x14ac:dyDescent="0.25">
      <c r="A3406"/>
      <c r="B3406"/>
    </row>
    <row r="3407" spans="1:2" x14ac:dyDescent="0.25">
      <c r="A3407"/>
      <c r="B3407"/>
    </row>
    <row r="3408" spans="1:2" x14ac:dyDescent="0.25">
      <c r="A3408"/>
      <c r="B3408"/>
    </row>
    <row r="3409" spans="1:2" x14ac:dyDescent="0.25">
      <c r="A3409"/>
      <c r="B3409"/>
    </row>
    <row r="3410" spans="1:2" x14ac:dyDescent="0.25">
      <c r="A3410"/>
      <c r="B3410"/>
    </row>
    <row r="3411" spans="1:2" x14ac:dyDescent="0.25">
      <c r="A3411"/>
      <c r="B3411"/>
    </row>
    <row r="3412" spans="1:2" x14ac:dyDescent="0.25">
      <c r="A3412"/>
      <c r="B3412"/>
    </row>
    <row r="3413" spans="1:2" x14ac:dyDescent="0.25">
      <c r="A3413"/>
      <c r="B3413"/>
    </row>
    <row r="3414" spans="1:2" x14ac:dyDescent="0.25">
      <c r="A3414"/>
      <c r="B3414"/>
    </row>
    <row r="3415" spans="1:2" x14ac:dyDescent="0.25">
      <c r="A3415"/>
      <c r="B3415"/>
    </row>
    <row r="3416" spans="1:2" x14ac:dyDescent="0.25">
      <c r="A3416"/>
      <c r="B3416"/>
    </row>
    <row r="3417" spans="1:2" x14ac:dyDescent="0.25">
      <c r="A3417"/>
      <c r="B3417"/>
    </row>
    <row r="3418" spans="1:2" x14ac:dyDescent="0.25">
      <c r="A3418"/>
      <c r="B3418"/>
    </row>
    <row r="3419" spans="1:2" x14ac:dyDescent="0.25">
      <c r="A3419"/>
      <c r="B3419"/>
    </row>
    <row r="3420" spans="1:2" x14ac:dyDescent="0.25">
      <c r="A3420"/>
      <c r="B3420"/>
    </row>
    <row r="3421" spans="1:2" x14ac:dyDescent="0.25">
      <c r="A3421"/>
      <c r="B3421"/>
    </row>
    <row r="3422" spans="1:2" x14ac:dyDescent="0.25">
      <c r="A3422"/>
      <c r="B3422"/>
    </row>
    <row r="3423" spans="1:2" x14ac:dyDescent="0.25">
      <c r="A3423"/>
      <c r="B3423"/>
    </row>
    <row r="3424" spans="1:2" x14ac:dyDescent="0.25">
      <c r="A3424"/>
      <c r="B3424"/>
    </row>
    <row r="3425" spans="1:2" x14ac:dyDescent="0.25">
      <c r="A3425"/>
      <c r="B3425"/>
    </row>
    <row r="3426" spans="1:2" x14ac:dyDescent="0.25">
      <c r="A3426"/>
      <c r="B3426"/>
    </row>
    <row r="3427" spans="1:2" x14ac:dyDescent="0.25">
      <c r="A3427"/>
      <c r="B3427"/>
    </row>
    <row r="3428" spans="1:2" x14ac:dyDescent="0.25">
      <c r="A3428"/>
      <c r="B3428"/>
    </row>
    <row r="3429" spans="1:2" x14ac:dyDescent="0.25">
      <c r="A3429"/>
      <c r="B3429"/>
    </row>
    <row r="3430" spans="1:2" x14ac:dyDescent="0.25">
      <c r="A3430"/>
      <c r="B3430"/>
    </row>
    <row r="3431" spans="1:2" x14ac:dyDescent="0.25">
      <c r="A3431"/>
      <c r="B3431"/>
    </row>
    <row r="3432" spans="1:2" x14ac:dyDescent="0.25">
      <c r="A3432"/>
      <c r="B3432"/>
    </row>
    <row r="3433" spans="1:2" x14ac:dyDescent="0.25">
      <c r="A3433"/>
      <c r="B3433"/>
    </row>
    <row r="3434" spans="1:2" x14ac:dyDescent="0.25">
      <c r="A3434"/>
      <c r="B3434"/>
    </row>
    <row r="3435" spans="1:2" x14ac:dyDescent="0.25">
      <c r="A3435"/>
      <c r="B3435"/>
    </row>
    <row r="3436" spans="1:2" x14ac:dyDescent="0.25">
      <c r="A3436"/>
      <c r="B3436"/>
    </row>
    <row r="3437" spans="1:2" x14ac:dyDescent="0.25">
      <c r="A3437"/>
      <c r="B3437"/>
    </row>
    <row r="3438" spans="1:2" x14ac:dyDescent="0.25">
      <c r="A3438"/>
      <c r="B3438"/>
    </row>
    <row r="3439" spans="1:2" x14ac:dyDescent="0.25">
      <c r="A3439"/>
      <c r="B3439"/>
    </row>
    <row r="3440" spans="1:2" x14ac:dyDescent="0.25">
      <c r="A3440"/>
      <c r="B3440"/>
    </row>
    <row r="3441" spans="1:2" x14ac:dyDescent="0.25">
      <c r="A3441"/>
      <c r="B3441"/>
    </row>
    <row r="3442" spans="1:2" x14ac:dyDescent="0.25">
      <c r="A3442"/>
      <c r="B3442"/>
    </row>
    <row r="3443" spans="1:2" x14ac:dyDescent="0.25">
      <c r="A3443"/>
      <c r="B3443"/>
    </row>
    <row r="3444" spans="1:2" x14ac:dyDescent="0.25">
      <c r="A3444"/>
      <c r="B3444"/>
    </row>
    <row r="3445" spans="1:2" x14ac:dyDescent="0.25">
      <c r="A3445"/>
      <c r="B3445"/>
    </row>
    <row r="3446" spans="1:2" x14ac:dyDescent="0.25">
      <c r="A3446"/>
      <c r="B3446"/>
    </row>
    <row r="3447" spans="1:2" x14ac:dyDescent="0.25">
      <c r="A3447"/>
      <c r="B3447"/>
    </row>
    <row r="3448" spans="1:2" x14ac:dyDescent="0.25">
      <c r="A3448"/>
      <c r="B3448"/>
    </row>
    <row r="3449" spans="1:2" x14ac:dyDescent="0.25">
      <c r="A3449"/>
      <c r="B3449"/>
    </row>
    <row r="3450" spans="1:2" x14ac:dyDescent="0.25">
      <c r="A3450"/>
      <c r="B3450"/>
    </row>
    <row r="3451" spans="1:2" x14ac:dyDescent="0.25">
      <c r="A3451"/>
      <c r="B3451"/>
    </row>
    <row r="3452" spans="1:2" x14ac:dyDescent="0.25">
      <c r="A3452"/>
      <c r="B3452"/>
    </row>
    <row r="3453" spans="1:2" x14ac:dyDescent="0.25">
      <c r="A3453"/>
      <c r="B3453"/>
    </row>
    <row r="3454" spans="1:2" x14ac:dyDescent="0.25">
      <c r="A3454"/>
      <c r="B3454"/>
    </row>
    <row r="3455" spans="1:2" x14ac:dyDescent="0.25">
      <c r="A3455"/>
      <c r="B3455"/>
    </row>
    <row r="3456" spans="1:2" x14ac:dyDescent="0.25">
      <c r="A3456"/>
      <c r="B3456"/>
    </row>
    <row r="3457" spans="1:2" x14ac:dyDescent="0.25">
      <c r="A3457"/>
      <c r="B3457"/>
    </row>
    <row r="3458" spans="1:2" x14ac:dyDescent="0.25">
      <c r="A3458"/>
      <c r="B3458"/>
    </row>
    <row r="3459" spans="1:2" x14ac:dyDescent="0.25">
      <c r="A3459"/>
      <c r="B3459"/>
    </row>
    <row r="3460" spans="1:2" x14ac:dyDescent="0.25">
      <c r="A3460"/>
      <c r="B3460"/>
    </row>
    <row r="3461" spans="1:2" x14ac:dyDescent="0.25">
      <c r="A3461"/>
      <c r="B3461"/>
    </row>
    <row r="3462" spans="1:2" x14ac:dyDescent="0.25">
      <c r="A3462"/>
      <c r="B3462"/>
    </row>
    <row r="3463" spans="1:2" x14ac:dyDescent="0.25">
      <c r="A3463"/>
      <c r="B3463"/>
    </row>
    <row r="3464" spans="1:2" x14ac:dyDescent="0.25">
      <c r="A3464"/>
      <c r="B3464"/>
    </row>
    <row r="3465" spans="1:2" x14ac:dyDescent="0.25">
      <c r="A3465"/>
      <c r="B3465"/>
    </row>
    <row r="3466" spans="1:2" x14ac:dyDescent="0.25">
      <c r="A3466"/>
      <c r="B3466"/>
    </row>
    <row r="3467" spans="1:2" x14ac:dyDescent="0.25">
      <c r="A3467"/>
      <c r="B3467"/>
    </row>
    <row r="3468" spans="1:2" x14ac:dyDescent="0.25">
      <c r="A3468"/>
      <c r="B3468"/>
    </row>
    <row r="3469" spans="1:2" x14ac:dyDescent="0.25">
      <c r="A3469"/>
      <c r="B3469"/>
    </row>
    <row r="3470" spans="1:2" x14ac:dyDescent="0.25">
      <c r="A3470"/>
      <c r="B3470"/>
    </row>
    <row r="3471" spans="1:2" x14ac:dyDescent="0.25">
      <c r="A3471"/>
      <c r="B3471"/>
    </row>
    <row r="3472" spans="1:2" x14ac:dyDescent="0.25">
      <c r="A3472"/>
      <c r="B3472"/>
    </row>
    <row r="3473" spans="1:2" x14ac:dyDescent="0.25">
      <c r="A3473"/>
      <c r="B3473"/>
    </row>
    <row r="3474" spans="1:2" x14ac:dyDescent="0.25">
      <c r="A3474"/>
      <c r="B3474"/>
    </row>
    <row r="3475" spans="1:2" x14ac:dyDescent="0.25">
      <c r="A3475"/>
      <c r="B3475"/>
    </row>
    <row r="3476" spans="1:2" x14ac:dyDescent="0.25">
      <c r="A3476"/>
      <c r="B3476"/>
    </row>
    <row r="3477" spans="1:2" x14ac:dyDescent="0.25">
      <c r="A3477"/>
      <c r="B3477"/>
    </row>
    <row r="3478" spans="1:2" x14ac:dyDescent="0.25">
      <c r="A3478"/>
      <c r="B3478"/>
    </row>
    <row r="3479" spans="1:2" x14ac:dyDescent="0.25">
      <c r="A3479"/>
      <c r="B3479"/>
    </row>
    <row r="3480" spans="1:2" x14ac:dyDescent="0.25">
      <c r="A3480"/>
      <c r="B3480"/>
    </row>
    <row r="3481" spans="1:2" x14ac:dyDescent="0.25">
      <c r="A3481"/>
      <c r="B3481"/>
    </row>
    <row r="3482" spans="1:2" x14ac:dyDescent="0.25">
      <c r="A3482"/>
      <c r="B3482"/>
    </row>
    <row r="3483" spans="1:2" x14ac:dyDescent="0.25">
      <c r="A3483"/>
      <c r="B3483"/>
    </row>
    <row r="3484" spans="1:2" x14ac:dyDescent="0.25">
      <c r="A3484"/>
      <c r="B3484"/>
    </row>
    <row r="3485" spans="1:2" x14ac:dyDescent="0.25">
      <c r="A3485"/>
      <c r="B3485"/>
    </row>
    <row r="3486" spans="1:2" x14ac:dyDescent="0.25">
      <c r="A3486"/>
      <c r="B3486"/>
    </row>
    <row r="3487" spans="1:2" x14ac:dyDescent="0.25">
      <c r="A3487"/>
      <c r="B3487"/>
    </row>
    <row r="3488" spans="1:2" x14ac:dyDescent="0.25">
      <c r="A3488"/>
      <c r="B3488"/>
    </row>
    <row r="3489" spans="1:2" x14ac:dyDescent="0.25">
      <c r="A3489"/>
      <c r="B3489"/>
    </row>
    <row r="3490" spans="1:2" x14ac:dyDescent="0.25">
      <c r="A3490"/>
      <c r="B3490"/>
    </row>
    <row r="3491" spans="1:2" x14ac:dyDescent="0.25">
      <c r="A3491"/>
      <c r="B3491"/>
    </row>
    <row r="3492" spans="1:2" x14ac:dyDescent="0.25">
      <c r="A3492"/>
      <c r="B3492"/>
    </row>
    <row r="3493" spans="1:2" x14ac:dyDescent="0.25">
      <c r="A3493"/>
      <c r="B3493"/>
    </row>
    <row r="3494" spans="1:2" x14ac:dyDescent="0.25">
      <c r="A3494"/>
      <c r="B3494"/>
    </row>
    <row r="3495" spans="1:2" x14ac:dyDescent="0.25">
      <c r="A3495"/>
      <c r="B3495"/>
    </row>
    <row r="3496" spans="1:2" x14ac:dyDescent="0.25">
      <c r="A3496"/>
      <c r="B3496"/>
    </row>
    <row r="3497" spans="1:2" x14ac:dyDescent="0.25">
      <c r="A3497"/>
      <c r="B3497"/>
    </row>
    <row r="3498" spans="1:2" x14ac:dyDescent="0.25">
      <c r="A3498"/>
      <c r="B3498"/>
    </row>
    <row r="3499" spans="1:2" x14ac:dyDescent="0.25">
      <c r="A3499"/>
      <c r="B3499"/>
    </row>
    <row r="3500" spans="1:2" x14ac:dyDescent="0.25">
      <c r="A3500"/>
      <c r="B3500"/>
    </row>
    <row r="3501" spans="1:2" x14ac:dyDescent="0.25">
      <c r="A3501"/>
      <c r="B3501"/>
    </row>
    <row r="3502" spans="1:2" x14ac:dyDescent="0.25">
      <c r="A3502"/>
      <c r="B3502"/>
    </row>
    <row r="3503" spans="1:2" x14ac:dyDescent="0.25">
      <c r="A3503"/>
      <c r="B3503"/>
    </row>
    <row r="3504" spans="1:2" x14ac:dyDescent="0.25">
      <c r="A3504"/>
      <c r="B3504"/>
    </row>
    <row r="3505" spans="1:2" x14ac:dyDescent="0.25">
      <c r="A3505"/>
      <c r="B3505"/>
    </row>
    <row r="3506" spans="1:2" x14ac:dyDescent="0.25">
      <c r="A3506"/>
      <c r="B3506"/>
    </row>
    <row r="3507" spans="1:2" x14ac:dyDescent="0.25">
      <c r="A3507"/>
      <c r="B3507"/>
    </row>
    <row r="3508" spans="1:2" x14ac:dyDescent="0.25">
      <c r="A3508"/>
      <c r="B3508"/>
    </row>
    <row r="3509" spans="1:2" x14ac:dyDescent="0.25">
      <c r="A3509"/>
      <c r="B3509"/>
    </row>
    <row r="3510" spans="1:2" x14ac:dyDescent="0.25">
      <c r="A3510"/>
      <c r="B3510"/>
    </row>
    <row r="3511" spans="1:2" x14ac:dyDescent="0.25">
      <c r="A3511"/>
      <c r="B3511"/>
    </row>
    <row r="3512" spans="1:2" x14ac:dyDescent="0.25">
      <c r="A3512"/>
      <c r="B3512"/>
    </row>
    <row r="3513" spans="1:2" x14ac:dyDescent="0.25">
      <c r="A3513"/>
      <c r="B3513"/>
    </row>
    <row r="3514" spans="1:2" x14ac:dyDescent="0.25">
      <c r="A3514"/>
      <c r="B3514"/>
    </row>
    <row r="3515" spans="1:2" x14ac:dyDescent="0.25">
      <c r="A3515"/>
      <c r="B3515"/>
    </row>
    <row r="3516" spans="1:2" x14ac:dyDescent="0.25">
      <c r="A3516"/>
      <c r="B3516"/>
    </row>
    <row r="3517" spans="1:2" x14ac:dyDescent="0.25">
      <c r="A3517"/>
      <c r="B3517"/>
    </row>
    <row r="3518" spans="1:2" x14ac:dyDescent="0.25">
      <c r="A3518"/>
      <c r="B3518"/>
    </row>
    <row r="3519" spans="1:2" x14ac:dyDescent="0.25">
      <c r="A3519"/>
      <c r="B3519"/>
    </row>
    <row r="3520" spans="1:2" x14ac:dyDescent="0.25">
      <c r="A3520"/>
      <c r="B3520"/>
    </row>
    <row r="3521" spans="1:2" x14ac:dyDescent="0.25">
      <c r="A3521"/>
      <c r="B3521"/>
    </row>
    <row r="3522" spans="1:2" x14ac:dyDescent="0.25">
      <c r="A3522"/>
      <c r="B3522"/>
    </row>
    <row r="3523" spans="1:2" x14ac:dyDescent="0.25">
      <c r="A3523"/>
      <c r="B3523"/>
    </row>
    <row r="3524" spans="1:2" x14ac:dyDescent="0.25">
      <c r="A3524"/>
      <c r="B3524"/>
    </row>
    <row r="3525" spans="1:2" x14ac:dyDescent="0.25">
      <c r="A3525"/>
      <c r="B3525"/>
    </row>
    <row r="3526" spans="1:2" x14ac:dyDescent="0.25">
      <c r="A3526"/>
      <c r="B3526"/>
    </row>
    <row r="3527" spans="1:2" x14ac:dyDescent="0.25">
      <c r="A3527"/>
      <c r="B3527"/>
    </row>
    <row r="3528" spans="1:2" x14ac:dyDescent="0.25">
      <c r="A3528"/>
      <c r="B3528"/>
    </row>
    <row r="3529" spans="1:2" x14ac:dyDescent="0.25">
      <c r="A3529"/>
      <c r="B3529"/>
    </row>
    <row r="3530" spans="1:2" x14ac:dyDescent="0.25">
      <c r="A3530"/>
      <c r="B3530"/>
    </row>
    <row r="3531" spans="1:2" x14ac:dyDescent="0.25">
      <c r="A3531"/>
      <c r="B3531"/>
    </row>
    <row r="3532" spans="1:2" x14ac:dyDescent="0.25">
      <c r="A3532"/>
      <c r="B3532"/>
    </row>
    <row r="3533" spans="1:2" x14ac:dyDescent="0.25">
      <c r="A3533"/>
      <c r="B3533"/>
    </row>
    <row r="3534" spans="1:2" x14ac:dyDescent="0.25">
      <c r="A3534"/>
      <c r="B3534"/>
    </row>
    <row r="3535" spans="1:2" x14ac:dyDescent="0.25">
      <c r="A3535"/>
      <c r="B3535"/>
    </row>
    <row r="3536" spans="1:2" x14ac:dyDescent="0.25">
      <c r="A3536"/>
      <c r="B3536"/>
    </row>
    <row r="3537" spans="1:2" x14ac:dyDescent="0.25">
      <c r="A3537"/>
      <c r="B3537"/>
    </row>
    <row r="3538" spans="1:2" x14ac:dyDescent="0.25">
      <c r="A3538"/>
      <c r="B3538"/>
    </row>
    <row r="3539" spans="1:2" x14ac:dyDescent="0.25">
      <c r="A3539"/>
      <c r="B3539"/>
    </row>
    <row r="3540" spans="1:2" x14ac:dyDescent="0.25">
      <c r="A3540"/>
      <c r="B3540"/>
    </row>
    <row r="3541" spans="1:2" x14ac:dyDescent="0.25">
      <c r="A3541"/>
      <c r="B3541"/>
    </row>
    <row r="3542" spans="1:2" x14ac:dyDescent="0.25">
      <c r="A3542"/>
      <c r="B3542"/>
    </row>
    <row r="3543" spans="1:2" x14ac:dyDescent="0.25">
      <c r="A3543"/>
      <c r="B3543"/>
    </row>
    <row r="3544" spans="1:2" x14ac:dyDescent="0.25">
      <c r="A3544"/>
      <c r="B3544"/>
    </row>
    <row r="3545" spans="1:2" x14ac:dyDescent="0.25">
      <c r="A3545"/>
      <c r="B3545"/>
    </row>
    <row r="3546" spans="1:2" x14ac:dyDescent="0.25">
      <c r="A3546"/>
      <c r="B3546"/>
    </row>
    <row r="3547" spans="1:2" x14ac:dyDescent="0.25">
      <c r="A3547"/>
      <c r="B3547"/>
    </row>
    <row r="3548" spans="1:2" x14ac:dyDescent="0.25">
      <c r="A3548"/>
      <c r="B3548"/>
    </row>
    <row r="3549" spans="1:2" x14ac:dyDescent="0.25">
      <c r="A3549"/>
      <c r="B3549"/>
    </row>
    <row r="3550" spans="1:2" x14ac:dyDescent="0.25">
      <c r="A3550"/>
      <c r="B3550"/>
    </row>
    <row r="3551" spans="1:2" x14ac:dyDescent="0.25">
      <c r="A3551"/>
      <c r="B3551"/>
    </row>
    <row r="3552" spans="1:2" x14ac:dyDescent="0.25">
      <c r="A3552"/>
      <c r="B3552"/>
    </row>
    <row r="3553" spans="1:2" x14ac:dyDescent="0.25">
      <c r="A3553"/>
      <c r="B3553"/>
    </row>
    <row r="3554" spans="1:2" x14ac:dyDescent="0.25">
      <c r="A3554"/>
      <c r="B3554"/>
    </row>
    <row r="3555" spans="1:2" x14ac:dyDescent="0.25">
      <c r="A3555"/>
      <c r="B3555"/>
    </row>
    <row r="3556" spans="1:2" x14ac:dyDescent="0.25">
      <c r="A3556"/>
      <c r="B3556"/>
    </row>
    <row r="3557" spans="1:2" x14ac:dyDescent="0.25">
      <c r="A3557"/>
      <c r="B3557"/>
    </row>
    <row r="3558" spans="1:2" x14ac:dyDescent="0.25">
      <c r="A3558"/>
      <c r="B3558"/>
    </row>
    <row r="3559" spans="1:2" x14ac:dyDescent="0.25">
      <c r="A3559"/>
      <c r="B3559"/>
    </row>
    <row r="3560" spans="1:2" x14ac:dyDescent="0.25">
      <c r="A3560"/>
      <c r="B3560"/>
    </row>
    <row r="3561" spans="1:2" x14ac:dyDescent="0.25">
      <c r="A3561"/>
      <c r="B3561"/>
    </row>
    <row r="3562" spans="1:2" x14ac:dyDescent="0.25">
      <c r="A3562"/>
      <c r="B3562"/>
    </row>
    <row r="3563" spans="1:2" x14ac:dyDescent="0.25">
      <c r="A3563"/>
      <c r="B3563"/>
    </row>
    <row r="3564" spans="1:2" x14ac:dyDescent="0.25">
      <c r="A3564"/>
      <c r="B3564"/>
    </row>
    <row r="3565" spans="1:2" x14ac:dyDescent="0.25">
      <c r="A3565"/>
      <c r="B3565"/>
    </row>
    <row r="3566" spans="1:2" x14ac:dyDescent="0.25">
      <c r="A3566"/>
      <c r="B3566"/>
    </row>
    <row r="3567" spans="1:2" x14ac:dyDescent="0.25">
      <c r="A3567"/>
      <c r="B3567"/>
    </row>
    <row r="3568" spans="1:2" x14ac:dyDescent="0.25">
      <c r="A3568"/>
      <c r="B3568"/>
    </row>
    <row r="3569" spans="1:2" x14ac:dyDescent="0.25">
      <c r="A3569"/>
      <c r="B3569"/>
    </row>
    <row r="3570" spans="1:2" x14ac:dyDescent="0.25">
      <c r="A3570"/>
      <c r="B3570"/>
    </row>
    <row r="3571" spans="1:2" x14ac:dyDescent="0.25">
      <c r="A3571"/>
      <c r="B3571"/>
    </row>
    <row r="3572" spans="1:2" x14ac:dyDescent="0.25">
      <c r="A3572"/>
      <c r="B3572"/>
    </row>
    <row r="3573" spans="1:2" x14ac:dyDescent="0.25">
      <c r="A3573"/>
      <c r="B3573"/>
    </row>
    <row r="3574" spans="1:2" x14ac:dyDescent="0.25">
      <c r="A3574"/>
      <c r="B3574"/>
    </row>
    <row r="3575" spans="1:2" x14ac:dyDescent="0.25">
      <c r="A3575"/>
      <c r="B3575"/>
    </row>
    <row r="3576" spans="1:2" x14ac:dyDescent="0.25">
      <c r="A3576"/>
      <c r="B3576"/>
    </row>
    <row r="3577" spans="1:2" x14ac:dyDescent="0.25">
      <c r="A3577"/>
      <c r="B3577"/>
    </row>
    <row r="3578" spans="1:2" x14ac:dyDescent="0.25">
      <c r="A3578"/>
      <c r="B3578"/>
    </row>
    <row r="3579" spans="1:2" x14ac:dyDescent="0.25">
      <c r="A3579"/>
      <c r="B3579"/>
    </row>
    <row r="3580" spans="1:2" x14ac:dyDescent="0.25">
      <c r="A3580"/>
      <c r="B3580"/>
    </row>
    <row r="3581" spans="1:2" x14ac:dyDescent="0.25">
      <c r="A3581"/>
      <c r="B3581"/>
    </row>
    <row r="3582" spans="1:2" x14ac:dyDescent="0.25">
      <c r="A3582"/>
      <c r="B3582"/>
    </row>
    <row r="3583" spans="1:2" x14ac:dyDescent="0.25">
      <c r="A3583"/>
      <c r="B3583"/>
    </row>
    <row r="3584" spans="1:2" x14ac:dyDescent="0.25">
      <c r="A3584"/>
      <c r="B3584"/>
    </row>
    <row r="3585" spans="1:2" x14ac:dyDescent="0.25">
      <c r="A3585"/>
      <c r="B3585"/>
    </row>
    <row r="3586" spans="1:2" x14ac:dyDescent="0.25">
      <c r="A3586"/>
      <c r="B3586"/>
    </row>
    <row r="3587" spans="1:2" x14ac:dyDescent="0.25">
      <c r="A3587"/>
      <c r="B3587"/>
    </row>
    <row r="3588" spans="1:2" x14ac:dyDescent="0.25">
      <c r="A3588"/>
      <c r="B3588"/>
    </row>
    <row r="3589" spans="1:2" x14ac:dyDescent="0.25">
      <c r="A3589"/>
      <c r="B3589"/>
    </row>
    <row r="3590" spans="1:2" x14ac:dyDescent="0.25">
      <c r="A3590"/>
      <c r="B3590"/>
    </row>
    <row r="3591" spans="1:2" x14ac:dyDescent="0.25">
      <c r="A3591"/>
      <c r="B3591"/>
    </row>
    <row r="3592" spans="1:2" x14ac:dyDescent="0.25">
      <c r="A3592"/>
      <c r="B3592"/>
    </row>
    <row r="3593" spans="1:2" x14ac:dyDescent="0.25">
      <c r="A3593"/>
      <c r="B3593"/>
    </row>
    <row r="3594" spans="1:2" x14ac:dyDescent="0.25">
      <c r="A3594"/>
      <c r="B3594"/>
    </row>
    <row r="3595" spans="1:2" x14ac:dyDescent="0.25">
      <c r="A3595"/>
      <c r="B3595"/>
    </row>
    <row r="3596" spans="1:2" x14ac:dyDescent="0.25">
      <c r="A3596"/>
      <c r="B3596"/>
    </row>
    <row r="3597" spans="1:2" x14ac:dyDescent="0.25">
      <c r="A3597"/>
      <c r="B3597"/>
    </row>
    <row r="3598" spans="1:2" x14ac:dyDescent="0.25">
      <c r="A3598"/>
      <c r="B3598"/>
    </row>
    <row r="3599" spans="1:2" x14ac:dyDescent="0.25">
      <c r="A3599"/>
      <c r="B3599"/>
    </row>
    <row r="3600" spans="1:2" x14ac:dyDescent="0.25">
      <c r="A3600"/>
      <c r="B3600"/>
    </row>
    <row r="3601" spans="1:2" x14ac:dyDescent="0.25">
      <c r="A3601"/>
      <c r="B3601"/>
    </row>
    <row r="3602" spans="1:2" x14ac:dyDescent="0.25">
      <c r="A3602"/>
      <c r="B3602"/>
    </row>
    <row r="3603" spans="1:2" x14ac:dyDescent="0.25">
      <c r="A3603"/>
      <c r="B3603"/>
    </row>
    <row r="3604" spans="1:2" x14ac:dyDescent="0.25">
      <c r="A3604"/>
      <c r="B3604"/>
    </row>
    <row r="3605" spans="1:2" x14ac:dyDescent="0.25">
      <c r="A3605"/>
      <c r="B3605"/>
    </row>
    <row r="3606" spans="1:2" x14ac:dyDescent="0.25">
      <c r="A3606"/>
      <c r="B3606"/>
    </row>
    <row r="3607" spans="1:2" x14ac:dyDescent="0.25">
      <c r="A3607"/>
      <c r="B3607"/>
    </row>
    <row r="3608" spans="1:2" x14ac:dyDescent="0.25">
      <c r="A3608"/>
      <c r="B3608"/>
    </row>
    <row r="3609" spans="1:2" x14ac:dyDescent="0.25">
      <c r="A3609"/>
      <c r="B3609"/>
    </row>
    <row r="3610" spans="1:2" x14ac:dyDescent="0.25">
      <c r="A3610"/>
      <c r="B3610"/>
    </row>
    <row r="3611" spans="1:2" x14ac:dyDescent="0.25">
      <c r="A3611"/>
      <c r="B3611"/>
    </row>
    <row r="3612" spans="1:2" x14ac:dyDescent="0.25">
      <c r="A3612"/>
      <c r="B3612"/>
    </row>
    <row r="3613" spans="1:2" x14ac:dyDescent="0.25">
      <c r="A3613"/>
      <c r="B3613"/>
    </row>
    <row r="3614" spans="1:2" x14ac:dyDescent="0.25">
      <c r="A3614"/>
      <c r="B3614"/>
    </row>
    <row r="3615" spans="1:2" x14ac:dyDescent="0.25">
      <c r="A3615"/>
      <c r="B3615"/>
    </row>
    <row r="3616" spans="1:2" x14ac:dyDescent="0.25">
      <c r="A3616"/>
      <c r="B3616"/>
    </row>
    <row r="3617" spans="1:2" x14ac:dyDescent="0.25">
      <c r="A3617"/>
      <c r="B3617"/>
    </row>
    <row r="3618" spans="1:2" x14ac:dyDescent="0.25">
      <c r="A3618"/>
      <c r="B3618"/>
    </row>
    <row r="3619" spans="1:2" x14ac:dyDescent="0.25">
      <c r="A3619"/>
      <c r="B3619"/>
    </row>
    <row r="3620" spans="1:2" x14ac:dyDescent="0.25">
      <c r="A3620"/>
      <c r="B3620"/>
    </row>
    <row r="3621" spans="1:2" x14ac:dyDescent="0.25">
      <c r="A3621"/>
      <c r="B3621"/>
    </row>
    <row r="3622" spans="1:2" x14ac:dyDescent="0.25">
      <c r="A3622"/>
      <c r="B3622"/>
    </row>
    <row r="3623" spans="1:2" x14ac:dyDescent="0.25">
      <c r="A3623"/>
      <c r="B3623"/>
    </row>
    <row r="3624" spans="1:2" x14ac:dyDescent="0.25">
      <c r="A3624"/>
      <c r="B3624"/>
    </row>
    <row r="3625" spans="1:2" x14ac:dyDescent="0.25">
      <c r="A3625"/>
      <c r="B3625"/>
    </row>
    <row r="3626" spans="1:2" x14ac:dyDescent="0.25">
      <c r="A3626"/>
      <c r="B3626"/>
    </row>
    <row r="3627" spans="1:2" x14ac:dyDescent="0.25">
      <c r="A3627"/>
      <c r="B3627"/>
    </row>
    <row r="3628" spans="1:2" x14ac:dyDescent="0.25">
      <c r="A3628"/>
      <c r="B3628"/>
    </row>
    <row r="3629" spans="1:2" x14ac:dyDescent="0.25">
      <c r="A3629"/>
      <c r="B3629"/>
    </row>
    <row r="3630" spans="1:2" x14ac:dyDescent="0.25">
      <c r="A3630"/>
      <c r="B3630"/>
    </row>
    <row r="3631" spans="1:2" x14ac:dyDescent="0.25">
      <c r="A3631"/>
      <c r="B3631"/>
    </row>
    <row r="3632" spans="1:2" x14ac:dyDescent="0.25">
      <c r="A3632"/>
      <c r="B3632"/>
    </row>
    <row r="3633" spans="1:2" x14ac:dyDescent="0.25">
      <c r="A3633"/>
      <c r="B3633"/>
    </row>
    <row r="3634" spans="1:2" x14ac:dyDescent="0.25">
      <c r="A3634"/>
      <c r="B3634"/>
    </row>
    <row r="3635" spans="1:2" x14ac:dyDescent="0.25">
      <c r="A3635"/>
      <c r="B3635"/>
    </row>
    <row r="3636" spans="1:2" x14ac:dyDescent="0.25">
      <c r="A3636"/>
      <c r="B3636"/>
    </row>
    <row r="3637" spans="1:2" x14ac:dyDescent="0.25">
      <c r="A3637"/>
      <c r="B3637"/>
    </row>
    <row r="3638" spans="1:2" x14ac:dyDescent="0.25">
      <c r="A3638"/>
      <c r="B3638"/>
    </row>
    <row r="3639" spans="1:2" x14ac:dyDescent="0.25">
      <c r="A3639"/>
      <c r="B3639"/>
    </row>
    <row r="3640" spans="1:2" x14ac:dyDescent="0.25">
      <c r="A3640"/>
      <c r="B3640"/>
    </row>
    <row r="3641" spans="1:2" x14ac:dyDescent="0.25">
      <c r="A3641"/>
      <c r="B3641"/>
    </row>
    <row r="3642" spans="1:2" x14ac:dyDescent="0.25">
      <c r="A3642"/>
      <c r="B3642"/>
    </row>
    <row r="3643" spans="1:2" x14ac:dyDescent="0.25">
      <c r="A3643"/>
      <c r="B3643"/>
    </row>
    <row r="3644" spans="1:2" x14ac:dyDescent="0.25">
      <c r="A3644"/>
      <c r="B3644"/>
    </row>
    <row r="3645" spans="1:2" x14ac:dyDescent="0.25">
      <c r="A3645"/>
      <c r="B3645"/>
    </row>
    <row r="3646" spans="1:2" x14ac:dyDescent="0.25">
      <c r="A3646"/>
      <c r="B3646"/>
    </row>
    <row r="3647" spans="1:2" x14ac:dyDescent="0.25">
      <c r="A3647"/>
      <c r="B3647"/>
    </row>
    <row r="3648" spans="1:2" x14ac:dyDescent="0.25">
      <c r="A3648"/>
      <c r="B3648"/>
    </row>
    <row r="3649" spans="1:2" x14ac:dyDescent="0.25">
      <c r="A3649"/>
      <c r="B3649"/>
    </row>
    <row r="3650" spans="1:2" x14ac:dyDescent="0.25">
      <c r="A3650"/>
      <c r="B3650"/>
    </row>
    <row r="3651" spans="1:2" x14ac:dyDescent="0.25">
      <c r="A3651"/>
      <c r="B3651"/>
    </row>
    <row r="3652" spans="1:2" x14ac:dyDescent="0.25">
      <c r="A3652"/>
      <c r="B3652"/>
    </row>
    <row r="3653" spans="1:2" x14ac:dyDescent="0.25">
      <c r="A3653"/>
      <c r="B3653"/>
    </row>
    <row r="3654" spans="1:2" x14ac:dyDescent="0.25">
      <c r="A3654"/>
      <c r="B3654"/>
    </row>
    <row r="3655" spans="1:2" x14ac:dyDescent="0.25">
      <c r="A3655"/>
      <c r="B3655"/>
    </row>
    <row r="3656" spans="1:2" x14ac:dyDescent="0.25">
      <c r="A3656"/>
      <c r="B3656"/>
    </row>
    <row r="3657" spans="1:2" x14ac:dyDescent="0.25">
      <c r="A3657"/>
      <c r="B3657"/>
    </row>
    <row r="3658" spans="1:2" x14ac:dyDescent="0.25">
      <c r="A3658"/>
      <c r="B3658"/>
    </row>
    <row r="3659" spans="1:2" x14ac:dyDescent="0.25">
      <c r="A3659"/>
      <c r="B3659"/>
    </row>
    <row r="3660" spans="1:2" x14ac:dyDescent="0.25">
      <c r="A3660"/>
      <c r="B3660"/>
    </row>
    <row r="3661" spans="1:2" x14ac:dyDescent="0.25">
      <c r="A3661"/>
      <c r="B3661"/>
    </row>
    <row r="3662" spans="1:2" x14ac:dyDescent="0.25">
      <c r="A3662"/>
      <c r="B3662"/>
    </row>
    <row r="3663" spans="1:2" x14ac:dyDescent="0.25">
      <c r="A3663"/>
      <c r="B3663"/>
    </row>
    <row r="3664" spans="1:2" x14ac:dyDescent="0.25">
      <c r="A3664"/>
      <c r="B3664"/>
    </row>
    <row r="3665" spans="1:2" x14ac:dyDescent="0.25">
      <c r="A3665"/>
      <c r="B3665"/>
    </row>
    <row r="3666" spans="1:2" x14ac:dyDescent="0.25">
      <c r="A3666"/>
      <c r="B3666"/>
    </row>
    <row r="3667" spans="1:2" x14ac:dyDescent="0.25">
      <c r="A3667"/>
      <c r="B3667"/>
    </row>
    <row r="3668" spans="1:2" x14ac:dyDescent="0.25">
      <c r="A3668"/>
      <c r="B3668"/>
    </row>
    <row r="3669" spans="1:2" x14ac:dyDescent="0.25">
      <c r="A3669"/>
      <c r="B3669"/>
    </row>
    <row r="3670" spans="1:2" x14ac:dyDescent="0.25">
      <c r="A3670"/>
      <c r="B3670"/>
    </row>
    <row r="3671" spans="1:2" x14ac:dyDescent="0.25">
      <c r="A3671"/>
      <c r="B3671"/>
    </row>
    <row r="3672" spans="1:2" x14ac:dyDescent="0.25">
      <c r="A3672"/>
      <c r="B3672"/>
    </row>
    <row r="3673" spans="1:2" x14ac:dyDescent="0.25">
      <c r="A3673"/>
      <c r="B3673"/>
    </row>
    <row r="3674" spans="1:2" x14ac:dyDescent="0.25">
      <c r="A3674"/>
      <c r="B3674"/>
    </row>
    <row r="3675" spans="1:2" x14ac:dyDescent="0.25">
      <c r="A3675"/>
      <c r="B3675"/>
    </row>
    <row r="3676" spans="1:2" x14ac:dyDescent="0.25">
      <c r="A3676"/>
      <c r="B3676"/>
    </row>
    <row r="3677" spans="1:2" x14ac:dyDescent="0.25">
      <c r="A3677"/>
      <c r="B3677"/>
    </row>
    <row r="3678" spans="1:2" x14ac:dyDescent="0.25">
      <c r="A3678"/>
      <c r="B3678"/>
    </row>
    <row r="3679" spans="1:2" x14ac:dyDescent="0.25">
      <c r="A3679"/>
      <c r="B3679"/>
    </row>
    <row r="3680" spans="1:2" x14ac:dyDescent="0.25">
      <c r="A3680"/>
      <c r="B3680"/>
    </row>
    <row r="3681" spans="1:2" x14ac:dyDescent="0.25">
      <c r="A3681"/>
      <c r="B3681"/>
    </row>
    <row r="3682" spans="1:2" x14ac:dyDescent="0.25">
      <c r="A3682"/>
      <c r="B3682"/>
    </row>
    <row r="3683" spans="1:2" x14ac:dyDescent="0.25">
      <c r="A3683"/>
      <c r="B3683"/>
    </row>
    <row r="3684" spans="1:2" x14ac:dyDescent="0.25">
      <c r="A3684"/>
      <c r="B3684"/>
    </row>
    <row r="3685" spans="1:2" x14ac:dyDescent="0.25">
      <c r="A3685"/>
      <c r="B3685"/>
    </row>
    <row r="3686" spans="1:2" x14ac:dyDescent="0.25">
      <c r="A3686"/>
      <c r="B3686"/>
    </row>
    <row r="3687" spans="1:2" x14ac:dyDescent="0.25">
      <c r="A3687"/>
      <c r="B3687"/>
    </row>
    <row r="3688" spans="1:2" x14ac:dyDescent="0.25">
      <c r="A3688"/>
      <c r="B3688"/>
    </row>
    <row r="3689" spans="1:2" x14ac:dyDescent="0.25">
      <c r="A3689"/>
      <c r="B3689"/>
    </row>
    <row r="3690" spans="1:2" x14ac:dyDescent="0.25">
      <c r="A3690"/>
      <c r="B3690"/>
    </row>
    <row r="3691" spans="1:2" x14ac:dyDescent="0.25">
      <c r="A3691"/>
      <c r="B3691"/>
    </row>
    <row r="3692" spans="1:2" x14ac:dyDescent="0.25">
      <c r="A3692"/>
      <c r="B3692"/>
    </row>
    <row r="3693" spans="1:2" x14ac:dyDescent="0.25">
      <c r="A3693"/>
      <c r="B3693"/>
    </row>
    <row r="3694" spans="1:2" x14ac:dyDescent="0.25">
      <c r="A3694"/>
      <c r="B3694"/>
    </row>
    <row r="3695" spans="1:2" x14ac:dyDescent="0.25">
      <c r="A3695"/>
      <c r="B3695"/>
    </row>
    <row r="3696" spans="1:2" x14ac:dyDescent="0.25">
      <c r="A3696"/>
      <c r="B3696"/>
    </row>
    <row r="3697" spans="1:2" x14ac:dyDescent="0.25">
      <c r="A3697"/>
      <c r="B3697"/>
    </row>
    <row r="3698" spans="1:2" x14ac:dyDescent="0.25">
      <c r="A3698"/>
      <c r="B3698"/>
    </row>
    <row r="3699" spans="1:2" x14ac:dyDescent="0.25">
      <c r="A3699"/>
      <c r="B3699"/>
    </row>
    <row r="3700" spans="1:2" x14ac:dyDescent="0.25">
      <c r="A3700"/>
      <c r="B3700"/>
    </row>
    <row r="3701" spans="1:2" x14ac:dyDescent="0.25">
      <c r="A3701"/>
      <c r="B3701"/>
    </row>
    <row r="3702" spans="1:2" x14ac:dyDescent="0.25">
      <c r="A3702"/>
      <c r="B3702"/>
    </row>
    <row r="3703" spans="1:2" x14ac:dyDescent="0.25">
      <c r="A3703"/>
      <c r="B3703"/>
    </row>
    <row r="3704" spans="1:2" x14ac:dyDescent="0.25">
      <c r="A3704"/>
      <c r="B3704"/>
    </row>
    <row r="3705" spans="1:2" x14ac:dyDescent="0.25">
      <c r="A3705"/>
      <c r="B3705"/>
    </row>
    <row r="3706" spans="1:2" x14ac:dyDescent="0.25">
      <c r="A3706"/>
      <c r="B3706"/>
    </row>
    <row r="3707" spans="1:2" x14ac:dyDescent="0.25">
      <c r="A3707"/>
      <c r="B3707"/>
    </row>
    <row r="3708" spans="1:2" x14ac:dyDescent="0.25">
      <c r="A3708"/>
      <c r="B3708"/>
    </row>
    <row r="3709" spans="1:2" x14ac:dyDescent="0.25">
      <c r="A3709"/>
      <c r="B3709"/>
    </row>
    <row r="3710" spans="1:2" x14ac:dyDescent="0.25">
      <c r="A3710"/>
      <c r="B3710"/>
    </row>
    <row r="3711" spans="1:2" x14ac:dyDescent="0.25">
      <c r="A3711"/>
      <c r="B3711"/>
    </row>
    <row r="3712" spans="1:2" x14ac:dyDescent="0.25">
      <c r="A3712"/>
      <c r="B3712"/>
    </row>
    <row r="3713" spans="1:2" x14ac:dyDescent="0.25">
      <c r="A3713"/>
      <c r="B3713"/>
    </row>
    <row r="3714" spans="1:2" x14ac:dyDescent="0.25">
      <c r="A3714"/>
      <c r="B3714"/>
    </row>
    <row r="3715" spans="1:2" x14ac:dyDescent="0.25">
      <c r="A3715"/>
      <c r="B3715"/>
    </row>
    <row r="3716" spans="1:2" x14ac:dyDescent="0.25">
      <c r="A3716"/>
      <c r="B3716"/>
    </row>
    <row r="3717" spans="1:2" x14ac:dyDescent="0.25">
      <c r="A3717"/>
      <c r="B3717"/>
    </row>
    <row r="3718" spans="1:2" x14ac:dyDescent="0.25">
      <c r="A3718"/>
      <c r="B3718"/>
    </row>
    <row r="3719" spans="1:2" x14ac:dyDescent="0.25">
      <c r="A3719"/>
      <c r="B3719"/>
    </row>
    <row r="3720" spans="1:2" x14ac:dyDescent="0.25">
      <c r="A3720"/>
      <c r="B3720"/>
    </row>
    <row r="3721" spans="1:2" x14ac:dyDescent="0.25">
      <c r="A3721"/>
      <c r="B3721"/>
    </row>
    <row r="3722" spans="1:2" x14ac:dyDescent="0.25">
      <c r="A3722"/>
      <c r="B3722"/>
    </row>
    <row r="3723" spans="1:2" x14ac:dyDescent="0.25">
      <c r="A3723"/>
      <c r="B3723"/>
    </row>
    <row r="3724" spans="1:2" x14ac:dyDescent="0.25">
      <c r="A3724"/>
      <c r="B3724"/>
    </row>
    <row r="3725" spans="1:2" x14ac:dyDescent="0.25">
      <c r="A3725"/>
      <c r="B3725"/>
    </row>
    <row r="3726" spans="1:2" x14ac:dyDescent="0.25">
      <c r="A3726"/>
      <c r="B3726"/>
    </row>
    <row r="3727" spans="1:2" x14ac:dyDescent="0.25">
      <c r="A3727"/>
      <c r="B3727"/>
    </row>
    <row r="3728" spans="1:2" x14ac:dyDescent="0.25">
      <c r="A3728"/>
      <c r="B3728"/>
    </row>
    <row r="3729" spans="1:2" x14ac:dyDescent="0.25">
      <c r="A3729"/>
      <c r="B3729"/>
    </row>
    <row r="3730" spans="1:2" x14ac:dyDescent="0.25">
      <c r="A3730"/>
      <c r="B3730"/>
    </row>
    <row r="3731" spans="1:2" x14ac:dyDescent="0.25">
      <c r="A3731"/>
      <c r="B3731"/>
    </row>
    <row r="3732" spans="1:2" x14ac:dyDescent="0.25">
      <c r="A3732"/>
      <c r="B3732"/>
    </row>
    <row r="3733" spans="1:2" x14ac:dyDescent="0.25">
      <c r="A3733"/>
      <c r="B3733"/>
    </row>
    <row r="3734" spans="1:2" x14ac:dyDescent="0.25">
      <c r="A3734"/>
      <c r="B3734"/>
    </row>
    <row r="3735" spans="1:2" x14ac:dyDescent="0.25">
      <c r="A3735"/>
      <c r="B3735"/>
    </row>
    <row r="3736" spans="1:2" x14ac:dyDescent="0.25">
      <c r="A3736"/>
      <c r="B3736"/>
    </row>
    <row r="3737" spans="1:2" x14ac:dyDescent="0.25">
      <c r="A3737"/>
      <c r="B3737"/>
    </row>
    <row r="3738" spans="1:2" x14ac:dyDescent="0.25">
      <c r="A3738"/>
      <c r="B3738"/>
    </row>
    <row r="3739" spans="1:2" x14ac:dyDescent="0.25">
      <c r="A3739"/>
      <c r="B3739"/>
    </row>
    <row r="3740" spans="1:2" x14ac:dyDescent="0.25">
      <c r="A3740"/>
      <c r="B3740"/>
    </row>
    <row r="3741" spans="1:2" x14ac:dyDescent="0.25">
      <c r="A3741"/>
      <c r="B3741"/>
    </row>
    <row r="3742" spans="1:2" x14ac:dyDescent="0.25">
      <c r="A3742"/>
      <c r="B3742"/>
    </row>
    <row r="3743" spans="1:2" x14ac:dyDescent="0.25">
      <c r="A3743"/>
      <c r="B3743"/>
    </row>
    <row r="3744" spans="1:2" x14ac:dyDescent="0.25">
      <c r="A3744"/>
      <c r="B3744"/>
    </row>
    <row r="3745" spans="1:2" x14ac:dyDescent="0.25">
      <c r="A3745"/>
      <c r="B3745"/>
    </row>
    <row r="3746" spans="1:2" x14ac:dyDescent="0.25">
      <c r="A3746"/>
      <c r="B3746"/>
    </row>
    <row r="3747" spans="1:2" x14ac:dyDescent="0.25">
      <c r="A3747"/>
      <c r="B3747"/>
    </row>
    <row r="3748" spans="1:2" x14ac:dyDescent="0.25">
      <c r="A3748"/>
      <c r="B3748"/>
    </row>
    <row r="3749" spans="1:2" x14ac:dyDescent="0.25">
      <c r="A3749"/>
      <c r="B3749"/>
    </row>
    <row r="3750" spans="1:2" x14ac:dyDescent="0.25">
      <c r="A3750"/>
      <c r="B3750"/>
    </row>
    <row r="3751" spans="1:2" x14ac:dyDescent="0.25">
      <c r="A3751"/>
      <c r="B3751"/>
    </row>
    <row r="3752" spans="1:2" x14ac:dyDescent="0.25">
      <c r="A3752"/>
      <c r="B3752"/>
    </row>
    <row r="3753" spans="1:2" x14ac:dyDescent="0.25">
      <c r="A3753"/>
      <c r="B3753"/>
    </row>
    <row r="3754" spans="1:2" x14ac:dyDescent="0.25">
      <c r="A3754"/>
      <c r="B3754"/>
    </row>
    <row r="3755" spans="1:2" x14ac:dyDescent="0.25">
      <c r="A3755"/>
      <c r="B3755"/>
    </row>
    <row r="3756" spans="1:2" x14ac:dyDescent="0.25">
      <c r="A3756"/>
      <c r="B3756"/>
    </row>
    <row r="3757" spans="1:2" x14ac:dyDescent="0.25">
      <c r="A3757"/>
      <c r="B3757"/>
    </row>
    <row r="3758" spans="1:2" x14ac:dyDescent="0.25">
      <c r="A3758"/>
      <c r="B3758"/>
    </row>
    <row r="3759" spans="1:2" x14ac:dyDescent="0.25">
      <c r="A3759"/>
      <c r="B3759"/>
    </row>
    <row r="3760" spans="1:2" x14ac:dyDescent="0.25">
      <c r="A3760"/>
      <c r="B3760"/>
    </row>
    <row r="3761" spans="1:2" x14ac:dyDescent="0.25">
      <c r="A3761"/>
      <c r="B3761"/>
    </row>
    <row r="3762" spans="1:2" x14ac:dyDescent="0.25">
      <c r="A3762"/>
      <c r="B3762"/>
    </row>
    <row r="3763" spans="1:2" x14ac:dyDescent="0.25">
      <c r="A3763"/>
      <c r="B3763"/>
    </row>
    <row r="3764" spans="1:2" x14ac:dyDescent="0.25">
      <c r="A3764"/>
      <c r="B3764"/>
    </row>
    <row r="3765" spans="1:2" x14ac:dyDescent="0.25">
      <c r="A3765"/>
      <c r="B3765"/>
    </row>
    <row r="3766" spans="1:2" x14ac:dyDescent="0.25">
      <c r="A3766"/>
      <c r="B3766"/>
    </row>
    <row r="3767" spans="1:2" x14ac:dyDescent="0.25">
      <c r="A3767"/>
      <c r="B3767"/>
    </row>
    <row r="3768" spans="1:2" x14ac:dyDescent="0.25">
      <c r="A3768"/>
      <c r="B3768"/>
    </row>
    <row r="3769" spans="1:2" x14ac:dyDescent="0.25">
      <c r="A3769"/>
      <c r="B3769"/>
    </row>
    <row r="3770" spans="1:2" x14ac:dyDescent="0.25">
      <c r="A3770"/>
      <c r="B3770"/>
    </row>
    <row r="3771" spans="1:2" x14ac:dyDescent="0.25">
      <c r="A3771"/>
      <c r="B3771"/>
    </row>
    <row r="3772" spans="1:2" x14ac:dyDescent="0.25">
      <c r="A3772"/>
      <c r="B3772"/>
    </row>
    <row r="3773" spans="1:2" x14ac:dyDescent="0.25">
      <c r="A3773"/>
      <c r="B3773"/>
    </row>
    <row r="3774" spans="1:2" x14ac:dyDescent="0.25">
      <c r="A3774"/>
      <c r="B3774"/>
    </row>
    <row r="3775" spans="1:2" x14ac:dyDescent="0.25">
      <c r="A3775"/>
      <c r="B3775"/>
    </row>
    <row r="3776" spans="1:2" x14ac:dyDescent="0.25">
      <c r="A3776"/>
      <c r="B3776"/>
    </row>
    <row r="3777" spans="1:2" x14ac:dyDescent="0.25">
      <c r="A3777"/>
      <c r="B3777"/>
    </row>
    <row r="3778" spans="1:2" x14ac:dyDescent="0.25">
      <c r="A3778"/>
      <c r="B3778"/>
    </row>
    <row r="3779" spans="1:2" x14ac:dyDescent="0.25">
      <c r="A3779"/>
      <c r="B3779"/>
    </row>
    <row r="3780" spans="1:2" x14ac:dyDescent="0.25">
      <c r="A3780"/>
      <c r="B3780"/>
    </row>
    <row r="3781" spans="1:2" x14ac:dyDescent="0.25">
      <c r="A3781"/>
      <c r="B3781"/>
    </row>
    <row r="3782" spans="1:2" x14ac:dyDescent="0.25">
      <c r="A3782"/>
      <c r="B3782"/>
    </row>
    <row r="3783" spans="1:2" x14ac:dyDescent="0.25">
      <c r="A3783"/>
      <c r="B3783"/>
    </row>
    <row r="3784" spans="1:2" x14ac:dyDescent="0.25">
      <c r="A3784"/>
      <c r="B3784"/>
    </row>
    <row r="3785" spans="1:2" x14ac:dyDescent="0.25">
      <c r="A3785"/>
      <c r="B3785"/>
    </row>
    <row r="3786" spans="1:2" x14ac:dyDescent="0.25">
      <c r="A3786"/>
      <c r="B3786"/>
    </row>
    <row r="3787" spans="1:2" x14ac:dyDescent="0.25">
      <c r="A3787"/>
      <c r="B3787"/>
    </row>
    <row r="3788" spans="1:2" x14ac:dyDescent="0.25">
      <c r="A3788"/>
      <c r="B3788"/>
    </row>
    <row r="3789" spans="1:2" x14ac:dyDescent="0.25">
      <c r="A3789"/>
      <c r="B3789"/>
    </row>
    <row r="3790" spans="1:2" x14ac:dyDescent="0.25">
      <c r="A3790"/>
      <c r="B3790"/>
    </row>
    <row r="3791" spans="1:2" x14ac:dyDescent="0.25">
      <c r="A3791"/>
      <c r="B3791"/>
    </row>
    <row r="3792" spans="1:2" x14ac:dyDescent="0.25">
      <c r="A3792"/>
      <c r="B3792"/>
    </row>
    <row r="3793" spans="1:2" x14ac:dyDescent="0.25">
      <c r="A3793"/>
      <c r="B3793"/>
    </row>
    <row r="3794" spans="1:2" x14ac:dyDescent="0.25">
      <c r="A3794"/>
      <c r="B3794"/>
    </row>
    <row r="3795" spans="1:2" x14ac:dyDescent="0.25">
      <c r="A3795"/>
      <c r="B3795"/>
    </row>
    <row r="3796" spans="1:2" x14ac:dyDescent="0.25">
      <c r="A3796"/>
      <c r="B3796"/>
    </row>
    <row r="3797" spans="1:2" x14ac:dyDescent="0.25">
      <c r="A3797"/>
      <c r="B3797"/>
    </row>
    <row r="3798" spans="1:2" x14ac:dyDescent="0.25">
      <c r="A3798"/>
      <c r="B3798"/>
    </row>
    <row r="3799" spans="1:2" x14ac:dyDescent="0.25">
      <c r="A3799"/>
      <c r="B3799"/>
    </row>
    <row r="3800" spans="1:2" x14ac:dyDescent="0.25">
      <c r="A3800"/>
      <c r="B3800"/>
    </row>
    <row r="3801" spans="1:2" x14ac:dyDescent="0.25">
      <c r="A3801"/>
      <c r="B3801"/>
    </row>
    <row r="3802" spans="1:2" x14ac:dyDescent="0.25">
      <c r="A3802"/>
      <c r="B3802"/>
    </row>
    <row r="3803" spans="1:2" x14ac:dyDescent="0.25">
      <c r="A3803"/>
      <c r="B3803"/>
    </row>
    <row r="3804" spans="1:2" x14ac:dyDescent="0.25">
      <c r="A3804"/>
      <c r="B3804"/>
    </row>
    <row r="3805" spans="1:2" x14ac:dyDescent="0.25">
      <c r="A3805"/>
      <c r="B3805"/>
    </row>
    <row r="3806" spans="1:2" x14ac:dyDescent="0.25">
      <c r="A3806"/>
      <c r="B3806"/>
    </row>
    <row r="3807" spans="1:2" x14ac:dyDescent="0.25">
      <c r="A3807"/>
      <c r="B3807"/>
    </row>
    <row r="3808" spans="1:2" x14ac:dyDescent="0.25">
      <c r="A3808"/>
      <c r="B3808"/>
    </row>
    <row r="3809" spans="1:2" x14ac:dyDescent="0.25">
      <c r="A3809"/>
      <c r="B3809"/>
    </row>
    <row r="3810" spans="1:2" x14ac:dyDescent="0.25">
      <c r="A3810"/>
      <c r="B3810"/>
    </row>
    <row r="3811" spans="1:2" x14ac:dyDescent="0.25">
      <c r="A3811"/>
      <c r="B3811"/>
    </row>
    <row r="3812" spans="1:2" x14ac:dyDescent="0.25">
      <c r="A3812"/>
      <c r="B3812"/>
    </row>
    <row r="3813" spans="1:2" x14ac:dyDescent="0.25">
      <c r="A3813"/>
      <c r="B3813"/>
    </row>
    <row r="3814" spans="1:2" x14ac:dyDescent="0.25">
      <c r="A3814"/>
      <c r="B3814"/>
    </row>
    <row r="3815" spans="1:2" x14ac:dyDescent="0.25">
      <c r="A3815"/>
      <c r="B3815"/>
    </row>
    <row r="3816" spans="1:2" x14ac:dyDescent="0.25">
      <c r="A3816"/>
      <c r="B3816"/>
    </row>
    <row r="3817" spans="1:2" x14ac:dyDescent="0.25">
      <c r="A3817"/>
      <c r="B3817"/>
    </row>
    <row r="3818" spans="1:2" x14ac:dyDescent="0.25">
      <c r="A3818"/>
      <c r="B3818"/>
    </row>
    <row r="3819" spans="1:2" x14ac:dyDescent="0.25">
      <c r="A3819"/>
      <c r="B3819"/>
    </row>
    <row r="3820" spans="1:2" x14ac:dyDescent="0.25">
      <c r="A3820"/>
      <c r="B3820"/>
    </row>
    <row r="3821" spans="1:2" x14ac:dyDescent="0.25">
      <c r="A3821"/>
      <c r="B3821"/>
    </row>
    <row r="3822" spans="1:2" x14ac:dyDescent="0.25">
      <c r="A3822"/>
      <c r="B3822"/>
    </row>
    <row r="3823" spans="1:2" x14ac:dyDescent="0.25">
      <c r="A3823"/>
      <c r="B3823"/>
    </row>
    <row r="3824" spans="1:2" x14ac:dyDescent="0.25">
      <c r="A3824"/>
      <c r="B3824"/>
    </row>
    <row r="3825" spans="1:2" x14ac:dyDescent="0.25">
      <c r="A3825"/>
      <c r="B3825"/>
    </row>
    <row r="3826" spans="1:2" x14ac:dyDescent="0.25">
      <c r="A3826"/>
      <c r="B3826"/>
    </row>
    <row r="3827" spans="1:2" x14ac:dyDescent="0.25">
      <c r="A3827"/>
      <c r="B3827"/>
    </row>
    <row r="3828" spans="1:2" x14ac:dyDescent="0.25">
      <c r="A3828"/>
      <c r="B3828"/>
    </row>
    <row r="3829" spans="1:2" x14ac:dyDescent="0.25">
      <c r="A3829"/>
      <c r="B3829"/>
    </row>
    <row r="3830" spans="1:2" x14ac:dyDescent="0.25">
      <c r="A3830"/>
      <c r="B3830"/>
    </row>
    <row r="3831" spans="1:2" x14ac:dyDescent="0.25">
      <c r="A3831"/>
      <c r="B3831"/>
    </row>
    <row r="3832" spans="1:2" x14ac:dyDescent="0.25">
      <c r="A3832"/>
      <c r="B3832"/>
    </row>
    <row r="3833" spans="1:2" x14ac:dyDescent="0.25">
      <c r="A3833"/>
      <c r="B3833"/>
    </row>
    <row r="3834" spans="1:2" x14ac:dyDescent="0.25">
      <c r="A3834"/>
      <c r="B3834"/>
    </row>
    <row r="3835" spans="1:2" x14ac:dyDescent="0.25">
      <c r="A3835"/>
      <c r="B3835"/>
    </row>
    <row r="3836" spans="1:2" x14ac:dyDescent="0.25">
      <c r="A3836"/>
      <c r="B3836"/>
    </row>
    <row r="3837" spans="1:2" x14ac:dyDescent="0.25">
      <c r="A3837"/>
      <c r="B3837"/>
    </row>
    <row r="3838" spans="1:2" x14ac:dyDescent="0.25">
      <c r="A3838"/>
      <c r="B3838"/>
    </row>
    <row r="3839" spans="1:2" x14ac:dyDescent="0.25">
      <c r="A3839"/>
      <c r="B3839"/>
    </row>
    <row r="3840" spans="1:2" x14ac:dyDescent="0.25">
      <c r="A3840"/>
      <c r="B3840"/>
    </row>
    <row r="3841" spans="1:2" x14ac:dyDescent="0.25">
      <c r="A3841"/>
      <c r="B3841"/>
    </row>
    <row r="3842" spans="1:2" x14ac:dyDescent="0.25">
      <c r="A3842"/>
      <c r="B3842"/>
    </row>
    <row r="3843" spans="1:2" x14ac:dyDescent="0.25">
      <c r="A3843"/>
      <c r="B3843"/>
    </row>
    <row r="3844" spans="1:2" x14ac:dyDescent="0.25">
      <c r="A3844"/>
      <c r="B3844"/>
    </row>
    <row r="3845" spans="1:2" x14ac:dyDescent="0.25">
      <c r="A3845"/>
      <c r="B3845"/>
    </row>
    <row r="3846" spans="1:2" x14ac:dyDescent="0.25">
      <c r="A3846"/>
      <c r="B3846"/>
    </row>
    <row r="3847" spans="1:2" x14ac:dyDescent="0.25">
      <c r="A3847"/>
      <c r="B3847"/>
    </row>
    <row r="3848" spans="1:2" x14ac:dyDescent="0.25">
      <c r="A3848"/>
      <c r="B3848"/>
    </row>
    <row r="3849" spans="1:2" x14ac:dyDescent="0.25">
      <c r="A3849"/>
      <c r="B3849"/>
    </row>
    <row r="3850" spans="1:2" x14ac:dyDescent="0.25">
      <c r="A3850"/>
      <c r="B3850"/>
    </row>
    <row r="3851" spans="1:2" x14ac:dyDescent="0.25">
      <c r="A3851"/>
      <c r="B3851"/>
    </row>
    <row r="3852" spans="1:2" x14ac:dyDescent="0.25">
      <c r="A3852"/>
      <c r="B3852"/>
    </row>
    <row r="3853" spans="1:2" x14ac:dyDescent="0.25">
      <c r="A3853"/>
      <c r="B3853"/>
    </row>
    <row r="3854" spans="1:2" x14ac:dyDescent="0.25">
      <c r="A3854"/>
      <c r="B3854"/>
    </row>
    <row r="3855" spans="1:2" x14ac:dyDescent="0.25">
      <c r="A3855"/>
      <c r="B3855"/>
    </row>
    <row r="3856" spans="1:2" x14ac:dyDescent="0.25">
      <c r="A3856"/>
      <c r="B3856"/>
    </row>
    <row r="3857" spans="1:2" x14ac:dyDescent="0.25">
      <c r="A3857"/>
      <c r="B3857"/>
    </row>
    <row r="3858" spans="1:2" x14ac:dyDescent="0.25">
      <c r="A3858"/>
      <c r="B3858"/>
    </row>
    <row r="3859" spans="1:2" x14ac:dyDescent="0.25">
      <c r="A3859"/>
      <c r="B3859"/>
    </row>
    <row r="3860" spans="1:2" x14ac:dyDescent="0.25">
      <c r="A3860"/>
      <c r="B3860"/>
    </row>
    <row r="3861" spans="1:2" x14ac:dyDescent="0.25">
      <c r="A3861"/>
      <c r="B3861"/>
    </row>
    <row r="3862" spans="1:2" x14ac:dyDescent="0.25">
      <c r="A3862"/>
      <c r="B3862"/>
    </row>
    <row r="3863" spans="1:2" x14ac:dyDescent="0.25">
      <c r="A3863"/>
      <c r="B3863"/>
    </row>
    <row r="3864" spans="1:2" x14ac:dyDescent="0.25">
      <c r="A3864"/>
      <c r="B3864"/>
    </row>
    <row r="3865" spans="1:2" x14ac:dyDescent="0.25">
      <c r="A3865"/>
      <c r="B3865"/>
    </row>
    <row r="3866" spans="1:2" x14ac:dyDescent="0.25">
      <c r="A3866"/>
      <c r="B3866"/>
    </row>
    <row r="3867" spans="1:2" x14ac:dyDescent="0.25">
      <c r="A3867"/>
      <c r="B3867"/>
    </row>
    <row r="3868" spans="1:2" x14ac:dyDescent="0.25">
      <c r="A3868"/>
      <c r="B3868"/>
    </row>
    <row r="3869" spans="1:2" x14ac:dyDescent="0.25">
      <c r="A3869"/>
      <c r="B3869"/>
    </row>
    <row r="3870" spans="1:2" x14ac:dyDescent="0.25">
      <c r="A3870"/>
      <c r="B3870"/>
    </row>
    <row r="3871" spans="1:2" x14ac:dyDescent="0.25">
      <c r="A3871"/>
      <c r="B3871"/>
    </row>
    <row r="3872" spans="1:2" x14ac:dyDescent="0.25">
      <c r="A3872"/>
      <c r="B3872"/>
    </row>
    <row r="3873" spans="1:2" x14ac:dyDescent="0.25">
      <c r="A3873"/>
      <c r="B3873"/>
    </row>
    <row r="3874" spans="1:2" x14ac:dyDescent="0.25">
      <c r="A3874"/>
      <c r="B3874"/>
    </row>
    <row r="3875" spans="1:2" x14ac:dyDescent="0.25">
      <c r="A3875"/>
      <c r="B3875"/>
    </row>
    <row r="3876" spans="1:2" x14ac:dyDescent="0.25">
      <c r="A3876"/>
      <c r="B3876"/>
    </row>
    <row r="3877" spans="1:2" x14ac:dyDescent="0.25">
      <c r="A3877"/>
      <c r="B3877"/>
    </row>
    <row r="3878" spans="1:2" x14ac:dyDescent="0.25">
      <c r="A3878"/>
      <c r="B3878"/>
    </row>
    <row r="3879" spans="1:2" x14ac:dyDescent="0.25">
      <c r="A3879"/>
      <c r="B3879"/>
    </row>
    <row r="3880" spans="1:2" x14ac:dyDescent="0.25">
      <c r="A3880"/>
      <c r="B3880"/>
    </row>
    <row r="3881" spans="1:2" x14ac:dyDescent="0.25">
      <c r="A3881"/>
      <c r="B3881"/>
    </row>
    <row r="3882" spans="1:2" x14ac:dyDescent="0.25">
      <c r="A3882"/>
      <c r="B3882"/>
    </row>
    <row r="3883" spans="1:2" x14ac:dyDescent="0.25">
      <c r="A3883"/>
      <c r="B3883"/>
    </row>
    <row r="3884" spans="1:2" x14ac:dyDescent="0.25">
      <c r="A3884"/>
      <c r="B3884"/>
    </row>
    <row r="3885" spans="1:2" x14ac:dyDescent="0.25">
      <c r="A3885"/>
      <c r="B3885"/>
    </row>
    <row r="3886" spans="1:2" x14ac:dyDescent="0.25">
      <c r="A3886"/>
      <c r="B3886"/>
    </row>
    <row r="3887" spans="1:2" x14ac:dyDescent="0.25">
      <c r="A3887"/>
      <c r="B3887"/>
    </row>
    <row r="3888" spans="1:2" x14ac:dyDescent="0.25">
      <c r="A3888"/>
      <c r="B3888"/>
    </row>
    <row r="3889" spans="1:2" x14ac:dyDescent="0.25">
      <c r="A3889"/>
      <c r="B3889"/>
    </row>
    <row r="3890" spans="1:2" x14ac:dyDescent="0.25">
      <c r="A3890"/>
      <c r="B3890"/>
    </row>
    <row r="3891" spans="1:2" x14ac:dyDescent="0.25">
      <c r="A3891"/>
      <c r="B3891"/>
    </row>
    <row r="3892" spans="1:2" x14ac:dyDescent="0.25">
      <c r="A3892"/>
      <c r="B3892"/>
    </row>
    <row r="3893" spans="1:2" x14ac:dyDescent="0.25">
      <c r="A3893"/>
      <c r="B3893"/>
    </row>
    <row r="3894" spans="1:2" x14ac:dyDescent="0.25">
      <c r="A3894"/>
      <c r="B3894"/>
    </row>
    <row r="3895" spans="1:2" x14ac:dyDescent="0.25">
      <c r="A3895"/>
      <c r="B3895"/>
    </row>
    <row r="3896" spans="1:2" x14ac:dyDescent="0.25">
      <c r="A3896"/>
      <c r="B3896"/>
    </row>
    <row r="3897" spans="1:2" x14ac:dyDescent="0.25">
      <c r="A3897"/>
      <c r="B3897"/>
    </row>
    <row r="3898" spans="1:2" x14ac:dyDescent="0.25">
      <c r="A3898"/>
      <c r="B3898"/>
    </row>
    <row r="3899" spans="1:2" x14ac:dyDescent="0.25">
      <c r="A3899"/>
      <c r="B3899"/>
    </row>
    <row r="3900" spans="1:2" x14ac:dyDescent="0.25">
      <c r="A3900"/>
      <c r="B3900"/>
    </row>
    <row r="3901" spans="1:2" x14ac:dyDescent="0.25">
      <c r="A3901"/>
      <c r="B3901"/>
    </row>
    <row r="3902" spans="1:2" x14ac:dyDescent="0.25">
      <c r="A3902"/>
      <c r="B3902"/>
    </row>
    <row r="3903" spans="1:2" x14ac:dyDescent="0.25">
      <c r="A3903"/>
      <c r="B3903"/>
    </row>
    <row r="3904" spans="1:2" x14ac:dyDescent="0.25">
      <c r="A3904"/>
      <c r="B3904"/>
    </row>
    <row r="3905" spans="1:2" x14ac:dyDescent="0.25">
      <c r="A3905"/>
      <c r="B3905"/>
    </row>
    <row r="3906" spans="1:2" x14ac:dyDescent="0.25">
      <c r="A3906"/>
      <c r="B3906"/>
    </row>
    <row r="3907" spans="1:2" x14ac:dyDescent="0.25">
      <c r="A3907"/>
      <c r="B3907"/>
    </row>
    <row r="3908" spans="1:2" x14ac:dyDescent="0.25">
      <c r="A3908"/>
      <c r="B3908"/>
    </row>
    <row r="3909" spans="1:2" x14ac:dyDescent="0.25">
      <c r="A3909"/>
      <c r="B3909"/>
    </row>
    <row r="3910" spans="1:2" x14ac:dyDescent="0.25">
      <c r="A3910"/>
      <c r="B3910"/>
    </row>
    <row r="3911" spans="1:2" x14ac:dyDescent="0.25">
      <c r="A3911"/>
      <c r="B3911"/>
    </row>
    <row r="3912" spans="1:2" x14ac:dyDescent="0.25">
      <c r="A3912"/>
      <c r="B3912"/>
    </row>
    <row r="3913" spans="1:2" x14ac:dyDescent="0.25">
      <c r="A3913"/>
      <c r="B3913"/>
    </row>
    <row r="3914" spans="1:2" x14ac:dyDescent="0.25">
      <c r="A3914"/>
      <c r="B3914"/>
    </row>
    <row r="3915" spans="1:2" x14ac:dyDescent="0.25">
      <c r="A3915"/>
      <c r="B3915"/>
    </row>
    <row r="3916" spans="1:2" x14ac:dyDescent="0.25">
      <c r="A3916"/>
      <c r="B3916"/>
    </row>
    <row r="3917" spans="1:2" x14ac:dyDescent="0.25">
      <c r="A3917"/>
      <c r="B3917"/>
    </row>
    <row r="3918" spans="1:2" x14ac:dyDescent="0.25">
      <c r="A3918"/>
      <c r="B3918"/>
    </row>
    <row r="3919" spans="1:2" x14ac:dyDescent="0.25">
      <c r="A3919"/>
      <c r="B3919"/>
    </row>
    <row r="3920" spans="1:2" x14ac:dyDescent="0.25">
      <c r="A3920"/>
      <c r="B3920"/>
    </row>
    <row r="3921" spans="1:2" x14ac:dyDescent="0.25">
      <c r="A3921"/>
      <c r="B3921"/>
    </row>
    <row r="3922" spans="1:2" x14ac:dyDescent="0.25">
      <c r="A3922"/>
      <c r="B3922"/>
    </row>
    <row r="3923" spans="1:2" x14ac:dyDescent="0.25">
      <c r="A3923"/>
      <c r="B3923"/>
    </row>
    <row r="3924" spans="1:2" x14ac:dyDescent="0.25">
      <c r="A3924"/>
      <c r="B3924"/>
    </row>
    <row r="3925" spans="1:2" x14ac:dyDescent="0.25">
      <c r="A3925"/>
      <c r="B3925"/>
    </row>
    <row r="3926" spans="1:2" x14ac:dyDescent="0.25">
      <c r="A3926"/>
      <c r="B3926"/>
    </row>
    <row r="3927" spans="1:2" x14ac:dyDescent="0.25">
      <c r="A3927"/>
      <c r="B3927"/>
    </row>
    <row r="3928" spans="1:2" x14ac:dyDescent="0.25">
      <c r="A3928"/>
      <c r="B3928"/>
    </row>
    <row r="3929" spans="1:2" x14ac:dyDescent="0.25">
      <c r="A3929"/>
      <c r="B3929"/>
    </row>
    <row r="3930" spans="1:2" x14ac:dyDescent="0.25">
      <c r="A3930"/>
      <c r="B3930"/>
    </row>
    <row r="3931" spans="1:2" x14ac:dyDescent="0.25">
      <c r="A3931"/>
      <c r="B3931"/>
    </row>
    <row r="3932" spans="1:2" x14ac:dyDescent="0.25">
      <c r="A3932"/>
      <c r="B3932"/>
    </row>
    <row r="3933" spans="1:2" x14ac:dyDescent="0.25">
      <c r="A3933"/>
      <c r="B3933"/>
    </row>
    <row r="3934" spans="1:2" x14ac:dyDescent="0.25">
      <c r="A3934"/>
      <c r="B3934"/>
    </row>
    <row r="3935" spans="1:2" x14ac:dyDescent="0.25">
      <c r="A3935"/>
      <c r="B3935"/>
    </row>
    <row r="3936" spans="1:2" x14ac:dyDescent="0.25">
      <c r="A3936"/>
      <c r="B3936"/>
    </row>
    <row r="3937" spans="1:2" x14ac:dyDescent="0.25">
      <c r="A3937"/>
      <c r="B3937"/>
    </row>
    <row r="3938" spans="1:2" x14ac:dyDescent="0.25">
      <c r="A3938"/>
      <c r="B3938"/>
    </row>
    <row r="3939" spans="1:2" x14ac:dyDescent="0.25">
      <c r="A3939"/>
      <c r="B3939"/>
    </row>
    <row r="3940" spans="1:2" x14ac:dyDescent="0.25">
      <c r="A3940"/>
      <c r="B3940"/>
    </row>
    <row r="3941" spans="1:2" x14ac:dyDescent="0.25">
      <c r="A3941"/>
      <c r="B3941"/>
    </row>
    <row r="3942" spans="1:2" x14ac:dyDescent="0.25">
      <c r="A3942"/>
      <c r="B3942"/>
    </row>
    <row r="3943" spans="1:2" x14ac:dyDescent="0.25">
      <c r="A3943"/>
      <c r="B3943"/>
    </row>
    <row r="3944" spans="1:2" x14ac:dyDescent="0.25">
      <c r="A3944"/>
      <c r="B3944"/>
    </row>
    <row r="3945" spans="1:2" x14ac:dyDescent="0.25">
      <c r="A3945"/>
      <c r="B3945"/>
    </row>
    <row r="3946" spans="1:2" x14ac:dyDescent="0.25">
      <c r="A3946"/>
      <c r="B3946"/>
    </row>
    <row r="3947" spans="1:2" x14ac:dyDescent="0.25">
      <c r="A3947"/>
      <c r="B3947"/>
    </row>
    <row r="3948" spans="1:2" x14ac:dyDescent="0.25">
      <c r="A3948"/>
      <c r="B3948"/>
    </row>
    <row r="3949" spans="1:2" x14ac:dyDescent="0.25">
      <c r="A3949"/>
      <c r="B3949"/>
    </row>
    <row r="3950" spans="1:2" x14ac:dyDescent="0.25">
      <c r="A3950"/>
      <c r="B3950"/>
    </row>
    <row r="3951" spans="1:2" x14ac:dyDescent="0.25">
      <c r="A3951"/>
      <c r="B3951"/>
    </row>
    <row r="3952" spans="1:2" x14ac:dyDescent="0.25">
      <c r="A3952"/>
      <c r="B3952"/>
    </row>
    <row r="3953" spans="1:2" x14ac:dyDescent="0.25">
      <c r="A3953"/>
      <c r="B3953"/>
    </row>
    <row r="3954" spans="1:2" x14ac:dyDescent="0.25">
      <c r="A3954"/>
      <c r="B3954"/>
    </row>
    <row r="3955" spans="1:2" x14ac:dyDescent="0.25">
      <c r="A3955"/>
      <c r="B3955"/>
    </row>
    <row r="3956" spans="1:2" x14ac:dyDescent="0.25">
      <c r="A3956"/>
      <c r="B3956"/>
    </row>
    <row r="3957" spans="1:2" x14ac:dyDescent="0.25">
      <c r="A3957"/>
      <c r="B3957"/>
    </row>
    <row r="3958" spans="1:2" x14ac:dyDescent="0.25">
      <c r="A3958"/>
      <c r="B3958"/>
    </row>
    <row r="3959" spans="1:2" x14ac:dyDescent="0.25">
      <c r="A3959"/>
      <c r="B3959"/>
    </row>
    <row r="3960" spans="1:2" x14ac:dyDescent="0.25">
      <c r="A3960"/>
      <c r="B3960"/>
    </row>
    <row r="3961" spans="1:2" x14ac:dyDescent="0.25">
      <c r="A3961"/>
      <c r="B3961"/>
    </row>
    <row r="3962" spans="1:2" x14ac:dyDescent="0.25">
      <c r="A3962"/>
      <c r="B3962"/>
    </row>
    <row r="3963" spans="1:2" x14ac:dyDescent="0.25">
      <c r="A3963"/>
      <c r="B3963"/>
    </row>
    <row r="3964" spans="1:2" x14ac:dyDescent="0.25">
      <c r="A3964"/>
      <c r="B3964"/>
    </row>
    <row r="3965" spans="1:2" x14ac:dyDescent="0.25">
      <c r="A3965"/>
      <c r="B3965"/>
    </row>
    <row r="3966" spans="1:2" x14ac:dyDescent="0.25">
      <c r="A3966"/>
      <c r="B3966"/>
    </row>
    <row r="3967" spans="1:2" x14ac:dyDescent="0.25">
      <c r="A3967"/>
      <c r="B3967"/>
    </row>
    <row r="3968" spans="1:2" x14ac:dyDescent="0.25">
      <c r="A3968"/>
      <c r="B3968"/>
    </row>
    <row r="3969" spans="1:2" x14ac:dyDescent="0.25">
      <c r="A3969"/>
      <c r="B3969"/>
    </row>
    <row r="3970" spans="1:2" x14ac:dyDescent="0.25">
      <c r="A3970"/>
      <c r="B3970"/>
    </row>
    <row r="3971" spans="1:2" x14ac:dyDescent="0.25">
      <c r="A3971"/>
      <c r="B3971"/>
    </row>
    <row r="3972" spans="1:2" x14ac:dyDescent="0.25">
      <c r="A3972"/>
      <c r="B3972"/>
    </row>
    <row r="3973" spans="1:2" x14ac:dyDescent="0.25">
      <c r="A3973"/>
      <c r="B3973"/>
    </row>
    <row r="3974" spans="1:2" x14ac:dyDescent="0.25">
      <c r="A3974"/>
      <c r="B3974"/>
    </row>
    <row r="3975" spans="1:2" x14ac:dyDescent="0.25">
      <c r="A3975"/>
      <c r="B3975"/>
    </row>
    <row r="3976" spans="1:2" x14ac:dyDescent="0.25">
      <c r="A3976"/>
      <c r="B3976"/>
    </row>
    <row r="3977" spans="1:2" x14ac:dyDescent="0.25">
      <c r="A3977"/>
      <c r="B3977"/>
    </row>
    <row r="3978" spans="1:2" x14ac:dyDescent="0.25">
      <c r="A3978"/>
      <c r="B3978"/>
    </row>
    <row r="3979" spans="1:2" x14ac:dyDescent="0.25">
      <c r="A3979"/>
      <c r="B3979"/>
    </row>
    <row r="3980" spans="1:2" x14ac:dyDescent="0.25">
      <c r="A3980"/>
      <c r="B3980"/>
    </row>
    <row r="3981" spans="1:2" x14ac:dyDescent="0.25">
      <c r="A3981"/>
      <c r="B3981"/>
    </row>
    <row r="3982" spans="1:2" x14ac:dyDescent="0.25">
      <c r="A3982"/>
      <c r="B3982"/>
    </row>
    <row r="3983" spans="1:2" x14ac:dyDescent="0.25">
      <c r="A3983"/>
      <c r="B3983"/>
    </row>
    <row r="3984" spans="1:2" x14ac:dyDescent="0.25">
      <c r="A3984"/>
      <c r="B3984"/>
    </row>
    <row r="3985" spans="1:2" x14ac:dyDescent="0.25">
      <c r="A3985"/>
      <c r="B3985"/>
    </row>
    <row r="3986" spans="1:2" x14ac:dyDescent="0.25">
      <c r="A3986"/>
      <c r="B3986"/>
    </row>
    <row r="3987" spans="1:2" x14ac:dyDescent="0.25">
      <c r="A3987"/>
      <c r="B3987"/>
    </row>
    <row r="3988" spans="1:2" x14ac:dyDescent="0.25">
      <c r="A3988"/>
      <c r="B3988"/>
    </row>
    <row r="3989" spans="1:2" x14ac:dyDescent="0.25">
      <c r="A3989"/>
      <c r="B3989"/>
    </row>
    <row r="3990" spans="1:2" x14ac:dyDescent="0.25">
      <c r="A3990"/>
      <c r="B3990"/>
    </row>
    <row r="3991" spans="1:2" x14ac:dyDescent="0.25">
      <c r="A3991"/>
      <c r="B3991"/>
    </row>
    <row r="3992" spans="1:2" x14ac:dyDescent="0.25">
      <c r="A3992"/>
      <c r="B3992"/>
    </row>
    <row r="3993" spans="1:2" x14ac:dyDescent="0.25">
      <c r="A3993"/>
      <c r="B3993"/>
    </row>
    <row r="3994" spans="1:2" x14ac:dyDescent="0.25">
      <c r="A3994"/>
      <c r="B3994"/>
    </row>
    <row r="3995" spans="1:2" x14ac:dyDescent="0.25">
      <c r="A3995"/>
      <c r="B3995"/>
    </row>
    <row r="3996" spans="1:2" x14ac:dyDescent="0.25">
      <c r="A3996"/>
      <c r="B3996"/>
    </row>
    <row r="3997" spans="1:2" x14ac:dyDescent="0.25">
      <c r="A3997"/>
      <c r="B3997"/>
    </row>
    <row r="3998" spans="1:2" x14ac:dyDescent="0.25">
      <c r="A3998"/>
      <c r="B3998"/>
    </row>
    <row r="3999" spans="1:2" x14ac:dyDescent="0.25">
      <c r="A3999"/>
      <c r="B3999"/>
    </row>
    <row r="4000" spans="1:2" x14ac:dyDescent="0.25">
      <c r="A4000"/>
      <c r="B4000"/>
    </row>
    <row r="4001" spans="1:2" x14ac:dyDescent="0.25">
      <c r="A4001"/>
      <c r="B4001"/>
    </row>
    <row r="4002" spans="1:2" x14ac:dyDescent="0.25">
      <c r="A4002"/>
      <c r="B4002"/>
    </row>
    <row r="4003" spans="1:2" x14ac:dyDescent="0.25">
      <c r="A4003"/>
      <c r="B4003"/>
    </row>
    <row r="4004" spans="1:2" x14ac:dyDescent="0.25">
      <c r="A4004"/>
      <c r="B4004"/>
    </row>
    <row r="4005" spans="1:2" x14ac:dyDescent="0.25">
      <c r="A4005"/>
      <c r="B4005"/>
    </row>
    <row r="4006" spans="1:2" x14ac:dyDescent="0.25">
      <c r="A4006"/>
      <c r="B4006"/>
    </row>
    <row r="4007" spans="1:2" x14ac:dyDescent="0.25">
      <c r="A4007"/>
      <c r="B4007"/>
    </row>
    <row r="4008" spans="1:2" x14ac:dyDescent="0.25">
      <c r="A4008"/>
      <c r="B4008"/>
    </row>
    <row r="4009" spans="1:2" x14ac:dyDescent="0.25">
      <c r="A4009"/>
      <c r="B4009"/>
    </row>
    <row r="4010" spans="1:2" x14ac:dyDescent="0.25">
      <c r="A4010"/>
      <c r="B4010"/>
    </row>
    <row r="4011" spans="1:2" x14ac:dyDescent="0.25">
      <c r="A4011"/>
      <c r="B4011"/>
    </row>
    <row r="4012" spans="1:2" x14ac:dyDescent="0.25">
      <c r="A4012"/>
      <c r="B4012"/>
    </row>
    <row r="4013" spans="1:2" x14ac:dyDescent="0.25">
      <c r="A4013"/>
      <c r="B4013"/>
    </row>
    <row r="4014" spans="1:2" x14ac:dyDescent="0.25">
      <c r="A4014"/>
      <c r="B4014"/>
    </row>
    <row r="4015" spans="1:2" x14ac:dyDescent="0.25">
      <c r="A4015"/>
      <c r="B4015"/>
    </row>
    <row r="4016" spans="1:2" x14ac:dyDescent="0.25">
      <c r="A4016"/>
      <c r="B4016"/>
    </row>
    <row r="4017" spans="1:2" x14ac:dyDescent="0.25">
      <c r="A4017"/>
      <c r="B4017"/>
    </row>
    <row r="4018" spans="1:2" x14ac:dyDescent="0.25">
      <c r="A4018"/>
      <c r="B4018"/>
    </row>
    <row r="4019" spans="1:2" x14ac:dyDescent="0.25">
      <c r="A4019"/>
      <c r="B4019"/>
    </row>
    <row r="4020" spans="1:2" x14ac:dyDescent="0.25">
      <c r="A4020"/>
      <c r="B4020"/>
    </row>
    <row r="4021" spans="1:2" x14ac:dyDescent="0.25">
      <c r="A4021"/>
      <c r="B4021"/>
    </row>
    <row r="4022" spans="1:2" x14ac:dyDescent="0.25">
      <c r="A4022"/>
      <c r="B4022"/>
    </row>
    <row r="4023" spans="1:2" x14ac:dyDescent="0.25">
      <c r="A4023"/>
      <c r="B4023"/>
    </row>
    <row r="4024" spans="1:2" x14ac:dyDescent="0.25">
      <c r="A4024"/>
      <c r="B4024"/>
    </row>
    <row r="4025" spans="1:2" x14ac:dyDescent="0.25">
      <c r="A4025"/>
      <c r="B4025"/>
    </row>
    <row r="4026" spans="1:2" x14ac:dyDescent="0.25">
      <c r="A4026"/>
      <c r="B4026"/>
    </row>
    <row r="4027" spans="1:2" x14ac:dyDescent="0.25">
      <c r="A4027"/>
      <c r="B4027"/>
    </row>
    <row r="4028" spans="1:2" x14ac:dyDescent="0.25">
      <c r="A4028"/>
      <c r="B4028"/>
    </row>
    <row r="4029" spans="1:2" x14ac:dyDescent="0.25">
      <c r="A4029"/>
      <c r="B4029"/>
    </row>
    <row r="4030" spans="1:2" x14ac:dyDescent="0.25">
      <c r="A4030"/>
      <c r="B4030"/>
    </row>
    <row r="4031" spans="1:2" x14ac:dyDescent="0.25">
      <c r="A4031"/>
      <c r="B4031"/>
    </row>
    <row r="4032" spans="1:2" x14ac:dyDescent="0.25">
      <c r="A4032"/>
      <c r="B4032"/>
    </row>
    <row r="4033" spans="1:2" x14ac:dyDescent="0.25">
      <c r="A4033"/>
      <c r="B4033"/>
    </row>
    <row r="4034" spans="1:2" x14ac:dyDescent="0.25">
      <c r="A4034"/>
      <c r="B4034"/>
    </row>
    <row r="4035" spans="1:2" x14ac:dyDescent="0.25">
      <c r="A4035"/>
      <c r="B4035"/>
    </row>
    <row r="4036" spans="1:2" x14ac:dyDescent="0.25">
      <c r="A4036"/>
      <c r="B4036"/>
    </row>
    <row r="4037" spans="1:2" x14ac:dyDescent="0.25">
      <c r="A4037"/>
      <c r="B4037"/>
    </row>
    <row r="4038" spans="1:2" x14ac:dyDescent="0.25">
      <c r="A4038"/>
      <c r="B4038"/>
    </row>
    <row r="4039" spans="1:2" x14ac:dyDescent="0.25">
      <c r="A4039"/>
      <c r="B4039"/>
    </row>
    <row r="4040" spans="1:2" x14ac:dyDescent="0.25">
      <c r="A4040"/>
      <c r="B4040"/>
    </row>
    <row r="4041" spans="1:2" x14ac:dyDescent="0.25">
      <c r="A4041"/>
      <c r="B4041"/>
    </row>
    <row r="4042" spans="1:2" x14ac:dyDescent="0.25">
      <c r="A4042"/>
      <c r="B4042"/>
    </row>
    <row r="4043" spans="1:2" x14ac:dyDescent="0.25">
      <c r="A4043"/>
      <c r="B4043"/>
    </row>
    <row r="4044" spans="1:2" x14ac:dyDescent="0.25">
      <c r="A4044"/>
      <c r="B4044"/>
    </row>
    <row r="4045" spans="1:2" x14ac:dyDescent="0.25">
      <c r="A4045"/>
      <c r="B4045"/>
    </row>
    <row r="4046" spans="1:2" x14ac:dyDescent="0.25">
      <c r="A4046"/>
      <c r="B4046"/>
    </row>
    <row r="4047" spans="1:2" x14ac:dyDescent="0.25">
      <c r="A4047"/>
      <c r="B4047"/>
    </row>
    <row r="4048" spans="1:2" x14ac:dyDescent="0.25">
      <c r="A4048"/>
      <c r="B4048"/>
    </row>
    <row r="4049" spans="1:2" x14ac:dyDescent="0.25">
      <c r="A4049"/>
      <c r="B4049"/>
    </row>
    <row r="4050" spans="1:2" x14ac:dyDescent="0.25">
      <c r="A4050"/>
      <c r="B4050"/>
    </row>
    <row r="4051" spans="1:2" x14ac:dyDescent="0.25">
      <c r="A4051"/>
      <c r="B4051"/>
    </row>
    <row r="4052" spans="1:2" x14ac:dyDescent="0.25">
      <c r="A4052"/>
      <c r="B4052"/>
    </row>
    <row r="4053" spans="1:2" x14ac:dyDescent="0.25">
      <c r="A4053"/>
      <c r="B4053"/>
    </row>
    <row r="4054" spans="1:2" x14ac:dyDescent="0.25">
      <c r="A4054"/>
      <c r="B4054"/>
    </row>
    <row r="4055" spans="1:2" x14ac:dyDescent="0.25">
      <c r="A4055"/>
      <c r="B4055"/>
    </row>
    <row r="4056" spans="1:2" x14ac:dyDescent="0.25">
      <c r="A4056"/>
      <c r="B4056"/>
    </row>
    <row r="4057" spans="1:2" x14ac:dyDescent="0.25">
      <c r="A4057"/>
      <c r="B4057"/>
    </row>
    <row r="4058" spans="1:2" x14ac:dyDescent="0.25">
      <c r="A4058"/>
      <c r="B4058"/>
    </row>
    <row r="4059" spans="1:2" x14ac:dyDescent="0.25">
      <c r="A4059"/>
      <c r="B4059"/>
    </row>
    <row r="4060" spans="1:2" x14ac:dyDescent="0.25">
      <c r="A4060"/>
      <c r="B4060"/>
    </row>
    <row r="4061" spans="1:2" x14ac:dyDescent="0.25">
      <c r="A4061"/>
      <c r="B4061"/>
    </row>
    <row r="4062" spans="1:2" x14ac:dyDescent="0.25">
      <c r="A4062"/>
      <c r="B4062"/>
    </row>
    <row r="4063" spans="1:2" x14ac:dyDescent="0.25">
      <c r="A4063"/>
      <c r="B4063"/>
    </row>
    <row r="4064" spans="1:2" x14ac:dyDescent="0.25">
      <c r="A4064"/>
      <c r="B4064"/>
    </row>
    <row r="4065" spans="1:2" x14ac:dyDescent="0.25">
      <c r="A4065"/>
      <c r="B4065"/>
    </row>
    <row r="4066" spans="1:2" x14ac:dyDescent="0.25">
      <c r="A4066"/>
      <c r="B4066"/>
    </row>
    <row r="4067" spans="1:2" x14ac:dyDescent="0.25">
      <c r="A4067"/>
      <c r="B4067"/>
    </row>
    <row r="4068" spans="1:2" x14ac:dyDescent="0.25">
      <c r="A4068"/>
      <c r="B4068"/>
    </row>
    <row r="4069" spans="1:2" x14ac:dyDescent="0.25">
      <c r="A4069"/>
      <c r="B4069"/>
    </row>
    <row r="4070" spans="1:2" x14ac:dyDescent="0.25">
      <c r="A4070"/>
      <c r="B4070"/>
    </row>
    <row r="4071" spans="1:2" x14ac:dyDescent="0.25">
      <c r="A4071"/>
      <c r="B4071"/>
    </row>
    <row r="4072" spans="1:2" x14ac:dyDescent="0.25">
      <c r="A4072"/>
      <c r="B4072"/>
    </row>
    <row r="4073" spans="1:2" x14ac:dyDescent="0.25">
      <c r="A4073"/>
      <c r="B4073"/>
    </row>
    <row r="4074" spans="1:2" x14ac:dyDescent="0.25">
      <c r="A4074"/>
      <c r="B4074"/>
    </row>
    <row r="4075" spans="1:2" x14ac:dyDescent="0.25">
      <c r="A4075"/>
      <c r="B4075"/>
    </row>
    <row r="4076" spans="1:2" x14ac:dyDescent="0.25">
      <c r="A4076"/>
      <c r="B4076"/>
    </row>
    <row r="4077" spans="1:2" x14ac:dyDescent="0.25">
      <c r="A4077"/>
      <c r="B4077"/>
    </row>
    <row r="4078" spans="1:2" x14ac:dyDescent="0.25">
      <c r="A4078"/>
      <c r="B4078"/>
    </row>
    <row r="4079" spans="1:2" x14ac:dyDescent="0.25">
      <c r="A4079"/>
      <c r="B4079"/>
    </row>
    <row r="4080" spans="1:2" x14ac:dyDescent="0.25">
      <c r="A4080"/>
      <c r="B4080"/>
    </row>
    <row r="4081" spans="1:2" x14ac:dyDescent="0.25">
      <c r="A4081"/>
      <c r="B4081"/>
    </row>
    <row r="4082" spans="1:2" x14ac:dyDescent="0.25">
      <c r="A4082"/>
      <c r="B4082"/>
    </row>
    <row r="4083" spans="1:2" x14ac:dyDescent="0.25">
      <c r="A4083"/>
      <c r="B4083"/>
    </row>
    <row r="4084" spans="1:2" x14ac:dyDescent="0.25">
      <c r="A4084"/>
      <c r="B4084"/>
    </row>
    <row r="4085" spans="1:2" x14ac:dyDescent="0.25">
      <c r="A4085"/>
      <c r="B4085"/>
    </row>
    <row r="4086" spans="1:2" x14ac:dyDescent="0.25">
      <c r="A4086"/>
      <c r="B4086"/>
    </row>
    <row r="4087" spans="1:2" x14ac:dyDescent="0.25">
      <c r="A4087"/>
      <c r="B4087"/>
    </row>
    <row r="4088" spans="1:2" x14ac:dyDescent="0.25">
      <c r="A4088"/>
      <c r="B4088"/>
    </row>
    <row r="4089" spans="1:2" x14ac:dyDescent="0.25">
      <c r="A4089"/>
      <c r="B4089"/>
    </row>
    <row r="4090" spans="1:2" x14ac:dyDescent="0.25">
      <c r="A4090"/>
      <c r="B4090"/>
    </row>
    <row r="4091" spans="1:2" x14ac:dyDescent="0.25">
      <c r="A4091"/>
      <c r="B4091"/>
    </row>
    <row r="4092" spans="1:2" x14ac:dyDescent="0.25">
      <c r="A4092"/>
      <c r="B4092"/>
    </row>
    <row r="4093" spans="1:2" x14ac:dyDescent="0.25">
      <c r="A4093"/>
      <c r="B4093"/>
    </row>
    <row r="4094" spans="1:2" x14ac:dyDescent="0.25">
      <c r="A4094"/>
      <c r="B4094"/>
    </row>
    <row r="4095" spans="1:2" x14ac:dyDescent="0.25">
      <c r="A4095"/>
      <c r="B4095"/>
    </row>
    <row r="4096" spans="1:2" x14ac:dyDescent="0.25">
      <c r="A4096"/>
      <c r="B4096"/>
    </row>
    <row r="4097" spans="1:2" x14ac:dyDescent="0.25">
      <c r="A4097"/>
      <c r="B4097"/>
    </row>
    <row r="4098" spans="1:2" x14ac:dyDescent="0.25">
      <c r="A4098"/>
      <c r="B4098"/>
    </row>
    <row r="4099" spans="1:2" x14ac:dyDescent="0.25">
      <c r="A4099"/>
      <c r="B4099"/>
    </row>
    <row r="4100" spans="1:2" x14ac:dyDescent="0.25">
      <c r="A4100"/>
      <c r="B4100"/>
    </row>
    <row r="4101" spans="1:2" x14ac:dyDescent="0.25">
      <c r="A4101"/>
      <c r="B4101"/>
    </row>
    <row r="4102" spans="1:2" x14ac:dyDescent="0.25">
      <c r="A4102"/>
      <c r="B4102"/>
    </row>
    <row r="4103" spans="1:2" x14ac:dyDescent="0.25">
      <c r="A4103"/>
      <c r="B4103"/>
    </row>
    <row r="4104" spans="1:2" x14ac:dyDescent="0.25">
      <c r="A4104"/>
      <c r="B4104"/>
    </row>
    <row r="4105" spans="1:2" x14ac:dyDescent="0.25">
      <c r="A4105"/>
      <c r="B4105"/>
    </row>
    <row r="4106" spans="1:2" x14ac:dyDescent="0.25">
      <c r="A4106"/>
      <c r="B4106"/>
    </row>
    <row r="4107" spans="1:2" x14ac:dyDescent="0.25">
      <c r="A4107"/>
      <c r="B4107"/>
    </row>
    <row r="4108" spans="1:2" x14ac:dyDescent="0.25">
      <c r="A4108"/>
      <c r="B4108"/>
    </row>
    <row r="4109" spans="1:2" x14ac:dyDescent="0.25">
      <c r="A4109"/>
      <c r="B4109"/>
    </row>
    <row r="4110" spans="1:2" x14ac:dyDescent="0.25">
      <c r="A4110"/>
      <c r="B4110"/>
    </row>
    <row r="4111" spans="1:2" x14ac:dyDescent="0.25">
      <c r="A4111"/>
      <c r="B4111"/>
    </row>
    <row r="4112" spans="1:2" x14ac:dyDescent="0.25">
      <c r="A4112"/>
      <c r="B4112"/>
    </row>
    <row r="4113" spans="1:2" x14ac:dyDescent="0.25">
      <c r="A4113"/>
      <c r="B4113"/>
    </row>
    <row r="4114" spans="1:2" x14ac:dyDescent="0.25">
      <c r="A4114"/>
      <c r="B4114"/>
    </row>
    <row r="4115" spans="1:2" x14ac:dyDescent="0.25">
      <c r="A4115"/>
      <c r="B4115"/>
    </row>
    <row r="4116" spans="1:2" x14ac:dyDescent="0.25">
      <c r="A4116"/>
      <c r="B4116"/>
    </row>
    <row r="4117" spans="1:2" x14ac:dyDescent="0.25">
      <c r="A4117"/>
      <c r="B4117"/>
    </row>
    <row r="4118" spans="1:2" x14ac:dyDescent="0.25">
      <c r="A4118"/>
      <c r="B4118"/>
    </row>
    <row r="4119" spans="1:2" x14ac:dyDescent="0.25">
      <c r="A4119"/>
      <c r="B4119"/>
    </row>
    <row r="4120" spans="1:2" x14ac:dyDescent="0.25">
      <c r="A4120"/>
      <c r="B4120"/>
    </row>
    <row r="4121" spans="1:2" x14ac:dyDescent="0.25">
      <c r="A4121"/>
      <c r="B4121"/>
    </row>
    <row r="4122" spans="1:2" x14ac:dyDescent="0.25">
      <c r="A4122"/>
      <c r="B4122"/>
    </row>
    <row r="4123" spans="1:2" x14ac:dyDescent="0.25">
      <c r="A4123"/>
      <c r="B4123"/>
    </row>
    <row r="4124" spans="1:2" x14ac:dyDescent="0.25">
      <c r="A4124"/>
      <c r="B4124"/>
    </row>
    <row r="4125" spans="1:2" x14ac:dyDescent="0.25">
      <c r="A4125"/>
      <c r="B4125"/>
    </row>
    <row r="4126" spans="1:2" x14ac:dyDescent="0.25">
      <c r="A4126"/>
      <c r="B4126"/>
    </row>
    <row r="4127" spans="1:2" x14ac:dyDescent="0.25">
      <c r="A4127"/>
      <c r="B4127"/>
    </row>
    <row r="4128" spans="1:2" x14ac:dyDescent="0.25">
      <c r="A4128"/>
      <c r="B4128"/>
    </row>
    <row r="4129" spans="1:2" x14ac:dyDescent="0.25">
      <c r="A4129"/>
      <c r="B4129"/>
    </row>
    <row r="4130" spans="1:2" x14ac:dyDescent="0.25">
      <c r="A4130"/>
      <c r="B4130"/>
    </row>
    <row r="4131" spans="1:2" x14ac:dyDescent="0.25">
      <c r="A4131"/>
      <c r="B4131"/>
    </row>
    <row r="4132" spans="1:2" x14ac:dyDescent="0.25">
      <c r="A4132"/>
      <c r="B4132"/>
    </row>
    <row r="4133" spans="1:2" x14ac:dyDescent="0.25">
      <c r="A4133"/>
      <c r="B4133"/>
    </row>
    <row r="4134" spans="1:2" x14ac:dyDescent="0.25">
      <c r="A4134"/>
      <c r="B4134"/>
    </row>
    <row r="4135" spans="1:2" x14ac:dyDescent="0.25">
      <c r="A4135"/>
      <c r="B4135"/>
    </row>
    <row r="4136" spans="1:2" x14ac:dyDescent="0.25">
      <c r="A4136"/>
      <c r="B4136"/>
    </row>
    <row r="4137" spans="1:2" x14ac:dyDescent="0.25">
      <c r="A4137"/>
      <c r="B4137"/>
    </row>
    <row r="4138" spans="1:2" x14ac:dyDescent="0.25">
      <c r="A4138"/>
      <c r="B4138"/>
    </row>
    <row r="4139" spans="1:2" x14ac:dyDescent="0.25">
      <c r="A4139"/>
      <c r="B4139"/>
    </row>
    <row r="4140" spans="1:2" x14ac:dyDescent="0.25">
      <c r="A4140"/>
      <c r="B4140"/>
    </row>
    <row r="4141" spans="1:2" x14ac:dyDescent="0.25">
      <c r="A4141"/>
      <c r="B4141"/>
    </row>
    <row r="4142" spans="1:2" x14ac:dyDescent="0.25">
      <c r="A4142"/>
      <c r="B4142"/>
    </row>
    <row r="4143" spans="1:2" x14ac:dyDescent="0.25">
      <c r="A4143"/>
      <c r="B4143"/>
    </row>
    <row r="4144" spans="1:2" x14ac:dyDescent="0.25">
      <c r="A4144"/>
      <c r="B4144"/>
    </row>
    <row r="4145" spans="1:2" x14ac:dyDescent="0.25">
      <c r="A4145"/>
      <c r="B4145"/>
    </row>
    <row r="4146" spans="1:2" x14ac:dyDescent="0.25">
      <c r="A4146"/>
      <c r="B4146"/>
    </row>
    <row r="4147" spans="1:2" x14ac:dyDescent="0.25">
      <c r="A4147"/>
      <c r="B4147"/>
    </row>
    <row r="4148" spans="1:2" x14ac:dyDescent="0.25">
      <c r="A4148"/>
      <c r="B4148"/>
    </row>
    <row r="4149" spans="1:2" x14ac:dyDescent="0.25">
      <c r="A4149"/>
      <c r="B4149"/>
    </row>
    <row r="4150" spans="1:2" x14ac:dyDescent="0.25">
      <c r="A4150"/>
      <c r="B4150"/>
    </row>
    <row r="4151" spans="1:2" x14ac:dyDescent="0.25">
      <c r="A4151"/>
      <c r="B4151"/>
    </row>
    <row r="4152" spans="1:2" x14ac:dyDescent="0.25">
      <c r="A4152"/>
      <c r="B4152"/>
    </row>
    <row r="4153" spans="1:2" x14ac:dyDescent="0.25">
      <c r="A4153"/>
      <c r="B4153"/>
    </row>
    <row r="4154" spans="1:2" x14ac:dyDescent="0.25">
      <c r="A4154"/>
      <c r="B4154"/>
    </row>
    <row r="4155" spans="1:2" x14ac:dyDescent="0.25">
      <c r="A4155"/>
      <c r="B4155"/>
    </row>
    <row r="4156" spans="1:2" x14ac:dyDescent="0.25">
      <c r="A4156"/>
      <c r="B4156"/>
    </row>
    <row r="4157" spans="1:2" x14ac:dyDescent="0.25">
      <c r="A4157"/>
      <c r="B4157"/>
    </row>
    <row r="4158" spans="1:2" x14ac:dyDescent="0.25">
      <c r="A4158"/>
      <c r="B4158"/>
    </row>
    <row r="4159" spans="1:2" x14ac:dyDescent="0.25">
      <c r="A4159"/>
      <c r="B4159"/>
    </row>
    <row r="4160" spans="1:2" x14ac:dyDescent="0.25">
      <c r="A4160"/>
      <c r="B4160"/>
    </row>
    <row r="4161" spans="1:2" x14ac:dyDescent="0.25">
      <c r="A4161"/>
      <c r="B4161"/>
    </row>
    <row r="4162" spans="1:2" x14ac:dyDescent="0.25">
      <c r="A4162"/>
      <c r="B4162"/>
    </row>
    <row r="4163" spans="1:2" x14ac:dyDescent="0.25">
      <c r="A4163"/>
      <c r="B4163"/>
    </row>
    <row r="4164" spans="1:2" x14ac:dyDescent="0.25">
      <c r="A4164"/>
      <c r="B4164"/>
    </row>
    <row r="4165" spans="1:2" x14ac:dyDescent="0.25">
      <c r="A4165"/>
      <c r="B4165"/>
    </row>
    <row r="4166" spans="1:2" x14ac:dyDescent="0.25">
      <c r="A4166"/>
      <c r="B4166"/>
    </row>
    <row r="4167" spans="1:2" x14ac:dyDescent="0.25">
      <c r="A4167"/>
      <c r="B4167"/>
    </row>
    <row r="4168" spans="1:2" x14ac:dyDescent="0.25">
      <c r="A4168"/>
      <c r="B4168"/>
    </row>
    <row r="4169" spans="1:2" x14ac:dyDescent="0.25">
      <c r="A4169"/>
      <c r="B4169"/>
    </row>
    <row r="4170" spans="1:2" x14ac:dyDescent="0.25">
      <c r="A4170"/>
      <c r="B4170"/>
    </row>
    <row r="4171" spans="1:2" x14ac:dyDescent="0.25">
      <c r="A4171"/>
      <c r="B4171"/>
    </row>
    <row r="4172" spans="1:2" x14ac:dyDescent="0.25">
      <c r="A4172"/>
      <c r="B4172"/>
    </row>
    <row r="4173" spans="1:2" x14ac:dyDescent="0.25">
      <c r="A4173"/>
      <c r="B4173"/>
    </row>
    <row r="4174" spans="1:2" x14ac:dyDescent="0.25">
      <c r="A4174"/>
      <c r="B4174"/>
    </row>
    <row r="4175" spans="1:2" x14ac:dyDescent="0.25">
      <c r="A4175"/>
      <c r="B4175"/>
    </row>
    <row r="4176" spans="1:2" x14ac:dyDescent="0.25">
      <c r="A4176"/>
      <c r="B4176"/>
    </row>
    <row r="4177" spans="1:2" x14ac:dyDescent="0.25">
      <c r="A4177"/>
      <c r="B4177"/>
    </row>
    <row r="4178" spans="1:2" x14ac:dyDescent="0.25">
      <c r="A4178"/>
      <c r="B4178"/>
    </row>
    <row r="4179" spans="1:2" x14ac:dyDescent="0.25">
      <c r="A4179"/>
      <c r="B4179"/>
    </row>
    <row r="4180" spans="1:2" x14ac:dyDescent="0.25">
      <c r="A4180"/>
      <c r="B4180"/>
    </row>
    <row r="4181" spans="1:2" x14ac:dyDescent="0.25">
      <c r="A4181"/>
      <c r="B4181"/>
    </row>
    <row r="4182" spans="1:2" x14ac:dyDescent="0.25">
      <c r="A4182"/>
      <c r="B4182"/>
    </row>
    <row r="4183" spans="1:2" x14ac:dyDescent="0.25">
      <c r="A4183"/>
      <c r="B4183"/>
    </row>
    <row r="4184" spans="1:2" x14ac:dyDescent="0.25">
      <c r="A4184"/>
      <c r="B4184"/>
    </row>
    <row r="4185" spans="1:2" x14ac:dyDescent="0.25">
      <c r="A4185"/>
      <c r="B4185"/>
    </row>
    <row r="4186" spans="1:2" x14ac:dyDescent="0.25">
      <c r="A4186"/>
      <c r="B4186"/>
    </row>
    <row r="4187" spans="1:2" x14ac:dyDescent="0.25">
      <c r="A4187"/>
      <c r="B4187"/>
    </row>
    <row r="4188" spans="1:2" x14ac:dyDescent="0.25">
      <c r="A4188"/>
      <c r="B4188"/>
    </row>
    <row r="4189" spans="1:2" x14ac:dyDescent="0.25">
      <c r="A4189"/>
      <c r="B4189"/>
    </row>
    <row r="4190" spans="1:2" x14ac:dyDescent="0.25">
      <c r="A4190"/>
      <c r="B4190"/>
    </row>
    <row r="4191" spans="1:2" x14ac:dyDescent="0.25">
      <c r="A4191"/>
      <c r="B4191"/>
    </row>
    <row r="4192" spans="1:2" x14ac:dyDescent="0.25">
      <c r="A4192"/>
      <c r="B4192"/>
    </row>
    <row r="4193" spans="1:2" x14ac:dyDescent="0.25">
      <c r="A4193"/>
      <c r="B4193"/>
    </row>
    <row r="4194" spans="1:2" x14ac:dyDescent="0.25">
      <c r="A4194"/>
      <c r="B4194"/>
    </row>
    <row r="4195" spans="1:2" x14ac:dyDescent="0.25">
      <c r="A4195"/>
      <c r="B4195"/>
    </row>
    <row r="4196" spans="1:2" x14ac:dyDescent="0.25">
      <c r="A4196"/>
      <c r="B4196"/>
    </row>
    <row r="4197" spans="1:2" x14ac:dyDescent="0.25">
      <c r="A4197"/>
      <c r="B4197"/>
    </row>
    <row r="4198" spans="1:2" x14ac:dyDescent="0.25">
      <c r="A4198"/>
      <c r="B4198"/>
    </row>
    <row r="4199" spans="1:2" x14ac:dyDescent="0.25">
      <c r="A4199"/>
      <c r="B4199"/>
    </row>
    <row r="4200" spans="1:2" x14ac:dyDescent="0.25">
      <c r="A4200"/>
      <c r="B4200"/>
    </row>
    <row r="4201" spans="1:2" x14ac:dyDescent="0.25">
      <c r="A4201"/>
      <c r="B4201"/>
    </row>
    <row r="4202" spans="1:2" x14ac:dyDescent="0.25">
      <c r="A4202"/>
      <c r="B4202"/>
    </row>
    <row r="4203" spans="1:2" x14ac:dyDescent="0.25">
      <c r="A4203"/>
      <c r="B4203"/>
    </row>
    <row r="4204" spans="1:2" x14ac:dyDescent="0.25">
      <c r="A4204"/>
      <c r="B4204"/>
    </row>
    <row r="4205" spans="1:2" x14ac:dyDescent="0.25">
      <c r="A4205"/>
      <c r="B4205"/>
    </row>
    <row r="4206" spans="1:2" x14ac:dyDescent="0.25">
      <c r="A4206"/>
      <c r="B4206"/>
    </row>
    <row r="4207" spans="1:2" x14ac:dyDescent="0.25">
      <c r="A4207"/>
      <c r="B4207"/>
    </row>
    <row r="4208" spans="1:2" x14ac:dyDescent="0.25">
      <c r="A4208"/>
      <c r="B4208"/>
    </row>
    <row r="4209" spans="1:2" x14ac:dyDescent="0.25">
      <c r="A4209"/>
      <c r="B4209"/>
    </row>
    <row r="4210" spans="1:2" x14ac:dyDescent="0.25">
      <c r="A4210"/>
      <c r="B4210"/>
    </row>
    <row r="4211" spans="1:2" x14ac:dyDescent="0.25">
      <c r="A4211"/>
      <c r="B4211"/>
    </row>
    <row r="4212" spans="1:2" x14ac:dyDescent="0.25">
      <c r="A4212"/>
      <c r="B4212"/>
    </row>
    <row r="4213" spans="1:2" x14ac:dyDescent="0.25">
      <c r="A4213"/>
      <c r="B4213"/>
    </row>
    <row r="4214" spans="1:2" x14ac:dyDescent="0.25">
      <c r="A4214"/>
      <c r="B4214"/>
    </row>
    <row r="4215" spans="1:2" x14ac:dyDescent="0.25">
      <c r="A4215"/>
      <c r="B4215"/>
    </row>
    <row r="4216" spans="1:2" x14ac:dyDescent="0.25">
      <c r="A4216"/>
      <c r="B4216"/>
    </row>
    <row r="4217" spans="1:2" x14ac:dyDescent="0.25">
      <c r="A4217"/>
      <c r="B4217"/>
    </row>
    <row r="4218" spans="1:2" x14ac:dyDescent="0.25">
      <c r="A4218"/>
      <c r="B4218"/>
    </row>
    <row r="4219" spans="1:2" x14ac:dyDescent="0.25">
      <c r="A4219"/>
      <c r="B4219"/>
    </row>
    <row r="4220" spans="1:2" x14ac:dyDescent="0.25">
      <c r="A4220"/>
      <c r="B4220"/>
    </row>
    <row r="4221" spans="1:2" x14ac:dyDescent="0.25">
      <c r="A4221"/>
      <c r="B4221"/>
    </row>
    <row r="4222" spans="1:2" x14ac:dyDescent="0.25">
      <c r="A4222"/>
      <c r="B4222"/>
    </row>
    <row r="4223" spans="1:2" x14ac:dyDescent="0.25">
      <c r="A4223"/>
      <c r="B4223"/>
    </row>
    <row r="4224" spans="1:2" x14ac:dyDescent="0.25">
      <c r="A4224"/>
      <c r="B4224"/>
    </row>
    <row r="4225" spans="1:2" x14ac:dyDescent="0.25">
      <c r="A4225"/>
      <c r="B4225"/>
    </row>
    <row r="4226" spans="1:2" x14ac:dyDescent="0.25">
      <c r="A4226"/>
      <c r="B4226"/>
    </row>
    <row r="4227" spans="1:2" x14ac:dyDescent="0.25">
      <c r="A4227"/>
      <c r="B4227"/>
    </row>
    <row r="4228" spans="1:2" x14ac:dyDescent="0.25">
      <c r="A4228"/>
      <c r="B4228"/>
    </row>
    <row r="4229" spans="1:2" x14ac:dyDescent="0.25">
      <c r="A4229"/>
      <c r="B4229"/>
    </row>
    <row r="4230" spans="1:2" x14ac:dyDescent="0.25">
      <c r="A4230"/>
      <c r="B4230"/>
    </row>
    <row r="4231" spans="1:2" x14ac:dyDescent="0.25">
      <c r="A4231"/>
      <c r="B4231"/>
    </row>
    <row r="4232" spans="1:2" x14ac:dyDescent="0.25">
      <c r="A4232"/>
      <c r="B4232"/>
    </row>
    <row r="4233" spans="1:2" x14ac:dyDescent="0.25">
      <c r="A4233"/>
      <c r="B4233"/>
    </row>
    <row r="4234" spans="1:2" x14ac:dyDescent="0.25">
      <c r="A4234"/>
      <c r="B4234"/>
    </row>
    <row r="4235" spans="1:2" x14ac:dyDescent="0.25">
      <c r="A4235"/>
      <c r="B4235"/>
    </row>
    <row r="4236" spans="1:2" x14ac:dyDescent="0.25">
      <c r="A4236"/>
      <c r="B4236"/>
    </row>
    <row r="4237" spans="1:2" x14ac:dyDescent="0.25">
      <c r="A4237"/>
      <c r="B4237"/>
    </row>
    <row r="4238" spans="1:2" x14ac:dyDescent="0.25">
      <c r="A4238"/>
      <c r="B4238"/>
    </row>
    <row r="4239" spans="1:2" x14ac:dyDescent="0.25">
      <c r="A4239"/>
      <c r="B4239"/>
    </row>
    <row r="4240" spans="1:2" x14ac:dyDescent="0.25">
      <c r="A4240"/>
      <c r="B4240"/>
    </row>
    <row r="4241" spans="1:2" x14ac:dyDescent="0.25">
      <c r="A4241"/>
      <c r="B4241"/>
    </row>
    <row r="4242" spans="1:2" x14ac:dyDescent="0.25">
      <c r="A4242"/>
      <c r="B4242"/>
    </row>
    <row r="4243" spans="1:2" x14ac:dyDescent="0.25">
      <c r="A4243"/>
      <c r="B4243"/>
    </row>
    <row r="4244" spans="1:2" x14ac:dyDescent="0.25">
      <c r="A4244"/>
      <c r="B4244"/>
    </row>
    <row r="4245" spans="1:2" x14ac:dyDescent="0.25">
      <c r="A4245"/>
      <c r="B4245"/>
    </row>
    <row r="4246" spans="1:2" x14ac:dyDescent="0.25">
      <c r="A4246"/>
      <c r="B4246"/>
    </row>
    <row r="4247" spans="1:2" x14ac:dyDescent="0.25">
      <c r="A4247"/>
      <c r="B4247"/>
    </row>
    <row r="4248" spans="1:2" x14ac:dyDescent="0.25">
      <c r="A4248"/>
      <c r="B4248"/>
    </row>
    <row r="4249" spans="1:2" x14ac:dyDescent="0.25">
      <c r="A4249"/>
      <c r="B4249"/>
    </row>
    <row r="4250" spans="1:2" x14ac:dyDescent="0.25">
      <c r="A4250"/>
      <c r="B4250"/>
    </row>
    <row r="4251" spans="1:2" x14ac:dyDescent="0.25">
      <c r="A4251"/>
      <c r="B4251"/>
    </row>
    <row r="4252" spans="1:2" x14ac:dyDescent="0.25">
      <c r="A4252"/>
      <c r="B4252"/>
    </row>
    <row r="4253" spans="1:2" x14ac:dyDescent="0.25">
      <c r="A4253"/>
      <c r="B4253"/>
    </row>
    <row r="4254" spans="1:2" x14ac:dyDescent="0.25">
      <c r="A4254"/>
      <c r="B4254"/>
    </row>
    <row r="4255" spans="1:2" x14ac:dyDescent="0.25">
      <c r="A4255"/>
      <c r="B4255"/>
    </row>
    <row r="4256" spans="1:2" x14ac:dyDescent="0.25">
      <c r="A4256"/>
      <c r="B4256"/>
    </row>
    <row r="4257" spans="1:2" x14ac:dyDescent="0.25">
      <c r="A4257"/>
      <c r="B4257"/>
    </row>
    <row r="4258" spans="1:2" x14ac:dyDescent="0.25">
      <c r="A4258"/>
      <c r="B4258"/>
    </row>
    <row r="4259" spans="1:2" x14ac:dyDescent="0.25">
      <c r="A4259"/>
      <c r="B4259"/>
    </row>
    <row r="4260" spans="1:2" x14ac:dyDescent="0.25">
      <c r="A4260"/>
      <c r="B4260"/>
    </row>
    <row r="4261" spans="1:2" x14ac:dyDescent="0.25">
      <c r="A4261"/>
      <c r="B4261"/>
    </row>
    <row r="4262" spans="1:2" x14ac:dyDescent="0.25">
      <c r="A4262"/>
      <c r="B4262"/>
    </row>
    <row r="4263" spans="1:2" x14ac:dyDescent="0.25">
      <c r="A4263"/>
      <c r="B4263"/>
    </row>
    <row r="4264" spans="1:2" x14ac:dyDescent="0.25">
      <c r="A4264"/>
      <c r="B4264"/>
    </row>
    <row r="4265" spans="1:2" x14ac:dyDescent="0.25">
      <c r="A4265"/>
      <c r="B4265"/>
    </row>
    <row r="4266" spans="1:2" x14ac:dyDescent="0.25">
      <c r="A4266"/>
      <c r="B4266"/>
    </row>
    <row r="4267" spans="1:2" x14ac:dyDescent="0.25">
      <c r="A4267"/>
      <c r="B4267"/>
    </row>
    <row r="4268" spans="1:2" x14ac:dyDescent="0.25">
      <c r="A4268"/>
      <c r="B4268"/>
    </row>
    <row r="4269" spans="1:2" x14ac:dyDescent="0.25">
      <c r="A4269"/>
      <c r="B4269"/>
    </row>
    <row r="4270" spans="1:2" x14ac:dyDescent="0.25">
      <c r="A4270"/>
      <c r="B4270"/>
    </row>
    <row r="4271" spans="1:2" x14ac:dyDescent="0.25">
      <c r="A4271"/>
      <c r="B4271"/>
    </row>
    <row r="4272" spans="1:2" x14ac:dyDescent="0.25">
      <c r="A4272"/>
      <c r="B4272"/>
    </row>
    <row r="4273" spans="1:2" x14ac:dyDescent="0.25">
      <c r="A4273"/>
      <c r="B4273"/>
    </row>
    <row r="4274" spans="1:2" x14ac:dyDescent="0.25">
      <c r="A4274"/>
      <c r="B4274"/>
    </row>
    <row r="4275" spans="1:2" x14ac:dyDescent="0.25">
      <c r="A4275"/>
      <c r="B4275"/>
    </row>
    <row r="4276" spans="1:2" x14ac:dyDescent="0.25">
      <c r="A4276"/>
      <c r="B4276"/>
    </row>
    <row r="4277" spans="1:2" x14ac:dyDescent="0.25">
      <c r="A4277"/>
      <c r="B4277"/>
    </row>
    <row r="4278" spans="1:2" x14ac:dyDescent="0.25">
      <c r="A4278"/>
      <c r="B4278"/>
    </row>
    <row r="4279" spans="1:2" x14ac:dyDescent="0.25">
      <c r="A4279"/>
      <c r="B4279"/>
    </row>
    <row r="4280" spans="1:2" x14ac:dyDescent="0.25">
      <c r="A4280"/>
      <c r="B4280"/>
    </row>
    <row r="4281" spans="1:2" x14ac:dyDescent="0.25">
      <c r="A4281"/>
      <c r="B4281"/>
    </row>
    <row r="4282" spans="1:2" x14ac:dyDescent="0.25">
      <c r="A4282"/>
      <c r="B4282"/>
    </row>
    <row r="4283" spans="1:2" x14ac:dyDescent="0.25">
      <c r="A4283"/>
      <c r="B4283"/>
    </row>
    <row r="4284" spans="1:2" x14ac:dyDescent="0.25">
      <c r="A4284"/>
      <c r="B4284"/>
    </row>
    <row r="4285" spans="1:2" x14ac:dyDescent="0.25">
      <c r="A4285"/>
      <c r="B4285"/>
    </row>
    <row r="4286" spans="1:2" x14ac:dyDescent="0.25">
      <c r="A4286"/>
      <c r="B4286"/>
    </row>
    <row r="4287" spans="1:2" x14ac:dyDescent="0.25">
      <c r="A4287"/>
      <c r="B4287"/>
    </row>
    <row r="4288" spans="1:2" x14ac:dyDescent="0.25">
      <c r="A4288"/>
      <c r="B4288"/>
    </row>
    <row r="4289" spans="1:2" x14ac:dyDescent="0.25">
      <c r="A4289"/>
      <c r="B4289"/>
    </row>
    <row r="4290" spans="1:2" x14ac:dyDescent="0.25">
      <c r="A4290"/>
      <c r="B4290"/>
    </row>
    <row r="4291" spans="1:2" x14ac:dyDescent="0.25">
      <c r="A4291"/>
      <c r="B4291"/>
    </row>
    <row r="4292" spans="1:2" x14ac:dyDescent="0.25">
      <c r="A4292"/>
      <c r="B4292"/>
    </row>
    <row r="4293" spans="1:2" x14ac:dyDescent="0.25">
      <c r="A4293"/>
      <c r="B4293"/>
    </row>
    <row r="4294" spans="1:2" x14ac:dyDescent="0.25">
      <c r="A4294"/>
      <c r="B4294"/>
    </row>
    <row r="4295" spans="1:2" x14ac:dyDescent="0.25">
      <c r="A4295"/>
      <c r="B4295"/>
    </row>
    <row r="4296" spans="1:2" x14ac:dyDescent="0.25">
      <c r="A4296"/>
      <c r="B4296"/>
    </row>
    <row r="4297" spans="1:2" x14ac:dyDescent="0.25">
      <c r="A4297"/>
      <c r="B4297"/>
    </row>
    <row r="4298" spans="1:2" x14ac:dyDescent="0.25">
      <c r="A4298"/>
      <c r="B4298"/>
    </row>
    <row r="4299" spans="1:2" x14ac:dyDescent="0.25">
      <c r="A4299"/>
      <c r="B4299"/>
    </row>
    <row r="4300" spans="1:2" x14ac:dyDescent="0.25">
      <c r="A4300"/>
      <c r="B4300"/>
    </row>
    <row r="4301" spans="1:2" x14ac:dyDescent="0.25">
      <c r="A4301"/>
      <c r="B4301"/>
    </row>
    <row r="4302" spans="1:2" x14ac:dyDescent="0.25">
      <c r="A4302"/>
      <c r="B4302"/>
    </row>
    <row r="4303" spans="1:2" x14ac:dyDescent="0.25">
      <c r="A4303"/>
      <c r="B4303"/>
    </row>
    <row r="4304" spans="1:2" x14ac:dyDescent="0.25">
      <c r="A4304"/>
      <c r="B4304"/>
    </row>
    <row r="4305" spans="1:2" x14ac:dyDescent="0.25">
      <c r="A4305"/>
      <c r="B4305"/>
    </row>
    <row r="4306" spans="1:2" x14ac:dyDescent="0.25">
      <c r="A4306"/>
      <c r="B4306"/>
    </row>
    <row r="4307" spans="1:2" x14ac:dyDescent="0.25">
      <c r="A4307"/>
      <c r="B4307"/>
    </row>
    <row r="4308" spans="1:2" x14ac:dyDescent="0.25">
      <c r="A4308"/>
      <c r="B4308"/>
    </row>
    <row r="4309" spans="1:2" x14ac:dyDescent="0.25">
      <c r="A4309"/>
      <c r="B4309"/>
    </row>
    <row r="4310" spans="1:2" x14ac:dyDescent="0.25">
      <c r="A4310"/>
      <c r="B4310"/>
    </row>
    <row r="4311" spans="1:2" x14ac:dyDescent="0.25">
      <c r="A4311"/>
      <c r="B4311"/>
    </row>
    <row r="4312" spans="1:2" x14ac:dyDescent="0.25">
      <c r="A4312"/>
      <c r="B4312"/>
    </row>
    <row r="4313" spans="1:2" x14ac:dyDescent="0.25">
      <c r="A4313"/>
      <c r="B4313"/>
    </row>
    <row r="4314" spans="1:2" x14ac:dyDescent="0.25">
      <c r="A4314"/>
      <c r="B4314"/>
    </row>
    <row r="4315" spans="1:2" x14ac:dyDescent="0.25">
      <c r="A4315"/>
      <c r="B4315"/>
    </row>
    <row r="4316" spans="1:2" x14ac:dyDescent="0.25">
      <c r="A4316"/>
      <c r="B4316"/>
    </row>
    <row r="4317" spans="1:2" x14ac:dyDescent="0.25">
      <c r="A4317"/>
      <c r="B4317"/>
    </row>
    <row r="4318" spans="1:2" x14ac:dyDescent="0.25">
      <c r="A4318"/>
      <c r="B4318"/>
    </row>
    <row r="4319" spans="1:2" x14ac:dyDescent="0.25">
      <c r="A4319"/>
      <c r="B4319"/>
    </row>
    <row r="4320" spans="1:2" x14ac:dyDescent="0.25">
      <c r="A4320"/>
      <c r="B4320"/>
    </row>
    <row r="4321" spans="1:2" x14ac:dyDescent="0.25">
      <c r="A4321"/>
      <c r="B4321"/>
    </row>
    <row r="4322" spans="1:2" x14ac:dyDescent="0.25">
      <c r="A4322"/>
      <c r="B4322"/>
    </row>
    <row r="4323" spans="1:2" x14ac:dyDescent="0.25">
      <c r="A4323"/>
      <c r="B4323"/>
    </row>
    <row r="4324" spans="1:2" x14ac:dyDescent="0.25">
      <c r="A4324"/>
      <c r="B4324"/>
    </row>
    <row r="4325" spans="1:2" x14ac:dyDescent="0.25">
      <c r="A4325"/>
      <c r="B4325"/>
    </row>
    <row r="4326" spans="1:2" x14ac:dyDescent="0.25">
      <c r="A4326"/>
      <c r="B4326"/>
    </row>
    <row r="4327" spans="1:2" x14ac:dyDescent="0.25">
      <c r="A4327"/>
      <c r="B4327"/>
    </row>
    <row r="4328" spans="1:2" x14ac:dyDescent="0.25">
      <c r="A4328"/>
      <c r="B4328"/>
    </row>
    <row r="4329" spans="1:2" x14ac:dyDescent="0.25">
      <c r="A4329"/>
      <c r="B4329"/>
    </row>
    <row r="4330" spans="1:2" x14ac:dyDescent="0.25">
      <c r="A4330"/>
      <c r="B4330"/>
    </row>
    <row r="4331" spans="1:2" x14ac:dyDescent="0.25">
      <c r="A4331"/>
      <c r="B4331"/>
    </row>
    <row r="4332" spans="1:2" x14ac:dyDescent="0.25">
      <c r="A4332"/>
      <c r="B4332"/>
    </row>
    <row r="4333" spans="1:2" x14ac:dyDescent="0.25">
      <c r="A4333"/>
      <c r="B4333"/>
    </row>
    <row r="4334" spans="1:2" x14ac:dyDescent="0.25">
      <c r="A4334"/>
      <c r="B4334"/>
    </row>
    <row r="4335" spans="1:2" x14ac:dyDescent="0.25">
      <c r="A4335"/>
      <c r="B4335"/>
    </row>
    <row r="4336" spans="1:2" x14ac:dyDescent="0.25">
      <c r="A4336"/>
      <c r="B4336"/>
    </row>
    <row r="4337" spans="1:2" x14ac:dyDescent="0.25">
      <c r="A4337"/>
      <c r="B4337"/>
    </row>
    <row r="4338" spans="1:2" x14ac:dyDescent="0.25">
      <c r="A4338"/>
      <c r="B4338"/>
    </row>
    <row r="4339" spans="1:2" x14ac:dyDescent="0.25">
      <c r="A4339"/>
      <c r="B4339"/>
    </row>
    <row r="4340" spans="1:2" x14ac:dyDescent="0.25">
      <c r="A4340"/>
      <c r="B4340"/>
    </row>
    <row r="4341" spans="1:2" x14ac:dyDescent="0.25">
      <c r="A4341"/>
      <c r="B4341"/>
    </row>
    <row r="4342" spans="1:2" x14ac:dyDescent="0.25">
      <c r="A4342"/>
      <c r="B4342"/>
    </row>
    <row r="4343" spans="1:2" x14ac:dyDescent="0.25">
      <c r="A4343"/>
      <c r="B4343"/>
    </row>
    <row r="4344" spans="1:2" x14ac:dyDescent="0.25">
      <c r="A4344"/>
      <c r="B4344"/>
    </row>
    <row r="4345" spans="1:2" x14ac:dyDescent="0.25">
      <c r="A4345"/>
      <c r="B4345"/>
    </row>
    <row r="4346" spans="1:2" x14ac:dyDescent="0.25">
      <c r="A4346"/>
      <c r="B4346"/>
    </row>
    <row r="4347" spans="1:2" x14ac:dyDescent="0.25">
      <c r="A4347"/>
      <c r="B4347"/>
    </row>
    <row r="4348" spans="1:2" x14ac:dyDescent="0.25">
      <c r="A4348"/>
      <c r="B4348"/>
    </row>
    <row r="4349" spans="1:2" x14ac:dyDescent="0.25">
      <c r="A4349"/>
      <c r="B4349"/>
    </row>
    <row r="4350" spans="1:2" x14ac:dyDescent="0.25">
      <c r="A4350"/>
      <c r="B4350"/>
    </row>
    <row r="4351" spans="1:2" x14ac:dyDescent="0.25">
      <c r="A4351"/>
      <c r="B4351"/>
    </row>
    <row r="4352" spans="1:2" x14ac:dyDescent="0.25">
      <c r="A4352"/>
      <c r="B4352"/>
    </row>
    <row r="4353" spans="1:2" x14ac:dyDescent="0.25">
      <c r="A4353"/>
      <c r="B4353"/>
    </row>
    <row r="4354" spans="1:2" x14ac:dyDescent="0.25">
      <c r="A4354"/>
      <c r="B4354"/>
    </row>
    <row r="4355" spans="1:2" x14ac:dyDescent="0.25">
      <c r="A4355"/>
      <c r="B4355"/>
    </row>
    <row r="4356" spans="1:2" x14ac:dyDescent="0.25">
      <c r="A4356"/>
      <c r="B4356"/>
    </row>
    <row r="4357" spans="1:2" x14ac:dyDescent="0.25">
      <c r="A4357"/>
      <c r="B4357"/>
    </row>
    <row r="4358" spans="1:2" x14ac:dyDescent="0.25">
      <c r="A4358"/>
      <c r="B4358"/>
    </row>
    <row r="4359" spans="1:2" x14ac:dyDescent="0.25">
      <c r="A4359"/>
      <c r="B4359"/>
    </row>
    <row r="4360" spans="1:2" x14ac:dyDescent="0.25">
      <c r="A4360"/>
      <c r="B4360"/>
    </row>
    <row r="4361" spans="1:2" x14ac:dyDescent="0.25">
      <c r="A4361"/>
      <c r="B4361"/>
    </row>
    <row r="4362" spans="1:2" x14ac:dyDescent="0.25">
      <c r="A4362"/>
      <c r="B4362"/>
    </row>
    <row r="4363" spans="1:2" x14ac:dyDescent="0.25">
      <c r="A4363"/>
      <c r="B4363"/>
    </row>
    <row r="4364" spans="1:2" x14ac:dyDescent="0.25">
      <c r="A4364"/>
      <c r="B4364"/>
    </row>
    <row r="4365" spans="1:2" x14ac:dyDescent="0.25">
      <c r="A4365"/>
      <c r="B4365"/>
    </row>
    <row r="4366" spans="1:2" x14ac:dyDescent="0.25">
      <c r="A4366"/>
      <c r="B4366"/>
    </row>
    <row r="4367" spans="1:2" x14ac:dyDescent="0.25">
      <c r="A4367"/>
      <c r="B4367"/>
    </row>
    <row r="4368" spans="1:2" x14ac:dyDescent="0.25">
      <c r="A4368"/>
      <c r="B4368"/>
    </row>
    <row r="4369" spans="1:2" x14ac:dyDescent="0.25">
      <c r="A4369"/>
      <c r="B4369"/>
    </row>
    <row r="4370" spans="1:2" x14ac:dyDescent="0.25">
      <c r="A4370"/>
      <c r="B4370"/>
    </row>
    <row r="4371" spans="1:2" x14ac:dyDescent="0.25">
      <c r="A4371"/>
      <c r="B4371"/>
    </row>
    <row r="4372" spans="1:2" x14ac:dyDescent="0.25">
      <c r="A4372"/>
      <c r="B4372"/>
    </row>
    <row r="4373" spans="1:2" x14ac:dyDescent="0.25">
      <c r="A4373"/>
      <c r="B4373"/>
    </row>
    <row r="4374" spans="1:2" x14ac:dyDescent="0.25">
      <c r="A4374"/>
      <c r="B4374"/>
    </row>
    <row r="4375" spans="1:2" x14ac:dyDescent="0.25">
      <c r="A4375"/>
      <c r="B4375"/>
    </row>
    <row r="4376" spans="1:2" x14ac:dyDescent="0.25">
      <c r="A4376"/>
      <c r="B4376"/>
    </row>
    <row r="4377" spans="1:2" x14ac:dyDescent="0.25">
      <c r="A4377"/>
      <c r="B4377"/>
    </row>
    <row r="4378" spans="1:2" x14ac:dyDescent="0.25">
      <c r="A4378"/>
      <c r="B4378"/>
    </row>
    <row r="4379" spans="1:2" x14ac:dyDescent="0.25">
      <c r="A4379"/>
      <c r="B4379"/>
    </row>
    <row r="4380" spans="1:2" x14ac:dyDescent="0.25">
      <c r="A4380"/>
      <c r="B4380"/>
    </row>
    <row r="4381" spans="1:2" x14ac:dyDescent="0.25">
      <c r="A4381"/>
      <c r="B4381"/>
    </row>
    <row r="4382" spans="1:2" x14ac:dyDescent="0.25">
      <c r="A4382"/>
      <c r="B4382"/>
    </row>
    <row r="4383" spans="1:2" x14ac:dyDescent="0.25">
      <c r="A4383"/>
      <c r="B4383"/>
    </row>
    <row r="4384" spans="1:2" x14ac:dyDescent="0.25">
      <c r="A4384"/>
      <c r="B4384"/>
    </row>
    <row r="4385" spans="1:2" x14ac:dyDescent="0.25">
      <c r="A4385"/>
      <c r="B4385"/>
    </row>
    <row r="4386" spans="1:2" x14ac:dyDescent="0.25">
      <c r="A4386"/>
      <c r="B4386"/>
    </row>
    <row r="4387" spans="1:2" x14ac:dyDescent="0.25">
      <c r="A4387"/>
      <c r="B4387"/>
    </row>
    <row r="4388" spans="1:2" x14ac:dyDescent="0.25">
      <c r="A4388"/>
      <c r="B4388"/>
    </row>
    <row r="4389" spans="1:2" x14ac:dyDescent="0.25">
      <c r="A4389"/>
      <c r="B4389"/>
    </row>
    <row r="4390" spans="1:2" x14ac:dyDescent="0.25">
      <c r="A4390"/>
      <c r="B4390"/>
    </row>
    <row r="4391" spans="1:2" x14ac:dyDescent="0.25">
      <c r="A4391"/>
      <c r="B4391"/>
    </row>
    <row r="4392" spans="1:2" x14ac:dyDescent="0.25">
      <c r="A4392"/>
      <c r="B4392"/>
    </row>
    <row r="4393" spans="1:2" x14ac:dyDescent="0.25">
      <c r="A4393"/>
      <c r="B4393"/>
    </row>
    <row r="4394" spans="1:2" x14ac:dyDescent="0.25">
      <c r="A4394"/>
      <c r="B4394"/>
    </row>
    <row r="4395" spans="1:2" x14ac:dyDescent="0.25">
      <c r="A4395"/>
      <c r="B4395"/>
    </row>
    <row r="4396" spans="1:2" x14ac:dyDescent="0.25">
      <c r="A4396"/>
      <c r="B4396"/>
    </row>
    <row r="4397" spans="1:2" x14ac:dyDescent="0.25">
      <c r="A4397"/>
      <c r="B4397"/>
    </row>
    <row r="4398" spans="1:2" x14ac:dyDescent="0.25">
      <c r="A4398"/>
      <c r="B4398"/>
    </row>
    <row r="4399" spans="1:2" x14ac:dyDescent="0.25">
      <c r="A4399"/>
      <c r="B4399"/>
    </row>
    <row r="4400" spans="1:2" x14ac:dyDescent="0.25">
      <c r="A4400"/>
      <c r="B4400"/>
    </row>
    <row r="4401" spans="1:2" x14ac:dyDescent="0.25">
      <c r="A4401"/>
      <c r="B4401"/>
    </row>
    <row r="4402" spans="1:2" x14ac:dyDescent="0.25">
      <c r="A4402"/>
      <c r="B4402"/>
    </row>
    <row r="4403" spans="1:2" x14ac:dyDescent="0.25">
      <c r="A4403"/>
      <c r="B4403"/>
    </row>
    <row r="4404" spans="1:2" x14ac:dyDescent="0.25">
      <c r="A4404"/>
      <c r="B4404"/>
    </row>
    <row r="4405" spans="1:2" x14ac:dyDescent="0.25">
      <c r="A4405"/>
      <c r="B4405"/>
    </row>
    <row r="4406" spans="1:2" x14ac:dyDescent="0.25">
      <c r="A4406"/>
      <c r="B4406"/>
    </row>
    <row r="4407" spans="1:2" x14ac:dyDescent="0.25">
      <c r="A4407"/>
      <c r="B4407"/>
    </row>
    <row r="4408" spans="1:2" x14ac:dyDescent="0.25">
      <c r="A4408"/>
      <c r="B4408"/>
    </row>
    <row r="4409" spans="1:2" x14ac:dyDescent="0.25">
      <c r="A4409"/>
      <c r="B4409"/>
    </row>
    <row r="4410" spans="1:2" x14ac:dyDescent="0.25">
      <c r="A4410"/>
      <c r="B4410"/>
    </row>
    <row r="4411" spans="1:2" x14ac:dyDescent="0.25">
      <c r="A4411"/>
      <c r="B4411"/>
    </row>
    <row r="4412" spans="1:2" x14ac:dyDescent="0.25">
      <c r="A4412"/>
      <c r="B4412"/>
    </row>
    <row r="4413" spans="1:2" x14ac:dyDescent="0.25">
      <c r="A4413"/>
      <c r="B4413"/>
    </row>
    <row r="4414" spans="1:2" x14ac:dyDescent="0.25">
      <c r="A4414"/>
      <c r="B4414"/>
    </row>
    <row r="4415" spans="1:2" x14ac:dyDescent="0.25">
      <c r="A4415"/>
      <c r="B4415"/>
    </row>
    <row r="4416" spans="1:2" x14ac:dyDescent="0.25">
      <c r="A4416"/>
      <c r="B4416"/>
    </row>
    <row r="4417" spans="1:2" x14ac:dyDescent="0.25">
      <c r="A4417"/>
      <c r="B4417"/>
    </row>
    <row r="4418" spans="1:2" x14ac:dyDescent="0.25">
      <c r="A4418"/>
      <c r="B4418"/>
    </row>
    <row r="4419" spans="1:2" x14ac:dyDescent="0.25">
      <c r="A4419"/>
      <c r="B4419"/>
    </row>
    <row r="4420" spans="1:2" x14ac:dyDescent="0.25">
      <c r="A4420"/>
      <c r="B4420"/>
    </row>
    <row r="4421" spans="1:2" x14ac:dyDescent="0.25">
      <c r="A4421"/>
      <c r="B4421"/>
    </row>
    <row r="4422" spans="1:2" x14ac:dyDescent="0.25">
      <c r="A4422"/>
      <c r="B4422"/>
    </row>
    <row r="4423" spans="1:2" x14ac:dyDescent="0.25">
      <c r="A4423"/>
      <c r="B4423"/>
    </row>
    <row r="4424" spans="1:2" x14ac:dyDescent="0.25">
      <c r="A4424"/>
      <c r="B4424"/>
    </row>
    <row r="4425" spans="1:2" x14ac:dyDescent="0.25">
      <c r="A4425"/>
      <c r="B4425"/>
    </row>
    <row r="4426" spans="1:2" x14ac:dyDescent="0.25">
      <c r="A4426"/>
      <c r="B4426"/>
    </row>
    <row r="4427" spans="1:2" x14ac:dyDescent="0.25">
      <c r="A4427"/>
      <c r="B4427"/>
    </row>
    <row r="4428" spans="1:2" x14ac:dyDescent="0.25">
      <c r="A4428"/>
      <c r="B4428"/>
    </row>
    <row r="4429" spans="1:2" x14ac:dyDescent="0.25">
      <c r="A4429"/>
      <c r="B4429"/>
    </row>
    <row r="4430" spans="1:2" x14ac:dyDescent="0.25">
      <c r="A4430"/>
      <c r="B4430"/>
    </row>
    <row r="4431" spans="1:2" x14ac:dyDescent="0.25">
      <c r="A4431"/>
      <c r="B4431"/>
    </row>
    <row r="4432" spans="1:2" x14ac:dyDescent="0.25">
      <c r="A4432"/>
      <c r="B4432"/>
    </row>
    <row r="4433" spans="1:2" x14ac:dyDescent="0.25">
      <c r="A4433"/>
      <c r="B4433"/>
    </row>
    <row r="4434" spans="1:2" x14ac:dyDescent="0.25">
      <c r="A4434"/>
      <c r="B4434"/>
    </row>
    <row r="4435" spans="1:2" x14ac:dyDescent="0.25">
      <c r="A4435"/>
      <c r="B4435"/>
    </row>
    <row r="4436" spans="1:2" x14ac:dyDescent="0.25">
      <c r="A4436"/>
      <c r="B4436"/>
    </row>
    <row r="4437" spans="1:2" x14ac:dyDescent="0.25">
      <c r="A4437"/>
      <c r="B4437"/>
    </row>
    <row r="4438" spans="1:2" x14ac:dyDescent="0.25">
      <c r="A4438"/>
      <c r="B4438"/>
    </row>
    <row r="4439" spans="1:2" x14ac:dyDescent="0.25">
      <c r="A4439"/>
      <c r="B4439"/>
    </row>
    <row r="4440" spans="1:2" x14ac:dyDescent="0.25">
      <c r="A4440"/>
      <c r="B4440"/>
    </row>
    <row r="4441" spans="1:2" x14ac:dyDescent="0.25">
      <c r="A4441"/>
      <c r="B4441"/>
    </row>
    <row r="4442" spans="1:2" x14ac:dyDescent="0.25">
      <c r="A4442"/>
      <c r="B4442"/>
    </row>
    <row r="4443" spans="1:2" x14ac:dyDescent="0.25">
      <c r="A4443"/>
      <c r="B4443"/>
    </row>
    <row r="4444" spans="1:2" x14ac:dyDescent="0.25">
      <c r="A4444"/>
      <c r="B4444"/>
    </row>
    <row r="4445" spans="1:2" x14ac:dyDescent="0.25">
      <c r="A4445"/>
      <c r="B4445"/>
    </row>
    <row r="4446" spans="1:2" x14ac:dyDescent="0.25">
      <c r="A4446"/>
      <c r="B4446"/>
    </row>
    <row r="4447" spans="1:2" x14ac:dyDescent="0.25">
      <c r="A4447"/>
      <c r="B4447"/>
    </row>
    <row r="4448" spans="1:2" x14ac:dyDescent="0.25">
      <c r="A4448"/>
      <c r="B4448"/>
    </row>
    <row r="4449" spans="1:2" x14ac:dyDescent="0.25">
      <c r="A4449"/>
      <c r="B4449"/>
    </row>
    <row r="4450" spans="1:2" x14ac:dyDescent="0.25">
      <c r="A4450"/>
      <c r="B4450"/>
    </row>
    <row r="4451" spans="1:2" x14ac:dyDescent="0.25">
      <c r="A4451"/>
      <c r="B4451"/>
    </row>
    <row r="4452" spans="1:2" x14ac:dyDescent="0.25">
      <c r="A4452"/>
      <c r="B4452"/>
    </row>
    <row r="4453" spans="1:2" x14ac:dyDescent="0.25">
      <c r="A4453"/>
      <c r="B4453"/>
    </row>
    <row r="4454" spans="1:2" x14ac:dyDescent="0.25">
      <c r="A4454"/>
      <c r="B4454"/>
    </row>
    <row r="4455" spans="1:2" x14ac:dyDescent="0.25">
      <c r="A4455"/>
      <c r="B4455"/>
    </row>
    <row r="4456" spans="1:2" x14ac:dyDescent="0.25">
      <c r="A4456"/>
      <c r="B4456"/>
    </row>
    <row r="4457" spans="1:2" x14ac:dyDescent="0.25">
      <c r="A4457"/>
      <c r="B4457"/>
    </row>
    <row r="4458" spans="1:2" x14ac:dyDescent="0.25">
      <c r="A4458"/>
      <c r="B4458"/>
    </row>
    <row r="4459" spans="1:2" x14ac:dyDescent="0.25">
      <c r="A4459"/>
      <c r="B4459"/>
    </row>
    <row r="4460" spans="1:2" x14ac:dyDescent="0.25">
      <c r="A4460"/>
      <c r="B4460"/>
    </row>
    <row r="4461" spans="1:2" x14ac:dyDescent="0.25">
      <c r="A4461"/>
      <c r="B4461"/>
    </row>
    <row r="4462" spans="1:2" x14ac:dyDescent="0.25">
      <c r="A4462"/>
      <c r="B4462"/>
    </row>
    <row r="4463" spans="1:2" x14ac:dyDescent="0.25">
      <c r="A4463"/>
      <c r="B4463"/>
    </row>
    <row r="4464" spans="1:2" x14ac:dyDescent="0.25">
      <c r="A4464"/>
      <c r="B4464"/>
    </row>
    <row r="4465" spans="1:2" x14ac:dyDescent="0.25">
      <c r="A4465"/>
      <c r="B4465"/>
    </row>
    <row r="4466" spans="1:2" x14ac:dyDescent="0.25">
      <c r="A4466"/>
      <c r="B4466"/>
    </row>
    <row r="4467" spans="1:2" x14ac:dyDescent="0.25">
      <c r="A4467"/>
      <c r="B4467"/>
    </row>
    <row r="4468" spans="1:2" x14ac:dyDescent="0.25">
      <c r="A4468"/>
      <c r="B4468"/>
    </row>
    <row r="4469" spans="1:2" x14ac:dyDescent="0.25">
      <c r="A4469"/>
      <c r="B4469"/>
    </row>
    <row r="4470" spans="1:2" x14ac:dyDescent="0.25">
      <c r="A4470"/>
      <c r="B4470"/>
    </row>
    <row r="4471" spans="1:2" x14ac:dyDescent="0.25">
      <c r="A4471"/>
      <c r="B4471"/>
    </row>
    <row r="4472" spans="1:2" x14ac:dyDescent="0.25">
      <c r="A4472"/>
      <c r="B4472"/>
    </row>
    <row r="4473" spans="1:2" x14ac:dyDescent="0.25">
      <c r="A4473"/>
      <c r="B4473"/>
    </row>
    <row r="4474" spans="1:2" x14ac:dyDescent="0.25">
      <c r="A4474"/>
      <c r="B4474"/>
    </row>
    <row r="4475" spans="1:2" x14ac:dyDescent="0.25">
      <c r="A4475"/>
      <c r="B4475"/>
    </row>
    <row r="4476" spans="1:2" x14ac:dyDescent="0.25">
      <c r="A4476"/>
      <c r="B4476"/>
    </row>
    <row r="4477" spans="1:2" x14ac:dyDescent="0.25">
      <c r="A4477"/>
      <c r="B4477"/>
    </row>
    <row r="4478" spans="1:2" x14ac:dyDescent="0.25">
      <c r="A4478"/>
      <c r="B4478"/>
    </row>
    <row r="4479" spans="1:2" x14ac:dyDescent="0.25">
      <c r="A4479"/>
      <c r="B4479"/>
    </row>
    <row r="4480" spans="1:2" x14ac:dyDescent="0.25">
      <c r="A4480"/>
      <c r="B4480"/>
    </row>
    <row r="4481" spans="1:2" x14ac:dyDescent="0.25">
      <c r="A4481"/>
      <c r="B4481"/>
    </row>
    <row r="4482" spans="1:2" x14ac:dyDescent="0.25">
      <c r="A4482"/>
      <c r="B4482"/>
    </row>
    <row r="4483" spans="1:2" x14ac:dyDescent="0.25">
      <c r="A4483"/>
      <c r="B4483"/>
    </row>
    <row r="4484" spans="1:2" x14ac:dyDescent="0.25">
      <c r="A4484"/>
      <c r="B4484"/>
    </row>
    <row r="4485" spans="1:2" x14ac:dyDescent="0.25">
      <c r="A4485"/>
      <c r="B4485"/>
    </row>
    <row r="4486" spans="1:2" x14ac:dyDescent="0.25">
      <c r="A4486"/>
      <c r="B4486"/>
    </row>
    <row r="4487" spans="1:2" x14ac:dyDescent="0.25">
      <c r="A4487"/>
      <c r="B4487"/>
    </row>
    <row r="4488" spans="1:2" x14ac:dyDescent="0.25">
      <c r="A4488"/>
      <c r="B4488"/>
    </row>
    <row r="4489" spans="1:2" x14ac:dyDescent="0.25">
      <c r="A4489"/>
      <c r="B4489"/>
    </row>
    <row r="4490" spans="1:2" x14ac:dyDescent="0.25">
      <c r="A4490"/>
      <c r="B4490"/>
    </row>
    <row r="4491" spans="1:2" x14ac:dyDescent="0.25">
      <c r="A4491"/>
      <c r="B4491"/>
    </row>
    <row r="4492" spans="1:2" x14ac:dyDescent="0.25">
      <c r="A4492"/>
      <c r="B4492"/>
    </row>
    <row r="4493" spans="1:2" x14ac:dyDescent="0.25">
      <c r="A4493"/>
      <c r="B4493"/>
    </row>
    <row r="4494" spans="1:2" x14ac:dyDescent="0.25">
      <c r="A4494"/>
      <c r="B4494"/>
    </row>
    <row r="4495" spans="1:2" x14ac:dyDescent="0.25">
      <c r="A4495"/>
      <c r="B4495"/>
    </row>
    <row r="4496" spans="1:2" x14ac:dyDescent="0.25">
      <c r="A4496"/>
      <c r="B4496"/>
    </row>
    <row r="4497" spans="1:2" x14ac:dyDescent="0.25">
      <c r="A4497"/>
      <c r="B4497"/>
    </row>
    <row r="4498" spans="1:2" x14ac:dyDescent="0.25">
      <c r="A4498"/>
      <c r="B4498"/>
    </row>
    <row r="4499" spans="1:2" x14ac:dyDescent="0.25">
      <c r="A4499"/>
      <c r="B4499"/>
    </row>
    <row r="4500" spans="1:2" x14ac:dyDescent="0.25">
      <c r="A4500"/>
      <c r="B4500"/>
    </row>
    <row r="4501" spans="1:2" x14ac:dyDescent="0.25">
      <c r="A4501"/>
      <c r="B4501"/>
    </row>
    <row r="4502" spans="1:2" x14ac:dyDescent="0.25">
      <c r="A4502"/>
      <c r="B4502"/>
    </row>
    <row r="4503" spans="1:2" x14ac:dyDescent="0.25">
      <c r="A4503"/>
      <c r="B4503"/>
    </row>
    <row r="4504" spans="1:2" x14ac:dyDescent="0.25">
      <c r="A4504"/>
      <c r="B4504"/>
    </row>
    <row r="4505" spans="1:2" x14ac:dyDescent="0.25">
      <c r="A4505"/>
      <c r="B4505"/>
    </row>
    <row r="4506" spans="1:2" x14ac:dyDescent="0.25">
      <c r="A4506"/>
      <c r="B4506"/>
    </row>
    <row r="4507" spans="1:2" x14ac:dyDescent="0.25">
      <c r="A4507"/>
      <c r="B4507"/>
    </row>
    <row r="4508" spans="1:2" x14ac:dyDescent="0.25">
      <c r="A4508"/>
      <c r="B4508"/>
    </row>
    <row r="4509" spans="1:2" x14ac:dyDescent="0.25">
      <c r="A4509"/>
      <c r="B4509"/>
    </row>
    <row r="4510" spans="1:2" x14ac:dyDescent="0.25">
      <c r="A4510"/>
      <c r="B4510"/>
    </row>
    <row r="4511" spans="1:2" x14ac:dyDescent="0.25">
      <c r="A4511"/>
      <c r="B4511"/>
    </row>
    <row r="4512" spans="1:2" x14ac:dyDescent="0.25">
      <c r="A4512"/>
      <c r="B4512"/>
    </row>
    <row r="4513" spans="1:2" x14ac:dyDescent="0.25">
      <c r="A4513"/>
      <c r="B4513"/>
    </row>
    <row r="4514" spans="1:2" x14ac:dyDescent="0.25">
      <c r="A4514"/>
      <c r="B4514"/>
    </row>
    <row r="4515" spans="1:2" x14ac:dyDescent="0.25">
      <c r="A4515"/>
      <c r="B4515"/>
    </row>
    <row r="4516" spans="1:2" x14ac:dyDescent="0.25">
      <c r="A4516"/>
      <c r="B4516"/>
    </row>
    <row r="4517" spans="1:2" x14ac:dyDescent="0.25">
      <c r="A4517"/>
      <c r="B4517"/>
    </row>
    <row r="4518" spans="1:2" x14ac:dyDescent="0.25">
      <c r="A4518"/>
      <c r="B4518"/>
    </row>
    <row r="4519" spans="1:2" x14ac:dyDescent="0.25">
      <c r="A4519"/>
      <c r="B4519"/>
    </row>
    <row r="4520" spans="1:2" x14ac:dyDescent="0.25">
      <c r="A4520"/>
      <c r="B4520"/>
    </row>
    <row r="4521" spans="1:2" x14ac:dyDescent="0.25">
      <c r="A4521"/>
      <c r="B4521"/>
    </row>
    <row r="4522" spans="1:2" x14ac:dyDescent="0.25">
      <c r="A4522"/>
      <c r="B4522"/>
    </row>
    <row r="4523" spans="1:2" x14ac:dyDescent="0.25">
      <c r="A4523"/>
      <c r="B4523"/>
    </row>
    <row r="4524" spans="1:2" x14ac:dyDescent="0.25">
      <c r="A4524"/>
      <c r="B4524"/>
    </row>
    <row r="4525" spans="1:2" x14ac:dyDescent="0.25">
      <c r="A4525"/>
      <c r="B4525"/>
    </row>
    <row r="4526" spans="1:2" x14ac:dyDescent="0.25">
      <c r="A4526"/>
      <c r="B4526"/>
    </row>
    <row r="4527" spans="1:2" x14ac:dyDescent="0.25">
      <c r="A4527"/>
      <c r="B4527"/>
    </row>
    <row r="4528" spans="1:2" x14ac:dyDescent="0.25">
      <c r="A4528"/>
      <c r="B4528"/>
    </row>
    <row r="4529" spans="1:2" x14ac:dyDescent="0.25">
      <c r="A4529"/>
      <c r="B4529"/>
    </row>
    <row r="4530" spans="1:2" x14ac:dyDescent="0.25">
      <c r="A4530"/>
      <c r="B4530"/>
    </row>
    <row r="4531" spans="1:2" x14ac:dyDescent="0.25">
      <c r="A4531"/>
      <c r="B4531"/>
    </row>
    <row r="4532" spans="1:2" x14ac:dyDescent="0.25">
      <c r="A4532"/>
      <c r="B4532"/>
    </row>
    <row r="4533" spans="1:2" x14ac:dyDescent="0.25">
      <c r="A4533"/>
      <c r="B4533"/>
    </row>
    <row r="4534" spans="1:2" x14ac:dyDescent="0.25">
      <c r="A4534"/>
      <c r="B4534"/>
    </row>
    <row r="4535" spans="1:2" x14ac:dyDescent="0.25">
      <c r="A4535"/>
      <c r="B4535"/>
    </row>
    <row r="4536" spans="1:2" x14ac:dyDescent="0.25">
      <c r="A4536"/>
      <c r="B4536"/>
    </row>
    <row r="4537" spans="1:2" x14ac:dyDescent="0.25">
      <c r="A4537"/>
      <c r="B4537"/>
    </row>
    <row r="4538" spans="1:2" x14ac:dyDescent="0.25">
      <c r="A4538"/>
      <c r="B4538"/>
    </row>
    <row r="4539" spans="1:2" x14ac:dyDescent="0.25">
      <c r="A4539"/>
      <c r="B4539"/>
    </row>
    <row r="4540" spans="1:2" x14ac:dyDescent="0.25">
      <c r="A4540"/>
      <c r="B4540"/>
    </row>
    <row r="4541" spans="1:2" x14ac:dyDescent="0.25">
      <c r="A4541"/>
      <c r="B4541"/>
    </row>
    <row r="4542" spans="1:2" x14ac:dyDescent="0.25">
      <c r="A4542"/>
      <c r="B4542"/>
    </row>
    <row r="4543" spans="1:2" x14ac:dyDescent="0.25">
      <c r="A4543"/>
      <c r="B4543"/>
    </row>
    <row r="4544" spans="1:2" x14ac:dyDescent="0.25">
      <c r="A4544"/>
      <c r="B4544"/>
    </row>
    <row r="4545" spans="1:2" x14ac:dyDescent="0.25">
      <c r="A4545"/>
      <c r="B4545"/>
    </row>
    <row r="4546" spans="1:2" x14ac:dyDescent="0.25">
      <c r="A4546"/>
      <c r="B4546"/>
    </row>
    <row r="4547" spans="1:2" x14ac:dyDescent="0.25">
      <c r="A4547"/>
      <c r="B4547"/>
    </row>
    <row r="4548" spans="1:2" x14ac:dyDescent="0.25">
      <c r="A4548"/>
      <c r="B4548"/>
    </row>
    <row r="4549" spans="1:2" x14ac:dyDescent="0.25">
      <c r="A4549"/>
      <c r="B4549"/>
    </row>
    <row r="4550" spans="1:2" x14ac:dyDescent="0.25">
      <c r="A4550"/>
      <c r="B4550"/>
    </row>
    <row r="4551" spans="1:2" x14ac:dyDescent="0.25">
      <c r="A4551"/>
      <c r="B4551"/>
    </row>
    <row r="4552" spans="1:2" x14ac:dyDescent="0.25">
      <c r="A4552"/>
      <c r="B4552"/>
    </row>
    <row r="4553" spans="1:2" x14ac:dyDescent="0.25">
      <c r="A4553"/>
      <c r="B4553"/>
    </row>
    <row r="4554" spans="1:2" x14ac:dyDescent="0.25">
      <c r="A4554"/>
      <c r="B4554"/>
    </row>
    <row r="4555" spans="1:2" x14ac:dyDescent="0.25">
      <c r="A4555"/>
      <c r="B4555"/>
    </row>
    <row r="4556" spans="1:2" x14ac:dyDescent="0.25">
      <c r="A4556"/>
      <c r="B4556"/>
    </row>
    <row r="4557" spans="1:2" x14ac:dyDescent="0.25">
      <c r="A4557"/>
      <c r="B4557"/>
    </row>
    <row r="4558" spans="1:2" x14ac:dyDescent="0.25">
      <c r="A4558"/>
      <c r="B4558"/>
    </row>
    <row r="4559" spans="1:2" x14ac:dyDescent="0.25">
      <c r="A4559"/>
      <c r="B4559"/>
    </row>
    <row r="4560" spans="1:2" x14ac:dyDescent="0.25">
      <c r="A4560"/>
      <c r="B4560"/>
    </row>
    <row r="4561" spans="1:2" x14ac:dyDescent="0.25">
      <c r="A4561"/>
      <c r="B4561"/>
    </row>
    <row r="4562" spans="1:2" x14ac:dyDescent="0.25">
      <c r="A4562"/>
      <c r="B4562"/>
    </row>
    <row r="4563" spans="1:2" x14ac:dyDescent="0.25">
      <c r="A4563"/>
      <c r="B4563"/>
    </row>
    <row r="4564" spans="1:2" x14ac:dyDescent="0.25">
      <c r="A4564"/>
      <c r="B4564"/>
    </row>
    <row r="4565" spans="1:2" x14ac:dyDescent="0.25">
      <c r="A4565"/>
      <c r="B4565"/>
    </row>
    <row r="4566" spans="1:2" x14ac:dyDescent="0.25">
      <c r="A4566"/>
      <c r="B4566"/>
    </row>
    <row r="4567" spans="1:2" x14ac:dyDescent="0.25">
      <c r="A4567"/>
      <c r="B4567"/>
    </row>
    <row r="4568" spans="1:2" x14ac:dyDescent="0.25">
      <c r="A4568"/>
      <c r="B4568"/>
    </row>
    <row r="4569" spans="1:2" x14ac:dyDescent="0.25">
      <c r="A4569"/>
      <c r="B4569"/>
    </row>
    <row r="4570" spans="1:2" x14ac:dyDescent="0.25">
      <c r="A4570"/>
      <c r="B4570"/>
    </row>
    <row r="4571" spans="1:2" x14ac:dyDescent="0.25">
      <c r="A4571"/>
      <c r="B4571"/>
    </row>
    <row r="4572" spans="1:2" x14ac:dyDescent="0.25">
      <c r="A4572"/>
      <c r="B4572"/>
    </row>
    <row r="4573" spans="1:2" x14ac:dyDescent="0.25">
      <c r="A4573"/>
      <c r="B4573"/>
    </row>
    <row r="4574" spans="1:2" x14ac:dyDescent="0.25">
      <c r="A4574"/>
      <c r="B4574"/>
    </row>
    <row r="4575" spans="1:2" x14ac:dyDescent="0.25">
      <c r="A4575"/>
      <c r="B4575"/>
    </row>
    <row r="4576" spans="1:2" x14ac:dyDescent="0.25">
      <c r="A4576"/>
      <c r="B4576"/>
    </row>
    <row r="4577" spans="1:2" x14ac:dyDescent="0.25">
      <c r="A4577"/>
      <c r="B4577"/>
    </row>
    <row r="4578" spans="1:2" x14ac:dyDescent="0.25">
      <c r="A4578"/>
      <c r="B4578"/>
    </row>
    <row r="4579" spans="1:2" x14ac:dyDescent="0.25">
      <c r="A4579"/>
      <c r="B4579"/>
    </row>
    <row r="4580" spans="1:2" x14ac:dyDescent="0.25">
      <c r="A4580"/>
      <c r="B4580"/>
    </row>
    <row r="4581" spans="1:2" x14ac:dyDescent="0.25">
      <c r="A4581"/>
      <c r="B4581"/>
    </row>
    <row r="4582" spans="1:2" x14ac:dyDescent="0.25">
      <c r="A4582"/>
      <c r="B4582"/>
    </row>
    <row r="4583" spans="1:2" x14ac:dyDescent="0.25">
      <c r="A4583"/>
      <c r="B4583"/>
    </row>
    <row r="4584" spans="1:2" x14ac:dyDescent="0.25">
      <c r="A4584"/>
      <c r="B4584"/>
    </row>
    <row r="4585" spans="1:2" x14ac:dyDescent="0.25">
      <c r="A4585"/>
      <c r="B4585"/>
    </row>
    <row r="4586" spans="1:2" x14ac:dyDescent="0.25">
      <c r="A4586"/>
      <c r="B4586"/>
    </row>
    <row r="4587" spans="1:2" x14ac:dyDescent="0.25">
      <c r="A4587"/>
      <c r="B4587"/>
    </row>
    <row r="4588" spans="1:2" x14ac:dyDescent="0.25">
      <c r="A4588"/>
      <c r="B4588"/>
    </row>
    <row r="4589" spans="1:2" x14ac:dyDescent="0.25">
      <c r="A4589"/>
      <c r="B4589"/>
    </row>
    <row r="4590" spans="1:2" x14ac:dyDescent="0.25">
      <c r="A4590"/>
      <c r="B4590"/>
    </row>
    <row r="4591" spans="1:2" x14ac:dyDescent="0.25">
      <c r="A4591"/>
      <c r="B4591"/>
    </row>
    <row r="4592" spans="1:2" x14ac:dyDescent="0.25">
      <c r="A4592"/>
      <c r="B4592"/>
    </row>
    <row r="4593" spans="1:2" x14ac:dyDescent="0.25">
      <c r="A4593"/>
      <c r="B4593"/>
    </row>
    <row r="4594" spans="1:2" x14ac:dyDescent="0.25">
      <c r="A4594"/>
      <c r="B4594"/>
    </row>
    <row r="4595" spans="1:2" x14ac:dyDescent="0.25">
      <c r="A4595"/>
      <c r="B4595"/>
    </row>
    <row r="4596" spans="1:2" x14ac:dyDescent="0.25">
      <c r="A4596"/>
      <c r="B4596"/>
    </row>
    <row r="4597" spans="1:2" x14ac:dyDescent="0.25">
      <c r="A4597"/>
      <c r="B4597"/>
    </row>
    <row r="4598" spans="1:2" x14ac:dyDescent="0.25">
      <c r="A4598"/>
      <c r="B4598"/>
    </row>
    <row r="4599" spans="1:2" x14ac:dyDescent="0.25">
      <c r="A4599"/>
      <c r="B4599"/>
    </row>
    <row r="4600" spans="1:2" x14ac:dyDescent="0.25">
      <c r="A4600"/>
      <c r="B4600"/>
    </row>
    <row r="4601" spans="1:2" x14ac:dyDescent="0.25">
      <c r="A4601"/>
      <c r="B4601"/>
    </row>
    <row r="4602" spans="1:2" x14ac:dyDescent="0.25">
      <c r="A4602"/>
      <c r="B4602"/>
    </row>
    <row r="4603" spans="1:2" x14ac:dyDescent="0.25">
      <c r="A4603"/>
      <c r="B4603"/>
    </row>
    <row r="4604" spans="1:2" x14ac:dyDescent="0.25">
      <c r="A4604"/>
      <c r="B4604"/>
    </row>
    <row r="4605" spans="1:2" x14ac:dyDescent="0.25">
      <c r="A4605"/>
      <c r="B4605"/>
    </row>
    <row r="4606" spans="1:2" x14ac:dyDescent="0.25">
      <c r="A4606"/>
      <c r="B4606"/>
    </row>
    <row r="4607" spans="1:2" x14ac:dyDescent="0.25">
      <c r="A4607"/>
      <c r="B4607"/>
    </row>
    <row r="4608" spans="1:2" x14ac:dyDescent="0.25">
      <c r="A4608"/>
      <c r="B4608"/>
    </row>
    <row r="4609" spans="1:2" x14ac:dyDescent="0.25">
      <c r="A4609"/>
      <c r="B4609"/>
    </row>
    <row r="4610" spans="1:2" x14ac:dyDescent="0.25">
      <c r="A4610"/>
      <c r="B4610"/>
    </row>
    <row r="4611" spans="1:2" x14ac:dyDescent="0.25">
      <c r="A4611"/>
      <c r="B4611"/>
    </row>
    <row r="4612" spans="1:2" x14ac:dyDescent="0.25">
      <c r="A4612"/>
      <c r="B4612"/>
    </row>
    <row r="4613" spans="1:2" x14ac:dyDescent="0.25">
      <c r="A4613"/>
      <c r="B4613"/>
    </row>
    <row r="4614" spans="1:2" x14ac:dyDescent="0.25">
      <c r="A4614"/>
      <c r="B4614"/>
    </row>
    <row r="4615" spans="1:2" x14ac:dyDescent="0.25">
      <c r="A4615"/>
      <c r="B4615"/>
    </row>
    <row r="4616" spans="1:2" x14ac:dyDescent="0.25">
      <c r="A4616"/>
      <c r="B4616"/>
    </row>
    <row r="4617" spans="1:2" x14ac:dyDescent="0.25">
      <c r="A4617"/>
      <c r="B4617"/>
    </row>
    <row r="4618" spans="1:2" x14ac:dyDescent="0.25">
      <c r="A4618"/>
      <c r="B4618"/>
    </row>
    <row r="4619" spans="1:2" x14ac:dyDescent="0.25">
      <c r="A4619"/>
      <c r="B4619"/>
    </row>
    <row r="4620" spans="1:2" x14ac:dyDescent="0.25">
      <c r="A4620"/>
      <c r="B4620"/>
    </row>
    <row r="4621" spans="1:2" x14ac:dyDescent="0.25">
      <c r="A4621"/>
      <c r="B4621"/>
    </row>
    <row r="4622" spans="1:2" x14ac:dyDescent="0.25">
      <c r="A4622"/>
      <c r="B4622"/>
    </row>
    <row r="4623" spans="1:2" x14ac:dyDescent="0.25">
      <c r="A4623"/>
      <c r="B4623"/>
    </row>
    <row r="4624" spans="1:2" x14ac:dyDescent="0.25">
      <c r="A4624"/>
      <c r="B4624"/>
    </row>
    <row r="4625" spans="1:2" x14ac:dyDescent="0.25">
      <c r="A4625"/>
      <c r="B4625"/>
    </row>
    <row r="4626" spans="1:2" x14ac:dyDescent="0.25">
      <c r="A4626"/>
      <c r="B4626"/>
    </row>
    <row r="4627" spans="1:2" x14ac:dyDescent="0.25">
      <c r="A4627"/>
      <c r="B4627"/>
    </row>
    <row r="4628" spans="1:2" x14ac:dyDescent="0.25">
      <c r="A4628"/>
      <c r="B4628"/>
    </row>
    <row r="4629" spans="1:2" x14ac:dyDescent="0.25">
      <c r="A4629"/>
      <c r="B4629"/>
    </row>
    <row r="4630" spans="1:2" x14ac:dyDescent="0.25">
      <c r="A4630"/>
      <c r="B4630"/>
    </row>
    <row r="4631" spans="1:2" x14ac:dyDescent="0.25">
      <c r="A4631"/>
      <c r="B4631"/>
    </row>
    <row r="4632" spans="1:2" x14ac:dyDescent="0.25">
      <c r="A4632"/>
      <c r="B4632"/>
    </row>
    <row r="4633" spans="1:2" x14ac:dyDescent="0.25">
      <c r="A4633"/>
      <c r="B4633"/>
    </row>
    <row r="4634" spans="1:2" x14ac:dyDescent="0.25">
      <c r="A4634"/>
      <c r="B4634"/>
    </row>
    <row r="4635" spans="1:2" x14ac:dyDescent="0.25">
      <c r="A4635"/>
      <c r="B4635"/>
    </row>
    <row r="4636" spans="1:2" x14ac:dyDescent="0.25">
      <c r="A4636"/>
      <c r="B4636"/>
    </row>
    <row r="4637" spans="1:2" x14ac:dyDescent="0.25">
      <c r="A4637"/>
      <c r="B4637"/>
    </row>
    <row r="4638" spans="1:2" x14ac:dyDescent="0.25">
      <c r="A4638"/>
      <c r="B4638"/>
    </row>
    <row r="4639" spans="1:2" x14ac:dyDescent="0.25">
      <c r="A4639"/>
      <c r="B4639"/>
    </row>
    <row r="4640" spans="1:2" x14ac:dyDescent="0.25">
      <c r="A4640"/>
      <c r="B4640"/>
    </row>
    <row r="4641" spans="1:2" x14ac:dyDescent="0.25">
      <c r="A4641"/>
      <c r="B4641"/>
    </row>
    <row r="4642" spans="1:2" x14ac:dyDescent="0.25">
      <c r="A4642"/>
      <c r="B4642"/>
    </row>
    <row r="4643" spans="1:2" x14ac:dyDescent="0.25">
      <c r="A4643"/>
      <c r="B4643"/>
    </row>
    <row r="4644" spans="1:2" x14ac:dyDescent="0.25">
      <c r="A4644"/>
      <c r="B4644"/>
    </row>
    <row r="4645" spans="1:2" x14ac:dyDescent="0.25">
      <c r="A4645"/>
      <c r="B4645"/>
    </row>
    <row r="4646" spans="1:2" x14ac:dyDescent="0.25">
      <c r="A4646"/>
      <c r="B4646"/>
    </row>
    <row r="4647" spans="1:2" x14ac:dyDescent="0.25">
      <c r="A4647"/>
      <c r="B4647"/>
    </row>
    <row r="4648" spans="1:2" x14ac:dyDescent="0.25">
      <c r="A4648"/>
      <c r="B4648"/>
    </row>
    <row r="4649" spans="1:2" x14ac:dyDescent="0.25">
      <c r="A4649"/>
      <c r="B4649"/>
    </row>
    <row r="4650" spans="1:2" x14ac:dyDescent="0.25">
      <c r="A4650"/>
      <c r="B4650"/>
    </row>
    <row r="4651" spans="1:2" x14ac:dyDescent="0.25">
      <c r="A4651"/>
      <c r="B4651"/>
    </row>
    <row r="4652" spans="1:2" x14ac:dyDescent="0.25">
      <c r="A4652"/>
      <c r="B4652"/>
    </row>
    <row r="4653" spans="1:2" x14ac:dyDescent="0.25">
      <c r="A4653"/>
      <c r="B4653"/>
    </row>
    <row r="4654" spans="1:2" x14ac:dyDescent="0.25">
      <c r="A4654"/>
      <c r="B4654"/>
    </row>
    <row r="4655" spans="1:2" x14ac:dyDescent="0.25">
      <c r="A4655"/>
      <c r="B4655"/>
    </row>
    <row r="4656" spans="1:2" x14ac:dyDescent="0.25">
      <c r="A4656"/>
      <c r="B4656"/>
    </row>
    <row r="4657" spans="1:2" x14ac:dyDescent="0.25">
      <c r="A4657"/>
      <c r="B4657"/>
    </row>
    <row r="4658" spans="1:2" x14ac:dyDescent="0.25">
      <c r="A4658"/>
      <c r="B4658"/>
    </row>
    <row r="4659" spans="1:2" x14ac:dyDescent="0.25">
      <c r="A4659"/>
      <c r="B4659"/>
    </row>
    <row r="4660" spans="1:2" x14ac:dyDescent="0.25">
      <c r="A4660"/>
      <c r="B4660"/>
    </row>
    <row r="4661" spans="1:2" x14ac:dyDescent="0.25">
      <c r="A4661"/>
      <c r="B4661"/>
    </row>
    <row r="4662" spans="1:2" x14ac:dyDescent="0.25">
      <c r="A4662"/>
      <c r="B4662"/>
    </row>
    <row r="4663" spans="1:2" x14ac:dyDescent="0.25">
      <c r="A4663"/>
      <c r="B4663"/>
    </row>
    <row r="4664" spans="1:2" x14ac:dyDescent="0.25">
      <c r="A4664"/>
      <c r="B4664"/>
    </row>
    <row r="4665" spans="1:2" x14ac:dyDescent="0.25">
      <c r="A4665"/>
      <c r="B4665"/>
    </row>
    <row r="4666" spans="1:2" x14ac:dyDescent="0.25">
      <c r="A4666"/>
      <c r="B4666"/>
    </row>
    <row r="4667" spans="1:2" x14ac:dyDescent="0.25">
      <c r="A4667"/>
      <c r="B4667"/>
    </row>
    <row r="4668" spans="1:2" x14ac:dyDescent="0.25">
      <c r="A4668"/>
      <c r="B4668"/>
    </row>
    <row r="4669" spans="1:2" x14ac:dyDescent="0.25">
      <c r="A4669"/>
      <c r="B4669"/>
    </row>
    <row r="4670" spans="1:2" x14ac:dyDescent="0.25">
      <c r="A4670"/>
      <c r="B4670"/>
    </row>
    <row r="4671" spans="1:2" x14ac:dyDescent="0.25">
      <c r="A4671"/>
      <c r="B4671"/>
    </row>
    <row r="4672" spans="1:2" x14ac:dyDescent="0.25">
      <c r="A4672"/>
      <c r="B4672"/>
    </row>
    <row r="4673" spans="1:2" x14ac:dyDescent="0.25">
      <c r="A4673"/>
      <c r="B4673"/>
    </row>
    <row r="4674" spans="1:2" x14ac:dyDescent="0.25">
      <c r="A4674"/>
      <c r="B4674"/>
    </row>
    <row r="4675" spans="1:2" x14ac:dyDescent="0.25">
      <c r="A4675"/>
      <c r="B4675"/>
    </row>
    <row r="4676" spans="1:2" x14ac:dyDescent="0.25">
      <c r="A4676"/>
      <c r="B4676"/>
    </row>
    <row r="4677" spans="1:2" x14ac:dyDescent="0.25">
      <c r="A4677"/>
      <c r="B4677"/>
    </row>
    <row r="4678" spans="1:2" x14ac:dyDescent="0.25">
      <c r="A4678"/>
      <c r="B4678"/>
    </row>
    <row r="4679" spans="1:2" x14ac:dyDescent="0.25">
      <c r="A4679"/>
      <c r="B4679"/>
    </row>
    <row r="4680" spans="1:2" x14ac:dyDescent="0.25">
      <c r="A4680"/>
      <c r="B4680"/>
    </row>
    <row r="4681" spans="1:2" x14ac:dyDescent="0.25">
      <c r="A4681"/>
      <c r="B4681"/>
    </row>
    <row r="4682" spans="1:2" x14ac:dyDescent="0.25">
      <c r="A4682"/>
      <c r="B4682"/>
    </row>
    <row r="4683" spans="1:2" x14ac:dyDescent="0.25">
      <c r="A4683"/>
      <c r="B4683"/>
    </row>
    <row r="4684" spans="1:2" x14ac:dyDescent="0.25">
      <c r="A4684"/>
      <c r="B4684"/>
    </row>
    <row r="4685" spans="1:2" x14ac:dyDescent="0.25">
      <c r="A4685"/>
      <c r="B4685"/>
    </row>
    <row r="4686" spans="1:2" x14ac:dyDescent="0.25">
      <c r="A4686"/>
      <c r="B4686"/>
    </row>
    <row r="4687" spans="1:2" x14ac:dyDescent="0.25">
      <c r="A4687"/>
      <c r="B4687"/>
    </row>
    <row r="4688" spans="1:2" x14ac:dyDescent="0.25">
      <c r="A4688"/>
      <c r="B4688"/>
    </row>
    <row r="4689" spans="1:2" x14ac:dyDescent="0.25">
      <c r="A4689"/>
      <c r="B4689"/>
    </row>
    <row r="4690" spans="1:2" x14ac:dyDescent="0.25">
      <c r="A4690"/>
      <c r="B4690"/>
    </row>
    <row r="4691" spans="1:2" x14ac:dyDescent="0.25">
      <c r="A4691"/>
      <c r="B4691"/>
    </row>
    <row r="4692" spans="1:2" x14ac:dyDescent="0.25">
      <c r="A4692"/>
      <c r="B4692"/>
    </row>
    <row r="4693" spans="1:2" x14ac:dyDescent="0.25">
      <c r="A4693"/>
      <c r="B4693"/>
    </row>
    <row r="4694" spans="1:2" x14ac:dyDescent="0.25">
      <c r="A4694"/>
      <c r="B4694"/>
    </row>
    <row r="4695" spans="1:2" x14ac:dyDescent="0.25">
      <c r="A4695"/>
      <c r="B4695"/>
    </row>
    <row r="4696" spans="1:2" x14ac:dyDescent="0.25">
      <c r="A4696"/>
      <c r="B4696"/>
    </row>
    <row r="4697" spans="1:2" x14ac:dyDescent="0.25">
      <c r="A4697"/>
      <c r="B4697"/>
    </row>
    <row r="4698" spans="1:2" x14ac:dyDescent="0.25">
      <c r="A4698"/>
      <c r="B4698"/>
    </row>
    <row r="4699" spans="1:2" x14ac:dyDescent="0.25">
      <c r="A4699"/>
      <c r="B4699"/>
    </row>
    <row r="4700" spans="1:2" x14ac:dyDescent="0.25">
      <c r="A4700"/>
      <c r="B4700"/>
    </row>
    <row r="4701" spans="1:2" x14ac:dyDescent="0.25">
      <c r="A4701"/>
      <c r="B4701"/>
    </row>
    <row r="4702" spans="1:2" x14ac:dyDescent="0.25">
      <c r="A4702"/>
      <c r="B4702"/>
    </row>
    <row r="4703" spans="1:2" x14ac:dyDescent="0.25">
      <c r="A4703"/>
      <c r="B4703"/>
    </row>
    <row r="4704" spans="1:2" x14ac:dyDescent="0.25">
      <c r="A4704"/>
      <c r="B4704"/>
    </row>
    <row r="4705" spans="1:2" x14ac:dyDescent="0.25">
      <c r="A4705"/>
      <c r="B4705"/>
    </row>
    <row r="4706" spans="1:2" x14ac:dyDescent="0.25">
      <c r="A4706"/>
      <c r="B4706"/>
    </row>
    <row r="4707" spans="1:2" x14ac:dyDescent="0.25">
      <c r="A4707"/>
      <c r="B4707"/>
    </row>
    <row r="4708" spans="1:2" x14ac:dyDescent="0.25">
      <c r="A4708"/>
      <c r="B4708"/>
    </row>
    <row r="4709" spans="1:2" x14ac:dyDescent="0.25">
      <c r="A4709"/>
      <c r="B4709"/>
    </row>
    <row r="4710" spans="1:2" x14ac:dyDescent="0.25">
      <c r="A4710"/>
      <c r="B4710"/>
    </row>
    <row r="4711" spans="1:2" x14ac:dyDescent="0.25">
      <c r="A4711"/>
      <c r="B4711"/>
    </row>
    <row r="4712" spans="1:2" x14ac:dyDescent="0.25">
      <c r="A4712"/>
      <c r="B4712"/>
    </row>
    <row r="4713" spans="1:2" x14ac:dyDescent="0.25">
      <c r="A4713"/>
      <c r="B4713"/>
    </row>
    <row r="4714" spans="1:2" x14ac:dyDescent="0.25">
      <c r="A4714"/>
      <c r="B4714"/>
    </row>
    <row r="4715" spans="1:2" x14ac:dyDescent="0.25">
      <c r="A4715"/>
      <c r="B4715"/>
    </row>
    <row r="4716" spans="1:2" x14ac:dyDescent="0.25">
      <c r="A4716"/>
      <c r="B4716"/>
    </row>
    <row r="4717" spans="1:2" x14ac:dyDescent="0.25">
      <c r="A4717"/>
      <c r="B4717"/>
    </row>
    <row r="4718" spans="1:2" x14ac:dyDescent="0.25">
      <c r="A4718"/>
      <c r="B4718"/>
    </row>
    <row r="4719" spans="1:2" x14ac:dyDescent="0.25">
      <c r="A4719"/>
      <c r="B4719"/>
    </row>
    <row r="4720" spans="1:2" x14ac:dyDescent="0.25">
      <c r="A4720"/>
      <c r="B4720"/>
    </row>
    <row r="4721" spans="1:2" x14ac:dyDescent="0.25">
      <c r="A4721"/>
      <c r="B4721"/>
    </row>
    <row r="4722" spans="1:2" x14ac:dyDescent="0.25">
      <c r="A4722"/>
      <c r="B4722"/>
    </row>
    <row r="4723" spans="1:2" x14ac:dyDescent="0.25">
      <c r="A4723"/>
      <c r="B4723"/>
    </row>
    <row r="4724" spans="1:2" x14ac:dyDescent="0.25">
      <c r="A4724"/>
      <c r="B4724"/>
    </row>
    <row r="4725" spans="1:2" x14ac:dyDescent="0.25">
      <c r="A4725"/>
      <c r="B4725"/>
    </row>
    <row r="4726" spans="1:2" x14ac:dyDescent="0.25">
      <c r="A4726"/>
      <c r="B4726"/>
    </row>
    <row r="4727" spans="1:2" x14ac:dyDescent="0.25">
      <c r="A4727"/>
      <c r="B4727"/>
    </row>
    <row r="4728" spans="1:2" x14ac:dyDescent="0.25">
      <c r="A4728"/>
      <c r="B4728"/>
    </row>
    <row r="4729" spans="1:2" x14ac:dyDescent="0.25">
      <c r="A4729"/>
      <c r="B4729"/>
    </row>
    <row r="4730" spans="1:2" x14ac:dyDescent="0.25">
      <c r="A4730"/>
      <c r="B4730"/>
    </row>
    <row r="4731" spans="1:2" x14ac:dyDescent="0.25">
      <c r="A4731"/>
      <c r="B4731"/>
    </row>
    <row r="4732" spans="1:2" x14ac:dyDescent="0.25">
      <c r="A4732"/>
      <c r="B4732"/>
    </row>
    <row r="4733" spans="1:2" x14ac:dyDescent="0.25">
      <c r="A4733"/>
      <c r="B4733"/>
    </row>
    <row r="4734" spans="1:2" x14ac:dyDescent="0.25">
      <c r="A4734"/>
      <c r="B4734"/>
    </row>
    <row r="4735" spans="1:2" x14ac:dyDescent="0.25">
      <c r="A4735"/>
      <c r="B4735"/>
    </row>
    <row r="4736" spans="1:2" x14ac:dyDescent="0.25">
      <c r="A4736"/>
      <c r="B4736"/>
    </row>
    <row r="4737" spans="1:2" x14ac:dyDescent="0.25">
      <c r="A4737"/>
      <c r="B4737"/>
    </row>
    <row r="4738" spans="1:2" x14ac:dyDescent="0.25">
      <c r="A4738"/>
      <c r="B4738"/>
    </row>
    <row r="4739" spans="1:2" x14ac:dyDescent="0.25">
      <c r="A4739"/>
      <c r="B4739"/>
    </row>
    <row r="4740" spans="1:2" x14ac:dyDescent="0.25">
      <c r="A4740"/>
      <c r="B4740"/>
    </row>
    <row r="4741" spans="1:2" x14ac:dyDescent="0.25">
      <c r="A4741"/>
      <c r="B4741"/>
    </row>
    <row r="4742" spans="1:2" x14ac:dyDescent="0.25">
      <c r="A4742"/>
      <c r="B4742"/>
    </row>
    <row r="4743" spans="1:2" x14ac:dyDescent="0.25">
      <c r="A4743"/>
      <c r="B4743"/>
    </row>
    <row r="4744" spans="1:2" x14ac:dyDescent="0.25">
      <c r="A4744"/>
      <c r="B4744"/>
    </row>
    <row r="4745" spans="1:2" x14ac:dyDescent="0.25">
      <c r="A4745"/>
      <c r="B4745"/>
    </row>
    <row r="4746" spans="1:2" x14ac:dyDescent="0.25">
      <c r="A4746"/>
      <c r="B4746"/>
    </row>
    <row r="4747" spans="1:2" x14ac:dyDescent="0.25">
      <c r="A4747"/>
      <c r="B4747"/>
    </row>
    <row r="4748" spans="1:2" x14ac:dyDescent="0.25">
      <c r="A4748"/>
      <c r="B4748"/>
    </row>
    <row r="4749" spans="1:2" x14ac:dyDescent="0.25">
      <c r="A4749"/>
      <c r="B4749"/>
    </row>
    <row r="4750" spans="1:2" x14ac:dyDescent="0.25">
      <c r="A4750"/>
      <c r="B4750"/>
    </row>
    <row r="4751" spans="1:2" x14ac:dyDescent="0.25">
      <c r="A4751"/>
      <c r="B4751"/>
    </row>
    <row r="4752" spans="1:2" x14ac:dyDescent="0.25">
      <c r="A4752"/>
      <c r="B4752"/>
    </row>
    <row r="4753" spans="1:2" x14ac:dyDescent="0.25">
      <c r="A4753"/>
      <c r="B4753"/>
    </row>
    <row r="4754" spans="1:2" x14ac:dyDescent="0.25">
      <c r="A4754"/>
      <c r="B4754"/>
    </row>
    <row r="4755" spans="1:2" x14ac:dyDescent="0.25">
      <c r="A4755"/>
      <c r="B4755"/>
    </row>
    <row r="4756" spans="1:2" x14ac:dyDescent="0.25">
      <c r="A4756"/>
      <c r="B4756"/>
    </row>
    <row r="4757" spans="1:2" x14ac:dyDescent="0.25">
      <c r="A4757"/>
      <c r="B4757"/>
    </row>
    <row r="4758" spans="1:2" x14ac:dyDescent="0.25">
      <c r="A4758"/>
      <c r="B4758"/>
    </row>
    <row r="4759" spans="1:2" x14ac:dyDescent="0.25">
      <c r="A4759"/>
      <c r="B4759"/>
    </row>
    <row r="4760" spans="1:2" x14ac:dyDescent="0.25">
      <c r="A4760"/>
      <c r="B4760"/>
    </row>
    <row r="4761" spans="1:2" x14ac:dyDescent="0.25">
      <c r="A4761"/>
      <c r="B4761"/>
    </row>
    <row r="4762" spans="1:2" x14ac:dyDescent="0.25">
      <c r="A4762"/>
      <c r="B4762"/>
    </row>
    <row r="4763" spans="1:2" x14ac:dyDescent="0.25">
      <c r="A4763"/>
      <c r="B4763"/>
    </row>
    <row r="4764" spans="1:2" x14ac:dyDescent="0.25">
      <c r="A4764"/>
      <c r="B4764"/>
    </row>
    <row r="4765" spans="1:2" x14ac:dyDescent="0.25">
      <c r="A4765"/>
      <c r="B4765"/>
    </row>
    <row r="4766" spans="1:2" x14ac:dyDescent="0.25">
      <c r="A4766"/>
      <c r="B4766"/>
    </row>
    <row r="4767" spans="1:2" x14ac:dyDescent="0.25">
      <c r="A4767"/>
      <c r="B4767"/>
    </row>
    <row r="4768" spans="1:2" x14ac:dyDescent="0.25">
      <c r="A4768"/>
      <c r="B4768"/>
    </row>
    <row r="4769" spans="1:2" x14ac:dyDescent="0.25">
      <c r="A4769"/>
      <c r="B4769"/>
    </row>
    <row r="4770" spans="1:2" x14ac:dyDescent="0.25">
      <c r="A4770"/>
      <c r="B4770"/>
    </row>
    <row r="4771" spans="1:2" x14ac:dyDescent="0.25">
      <c r="A4771"/>
      <c r="B4771"/>
    </row>
    <row r="4772" spans="1:2" x14ac:dyDescent="0.25">
      <c r="A4772"/>
      <c r="B4772"/>
    </row>
    <row r="4773" spans="1:2" x14ac:dyDescent="0.25">
      <c r="A4773"/>
      <c r="B4773"/>
    </row>
    <row r="4774" spans="1:2" x14ac:dyDescent="0.25">
      <c r="A4774"/>
      <c r="B4774"/>
    </row>
    <row r="4775" spans="1:2" x14ac:dyDescent="0.25">
      <c r="A4775"/>
      <c r="B4775"/>
    </row>
    <row r="4776" spans="1:2" x14ac:dyDescent="0.25">
      <c r="A4776"/>
      <c r="B4776"/>
    </row>
    <row r="4777" spans="1:2" x14ac:dyDescent="0.25">
      <c r="A4777"/>
      <c r="B4777"/>
    </row>
    <row r="4778" spans="1:2" x14ac:dyDescent="0.25">
      <c r="A4778"/>
      <c r="B4778"/>
    </row>
    <row r="4779" spans="1:2" x14ac:dyDescent="0.25">
      <c r="A4779"/>
      <c r="B4779"/>
    </row>
    <row r="4780" spans="1:2" x14ac:dyDescent="0.25">
      <c r="A4780"/>
      <c r="B4780"/>
    </row>
    <row r="4781" spans="1:2" x14ac:dyDescent="0.25">
      <c r="A4781"/>
      <c r="B4781"/>
    </row>
    <row r="4782" spans="1:2" x14ac:dyDescent="0.25">
      <c r="A4782"/>
      <c r="B4782"/>
    </row>
    <row r="4783" spans="1:2" x14ac:dyDescent="0.25">
      <c r="A4783"/>
      <c r="B4783"/>
    </row>
    <row r="4784" spans="1:2" x14ac:dyDescent="0.25">
      <c r="A4784"/>
      <c r="B4784"/>
    </row>
    <row r="4785" spans="1:2" x14ac:dyDescent="0.25">
      <c r="A4785"/>
      <c r="B4785"/>
    </row>
    <row r="4786" spans="1:2" x14ac:dyDescent="0.25">
      <c r="A4786"/>
      <c r="B4786"/>
    </row>
    <row r="4787" spans="1:2" x14ac:dyDescent="0.25">
      <c r="A4787"/>
      <c r="B4787"/>
    </row>
    <row r="4788" spans="1:2" x14ac:dyDescent="0.25">
      <c r="A4788"/>
      <c r="B4788"/>
    </row>
    <row r="4789" spans="1:2" x14ac:dyDescent="0.25">
      <c r="A4789"/>
      <c r="B4789"/>
    </row>
    <row r="4790" spans="1:2" x14ac:dyDescent="0.25">
      <c r="A4790"/>
      <c r="B4790"/>
    </row>
    <row r="4791" spans="1:2" x14ac:dyDescent="0.25">
      <c r="A4791"/>
      <c r="B4791"/>
    </row>
    <row r="4792" spans="1:2" x14ac:dyDescent="0.25">
      <c r="A4792"/>
      <c r="B4792"/>
    </row>
    <row r="4793" spans="1:2" x14ac:dyDescent="0.25">
      <c r="A4793"/>
      <c r="B4793"/>
    </row>
    <row r="4794" spans="1:2" x14ac:dyDescent="0.25">
      <c r="A4794"/>
      <c r="B4794"/>
    </row>
    <row r="4795" spans="1:2" x14ac:dyDescent="0.25">
      <c r="A4795"/>
      <c r="B4795"/>
    </row>
    <row r="4796" spans="1:2" x14ac:dyDescent="0.25">
      <c r="A4796"/>
      <c r="B4796"/>
    </row>
    <row r="4797" spans="1:2" x14ac:dyDescent="0.25">
      <c r="A4797"/>
      <c r="B4797"/>
    </row>
    <row r="4798" spans="1:2" x14ac:dyDescent="0.25">
      <c r="A4798"/>
      <c r="B4798"/>
    </row>
    <row r="4799" spans="1:2" x14ac:dyDescent="0.25">
      <c r="A4799"/>
      <c r="B4799"/>
    </row>
    <row r="4800" spans="1:2" x14ac:dyDescent="0.25">
      <c r="A4800"/>
      <c r="B4800"/>
    </row>
    <row r="4801" spans="1:2" x14ac:dyDescent="0.25">
      <c r="A4801"/>
      <c r="B4801"/>
    </row>
    <row r="4802" spans="1:2" x14ac:dyDescent="0.25">
      <c r="A4802"/>
      <c r="B4802"/>
    </row>
    <row r="4803" spans="1:2" x14ac:dyDescent="0.25">
      <c r="A4803"/>
      <c r="B4803"/>
    </row>
    <row r="4804" spans="1:2" x14ac:dyDescent="0.25">
      <c r="A4804"/>
      <c r="B4804"/>
    </row>
    <row r="4805" spans="1:2" x14ac:dyDescent="0.25">
      <c r="A4805"/>
      <c r="B4805"/>
    </row>
    <row r="4806" spans="1:2" x14ac:dyDescent="0.25">
      <c r="A4806"/>
      <c r="B4806"/>
    </row>
    <row r="4807" spans="1:2" x14ac:dyDescent="0.25">
      <c r="A4807"/>
      <c r="B4807"/>
    </row>
    <row r="4808" spans="1:2" x14ac:dyDescent="0.25">
      <c r="A4808"/>
      <c r="B4808"/>
    </row>
    <row r="4809" spans="1:2" x14ac:dyDescent="0.25">
      <c r="A4809"/>
      <c r="B4809"/>
    </row>
    <row r="4810" spans="1:2" x14ac:dyDescent="0.25">
      <c r="A4810"/>
      <c r="B4810"/>
    </row>
    <row r="4811" spans="1:2" x14ac:dyDescent="0.25">
      <c r="A4811"/>
      <c r="B4811"/>
    </row>
    <row r="4812" spans="1:2" x14ac:dyDescent="0.25">
      <c r="A4812"/>
      <c r="B4812"/>
    </row>
    <row r="4813" spans="1:2" x14ac:dyDescent="0.25">
      <c r="A4813"/>
      <c r="B4813"/>
    </row>
    <row r="4814" spans="1:2" x14ac:dyDescent="0.25">
      <c r="A4814"/>
      <c r="B4814"/>
    </row>
    <row r="4815" spans="1:2" x14ac:dyDescent="0.25">
      <c r="A4815"/>
      <c r="B4815"/>
    </row>
    <row r="4816" spans="1:2" x14ac:dyDescent="0.25">
      <c r="A4816"/>
      <c r="B4816"/>
    </row>
    <row r="4817" spans="1:2" x14ac:dyDescent="0.25">
      <c r="A4817"/>
      <c r="B4817"/>
    </row>
    <row r="4818" spans="1:2" x14ac:dyDescent="0.25">
      <c r="A4818"/>
      <c r="B4818"/>
    </row>
    <row r="4819" spans="1:2" x14ac:dyDescent="0.25">
      <c r="A4819"/>
      <c r="B4819"/>
    </row>
    <row r="4820" spans="1:2" x14ac:dyDescent="0.25">
      <c r="A4820"/>
      <c r="B4820"/>
    </row>
    <row r="4821" spans="1:2" x14ac:dyDescent="0.25">
      <c r="A4821"/>
      <c r="B4821"/>
    </row>
    <row r="4822" spans="1:2" x14ac:dyDescent="0.25">
      <c r="A4822"/>
      <c r="B4822"/>
    </row>
    <row r="4823" spans="1:2" x14ac:dyDescent="0.25">
      <c r="A4823"/>
      <c r="B4823"/>
    </row>
    <row r="4824" spans="1:2" x14ac:dyDescent="0.25">
      <c r="A4824"/>
      <c r="B4824"/>
    </row>
    <row r="4825" spans="1:2" x14ac:dyDescent="0.25">
      <c r="A4825"/>
      <c r="B4825"/>
    </row>
    <row r="4826" spans="1:2" x14ac:dyDescent="0.25">
      <c r="A4826"/>
      <c r="B4826"/>
    </row>
    <row r="4827" spans="1:2" x14ac:dyDescent="0.25">
      <c r="A4827"/>
      <c r="B4827"/>
    </row>
    <row r="4828" spans="1:2" x14ac:dyDescent="0.25">
      <c r="A4828"/>
      <c r="B4828"/>
    </row>
    <row r="4829" spans="1:2" x14ac:dyDescent="0.25">
      <c r="A4829"/>
      <c r="B4829"/>
    </row>
    <row r="4830" spans="1:2" x14ac:dyDescent="0.25">
      <c r="A4830"/>
      <c r="B4830"/>
    </row>
    <row r="4831" spans="1:2" x14ac:dyDescent="0.25">
      <c r="A4831"/>
      <c r="B4831"/>
    </row>
    <row r="4832" spans="1:2" x14ac:dyDescent="0.25">
      <c r="A4832"/>
      <c r="B4832"/>
    </row>
    <row r="4833" spans="1:2" x14ac:dyDescent="0.25">
      <c r="A4833"/>
      <c r="B4833"/>
    </row>
    <row r="4834" spans="1:2" x14ac:dyDescent="0.25">
      <c r="A4834"/>
      <c r="B4834"/>
    </row>
    <row r="4835" spans="1:2" x14ac:dyDescent="0.25">
      <c r="A4835"/>
      <c r="B4835"/>
    </row>
    <row r="4836" spans="1:2" x14ac:dyDescent="0.25">
      <c r="A4836"/>
      <c r="B4836"/>
    </row>
    <row r="4837" spans="1:2" x14ac:dyDescent="0.25">
      <c r="A4837"/>
      <c r="B4837"/>
    </row>
    <row r="4838" spans="1:2" x14ac:dyDescent="0.25">
      <c r="A4838"/>
      <c r="B4838"/>
    </row>
    <row r="4839" spans="1:2" x14ac:dyDescent="0.25">
      <c r="A4839"/>
      <c r="B4839"/>
    </row>
    <row r="4840" spans="1:2" x14ac:dyDescent="0.25">
      <c r="A4840"/>
      <c r="B4840"/>
    </row>
    <row r="4841" spans="1:2" x14ac:dyDescent="0.25">
      <c r="A4841"/>
      <c r="B4841"/>
    </row>
    <row r="4842" spans="1:2" x14ac:dyDescent="0.25">
      <c r="A4842"/>
      <c r="B4842"/>
    </row>
    <row r="4843" spans="1:2" x14ac:dyDescent="0.25">
      <c r="A4843"/>
      <c r="B4843"/>
    </row>
    <row r="4844" spans="1:2" x14ac:dyDescent="0.25">
      <c r="A4844"/>
      <c r="B4844"/>
    </row>
    <row r="4845" spans="1:2" x14ac:dyDescent="0.25">
      <c r="A4845"/>
      <c r="B4845"/>
    </row>
    <row r="4846" spans="1:2" x14ac:dyDescent="0.25">
      <c r="A4846"/>
      <c r="B4846"/>
    </row>
    <row r="4847" spans="1:2" x14ac:dyDescent="0.25">
      <c r="A4847"/>
      <c r="B4847"/>
    </row>
    <row r="4848" spans="1:2" x14ac:dyDescent="0.25">
      <c r="A4848"/>
      <c r="B4848"/>
    </row>
    <row r="4849" spans="1:2" x14ac:dyDescent="0.25">
      <c r="A4849"/>
      <c r="B4849"/>
    </row>
    <row r="4850" spans="1:2" x14ac:dyDescent="0.25">
      <c r="A4850"/>
      <c r="B4850"/>
    </row>
    <row r="4851" spans="1:2" x14ac:dyDescent="0.25">
      <c r="A4851"/>
      <c r="B4851"/>
    </row>
    <row r="4852" spans="1:2" x14ac:dyDescent="0.25">
      <c r="A4852"/>
      <c r="B4852"/>
    </row>
    <row r="4853" spans="1:2" x14ac:dyDescent="0.25">
      <c r="A4853"/>
      <c r="B4853"/>
    </row>
    <row r="4854" spans="1:2" x14ac:dyDescent="0.25">
      <c r="A4854"/>
      <c r="B4854"/>
    </row>
    <row r="4855" spans="1:2" x14ac:dyDescent="0.25">
      <c r="A4855"/>
      <c r="B4855"/>
    </row>
    <row r="4856" spans="1:2" x14ac:dyDescent="0.25">
      <c r="A4856"/>
      <c r="B4856"/>
    </row>
    <row r="4857" spans="1:2" x14ac:dyDescent="0.25">
      <c r="A4857"/>
      <c r="B4857"/>
    </row>
    <row r="4858" spans="1:2" x14ac:dyDescent="0.25">
      <c r="A4858"/>
      <c r="B4858"/>
    </row>
    <row r="4859" spans="1:2" x14ac:dyDescent="0.25">
      <c r="A4859"/>
      <c r="B4859"/>
    </row>
    <row r="4860" spans="1:2" x14ac:dyDescent="0.25">
      <c r="A4860"/>
      <c r="B4860"/>
    </row>
    <row r="4861" spans="1:2" x14ac:dyDescent="0.25">
      <c r="A4861"/>
      <c r="B4861"/>
    </row>
    <row r="4862" spans="1:2" x14ac:dyDescent="0.25">
      <c r="A4862"/>
      <c r="B4862"/>
    </row>
    <row r="4863" spans="1:2" x14ac:dyDescent="0.25">
      <c r="A4863"/>
      <c r="B4863"/>
    </row>
    <row r="4864" spans="1:2" x14ac:dyDescent="0.25">
      <c r="A4864"/>
      <c r="B4864"/>
    </row>
    <row r="4865" spans="1:2" x14ac:dyDescent="0.25">
      <c r="A4865"/>
      <c r="B4865"/>
    </row>
    <row r="4866" spans="1:2" x14ac:dyDescent="0.25">
      <c r="A4866"/>
      <c r="B4866"/>
    </row>
    <row r="4867" spans="1:2" x14ac:dyDescent="0.25">
      <c r="A4867"/>
      <c r="B4867"/>
    </row>
    <row r="4868" spans="1:2" x14ac:dyDescent="0.25">
      <c r="A4868"/>
      <c r="B4868"/>
    </row>
    <row r="4869" spans="1:2" x14ac:dyDescent="0.25">
      <c r="A4869"/>
      <c r="B4869"/>
    </row>
    <row r="4870" spans="1:2" x14ac:dyDescent="0.25">
      <c r="A4870"/>
      <c r="B4870"/>
    </row>
    <row r="4871" spans="1:2" x14ac:dyDescent="0.25">
      <c r="A4871"/>
      <c r="B4871"/>
    </row>
    <row r="4872" spans="1:2" x14ac:dyDescent="0.25">
      <c r="A4872"/>
      <c r="B4872"/>
    </row>
    <row r="4873" spans="1:2" x14ac:dyDescent="0.25">
      <c r="A4873"/>
      <c r="B4873"/>
    </row>
    <row r="4874" spans="1:2" x14ac:dyDescent="0.25">
      <c r="A4874"/>
      <c r="B4874"/>
    </row>
    <row r="4875" spans="1:2" x14ac:dyDescent="0.25">
      <c r="A4875"/>
      <c r="B4875"/>
    </row>
    <row r="4876" spans="1:2" x14ac:dyDescent="0.25">
      <c r="A4876"/>
      <c r="B4876"/>
    </row>
    <row r="4877" spans="1:2" x14ac:dyDescent="0.25">
      <c r="A4877"/>
      <c r="B4877"/>
    </row>
    <row r="4878" spans="1:2" x14ac:dyDescent="0.25">
      <c r="A4878"/>
      <c r="B4878"/>
    </row>
    <row r="4879" spans="1:2" x14ac:dyDescent="0.25">
      <c r="A4879"/>
      <c r="B4879"/>
    </row>
    <row r="4880" spans="1:2" x14ac:dyDescent="0.25">
      <c r="A4880"/>
      <c r="B4880"/>
    </row>
    <row r="4881" spans="1:2" x14ac:dyDescent="0.25">
      <c r="A4881"/>
      <c r="B4881"/>
    </row>
    <row r="4882" spans="1:2" x14ac:dyDescent="0.25">
      <c r="A4882"/>
      <c r="B4882"/>
    </row>
    <row r="4883" spans="1:2" x14ac:dyDescent="0.25">
      <c r="A4883"/>
      <c r="B4883"/>
    </row>
    <row r="4884" spans="1:2" x14ac:dyDescent="0.25">
      <c r="A4884"/>
      <c r="B4884"/>
    </row>
    <row r="4885" spans="1:2" x14ac:dyDescent="0.25">
      <c r="A4885"/>
      <c r="B4885"/>
    </row>
    <row r="4886" spans="1:2" x14ac:dyDescent="0.25">
      <c r="A4886"/>
      <c r="B4886"/>
    </row>
    <row r="4887" spans="1:2" x14ac:dyDescent="0.25">
      <c r="A4887"/>
      <c r="B4887"/>
    </row>
    <row r="4888" spans="1:2" x14ac:dyDescent="0.25">
      <c r="A4888"/>
      <c r="B4888"/>
    </row>
    <row r="4889" spans="1:2" x14ac:dyDescent="0.25">
      <c r="A4889"/>
      <c r="B4889"/>
    </row>
    <row r="4890" spans="1:2" x14ac:dyDescent="0.25">
      <c r="A4890"/>
      <c r="B4890"/>
    </row>
    <row r="4891" spans="1:2" x14ac:dyDescent="0.25">
      <c r="A4891"/>
      <c r="B4891"/>
    </row>
    <row r="4892" spans="1:2" x14ac:dyDescent="0.25">
      <c r="A4892"/>
      <c r="B4892"/>
    </row>
    <row r="4893" spans="1:2" x14ac:dyDescent="0.25">
      <c r="A4893"/>
      <c r="B4893"/>
    </row>
    <row r="4894" spans="1:2" x14ac:dyDescent="0.25">
      <c r="A4894"/>
      <c r="B4894"/>
    </row>
    <row r="4895" spans="1:2" x14ac:dyDescent="0.25">
      <c r="A4895"/>
      <c r="B4895"/>
    </row>
    <row r="4896" spans="1:2" x14ac:dyDescent="0.25">
      <c r="A4896"/>
      <c r="B4896"/>
    </row>
    <row r="4897" spans="1:2" x14ac:dyDescent="0.25">
      <c r="A4897"/>
      <c r="B4897"/>
    </row>
    <row r="4898" spans="1:2" x14ac:dyDescent="0.25">
      <c r="A4898"/>
      <c r="B4898"/>
    </row>
    <row r="4899" spans="1:2" x14ac:dyDescent="0.25">
      <c r="A4899"/>
      <c r="B4899"/>
    </row>
    <row r="4900" spans="1:2" x14ac:dyDescent="0.25">
      <c r="A4900"/>
      <c r="B4900"/>
    </row>
    <row r="4901" spans="1:2" x14ac:dyDescent="0.25">
      <c r="A4901"/>
      <c r="B4901"/>
    </row>
    <row r="4902" spans="1:2" x14ac:dyDescent="0.25">
      <c r="A4902"/>
      <c r="B4902"/>
    </row>
    <row r="4903" spans="1:2" x14ac:dyDescent="0.25">
      <c r="A4903"/>
      <c r="B4903"/>
    </row>
    <row r="4904" spans="1:2" x14ac:dyDescent="0.25">
      <c r="A4904"/>
      <c r="B4904"/>
    </row>
    <row r="4905" spans="1:2" x14ac:dyDescent="0.25">
      <c r="A4905"/>
      <c r="B4905"/>
    </row>
    <row r="4906" spans="1:2" x14ac:dyDescent="0.25">
      <c r="A4906"/>
      <c r="B4906"/>
    </row>
    <row r="4907" spans="1:2" x14ac:dyDescent="0.25">
      <c r="A4907"/>
      <c r="B4907"/>
    </row>
    <row r="4908" spans="1:2" x14ac:dyDescent="0.25">
      <c r="A4908"/>
      <c r="B4908"/>
    </row>
    <row r="4909" spans="1:2" x14ac:dyDescent="0.25">
      <c r="A4909"/>
      <c r="B4909"/>
    </row>
    <row r="4910" spans="1:2" x14ac:dyDescent="0.25">
      <c r="A4910"/>
      <c r="B4910"/>
    </row>
    <row r="4911" spans="1:2" x14ac:dyDescent="0.25">
      <c r="A4911"/>
      <c r="B4911"/>
    </row>
    <row r="4912" spans="1:2" x14ac:dyDescent="0.25">
      <c r="A4912"/>
      <c r="B4912"/>
    </row>
    <row r="4913" spans="1:2" x14ac:dyDescent="0.25">
      <c r="A4913"/>
      <c r="B4913"/>
    </row>
    <row r="4914" spans="1:2" x14ac:dyDescent="0.25">
      <c r="A4914"/>
      <c r="B4914"/>
    </row>
    <row r="4915" spans="1:2" x14ac:dyDescent="0.25">
      <c r="A4915"/>
      <c r="B4915"/>
    </row>
    <row r="4916" spans="1:2" x14ac:dyDescent="0.25">
      <c r="A4916"/>
      <c r="B4916"/>
    </row>
    <row r="4917" spans="1:2" x14ac:dyDescent="0.25">
      <c r="A4917"/>
      <c r="B4917"/>
    </row>
    <row r="4918" spans="1:2" x14ac:dyDescent="0.25">
      <c r="A4918"/>
      <c r="B4918"/>
    </row>
    <row r="4919" spans="1:2" x14ac:dyDescent="0.25">
      <c r="A4919"/>
      <c r="B4919"/>
    </row>
    <row r="4920" spans="1:2" x14ac:dyDescent="0.25">
      <c r="A4920"/>
      <c r="B4920"/>
    </row>
    <row r="4921" spans="1:2" x14ac:dyDescent="0.25">
      <c r="A4921"/>
      <c r="B4921"/>
    </row>
    <row r="4922" spans="1:2" x14ac:dyDescent="0.25">
      <c r="A4922"/>
      <c r="B4922"/>
    </row>
    <row r="4923" spans="1:2" x14ac:dyDescent="0.25">
      <c r="A4923"/>
      <c r="B4923"/>
    </row>
    <row r="4924" spans="1:2" x14ac:dyDescent="0.25">
      <c r="A4924"/>
      <c r="B4924"/>
    </row>
    <row r="4925" spans="1:2" x14ac:dyDescent="0.25">
      <c r="A4925"/>
      <c r="B4925"/>
    </row>
    <row r="4926" spans="1:2" x14ac:dyDescent="0.25">
      <c r="A4926"/>
      <c r="B4926"/>
    </row>
    <row r="4927" spans="1:2" x14ac:dyDescent="0.25">
      <c r="A4927"/>
      <c r="B4927"/>
    </row>
    <row r="4928" spans="1:2" x14ac:dyDescent="0.25">
      <c r="A4928"/>
      <c r="B4928"/>
    </row>
    <row r="4929" spans="1:2" x14ac:dyDescent="0.25">
      <c r="A4929"/>
      <c r="B4929"/>
    </row>
    <row r="4930" spans="1:2" x14ac:dyDescent="0.25">
      <c r="A4930"/>
      <c r="B4930"/>
    </row>
    <row r="4931" spans="1:2" x14ac:dyDescent="0.25">
      <c r="A4931"/>
      <c r="B4931"/>
    </row>
    <row r="4932" spans="1:2" x14ac:dyDescent="0.25">
      <c r="A4932"/>
      <c r="B4932"/>
    </row>
    <row r="4933" spans="1:2" x14ac:dyDescent="0.25">
      <c r="A4933"/>
      <c r="B4933"/>
    </row>
    <row r="4934" spans="1:2" x14ac:dyDescent="0.25">
      <c r="A4934"/>
      <c r="B4934"/>
    </row>
    <row r="4935" spans="1:2" x14ac:dyDescent="0.25">
      <c r="A4935"/>
      <c r="B4935"/>
    </row>
    <row r="4936" spans="1:2" x14ac:dyDescent="0.25">
      <c r="A4936"/>
      <c r="B4936"/>
    </row>
    <row r="4937" spans="1:2" x14ac:dyDescent="0.25">
      <c r="A4937"/>
      <c r="B4937"/>
    </row>
    <row r="4938" spans="1:2" x14ac:dyDescent="0.25">
      <c r="A4938"/>
      <c r="B4938"/>
    </row>
    <row r="4939" spans="1:2" x14ac:dyDescent="0.25">
      <c r="A4939"/>
      <c r="B4939"/>
    </row>
    <row r="4940" spans="1:2" x14ac:dyDescent="0.25">
      <c r="A4940"/>
      <c r="B4940"/>
    </row>
    <row r="4941" spans="1:2" x14ac:dyDescent="0.25">
      <c r="A4941"/>
      <c r="B4941"/>
    </row>
    <row r="4942" spans="1:2" x14ac:dyDescent="0.25">
      <c r="A4942"/>
      <c r="B4942"/>
    </row>
    <row r="4943" spans="1:2" x14ac:dyDescent="0.25">
      <c r="A4943"/>
      <c r="B4943"/>
    </row>
    <row r="4944" spans="1:2" x14ac:dyDescent="0.25">
      <c r="A4944"/>
      <c r="B4944"/>
    </row>
    <row r="4945" spans="1:2" x14ac:dyDescent="0.25">
      <c r="A4945"/>
      <c r="B4945"/>
    </row>
    <row r="4946" spans="1:2" x14ac:dyDescent="0.25">
      <c r="A4946"/>
      <c r="B4946"/>
    </row>
    <row r="4947" spans="1:2" x14ac:dyDescent="0.25">
      <c r="A4947"/>
      <c r="B4947"/>
    </row>
    <row r="4948" spans="1:2" x14ac:dyDescent="0.25">
      <c r="A4948"/>
      <c r="B4948"/>
    </row>
    <row r="4949" spans="1:2" x14ac:dyDescent="0.25">
      <c r="A4949"/>
      <c r="B4949"/>
    </row>
    <row r="4950" spans="1:2" x14ac:dyDescent="0.25">
      <c r="A4950"/>
      <c r="B4950"/>
    </row>
    <row r="4951" spans="1:2" x14ac:dyDescent="0.25">
      <c r="A4951"/>
      <c r="B4951"/>
    </row>
    <row r="4952" spans="1:2" x14ac:dyDescent="0.25">
      <c r="A4952"/>
      <c r="B4952"/>
    </row>
    <row r="4953" spans="1:2" x14ac:dyDescent="0.25">
      <c r="A4953"/>
      <c r="B4953"/>
    </row>
    <row r="4954" spans="1:2" x14ac:dyDescent="0.25">
      <c r="A4954"/>
      <c r="B4954"/>
    </row>
    <row r="4955" spans="1:2" x14ac:dyDescent="0.25">
      <c r="A4955"/>
      <c r="B4955"/>
    </row>
    <row r="4956" spans="1:2" x14ac:dyDescent="0.25">
      <c r="A4956"/>
      <c r="B4956"/>
    </row>
    <row r="4957" spans="1:2" x14ac:dyDescent="0.25">
      <c r="A4957"/>
      <c r="B4957"/>
    </row>
    <row r="4958" spans="1:2" x14ac:dyDescent="0.25">
      <c r="A4958"/>
      <c r="B4958"/>
    </row>
    <row r="4959" spans="1:2" x14ac:dyDescent="0.25">
      <c r="A4959"/>
      <c r="B4959"/>
    </row>
    <row r="4960" spans="1:2" x14ac:dyDescent="0.25">
      <c r="A4960"/>
      <c r="B4960"/>
    </row>
    <row r="4961" spans="1:2" x14ac:dyDescent="0.25">
      <c r="A4961"/>
      <c r="B4961"/>
    </row>
    <row r="4962" spans="1:2" x14ac:dyDescent="0.25">
      <c r="A4962"/>
      <c r="B4962"/>
    </row>
    <row r="4963" spans="1:2" x14ac:dyDescent="0.25">
      <c r="A4963"/>
      <c r="B4963"/>
    </row>
    <row r="4964" spans="1:2" x14ac:dyDescent="0.25">
      <c r="A4964"/>
      <c r="B4964"/>
    </row>
    <row r="4965" spans="1:2" x14ac:dyDescent="0.25">
      <c r="A4965"/>
      <c r="B4965"/>
    </row>
    <row r="4966" spans="1:2" x14ac:dyDescent="0.25">
      <c r="A4966"/>
      <c r="B4966"/>
    </row>
    <row r="4967" spans="1:2" x14ac:dyDescent="0.25">
      <c r="A4967"/>
      <c r="B4967"/>
    </row>
    <row r="4968" spans="1:2" x14ac:dyDescent="0.25">
      <c r="A4968"/>
      <c r="B4968"/>
    </row>
    <row r="4969" spans="1:2" x14ac:dyDescent="0.25">
      <c r="A4969"/>
      <c r="B4969"/>
    </row>
    <row r="4970" spans="1:2" x14ac:dyDescent="0.25">
      <c r="A4970"/>
      <c r="B4970"/>
    </row>
    <row r="4971" spans="1:2" x14ac:dyDescent="0.25">
      <c r="A4971"/>
      <c r="B4971"/>
    </row>
    <row r="4972" spans="1:2" x14ac:dyDescent="0.25">
      <c r="A4972"/>
      <c r="B4972"/>
    </row>
    <row r="4973" spans="1:2" x14ac:dyDescent="0.25">
      <c r="A4973"/>
      <c r="B4973"/>
    </row>
    <row r="4974" spans="1:2" x14ac:dyDescent="0.25">
      <c r="A4974"/>
      <c r="B4974"/>
    </row>
    <row r="4975" spans="1:2" x14ac:dyDescent="0.25">
      <c r="A4975"/>
      <c r="B4975"/>
    </row>
    <row r="4976" spans="1:2" x14ac:dyDescent="0.25">
      <c r="A4976"/>
      <c r="B4976"/>
    </row>
    <row r="4977" spans="1:2" x14ac:dyDescent="0.25">
      <c r="A4977"/>
      <c r="B4977"/>
    </row>
    <row r="4978" spans="1:2" x14ac:dyDescent="0.25">
      <c r="A4978"/>
      <c r="B4978"/>
    </row>
    <row r="4979" spans="1:2" x14ac:dyDescent="0.25">
      <c r="A4979"/>
      <c r="B4979"/>
    </row>
    <row r="4980" spans="1:2" x14ac:dyDescent="0.25">
      <c r="A4980"/>
      <c r="B4980"/>
    </row>
    <row r="4981" spans="1:2" x14ac:dyDescent="0.25">
      <c r="A4981"/>
      <c r="B4981"/>
    </row>
    <row r="4982" spans="1:2" x14ac:dyDescent="0.25">
      <c r="A4982"/>
      <c r="B4982"/>
    </row>
    <row r="4983" spans="1:2" x14ac:dyDescent="0.25">
      <c r="A4983"/>
      <c r="B4983"/>
    </row>
    <row r="4984" spans="1:2" x14ac:dyDescent="0.25">
      <c r="A4984"/>
      <c r="B4984"/>
    </row>
    <row r="4985" spans="1:2" x14ac:dyDescent="0.25">
      <c r="A4985"/>
      <c r="B4985"/>
    </row>
    <row r="4986" spans="1:2" x14ac:dyDescent="0.25">
      <c r="A4986"/>
      <c r="B4986"/>
    </row>
    <row r="4987" spans="1:2" x14ac:dyDescent="0.25">
      <c r="A4987"/>
      <c r="B4987"/>
    </row>
    <row r="4988" spans="1:2" x14ac:dyDescent="0.25">
      <c r="A4988"/>
      <c r="B4988"/>
    </row>
    <row r="4989" spans="1:2" x14ac:dyDescent="0.25">
      <c r="A4989"/>
      <c r="B4989"/>
    </row>
    <row r="4990" spans="1:2" x14ac:dyDescent="0.25">
      <c r="A4990"/>
      <c r="B4990"/>
    </row>
    <row r="4991" spans="1:2" x14ac:dyDescent="0.25">
      <c r="A4991"/>
      <c r="B4991"/>
    </row>
    <row r="4992" spans="1:2" x14ac:dyDescent="0.25">
      <c r="A4992"/>
      <c r="B4992"/>
    </row>
    <row r="4993" spans="1:2" x14ac:dyDescent="0.25">
      <c r="A4993"/>
      <c r="B4993"/>
    </row>
    <row r="4994" spans="1:2" x14ac:dyDescent="0.25">
      <c r="A4994"/>
      <c r="B4994"/>
    </row>
    <row r="4995" spans="1:2" x14ac:dyDescent="0.25">
      <c r="A4995"/>
      <c r="B4995"/>
    </row>
    <row r="4996" spans="1:2" x14ac:dyDescent="0.25">
      <c r="A4996"/>
      <c r="B4996"/>
    </row>
    <row r="4997" spans="1:2" x14ac:dyDescent="0.25">
      <c r="A4997"/>
      <c r="B4997"/>
    </row>
    <row r="4998" spans="1:2" x14ac:dyDescent="0.25">
      <c r="A4998"/>
      <c r="B4998"/>
    </row>
    <row r="4999" spans="1:2" x14ac:dyDescent="0.25">
      <c r="A4999"/>
      <c r="B4999"/>
    </row>
    <row r="5000" spans="1:2" x14ac:dyDescent="0.25">
      <c r="A5000"/>
      <c r="B5000"/>
    </row>
    <row r="5001" spans="1:2" x14ac:dyDescent="0.25">
      <c r="A5001"/>
      <c r="B5001"/>
    </row>
    <row r="5002" spans="1:2" x14ac:dyDescent="0.25">
      <c r="A5002"/>
      <c r="B5002"/>
    </row>
    <row r="5003" spans="1:2" x14ac:dyDescent="0.25">
      <c r="A5003"/>
      <c r="B5003"/>
    </row>
    <row r="5004" spans="1:2" x14ac:dyDescent="0.25">
      <c r="A5004"/>
      <c r="B5004"/>
    </row>
    <row r="5005" spans="1:2" x14ac:dyDescent="0.25">
      <c r="A5005"/>
      <c r="B5005"/>
    </row>
    <row r="5006" spans="1:2" x14ac:dyDescent="0.25">
      <c r="A5006"/>
      <c r="B5006"/>
    </row>
    <row r="5007" spans="1:2" x14ac:dyDescent="0.25">
      <c r="A5007"/>
      <c r="B5007"/>
    </row>
    <row r="5008" spans="1:2" x14ac:dyDescent="0.25">
      <c r="A5008"/>
      <c r="B5008"/>
    </row>
    <row r="5009" spans="1:2" x14ac:dyDescent="0.25">
      <c r="A5009"/>
      <c r="B5009"/>
    </row>
    <row r="5010" spans="1:2" x14ac:dyDescent="0.25">
      <c r="A5010"/>
      <c r="B5010"/>
    </row>
    <row r="5011" spans="1:2" x14ac:dyDescent="0.25">
      <c r="A5011"/>
      <c r="B5011"/>
    </row>
    <row r="5012" spans="1:2" x14ac:dyDescent="0.25">
      <c r="A5012"/>
      <c r="B5012"/>
    </row>
    <row r="5013" spans="1:2" x14ac:dyDescent="0.25">
      <c r="A5013"/>
      <c r="B5013"/>
    </row>
    <row r="5014" spans="1:2" x14ac:dyDescent="0.25">
      <c r="A5014"/>
      <c r="B5014"/>
    </row>
    <row r="5015" spans="1:2" x14ac:dyDescent="0.25">
      <c r="A5015"/>
      <c r="B5015"/>
    </row>
    <row r="5016" spans="1:2" x14ac:dyDescent="0.25">
      <c r="A5016"/>
      <c r="B5016"/>
    </row>
    <row r="5017" spans="1:2" x14ac:dyDescent="0.25">
      <c r="A5017"/>
      <c r="B5017"/>
    </row>
    <row r="5018" spans="1:2" x14ac:dyDescent="0.25">
      <c r="A5018"/>
      <c r="B5018"/>
    </row>
    <row r="5019" spans="1:2" x14ac:dyDescent="0.25">
      <c r="A5019"/>
      <c r="B5019"/>
    </row>
    <row r="5020" spans="1:2" x14ac:dyDescent="0.25">
      <c r="A5020"/>
      <c r="B5020"/>
    </row>
    <row r="5021" spans="1:2" x14ac:dyDescent="0.25">
      <c r="A5021"/>
      <c r="B5021"/>
    </row>
    <row r="5022" spans="1:2" x14ac:dyDescent="0.25">
      <c r="A5022"/>
      <c r="B5022"/>
    </row>
    <row r="5023" spans="1:2" x14ac:dyDescent="0.25">
      <c r="A5023"/>
      <c r="B5023"/>
    </row>
    <row r="5024" spans="1:2" x14ac:dyDescent="0.25">
      <c r="A5024"/>
      <c r="B5024"/>
    </row>
    <row r="5025" spans="1:2" x14ac:dyDescent="0.25">
      <c r="A5025"/>
      <c r="B5025"/>
    </row>
    <row r="5026" spans="1:2" x14ac:dyDescent="0.25">
      <c r="A5026"/>
      <c r="B5026"/>
    </row>
    <row r="5027" spans="1:2" x14ac:dyDescent="0.25">
      <c r="A5027"/>
      <c r="B5027"/>
    </row>
    <row r="5028" spans="1:2" x14ac:dyDescent="0.25">
      <c r="A5028"/>
      <c r="B5028"/>
    </row>
    <row r="5029" spans="1:2" x14ac:dyDescent="0.25">
      <c r="A5029"/>
      <c r="B5029"/>
    </row>
    <row r="5030" spans="1:2" x14ac:dyDescent="0.25">
      <c r="A5030"/>
      <c r="B5030"/>
    </row>
    <row r="5031" spans="1:2" x14ac:dyDescent="0.25">
      <c r="A5031"/>
      <c r="B5031"/>
    </row>
    <row r="5032" spans="1:2" x14ac:dyDescent="0.25">
      <c r="A5032"/>
      <c r="B5032"/>
    </row>
    <row r="5033" spans="1:2" x14ac:dyDescent="0.25">
      <c r="A5033"/>
      <c r="B5033"/>
    </row>
    <row r="5034" spans="1:2" x14ac:dyDescent="0.25">
      <c r="A5034"/>
      <c r="B5034"/>
    </row>
    <row r="5035" spans="1:2" x14ac:dyDescent="0.25">
      <c r="A5035"/>
      <c r="B5035"/>
    </row>
    <row r="5036" spans="1:2" x14ac:dyDescent="0.25">
      <c r="A5036"/>
      <c r="B5036"/>
    </row>
    <row r="5037" spans="1:2" x14ac:dyDescent="0.25">
      <c r="A5037"/>
      <c r="B5037"/>
    </row>
    <row r="5038" spans="1:2" x14ac:dyDescent="0.25">
      <c r="A5038"/>
      <c r="B5038"/>
    </row>
    <row r="5039" spans="1:2" x14ac:dyDescent="0.25">
      <c r="A5039"/>
      <c r="B5039"/>
    </row>
    <row r="5040" spans="1:2" x14ac:dyDescent="0.25">
      <c r="A5040"/>
      <c r="B5040"/>
    </row>
    <row r="5041" spans="1:2" x14ac:dyDescent="0.25">
      <c r="A5041"/>
      <c r="B5041"/>
    </row>
    <row r="5042" spans="1:2" x14ac:dyDescent="0.25">
      <c r="A5042"/>
      <c r="B5042"/>
    </row>
    <row r="5043" spans="1:2" x14ac:dyDescent="0.25">
      <c r="A5043"/>
      <c r="B5043"/>
    </row>
    <row r="5044" spans="1:2" x14ac:dyDescent="0.25">
      <c r="A5044"/>
      <c r="B5044"/>
    </row>
    <row r="5045" spans="1:2" x14ac:dyDescent="0.25">
      <c r="A5045"/>
      <c r="B5045"/>
    </row>
    <row r="5046" spans="1:2" x14ac:dyDescent="0.25">
      <c r="A5046"/>
      <c r="B5046"/>
    </row>
    <row r="5047" spans="1:2" x14ac:dyDescent="0.25">
      <c r="A5047"/>
      <c r="B5047"/>
    </row>
    <row r="5048" spans="1:2" x14ac:dyDescent="0.25">
      <c r="A5048"/>
      <c r="B5048"/>
    </row>
    <row r="5049" spans="1:2" x14ac:dyDescent="0.25">
      <c r="A5049"/>
      <c r="B5049"/>
    </row>
    <row r="5050" spans="1:2" x14ac:dyDescent="0.25">
      <c r="A5050"/>
      <c r="B5050"/>
    </row>
    <row r="5051" spans="1:2" x14ac:dyDescent="0.25">
      <c r="A5051"/>
      <c r="B5051"/>
    </row>
    <row r="5052" spans="1:2" x14ac:dyDescent="0.25">
      <c r="A5052"/>
      <c r="B5052"/>
    </row>
    <row r="5053" spans="1:2" x14ac:dyDescent="0.25">
      <c r="A5053"/>
      <c r="B5053"/>
    </row>
    <row r="5054" spans="1:2" x14ac:dyDescent="0.25">
      <c r="A5054"/>
      <c r="B5054"/>
    </row>
    <row r="5055" spans="1:2" x14ac:dyDescent="0.25">
      <c r="A5055"/>
      <c r="B5055"/>
    </row>
    <row r="5056" spans="1:2" x14ac:dyDescent="0.25">
      <c r="A5056"/>
      <c r="B5056"/>
    </row>
    <row r="5057" spans="1:2" x14ac:dyDescent="0.25">
      <c r="A5057"/>
      <c r="B5057"/>
    </row>
    <row r="5058" spans="1:2" x14ac:dyDescent="0.25">
      <c r="A5058"/>
      <c r="B5058"/>
    </row>
    <row r="5059" spans="1:2" x14ac:dyDescent="0.25">
      <c r="A5059"/>
      <c r="B5059"/>
    </row>
    <row r="5060" spans="1:2" x14ac:dyDescent="0.25">
      <c r="A5060"/>
      <c r="B5060"/>
    </row>
    <row r="5061" spans="1:2" x14ac:dyDescent="0.25">
      <c r="A5061"/>
      <c r="B5061"/>
    </row>
    <row r="5062" spans="1:2" x14ac:dyDescent="0.25">
      <c r="A5062"/>
      <c r="B5062"/>
    </row>
    <row r="5063" spans="1:2" x14ac:dyDescent="0.25">
      <c r="A5063"/>
      <c r="B5063"/>
    </row>
    <row r="5064" spans="1:2" x14ac:dyDescent="0.25">
      <c r="A5064"/>
      <c r="B5064"/>
    </row>
    <row r="5065" spans="1:2" x14ac:dyDescent="0.25">
      <c r="A5065"/>
      <c r="B5065"/>
    </row>
    <row r="5066" spans="1:2" x14ac:dyDescent="0.25">
      <c r="A5066"/>
      <c r="B5066"/>
    </row>
    <row r="5067" spans="1:2" x14ac:dyDescent="0.25">
      <c r="A5067"/>
      <c r="B5067"/>
    </row>
    <row r="5068" spans="1:2" x14ac:dyDescent="0.25">
      <c r="A5068"/>
      <c r="B5068"/>
    </row>
    <row r="5069" spans="1:2" x14ac:dyDescent="0.25">
      <c r="A5069"/>
      <c r="B5069"/>
    </row>
    <row r="5070" spans="1:2" x14ac:dyDescent="0.25">
      <c r="A5070"/>
      <c r="B5070"/>
    </row>
    <row r="5071" spans="1:2" x14ac:dyDescent="0.25">
      <c r="A5071"/>
      <c r="B5071"/>
    </row>
    <row r="5072" spans="1:2" x14ac:dyDescent="0.25">
      <c r="A5072"/>
      <c r="B5072"/>
    </row>
    <row r="5073" spans="1:2" x14ac:dyDescent="0.25">
      <c r="A5073"/>
      <c r="B5073"/>
    </row>
    <row r="5074" spans="1:2" x14ac:dyDescent="0.25">
      <c r="A5074"/>
      <c r="B5074"/>
    </row>
    <row r="5075" spans="1:2" x14ac:dyDescent="0.25">
      <c r="A5075"/>
      <c r="B5075"/>
    </row>
    <row r="5076" spans="1:2" x14ac:dyDescent="0.25">
      <c r="A5076"/>
      <c r="B5076"/>
    </row>
    <row r="5077" spans="1:2" x14ac:dyDescent="0.25">
      <c r="A5077"/>
      <c r="B5077"/>
    </row>
    <row r="5078" spans="1:2" x14ac:dyDescent="0.25">
      <c r="A5078"/>
      <c r="B5078"/>
    </row>
    <row r="5079" spans="1:2" x14ac:dyDescent="0.25">
      <c r="A5079"/>
      <c r="B5079"/>
    </row>
    <row r="5080" spans="1:2" x14ac:dyDescent="0.25">
      <c r="A5080"/>
      <c r="B5080"/>
    </row>
    <row r="5081" spans="1:2" x14ac:dyDescent="0.25">
      <c r="A5081"/>
      <c r="B5081"/>
    </row>
    <row r="5082" spans="1:2" x14ac:dyDescent="0.25">
      <c r="A5082"/>
      <c r="B5082"/>
    </row>
    <row r="5083" spans="1:2" x14ac:dyDescent="0.25">
      <c r="A5083"/>
      <c r="B5083"/>
    </row>
    <row r="5084" spans="1:2" x14ac:dyDescent="0.25">
      <c r="A5084"/>
      <c r="B5084"/>
    </row>
    <row r="5085" spans="1:2" x14ac:dyDescent="0.25">
      <c r="A5085"/>
      <c r="B5085"/>
    </row>
    <row r="5086" spans="1:2" x14ac:dyDescent="0.25">
      <c r="A5086"/>
      <c r="B5086"/>
    </row>
    <row r="5087" spans="1:2" x14ac:dyDescent="0.25">
      <c r="A5087"/>
      <c r="B5087"/>
    </row>
    <row r="5088" spans="1:2" x14ac:dyDescent="0.25">
      <c r="A5088"/>
      <c r="B5088"/>
    </row>
    <row r="5089" spans="1:2" x14ac:dyDescent="0.25">
      <c r="A5089"/>
      <c r="B5089"/>
    </row>
    <row r="5090" spans="1:2" x14ac:dyDescent="0.25">
      <c r="A5090"/>
      <c r="B5090"/>
    </row>
    <row r="5091" spans="1:2" x14ac:dyDescent="0.25">
      <c r="A5091"/>
      <c r="B5091"/>
    </row>
    <row r="5092" spans="1:2" x14ac:dyDescent="0.25">
      <c r="A5092"/>
      <c r="B5092"/>
    </row>
    <row r="5093" spans="1:2" x14ac:dyDescent="0.25">
      <c r="A5093"/>
      <c r="B5093"/>
    </row>
    <row r="5094" spans="1:2" x14ac:dyDescent="0.25">
      <c r="A5094"/>
      <c r="B5094"/>
    </row>
    <row r="5095" spans="1:2" x14ac:dyDescent="0.25">
      <c r="A5095"/>
      <c r="B5095"/>
    </row>
    <row r="5096" spans="1:2" x14ac:dyDescent="0.25">
      <c r="A5096"/>
      <c r="B5096"/>
    </row>
    <row r="5097" spans="1:2" x14ac:dyDescent="0.25">
      <c r="A5097"/>
      <c r="B5097"/>
    </row>
    <row r="5098" spans="1:2" x14ac:dyDescent="0.25">
      <c r="A5098"/>
      <c r="B5098"/>
    </row>
    <row r="5099" spans="1:2" x14ac:dyDescent="0.25">
      <c r="A5099"/>
      <c r="B5099"/>
    </row>
    <row r="5100" spans="1:2" x14ac:dyDescent="0.25">
      <c r="A5100"/>
      <c r="B5100"/>
    </row>
    <row r="5101" spans="1:2" x14ac:dyDescent="0.25">
      <c r="A5101"/>
      <c r="B5101"/>
    </row>
    <row r="5102" spans="1:2" x14ac:dyDescent="0.25">
      <c r="A5102"/>
      <c r="B5102"/>
    </row>
    <row r="5103" spans="1:2" x14ac:dyDescent="0.25">
      <c r="A5103"/>
      <c r="B5103"/>
    </row>
    <row r="5104" spans="1:2" x14ac:dyDescent="0.25">
      <c r="A5104"/>
      <c r="B5104"/>
    </row>
    <row r="5105" spans="1:2" x14ac:dyDescent="0.25">
      <c r="A5105"/>
      <c r="B5105"/>
    </row>
    <row r="5106" spans="1:2" x14ac:dyDescent="0.25">
      <c r="A5106"/>
      <c r="B5106"/>
    </row>
    <row r="5107" spans="1:2" x14ac:dyDescent="0.25">
      <c r="A5107"/>
      <c r="B5107"/>
    </row>
    <row r="5108" spans="1:2" x14ac:dyDescent="0.25">
      <c r="A5108"/>
      <c r="B5108"/>
    </row>
    <row r="5109" spans="1:2" x14ac:dyDescent="0.25">
      <c r="A5109"/>
      <c r="B5109"/>
    </row>
    <row r="5110" spans="1:2" x14ac:dyDescent="0.25">
      <c r="A5110"/>
      <c r="B5110"/>
    </row>
    <row r="5111" spans="1:2" x14ac:dyDescent="0.25">
      <c r="A5111"/>
      <c r="B5111"/>
    </row>
    <row r="5112" spans="1:2" x14ac:dyDescent="0.25">
      <c r="A5112"/>
      <c r="B5112"/>
    </row>
    <row r="5113" spans="1:2" x14ac:dyDescent="0.25">
      <c r="A5113"/>
      <c r="B5113"/>
    </row>
    <row r="5114" spans="1:2" x14ac:dyDescent="0.25">
      <c r="A5114"/>
      <c r="B5114"/>
    </row>
    <row r="5115" spans="1:2" x14ac:dyDescent="0.25">
      <c r="A5115"/>
      <c r="B5115"/>
    </row>
    <row r="5116" spans="1:2" x14ac:dyDescent="0.25">
      <c r="A5116"/>
      <c r="B5116"/>
    </row>
    <row r="5117" spans="1:2" x14ac:dyDescent="0.25">
      <c r="A5117"/>
      <c r="B5117"/>
    </row>
    <row r="5118" spans="1:2" x14ac:dyDescent="0.25">
      <c r="A5118"/>
      <c r="B5118"/>
    </row>
    <row r="5119" spans="1:2" x14ac:dyDescent="0.25">
      <c r="A5119"/>
      <c r="B5119"/>
    </row>
    <row r="5120" spans="1:2" x14ac:dyDescent="0.25">
      <c r="A5120"/>
      <c r="B5120"/>
    </row>
    <row r="5121" spans="1:2" x14ac:dyDescent="0.25">
      <c r="A5121"/>
      <c r="B5121"/>
    </row>
    <row r="5122" spans="1:2" x14ac:dyDescent="0.25">
      <c r="A5122"/>
      <c r="B5122"/>
    </row>
    <row r="5123" spans="1:2" x14ac:dyDescent="0.25">
      <c r="A5123"/>
      <c r="B5123"/>
    </row>
    <row r="5124" spans="1:2" x14ac:dyDescent="0.25">
      <c r="A5124"/>
      <c r="B5124"/>
    </row>
    <row r="5125" spans="1:2" x14ac:dyDescent="0.25">
      <c r="A5125"/>
      <c r="B5125"/>
    </row>
    <row r="5126" spans="1:2" x14ac:dyDescent="0.25">
      <c r="A5126"/>
      <c r="B5126"/>
    </row>
    <row r="5127" spans="1:2" x14ac:dyDescent="0.25">
      <c r="A5127"/>
      <c r="B5127"/>
    </row>
    <row r="5128" spans="1:2" x14ac:dyDescent="0.25">
      <c r="A5128"/>
      <c r="B5128"/>
    </row>
    <row r="5129" spans="1:2" x14ac:dyDescent="0.25">
      <c r="A5129"/>
      <c r="B5129"/>
    </row>
    <row r="5130" spans="1:2" x14ac:dyDescent="0.25">
      <c r="A5130"/>
      <c r="B5130"/>
    </row>
    <row r="5131" spans="1:2" x14ac:dyDescent="0.25">
      <c r="A5131"/>
      <c r="B5131"/>
    </row>
    <row r="5132" spans="1:2" x14ac:dyDescent="0.25">
      <c r="A5132"/>
      <c r="B5132"/>
    </row>
    <row r="5133" spans="1:2" x14ac:dyDescent="0.25">
      <c r="A5133"/>
      <c r="B5133"/>
    </row>
    <row r="5134" spans="1:2" x14ac:dyDescent="0.25">
      <c r="A5134"/>
      <c r="B5134"/>
    </row>
    <row r="5135" spans="1:2" x14ac:dyDescent="0.25">
      <c r="A5135"/>
      <c r="B5135"/>
    </row>
    <row r="5136" spans="1:2" x14ac:dyDescent="0.25">
      <c r="A5136"/>
      <c r="B5136"/>
    </row>
    <row r="5137" spans="1:2" x14ac:dyDescent="0.25">
      <c r="A5137"/>
      <c r="B5137"/>
    </row>
    <row r="5138" spans="1:2" x14ac:dyDescent="0.25">
      <c r="A5138"/>
      <c r="B5138"/>
    </row>
    <row r="5139" spans="1:2" x14ac:dyDescent="0.25">
      <c r="A5139"/>
      <c r="B5139"/>
    </row>
    <row r="5140" spans="1:2" x14ac:dyDescent="0.25">
      <c r="A5140"/>
      <c r="B5140"/>
    </row>
    <row r="5141" spans="1:2" x14ac:dyDescent="0.25">
      <c r="A5141"/>
      <c r="B5141"/>
    </row>
    <row r="5142" spans="1:2" x14ac:dyDescent="0.25">
      <c r="A5142"/>
      <c r="B5142"/>
    </row>
    <row r="5143" spans="1:2" x14ac:dyDescent="0.25">
      <c r="A5143"/>
      <c r="B5143"/>
    </row>
    <row r="5144" spans="1:2" x14ac:dyDescent="0.25">
      <c r="A5144"/>
      <c r="B5144"/>
    </row>
    <row r="5145" spans="1:2" x14ac:dyDescent="0.25">
      <c r="A5145"/>
      <c r="B5145"/>
    </row>
    <row r="5146" spans="1:2" x14ac:dyDescent="0.25">
      <c r="A5146"/>
      <c r="B5146"/>
    </row>
    <row r="5147" spans="1:2" x14ac:dyDescent="0.25">
      <c r="A5147"/>
      <c r="B5147"/>
    </row>
    <row r="5148" spans="1:2" x14ac:dyDescent="0.25">
      <c r="A5148"/>
      <c r="B5148"/>
    </row>
    <row r="5149" spans="1:2" x14ac:dyDescent="0.25">
      <c r="A5149"/>
      <c r="B5149"/>
    </row>
    <row r="5150" spans="1:2" x14ac:dyDescent="0.25">
      <c r="A5150"/>
      <c r="B5150"/>
    </row>
    <row r="5151" spans="1:2" x14ac:dyDescent="0.25">
      <c r="A5151"/>
      <c r="B5151"/>
    </row>
    <row r="5152" spans="1:2" x14ac:dyDescent="0.25">
      <c r="A5152"/>
      <c r="B5152"/>
    </row>
    <row r="5153" spans="1:2" x14ac:dyDescent="0.25">
      <c r="A5153"/>
      <c r="B5153"/>
    </row>
    <row r="5154" spans="1:2" x14ac:dyDescent="0.25">
      <c r="A5154"/>
      <c r="B5154"/>
    </row>
    <row r="5155" spans="1:2" x14ac:dyDescent="0.25">
      <c r="A5155"/>
      <c r="B5155"/>
    </row>
    <row r="5156" spans="1:2" x14ac:dyDescent="0.25">
      <c r="A5156"/>
      <c r="B5156"/>
    </row>
    <row r="5157" spans="1:2" x14ac:dyDescent="0.25">
      <c r="A5157"/>
      <c r="B5157"/>
    </row>
    <row r="5158" spans="1:2" x14ac:dyDescent="0.25">
      <c r="A5158"/>
      <c r="B5158"/>
    </row>
    <row r="5159" spans="1:2" x14ac:dyDescent="0.25">
      <c r="A5159"/>
      <c r="B5159"/>
    </row>
    <row r="5160" spans="1:2" x14ac:dyDescent="0.25">
      <c r="A5160"/>
      <c r="B5160"/>
    </row>
    <row r="5161" spans="1:2" x14ac:dyDescent="0.25">
      <c r="A5161"/>
      <c r="B5161"/>
    </row>
    <row r="5162" spans="1:2" x14ac:dyDescent="0.25">
      <c r="A5162"/>
      <c r="B5162"/>
    </row>
    <row r="5163" spans="1:2" x14ac:dyDescent="0.25">
      <c r="A5163"/>
      <c r="B5163"/>
    </row>
    <row r="5164" spans="1:2" x14ac:dyDescent="0.25">
      <c r="A5164"/>
      <c r="B5164"/>
    </row>
    <row r="5165" spans="1:2" x14ac:dyDescent="0.25">
      <c r="A5165"/>
      <c r="B5165"/>
    </row>
    <row r="5166" spans="1:2" x14ac:dyDescent="0.25">
      <c r="A5166"/>
      <c r="B5166"/>
    </row>
    <row r="5167" spans="1:2" x14ac:dyDescent="0.25">
      <c r="A5167"/>
      <c r="B5167"/>
    </row>
    <row r="5168" spans="1:2" x14ac:dyDescent="0.25">
      <c r="A5168"/>
      <c r="B5168"/>
    </row>
    <row r="5169" spans="1:2" x14ac:dyDescent="0.25">
      <c r="A5169"/>
      <c r="B5169"/>
    </row>
    <row r="5170" spans="1:2" x14ac:dyDescent="0.25">
      <c r="A5170"/>
      <c r="B5170"/>
    </row>
    <row r="5171" spans="1:2" x14ac:dyDescent="0.25">
      <c r="A5171"/>
      <c r="B5171"/>
    </row>
    <row r="5172" spans="1:2" x14ac:dyDescent="0.25">
      <c r="A5172"/>
      <c r="B5172"/>
    </row>
    <row r="5173" spans="1:2" x14ac:dyDescent="0.25">
      <c r="A5173"/>
      <c r="B5173"/>
    </row>
    <row r="5174" spans="1:2" x14ac:dyDescent="0.25">
      <c r="A5174"/>
      <c r="B5174"/>
    </row>
    <row r="5175" spans="1:2" x14ac:dyDescent="0.25">
      <c r="A5175"/>
      <c r="B5175"/>
    </row>
    <row r="5176" spans="1:2" x14ac:dyDescent="0.25">
      <c r="A5176"/>
      <c r="B5176"/>
    </row>
    <row r="5177" spans="1:2" x14ac:dyDescent="0.25">
      <c r="A5177"/>
      <c r="B5177"/>
    </row>
    <row r="5178" spans="1:2" x14ac:dyDescent="0.25">
      <c r="A5178"/>
      <c r="B5178"/>
    </row>
    <row r="5179" spans="1:2" x14ac:dyDescent="0.25">
      <c r="A5179"/>
      <c r="B5179"/>
    </row>
    <row r="5180" spans="1:2" x14ac:dyDescent="0.25">
      <c r="A5180"/>
      <c r="B5180"/>
    </row>
    <row r="5181" spans="1:2" x14ac:dyDescent="0.25">
      <c r="A5181"/>
      <c r="B5181"/>
    </row>
    <row r="5182" spans="1:2" x14ac:dyDescent="0.25">
      <c r="A5182"/>
      <c r="B5182"/>
    </row>
    <row r="5183" spans="1:2" x14ac:dyDescent="0.25">
      <c r="A5183"/>
      <c r="B5183"/>
    </row>
    <row r="5184" spans="1:2" x14ac:dyDescent="0.25">
      <c r="A5184"/>
      <c r="B5184"/>
    </row>
    <row r="5185" spans="1:2" x14ac:dyDescent="0.25">
      <c r="A5185"/>
      <c r="B5185"/>
    </row>
    <row r="5186" spans="1:2" x14ac:dyDescent="0.25">
      <c r="A5186"/>
      <c r="B5186"/>
    </row>
    <row r="5187" spans="1:2" x14ac:dyDescent="0.25">
      <c r="A5187"/>
      <c r="B5187"/>
    </row>
    <row r="5188" spans="1:2" x14ac:dyDescent="0.25">
      <c r="A5188"/>
      <c r="B5188"/>
    </row>
    <row r="5189" spans="1:2" x14ac:dyDescent="0.25">
      <c r="A5189"/>
      <c r="B5189"/>
    </row>
    <row r="5190" spans="1:2" x14ac:dyDescent="0.25">
      <c r="A5190"/>
      <c r="B5190"/>
    </row>
    <row r="5191" spans="1:2" x14ac:dyDescent="0.25">
      <c r="A5191"/>
      <c r="B5191"/>
    </row>
    <row r="5192" spans="1:2" x14ac:dyDescent="0.25">
      <c r="A5192"/>
      <c r="B5192"/>
    </row>
    <row r="5193" spans="1:2" x14ac:dyDescent="0.25">
      <c r="A5193"/>
      <c r="B5193"/>
    </row>
    <row r="5194" spans="1:2" x14ac:dyDescent="0.25">
      <c r="A5194"/>
      <c r="B5194"/>
    </row>
    <row r="5195" spans="1:2" x14ac:dyDescent="0.25">
      <c r="A5195"/>
      <c r="B5195"/>
    </row>
    <row r="5196" spans="1:2" x14ac:dyDescent="0.25">
      <c r="A5196"/>
      <c r="B5196"/>
    </row>
    <row r="5197" spans="1:2" x14ac:dyDescent="0.25">
      <c r="A5197"/>
      <c r="B5197"/>
    </row>
    <row r="5198" spans="1:2" x14ac:dyDescent="0.25">
      <c r="A5198"/>
      <c r="B5198"/>
    </row>
    <row r="5199" spans="1:2" x14ac:dyDescent="0.25">
      <c r="A5199"/>
      <c r="B5199"/>
    </row>
    <row r="5200" spans="1:2" x14ac:dyDescent="0.25">
      <c r="A5200"/>
      <c r="B5200"/>
    </row>
    <row r="5201" spans="1:2" x14ac:dyDescent="0.25">
      <c r="A5201"/>
      <c r="B5201"/>
    </row>
    <row r="5202" spans="1:2" x14ac:dyDescent="0.25">
      <c r="A5202"/>
      <c r="B5202"/>
    </row>
    <row r="5203" spans="1:2" x14ac:dyDescent="0.25">
      <c r="A5203"/>
      <c r="B5203"/>
    </row>
    <row r="5204" spans="1:2" x14ac:dyDescent="0.25">
      <c r="A5204"/>
      <c r="B5204"/>
    </row>
    <row r="5205" spans="1:2" x14ac:dyDescent="0.25">
      <c r="A5205"/>
      <c r="B5205"/>
    </row>
    <row r="5206" spans="1:2" x14ac:dyDescent="0.25">
      <c r="A5206"/>
      <c r="B5206"/>
    </row>
    <row r="5207" spans="1:2" x14ac:dyDescent="0.25">
      <c r="A5207"/>
      <c r="B5207"/>
    </row>
    <row r="5208" spans="1:2" x14ac:dyDescent="0.25">
      <c r="A5208"/>
      <c r="B5208"/>
    </row>
    <row r="5209" spans="1:2" x14ac:dyDescent="0.25">
      <c r="A5209"/>
      <c r="B5209"/>
    </row>
    <row r="5210" spans="1:2" x14ac:dyDescent="0.25">
      <c r="A5210"/>
      <c r="B5210"/>
    </row>
    <row r="5211" spans="1:2" x14ac:dyDescent="0.25">
      <c r="A5211"/>
      <c r="B5211"/>
    </row>
    <row r="5212" spans="1:2" x14ac:dyDescent="0.25">
      <c r="A5212"/>
      <c r="B5212"/>
    </row>
    <row r="5213" spans="1:2" x14ac:dyDescent="0.25">
      <c r="A5213"/>
      <c r="B5213"/>
    </row>
    <row r="5214" spans="1:2" x14ac:dyDescent="0.25">
      <c r="A5214"/>
      <c r="B5214"/>
    </row>
    <row r="5215" spans="1:2" x14ac:dyDescent="0.25">
      <c r="A5215"/>
      <c r="B5215"/>
    </row>
    <row r="5216" spans="1:2" x14ac:dyDescent="0.25">
      <c r="A5216"/>
      <c r="B5216"/>
    </row>
    <row r="5217" spans="1:2" x14ac:dyDescent="0.25">
      <c r="A5217"/>
      <c r="B5217"/>
    </row>
    <row r="5218" spans="1:2" x14ac:dyDescent="0.25">
      <c r="A5218"/>
      <c r="B5218"/>
    </row>
    <row r="5219" spans="1:2" x14ac:dyDescent="0.25">
      <c r="A5219"/>
      <c r="B5219"/>
    </row>
    <row r="5220" spans="1:2" x14ac:dyDescent="0.25">
      <c r="A5220"/>
      <c r="B5220"/>
    </row>
    <row r="5221" spans="1:2" x14ac:dyDescent="0.25">
      <c r="A5221"/>
      <c r="B5221"/>
    </row>
    <row r="5222" spans="1:2" x14ac:dyDescent="0.25">
      <c r="A5222"/>
      <c r="B5222"/>
    </row>
    <row r="5223" spans="1:2" x14ac:dyDescent="0.25">
      <c r="A5223"/>
      <c r="B5223"/>
    </row>
    <row r="5224" spans="1:2" x14ac:dyDescent="0.25">
      <c r="A5224"/>
      <c r="B5224"/>
    </row>
    <row r="5225" spans="1:2" x14ac:dyDescent="0.25">
      <c r="A5225"/>
      <c r="B5225"/>
    </row>
    <row r="5226" spans="1:2" x14ac:dyDescent="0.25">
      <c r="A5226"/>
      <c r="B5226"/>
    </row>
    <row r="5227" spans="1:2" x14ac:dyDescent="0.25">
      <c r="A5227"/>
      <c r="B5227"/>
    </row>
    <row r="5228" spans="1:2" x14ac:dyDescent="0.25">
      <c r="A5228"/>
      <c r="B5228"/>
    </row>
    <row r="5229" spans="1:2" x14ac:dyDescent="0.25">
      <c r="A5229"/>
      <c r="B5229"/>
    </row>
    <row r="5230" spans="1:2" x14ac:dyDescent="0.25">
      <c r="A5230"/>
      <c r="B5230"/>
    </row>
    <row r="5231" spans="1:2" x14ac:dyDescent="0.25">
      <c r="A5231"/>
      <c r="B5231"/>
    </row>
    <row r="5232" spans="1:2" x14ac:dyDescent="0.25">
      <c r="A5232"/>
      <c r="B5232"/>
    </row>
    <row r="5233" spans="1:2" x14ac:dyDescent="0.25">
      <c r="A5233"/>
      <c r="B5233"/>
    </row>
    <row r="5234" spans="1:2" x14ac:dyDescent="0.25">
      <c r="A5234"/>
      <c r="B5234"/>
    </row>
    <row r="5235" spans="1:2" x14ac:dyDescent="0.25">
      <c r="A5235"/>
      <c r="B5235"/>
    </row>
    <row r="5236" spans="1:2" x14ac:dyDescent="0.25">
      <c r="A5236"/>
      <c r="B5236"/>
    </row>
    <row r="5237" spans="1:2" x14ac:dyDescent="0.25">
      <c r="A5237"/>
      <c r="B5237"/>
    </row>
    <row r="5238" spans="1:2" x14ac:dyDescent="0.25">
      <c r="A5238"/>
      <c r="B5238"/>
    </row>
    <row r="5239" spans="1:2" x14ac:dyDescent="0.25">
      <c r="A5239"/>
      <c r="B5239"/>
    </row>
    <row r="5240" spans="1:2" x14ac:dyDescent="0.25">
      <c r="A5240"/>
      <c r="B5240"/>
    </row>
    <row r="5241" spans="1:2" x14ac:dyDescent="0.25">
      <c r="A5241"/>
      <c r="B5241"/>
    </row>
    <row r="5242" spans="1:2" x14ac:dyDescent="0.25">
      <c r="A5242"/>
      <c r="B5242"/>
    </row>
    <row r="5243" spans="1:2" x14ac:dyDescent="0.25">
      <c r="A5243"/>
      <c r="B5243"/>
    </row>
    <row r="5244" spans="1:2" x14ac:dyDescent="0.25">
      <c r="A5244"/>
      <c r="B5244"/>
    </row>
    <row r="5245" spans="1:2" x14ac:dyDescent="0.25">
      <c r="A5245"/>
      <c r="B5245"/>
    </row>
    <row r="5246" spans="1:2" x14ac:dyDescent="0.25">
      <c r="A5246"/>
      <c r="B5246"/>
    </row>
    <row r="5247" spans="1:2" x14ac:dyDescent="0.25">
      <c r="A5247"/>
      <c r="B5247"/>
    </row>
    <row r="5248" spans="1:2" x14ac:dyDescent="0.25">
      <c r="A5248"/>
      <c r="B5248"/>
    </row>
    <row r="5249" spans="1:2" x14ac:dyDescent="0.25">
      <c r="A5249"/>
      <c r="B5249"/>
    </row>
    <row r="5250" spans="1:2" x14ac:dyDescent="0.25">
      <c r="A5250"/>
      <c r="B5250"/>
    </row>
    <row r="5251" spans="1:2" x14ac:dyDescent="0.25">
      <c r="A5251"/>
      <c r="B5251"/>
    </row>
    <row r="5252" spans="1:2" x14ac:dyDescent="0.25">
      <c r="A5252"/>
      <c r="B5252"/>
    </row>
    <row r="5253" spans="1:2" x14ac:dyDescent="0.25">
      <c r="A5253"/>
      <c r="B5253"/>
    </row>
    <row r="5254" spans="1:2" x14ac:dyDescent="0.25">
      <c r="A5254"/>
      <c r="B5254"/>
    </row>
    <row r="5255" spans="1:2" x14ac:dyDescent="0.25">
      <c r="A5255"/>
      <c r="B5255"/>
    </row>
    <row r="5256" spans="1:2" x14ac:dyDescent="0.25">
      <c r="A5256"/>
      <c r="B5256"/>
    </row>
    <row r="5257" spans="1:2" x14ac:dyDescent="0.25">
      <c r="A5257"/>
      <c r="B5257"/>
    </row>
    <row r="5258" spans="1:2" x14ac:dyDescent="0.25">
      <c r="A5258"/>
      <c r="B5258"/>
    </row>
    <row r="5259" spans="1:2" x14ac:dyDescent="0.25">
      <c r="A5259"/>
      <c r="B5259"/>
    </row>
    <row r="5260" spans="1:2" x14ac:dyDescent="0.25">
      <c r="A5260"/>
      <c r="B5260"/>
    </row>
    <row r="5261" spans="1:2" x14ac:dyDescent="0.25">
      <c r="A5261"/>
      <c r="B5261"/>
    </row>
    <row r="5262" spans="1:2" x14ac:dyDescent="0.25">
      <c r="A5262"/>
      <c r="B5262"/>
    </row>
    <row r="5263" spans="1:2" x14ac:dyDescent="0.25">
      <c r="A5263"/>
      <c r="B5263"/>
    </row>
    <row r="5264" spans="1:2" x14ac:dyDescent="0.25">
      <c r="A5264"/>
      <c r="B5264"/>
    </row>
    <row r="5265" spans="1:2" x14ac:dyDescent="0.25">
      <c r="A5265"/>
      <c r="B5265"/>
    </row>
    <row r="5266" spans="1:2" x14ac:dyDescent="0.25">
      <c r="A5266"/>
      <c r="B5266"/>
    </row>
    <row r="5267" spans="1:2" x14ac:dyDescent="0.25">
      <c r="A5267"/>
      <c r="B5267"/>
    </row>
    <row r="5268" spans="1:2" x14ac:dyDescent="0.25">
      <c r="A5268"/>
      <c r="B5268"/>
    </row>
    <row r="5269" spans="1:2" x14ac:dyDescent="0.25">
      <c r="A5269"/>
      <c r="B5269"/>
    </row>
    <row r="5270" spans="1:2" x14ac:dyDescent="0.25">
      <c r="A5270"/>
      <c r="B5270"/>
    </row>
    <row r="5271" spans="1:2" x14ac:dyDescent="0.25">
      <c r="A5271"/>
      <c r="B5271"/>
    </row>
    <row r="5272" spans="1:2" x14ac:dyDescent="0.25">
      <c r="A5272"/>
      <c r="B5272"/>
    </row>
    <row r="5273" spans="1:2" x14ac:dyDescent="0.25">
      <c r="A5273"/>
      <c r="B5273"/>
    </row>
    <row r="5274" spans="1:2" x14ac:dyDescent="0.25">
      <c r="A5274"/>
      <c r="B5274"/>
    </row>
    <row r="5275" spans="1:2" x14ac:dyDescent="0.25">
      <c r="A5275"/>
      <c r="B5275"/>
    </row>
    <row r="5276" spans="1:2" x14ac:dyDescent="0.25">
      <c r="A5276"/>
      <c r="B5276"/>
    </row>
    <row r="5277" spans="1:2" x14ac:dyDescent="0.25">
      <c r="A5277"/>
      <c r="B5277"/>
    </row>
    <row r="5278" spans="1:2" x14ac:dyDescent="0.25">
      <c r="A5278"/>
      <c r="B5278"/>
    </row>
    <row r="5279" spans="1:2" x14ac:dyDescent="0.25">
      <c r="A5279"/>
      <c r="B5279"/>
    </row>
    <row r="5280" spans="1:2" x14ac:dyDescent="0.25">
      <c r="A5280"/>
      <c r="B5280"/>
    </row>
    <row r="5281" spans="1:2" x14ac:dyDescent="0.25">
      <c r="A5281"/>
      <c r="B5281"/>
    </row>
    <row r="5282" spans="1:2" x14ac:dyDescent="0.25">
      <c r="A5282"/>
      <c r="B5282"/>
    </row>
    <row r="5283" spans="1:2" x14ac:dyDescent="0.25">
      <c r="A5283"/>
      <c r="B5283"/>
    </row>
    <row r="5284" spans="1:2" x14ac:dyDescent="0.25">
      <c r="A5284"/>
      <c r="B5284"/>
    </row>
    <row r="5285" spans="1:2" x14ac:dyDescent="0.25">
      <c r="A5285"/>
      <c r="B5285"/>
    </row>
    <row r="5286" spans="1:2" x14ac:dyDescent="0.25">
      <c r="A5286"/>
      <c r="B5286"/>
    </row>
    <row r="5287" spans="1:2" x14ac:dyDescent="0.25">
      <c r="A5287"/>
      <c r="B5287"/>
    </row>
    <row r="5288" spans="1:2" x14ac:dyDescent="0.25">
      <c r="A5288"/>
      <c r="B5288"/>
    </row>
    <row r="5289" spans="1:2" x14ac:dyDescent="0.25">
      <c r="A5289"/>
      <c r="B5289"/>
    </row>
    <row r="5290" spans="1:2" x14ac:dyDescent="0.25">
      <c r="A5290"/>
      <c r="B5290"/>
    </row>
    <row r="5291" spans="1:2" x14ac:dyDescent="0.25">
      <c r="A5291"/>
      <c r="B5291"/>
    </row>
    <row r="5292" spans="1:2" x14ac:dyDescent="0.25">
      <c r="A5292"/>
      <c r="B5292"/>
    </row>
    <row r="5293" spans="1:2" x14ac:dyDescent="0.25">
      <c r="A5293"/>
      <c r="B5293"/>
    </row>
    <row r="5294" spans="1:2" x14ac:dyDescent="0.25">
      <c r="A5294"/>
      <c r="B5294"/>
    </row>
    <row r="5295" spans="1:2" x14ac:dyDescent="0.25">
      <c r="A5295"/>
      <c r="B5295"/>
    </row>
    <row r="5296" spans="1:2" x14ac:dyDescent="0.25">
      <c r="A5296"/>
      <c r="B5296"/>
    </row>
    <row r="5297" spans="1:2" x14ac:dyDescent="0.25">
      <c r="A5297"/>
      <c r="B5297"/>
    </row>
    <row r="5298" spans="1:2" x14ac:dyDescent="0.25">
      <c r="A5298"/>
      <c r="B5298"/>
    </row>
    <row r="5299" spans="1:2" x14ac:dyDescent="0.25">
      <c r="A5299"/>
      <c r="B5299"/>
    </row>
    <row r="5300" spans="1:2" x14ac:dyDescent="0.25">
      <c r="A5300"/>
      <c r="B5300"/>
    </row>
    <row r="5301" spans="1:2" x14ac:dyDescent="0.25">
      <c r="A5301"/>
      <c r="B5301"/>
    </row>
    <row r="5302" spans="1:2" x14ac:dyDescent="0.25">
      <c r="A5302"/>
      <c r="B5302"/>
    </row>
    <row r="5303" spans="1:2" x14ac:dyDescent="0.25">
      <c r="A5303"/>
      <c r="B5303"/>
    </row>
    <row r="5304" spans="1:2" x14ac:dyDescent="0.25">
      <c r="A5304"/>
      <c r="B5304"/>
    </row>
    <row r="5305" spans="1:2" x14ac:dyDescent="0.25">
      <c r="A5305"/>
      <c r="B5305"/>
    </row>
    <row r="5306" spans="1:2" x14ac:dyDescent="0.25">
      <c r="A5306"/>
      <c r="B5306"/>
    </row>
    <row r="5307" spans="1:2" x14ac:dyDescent="0.25">
      <c r="A5307"/>
      <c r="B5307"/>
    </row>
    <row r="5308" spans="1:2" x14ac:dyDescent="0.25">
      <c r="A5308"/>
      <c r="B5308"/>
    </row>
    <row r="5309" spans="1:2" x14ac:dyDescent="0.25">
      <c r="A5309"/>
      <c r="B5309"/>
    </row>
    <row r="5310" spans="1:2" x14ac:dyDescent="0.25">
      <c r="A5310"/>
      <c r="B5310"/>
    </row>
    <row r="5311" spans="1:2" x14ac:dyDescent="0.25">
      <c r="A5311"/>
      <c r="B5311"/>
    </row>
    <row r="5312" spans="1:2" x14ac:dyDescent="0.25">
      <c r="A5312"/>
      <c r="B5312"/>
    </row>
    <row r="5313" spans="1:2" x14ac:dyDescent="0.25">
      <c r="A5313"/>
      <c r="B5313"/>
    </row>
    <row r="5314" spans="1:2" x14ac:dyDescent="0.25">
      <c r="A5314"/>
      <c r="B5314"/>
    </row>
    <row r="5315" spans="1:2" x14ac:dyDescent="0.25">
      <c r="A5315"/>
      <c r="B5315"/>
    </row>
    <row r="5316" spans="1:2" x14ac:dyDescent="0.25">
      <c r="A5316"/>
      <c r="B5316"/>
    </row>
    <row r="5317" spans="1:2" x14ac:dyDescent="0.25">
      <c r="A5317"/>
      <c r="B5317"/>
    </row>
    <row r="5318" spans="1:2" x14ac:dyDescent="0.25">
      <c r="A5318"/>
      <c r="B5318"/>
    </row>
    <row r="5319" spans="1:2" x14ac:dyDescent="0.25">
      <c r="A5319"/>
      <c r="B5319"/>
    </row>
    <row r="5320" spans="1:2" x14ac:dyDescent="0.25">
      <c r="A5320"/>
      <c r="B5320"/>
    </row>
    <row r="5321" spans="1:2" x14ac:dyDescent="0.25">
      <c r="A5321"/>
      <c r="B5321"/>
    </row>
    <row r="5322" spans="1:2" x14ac:dyDescent="0.25">
      <c r="A5322"/>
      <c r="B5322"/>
    </row>
    <row r="5323" spans="1:2" x14ac:dyDescent="0.25">
      <c r="A5323"/>
      <c r="B5323"/>
    </row>
    <row r="5324" spans="1:2" x14ac:dyDescent="0.25">
      <c r="A5324"/>
      <c r="B5324"/>
    </row>
    <row r="5325" spans="1:2" x14ac:dyDescent="0.25">
      <c r="A5325"/>
      <c r="B5325"/>
    </row>
    <row r="5326" spans="1:2" x14ac:dyDescent="0.25">
      <c r="A5326"/>
      <c r="B5326"/>
    </row>
    <row r="5327" spans="1:2" x14ac:dyDescent="0.25">
      <c r="A5327"/>
      <c r="B5327"/>
    </row>
    <row r="5328" spans="1:2" x14ac:dyDescent="0.25">
      <c r="A5328"/>
      <c r="B5328"/>
    </row>
    <row r="5329" spans="1:2" x14ac:dyDescent="0.25">
      <c r="A5329"/>
      <c r="B5329"/>
    </row>
    <row r="5330" spans="1:2" x14ac:dyDescent="0.25">
      <c r="A5330"/>
      <c r="B5330"/>
    </row>
    <row r="5331" spans="1:2" x14ac:dyDescent="0.25">
      <c r="A5331"/>
      <c r="B5331"/>
    </row>
    <row r="5332" spans="1:2" x14ac:dyDescent="0.25">
      <c r="A5332"/>
      <c r="B5332"/>
    </row>
    <row r="5333" spans="1:2" x14ac:dyDescent="0.25">
      <c r="A5333"/>
      <c r="B5333"/>
    </row>
    <row r="5334" spans="1:2" x14ac:dyDescent="0.25">
      <c r="A5334"/>
      <c r="B5334"/>
    </row>
    <row r="5335" spans="1:2" x14ac:dyDescent="0.25">
      <c r="A5335"/>
      <c r="B5335"/>
    </row>
    <row r="5336" spans="1:2" x14ac:dyDescent="0.25">
      <c r="A5336"/>
      <c r="B5336"/>
    </row>
    <row r="5337" spans="1:2" x14ac:dyDescent="0.25">
      <c r="A5337"/>
      <c r="B5337"/>
    </row>
    <row r="5338" spans="1:2" x14ac:dyDescent="0.25">
      <c r="A5338"/>
      <c r="B5338"/>
    </row>
    <row r="5339" spans="1:2" x14ac:dyDescent="0.25">
      <c r="A5339"/>
      <c r="B5339"/>
    </row>
    <row r="5340" spans="1:2" x14ac:dyDescent="0.25">
      <c r="A5340"/>
      <c r="B5340"/>
    </row>
    <row r="5341" spans="1:2" x14ac:dyDescent="0.25">
      <c r="A5341"/>
      <c r="B5341"/>
    </row>
    <row r="5342" spans="1:2" x14ac:dyDescent="0.25">
      <c r="A5342"/>
      <c r="B5342"/>
    </row>
    <row r="5343" spans="1:2" x14ac:dyDescent="0.25">
      <c r="A5343"/>
      <c r="B5343"/>
    </row>
    <row r="5344" spans="1:2" x14ac:dyDescent="0.25">
      <c r="A5344"/>
      <c r="B5344"/>
    </row>
    <row r="5345" spans="1:2" x14ac:dyDescent="0.25">
      <c r="A5345"/>
      <c r="B5345"/>
    </row>
    <row r="5346" spans="1:2" x14ac:dyDescent="0.25">
      <c r="A5346"/>
      <c r="B5346"/>
    </row>
    <row r="5347" spans="1:2" x14ac:dyDescent="0.25">
      <c r="A5347"/>
      <c r="B5347"/>
    </row>
    <row r="5348" spans="1:2" x14ac:dyDescent="0.25">
      <c r="A5348"/>
      <c r="B5348"/>
    </row>
    <row r="5349" spans="1:2" x14ac:dyDescent="0.25">
      <c r="A5349"/>
      <c r="B5349"/>
    </row>
    <row r="5350" spans="1:2" x14ac:dyDescent="0.25">
      <c r="A5350"/>
      <c r="B5350"/>
    </row>
    <row r="5351" spans="1:2" x14ac:dyDescent="0.25">
      <c r="A5351"/>
      <c r="B5351"/>
    </row>
    <row r="5352" spans="1:2" x14ac:dyDescent="0.25">
      <c r="A5352"/>
      <c r="B5352"/>
    </row>
    <row r="5353" spans="1:2" x14ac:dyDescent="0.25">
      <c r="A5353"/>
      <c r="B5353"/>
    </row>
    <row r="5354" spans="1:2" x14ac:dyDescent="0.25">
      <c r="A5354"/>
      <c r="B5354"/>
    </row>
    <row r="5355" spans="1:2" x14ac:dyDescent="0.25">
      <c r="A5355"/>
      <c r="B5355"/>
    </row>
    <row r="5356" spans="1:2" x14ac:dyDescent="0.25">
      <c r="A5356"/>
      <c r="B5356"/>
    </row>
    <row r="5357" spans="1:2" x14ac:dyDescent="0.25">
      <c r="A5357"/>
      <c r="B5357"/>
    </row>
    <row r="5358" spans="1:2" x14ac:dyDescent="0.25">
      <c r="A5358"/>
      <c r="B5358"/>
    </row>
    <row r="5359" spans="1:2" x14ac:dyDescent="0.25">
      <c r="A5359"/>
      <c r="B5359"/>
    </row>
    <row r="5360" spans="1:2" x14ac:dyDescent="0.25">
      <c r="A5360"/>
      <c r="B5360"/>
    </row>
    <row r="5361" spans="1:2" x14ac:dyDescent="0.25">
      <c r="A5361"/>
      <c r="B5361"/>
    </row>
    <row r="5362" spans="1:2" x14ac:dyDescent="0.25">
      <c r="A5362"/>
      <c r="B5362"/>
    </row>
    <row r="5363" spans="1:2" x14ac:dyDescent="0.25">
      <c r="A5363"/>
      <c r="B5363"/>
    </row>
    <row r="5364" spans="1:2" x14ac:dyDescent="0.25">
      <c r="A5364"/>
      <c r="B5364"/>
    </row>
    <row r="5365" spans="1:2" x14ac:dyDescent="0.25">
      <c r="A5365"/>
      <c r="B5365"/>
    </row>
    <row r="5366" spans="1:2" x14ac:dyDescent="0.25">
      <c r="A5366"/>
      <c r="B5366"/>
    </row>
    <row r="5367" spans="1:2" x14ac:dyDescent="0.25">
      <c r="A5367"/>
      <c r="B5367"/>
    </row>
    <row r="5368" spans="1:2" x14ac:dyDescent="0.25">
      <c r="A5368"/>
      <c r="B5368"/>
    </row>
    <row r="5369" spans="1:2" x14ac:dyDescent="0.25">
      <c r="A5369"/>
      <c r="B5369"/>
    </row>
    <row r="5370" spans="1:2" x14ac:dyDescent="0.25">
      <c r="A5370"/>
      <c r="B5370"/>
    </row>
    <row r="5371" spans="1:2" x14ac:dyDescent="0.25">
      <c r="A5371"/>
      <c r="B5371"/>
    </row>
    <row r="5372" spans="1:2" x14ac:dyDescent="0.25">
      <c r="A5372"/>
      <c r="B5372"/>
    </row>
    <row r="5373" spans="1:2" x14ac:dyDescent="0.25">
      <c r="A5373"/>
      <c r="B5373"/>
    </row>
    <row r="5374" spans="1:2" x14ac:dyDescent="0.25">
      <c r="A5374"/>
      <c r="B5374"/>
    </row>
    <row r="5375" spans="1:2" x14ac:dyDescent="0.25">
      <c r="A5375"/>
      <c r="B5375"/>
    </row>
    <row r="5376" spans="1:2" x14ac:dyDescent="0.25">
      <c r="A5376"/>
      <c r="B5376"/>
    </row>
    <row r="5377" spans="1:2" x14ac:dyDescent="0.25">
      <c r="A5377"/>
      <c r="B5377"/>
    </row>
    <row r="5378" spans="1:2" x14ac:dyDescent="0.25">
      <c r="A5378"/>
      <c r="B5378"/>
    </row>
    <row r="5379" spans="1:2" x14ac:dyDescent="0.25">
      <c r="A5379"/>
      <c r="B5379"/>
    </row>
    <row r="5380" spans="1:2" x14ac:dyDescent="0.25">
      <c r="A5380"/>
      <c r="B5380"/>
    </row>
    <row r="5381" spans="1:2" x14ac:dyDescent="0.25">
      <c r="A5381"/>
      <c r="B5381"/>
    </row>
    <row r="5382" spans="1:2" x14ac:dyDescent="0.25">
      <c r="A5382"/>
      <c r="B5382"/>
    </row>
    <row r="5383" spans="1:2" x14ac:dyDescent="0.25">
      <c r="A5383"/>
      <c r="B5383"/>
    </row>
    <row r="5384" spans="1:2" x14ac:dyDescent="0.25">
      <c r="A5384"/>
      <c r="B5384"/>
    </row>
    <row r="5385" spans="1:2" x14ac:dyDescent="0.25">
      <c r="A5385"/>
      <c r="B5385"/>
    </row>
    <row r="5386" spans="1:2" x14ac:dyDescent="0.25">
      <c r="A5386"/>
      <c r="B5386"/>
    </row>
    <row r="5387" spans="1:2" x14ac:dyDescent="0.25">
      <c r="A5387"/>
      <c r="B5387"/>
    </row>
    <row r="5388" spans="1:2" x14ac:dyDescent="0.25">
      <c r="A5388"/>
      <c r="B5388"/>
    </row>
    <row r="5389" spans="1:2" x14ac:dyDescent="0.25">
      <c r="A5389"/>
      <c r="B5389"/>
    </row>
    <row r="5390" spans="1:2" x14ac:dyDescent="0.25">
      <c r="A5390"/>
      <c r="B5390"/>
    </row>
    <row r="5391" spans="1:2" x14ac:dyDescent="0.25">
      <c r="A5391"/>
      <c r="B5391"/>
    </row>
    <row r="5392" spans="1:2" x14ac:dyDescent="0.25">
      <c r="A5392"/>
      <c r="B5392"/>
    </row>
    <row r="5393" spans="1:2" x14ac:dyDescent="0.25">
      <c r="A5393"/>
      <c r="B5393"/>
    </row>
    <row r="5394" spans="1:2" x14ac:dyDescent="0.25">
      <c r="A5394"/>
      <c r="B5394"/>
    </row>
    <row r="5395" spans="1:2" x14ac:dyDescent="0.25">
      <c r="A5395"/>
      <c r="B5395"/>
    </row>
    <row r="5396" spans="1:2" x14ac:dyDescent="0.25">
      <c r="A5396"/>
      <c r="B5396"/>
    </row>
    <row r="5397" spans="1:2" x14ac:dyDescent="0.25">
      <c r="A5397"/>
      <c r="B5397"/>
    </row>
    <row r="5398" spans="1:2" x14ac:dyDescent="0.25">
      <c r="A5398"/>
      <c r="B5398"/>
    </row>
    <row r="5399" spans="1:2" x14ac:dyDescent="0.25">
      <c r="A5399"/>
      <c r="B5399"/>
    </row>
    <row r="5400" spans="1:2" x14ac:dyDescent="0.25">
      <c r="A5400"/>
      <c r="B5400"/>
    </row>
    <row r="5401" spans="1:2" x14ac:dyDescent="0.25">
      <c r="A5401"/>
      <c r="B5401"/>
    </row>
    <row r="5402" spans="1:2" x14ac:dyDescent="0.25">
      <c r="A5402"/>
      <c r="B5402"/>
    </row>
    <row r="5403" spans="1:2" x14ac:dyDescent="0.25">
      <c r="A5403"/>
      <c r="B5403"/>
    </row>
    <row r="5404" spans="1:2" x14ac:dyDescent="0.25">
      <c r="A5404"/>
      <c r="B5404"/>
    </row>
    <row r="5405" spans="1:2" x14ac:dyDescent="0.25">
      <c r="A5405"/>
      <c r="B5405"/>
    </row>
    <row r="5406" spans="1:2" x14ac:dyDescent="0.25">
      <c r="A5406"/>
      <c r="B5406"/>
    </row>
    <row r="5407" spans="1:2" x14ac:dyDescent="0.25">
      <c r="A5407"/>
      <c r="B5407"/>
    </row>
    <row r="5408" spans="1:2" x14ac:dyDescent="0.25">
      <c r="A5408"/>
      <c r="B5408"/>
    </row>
    <row r="5409" spans="1:2" x14ac:dyDescent="0.25">
      <c r="A5409"/>
      <c r="B5409"/>
    </row>
    <row r="5410" spans="1:2" x14ac:dyDescent="0.25">
      <c r="A5410"/>
      <c r="B5410"/>
    </row>
    <row r="5411" spans="1:2" x14ac:dyDescent="0.25">
      <c r="A5411"/>
      <c r="B5411"/>
    </row>
    <row r="5412" spans="1:2" x14ac:dyDescent="0.25">
      <c r="A5412"/>
      <c r="B5412"/>
    </row>
    <row r="5413" spans="1:2" x14ac:dyDescent="0.25">
      <c r="A5413"/>
      <c r="B5413"/>
    </row>
    <row r="5414" spans="1:2" x14ac:dyDescent="0.25">
      <c r="A5414"/>
      <c r="B5414"/>
    </row>
    <row r="5415" spans="1:2" x14ac:dyDescent="0.25">
      <c r="A5415"/>
      <c r="B5415"/>
    </row>
    <row r="5416" spans="1:2" x14ac:dyDescent="0.25">
      <c r="A5416"/>
      <c r="B5416"/>
    </row>
    <row r="5417" spans="1:2" x14ac:dyDescent="0.25">
      <c r="A5417"/>
      <c r="B5417"/>
    </row>
    <row r="5418" spans="1:2" x14ac:dyDescent="0.25">
      <c r="A5418"/>
      <c r="B5418"/>
    </row>
    <row r="5419" spans="1:2" x14ac:dyDescent="0.25">
      <c r="A5419"/>
      <c r="B5419"/>
    </row>
    <row r="5420" spans="1:2" x14ac:dyDescent="0.25">
      <c r="A5420"/>
      <c r="B5420"/>
    </row>
    <row r="5421" spans="1:2" x14ac:dyDescent="0.25">
      <c r="A5421"/>
      <c r="B5421"/>
    </row>
    <row r="5422" spans="1:2" x14ac:dyDescent="0.25">
      <c r="A5422"/>
      <c r="B5422"/>
    </row>
    <row r="5423" spans="1:2" x14ac:dyDescent="0.25">
      <c r="A5423"/>
      <c r="B5423"/>
    </row>
    <row r="5424" spans="1:2" x14ac:dyDescent="0.25">
      <c r="A5424"/>
      <c r="B5424"/>
    </row>
    <row r="5425" spans="1:2" x14ac:dyDescent="0.25">
      <c r="A5425"/>
      <c r="B5425"/>
    </row>
    <row r="5426" spans="1:2" x14ac:dyDescent="0.25">
      <c r="A5426"/>
      <c r="B5426"/>
    </row>
    <row r="5427" spans="1:2" x14ac:dyDescent="0.25">
      <c r="A5427"/>
      <c r="B5427"/>
    </row>
    <row r="5428" spans="1:2" x14ac:dyDescent="0.25">
      <c r="A5428"/>
      <c r="B5428"/>
    </row>
    <row r="5429" spans="1:2" x14ac:dyDescent="0.25">
      <c r="A5429"/>
      <c r="B5429"/>
    </row>
    <row r="5430" spans="1:2" x14ac:dyDescent="0.25">
      <c r="A5430"/>
      <c r="B5430"/>
    </row>
    <row r="5431" spans="1:2" x14ac:dyDescent="0.25">
      <c r="A5431"/>
      <c r="B5431"/>
    </row>
    <row r="5432" spans="1:2" x14ac:dyDescent="0.25">
      <c r="A5432"/>
      <c r="B5432"/>
    </row>
    <row r="5433" spans="1:2" x14ac:dyDescent="0.25">
      <c r="A5433"/>
      <c r="B5433"/>
    </row>
    <row r="5434" spans="1:2" x14ac:dyDescent="0.25">
      <c r="A5434"/>
      <c r="B5434"/>
    </row>
    <row r="5435" spans="1:2" x14ac:dyDescent="0.25">
      <c r="A5435"/>
      <c r="B5435"/>
    </row>
    <row r="5436" spans="1:2" x14ac:dyDescent="0.25">
      <c r="A5436"/>
      <c r="B5436"/>
    </row>
    <row r="5437" spans="1:2" x14ac:dyDescent="0.25">
      <c r="A5437"/>
      <c r="B5437"/>
    </row>
    <row r="5438" spans="1:2" x14ac:dyDescent="0.25">
      <c r="A5438"/>
      <c r="B5438"/>
    </row>
    <row r="5439" spans="1:2" x14ac:dyDescent="0.25">
      <c r="A5439"/>
      <c r="B5439"/>
    </row>
    <row r="5440" spans="1:2" x14ac:dyDescent="0.25">
      <c r="A5440"/>
      <c r="B5440"/>
    </row>
    <row r="5441" spans="1:2" x14ac:dyDescent="0.25">
      <c r="A5441"/>
      <c r="B5441"/>
    </row>
    <row r="5442" spans="1:2" x14ac:dyDescent="0.25">
      <c r="A5442"/>
      <c r="B5442"/>
    </row>
    <row r="5443" spans="1:2" x14ac:dyDescent="0.25">
      <c r="A5443"/>
      <c r="B5443"/>
    </row>
    <row r="5444" spans="1:2" x14ac:dyDescent="0.25">
      <c r="A5444"/>
      <c r="B5444"/>
    </row>
    <row r="5445" spans="1:2" x14ac:dyDescent="0.25">
      <c r="A5445"/>
      <c r="B5445"/>
    </row>
    <row r="5446" spans="1:2" x14ac:dyDescent="0.25">
      <c r="A5446"/>
      <c r="B5446"/>
    </row>
    <row r="5447" spans="1:2" x14ac:dyDescent="0.25">
      <c r="A5447"/>
      <c r="B5447"/>
    </row>
    <row r="5448" spans="1:2" x14ac:dyDescent="0.25">
      <c r="A5448"/>
      <c r="B5448"/>
    </row>
    <row r="5449" spans="1:2" x14ac:dyDescent="0.25">
      <c r="A5449"/>
      <c r="B5449"/>
    </row>
    <row r="5450" spans="1:2" x14ac:dyDescent="0.25">
      <c r="A5450"/>
      <c r="B5450"/>
    </row>
    <row r="5451" spans="1:2" x14ac:dyDescent="0.25">
      <c r="A5451"/>
      <c r="B5451"/>
    </row>
    <row r="5452" spans="1:2" x14ac:dyDescent="0.25">
      <c r="A5452"/>
      <c r="B5452"/>
    </row>
    <row r="5453" spans="1:2" x14ac:dyDescent="0.25">
      <c r="A5453"/>
      <c r="B5453"/>
    </row>
    <row r="5454" spans="1:2" x14ac:dyDescent="0.25">
      <c r="A5454"/>
      <c r="B5454"/>
    </row>
    <row r="5455" spans="1:2" x14ac:dyDescent="0.25">
      <c r="A5455"/>
      <c r="B5455"/>
    </row>
    <row r="5456" spans="1:2" x14ac:dyDescent="0.25">
      <c r="A5456"/>
      <c r="B5456"/>
    </row>
    <row r="5457" spans="1:2" x14ac:dyDescent="0.25">
      <c r="A5457"/>
      <c r="B5457"/>
    </row>
    <row r="5458" spans="1:2" x14ac:dyDescent="0.25">
      <c r="A5458"/>
      <c r="B5458"/>
    </row>
    <row r="5459" spans="1:2" x14ac:dyDescent="0.25">
      <c r="A5459"/>
      <c r="B5459"/>
    </row>
    <row r="5460" spans="1:2" x14ac:dyDescent="0.25">
      <c r="A5460"/>
      <c r="B5460"/>
    </row>
    <row r="5461" spans="1:2" x14ac:dyDescent="0.25">
      <c r="A5461"/>
      <c r="B5461"/>
    </row>
    <row r="5462" spans="1:2" x14ac:dyDescent="0.25">
      <c r="A5462"/>
      <c r="B5462"/>
    </row>
    <row r="5463" spans="1:2" x14ac:dyDescent="0.25">
      <c r="A5463"/>
      <c r="B5463"/>
    </row>
    <row r="5464" spans="1:2" x14ac:dyDescent="0.25">
      <c r="A5464"/>
      <c r="B5464"/>
    </row>
    <row r="5465" spans="1:2" x14ac:dyDescent="0.25">
      <c r="A5465"/>
      <c r="B5465"/>
    </row>
    <row r="5466" spans="1:2" x14ac:dyDescent="0.25">
      <c r="A5466"/>
      <c r="B5466"/>
    </row>
    <row r="5467" spans="1:2" x14ac:dyDescent="0.25">
      <c r="A5467"/>
      <c r="B5467"/>
    </row>
    <row r="5468" spans="1:2" x14ac:dyDescent="0.25">
      <c r="A5468"/>
      <c r="B5468"/>
    </row>
    <row r="5469" spans="1:2" x14ac:dyDescent="0.25">
      <c r="A5469"/>
      <c r="B5469"/>
    </row>
    <row r="5470" spans="1:2" x14ac:dyDescent="0.25">
      <c r="A5470"/>
      <c r="B5470"/>
    </row>
    <row r="5471" spans="1:2" x14ac:dyDescent="0.25">
      <c r="A5471"/>
      <c r="B5471"/>
    </row>
    <row r="5472" spans="1:2" x14ac:dyDescent="0.25">
      <c r="A5472"/>
      <c r="B5472"/>
    </row>
    <row r="5473" spans="1:2" x14ac:dyDescent="0.25">
      <c r="A5473"/>
      <c r="B5473"/>
    </row>
    <row r="5474" spans="1:2" x14ac:dyDescent="0.25">
      <c r="A5474"/>
      <c r="B5474"/>
    </row>
    <row r="5475" spans="1:2" x14ac:dyDescent="0.25">
      <c r="A5475"/>
      <c r="B5475"/>
    </row>
    <row r="5476" spans="1:2" x14ac:dyDescent="0.25">
      <c r="A5476"/>
      <c r="B5476"/>
    </row>
    <row r="5477" spans="1:2" x14ac:dyDescent="0.25">
      <c r="A5477"/>
      <c r="B5477"/>
    </row>
    <row r="5478" spans="1:2" x14ac:dyDescent="0.25">
      <c r="A5478"/>
      <c r="B5478"/>
    </row>
    <row r="5479" spans="1:2" x14ac:dyDescent="0.25">
      <c r="A5479"/>
      <c r="B5479"/>
    </row>
    <row r="5480" spans="1:2" x14ac:dyDescent="0.25">
      <c r="A5480"/>
      <c r="B5480"/>
    </row>
    <row r="5481" spans="1:2" x14ac:dyDescent="0.25">
      <c r="A5481"/>
      <c r="B5481"/>
    </row>
    <row r="5482" spans="1:2" x14ac:dyDescent="0.25">
      <c r="A5482"/>
      <c r="B5482"/>
    </row>
    <row r="5483" spans="1:2" x14ac:dyDescent="0.25">
      <c r="A5483"/>
      <c r="B5483"/>
    </row>
    <row r="5484" spans="1:2" x14ac:dyDescent="0.25">
      <c r="A5484"/>
      <c r="B5484"/>
    </row>
    <row r="5485" spans="1:2" x14ac:dyDescent="0.25">
      <c r="A5485"/>
      <c r="B5485"/>
    </row>
    <row r="5486" spans="1:2" x14ac:dyDescent="0.25">
      <c r="A5486"/>
      <c r="B5486"/>
    </row>
    <row r="5487" spans="1:2" x14ac:dyDescent="0.25">
      <c r="A5487"/>
      <c r="B5487"/>
    </row>
    <row r="5488" spans="1:2" x14ac:dyDescent="0.25">
      <c r="A5488"/>
      <c r="B5488"/>
    </row>
    <row r="5489" spans="1:2" x14ac:dyDescent="0.25">
      <c r="A5489"/>
      <c r="B5489"/>
    </row>
    <row r="5490" spans="1:2" x14ac:dyDescent="0.25">
      <c r="A5490"/>
      <c r="B5490"/>
    </row>
    <row r="5491" spans="1:2" x14ac:dyDescent="0.25">
      <c r="A5491"/>
      <c r="B5491"/>
    </row>
    <row r="5492" spans="1:2" x14ac:dyDescent="0.25">
      <c r="A5492"/>
      <c r="B5492"/>
    </row>
    <row r="5493" spans="1:2" x14ac:dyDescent="0.25">
      <c r="A5493"/>
      <c r="B5493"/>
    </row>
    <row r="5494" spans="1:2" x14ac:dyDescent="0.25">
      <c r="A5494"/>
      <c r="B5494"/>
    </row>
    <row r="5495" spans="1:2" x14ac:dyDescent="0.25">
      <c r="A5495"/>
      <c r="B5495"/>
    </row>
    <row r="5496" spans="1:2" x14ac:dyDescent="0.25">
      <c r="A5496"/>
      <c r="B5496"/>
    </row>
    <row r="5497" spans="1:2" x14ac:dyDescent="0.25">
      <c r="A5497"/>
      <c r="B5497"/>
    </row>
    <row r="5498" spans="1:2" x14ac:dyDescent="0.25">
      <c r="A5498"/>
      <c r="B5498"/>
    </row>
    <row r="5499" spans="1:2" x14ac:dyDescent="0.25">
      <c r="A5499"/>
      <c r="B5499"/>
    </row>
    <row r="5500" spans="1:2" x14ac:dyDescent="0.25">
      <c r="A5500"/>
      <c r="B5500"/>
    </row>
    <row r="5501" spans="1:2" x14ac:dyDescent="0.25">
      <c r="A5501"/>
      <c r="B5501"/>
    </row>
    <row r="5502" spans="1:2" x14ac:dyDescent="0.25">
      <c r="A5502"/>
      <c r="B5502"/>
    </row>
    <row r="5503" spans="1:2" x14ac:dyDescent="0.25">
      <c r="A5503"/>
      <c r="B5503"/>
    </row>
    <row r="5504" spans="1:2" x14ac:dyDescent="0.25">
      <c r="A5504"/>
      <c r="B5504"/>
    </row>
    <row r="5505" spans="1:2" x14ac:dyDescent="0.25">
      <c r="A5505"/>
      <c r="B5505"/>
    </row>
    <row r="5506" spans="1:2" x14ac:dyDescent="0.25">
      <c r="A5506"/>
      <c r="B5506"/>
    </row>
    <row r="5507" spans="1:2" x14ac:dyDescent="0.25">
      <c r="A5507"/>
      <c r="B5507"/>
    </row>
    <row r="5508" spans="1:2" x14ac:dyDescent="0.25">
      <c r="A5508"/>
      <c r="B5508"/>
    </row>
    <row r="5509" spans="1:2" x14ac:dyDescent="0.25">
      <c r="A5509"/>
      <c r="B5509"/>
    </row>
    <row r="5510" spans="1:2" x14ac:dyDescent="0.25">
      <c r="A5510"/>
      <c r="B5510"/>
    </row>
    <row r="5511" spans="1:2" x14ac:dyDescent="0.25">
      <c r="A5511"/>
      <c r="B5511"/>
    </row>
    <row r="5512" spans="1:2" x14ac:dyDescent="0.25">
      <c r="A5512"/>
      <c r="B5512"/>
    </row>
    <row r="5513" spans="1:2" x14ac:dyDescent="0.25">
      <c r="A5513"/>
      <c r="B5513"/>
    </row>
    <row r="5514" spans="1:2" x14ac:dyDescent="0.25">
      <c r="A5514"/>
      <c r="B5514"/>
    </row>
    <row r="5515" spans="1:2" x14ac:dyDescent="0.25">
      <c r="A5515"/>
      <c r="B5515"/>
    </row>
    <row r="5516" spans="1:2" x14ac:dyDescent="0.25">
      <c r="A5516"/>
      <c r="B5516"/>
    </row>
    <row r="5517" spans="1:2" x14ac:dyDescent="0.25">
      <c r="A5517"/>
      <c r="B5517"/>
    </row>
    <row r="5518" spans="1:2" x14ac:dyDescent="0.25">
      <c r="A5518"/>
      <c r="B5518"/>
    </row>
    <row r="5519" spans="1:2" x14ac:dyDescent="0.25">
      <c r="A5519"/>
      <c r="B5519"/>
    </row>
    <row r="5520" spans="1:2" x14ac:dyDescent="0.25">
      <c r="A5520"/>
      <c r="B5520"/>
    </row>
    <row r="5521" spans="1:2" x14ac:dyDescent="0.25">
      <c r="A5521"/>
      <c r="B5521"/>
    </row>
    <row r="5522" spans="1:2" x14ac:dyDescent="0.25">
      <c r="A5522"/>
      <c r="B5522"/>
    </row>
    <row r="5523" spans="1:2" x14ac:dyDescent="0.25">
      <c r="A5523"/>
      <c r="B5523"/>
    </row>
    <row r="5524" spans="1:2" x14ac:dyDescent="0.25">
      <c r="A5524"/>
      <c r="B5524"/>
    </row>
    <row r="5525" spans="1:2" x14ac:dyDescent="0.25">
      <c r="A5525"/>
      <c r="B5525"/>
    </row>
    <row r="5526" spans="1:2" x14ac:dyDescent="0.25">
      <c r="A5526"/>
      <c r="B5526"/>
    </row>
    <row r="5527" spans="1:2" x14ac:dyDescent="0.25">
      <c r="A5527"/>
      <c r="B5527"/>
    </row>
    <row r="5528" spans="1:2" x14ac:dyDescent="0.25">
      <c r="A5528"/>
      <c r="B5528"/>
    </row>
    <row r="5529" spans="1:2" x14ac:dyDescent="0.25">
      <c r="A5529"/>
      <c r="B5529"/>
    </row>
    <row r="5530" spans="1:2" x14ac:dyDescent="0.25">
      <c r="A5530"/>
      <c r="B5530"/>
    </row>
    <row r="5531" spans="1:2" x14ac:dyDescent="0.25">
      <c r="A5531"/>
      <c r="B5531"/>
    </row>
    <row r="5532" spans="1:2" x14ac:dyDescent="0.25">
      <c r="A5532"/>
      <c r="B5532"/>
    </row>
    <row r="5533" spans="1:2" x14ac:dyDescent="0.25">
      <c r="A5533"/>
      <c r="B5533"/>
    </row>
    <row r="5534" spans="1:2" x14ac:dyDescent="0.25">
      <c r="A5534"/>
      <c r="B5534"/>
    </row>
    <row r="5535" spans="1:2" x14ac:dyDescent="0.25">
      <c r="A5535"/>
      <c r="B5535"/>
    </row>
    <row r="5536" spans="1:2" x14ac:dyDescent="0.25">
      <c r="A5536"/>
      <c r="B5536"/>
    </row>
    <row r="5537" spans="1:2" x14ac:dyDescent="0.25">
      <c r="A5537"/>
      <c r="B5537"/>
    </row>
    <row r="5538" spans="1:2" x14ac:dyDescent="0.25">
      <c r="A5538"/>
      <c r="B5538"/>
    </row>
    <row r="5539" spans="1:2" x14ac:dyDescent="0.25">
      <c r="A5539"/>
      <c r="B5539"/>
    </row>
    <row r="5540" spans="1:2" x14ac:dyDescent="0.25">
      <c r="A5540"/>
      <c r="B5540"/>
    </row>
    <row r="5541" spans="1:2" x14ac:dyDescent="0.25">
      <c r="A5541"/>
      <c r="B5541"/>
    </row>
    <row r="5542" spans="1:2" x14ac:dyDescent="0.25">
      <c r="A5542"/>
      <c r="B5542"/>
    </row>
    <row r="5543" spans="1:2" x14ac:dyDescent="0.25">
      <c r="A5543"/>
      <c r="B5543"/>
    </row>
    <row r="5544" spans="1:2" x14ac:dyDescent="0.25">
      <c r="A5544"/>
      <c r="B5544"/>
    </row>
    <row r="5545" spans="1:2" x14ac:dyDescent="0.25">
      <c r="A5545"/>
      <c r="B5545"/>
    </row>
    <row r="5546" spans="1:2" x14ac:dyDescent="0.25">
      <c r="A5546"/>
      <c r="B5546"/>
    </row>
    <row r="5547" spans="1:2" x14ac:dyDescent="0.25">
      <c r="A5547"/>
      <c r="B5547"/>
    </row>
    <row r="5548" spans="1:2" x14ac:dyDescent="0.25">
      <c r="A5548"/>
      <c r="B5548"/>
    </row>
    <row r="5549" spans="1:2" x14ac:dyDescent="0.25">
      <c r="A5549"/>
      <c r="B5549"/>
    </row>
    <row r="5550" spans="1:2" x14ac:dyDescent="0.25">
      <c r="A5550"/>
      <c r="B5550"/>
    </row>
    <row r="5551" spans="1:2" x14ac:dyDescent="0.25">
      <c r="A5551"/>
      <c r="B5551"/>
    </row>
    <row r="5552" spans="1:2" x14ac:dyDescent="0.25">
      <c r="A5552"/>
      <c r="B5552"/>
    </row>
    <row r="5553" spans="1:2" x14ac:dyDescent="0.25">
      <c r="A5553"/>
      <c r="B5553"/>
    </row>
    <row r="5554" spans="1:2" x14ac:dyDescent="0.25">
      <c r="A5554"/>
      <c r="B5554"/>
    </row>
    <row r="5555" spans="1:2" x14ac:dyDescent="0.25">
      <c r="A5555"/>
      <c r="B5555"/>
    </row>
    <row r="5556" spans="1:2" x14ac:dyDescent="0.25">
      <c r="A5556"/>
      <c r="B5556"/>
    </row>
    <row r="5557" spans="1:2" x14ac:dyDescent="0.25">
      <c r="A5557"/>
      <c r="B5557"/>
    </row>
    <row r="5558" spans="1:2" x14ac:dyDescent="0.25">
      <c r="A5558"/>
      <c r="B5558"/>
    </row>
    <row r="5559" spans="1:2" x14ac:dyDescent="0.25">
      <c r="A5559"/>
      <c r="B5559"/>
    </row>
    <row r="5560" spans="1:2" x14ac:dyDescent="0.25">
      <c r="A5560"/>
      <c r="B5560"/>
    </row>
    <row r="5561" spans="1:2" x14ac:dyDescent="0.25">
      <c r="A5561"/>
      <c r="B5561"/>
    </row>
    <row r="5562" spans="1:2" x14ac:dyDescent="0.25">
      <c r="A5562"/>
      <c r="B5562"/>
    </row>
    <row r="5563" spans="1:2" x14ac:dyDescent="0.25">
      <c r="A5563"/>
      <c r="B5563"/>
    </row>
    <row r="5564" spans="1:2" x14ac:dyDescent="0.25">
      <c r="A5564"/>
      <c r="B5564"/>
    </row>
    <row r="5565" spans="1:2" x14ac:dyDescent="0.25">
      <c r="A5565"/>
      <c r="B5565"/>
    </row>
    <row r="5566" spans="1:2" x14ac:dyDescent="0.25">
      <c r="A5566"/>
      <c r="B5566"/>
    </row>
    <row r="5567" spans="1:2" x14ac:dyDescent="0.25">
      <c r="A5567"/>
      <c r="B5567"/>
    </row>
    <row r="5568" spans="1:2" x14ac:dyDescent="0.25">
      <c r="A5568"/>
      <c r="B5568"/>
    </row>
    <row r="5569" spans="1:2" x14ac:dyDescent="0.25">
      <c r="A5569"/>
      <c r="B5569"/>
    </row>
    <row r="5570" spans="1:2" x14ac:dyDescent="0.25">
      <c r="A5570"/>
      <c r="B5570"/>
    </row>
    <row r="5571" spans="1:2" x14ac:dyDescent="0.25">
      <c r="A5571"/>
      <c r="B5571"/>
    </row>
    <row r="5572" spans="1:2" x14ac:dyDescent="0.25">
      <c r="A5572"/>
      <c r="B5572"/>
    </row>
    <row r="5573" spans="1:2" x14ac:dyDescent="0.25">
      <c r="A5573"/>
      <c r="B5573"/>
    </row>
    <row r="5574" spans="1:2" x14ac:dyDescent="0.25">
      <c r="A5574"/>
      <c r="B5574"/>
    </row>
    <row r="5575" spans="1:2" x14ac:dyDescent="0.25">
      <c r="A5575"/>
      <c r="B5575"/>
    </row>
    <row r="5576" spans="1:2" x14ac:dyDescent="0.25">
      <c r="A5576"/>
      <c r="B5576"/>
    </row>
    <row r="5577" spans="1:2" x14ac:dyDescent="0.25">
      <c r="A5577"/>
      <c r="B5577"/>
    </row>
    <row r="5578" spans="1:2" x14ac:dyDescent="0.25">
      <c r="A5578"/>
      <c r="B5578"/>
    </row>
    <row r="5579" spans="1:2" x14ac:dyDescent="0.25">
      <c r="A5579"/>
      <c r="B5579"/>
    </row>
    <row r="5580" spans="1:2" x14ac:dyDescent="0.25">
      <c r="A5580"/>
      <c r="B5580"/>
    </row>
    <row r="5581" spans="1:2" x14ac:dyDescent="0.25">
      <c r="A5581"/>
      <c r="B5581"/>
    </row>
    <row r="5582" spans="1:2" x14ac:dyDescent="0.25">
      <c r="A5582"/>
      <c r="B5582"/>
    </row>
    <row r="5583" spans="1:2" x14ac:dyDescent="0.25">
      <c r="A5583"/>
      <c r="B5583"/>
    </row>
    <row r="5584" spans="1:2" x14ac:dyDescent="0.25">
      <c r="A5584"/>
      <c r="B5584"/>
    </row>
    <row r="5585" spans="1:2" x14ac:dyDescent="0.25">
      <c r="A5585"/>
      <c r="B5585"/>
    </row>
    <row r="5586" spans="1:2" x14ac:dyDescent="0.25">
      <c r="A5586"/>
      <c r="B5586"/>
    </row>
    <row r="5587" spans="1:2" x14ac:dyDescent="0.25">
      <c r="A5587"/>
      <c r="B5587"/>
    </row>
    <row r="5588" spans="1:2" x14ac:dyDescent="0.25">
      <c r="A5588"/>
      <c r="B5588"/>
    </row>
    <row r="5589" spans="1:2" x14ac:dyDescent="0.25">
      <c r="A5589"/>
      <c r="B5589"/>
    </row>
    <row r="5590" spans="1:2" x14ac:dyDescent="0.25">
      <c r="A5590"/>
      <c r="B5590"/>
    </row>
    <row r="5591" spans="1:2" x14ac:dyDescent="0.25">
      <c r="A5591"/>
      <c r="B5591"/>
    </row>
    <row r="5592" spans="1:2" x14ac:dyDescent="0.25">
      <c r="A5592"/>
      <c r="B5592"/>
    </row>
    <row r="5593" spans="1:2" x14ac:dyDescent="0.25">
      <c r="A5593"/>
      <c r="B5593"/>
    </row>
    <row r="5594" spans="1:2" x14ac:dyDescent="0.25">
      <c r="A5594"/>
      <c r="B5594"/>
    </row>
    <row r="5595" spans="1:2" x14ac:dyDescent="0.25">
      <c r="A5595"/>
      <c r="B5595"/>
    </row>
    <row r="5596" spans="1:2" x14ac:dyDescent="0.25">
      <c r="A5596"/>
      <c r="B5596"/>
    </row>
    <row r="5597" spans="1:2" x14ac:dyDescent="0.25">
      <c r="A5597"/>
      <c r="B5597"/>
    </row>
    <row r="5598" spans="1:2" x14ac:dyDescent="0.25">
      <c r="A5598"/>
      <c r="B5598"/>
    </row>
    <row r="5599" spans="1:2" x14ac:dyDescent="0.25">
      <c r="A5599"/>
      <c r="B5599"/>
    </row>
    <row r="5600" spans="1:2" x14ac:dyDescent="0.25">
      <c r="A5600"/>
      <c r="B5600"/>
    </row>
    <row r="5601" spans="1:2" x14ac:dyDescent="0.25">
      <c r="A5601"/>
      <c r="B5601"/>
    </row>
    <row r="5602" spans="1:2" x14ac:dyDescent="0.25">
      <c r="A5602"/>
      <c r="B5602"/>
    </row>
    <row r="5603" spans="1:2" x14ac:dyDescent="0.25">
      <c r="A5603"/>
      <c r="B5603"/>
    </row>
    <row r="5604" spans="1:2" x14ac:dyDescent="0.25">
      <c r="A5604"/>
      <c r="B5604"/>
    </row>
    <row r="5605" spans="1:2" x14ac:dyDescent="0.25">
      <c r="A5605"/>
      <c r="B5605"/>
    </row>
    <row r="5606" spans="1:2" x14ac:dyDescent="0.25">
      <c r="A5606"/>
      <c r="B5606"/>
    </row>
    <row r="5607" spans="1:2" x14ac:dyDescent="0.25">
      <c r="A5607"/>
      <c r="B5607"/>
    </row>
    <row r="5608" spans="1:2" x14ac:dyDescent="0.25">
      <c r="A5608"/>
      <c r="B5608"/>
    </row>
    <row r="5609" spans="1:2" x14ac:dyDescent="0.25">
      <c r="A5609"/>
      <c r="B5609"/>
    </row>
    <row r="5610" spans="1:2" x14ac:dyDescent="0.25">
      <c r="A5610"/>
      <c r="B5610"/>
    </row>
    <row r="5611" spans="1:2" x14ac:dyDescent="0.25">
      <c r="A5611"/>
      <c r="B5611"/>
    </row>
    <row r="5612" spans="1:2" x14ac:dyDescent="0.25">
      <c r="A5612"/>
      <c r="B5612"/>
    </row>
    <row r="5613" spans="1:2" x14ac:dyDescent="0.25">
      <c r="A5613"/>
      <c r="B5613"/>
    </row>
    <row r="5614" spans="1:2" x14ac:dyDescent="0.25">
      <c r="A5614"/>
      <c r="B5614"/>
    </row>
    <row r="5615" spans="1:2" x14ac:dyDescent="0.25">
      <c r="A5615"/>
      <c r="B5615"/>
    </row>
    <row r="5616" spans="1:2" x14ac:dyDescent="0.25">
      <c r="A5616"/>
      <c r="B5616"/>
    </row>
    <row r="5617" spans="1:2" x14ac:dyDescent="0.25">
      <c r="A5617"/>
      <c r="B5617"/>
    </row>
    <row r="5618" spans="1:2" x14ac:dyDescent="0.25">
      <c r="A5618"/>
      <c r="B5618"/>
    </row>
    <row r="5619" spans="1:2" x14ac:dyDescent="0.25">
      <c r="A5619"/>
      <c r="B5619"/>
    </row>
    <row r="5620" spans="1:2" x14ac:dyDescent="0.25">
      <c r="A5620"/>
      <c r="B5620"/>
    </row>
    <row r="5621" spans="1:2" x14ac:dyDescent="0.25">
      <c r="A5621"/>
      <c r="B5621"/>
    </row>
    <row r="5622" spans="1:2" x14ac:dyDescent="0.25">
      <c r="A5622"/>
      <c r="B5622"/>
    </row>
    <row r="5623" spans="1:2" x14ac:dyDescent="0.25">
      <c r="A5623"/>
      <c r="B5623"/>
    </row>
    <row r="5624" spans="1:2" x14ac:dyDescent="0.25">
      <c r="A5624"/>
      <c r="B5624"/>
    </row>
    <row r="5625" spans="1:2" x14ac:dyDescent="0.25">
      <c r="A5625"/>
      <c r="B5625"/>
    </row>
    <row r="5626" spans="1:2" x14ac:dyDescent="0.25">
      <c r="A5626"/>
      <c r="B5626"/>
    </row>
    <row r="5627" spans="1:2" x14ac:dyDescent="0.25">
      <c r="A5627"/>
      <c r="B5627"/>
    </row>
    <row r="5628" spans="1:2" x14ac:dyDescent="0.25">
      <c r="A5628"/>
      <c r="B5628"/>
    </row>
    <row r="5629" spans="1:2" x14ac:dyDescent="0.25">
      <c r="A5629"/>
      <c r="B5629"/>
    </row>
    <row r="5630" spans="1:2" x14ac:dyDescent="0.25">
      <c r="A5630"/>
      <c r="B5630"/>
    </row>
    <row r="5631" spans="1:2" x14ac:dyDescent="0.25">
      <c r="A5631"/>
      <c r="B5631"/>
    </row>
    <row r="5632" spans="1:2" x14ac:dyDescent="0.25">
      <c r="A5632"/>
      <c r="B5632"/>
    </row>
    <row r="5633" spans="1:2" x14ac:dyDescent="0.25">
      <c r="A5633"/>
      <c r="B5633"/>
    </row>
    <row r="5634" spans="1:2" x14ac:dyDescent="0.25">
      <c r="A5634"/>
      <c r="B5634"/>
    </row>
    <row r="5635" spans="1:2" x14ac:dyDescent="0.25">
      <c r="A5635"/>
      <c r="B5635"/>
    </row>
    <row r="5636" spans="1:2" x14ac:dyDescent="0.25">
      <c r="A5636"/>
      <c r="B5636"/>
    </row>
    <row r="5637" spans="1:2" x14ac:dyDescent="0.25">
      <c r="A5637"/>
      <c r="B5637"/>
    </row>
    <row r="5638" spans="1:2" x14ac:dyDescent="0.25">
      <c r="A5638"/>
      <c r="B5638"/>
    </row>
    <row r="5639" spans="1:2" x14ac:dyDescent="0.25">
      <c r="A5639"/>
      <c r="B5639"/>
    </row>
    <row r="5640" spans="1:2" x14ac:dyDescent="0.25">
      <c r="A5640"/>
      <c r="B5640"/>
    </row>
    <row r="5641" spans="1:2" x14ac:dyDescent="0.25">
      <c r="A5641"/>
      <c r="B5641"/>
    </row>
    <row r="5642" spans="1:2" x14ac:dyDescent="0.25">
      <c r="A5642"/>
      <c r="B5642"/>
    </row>
    <row r="5643" spans="1:2" x14ac:dyDescent="0.25">
      <c r="A5643"/>
      <c r="B5643"/>
    </row>
    <row r="5644" spans="1:2" x14ac:dyDescent="0.25">
      <c r="A5644"/>
      <c r="B5644"/>
    </row>
    <row r="5645" spans="1:2" x14ac:dyDescent="0.25">
      <c r="A5645"/>
      <c r="B5645"/>
    </row>
    <row r="5646" spans="1:2" x14ac:dyDescent="0.25">
      <c r="A5646"/>
      <c r="B5646"/>
    </row>
    <row r="5647" spans="1:2" x14ac:dyDescent="0.25">
      <c r="A5647"/>
      <c r="B5647"/>
    </row>
    <row r="5648" spans="1:2" x14ac:dyDescent="0.25">
      <c r="A5648"/>
      <c r="B5648"/>
    </row>
    <row r="5649" spans="1:2" x14ac:dyDescent="0.25">
      <c r="A5649"/>
      <c r="B5649"/>
    </row>
    <row r="5650" spans="1:2" x14ac:dyDescent="0.25">
      <c r="A5650"/>
      <c r="B5650"/>
    </row>
    <row r="5651" spans="1:2" x14ac:dyDescent="0.25">
      <c r="A5651"/>
      <c r="B5651"/>
    </row>
    <row r="5652" spans="1:2" x14ac:dyDescent="0.25">
      <c r="A5652"/>
      <c r="B5652"/>
    </row>
    <row r="5653" spans="1:2" x14ac:dyDescent="0.25">
      <c r="A5653"/>
      <c r="B5653"/>
    </row>
    <row r="5654" spans="1:2" x14ac:dyDescent="0.25">
      <c r="A5654"/>
      <c r="B5654"/>
    </row>
    <row r="5655" spans="1:2" x14ac:dyDescent="0.25">
      <c r="A5655"/>
      <c r="B5655"/>
    </row>
    <row r="5656" spans="1:2" x14ac:dyDescent="0.25">
      <c r="A5656"/>
      <c r="B5656"/>
    </row>
    <row r="5657" spans="1:2" x14ac:dyDescent="0.25">
      <c r="A5657"/>
      <c r="B5657"/>
    </row>
    <row r="5658" spans="1:2" x14ac:dyDescent="0.25">
      <c r="A5658"/>
      <c r="B5658"/>
    </row>
    <row r="5659" spans="1:2" x14ac:dyDescent="0.25">
      <c r="A5659"/>
      <c r="B5659"/>
    </row>
    <row r="5660" spans="1:2" x14ac:dyDescent="0.25">
      <c r="A5660"/>
      <c r="B5660"/>
    </row>
    <row r="5661" spans="1:2" x14ac:dyDescent="0.25">
      <c r="A5661"/>
      <c r="B5661"/>
    </row>
    <row r="5662" spans="1:2" x14ac:dyDescent="0.25">
      <c r="A5662"/>
      <c r="B5662"/>
    </row>
    <row r="5663" spans="1:2" x14ac:dyDescent="0.25">
      <c r="A5663"/>
      <c r="B5663"/>
    </row>
    <row r="5664" spans="1:2" x14ac:dyDescent="0.25">
      <c r="A5664"/>
      <c r="B5664"/>
    </row>
    <row r="5665" spans="1:2" x14ac:dyDescent="0.25">
      <c r="A5665"/>
      <c r="B5665"/>
    </row>
    <row r="5666" spans="1:2" x14ac:dyDescent="0.25">
      <c r="A5666"/>
      <c r="B5666"/>
    </row>
    <row r="5667" spans="1:2" x14ac:dyDescent="0.25">
      <c r="A5667"/>
      <c r="B5667"/>
    </row>
    <row r="5668" spans="1:2" x14ac:dyDescent="0.25">
      <c r="A5668"/>
      <c r="B5668"/>
    </row>
    <row r="5669" spans="1:2" x14ac:dyDescent="0.25">
      <c r="A5669"/>
      <c r="B5669"/>
    </row>
    <row r="5670" spans="1:2" x14ac:dyDescent="0.25">
      <c r="A5670"/>
      <c r="B5670"/>
    </row>
    <row r="5671" spans="1:2" x14ac:dyDescent="0.25">
      <c r="A5671"/>
      <c r="B5671"/>
    </row>
    <row r="5672" spans="1:2" x14ac:dyDescent="0.25">
      <c r="A5672"/>
      <c r="B5672"/>
    </row>
    <row r="5673" spans="1:2" x14ac:dyDescent="0.25">
      <c r="A5673"/>
      <c r="B5673"/>
    </row>
    <row r="5674" spans="1:2" x14ac:dyDescent="0.25">
      <c r="A5674"/>
      <c r="B5674"/>
    </row>
    <row r="5675" spans="1:2" x14ac:dyDescent="0.25">
      <c r="A5675"/>
      <c r="B5675"/>
    </row>
    <row r="5676" spans="1:2" x14ac:dyDescent="0.25">
      <c r="A5676"/>
      <c r="B5676"/>
    </row>
    <row r="5677" spans="1:2" x14ac:dyDescent="0.25">
      <c r="A5677"/>
      <c r="B5677"/>
    </row>
    <row r="5678" spans="1:2" x14ac:dyDescent="0.25">
      <c r="A5678"/>
      <c r="B5678"/>
    </row>
    <row r="5679" spans="1:2" x14ac:dyDescent="0.25">
      <c r="A5679"/>
      <c r="B5679"/>
    </row>
    <row r="5680" spans="1:2" x14ac:dyDescent="0.25">
      <c r="A5680"/>
      <c r="B5680"/>
    </row>
    <row r="5681" spans="1:2" x14ac:dyDescent="0.25">
      <c r="A5681"/>
      <c r="B5681"/>
    </row>
    <row r="5682" spans="1:2" x14ac:dyDescent="0.25">
      <c r="A5682"/>
      <c r="B5682"/>
    </row>
    <row r="5683" spans="1:2" x14ac:dyDescent="0.25">
      <c r="A5683"/>
      <c r="B5683"/>
    </row>
    <row r="5684" spans="1:2" x14ac:dyDescent="0.25">
      <c r="A5684"/>
      <c r="B5684"/>
    </row>
    <row r="5685" spans="1:2" x14ac:dyDescent="0.25">
      <c r="A5685"/>
      <c r="B5685"/>
    </row>
    <row r="5686" spans="1:2" x14ac:dyDescent="0.25">
      <c r="A5686"/>
      <c r="B5686"/>
    </row>
    <row r="5687" spans="1:2" x14ac:dyDescent="0.25">
      <c r="A5687"/>
      <c r="B5687"/>
    </row>
    <row r="5688" spans="1:2" x14ac:dyDescent="0.25">
      <c r="A5688"/>
      <c r="B5688"/>
    </row>
    <row r="5689" spans="1:2" x14ac:dyDescent="0.25">
      <c r="A5689"/>
      <c r="B5689"/>
    </row>
    <row r="5690" spans="1:2" x14ac:dyDescent="0.25">
      <c r="A5690"/>
      <c r="B5690"/>
    </row>
    <row r="5691" spans="1:2" x14ac:dyDescent="0.25">
      <c r="A5691"/>
      <c r="B5691"/>
    </row>
    <row r="5692" spans="1:2" x14ac:dyDescent="0.25">
      <c r="A5692"/>
      <c r="B5692"/>
    </row>
    <row r="5693" spans="1:2" x14ac:dyDescent="0.25">
      <c r="A5693"/>
      <c r="B5693"/>
    </row>
    <row r="5694" spans="1:2" x14ac:dyDescent="0.25">
      <c r="A5694"/>
      <c r="B5694"/>
    </row>
    <row r="5695" spans="1:2" x14ac:dyDescent="0.25">
      <c r="A5695"/>
      <c r="B5695"/>
    </row>
    <row r="5696" spans="1:2" x14ac:dyDescent="0.25">
      <c r="A5696"/>
      <c r="B5696"/>
    </row>
    <row r="5697" spans="1:2" x14ac:dyDescent="0.25">
      <c r="A5697"/>
      <c r="B5697"/>
    </row>
    <row r="5698" spans="1:2" x14ac:dyDescent="0.25">
      <c r="A5698"/>
      <c r="B5698"/>
    </row>
    <row r="5699" spans="1:2" x14ac:dyDescent="0.25">
      <c r="A5699"/>
      <c r="B5699"/>
    </row>
    <row r="5700" spans="1:2" x14ac:dyDescent="0.25">
      <c r="A5700"/>
      <c r="B5700"/>
    </row>
    <row r="5701" spans="1:2" x14ac:dyDescent="0.25">
      <c r="A5701"/>
      <c r="B5701"/>
    </row>
    <row r="5702" spans="1:2" x14ac:dyDescent="0.25">
      <c r="A5702"/>
      <c r="B5702"/>
    </row>
    <row r="5703" spans="1:2" x14ac:dyDescent="0.25">
      <c r="A5703"/>
      <c r="B5703"/>
    </row>
    <row r="5704" spans="1:2" x14ac:dyDescent="0.25">
      <c r="A5704"/>
      <c r="B5704"/>
    </row>
    <row r="5705" spans="1:2" x14ac:dyDescent="0.25">
      <c r="A5705"/>
      <c r="B5705"/>
    </row>
    <row r="5706" spans="1:2" x14ac:dyDescent="0.25">
      <c r="A5706"/>
      <c r="B5706"/>
    </row>
    <row r="5707" spans="1:2" x14ac:dyDescent="0.25">
      <c r="A5707"/>
      <c r="B5707"/>
    </row>
    <row r="5708" spans="1:2" x14ac:dyDescent="0.25">
      <c r="A5708"/>
      <c r="B5708"/>
    </row>
    <row r="5709" spans="1:2" x14ac:dyDescent="0.25">
      <c r="A5709"/>
      <c r="B5709"/>
    </row>
    <row r="5710" spans="1:2" x14ac:dyDescent="0.25">
      <c r="A5710"/>
      <c r="B5710"/>
    </row>
    <row r="5711" spans="1:2" x14ac:dyDescent="0.25">
      <c r="A5711"/>
      <c r="B5711"/>
    </row>
    <row r="5712" spans="1:2" x14ac:dyDescent="0.25">
      <c r="A5712"/>
      <c r="B5712"/>
    </row>
    <row r="5713" spans="1:2" x14ac:dyDescent="0.25">
      <c r="A5713"/>
      <c r="B5713"/>
    </row>
    <row r="5714" spans="1:2" x14ac:dyDescent="0.25">
      <c r="A5714"/>
      <c r="B5714"/>
    </row>
    <row r="5715" spans="1:2" x14ac:dyDescent="0.25">
      <c r="A5715"/>
      <c r="B5715"/>
    </row>
    <row r="5716" spans="1:2" x14ac:dyDescent="0.25">
      <c r="A5716"/>
      <c r="B5716"/>
    </row>
    <row r="5717" spans="1:2" x14ac:dyDescent="0.25">
      <c r="A5717"/>
      <c r="B5717"/>
    </row>
    <row r="5718" spans="1:2" x14ac:dyDescent="0.25">
      <c r="A5718"/>
      <c r="B5718"/>
    </row>
    <row r="5719" spans="1:2" x14ac:dyDescent="0.25">
      <c r="A5719"/>
      <c r="B5719"/>
    </row>
    <row r="5720" spans="1:2" x14ac:dyDescent="0.25">
      <c r="A5720"/>
      <c r="B5720"/>
    </row>
    <row r="5721" spans="1:2" x14ac:dyDescent="0.25">
      <c r="A5721"/>
      <c r="B5721"/>
    </row>
    <row r="5722" spans="1:2" x14ac:dyDescent="0.25">
      <c r="A5722"/>
      <c r="B5722"/>
    </row>
    <row r="5723" spans="1:2" x14ac:dyDescent="0.25">
      <c r="A5723"/>
      <c r="B5723"/>
    </row>
    <row r="5724" spans="1:2" x14ac:dyDescent="0.25">
      <c r="A5724"/>
      <c r="B5724"/>
    </row>
    <row r="5725" spans="1:2" x14ac:dyDescent="0.25">
      <c r="A5725"/>
      <c r="B5725"/>
    </row>
    <row r="5726" spans="1:2" x14ac:dyDescent="0.25">
      <c r="A5726"/>
      <c r="B5726"/>
    </row>
    <row r="5727" spans="1:2" x14ac:dyDescent="0.25">
      <c r="A5727"/>
      <c r="B5727"/>
    </row>
    <row r="5728" spans="1:2" x14ac:dyDescent="0.25">
      <c r="A5728"/>
      <c r="B5728"/>
    </row>
    <row r="5729" spans="1:2" x14ac:dyDescent="0.25">
      <c r="A5729"/>
      <c r="B5729"/>
    </row>
    <row r="5730" spans="1:2" x14ac:dyDescent="0.25">
      <c r="A5730"/>
      <c r="B5730"/>
    </row>
    <row r="5731" spans="1:2" x14ac:dyDescent="0.25">
      <c r="A5731"/>
      <c r="B5731"/>
    </row>
    <row r="5732" spans="1:2" x14ac:dyDescent="0.25">
      <c r="A5732"/>
      <c r="B5732"/>
    </row>
    <row r="5733" spans="1:2" x14ac:dyDescent="0.25">
      <c r="A5733"/>
      <c r="B5733"/>
    </row>
    <row r="5734" spans="1:2" x14ac:dyDescent="0.25">
      <c r="A5734"/>
      <c r="B5734"/>
    </row>
    <row r="5735" spans="1:2" x14ac:dyDescent="0.25">
      <c r="A5735"/>
      <c r="B5735"/>
    </row>
    <row r="5736" spans="1:2" x14ac:dyDescent="0.25">
      <c r="A5736"/>
      <c r="B5736"/>
    </row>
    <row r="5737" spans="1:2" x14ac:dyDescent="0.25">
      <c r="A5737"/>
      <c r="B5737"/>
    </row>
    <row r="5738" spans="1:2" x14ac:dyDescent="0.25">
      <c r="A5738"/>
      <c r="B5738"/>
    </row>
    <row r="5739" spans="1:2" x14ac:dyDescent="0.25">
      <c r="A5739"/>
      <c r="B5739"/>
    </row>
    <row r="5740" spans="1:2" x14ac:dyDescent="0.25">
      <c r="A5740"/>
      <c r="B5740"/>
    </row>
    <row r="5741" spans="1:2" x14ac:dyDescent="0.25">
      <c r="A5741"/>
      <c r="B5741"/>
    </row>
    <row r="5742" spans="1:2" x14ac:dyDescent="0.25">
      <c r="A5742"/>
      <c r="B5742"/>
    </row>
    <row r="5743" spans="1:2" x14ac:dyDescent="0.25">
      <c r="A5743"/>
      <c r="B5743"/>
    </row>
    <row r="5744" spans="1:2" x14ac:dyDescent="0.25">
      <c r="A5744"/>
      <c r="B5744"/>
    </row>
    <row r="5745" spans="1:2" x14ac:dyDescent="0.25">
      <c r="A5745"/>
      <c r="B5745"/>
    </row>
    <row r="5746" spans="1:2" x14ac:dyDescent="0.25">
      <c r="A5746"/>
      <c r="B5746"/>
    </row>
    <row r="5747" spans="1:2" x14ac:dyDescent="0.25">
      <c r="A5747"/>
      <c r="B5747"/>
    </row>
    <row r="5748" spans="1:2" x14ac:dyDescent="0.25">
      <c r="A5748"/>
      <c r="B5748"/>
    </row>
    <row r="5749" spans="1:2" x14ac:dyDescent="0.25">
      <c r="A5749"/>
      <c r="B5749"/>
    </row>
    <row r="5750" spans="1:2" x14ac:dyDescent="0.25">
      <c r="A5750"/>
      <c r="B5750"/>
    </row>
    <row r="5751" spans="1:2" x14ac:dyDescent="0.25">
      <c r="A5751"/>
      <c r="B5751"/>
    </row>
    <row r="5752" spans="1:2" x14ac:dyDescent="0.25">
      <c r="A5752"/>
      <c r="B5752"/>
    </row>
    <row r="5753" spans="1:2" x14ac:dyDescent="0.25">
      <c r="A5753"/>
      <c r="B5753"/>
    </row>
    <row r="5754" spans="1:2" x14ac:dyDescent="0.25">
      <c r="A5754"/>
      <c r="B5754"/>
    </row>
    <row r="5755" spans="1:2" x14ac:dyDescent="0.25">
      <c r="A5755"/>
      <c r="B5755"/>
    </row>
    <row r="5756" spans="1:2" x14ac:dyDescent="0.25">
      <c r="A5756"/>
      <c r="B5756"/>
    </row>
    <row r="5757" spans="1:2" x14ac:dyDescent="0.25">
      <c r="A5757"/>
      <c r="B5757"/>
    </row>
    <row r="5758" spans="1:2" x14ac:dyDescent="0.25">
      <c r="A5758"/>
      <c r="B5758"/>
    </row>
    <row r="5759" spans="1:2" x14ac:dyDescent="0.25">
      <c r="A5759"/>
      <c r="B5759"/>
    </row>
    <row r="5760" spans="1:2" x14ac:dyDescent="0.25">
      <c r="A5760"/>
      <c r="B5760"/>
    </row>
    <row r="5761" spans="1:2" x14ac:dyDescent="0.25">
      <c r="A5761"/>
      <c r="B5761"/>
    </row>
    <row r="5762" spans="1:2" x14ac:dyDescent="0.25">
      <c r="A5762"/>
      <c r="B5762"/>
    </row>
    <row r="5763" spans="1:2" x14ac:dyDescent="0.25">
      <c r="A5763"/>
      <c r="B5763"/>
    </row>
    <row r="5764" spans="1:2" x14ac:dyDescent="0.25">
      <c r="A5764"/>
      <c r="B5764"/>
    </row>
    <row r="5765" spans="1:2" x14ac:dyDescent="0.25">
      <c r="A5765"/>
      <c r="B5765"/>
    </row>
    <row r="5766" spans="1:2" x14ac:dyDescent="0.25">
      <c r="A5766"/>
      <c r="B5766"/>
    </row>
    <row r="5767" spans="1:2" x14ac:dyDescent="0.25">
      <c r="A5767"/>
      <c r="B5767"/>
    </row>
    <row r="5768" spans="1:2" x14ac:dyDescent="0.25">
      <c r="A5768"/>
      <c r="B5768"/>
    </row>
    <row r="5769" spans="1:2" x14ac:dyDescent="0.25">
      <c r="A5769"/>
      <c r="B5769"/>
    </row>
    <row r="5770" spans="1:2" x14ac:dyDescent="0.25">
      <c r="A5770"/>
      <c r="B5770"/>
    </row>
    <row r="5771" spans="1:2" x14ac:dyDescent="0.25">
      <c r="A5771"/>
      <c r="B5771"/>
    </row>
    <row r="5772" spans="1:2" x14ac:dyDescent="0.25">
      <c r="A5772"/>
      <c r="B5772"/>
    </row>
    <row r="5773" spans="1:2" x14ac:dyDescent="0.25">
      <c r="A5773"/>
      <c r="B5773"/>
    </row>
    <row r="5774" spans="1:2" x14ac:dyDescent="0.25">
      <c r="A5774"/>
      <c r="B5774"/>
    </row>
    <row r="5775" spans="1:2" x14ac:dyDescent="0.25">
      <c r="A5775"/>
      <c r="B5775"/>
    </row>
    <row r="5776" spans="1:2" x14ac:dyDescent="0.25">
      <c r="A5776"/>
      <c r="B5776"/>
    </row>
    <row r="5777" spans="1:2" x14ac:dyDescent="0.25">
      <c r="A5777"/>
      <c r="B5777"/>
    </row>
    <row r="5778" spans="1:2" x14ac:dyDescent="0.25">
      <c r="A5778"/>
      <c r="B5778"/>
    </row>
    <row r="5779" spans="1:2" x14ac:dyDescent="0.25">
      <c r="A5779"/>
      <c r="B5779"/>
    </row>
    <row r="5780" spans="1:2" x14ac:dyDescent="0.25">
      <c r="A5780"/>
      <c r="B5780"/>
    </row>
    <row r="5781" spans="1:2" x14ac:dyDescent="0.25">
      <c r="A5781"/>
      <c r="B5781"/>
    </row>
    <row r="5782" spans="1:2" x14ac:dyDescent="0.25">
      <c r="A5782"/>
      <c r="B5782"/>
    </row>
    <row r="5783" spans="1:2" x14ac:dyDescent="0.25">
      <c r="A5783"/>
      <c r="B5783"/>
    </row>
    <row r="5784" spans="1:2" x14ac:dyDescent="0.25">
      <c r="A5784"/>
      <c r="B5784"/>
    </row>
    <row r="5785" spans="1:2" x14ac:dyDescent="0.25">
      <c r="A5785"/>
      <c r="B5785"/>
    </row>
    <row r="5786" spans="1:2" x14ac:dyDescent="0.25">
      <c r="A5786"/>
      <c r="B5786"/>
    </row>
    <row r="5787" spans="1:2" x14ac:dyDescent="0.25">
      <c r="A5787"/>
      <c r="B5787"/>
    </row>
    <row r="5788" spans="1:2" x14ac:dyDescent="0.25">
      <c r="A5788"/>
      <c r="B5788"/>
    </row>
    <row r="5789" spans="1:2" x14ac:dyDescent="0.25">
      <c r="A5789"/>
      <c r="B5789"/>
    </row>
    <row r="5790" spans="1:2" x14ac:dyDescent="0.25">
      <c r="A5790"/>
      <c r="B5790"/>
    </row>
    <row r="5791" spans="1:2" x14ac:dyDescent="0.25">
      <c r="A5791"/>
      <c r="B5791"/>
    </row>
    <row r="5792" spans="1:2" x14ac:dyDescent="0.25">
      <c r="A5792"/>
      <c r="B5792"/>
    </row>
    <row r="5793" spans="1:2" x14ac:dyDescent="0.25">
      <c r="A5793"/>
      <c r="B5793"/>
    </row>
    <row r="5794" spans="1:2" x14ac:dyDescent="0.25">
      <c r="A5794"/>
      <c r="B5794"/>
    </row>
    <row r="5795" spans="1:2" x14ac:dyDescent="0.25">
      <c r="A5795"/>
      <c r="B5795"/>
    </row>
    <row r="5796" spans="1:2" x14ac:dyDescent="0.25">
      <c r="A5796"/>
      <c r="B5796"/>
    </row>
    <row r="5797" spans="1:2" x14ac:dyDescent="0.25">
      <c r="A5797"/>
      <c r="B5797"/>
    </row>
    <row r="5798" spans="1:2" x14ac:dyDescent="0.25">
      <c r="A5798"/>
      <c r="B5798"/>
    </row>
    <row r="5799" spans="1:2" x14ac:dyDescent="0.25">
      <c r="A5799"/>
      <c r="B5799"/>
    </row>
    <row r="5800" spans="1:2" x14ac:dyDescent="0.25">
      <c r="A5800"/>
      <c r="B5800"/>
    </row>
    <row r="5801" spans="1:2" x14ac:dyDescent="0.25">
      <c r="A5801"/>
      <c r="B5801"/>
    </row>
    <row r="5802" spans="1:2" x14ac:dyDescent="0.25">
      <c r="A5802"/>
      <c r="B5802"/>
    </row>
    <row r="5803" spans="1:2" x14ac:dyDescent="0.25">
      <c r="A5803"/>
      <c r="B5803"/>
    </row>
    <row r="5804" spans="1:2" x14ac:dyDescent="0.25">
      <c r="A5804"/>
      <c r="B5804"/>
    </row>
    <row r="5805" spans="1:2" x14ac:dyDescent="0.25">
      <c r="A5805"/>
      <c r="B5805"/>
    </row>
    <row r="5806" spans="1:2" x14ac:dyDescent="0.25">
      <c r="A5806"/>
      <c r="B5806"/>
    </row>
    <row r="5807" spans="1:2" x14ac:dyDescent="0.25">
      <c r="A5807"/>
      <c r="B5807"/>
    </row>
    <row r="5808" spans="1:2" x14ac:dyDescent="0.25">
      <c r="A5808"/>
      <c r="B5808"/>
    </row>
    <row r="5809" spans="1:2" x14ac:dyDescent="0.25">
      <c r="A5809"/>
      <c r="B5809"/>
    </row>
    <row r="5810" spans="1:2" x14ac:dyDescent="0.25">
      <c r="A5810"/>
      <c r="B5810"/>
    </row>
    <row r="5811" spans="1:2" x14ac:dyDescent="0.25">
      <c r="A5811"/>
      <c r="B5811"/>
    </row>
    <row r="5812" spans="1:2" x14ac:dyDescent="0.25">
      <c r="A5812"/>
      <c r="B5812"/>
    </row>
    <row r="5813" spans="1:2" x14ac:dyDescent="0.25">
      <c r="A5813"/>
      <c r="B5813"/>
    </row>
    <row r="5814" spans="1:2" x14ac:dyDescent="0.25">
      <c r="A5814"/>
      <c r="B5814"/>
    </row>
    <row r="5815" spans="1:2" x14ac:dyDescent="0.25">
      <c r="A5815"/>
      <c r="B5815"/>
    </row>
    <row r="5816" spans="1:2" x14ac:dyDescent="0.25">
      <c r="A5816"/>
      <c r="B5816"/>
    </row>
    <row r="5817" spans="1:2" x14ac:dyDescent="0.25">
      <c r="A5817"/>
      <c r="B5817"/>
    </row>
    <row r="5818" spans="1:2" x14ac:dyDescent="0.25">
      <c r="A5818"/>
      <c r="B5818"/>
    </row>
    <row r="5819" spans="1:2" x14ac:dyDescent="0.25">
      <c r="A5819"/>
      <c r="B5819"/>
    </row>
    <row r="5820" spans="1:2" x14ac:dyDescent="0.25">
      <c r="A5820"/>
      <c r="B5820"/>
    </row>
    <row r="5821" spans="1:2" x14ac:dyDescent="0.25">
      <c r="A5821"/>
      <c r="B5821"/>
    </row>
    <row r="5822" spans="1:2" x14ac:dyDescent="0.25">
      <c r="A5822"/>
      <c r="B5822"/>
    </row>
    <row r="5823" spans="1:2" x14ac:dyDescent="0.25">
      <c r="A5823"/>
      <c r="B5823"/>
    </row>
    <row r="5824" spans="1:2" x14ac:dyDescent="0.25">
      <c r="A5824"/>
      <c r="B5824"/>
    </row>
    <row r="5825" spans="1:2" x14ac:dyDescent="0.25">
      <c r="A5825"/>
      <c r="B5825"/>
    </row>
    <row r="5826" spans="1:2" x14ac:dyDescent="0.25">
      <c r="A5826"/>
      <c r="B5826"/>
    </row>
    <row r="5827" spans="1:2" x14ac:dyDescent="0.25">
      <c r="A5827"/>
      <c r="B5827"/>
    </row>
    <row r="5828" spans="1:2" x14ac:dyDescent="0.25">
      <c r="A5828"/>
      <c r="B5828"/>
    </row>
    <row r="5829" spans="1:2" x14ac:dyDescent="0.25">
      <c r="A5829"/>
      <c r="B5829"/>
    </row>
    <row r="5830" spans="1:2" x14ac:dyDescent="0.25">
      <c r="A5830"/>
      <c r="B5830"/>
    </row>
    <row r="5831" spans="1:2" x14ac:dyDescent="0.25">
      <c r="A5831"/>
      <c r="B5831"/>
    </row>
    <row r="5832" spans="1:2" x14ac:dyDescent="0.25">
      <c r="A5832"/>
      <c r="B5832"/>
    </row>
    <row r="5833" spans="1:2" x14ac:dyDescent="0.25">
      <c r="A5833"/>
      <c r="B5833"/>
    </row>
    <row r="5834" spans="1:2" x14ac:dyDescent="0.25">
      <c r="A5834"/>
      <c r="B5834"/>
    </row>
    <row r="5835" spans="1:2" x14ac:dyDescent="0.25">
      <c r="A5835"/>
      <c r="B5835"/>
    </row>
    <row r="5836" spans="1:2" x14ac:dyDescent="0.25">
      <c r="A5836"/>
      <c r="B5836"/>
    </row>
    <row r="5837" spans="1:2" x14ac:dyDescent="0.25">
      <c r="A5837"/>
      <c r="B5837"/>
    </row>
    <row r="5838" spans="1:2" x14ac:dyDescent="0.25">
      <c r="A5838"/>
      <c r="B5838"/>
    </row>
    <row r="5839" spans="1:2" x14ac:dyDescent="0.25">
      <c r="A5839"/>
      <c r="B5839"/>
    </row>
    <row r="5840" spans="1:2" x14ac:dyDescent="0.25">
      <c r="A5840"/>
      <c r="B5840"/>
    </row>
    <row r="5841" spans="1:2" x14ac:dyDescent="0.25">
      <c r="A5841"/>
      <c r="B5841"/>
    </row>
    <row r="5842" spans="1:2" x14ac:dyDescent="0.25">
      <c r="A5842"/>
      <c r="B5842"/>
    </row>
    <row r="5843" spans="1:2" x14ac:dyDescent="0.25">
      <c r="A5843"/>
      <c r="B5843"/>
    </row>
    <row r="5844" spans="1:2" x14ac:dyDescent="0.25">
      <c r="A5844"/>
      <c r="B5844"/>
    </row>
    <row r="5845" spans="1:2" x14ac:dyDescent="0.25">
      <c r="A5845"/>
      <c r="B5845"/>
    </row>
    <row r="5846" spans="1:2" x14ac:dyDescent="0.25">
      <c r="A5846"/>
      <c r="B5846"/>
    </row>
    <row r="5847" spans="1:2" x14ac:dyDescent="0.25">
      <c r="A5847"/>
      <c r="B5847"/>
    </row>
    <row r="5848" spans="1:2" x14ac:dyDescent="0.25">
      <c r="A5848"/>
      <c r="B5848"/>
    </row>
    <row r="5849" spans="1:2" x14ac:dyDescent="0.25">
      <c r="A5849"/>
      <c r="B5849"/>
    </row>
    <row r="5850" spans="1:2" x14ac:dyDescent="0.25">
      <c r="A5850"/>
      <c r="B5850"/>
    </row>
    <row r="5851" spans="1:2" x14ac:dyDescent="0.25">
      <c r="A5851"/>
      <c r="B5851"/>
    </row>
    <row r="5852" spans="1:2" x14ac:dyDescent="0.25">
      <c r="A5852"/>
      <c r="B5852"/>
    </row>
    <row r="5853" spans="1:2" x14ac:dyDescent="0.25">
      <c r="A5853"/>
      <c r="B5853"/>
    </row>
    <row r="5854" spans="1:2" x14ac:dyDescent="0.25">
      <c r="A5854"/>
      <c r="B5854"/>
    </row>
    <row r="5855" spans="1:2" x14ac:dyDescent="0.25">
      <c r="A5855"/>
      <c r="B5855"/>
    </row>
    <row r="5856" spans="1:2" x14ac:dyDescent="0.25">
      <c r="A5856"/>
      <c r="B5856"/>
    </row>
    <row r="5857" spans="1:2" x14ac:dyDescent="0.25">
      <c r="A5857"/>
      <c r="B5857"/>
    </row>
    <row r="5858" spans="1:2" x14ac:dyDescent="0.25">
      <c r="A5858"/>
      <c r="B5858"/>
    </row>
    <row r="5859" spans="1:2" x14ac:dyDescent="0.25">
      <c r="A5859"/>
      <c r="B5859"/>
    </row>
    <row r="5860" spans="1:2" x14ac:dyDescent="0.25">
      <c r="A5860"/>
      <c r="B5860"/>
    </row>
    <row r="5861" spans="1:2" x14ac:dyDescent="0.25">
      <c r="A5861"/>
      <c r="B5861"/>
    </row>
    <row r="5862" spans="1:2" x14ac:dyDescent="0.25">
      <c r="A5862"/>
      <c r="B5862"/>
    </row>
    <row r="5863" spans="1:2" x14ac:dyDescent="0.25">
      <c r="A5863"/>
      <c r="B5863"/>
    </row>
    <row r="5864" spans="1:2" x14ac:dyDescent="0.25">
      <c r="A5864"/>
      <c r="B5864"/>
    </row>
    <row r="5865" spans="1:2" x14ac:dyDescent="0.25">
      <c r="A5865"/>
      <c r="B5865"/>
    </row>
    <row r="5866" spans="1:2" x14ac:dyDescent="0.25">
      <c r="A5866"/>
      <c r="B5866"/>
    </row>
    <row r="5867" spans="1:2" x14ac:dyDescent="0.25">
      <c r="A5867"/>
      <c r="B5867"/>
    </row>
    <row r="5868" spans="1:2" x14ac:dyDescent="0.25">
      <c r="A5868"/>
      <c r="B5868"/>
    </row>
    <row r="5869" spans="1:2" x14ac:dyDescent="0.25">
      <c r="A5869"/>
      <c r="B5869"/>
    </row>
    <row r="5870" spans="1:2" x14ac:dyDescent="0.25">
      <c r="A5870"/>
      <c r="B5870"/>
    </row>
    <row r="5871" spans="1:2" x14ac:dyDescent="0.25">
      <c r="A5871"/>
      <c r="B5871"/>
    </row>
    <row r="5872" spans="1:2" x14ac:dyDescent="0.25">
      <c r="A5872"/>
      <c r="B5872"/>
    </row>
    <row r="5873" spans="1:2" x14ac:dyDescent="0.25">
      <c r="A5873"/>
      <c r="B5873"/>
    </row>
    <row r="5874" spans="1:2" x14ac:dyDescent="0.25">
      <c r="A5874"/>
      <c r="B5874"/>
    </row>
    <row r="5875" spans="1:2" x14ac:dyDescent="0.25">
      <c r="A5875"/>
      <c r="B5875"/>
    </row>
    <row r="5876" spans="1:2" x14ac:dyDescent="0.25">
      <c r="A5876"/>
      <c r="B5876"/>
    </row>
    <row r="5877" spans="1:2" x14ac:dyDescent="0.25">
      <c r="A5877"/>
      <c r="B5877"/>
    </row>
    <row r="5878" spans="1:2" x14ac:dyDescent="0.25">
      <c r="A5878"/>
      <c r="B5878"/>
    </row>
    <row r="5879" spans="1:2" x14ac:dyDescent="0.25">
      <c r="A5879"/>
      <c r="B5879"/>
    </row>
    <row r="5880" spans="1:2" x14ac:dyDescent="0.25">
      <c r="A5880"/>
      <c r="B5880"/>
    </row>
    <row r="5881" spans="1:2" x14ac:dyDescent="0.25">
      <c r="A5881"/>
      <c r="B5881"/>
    </row>
    <row r="5882" spans="1:2" x14ac:dyDescent="0.25">
      <c r="A5882"/>
      <c r="B5882"/>
    </row>
    <row r="5883" spans="1:2" x14ac:dyDescent="0.25">
      <c r="A5883"/>
      <c r="B5883"/>
    </row>
    <row r="5884" spans="1:2" x14ac:dyDescent="0.25">
      <c r="A5884"/>
      <c r="B5884"/>
    </row>
    <row r="5885" spans="1:2" x14ac:dyDescent="0.25">
      <c r="A5885"/>
      <c r="B5885"/>
    </row>
    <row r="5886" spans="1:2" x14ac:dyDescent="0.25">
      <c r="A5886"/>
      <c r="B5886"/>
    </row>
    <row r="5887" spans="1:2" x14ac:dyDescent="0.25">
      <c r="A5887"/>
      <c r="B5887"/>
    </row>
    <row r="5888" spans="1:2" x14ac:dyDescent="0.25">
      <c r="A5888"/>
      <c r="B5888"/>
    </row>
    <row r="5889" spans="1:2" x14ac:dyDescent="0.25">
      <c r="A5889"/>
      <c r="B5889"/>
    </row>
    <row r="5890" spans="1:2" x14ac:dyDescent="0.25">
      <c r="A5890"/>
      <c r="B5890"/>
    </row>
    <row r="5891" spans="1:2" x14ac:dyDescent="0.25">
      <c r="A5891"/>
      <c r="B5891"/>
    </row>
    <row r="5892" spans="1:2" x14ac:dyDescent="0.25">
      <c r="A5892"/>
      <c r="B5892"/>
    </row>
    <row r="5893" spans="1:2" x14ac:dyDescent="0.25">
      <c r="A5893"/>
      <c r="B5893"/>
    </row>
    <row r="5894" spans="1:2" x14ac:dyDescent="0.25">
      <c r="A5894"/>
      <c r="B5894"/>
    </row>
    <row r="5895" spans="1:2" x14ac:dyDescent="0.25">
      <c r="A5895"/>
      <c r="B5895"/>
    </row>
    <row r="5896" spans="1:2" x14ac:dyDescent="0.25">
      <c r="A5896"/>
      <c r="B5896"/>
    </row>
    <row r="5897" spans="1:2" x14ac:dyDescent="0.25">
      <c r="A5897"/>
      <c r="B5897"/>
    </row>
    <row r="5898" spans="1:2" x14ac:dyDescent="0.25">
      <c r="A5898"/>
      <c r="B5898"/>
    </row>
    <row r="5899" spans="1:2" x14ac:dyDescent="0.25">
      <c r="A5899"/>
      <c r="B5899"/>
    </row>
    <row r="5900" spans="1:2" x14ac:dyDescent="0.25">
      <c r="A5900"/>
      <c r="B5900"/>
    </row>
    <row r="5901" spans="1:2" x14ac:dyDescent="0.25">
      <c r="A5901"/>
      <c r="B5901"/>
    </row>
    <row r="5902" spans="1:2" x14ac:dyDescent="0.25">
      <c r="A5902"/>
      <c r="B5902"/>
    </row>
    <row r="5903" spans="1:2" x14ac:dyDescent="0.25">
      <c r="A5903"/>
      <c r="B5903"/>
    </row>
    <row r="5904" spans="1:2" x14ac:dyDescent="0.25">
      <c r="A5904"/>
      <c r="B5904"/>
    </row>
    <row r="5905" spans="1:2" x14ac:dyDescent="0.25">
      <c r="A5905"/>
      <c r="B5905"/>
    </row>
    <row r="5906" spans="1:2" x14ac:dyDescent="0.25">
      <c r="A5906"/>
      <c r="B5906"/>
    </row>
    <row r="5907" spans="1:2" x14ac:dyDescent="0.25">
      <c r="A5907"/>
      <c r="B5907"/>
    </row>
    <row r="5908" spans="1:2" x14ac:dyDescent="0.25">
      <c r="A5908"/>
      <c r="B5908"/>
    </row>
    <row r="5909" spans="1:2" x14ac:dyDescent="0.25">
      <c r="A5909"/>
      <c r="B5909"/>
    </row>
    <row r="5910" spans="1:2" x14ac:dyDescent="0.25">
      <c r="A5910"/>
      <c r="B5910"/>
    </row>
    <row r="5911" spans="1:2" x14ac:dyDescent="0.25">
      <c r="A5911"/>
      <c r="B5911"/>
    </row>
    <row r="5912" spans="1:2" x14ac:dyDescent="0.25">
      <c r="A5912"/>
      <c r="B5912"/>
    </row>
    <row r="5913" spans="1:2" x14ac:dyDescent="0.25">
      <c r="A5913"/>
      <c r="B5913"/>
    </row>
    <row r="5914" spans="1:2" x14ac:dyDescent="0.25">
      <c r="A5914"/>
      <c r="B5914"/>
    </row>
    <row r="5915" spans="1:2" x14ac:dyDescent="0.25">
      <c r="A5915"/>
      <c r="B5915"/>
    </row>
    <row r="5916" spans="1:2" x14ac:dyDescent="0.25">
      <c r="A5916"/>
      <c r="B5916"/>
    </row>
    <row r="5917" spans="1:2" x14ac:dyDescent="0.25">
      <c r="A5917"/>
      <c r="B5917"/>
    </row>
    <row r="5918" spans="1:2" x14ac:dyDescent="0.25">
      <c r="A5918"/>
      <c r="B5918"/>
    </row>
    <row r="5919" spans="1:2" x14ac:dyDescent="0.25">
      <c r="A5919"/>
      <c r="B5919"/>
    </row>
    <row r="5920" spans="1:2" x14ac:dyDescent="0.25">
      <c r="A5920"/>
      <c r="B5920"/>
    </row>
    <row r="5921" spans="1:2" x14ac:dyDescent="0.25">
      <c r="A5921"/>
      <c r="B5921"/>
    </row>
    <row r="5922" spans="1:2" x14ac:dyDescent="0.25">
      <c r="A5922"/>
      <c r="B5922"/>
    </row>
    <row r="5923" spans="1:2" x14ac:dyDescent="0.25">
      <c r="A5923"/>
      <c r="B5923"/>
    </row>
    <row r="5924" spans="1:2" x14ac:dyDescent="0.25">
      <c r="A5924"/>
      <c r="B5924"/>
    </row>
    <row r="5925" spans="1:2" x14ac:dyDescent="0.25">
      <c r="A5925"/>
      <c r="B5925"/>
    </row>
    <row r="5926" spans="1:2" x14ac:dyDescent="0.25">
      <c r="A5926"/>
      <c r="B5926"/>
    </row>
    <row r="5927" spans="1:2" x14ac:dyDescent="0.25">
      <c r="A5927"/>
      <c r="B5927"/>
    </row>
    <row r="5928" spans="1:2" x14ac:dyDescent="0.25">
      <c r="A5928"/>
      <c r="B5928"/>
    </row>
    <row r="5929" spans="1:2" x14ac:dyDescent="0.25">
      <c r="A5929"/>
      <c r="B5929"/>
    </row>
    <row r="5930" spans="1:2" x14ac:dyDescent="0.25">
      <c r="A5930"/>
      <c r="B5930"/>
    </row>
    <row r="5931" spans="1:2" x14ac:dyDescent="0.25">
      <c r="A5931"/>
      <c r="B5931"/>
    </row>
    <row r="5932" spans="1:2" x14ac:dyDescent="0.25">
      <c r="A5932"/>
      <c r="B5932"/>
    </row>
    <row r="5933" spans="1:2" x14ac:dyDescent="0.25">
      <c r="A5933"/>
      <c r="B5933"/>
    </row>
    <row r="5934" spans="1:2" x14ac:dyDescent="0.25">
      <c r="A5934"/>
      <c r="B5934"/>
    </row>
    <row r="5935" spans="1:2" x14ac:dyDescent="0.25">
      <c r="A5935"/>
      <c r="B5935"/>
    </row>
    <row r="5936" spans="1:2" x14ac:dyDescent="0.25">
      <c r="A5936"/>
      <c r="B5936"/>
    </row>
    <row r="5937" spans="1:2" x14ac:dyDescent="0.25">
      <c r="A5937"/>
      <c r="B5937"/>
    </row>
    <row r="5938" spans="1:2" x14ac:dyDescent="0.25">
      <c r="A5938"/>
      <c r="B5938"/>
    </row>
    <row r="5939" spans="1:2" x14ac:dyDescent="0.25">
      <c r="A5939"/>
      <c r="B5939"/>
    </row>
    <row r="5940" spans="1:2" x14ac:dyDescent="0.25">
      <c r="A5940"/>
      <c r="B5940"/>
    </row>
    <row r="5941" spans="1:2" x14ac:dyDescent="0.25">
      <c r="A5941"/>
      <c r="B5941"/>
    </row>
    <row r="5942" spans="1:2" x14ac:dyDescent="0.25">
      <c r="A5942"/>
      <c r="B5942"/>
    </row>
    <row r="5943" spans="1:2" x14ac:dyDescent="0.25">
      <c r="A5943"/>
      <c r="B5943"/>
    </row>
    <row r="5944" spans="1:2" x14ac:dyDescent="0.25">
      <c r="A5944"/>
      <c r="B5944"/>
    </row>
    <row r="5945" spans="1:2" x14ac:dyDescent="0.25">
      <c r="A5945"/>
      <c r="B5945"/>
    </row>
    <row r="5946" spans="1:2" x14ac:dyDescent="0.25">
      <c r="A5946"/>
      <c r="B5946"/>
    </row>
    <row r="5947" spans="1:2" x14ac:dyDescent="0.25">
      <c r="A5947"/>
      <c r="B5947"/>
    </row>
    <row r="5948" spans="1:2" x14ac:dyDescent="0.25">
      <c r="A5948"/>
      <c r="B5948"/>
    </row>
    <row r="5949" spans="1:2" x14ac:dyDescent="0.25">
      <c r="A5949"/>
      <c r="B5949"/>
    </row>
    <row r="5950" spans="1:2" x14ac:dyDescent="0.25">
      <c r="A5950"/>
      <c r="B5950"/>
    </row>
    <row r="5951" spans="1:2" x14ac:dyDescent="0.25">
      <c r="A5951"/>
      <c r="B5951"/>
    </row>
    <row r="5952" spans="1:2" x14ac:dyDescent="0.25">
      <c r="A5952"/>
      <c r="B5952"/>
    </row>
    <row r="5953" spans="1:2" x14ac:dyDescent="0.25">
      <c r="A5953"/>
      <c r="B5953"/>
    </row>
    <row r="5954" spans="1:2" x14ac:dyDescent="0.25">
      <c r="A5954"/>
      <c r="B5954"/>
    </row>
    <row r="5955" spans="1:2" x14ac:dyDescent="0.25">
      <c r="A5955"/>
      <c r="B5955"/>
    </row>
    <row r="5956" spans="1:2" x14ac:dyDescent="0.25">
      <c r="A5956"/>
      <c r="B5956"/>
    </row>
    <row r="5957" spans="1:2" x14ac:dyDescent="0.25">
      <c r="A5957"/>
      <c r="B5957"/>
    </row>
    <row r="5958" spans="1:2" x14ac:dyDescent="0.25">
      <c r="A5958"/>
      <c r="B5958"/>
    </row>
    <row r="5959" spans="1:2" x14ac:dyDescent="0.25">
      <c r="A5959"/>
      <c r="B5959"/>
    </row>
    <row r="5960" spans="1:2" x14ac:dyDescent="0.25">
      <c r="A5960"/>
      <c r="B5960"/>
    </row>
    <row r="5961" spans="1:2" x14ac:dyDescent="0.25">
      <c r="A5961"/>
      <c r="B5961"/>
    </row>
    <row r="5962" spans="1:2" x14ac:dyDescent="0.25">
      <c r="A5962"/>
      <c r="B5962"/>
    </row>
    <row r="5963" spans="1:2" x14ac:dyDescent="0.25">
      <c r="A5963"/>
      <c r="B5963"/>
    </row>
    <row r="5964" spans="1:2" x14ac:dyDescent="0.25">
      <c r="A5964"/>
      <c r="B5964"/>
    </row>
    <row r="5965" spans="1:2" x14ac:dyDescent="0.25">
      <c r="A5965"/>
      <c r="B5965"/>
    </row>
    <row r="5966" spans="1:2" x14ac:dyDescent="0.25">
      <c r="A5966"/>
      <c r="B5966"/>
    </row>
  </sheetData>
  <pageMargins left="0.7" right="0.7" top="0.75" bottom="0.75" header="0.3" footer="0.3"/>
  <pageSetup orientation="portrait" verticalDpi="30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C000"/>
  </sheetPr>
  <dimension ref="A12:K98"/>
  <sheetViews>
    <sheetView topLeftCell="A13" workbookViewId="0">
      <selection activeCell="O59" sqref="O59"/>
    </sheetView>
  </sheetViews>
  <sheetFormatPr defaultRowHeight="15" x14ac:dyDescent="0.25"/>
  <cols>
    <col min="1" max="1" width="50.140625" customWidth="1"/>
    <col min="2" max="2" width="28.7109375" bestFit="1" customWidth="1"/>
    <col min="3" max="3" width="11.28515625" hidden="1" customWidth="1"/>
    <col min="4" max="4" width="11.140625" bestFit="1" customWidth="1"/>
    <col min="5" max="5" width="14.7109375" hidden="1" customWidth="1"/>
    <col min="6" max="6" width="12.7109375" customWidth="1"/>
    <col min="7" max="7" width="16.28515625" bestFit="1" customWidth="1"/>
    <col min="8" max="8" width="10.140625" hidden="1" customWidth="1"/>
    <col min="9" max="13" width="10.140625" bestFit="1" customWidth="1"/>
    <col min="14" max="14" width="11.140625" bestFit="1" customWidth="1"/>
    <col min="15" max="16" width="10.140625" bestFit="1" customWidth="1"/>
    <col min="17" max="17" width="13.140625" bestFit="1" customWidth="1"/>
    <col min="18" max="19" width="11.140625" bestFit="1" customWidth="1"/>
    <col min="20" max="20" width="10.140625" bestFit="1" customWidth="1"/>
    <col min="21" max="21" width="13.140625" bestFit="1" customWidth="1"/>
    <col min="22" max="22" width="10.28515625" bestFit="1" customWidth="1"/>
    <col min="23" max="24" width="10.140625" bestFit="1" customWidth="1"/>
    <col min="25" max="25" width="13.140625" bestFit="1" customWidth="1"/>
    <col min="26" max="26" width="10.28515625" bestFit="1" customWidth="1"/>
    <col min="27" max="28" width="10.140625" bestFit="1" customWidth="1"/>
    <col min="29" max="29" width="13.140625" bestFit="1" customWidth="1"/>
    <col min="30" max="30" width="10.28515625" bestFit="1" customWidth="1"/>
    <col min="31" max="32" width="10.140625" bestFit="1" customWidth="1"/>
    <col min="33" max="33" width="13.140625" bestFit="1" customWidth="1"/>
    <col min="34" max="34" width="11.140625" bestFit="1" customWidth="1"/>
    <col min="35" max="35" width="13.140625" bestFit="1" customWidth="1"/>
    <col min="36" max="36" width="12.7109375" bestFit="1" customWidth="1"/>
    <col min="37" max="37" width="9" bestFit="1" customWidth="1"/>
    <col min="38" max="41" width="11" bestFit="1" customWidth="1"/>
  </cols>
  <sheetData>
    <row r="12" spans="1:11" x14ac:dyDescent="0.25">
      <c r="A12" s="4" t="s">
        <v>244</v>
      </c>
      <c r="B12" t="s" vm="12">
        <v>245</v>
      </c>
    </row>
    <row r="14" spans="1:11" x14ac:dyDescent="0.25">
      <c r="A14" s="4" t="s">
        <v>136</v>
      </c>
      <c r="B14" s="4" t="s">
        <v>137</v>
      </c>
    </row>
    <row r="15" spans="1:11" x14ac:dyDescent="0.25">
      <c r="B15" t="s">
        <v>301</v>
      </c>
      <c r="E15" t="s">
        <v>1003</v>
      </c>
      <c r="F15" t="s">
        <v>248</v>
      </c>
      <c r="H15" t="s">
        <v>324</v>
      </c>
      <c r="I15" t="s">
        <v>239</v>
      </c>
      <c r="K15" t="s">
        <v>1004</v>
      </c>
    </row>
    <row r="16" spans="1:11" x14ac:dyDescent="0.25">
      <c r="A16" s="4" t="s">
        <v>242</v>
      </c>
      <c r="B16">
        <v>2018</v>
      </c>
      <c r="C16">
        <v>2019</v>
      </c>
      <c r="D16">
        <v>2020</v>
      </c>
      <c r="F16">
        <v>2019</v>
      </c>
      <c r="G16">
        <v>2020</v>
      </c>
      <c r="I16">
        <v>2019</v>
      </c>
      <c r="J16">
        <v>2020</v>
      </c>
    </row>
    <row r="17" spans="1:11" hidden="1" x14ac:dyDescent="0.25">
      <c r="A17" s="6" t="s">
        <v>1005</v>
      </c>
      <c r="B17" s="1">
        <v>0</v>
      </c>
      <c r="C17" s="1">
        <v>328340431</v>
      </c>
      <c r="D17" s="1">
        <v>315148617</v>
      </c>
      <c r="E17" s="1">
        <v>643489048</v>
      </c>
      <c r="F17" s="1">
        <v>0</v>
      </c>
      <c r="G17" s="1">
        <v>0</v>
      </c>
      <c r="H17" s="1">
        <v>0</v>
      </c>
      <c r="I17" s="1">
        <v>0</v>
      </c>
      <c r="J17" s="1">
        <v>350082758</v>
      </c>
      <c r="K17" s="1">
        <v>350082758</v>
      </c>
    </row>
    <row r="18" spans="1:11" hidden="1" x14ac:dyDescent="0.25">
      <c r="A18" s="7" t="s">
        <v>1006</v>
      </c>
      <c r="B18" s="1">
        <v>0</v>
      </c>
      <c r="C18" s="1">
        <v>2713114</v>
      </c>
      <c r="D18" s="1">
        <v>2247849</v>
      </c>
      <c r="E18" s="1">
        <v>4960963</v>
      </c>
      <c r="F18" s="1">
        <v>0</v>
      </c>
      <c r="G18" s="1">
        <v>0</v>
      </c>
      <c r="H18" s="1">
        <v>0</v>
      </c>
      <c r="I18" s="1">
        <v>0</v>
      </c>
      <c r="J18" s="1">
        <v>1919284</v>
      </c>
      <c r="K18" s="1">
        <v>1919284</v>
      </c>
    </row>
    <row r="19" spans="1:11" hidden="1" x14ac:dyDescent="0.25">
      <c r="A19" s="7" t="s">
        <v>1327</v>
      </c>
      <c r="B19" s="1"/>
      <c r="C19" s="1"/>
      <c r="D19" s="1"/>
      <c r="E19" s="1"/>
      <c r="F19" s="1"/>
      <c r="G19" s="1"/>
      <c r="H19" s="1"/>
      <c r="I19" s="1">
        <v>0</v>
      </c>
      <c r="J19" s="1">
        <v>9428570</v>
      </c>
      <c r="K19" s="1">
        <v>9428570</v>
      </c>
    </row>
    <row r="20" spans="1:11" hidden="1" x14ac:dyDescent="0.25">
      <c r="A20" s="7" t="s">
        <v>1007</v>
      </c>
      <c r="B20" s="1">
        <v>0</v>
      </c>
      <c r="C20" s="1">
        <v>0</v>
      </c>
      <c r="D20" s="1">
        <v>0</v>
      </c>
      <c r="E20" s="1">
        <v>0</v>
      </c>
      <c r="F20" s="1">
        <v>0</v>
      </c>
      <c r="G20" s="1">
        <v>0</v>
      </c>
      <c r="H20" s="1">
        <v>0</v>
      </c>
      <c r="I20" s="1">
        <v>0</v>
      </c>
      <c r="J20" s="1">
        <v>0</v>
      </c>
      <c r="K20" s="1">
        <v>0</v>
      </c>
    </row>
    <row r="21" spans="1:11" hidden="1" x14ac:dyDescent="0.25">
      <c r="A21" s="7" t="s">
        <v>1008</v>
      </c>
      <c r="B21" s="1">
        <v>0</v>
      </c>
      <c r="C21" s="1">
        <v>12050341</v>
      </c>
      <c r="D21" s="1">
        <v>9819066</v>
      </c>
      <c r="E21" s="1">
        <v>21869407</v>
      </c>
      <c r="F21" s="1">
        <v>0</v>
      </c>
      <c r="G21" s="1">
        <v>0</v>
      </c>
      <c r="H21" s="1">
        <v>0</v>
      </c>
      <c r="I21" s="1">
        <v>0</v>
      </c>
      <c r="J21" s="1">
        <v>11094063</v>
      </c>
      <c r="K21" s="1">
        <v>11094063</v>
      </c>
    </row>
    <row r="22" spans="1:11" hidden="1" x14ac:dyDescent="0.25">
      <c r="A22" s="7" t="s">
        <v>1009</v>
      </c>
      <c r="B22" s="1">
        <v>0</v>
      </c>
      <c r="C22" s="1">
        <v>79244</v>
      </c>
      <c r="D22" s="1">
        <v>139623</v>
      </c>
      <c r="E22" s="1">
        <v>218867</v>
      </c>
      <c r="F22" s="1">
        <v>0</v>
      </c>
      <c r="G22" s="1">
        <v>0</v>
      </c>
      <c r="H22" s="1">
        <v>0</v>
      </c>
      <c r="I22" s="1">
        <v>0</v>
      </c>
      <c r="J22" s="1">
        <v>71887</v>
      </c>
      <c r="K22" s="1">
        <v>71887</v>
      </c>
    </row>
    <row r="23" spans="1:11" hidden="1" x14ac:dyDescent="0.25">
      <c r="A23" s="7" t="s">
        <v>1010</v>
      </c>
      <c r="B23" s="1">
        <v>0</v>
      </c>
      <c r="C23" s="1">
        <v>0</v>
      </c>
      <c r="D23" s="1">
        <v>0</v>
      </c>
      <c r="E23" s="1">
        <v>0</v>
      </c>
      <c r="F23" s="1">
        <v>0</v>
      </c>
      <c r="G23" s="1">
        <v>0</v>
      </c>
      <c r="H23" s="1">
        <v>0</v>
      </c>
      <c r="I23" s="1"/>
      <c r="J23" s="1"/>
      <c r="K23" s="1"/>
    </row>
    <row r="24" spans="1:11" hidden="1" x14ac:dyDescent="0.25">
      <c r="A24" s="7" t="s">
        <v>1011</v>
      </c>
      <c r="B24" s="1">
        <v>0</v>
      </c>
      <c r="C24" s="1">
        <v>174076087</v>
      </c>
      <c r="D24" s="1">
        <v>176082377</v>
      </c>
      <c r="E24" s="1">
        <v>350158464</v>
      </c>
      <c r="F24" s="1">
        <v>0</v>
      </c>
      <c r="G24" s="1">
        <v>0</v>
      </c>
      <c r="H24" s="1">
        <v>0</v>
      </c>
      <c r="I24" s="1">
        <v>0</v>
      </c>
      <c r="J24" s="1">
        <v>188191194</v>
      </c>
      <c r="K24" s="1">
        <v>188191194</v>
      </c>
    </row>
    <row r="25" spans="1:11" hidden="1" x14ac:dyDescent="0.25">
      <c r="A25" s="7" t="s">
        <v>1012</v>
      </c>
      <c r="B25" s="1">
        <v>0</v>
      </c>
      <c r="C25" s="1">
        <v>199657</v>
      </c>
      <c r="D25" s="1">
        <v>149531</v>
      </c>
      <c r="E25" s="1">
        <v>349188</v>
      </c>
      <c r="F25" s="1">
        <v>0</v>
      </c>
      <c r="G25" s="1">
        <v>0</v>
      </c>
      <c r="H25" s="1">
        <v>0</v>
      </c>
      <c r="I25" s="1">
        <v>0</v>
      </c>
      <c r="J25" s="1">
        <v>179594</v>
      </c>
      <c r="K25" s="1">
        <v>179594</v>
      </c>
    </row>
    <row r="26" spans="1:11" hidden="1" x14ac:dyDescent="0.25">
      <c r="A26" s="7" t="s">
        <v>1013</v>
      </c>
      <c r="B26" s="1">
        <v>0</v>
      </c>
      <c r="C26" s="1">
        <v>1362191</v>
      </c>
      <c r="D26" s="1">
        <v>1054180</v>
      </c>
      <c r="E26" s="1">
        <v>2416371</v>
      </c>
      <c r="F26" s="1">
        <v>0</v>
      </c>
      <c r="G26" s="1">
        <v>0</v>
      </c>
      <c r="H26" s="1">
        <v>0</v>
      </c>
      <c r="I26" s="1">
        <v>0</v>
      </c>
      <c r="J26" s="1">
        <v>1340046</v>
      </c>
      <c r="K26" s="1">
        <v>1340046</v>
      </c>
    </row>
    <row r="27" spans="1:11" hidden="1" x14ac:dyDescent="0.25">
      <c r="A27" s="7" t="s">
        <v>1014</v>
      </c>
      <c r="B27" s="1">
        <v>0</v>
      </c>
      <c r="C27" s="1">
        <v>128116</v>
      </c>
      <c r="D27" s="1">
        <v>39196</v>
      </c>
      <c r="E27" s="1">
        <v>167312</v>
      </c>
      <c r="F27" s="1">
        <v>0</v>
      </c>
      <c r="G27" s="1">
        <v>0</v>
      </c>
      <c r="H27" s="1">
        <v>0</v>
      </c>
      <c r="I27" s="1">
        <v>0</v>
      </c>
      <c r="J27" s="1">
        <v>140166</v>
      </c>
      <c r="K27" s="1">
        <v>140166</v>
      </c>
    </row>
    <row r="28" spans="1:11" hidden="1" x14ac:dyDescent="0.25">
      <c r="A28" s="7" t="s">
        <v>1015</v>
      </c>
      <c r="B28" s="1">
        <v>0</v>
      </c>
      <c r="C28" s="1">
        <v>121059542</v>
      </c>
      <c r="D28" s="1">
        <v>112844829</v>
      </c>
      <c r="E28" s="1">
        <v>233904371</v>
      </c>
      <c r="F28" s="1">
        <v>0</v>
      </c>
      <c r="G28" s="1">
        <v>0</v>
      </c>
      <c r="H28" s="1">
        <v>0</v>
      </c>
      <c r="I28" s="1">
        <v>0</v>
      </c>
      <c r="J28" s="1">
        <v>121033450</v>
      </c>
      <c r="K28" s="1">
        <v>121033450</v>
      </c>
    </row>
    <row r="29" spans="1:11" hidden="1" x14ac:dyDescent="0.25">
      <c r="A29" s="7" t="s">
        <v>1016</v>
      </c>
      <c r="B29" s="1">
        <v>0</v>
      </c>
      <c r="C29" s="1">
        <v>1387743</v>
      </c>
      <c r="D29" s="1">
        <v>1000581</v>
      </c>
      <c r="E29" s="1">
        <v>2388324</v>
      </c>
      <c r="F29" s="1">
        <v>0</v>
      </c>
      <c r="G29" s="1">
        <v>0</v>
      </c>
      <c r="H29" s="1">
        <v>0</v>
      </c>
      <c r="I29" s="1">
        <v>0</v>
      </c>
      <c r="J29" s="1">
        <v>1119922</v>
      </c>
      <c r="K29" s="1">
        <v>1119922</v>
      </c>
    </row>
    <row r="30" spans="1:11" hidden="1" x14ac:dyDescent="0.25">
      <c r="A30" s="7" t="s">
        <v>1017</v>
      </c>
      <c r="B30" s="1">
        <v>0</v>
      </c>
      <c r="C30" s="1">
        <v>15284396</v>
      </c>
      <c r="D30" s="1">
        <v>11771385</v>
      </c>
      <c r="E30" s="1">
        <v>27055781</v>
      </c>
      <c r="F30" s="1">
        <v>0</v>
      </c>
      <c r="G30" s="1">
        <v>0</v>
      </c>
      <c r="H30" s="1">
        <v>0</v>
      </c>
      <c r="I30" s="1">
        <v>0</v>
      </c>
      <c r="J30" s="1">
        <v>15564582</v>
      </c>
      <c r="K30" s="1">
        <v>15564582</v>
      </c>
    </row>
    <row r="31" spans="1:11" hidden="1" x14ac:dyDescent="0.25">
      <c r="A31" s="6" t="s">
        <v>1018</v>
      </c>
      <c r="B31" s="1">
        <v>0</v>
      </c>
      <c r="C31" s="1">
        <v>15989764</v>
      </c>
      <c r="D31" s="1">
        <v>4746883</v>
      </c>
      <c r="E31" s="1">
        <v>20736647</v>
      </c>
      <c r="F31" s="1">
        <v>0</v>
      </c>
      <c r="G31" s="1">
        <v>0</v>
      </c>
      <c r="H31" s="1">
        <v>0</v>
      </c>
      <c r="I31" s="1">
        <v>0</v>
      </c>
      <c r="J31" s="1">
        <v>5024385</v>
      </c>
      <c r="K31" s="1">
        <v>5024385</v>
      </c>
    </row>
    <row r="32" spans="1:11" hidden="1" x14ac:dyDescent="0.25">
      <c r="A32" s="7" t="s">
        <v>1019</v>
      </c>
      <c r="B32" s="1">
        <v>0</v>
      </c>
      <c r="C32" s="1">
        <v>4946</v>
      </c>
      <c r="D32" s="1">
        <v>1831</v>
      </c>
      <c r="E32" s="1">
        <v>6777</v>
      </c>
      <c r="F32" s="1">
        <v>0</v>
      </c>
      <c r="G32" s="1">
        <v>0</v>
      </c>
      <c r="H32" s="1">
        <v>0</v>
      </c>
      <c r="I32" s="1">
        <v>0</v>
      </c>
      <c r="J32" s="1">
        <v>22346</v>
      </c>
      <c r="K32" s="1">
        <v>22346</v>
      </c>
    </row>
    <row r="33" spans="1:11" hidden="1" x14ac:dyDescent="0.25">
      <c r="A33" s="7" t="s">
        <v>1020</v>
      </c>
      <c r="B33" s="1">
        <v>0</v>
      </c>
      <c r="C33" s="1">
        <v>928</v>
      </c>
      <c r="D33" s="1">
        <v>1137</v>
      </c>
      <c r="E33" s="1">
        <v>2065</v>
      </c>
      <c r="F33" s="1">
        <v>0</v>
      </c>
      <c r="G33" s="1">
        <v>0</v>
      </c>
      <c r="H33" s="1">
        <v>0</v>
      </c>
      <c r="I33" s="1">
        <v>0</v>
      </c>
      <c r="J33" s="1">
        <v>623</v>
      </c>
      <c r="K33" s="1">
        <v>623</v>
      </c>
    </row>
    <row r="34" spans="1:11" hidden="1" x14ac:dyDescent="0.25">
      <c r="A34" s="7" t="s">
        <v>1021</v>
      </c>
      <c r="B34" s="1">
        <v>0</v>
      </c>
      <c r="C34" s="1">
        <v>136507</v>
      </c>
      <c r="D34" s="1">
        <v>28143</v>
      </c>
      <c r="E34" s="1">
        <v>164650</v>
      </c>
      <c r="F34" s="1">
        <v>0</v>
      </c>
      <c r="G34" s="1">
        <v>0</v>
      </c>
      <c r="H34" s="1">
        <v>0</v>
      </c>
      <c r="I34" s="1">
        <v>0</v>
      </c>
      <c r="J34" s="1">
        <v>285644</v>
      </c>
      <c r="K34" s="1">
        <v>285644</v>
      </c>
    </row>
    <row r="35" spans="1:11" hidden="1" x14ac:dyDescent="0.25">
      <c r="A35" s="7" t="s">
        <v>1022</v>
      </c>
      <c r="B35" s="1"/>
      <c r="C35" s="1"/>
      <c r="D35" s="1"/>
      <c r="E35" s="1"/>
      <c r="F35" s="1"/>
      <c r="G35" s="1"/>
      <c r="H35" s="1"/>
      <c r="I35" s="1">
        <v>0</v>
      </c>
      <c r="J35" s="1"/>
      <c r="K35" s="1">
        <v>0</v>
      </c>
    </row>
    <row r="36" spans="1:11" hidden="1" x14ac:dyDescent="0.25">
      <c r="A36" s="7" t="s">
        <v>1023</v>
      </c>
      <c r="B36" s="1">
        <v>0</v>
      </c>
      <c r="C36" s="1">
        <v>15847383</v>
      </c>
      <c r="D36" s="1">
        <v>4715772</v>
      </c>
      <c r="E36" s="1">
        <v>20563155</v>
      </c>
      <c r="F36" s="1">
        <v>0</v>
      </c>
      <c r="G36" s="1">
        <v>0</v>
      </c>
      <c r="H36" s="1">
        <v>0</v>
      </c>
      <c r="I36" s="1">
        <v>0</v>
      </c>
      <c r="J36" s="1">
        <v>4715772</v>
      </c>
      <c r="K36" s="1">
        <v>4715772</v>
      </c>
    </row>
    <row r="37" spans="1:11" hidden="1" x14ac:dyDescent="0.25">
      <c r="A37" s="7" t="s">
        <v>1024</v>
      </c>
      <c r="B37" s="1">
        <v>0</v>
      </c>
      <c r="C37" s="1">
        <v>0</v>
      </c>
      <c r="D37" s="1">
        <v>0</v>
      </c>
      <c r="E37" s="1">
        <v>0</v>
      </c>
      <c r="F37" s="1">
        <v>0</v>
      </c>
      <c r="G37" s="1">
        <v>0</v>
      </c>
      <c r="H37" s="1">
        <v>0</v>
      </c>
      <c r="I37" s="1"/>
      <c r="J37" s="1"/>
      <c r="K37" s="1"/>
    </row>
    <row r="38" spans="1:11" hidden="1" x14ac:dyDescent="0.25">
      <c r="A38" s="7" t="s">
        <v>1025</v>
      </c>
      <c r="B38" s="1"/>
      <c r="C38" s="1"/>
      <c r="D38" s="1"/>
      <c r="E38" s="1"/>
      <c r="F38" s="1"/>
      <c r="G38" s="1"/>
      <c r="H38" s="1"/>
      <c r="I38" s="1">
        <v>0</v>
      </c>
      <c r="J38" s="1"/>
      <c r="K38" s="1">
        <v>0</v>
      </c>
    </row>
    <row r="39" spans="1:11" hidden="1" x14ac:dyDescent="0.25">
      <c r="A39" s="7" t="s">
        <v>1026</v>
      </c>
      <c r="B39" s="1">
        <v>0</v>
      </c>
      <c r="C39" s="1">
        <v>0</v>
      </c>
      <c r="D39" s="1">
        <v>0</v>
      </c>
      <c r="E39" s="1">
        <v>0</v>
      </c>
      <c r="F39" s="1">
        <v>0</v>
      </c>
      <c r="G39" s="1">
        <v>0</v>
      </c>
      <c r="H39" s="1">
        <v>0</v>
      </c>
      <c r="I39" s="1"/>
      <c r="J39" s="1"/>
      <c r="K39" s="1"/>
    </row>
    <row r="40" spans="1:11" x14ac:dyDescent="0.25">
      <c r="A40" s="6" t="s">
        <v>241</v>
      </c>
      <c r="B40" s="1">
        <v>0</v>
      </c>
      <c r="C40" s="1">
        <v>326202065</v>
      </c>
      <c r="D40" s="1">
        <v>312827321</v>
      </c>
      <c r="E40" s="1">
        <v>639029386</v>
      </c>
      <c r="F40" s="1">
        <v>174512</v>
      </c>
      <c r="G40" s="1">
        <v>0</v>
      </c>
      <c r="H40" s="1">
        <v>174512</v>
      </c>
      <c r="I40" s="1">
        <v>0</v>
      </c>
      <c r="J40" s="1">
        <v>352496871</v>
      </c>
      <c r="K40" s="1">
        <v>352496871</v>
      </c>
    </row>
    <row r="41" spans="1:11" x14ac:dyDescent="0.25">
      <c r="A41" s="7" t="s">
        <v>307</v>
      </c>
      <c r="B41" s="1">
        <v>0</v>
      </c>
      <c r="C41" s="1">
        <v>1812239</v>
      </c>
      <c r="D41" s="1">
        <v>4299624</v>
      </c>
      <c r="E41" s="1">
        <v>6111863</v>
      </c>
      <c r="F41" s="1">
        <v>0</v>
      </c>
      <c r="G41" s="1">
        <v>0</v>
      </c>
      <c r="H41" s="1">
        <v>0</v>
      </c>
      <c r="I41" s="1">
        <v>0</v>
      </c>
      <c r="J41" s="1">
        <v>2966088</v>
      </c>
      <c r="K41" s="1">
        <v>2966088</v>
      </c>
    </row>
    <row r="42" spans="1:11" x14ac:dyDescent="0.25">
      <c r="A42" s="7" t="s">
        <v>308</v>
      </c>
      <c r="B42" s="1">
        <v>0</v>
      </c>
      <c r="C42" s="1">
        <v>29711340</v>
      </c>
      <c r="D42" s="1">
        <v>34645388</v>
      </c>
      <c r="E42" s="1">
        <v>64356728</v>
      </c>
      <c r="F42" s="1">
        <v>0</v>
      </c>
      <c r="G42" s="1">
        <v>0</v>
      </c>
      <c r="H42" s="1">
        <v>0</v>
      </c>
      <c r="I42" s="1">
        <v>0</v>
      </c>
      <c r="J42" s="1">
        <v>38970368</v>
      </c>
      <c r="K42" s="1">
        <v>38970368</v>
      </c>
    </row>
    <row r="43" spans="1:11" x14ac:dyDescent="0.25">
      <c r="A43" s="174" t="s">
        <v>1027</v>
      </c>
      <c r="B43" s="1">
        <v>0</v>
      </c>
      <c r="C43" s="1"/>
      <c r="D43" s="1"/>
      <c r="E43" s="1">
        <v>0</v>
      </c>
      <c r="F43" s="1">
        <v>0</v>
      </c>
      <c r="G43" s="1"/>
      <c r="H43" s="1">
        <v>0</v>
      </c>
      <c r="I43" s="1"/>
      <c r="J43" s="1">
        <v>1020000</v>
      </c>
      <c r="K43" s="1">
        <v>1020000</v>
      </c>
    </row>
    <row r="44" spans="1:11" x14ac:dyDescent="0.25">
      <c r="A44" s="174" t="s">
        <v>1028</v>
      </c>
      <c r="B44" s="1">
        <v>0</v>
      </c>
      <c r="C44" s="1"/>
      <c r="D44" s="1"/>
      <c r="E44" s="1">
        <v>0</v>
      </c>
      <c r="F44" s="1">
        <v>0</v>
      </c>
      <c r="G44" s="1"/>
      <c r="H44" s="1">
        <v>0</v>
      </c>
      <c r="I44" s="1"/>
      <c r="J44" s="1">
        <v>4716000</v>
      </c>
      <c r="K44" s="1">
        <v>4716000</v>
      </c>
    </row>
    <row r="45" spans="1:11" x14ac:dyDescent="0.25">
      <c r="A45" s="174" t="s">
        <v>1029</v>
      </c>
      <c r="B45" s="1"/>
      <c r="C45" s="1">
        <v>0</v>
      </c>
      <c r="D45" s="1">
        <v>0</v>
      </c>
      <c r="E45" s="1">
        <v>0</v>
      </c>
      <c r="F45" s="1"/>
      <c r="G45" s="1">
        <v>0</v>
      </c>
      <c r="H45" s="1">
        <v>0</v>
      </c>
      <c r="I45" s="1"/>
      <c r="J45" s="1"/>
      <c r="K45" s="1"/>
    </row>
    <row r="46" spans="1:11" x14ac:dyDescent="0.25">
      <c r="A46" s="174" t="s">
        <v>1030</v>
      </c>
      <c r="B46" s="1">
        <v>0</v>
      </c>
      <c r="C46" s="1">
        <v>8651561</v>
      </c>
      <c r="D46" s="1">
        <v>8841453</v>
      </c>
      <c r="E46" s="1">
        <v>17493014</v>
      </c>
      <c r="F46" s="1">
        <v>0</v>
      </c>
      <c r="G46" s="1">
        <v>0</v>
      </c>
      <c r="H46" s="1">
        <v>0</v>
      </c>
      <c r="I46" s="1">
        <v>0</v>
      </c>
      <c r="J46" s="1">
        <v>12253200</v>
      </c>
      <c r="K46" s="1">
        <v>12253200</v>
      </c>
    </row>
    <row r="47" spans="1:11" x14ac:dyDescent="0.25">
      <c r="A47" s="174" t="s">
        <v>1031</v>
      </c>
      <c r="B47" s="1">
        <v>0</v>
      </c>
      <c r="C47" s="1">
        <v>286872</v>
      </c>
      <c r="D47" s="1">
        <v>286872</v>
      </c>
      <c r="E47" s="1">
        <v>573744</v>
      </c>
      <c r="F47" s="1">
        <v>0</v>
      </c>
      <c r="G47" s="1">
        <v>0</v>
      </c>
      <c r="H47" s="1">
        <v>0</v>
      </c>
      <c r="I47" s="1"/>
      <c r="J47" s="1">
        <v>288000</v>
      </c>
      <c r="K47" s="1">
        <v>288000</v>
      </c>
    </row>
    <row r="48" spans="1:11" x14ac:dyDescent="0.25">
      <c r="A48" s="174" t="s">
        <v>1032</v>
      </c>
      <c r="B48" s="1"/>
      <c r="C48" s="1">
        <v>1019652</v>
      </c>
      <c r="D48" s="1">
        <v>1019652</v>
      </c>
      <c r="E48" s="1">
        <v>2039304</v>
      </c>
      <c r="F48" s="1"/>
      <c r="G48" s="1">
        <v>0</v>
      </c>
      <c r="H48" s="1">
        <v>0</v>
      </c>
      <c r="I48" s="1"/>
      <c r="J48" s="1"/>
      <c r="K48" s="1"/>
    </row>
    <row r="49" spans="1:11" x14ac:dyDescent="0.25">
      <c r="A49" s="174" t="s">
        <v>1033</v>
      </c>
      <c r="B49" s="1"/>
      <c r="C49" s="1">
        <v>4715772</v>
      </c>
      <c r="D49" s="1">
        <v>4715772</v>
      </c>
      <c r="E49" s="1">
        <v>9431544</v>
      </c>
      <c r="F49" s="1"/>
      <c r="G49" s="1">
        <v>0</v>
      </c>
      <c r="H49" s="1">
        <v>0</v>
      </c>
      <c r="I49" s="1"/>
      <c r="J49" s="1"/>
      <c r="K49" s="1"/>
    </row>
    <row r="50" spans="1:11" x14ac:dyDescent="0.25">
      <c r="A50" s="174" t="s">
        <v>1034</v>
      </c>
      <c r="B50" s="1">
        <v>0</v>
      </c>
      <c r="C50" s="1">
        <v>2589076</v>
      </c>
      <c r="D50" s="1">
        <v>2230502</v>
      </c>
      <c r="E50" s="1">
        <v>4819578</v>
      </c>
      <c r="F50" s="1">
        <v>0</v>
      </c>
      <c r="G50" s="1">
        <v>0</v>
      </c>
      <c r="H50" s="1">
        <v>0</v>
      </c>
      <c r="I50" s="1"/>
      <c r="J50" s="1">
        <v>2328000</v>
      </c>
      <c r="K50" s="1">
        <v>2328000</v>
      </c>
    </row>
    <row r="51" spans="1:11" x14ac:dyDescent="0.25">
      <c r="A51" s="174" t="s">
        <v>1035</v>
      </c>
      <c r="B51" s="1">
        <v>0</v>
      </c>
      <c r="C51" s="1">
        <v>123900</v>
      </c>
      <c r="D51" s="1">
        <v>333696</v>
      </c>
      <c r="E51" s="1">
        <v>457596</v>
      </c>
      <c r="F51" s="1">
        <v>0</v>
      </c>
      <c r="G51" s="1">
        <v>0</v>
      </c>
      <c r="H51" s="1">
        <v>0</v>
      </c>
      <c r="I51" s="1"/>
      <c r="J51" s="1">
        <v>126000</v>
      </c>
      <c r="K51" s="1">
        <v>126000</v>
      </c>
    </row>
    <row r="52" spans="1:11" x14ac:dyDescent="0.25">
      <c r="A52" s="174" t="s">
        <v>1036</v>
      </c>
      <c r="B52" s="1">
        <v>0</v>
      </c>
      <c r="C52" s="1">
        <v>11474264</v>
      </c>
      <c r="D52" s="1">
        <v>15999769</v>
      </c>
      <c r="E52" s="1">
        <v>27474033</v>
      </c>
      <c r="F52" s="1">
        <v>0</v>
      </c>
      <c r="G52" s="1">
        <v>0</v>
      </c>
      <c r="H52" s="1">
        <v>0</v>
      </c>
      <c r="I52" s="1"/>
      <c r="J52" s="1">
        <v>16059176</v>
      </c>
      <c r="K52" s="1">
        <v>16059176</v>
      </c>
    </row>
    <row r="53" spans="1:11" x14ac:dyDescent="0.25">
      <c r="A53" s="174" t="s">
        <v>1037</v>
      </c>
      <c r="B53" s="1">
        <v>0</v>
      </c>
      <c r="C53" s="1">
        <v>625987</v>
      </c>
      <c r="D53" s="1">
        <v>980663</v>
      </c>
      <c r="E53" s="1">
        <v>1606650</v>
      </c>
      <c r="F53" s="1">
        <v>0</v>
      </c>
      <c r="G53" s="1">
        <v>0</v>
      </c>
      <c r="H53" s="1">
        <v>0</v>
      </c>
      <c r="I53" s="1">
        <v>0</v>
      </c>
      <c r="J53" s="1">
        <v>1957992</v>
      </c>
      <c r="K53" s="1">
        <v>1957992</v>
      </c>
    </row>
    <row r="54" spans="1:11" x14ac:dyDescent="0.25">
      <c r="A54" s="174" t="s">
        <v>1038</v>
      </c>
      <c r="B54" s="1">
        <v>0</v>
      </c>
      <c r="C54" s="1">
        <v>205920</v>
      </c>
      <c r="D54" s="1">
        <v>217145</v>
      </c>
      <c r="E54" s="1">
        <v>423065</v>
      </c>
      <c r="F54" s="1">
        <v>0</v>
      </c>
      <c r="G54" s="1">
        <v>0</v>
      </c>
      <c r="H54" s="1">
        <v>0</v>
      </c>
      <c r="I54" s="1"/>
      <c r="J54" s="1">
        <v>204000</v>
      </c>
      <c r="K54" s="1">
        <v>204000</v>
      </c>
    </row>
    <row r="55" spans="1:11" x14ac:dyDescent="0.25">
      <c r="A55" s="174" t="s">
        <v>1039</v>
      </c>
      <c r="B55" s="1">
        <v>0</v>
      </c>
      <c r="C55" s="1">
        <v>18336</v>
      </c>
      <c r="D55" s="1">
        <v>19864</v>
      </c>
      <c r="E55" s="1">
        <v>38200</v>
      </c>
      <c r="F55" s="1">
        <v>0</v>
      </c>
      <c r="G55" s="1">
        <v>0</v>
      </c>
      <c r="H55" s="1">
        <v>0</v>
      </c>
      <c r="I55" s="1"/>
      <c r="J55" s="1">
        <v>18000</v>
      </c>
      <c r="K55" s="1">
        <v>18000</v>
      </c>
    </row>
    <row r="56" spans="1:11" x14ac:dyDescent="0.25">
      <c r="A56" s="174" t="s">
        <v>1040</v>
      </c>
      <c r="B56" s="1">
        <v>0</v>
      </c>
      <c r="C56" s="1">
        <v>0</v>
      </c>
      <c r="D56" s="1">
        <v>0</v>
      </c>
      <c r="E56" s="1">
        <v>0</v>
      </c>
      <c r="F56" s="1">
        <v>0</v>
      </c>
      <c r="G56" s="1">
        <v>0</v>
      </c>
      <c r="H56" s="1">
        <v>0</v>
      </c>
      <c r="I56" s="1">
        <v>0</v>
      </c>
      <c r="J56" s="1"/>
      <c r="K56" s="1">
        <v>0</v>
      </c>
    </row>
    <row r="57" spans="1:11" x14ac:dyDescent="0.25">
      <c r="A57" s="7" t="s">
        <v>306</v>
      </c>
      <c r="B57" s="1">
        <v>0</v>
      </c>
      <c r="C57" s="1">
        <v>231102582</v>
      </c>
      <c r="D57" s="1">
        <v>230846283</v>
      </c>
      <c r="E57" s="1">
        <v>461948865</v>
      </c>
      <c r="F57" s="1">
        <v>0</v>
      </c>
      <c r="G57" s="1">
        <v>0</v>
      </c>
      <c r="H57" s="1">
        <v>0</v>
      </c>
      <c r="I57" s="1">
        <v>0</v>
      </c>
      <c r="J57" s="1">
        <v>252209220</v>
      </c>
      <c r="K57" s="1">
        <v>252209220</v>
      </c>
    </row>
    <row r="58" spans="1:11" x14ac:dyDescent="0.25">
      <c r="A58" s="7" t="s">
        <v>309</v>
      </c>
      <c r="B58" s="1">
        <v>0</v>
      </c>
      <c r="C58" s="1">
        <v>1655782</v>
      </c>
      <c r="D58" s="1">
        <v>406088</v>
      </c>
      <c r="E58" s="1">
        <v>2061870</v>
      </c>
      <c r="F58" s="1">
        <v>0</v>
      </c>
      <c r="G58" s="1">
        <v>0</v>
      </c>
      <c r="H58" s="1">
        <v>0</v>
      </c>
      <c r="I58" s="1">
        <v>0</v>
      </c>
      <c r="J58" s="1">
        <v>2455812</v>
      </c>
      <c r="K58" s="1">
        <v>2455812</v>
      </c>
    </row>
    <row r="59" spans="1:11" x14ac:dyDescent="0.25">
      <c r="A59" s="7" t="s">
        <v>310</v>
      </c>
      <c r="B59" s="1">
        <v>0</v>
      </c>
      <c r="C59" s="1">
        <v>376819</v>
      </c>
      <c r="D59" s="1">
        <v>696289</v>
      </c>
      <c r="E59" s="1">
        <v>1073108</v>
      </c>
      <c r="F59" s="1">
        <v>0</v>
      </c>
      <c r="G59" s="1">
        <v>0</v>
      </c>
      <c r="H59" s="1">
        <v>0</v>
      </c>
      <c r="I59" s="1">
        <v>0</v>
      </c>
      <c r="J59" s="1">
        <v>1004180</v>
      </c>
      <c r="K59" s="1">
        <v>1004180</v>
      </c>
    </row>
    <row r="60" spans="1:11" x14ac:dyDescent="0.25">
      <c r="A60" s="7" t="s">
        <v>311</v>
      </c>
      <c r="B60" s="1">
        <v>0</v>
      </c>
      <c r="C60" s="1">
        <v>378219</v>
      </c>
      <c r="D60" s="1">
        <v>110198</v>
      </c>
      <c r="E60" s="1">
        <v>488417</v>
      </c>
      <c r="F60" s="1">
        <v>0</v>
      </c>
      <c r="G60" s="1">
        <v>0</v>
      </c>
      <c r="H60" s="1">
        <v>0</v>
      </c>
      <c r="I60" s="1">
        <v>0</v>
      </c>
      <c r="J60" s="1">
        <v>1372896</v>
      </c>
      <c r="K60" s="1">
        <v>1372896</v>
      </c>
    </row>
    <row r="61" spans="1:11" x14ac:dyDescent="0.25">
      <c r="A61" s="7" t="s">
        <v>312</v>
      </c>
      <c r="B61" s="1">
        <v>0</v>
      </c>
      <c r="C61" s="1">
        <v>1111230</v>
      </c>
      <c r="D61" s="1">
        <v>908211</v>
      </c>
      <c r="E61" s="1">
        <v>2019441</v>
      </c>
      <c r="F61" s="1">
        <v>0</v>
      </c>
      <c r="G61" s="1">
        <v>0</v>
      </c>
      <c r="H61" s="1">
        <v>0</v>
      </c>
      <c r="I61" s="1">
        <v>0</v>
      </c>
      <c r="J61" s="1">
        <v>970085</v>
      </c>
      <c r="K61" s="1">
        <v>970085</v>
      </c>
    </row>
    <row r="62" spans="1:11" x14ac:dyDescent="0.25">
      <c r="A62" s="7" t="s">
        <v>313</v>
      </c>
      <c r="B62" s="1">
        <v>0</v>
      </c>
      <c r="C62" s="1">
        <v>305442</v>
      </c>
      <c r="D62" s="1">
        <v>261083</v>
      </c>
      <c r="E62" s="1">
        <v>566525</v>
      </c>
      <c r="F62" s="1">
        <v>0</v>
      </c>
      <c r="G62" s="1">
        <v>0</v>
      </c>
      <c r="H62" s="1">
        <v>0</v>
      </c>
      <c r="I62" s="1">
        <v>0</v>
      </c>
      <c r="J62" s="1">
        <v>300012</v>
      </c>
      <c r="K62" s="1">
        <v>300012</v>
      </c>
    </row>
    <row r="63" spans="1:11" x14ac:dyDescent="0.25">
      <c r="A63" s="7" t="s">
        <v>314</v>
      </c>
      <c r="B63" s="1">
        <v>0</v>
      </c>
      <c r="C63" s="1">
        <v>819000</v>
      </c>
      <c r="D63" s="1">
        <v>0</v>
      </c>
      <c r="E63" s="1">
        <v>819000</v>
      </c>
      <c r="F63" s="1">
        <v>0</v>
      </c>
      <c r="G63" s="1">
        <v>0</v>
      </c>
      <c r="H63" s="1">
        <v>0</v>
      </c>
      <c r="I63" s="1">
        <v>0</v>
      </c>
      <c r="J63" s="1"/>
      <c r="K63" s="1">
        <v>0</v>
      </c>
    </row>
    <row r="64" spans="1:11" x14ac:dyDescent="0.25">
      <c r="A64" s="7" t="s">
        <v>315</v>
      </c>
      <c r="B64" s="1">
        <v>0</v>
      </c>
      <c r="C64" s="1">
        <v>2389285</v>
      </c>
      <c r="D64" s="1">
        <v>2679804</v>
      </c>
      <c r="E64" s="1">
        <v>5069089</v>
      </c>
      <c r="F64" s="1">
        <v>0</v>
      </c>
      <c r="G64" s="1">
        <v>0</v>
      </c>
      <c r="H64" s="1">
        <v>0</v>
      </c>
      <c r="I64" s="1">
        <v>0</v>
      </c>
      <c r="J64" s="1">
        <v>3517164</v>
      </c>
      <c r="K64" s="1">
        <v>3517164</v>
      </c>
    </row>
    <row r="65" spans="1:11" hidden="1" x14ac:dyDescent="0.25">
      <c r="A65" s="174" t="s">
        <v>1046</v>
      </c>
      <c r="B65" s="1">
        <v>0</v>
      </c>
      <c r="C65" s="1">
        <v>15530</v>
      </c>
      <c r="D65" s="1">
        <v>930</v>
      </c>
      <c r="E65" s="1">
        <v>16460</v>
      </c>
      <c r="F65" s="1">
        <v>0</v>
      </c>
      <c r="G65" s="1">
        <v>0</v>
      </c>
      <c r="H65" s="1">
        <v>0</v>
      </c>
      <c r="I65" s="1"/>
      <c r="J65" s="1">
        <v>23604</v>
      </c>
      <c r="K65" s="1">
        <v>23604</v>
      </c>
    </row>
    <row r="66" spans="1:11" hidden="1" x14ac:dyDescent="0.25">
      <c r="A66" s="174" t="s">
        <v>1047</v>
      </c>
      <c r="B66" s="1">
        <v>0</v>
      </c>
      <c r="C66" s="1">
        <v>0</v>
      </c>
      <c r="D66" s="1">
        <v>0</v>
      </c>
      <c r="E66" s="1">
        <v>0</v>
      </c>
      <c r="F66" s="1">
        <v>0</v>
      </c>
      <c r="G66" s="1">
        <v>0</v>
      </c>
      <c r="H66" s="1">
        <v>0</v>
      </c>
      <c r="I66" s="1"/>
      <c r="J66" s="1"/>
      <c r="K66" s="1"/>
    </row>
    <row r="67" spans="1:11" x14ac:dyDescent="0.25">
      <c r="A67" s="174" t="s">
        <v>1048</v>
      </c>
      <c r="B67" s="1">
        <v>0</v>
      </c>
      <c r="C67" s="1">
        <v>81000</v>
      </c>
      <c r="D67" s="1">
        <v>14400</v>
      </c>
      <c r="E67" s="1">
        <v>95400</v>
      </c>
      <c r="F67" s="1">
        <v>0</v>
      </c>
      <c r="G67" s="1">
        <v>0</v>
      </c>
      <c r="H67" s="1">
        <v>0</v>
      </c>
      <c r="I67" s="1">
        <v>0</v>
      </c>
      <c r="J67" s="1">
        <v>86400</v>
      </c>
      <c r="K67" s="1">
        <v>86400</v>
      </c>
    </row>
    <row r="68" spans="1:11" x14ac:dyDescent="0.25">
      <c r="A68" s="174" t="s">
        <v>1049</v>
      </c>
      <c r="B68" s="1">
        <v>0</v>
      </c>
      <c r="C68" s="1">
        <v>738705</v>
      </c>
      <c r="D68" s="1">
        <v>739336</v>
      </c>
      <c r="E68" s="1">
        <v>1478041</v>
      </c>
      <c r="F68" s="1">
        <v>0</v>
      </c>
      <c r="G68" s="1">
        <v>0</v>
      </c>
      <c r="H68" s="1">
        <v>0</v>
      </c>
      <c r="I68" s="1">
        <v>0</v>
      </c>
      <c r="J68" s="1">
        <v>768000</v>
      </c>
      <c r="K68" s="1">
        <v>768000</v>
      </c>
    </row>
    <row r="69" spans="1:11" x14ac:dyDescent="0.25">
      <c r="A69" s="174" t="s">
        <v>1050</v>
      </c>
      <c r="B69" s="1">
        <v>0</v>
      </c>
      <c r="C69" s="1">
        <v>451114</v>
      </c>
      <c r="D69" s="1">
        <v>639990</v>
      </c>
      <c r="E69" s="1">
        <v>1091104</v>
      </c>
      <c r="F69" s="1">
        <v>0</v>
      </c>
      <c r="G69" s="1">
        <v>0</v>
      </c>
      <c r="H69" s="1">
        <v>0</v>
      </c>
      <c r="I69" s="1">
        <v>0</v>
      </c>
      <c r="J69" s="1">
        <v>693336</v>
      </c>
      <c r="K69" s="1">
        <v>693336</v>
      </c>
    </row>
    <row r="70" spans="1:11" x14ac:dyDescent="0.25">
      <c r="A70" s="174" t="s">
        <v>1051</v>
      </c>
      <c r="B70" s="1">
        <v>0</v>
      </c>
      <c r="C70" s="1">
        <v>60000</v>
      </c>
      <c r="D70" s="1">
        <v>0</v>
      </c>
      <c r="E70" s="1">
        <v>60000</v>
      </c>
      <c r="F70" s="1">
        <v>0</v>
      </c>
      <c r="G70" s="1">
        <v>0</v>
      </c>
      <c r="H70" s="1">
        <v>0</v>
      </c>
      <c r="I70" s="1">
        <v>0</v>
      </c>
      <c r="J70" s="1"/>
      <c r="K70" s="1">
        <v>0</v>
      </c>
    </row>
    <row r="71" spans="1:11" x14ac:dyDescent="0.25">
      <c r="A71" s="174" t="s">
        <v>1052</v>
      </c>
      <c r="B71" s="1"/>
      <c r="C71" s="1"/>
      <c r="D71" s="1"/>
      <c r="E71" s="1"/>
      <c r="F71" s="1"/>
      <c r="G71" s="1"/>
      <c r="H71" s="1"/>
      <c r="I71" s="1">
        <v>0</v>
      </c>
      <c r="J71" s="1"/>
      <c r="K71" s="1">
        <v>0</v>
      </c>
    </row>
    <row r="72" spans="1:11" x14ac:dyDescent="0.25">
      <c r="A72" s="174" t="s">
        <v>1053</v>
      </c>
      <c r="B72" s="1">
        <v>0</v>
      </c>
      <c r="C72" s="1">
        <v>277053</v>
      </c>
      <c r="D72" s="1">
        <v>671642</v>
      </c>
      <c r="E72" s="1">
        <v>948695</v>
      </c>
      <c r="F72" s="1">
        <v>0</v>
      </c>
      <c r="G72" s="1">
        <v>0</v>
      </c>
      <c r="H72" s="1">
        <v>0</v>
      </c>
      <c r="I72" s="1">
        <v>0</v>
      </c>
      <c r="J72" s="1">
        <v>999996</v>
      </c>
      <c r="K72" s="1">
        <v>999996</v>
      </c>
    </row>
    <row r="73" spans="1:11" x14ac:dyDescent="0.25">
      <c r="A73" s="174" t="s">
        <v>1054</v>
      </c>
      <c r="B73" s="1">
        <v>0</v>
      </c>
      <c r="C73" s="1">
        <v>409365</v>
      </c>
      <c r="D73" s="1">
        <v>275365</v>
      </c>
      <c r="E73" s="1">
        <v>684730</v>
      </c>
      <c r="F73" s="1">
        <v>0</v>
      </c>
      <c r="G73" s="1">
        <v>0</v>
      </c>
      <c r="H73" s="1">
        <v>0</v>
      </c>
      <c r="I73" s="1">
        <v>0</v>
      </c>
      <c r="J73" s="1">
        <v>390000</v>
      </c>
      <c r="K73" s="1">
        <v>390000</v>
      </c>
    </row>
    <row r="74" spans="1:11" x14ac:dyDescent="0.25">
      <c r="A74" s="174" t="s">
        <v>1055</v>
      </c>
      <c r="B74" s="1">
        <v>0</v>
      </c>
      <c r="C74" s="1">
        <v>3085</v>
      </c>
      <c r="D74" s="1">
        <v>21240</v>
      </c>
      <c r="E74" s="1">
        <v>24325</v>
      </c>
      <c r="F74" s="1">
        <v>0</v>
      </c>
      <c r="G74" s="1">
        <v>0</v>
      </c>
      <c r="H74" s="1">
        <v>0</v>
      </c>
      <c r="I74" s="1">
        <v>0</v>
      </c>
      <c r="J74" s="1">
        <v>180000</v>
      </c>
      <c r="K74" s="1">
        <v>180000</v>
      </c>
    </row>
    <row r="75" spans="1:11" x14ac:dyDescent="0.25">
      <c r="A75" s="174" t="s">
        <v>1056</v>
      </c>
      <c r="B75" s="1">
        <v>0</v>
      </c>
      <c r="C75" s="1">
        <v>59313</v>
      </c>
      <c r="D75" s="1">
        <v>17455</v>
      </c>
      <c r="E75" s="1">
        <v>76768</v>
      </c>
      <c r="F75" s="1">
        <v>0</v>
      </c>
      <c r="G75" s="1">
        <v>0</v>
      </c>
      <c r="H75" s="1">
        <v>0</v>
      </c>
      <c r="I75" s="1"/>
      <c r="J75" s="1">
        <v>75828</v>
      </c>
      <c r="K75" s="1">
        <v>75828</v>
      </c>
    </row>
    <row r="76" spans="1:11" x14ac:dyDescent="0.25">
      <c r="A76" s="174" t="s">
        <v>1057</v>
      </c>
      <c r="B76" s="1">
        <v>0</v>
      </c>
      <c r="C76" s="1">
        <v>294120</v>
      </c>
      <c r="D76" s="1">
        <v>299446</v>
      </c>
      <c r="E76" s="1">
        <v>593566</v>
      </c>
      <c r="F76" s="1">
        <v>0</v>
      </c>
      <c r="G76" s="1">
        <v>0</v>
      </c>
      <c r="H76" s="1">
        <v>0</v>
      </c>
      <c r="I76" s="1"/>
      <c r="J76" s="1">
        <v>300000</v>
      </c>
      <c r="K76" s="1">
        <v>300000</v>
      </c>
    </row>
    <row r="77" spans="1:11" x14ac:dyDescent="0.25">
      <c r="A77" s="7" t="s">
        <v>316</v>
      </c>
      <c r="B77" s="1">
        <v>0</v>
      </c>
      <c r="C77" s="1">
        <v>5291995</v>
      </c>
      <c r="D77" s="1">
        <v>4320465</v>
      </c>
      <c r="E77" s="1">
        <v>9612460</v>
      </c>
      <c r="F77" s="1">
        <v>0</v>
      </c>
      <c r="G77" s="1">
        <v>0</v>
      </c>
      <c r="H77" s="1">
        <v>0</v>
      </c>
      <c r="I77" s="1">
        <v>0</v>
      </c>
      <c r="J77" s="1">
        <v>5420052</v>
      </c>
      <c r="K77" s="1">
        <v>5420052</v>
      </c>
    </row>
    <row r="78" spans="1:11" x14ac:dyDescent="0.25">
      <c r="A78" s="7" t="s">
        <v>317</v>
      </c>
      <c r="B78" s="1">
        <v>0</v>
      </c>
      <c r="C78" s="1">
        <v>91991</v>
      </c>
      <c r="D78" s="1">
        <v>10112</v>
      </c>
      <c r="E78" s="1">
        <v>102103</v>
      </c>
      <c r="F78" s="1">
        <v>0</v>
      </c>
      <c r="G78" s="1">
        <v>0</v>
      </c>
      <c r="H78" s="1">
        <v>0</v>
      </c>
      <c r="I78" s="1">
        <v>0</v>
      </c>
      <c r="J78" s="1">
        <v>122952</v>
      </c>
      <c r="K78" s="1">
        <v>122952</v>
      </c>
    </row>
    <row r="79" spans="1:11" x14ac:dyDescent="0.25">
      <c r="A79" s="7" t="s">
        <v>318</v>
      </c>
      <c r="B79" s="1">
        <v>0</v>
      </c>
      <c r="C79" s="1">
        <v>1670896</v>
      </c>
      <c r="D79" s="1">
        <v>163451</v>
      </c>
      <c r="E79" s="1">
        <v>1834347</v>
      </c>
      <c r="F79" s="1">
        <v>0</v>
      </c>
      <c r="G79" s="1">
        <v>0</v>
      </c>
      <c r="H79" s="1">
        <v>0</v>
      </c>
      <c r="I79" s="1">
        <v>0</v>
      </c>
      <c r="J79" s="1">
        <v>1943394</v>
      </c>
      <c r="K79" s="1">
        <v>1943394</v>
      </c>
    </row>
    <row r="80" spans="1:11" x14ac:dyDescent="0.25">
      <c r="A80" s="7" t="s">
        <v>319</v>
      </c>
      <c r="B80" s="1">
        <v>0</v>
      </c>
      <c r="C80" s="1">
        <v>8997873</v>
      </c>
      <c r="D80" s="1">
        <v>8958367</v>
      </c>
      <c r="E80" s="1">
        <v>17956240</v>
      </c>
      <c r="F80" s="1">
        <v>0</v>
      </c>
      <c r="G80" s="1">
        <v>0</v>
      </c>
      <c r="H80" s="1">
        <v>0</v>
      </c>
      <c r="I80" s="1">
        <v>0</v>
      </c>
      <c r="J80" s="1">
        <v>8338104</v>
      </c>
      <c r="K80" s="1">
        <v>8338104</v>
      </c>
    </row>
    <row r="81" spans="1:11" x14ac:dyDescent="0.25">
      <c r="A81" s="174" t="s">
        <v>1058</v>
      </c>
      <c r="B81" s="1">
        <v>0</v>
      </c>
      <c r="C81" s="1">
        <v>2400</v>
      </c>
      <c r="D81" s="1">
        <v>1000</v>
      </c>
      <c r="E81" s="1">
        <v>3400</v>
      </c>
      <c r="F81" s="1">
        <v>0</v>
      </c>
      <c r="G81" s="1">
        <v>0</v>
      </c>
      <c r="H81" s="1">
        <v>0</v>
      </c>
      <c r="I81" s="1">
        <v>0</v>
      </c>
      <c r="J81" s="1">
        <v>6000</v>
      </c>
      <c r="K81" s="1">
        <v>6000</v>
      </c>
    </row>
    <row r="82" spans="1:11" x14ac:dyDescent="0.25">
      <c r="A82" s="174" t="s">
        <v>1059</v>
      </c>
      <c r="B82" s="1">
        <v>0</v>
      </c>
      <c r="C82" s="1">
        <v>0</v>
      </c>
      <c r="D82" s="1">
        <v>142190</v>
      </c>
      <c r="E82" s="1">
        <v>142190</v>
      </c>
      <c r="F82" s="1">
        <v>0</v>
      </c>
      <c r="G82" s="1">
        <v>0</v>
      </c>
      <c r="H82" s="1">
        <v>0</v>
      </c>
      <c r="I82" s="1"/>
      <c r="J82" s="1"/>
      <c r="K82" s="1"/>
    </row>
    <row r="83" spans="1:11" x14ac:dyDescent="0.25">
      <c r="A83" s="174" t="s">
        <v>1060</v>
      </c>
      <c r="B83" s="1">
        <v>0</v>
      </c>
      <c r="C83" s="1">
        <v>4771285</v>
      </c>
      <c r="D83" s="1">
        <v>4619039</v>
      </c>
      <c r="E83" s="1">
        <v>9390324</v>
      </c>
      <c r="F83" s="1">
        <v>0</v>
      </c>
      <c r="G83" s="1">
        <v>0</v>
      </c>
      <c r="H83" s="1">
        <v>0</v>
      </c>
      <c r="I83" s="1">
        <v>0</v>
      </c>
      <c r="J83" s="1">
        <v>772308</v>
      </c>
      <c r="K83" s="1">
        <v>772308</v>
      </c>
    </row>
    <row r="84" spans="1:11" x14ac:dyDescent="0.25">
      <c r="A84" s="174" t="s">
        <v>1061</v>
      </c>
      <c r="B84" s="1">
        <v>0</v>
      </c>
      <c r="C84" s="1">
        <v>1237966</v>
      </c>
      <c r="D84" s="1">
        <v>1021443</v>
      </c>
      <c r="E84" s="1">
        <v>2259409</v>
      </c>
      <c r="F84" s="1">
        <v>0</v>
      </c>
      <c r="G84" s="1">
        <v>0</v>
      </c>
      <c r="H84" s="1">
        <v>0</v>
      </c>
      <c r="I84" s="1">
        <v>0</v>
      </c>
      <c r="J84" s="1">
        <v>4143696</v>
      </c>
      <c r="K84" s="1">
        <v>4143696</v>
      </c>
    </row>
    <row r="85" spans="1:11" x14ac:dyDescent="0.25">
      <c r="A85" s="174" t="s">
        <v>1062</v>
      </c>
      <c r="B85" s="1">
        <v>0</v>
      </c>
      <c r="C85" s="1">
        <v>2126257</v>
      </c>
      <c r="D85" s="1">
        <v>2031589</v>
      </c>
      <c r="E85" s="1">
        <v>4157846</v>
      </c>
      <c r="F85" s="1">
        <v>0</v>
      </c>
      <c r="G85" s="1">
        <v>0</v>
      </c>
      <c r="H85" s="1">
        <v>0</v>
      </c>
      <c r="I85" s="1">
        <v>0</v>
      </c>
      <c r="J85" s="1">
        <v>2478000</v>
      </c>
      <c r="K85" s="1">
        <v>2478000</v>
      </c>
    </row>
    <row r="86" spans="1:11" x14ac:dyDescent="0.25">
      <c r="A86" s="174" t="s">
        <v>1063</v>
      </c>
      <c r="B86" s="1">
        <v>0</v>
      </c>
      <c r="C86" s="1">
        <v>859965</v>
      </c>
      <c r="D86" s="1">
        <v>343710</v>
      </c>
      <c r="E86" s="1">
        <v>1203675</v>
      </c>
      <c r="F86" s="1">
        <v>0</v>
      </c>
      <c r="G86" s="1">
        <v>0</v>
      </c>
      <c r="H86" s="1">
        <v>0</v>
      </c>
      <c r="I86" s="1">
        <v>0</v>
      </c>
      <c r="J86" s="1">
        <v>938100</v>
      </c>
      <c r="K86" s="1">
        <v>938100</v>
      </c>
    </row>
    <row r="87" spans="1:11" x14ac:dyDescent="0.25">
      <c r="A87" s="174" t="s">
        <v>1064</v>
      </c>
      <c r="B87" s="1"/>
      <c r="C87" s="1">
        <v>0</v>
      </c>
      <c r="D87" s="1">
        <v>799396</v>
      </c>
      <c r="E87" s="1">
        <v>799396</v>
      </c>
      <c r="F87" s="1"/>
      <c r="G87" s="1"/>
      <c r="H87" s="1"/>
      <c r="I87" s="1"/>
      <c r="J87" s="1"/>
      <c r="K87" s="1"/>
    </row>
    <row r="88" spans="1:11" x14ac:dyDescent="0.25">
      <c r="A88" s="7" t="s">
        <v>320</v>
      </c>
      <c r="B88" s="1">
        <v>0</v>
      </c>
      <c r="C88" s="1">
        <v>11987160</v>
      </c>
      <c r="D88" s="1">
        <v>822747</v>
      </c>
      <c r="E88" s="1">
        <v>12809907</v>
      </c>
      <c r="F88" s="1">
        <v>0</v>
      </c>
      <c r="G88" s="1">
        <v>0</v>
      </c>
      <c r="H88" s="1">
        <v>0</v>
      </c>
      <c r="I88" s="1">
        <v>0</v>
      </c>
      <c r="J88" s="1">
        <v>889852</v>
      </c>
      <c r="K88" s="1">
        <v>889852</v>
      </c>
    </row>
    <row r="89" spans="1:11" x14ac:dyDescent="0.25">
      <c r="A89" s="7" t="s">
        <v>321</v>
      </c>
      <c r="B89" s="1">
        <v>0</v>
      </c>
      <c r="C89" s="1">
        <v>13146087</v>
      </c>
      <c r="D89" s="1">
        <v>13487824</v>
      </c>
      <c r="E89" s="1">
        <v>26633911</v>
      </c>
      <c r="F89" s="1">
        <v>0</v>
      </c>
      <c r="G89" s="1">
        <v>0</v>
      </c>
      <c r="H89" s="1">
        <v>0</v>
      </c>
      <c r="I89" s="1">
        <v>0</v>
      </c>
      <c r="J89" s="1">
        <v>16012460</v>
      </c>
      <c r="K89" s="1">
        <v>16012460</v>
      </c>
    </row>
    <row r="90" spans="1:11" x14ac:dyDescent="0.25">
      <c r="A90" s="7" t="s">
        <v>322</v>
      </c>
      <c r="B90" s="1">
        <v>0</v>
      </c>
      <c r="C90" s="1">
        <v>141440</v>
      </c>
      <c r="D90" s="1">
        <v>57250</v>
      </c>
      <c r="E90" s="1">
        <v>198690</v>
      </c>
      <c r="F90" s="1">
        <v>0</v>
      </c>
      <c r="G90" s="1">
        <v>0</v>
      </c>
      <c r="H90" s="1">
        <v>0</v>
      </c>
      <c r="I90" s="1">
        <v>0</v>
      </c>
      <c r="J90" s="1">
        <v>201780</v>
      </c>
      <c r="K90" s="1">
        <v>201780</v>
      </c>
    </row>
    <row r="91" spans="1:11" x14ac:dyDescent="0.25">
      <c r="A91" s="7" t="s">
        <v>323</v>
      </c>
      <c r="B91" s="1">
        <v>0</v>
      </c>
      <c r="C91" s="1">
        <v>15212685</v>
      </c>
      <c r="D91" s="1">
        <v>10154137</v>
      </c>
      <c r="E91" s="1">
        <v>25366822</v>
      </c>
      <c r="F91" s="1">
        <v>174512</v>
      </c>
      <c r="G91" s="1">
        <v>0</v>
      </c>
      <c r="H91" s="1">
        <v>174512</v>
      </c>
      <c r="I91" s="1">
        <v>0</v>
      </c>
      <c r="J91" s="1">
        <v>15802452</v>
      </c>
      <c r="K91" s="1">
        <v>15802452</v>
      </c>
    </row>
    <row r="92" spans="1:11" x14ac:dyDescent="0.25">
      <c r="A92" s="6" t="s">
        <v>172</v>
      </c>
      <c r="B92" s="1">
        <v>0</v>
      </c>
      <c r="C92" s="1">
        <v>4652461</v>
      </c>
      <c r="D92" s="1">
        <v>149622</v>
      </c>
      <c r="E92" s="1">
        <v>4802083</v>
      </c>
      <c r="F92" s="1">
        <v>0</v>
      </c>
      <c r="G92" s="1">
        <v>0</v>
      </c>
      <c r="H92" s="1">
        <v>0</v>
      </c>
      <c r="I92" s="1"/>
      <c r="J92" s="1"/>
      <c r="K92" s="1"/>
    </row>
    <row r="93" spans="1:11" x14ac:dyDescent="0.25">
      <c r="A93" s="7" t="s">
        <v>1041</v>
      </c>
      <c r="B93" s="1">
        <v>0</v>
      </c>
      <c r="C93" s="1">
        <v>0</v>
      </c>
      <c r="D93" s="1">
        <v>0</v>
      </c>
      <c r="E93" s="1">
        <v>0</v>
      </c>
      <c r="F93" s="1">
        <v>0</v>
      </c>
      <c r="G93" s="1">
        <v>0</v>
      </c>
      <c r="H93" s="1">
        <v>0</v>
      </c>
      <c r="I93" s="1"/>
      <c r="J93" s="1"/>
      <c r="K93" s="1"/>
    </row>
    <row r="94" spans="1:11" x14ac:dyDescent="0.25">
      <c r="A94" s="7" t="s">
        <v>1042</v>
      </c>
      <c r="B94" s="1">
        <v>0</v>
      </c>
      <c r="C94" s="1">
        <v>70027</v>
      </c>
      <c r="D94" s="1">
        <v>92265</v>
      </c>
      <c r="E94" s="1">
        <v>162292</v>
      </c>
      <c r="F94" s="1">
        <v>0</v>
      </c>
      <c r="G94" s="1">
        <v>0</v>
      </c>
      <c r="H94" s="1">
        <v>0</v>
      </c>
      <c r="I94" s="1"/>
      <c r="J94" s="1"/>
      <c r="K94" s="1"/>
    </row>
    <row r="95" spans="1:11" x14ac:dyDescent="0.25">
      <c r="A95" s="7" t="s">
        <v>1043</v>
      </c>
      <c r="B95" s="1">
        <v>0</v>
      </c>
      <c r="C95" s="1">
        <v>4517431</v>
      </c>
      <c r="D95" s="1">
        <v>681</v>
      </c>
      <c r="E95" s="1">
        <v>4518112</v>
      </c>
      <c r="F95" s="1">
        <v>0</v>
      </c>
      <c r="G95" s="1">
        <v>0</v>
      </c>
      <c r="H95" s="1">
        <v>0</v>
      </c>
      <c r="I95" s="1"/>
      <c r="J95" s="1"/>
      <c r="K95" s="1"/>
    </row>
    <row r="96" spans="1:11" x14ac:dyDescent="0.25">
      <c r="A96" s="7" t="s">
        <v>1044</v>
      </c>
      <c r="B96" s="1">
        <v>0</v>
      </c>
      <c r="C96" s="1">
        <v>0</v>
      </c>
      <c r="D96" s="1">
        <v>0</v>
      </c>
      <c r="E96" s="1">
        <v>0</v>
      </c>
      <c r="F96" s="1">
        <v>0</v>
      </c>
      <c r="G96" s="1">
        <v>0</v>
      </c>
      <c r="H96" s="1">
        <v>0</v>
      </c>
      <c r="I96" s="1"/>
      <c r="J96" s="1"/>
      <c r="K96" s="1"/>
    </row>
    <row r="97" spans="1:11" x14ac:dyDescent="0.25">
      <c r="A97" s="7" t="s">
        <v>1045</v>
      </c>
      <c r="B97" s="1">
        <v>0</v>
      </c>
      <c r="C97" s="1">
        <v>65003</v>
      </c>
      <c r="D97" s="1">
        <v>56676</v>
      </c>
      <c r="E97" s="1">
        <v>121679</v>
      </c>
      <c r="F97" s="1">
        <v>0</v>
      </c>
      <c r="G97" s="1">
        <v>0</v>
      </c>
      <c r="H97" s="1">
        <v>0</v>
      </c>
      <c r="I97" s="1"/>
      <c r="J97" s="1"/>
      <c r="K97" s="1"/>
    </row>
    <row r="98" spans="1:11" x14ac:dyDescent="0.25">
      <c r="A98" s="6" t="s">
        <v>138</v>
      </c>
      <c r="B98" s="1">
        <v>0</v>
      </c>
      <c r="C98" s="1">
        <v>675184721</v>
      </c>
      <c r="D98" s="1">
        <v>632872443</v>
      </c>
      <c r="E98" s="1">
        <v>1308057164</v>
      </c>
      <c r="F98" s="1">
        <v>174512</v>
      </c>
      <c r="G98" s="1">
        <v>0</v>
      </c>
      <c r="H98" s="1">
        <v>174512</v>
      </c>
      <c r="I98" s="1">
        <v>0</v>
      </c>
      <c r="J98" s="1">
        <v>707604014</v>
      </c>
      <c r="K98" s="1">
        <v>707604014</v>
      </c>
    </row>
  </sheetData>
  <pageMargins left="0.7" right="0.7" top="0.75" bottom="0.75" header="0.3" footer="0.3"/>
  <pageSetup paperSize="9" orientation="landscape" r:id="rId2"/>
  <drawing r:id="rId3"/>
  <extLst>
    <ext xmlns:x14="http://schemas.microsoft.com/office/spreadsheetml/2009/9/main" uri="{A8765BA9-456A-4dab-B4F3-ACF838C121DE}">
      <x14:slicerList>
        <x14:slicer r:id="rId4"/>
      </x14:slicerList>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C000"/>
    <pageSetUpPr fitToPage="1"/>
  </sheetPr>
  <dimension ref="A12:K79"/>
  <sheetViews>
    <sheetView topLeftCell="A13" workbookViewId="0">
      <selection activeCell="D15" sqref="D15"/>
    </sheetView>
  </sheetViews>
  <sheetFormatPr defaultRowHeight="15" x14ac:dyDescent="0.25"/>
  <cols>
    <col min="1" max="1" width="50.140625" customWidth="1"/>
    <col min="2" max="2" width="28.7109375" bestFit="1" customWidth="1"/>
    <col min="3" max="3" width="11.28515625" hidden="1" customWidth="1"/>
    <col min="4" max="4" width="11.140625" bestFit="1" customWidth="1"/>
    <col min="5" max="5" width="14.7109375" hidden="1" customWidth="1"/>
    <col min="6" max="6" width="12.7109375" customWidth="1"/>
    <col min="7" max="7" width="16.28515625" bestFit="1" customWidth="1"/>
    <col min="8" max="8" width="10.140625" hidden="1" customWidth="1"/>
    <col min="9" max="13" width="10.140625" bestFit="1" customWidth="1"/>
    <col min="14" max="14" width="11.140625" bestFit="1" customWidth="1"/>
    <col min="15" max="16" width="10.140625" bestFit="1" customWidth="1"/>
    <col min="17" max="17" width="13.140625" bestFit="1" customWidth="1"/>
    <col min="18" max="19" width="11.140625" bestFit="1" customWidth="1"/>
    <col min="20" max="20" width="10.140625" bestFit="1" customWidth="1"/>
    <col min="21" max="21" width="13.140625" bestFit="1" customWidth="1"/>
    <col min="22" max="22" width="10.28515625" bestFit="1" customWidth="1"/>
    <col min="23" max="24" width="10.140625" bestFit="1" customWidth="1"/>
    <col min="25" max="25" width="13.140625" bestFit="1" customWidth="1"/>
    <col min="26" max="26" width="10.28515625" bestFit="1" customWidth="1"/>
    <col min="27" max="28" width="10.140625" bestFit="1" customWidth="1"/>
    <col min="29" max="29" width="13.140625" bestFit="1" customWidth="1"/>
    <col min="30" max="30" width="10.28515625" bestFit="1" customWidth="1"/>
    <col min="31" max="32" width="10.140625" bestFit="1" customWidth="1"/>
    <col min="33" max="33" width="13.140625" bestFit="1" customWidth="1"/>
    <col min="34" max="34" width="11.140625" bestFit="1" customWidth="1"/>
    <col min="35" max="35" width="13.140625" bestFit="1" customWidth="1"/>
    <col min="36" max="36" width="12.7109375" bestFit="1" customWidth="1"/>
    <col min="37" max="37" width="9" bestFit="1" customWidth="1"/>
    <col min="38" max="41" width="11" bestFit="1" customWidth="1"/>
  </cols>
  <sheetData>
    <row r="12" spans="1:11" x14ac:dyDescent="0.25">
      <c r="A12" s="4" t="s">
        <v>244</v>
      </c>
      <c r="B12" t="s" vm="12">
        <v>245</v>
      </c>
    </row>
    <row r="14" spans="1:11" x14ac:dyDescent="0.25">
      <c r="A14" s="4" t="s">
        <v>136</v>
      </c>
      <c r="B14" s="4" t="s">
        <v>137</v>
      </c>
    </row>
    <row r="15" spans="1:11" x14ac:dyDescent="0.25">
      <c r="B15" t="s">
        <v>248</v>
      </c>
      <c r="D15" t="s">
        <v>324</v>
      </c>
      <c r="E15" t="s">
        <v>301</v>
      </c>
      <c r="H15" t="s">
        <v>1003</v>
      </c>
      <c r="I15" t="s">
        <v>239</v>
      </c>
      <c r="K15" t="s">
        <v>1004</v>
      </c>
    </row>
    <row r="16" spans="1:11" x14ac:dyDescent="0.25">
      <c r="A16" s="4" t="s">
        <v>242</v>
      </c>
      <c r="B16">
        <v>2019</v>
      </c>
      <c r="C16">
        <v>2020</v>
      </c>
      <c r="E16">
        <v>2018</v>
      </c>
      <c r="F16">
        <v>2019</v>
      </c>
      <c r="G16">
        <v>2020</v>
      </c>
      <c r="I16">
        <v>2019</v>
      </c>
      <c r="J16">
        <v>2020</v>
      </c>
    </row>
    <row r="17" spans="1:11" hidden="1" x14ac:dyDescent="0.25">
      <c r="A17" s="6" t="s">
        <v>1005</v>
      </c>
      <c r="B17" s="1">
        <v>0</v>
      </c>
      <c r="C17" s="1">
        <v>0</v>
      </c>
      <c r="D17" s="1">
        <v>0</v>
      </c>
      <c r="E17" s="1">
        <v>0</v>
      </c>
      <c r="F17" s="1">
        <v>328340431</v>
      </c>
      <c r="G17" s="1">
        <v>315148617</v>
      </c>
      <c r="H17" s="1">
        <v>643489048</v>
      </c>
      <c r="I17" s="1">
        <v>0</v>
      </c>
      <c r="J17" s="1">
        <v>350082758</v>
      </c>
      <c r="K17" s="1">
        <v>350082758</v>
      </c>
    </row>
    <row r="18" spans="1:11" hidden="1" x14ac:dyDescent="0.25">
      <c r="A18" s="7" t="s">
        <v>1006</v>
      </c>
      <c r="B18" s="1">
        <v>0</v>
      </c>
      <c r="C18" s="1">
        <v>0</v>
      </c>
      <c r="D18" s="1">
        <v>0</v>
      </c>
      <c r="E18" s="1">
        <v>0</v>
      </c>
      <c r="F18" s="1">
        <v>2713114</v>
      </c>
      <c r="G18" s="1">
        <v>2247849</v>
      </c>
      <c r="H18" s="1">
        <v>4960963</v>
      </c>
      <c r="I18" s="1">
        <v>0</v>
      </c>
      <c r="J18" s="1">
        <v>1919284</v>
      </c>
      <c r="K18" s="1">
        <v>1919284</v>
      </c>
    </row>
    <row r="19" spans="1:11" hidden="1" x14ac:dyDescent="0.25">
      <c r="A19" s="7" t="s">
        <v>1327</v>
      </c>
      <c r="B19" s="1"/>
      <c r="C19" s="1"/>
      <c r="D19" s="1"/>
      <c r="E19" s="1"/>
      <c r="F19" s="1"/>
      <c r="G19" s="1"/>
      <c r="H19" s="1"/>
      <c r="I19" s="1">
        <v>0</v>
      </c>
      <c r="J19" s="1">
        <v>9428570</v>
      </c>
      <c r="K19" s="1">
        <v>9428570</v>
      </c>
    </row>
    <row r="20" spans="1:11" hidden="1" x14ac:dyDescent="0.25">
      <c r="A20" s="7" t="s">
        <v>1007</v>
      </c>
      <c r="B20" s="1">
        <v>0</v>
      </c>
      <c r="C20" s="1">
        <v>0</v>
      </c>
      <c r="D20" s="1">
        <v>0</v>
      </c>
      <c r="E20" s="1">
        <v>0</v>
      </c>
      <c r="F20" s="1">
        <v>0</v>
      </c>
      <c r="G20" s="1">
        <v>0</v>
      </c>
      <c r="H20" s="1">
        <v>0</v>
      </c>
      <c r="I20" s="1">
        <v>0</v>
      </c>
      <c r="J20" s="1">
        <v>0</v>
      </c>
      <c r="K20" s="1">
        <v>0</v>
      </c>
    </row>
    <row r="21" spans="1:11" hidden="1" x14ac:dyDescent="0.25">
      <c r="A21" s="7" t="s">
        <v>1008</v>
      </c>
      <c r="B21" s="1">
        <v>0</v>
      </c>
      <c r="C21" s="1">
        <v>0</v>
      </c>
      <c r="D21" s="1">
        <v>0</v>
      </c>
      <c r="E21" s="1">
        <v>0</v>
      </c>
      <c r="F21" s="1">
        <v>12050341</v>
      </c>
      <c r="G21" s="1">
        <v>9819066</v>
      </c>
      <c r="H21" s="1">
        <v>21869407</v>
      </c>
      <c r="I21" s="1">
        <v>0</v>
      </c>
      <c r="J21" s="1">
        <v>11094063</v>
      </c>
      <c r="K21" s="1">
        <v>11094063</v>
      </c>
    </row>
    <row r="22" spans="1:11" hidden="1" x14ac:dyDescent="0.25">
      <c r="A22" s="7" t="s">
        <v>1009</v>
      </c>
      <c r="B22" s="1">
        <v>0</v>
      </c>
      <c r="C22" s="1">
        <v>0</v>
      </c>
      <c r="D22" s="1">
        <v>0</v>
      </c>
      <c r="E22" s="1">
        <v>0</v>
      </c>
      <c r="F22" s="1">
        <v>79244</v>
      </c>
      <c r="G22" s="1">
        <v>139623</v>
      </c>
      <c r="H22" s="1">
        <v>218867</v>
      </c>
      <c r="I22" s="1">
        <v>0</v>
      </c>
      <c r="J22" s="1">
        <v>71887</v>
      </c>
      <c r="K22" s="1">
        <v>71887</v>
      </c>
    </row>
    <row r="23" spans="1:11" hidden="1" x14ac:dyDescent="0.25">
      <c r="A23" s="7" t="s">
        <v>1010</v>
      </c>
      <c r="B23" s="1">
        <v>0</v>
      </c>
      <c r="C23" s="1">
        <v>0</v>
      </c>
      <c r="D23" s="1">
        <v>0</v>
      </c>
      <c r="E23" s="1">
        <v>0</v>
      </c>
      <c r="F23" s="1">
        <v>0</v>
      </c>
      <c r="G23" s="1">
        <v>0</v>
      </c>
      <c r="H23" s="1">
        <v>0</v>
      </c>
      <c r="I23" s="1"/>
      <c r="J23" s="1"/>
      <c r="K23" s="1"/>
    </row>
    <row r="24" spans="1:11" hidden="1" x14ac:dyDescent="0.25">
      <c r="A24" s="7" t="s">
        <v>1011</v>
      </c>
      <c r="B24" s="1">
        <v>0</v>
      </c>
      <c r="C24" s="1">
        <v>0</v>
      </c>
      <c r="D24" s="1">
        <v>0</v>
      </c>
      <c r="E24" s="1">
        <v>0</v>
      </c>
      <c r="F24" s="1">
        <v>174076087</v>
      </c>
      <c r="G24" s="1">
        <v>176082377</v>
      </c>
      <c r="H24" s="1">
        <v>350158464</v>
      </c>
      <c r="I24" s="1">
        <v>0</v>
      </c>
      <c r="J24" s="1">
        <v>188191194</v>
      </c>
      <c r="K24" s="1">
        <v>188191194</v>
      </c>
    </row>
    <row r="25" spans="1:11" hidden="1" x14ac:dyDescent="0.25">
      <c r="A25" s="7" t="s">
        <v>1012</v>
      </c>
      <c r="B25" s="1">
        <v>0</v>
      </c>
      <c r="C25" s="1">
        <v>0</v>
      </c>
      <c r="D25" s="1">
        <v>0</v>
      </c>
      <c r="E25" s="1">
        <v>0</v>
      </c>
      <c r="F25" s="1">
        <v>199657</v>
      </c>
      <c r="G25" s="1">
        <v>149531</v>
      </c>
      <c r="H25" s="1">
        <v>349188</v>
      </c>
      <c r="I25" s="1">
        <v>0</v>
      </c>
      <c r="J25" s="1">
        <v>179594</v>
      </c>
      <c r="K25" s="1">
        <v>179594</v>
      </c>
    </row>
    <row r="26" spans="1:11" hidden="1" x14ac:dyDescent="0.25">
      <c r="A26" s="7" t="s">
        <v>1013</v>
      </c>
      <c r="B26" s="1">
        <v>0</v>
      </c>
      <c r="C26" s="1">
        <v>0</v>
      </c>
      <c r="D26" s="1">
        <v>0</v>
      </c>
      <c r="E26" s="1">
        <v>0</v>
      </c>
      <c r="F26" s="1">
        <v>1362191</v>
      </c>
      <c r="G26" s="1">
        <v>1054180</v>
      </c>
      <c r="H26" s="1">
        <v>2416371</v>
      </c>
      <c r="I26" s="1">
        <v>0</v>
      </c>
      <c r="J26" s="1">
        <v>1340046</v>
      </c>
      <c r="K26" s="1">
        <v>1340046</v>
      </c>
    </row>
    <row r="27" spans="1:11" hidden="1" x14ac:dyDescent="0.25">
      <c r="A27" s="7" t="s">
        <v>1014</v>
      </c>
      <c r="B27" s="1">
        <v>0</v>
      </c>
      <c r="C27" s="1">
        <v>0</v>
      </c>
      <c r="D27" s="1">
        <v>0</v>
      </c>
      <c r="E27" s="1">
        <v>0</v>
      </c>
      <c r="F27" s="1">
        <v>128116</v>
      </c>
      <c r="G27" s="1">
        <v>39196</v>
      </c>
      <c r="H27" s="1">
        <v>167312</v>
      </c>
      <c r="I27" s="1">
        <v>0</v>
      </c>
      <c r="J27" s="1">
        <v>140166</v>
      </c>
      <c r="K27" s="1">
        <v>140166</v>
      </c>
    </row>
    <row r="28" spans="1:11" hidden="1" x14ac:dyDescent="0.25">
      <c r="A28" s="7" t="s">
        <v>1015</v>
      </c>
      <c r="B28" s="1">
        <v>0</v>
      </c>
      <c r="C28" s="1">
        <v>0</v>
      </c>
      <c r="D28" s="1">
        <v>0</v>
      </c>
      <c r="E28" s="1">
        <v>0</v>
      </c>
      <c r="F28" s="1">
        <v>121059542</v>
      </c>
      <c r="G28" s="1">
        <v>112844829</v>
      </c>
      <c r="H28" s="1">
        <v>233904371</v>
      </c>
      <c r="I28" s="1">
        <v>0</v>
      </c>
      <c r="J28" s="1">
        <v>121033450</v>
      </c>
      <c r="K28" s="1">
        <v>121033450</v>
      </c>
    </row>
    <row r="29" spans="1:11" hidden="1" x14ac:dyDescent="0.25">
      <c r="A29" s="7" t="s">
        <v>1016</v>
      </c>
      <c r="B29" s="1">
        <v>0</v>
      </c>
      <c r="C29" s="1">
        <v>0</v>
      </c>
      <c r="D29" s="1">
        <v>0</v>
      </c>
      <c r="E29" s="1">
        <v>0</v>
      </c>
      <c r="F29" s="1">
        <v>1387743</v>
      </c>
      <c r="G29" s="1">
        <v>1000581</v>
      </c>
      <c r="H29" s="1">
        <v>2388324</v>
      </c>
      <c r="I29" s="1">
        <v>0</v>
      </c>
      <c r="J29" s="1">
        <v>1119922</v>
      </c>
      <c r="K29" s="1">
        <v>1119922</v>
      </c>
    </row>
    <row r="30" spans="1:11" hidden="1" x14ac:dyDescent="0.25">
      <c r="A30" s="7" t="s">
        <v>1017</v>
      </c>
      <c r="B30" s="1">
        <v>0</v>
      </c>
      <c r="C30" s="1">
        <v>0</v>
      </c>
      <c r="D30" s="1">
        <v>0</v>
      </c>
      <c r="E30" s="1">
        <v>0</v>
      </c>
      <c r="F30" s="1">
        <v>15284396</v>
      </c>
      <c r="G30" s="1">
        <v>11771385</v>
      </c>
      <c r="H30" s="1">
        <v>27055781</v>
      </c>
      <c r="I30" s="1">
        <v>0</v>
      </c>
      <c r="J30" s="1">
        <v>15564582</v>
      </c>
      <c r="K30" s="1">
        <v>15564582</v>
      </c>
    </row>
    <row r="31" spans="1:11" hidden="1" x14ac:dyDescent="0.25">
      <c r="A31" s="6" t="s">
        <v>1018</v>
      </c>
      <c r="B31" s="1">
        <v>0</v>
      </c>
      <c r="C31" s="1">
        <v>0</v>
      </c>
      <c r="D31" s="1">
        <v>0</v>
      </c>
      <c r="E31" s="1">
        <v>0</v>
      </c>
      <c r="F31" s="1">
        <v>15989764</v>
      </c>
      <c r="G31" s="1">
        <v>4746883</v>
      </c>
      <c r="H31" s="1">
        <v>20736647</v>
      </c>
      <c r="I31" s="1">
        <v>0</v>
      </c>
      <c r="J31" s="1">
        <v>5024385</v>
      </c>
      <c r="K31" s="1">
        <v>5024385</v>
      </c>
    </row>
    <row r="32" spans="1:11" hidden="1" x14ac:dyDescent="0.25">
      <c r="A32" s="7" t="s">
        <v>1019</v>
      </c>
      <c r="B32" s="1">
        <v>0</v>
      </c>
      <c r="C32" s="1">
        <v>0</v>
      </c>
      <c r="D32" s="1">
        <v>0</v>
      </c>
      <c r="E32" s="1">
        <v>0</v>
      </c>
      <c r="F32" s="1">
        <v>4946</v>
      </c>
      <c r="G32" s="1">
        <v>1831</v>
      </c>
      <c r="H32" s="1">
        <v>6777</v>
      </c>
      <c r="I32" s="1">
        <v>0</v>
      </c>
      <c r="J32" s="1">
        <v>22346</v>
      </c>
      <c r="K32" s="1">
        <v>22346</v>
      </c>
    </row>
    <row r="33" spans="1:11" hidden="1" x14ac:dyDescent="0.25">
      <c r="A33" s="7" t="s">
        <v>1020</v>
      </c>
      <c r="B33" s="1">
        <v>0</v>
      </c>
      <c r="C33" s="1">
        <v>0</v>
      </c>
      <c r="D33" s="1">
        <v>0</v>
      </c>
      <c r="E33" s="1">
        <v>0</v>
      </c>
      <c r="F33" s="1">
        <v>928</v>
      </c>
      <c r="G33" s="1">
        <v>1137</v>
      </c>
      <c r="H33" s="1">
        <v>2065</v>
      </c>
      <c r="I33" s="1">
        <v>0</v>
      </c>
      <c r="J33" s="1">
        <v>623</v>
      </c>
      <c r="K33" s="1">
        <v>623</v>
      </c>
    </row>
    <row r="34" spans="1:11" hidden="1" x14ac:dyDescent="0.25">
      <c r="A34" s="7" t="s">
        <v>1021</v>
      </c>
      <c r="B34" s="1">
        <v>0</v>
      </c>
      <c r="C34" s="1">
        <v>0</v>
      </c>
      <c r="D34" s="1">
        <v>0</v>
      </c>
      <c r="E34" s="1">
        <v>0</v>
      </c>
      <c r="F34" s="1">
        <v>136507</v>
      </c>
      <c r="G34" s="1">
        <v>28143</v>
      </c>
      <c r="H34" s="1">
        <v>164650</v>
      </c>
      <c r="I34" s="1">
        <v>0</v>
      </c>
      <c r="J34" s="1">
        <v>285644</v>
      </c>
      <c r="K34" s="1">
        <v>285644</v>
      </c>
    </row>
    <row r="35" spans="1:11" hidden="1" x14ac:dyDescent="0.25">
      <c r="A35" s="7" t="s">
        <v>1022</v>
      </c>
      <c r="B35" s="1"/>
      <c r="C35" s="1"/>
      <c r="D35" s="1"/>
      <c r="E35" s="1"/>
      <c r="F35" s="1"/>
      <c r="G35" s="1"/>
      <c r="H35" s="1"/>
      <c r="I35" s="1">
        <v>0</v>
      </c>
      <c r="J35" s="1"/>
      <c r="K35" s="1">
        <v>0</v>
      </c>
    </row>
    <row r="36" spans="1:11" hidden="1" x14ac:dyDescent="0.25">
      <c r="A36" s="7" t="s">
        <v>1023</v>
      </c>
      <c r="B36" s="1">
        <v>0</v>
      </c>
      <c r="C36" s="1">
        <v>0</v>
      </c>
      <c r="D36" s="1">
        <v>0</v>
      </c>
      <c r="E36" s="1">
        <v>0</v>
      </c>
      <c r="F36" s="1">
        <v>15847383</v>
      </c>
      <c r="G36" s="1">
        <v>4715772</v>
      </c>
      <c r="H36" s="1">
        <v>20563155</v>
      </c>
      <c r="I36" s="1">
        <v>0</v>
      </c>
      <c r="J36" s="1">
        <v>4715772</v>
      </c>
      <c r="K36" s="1">
        <v>4715772</v>
      </c>
    </row>
    <row r="37" spans="1:11" hidden="1" x14ac:dyDescent="0.25">
      <c r="A37" s="7" t="s">
        <v>1024</v>
      </c>
      <c r="B37" s="1">
        <v>0</v>
      </c>
      <c r="C37" s="1">
        <v>0</v>
      </c>
      <c r="D37" s="1">
        <v>0</v>
      </c>
      <c r="E37" s="1">
        <v>0</v>
      </c>
      <c r="F37" s="1">
        <v>0</v>
      </c>
      <c r="G37" s="1">
        <v>0</v>
      </c>
      <c r="H37" s="1">
        <v>0</v>
      </c>
      <c r="I37" s="1"/>
      <c r="J37" s="1"/>
      <c r="K37" s="1"/>
    </row>
    <row r="38" spans="1:11" hidden="1" x14ac:dyDescent="0.25">
      <c r="A38" s="7" t="s">
        <v>1025</v>
      </c>
      <c r="B38" s="1"/>
      <c r="C38" s="1"/>
      <c r="D38" s="1"/>
      <c r="E38" s="1"/>
      <c r="F38" s="1"/>
      <c r="G38" s="1"/>
      <c r="H38" s="1"/>
      <c r="I38" s="1">
        <v>0</v>
      </c>
      <c r="J38" s="1"/>
      <c r="K38" s="1">
        <v>0</v>
      </c>
    </row>
    <row r="39" spans="1:11" hidden="1" x14ac:dyDescent="0.25">
      <c r="A39" s="7" t="s">
        <v>1026</v>
      </c>
      <c r="B39" s="1">
        <v>0</v>
      </c>
      <c r="C39" s="1">
        <v>0</v>
      </c>
      <c r="D39" s="1">
        <v>0</v>
      </c>
      <c r="E39" s="1">
        <v>0</v>
      </c>
      <c r="F39" s="1">
        <v>0</v>
      </c>
      <c r="G39" s="1">
        <v>0</v>
      </c>
      <c r="H39" s="1">
        <v>0</v>
      </c>
      <c r="I39" s="1"/>
      <c r="J39" s="1"/>
      <c r="K39" s="1"/>
    </row>
    <row r="40" spans="1:11" x14ac:dyDescent="0.25">
      <c r="A40" s="6" t="s">
        <v>241</v>
      </c>
      <c r="B40" s="1">
        <v>174512</v>
      </c>
      <c r="C40" s="1">
        <v>0</v>
      </c>
      <c r="D40" s="1">
        <v>174512</v>
      </c>
      <c r="E40" s="1">
        <v>0</v>
      </c>
      <c r="F40" s="1">
        <v>326202065</v>
      </c>
      <c r="G40" s="1">
        <v>312827321</v>
      </c>
      <c r="H40" s="1">
        <v>639029386</v>
      </c>
      <c r="I40" s="1">
        <v>0</v>
      </c>
      <c r="J40" s="1">
        <v>352496871</v>
      </c>
      <c r="K40" s="1">
        <v>352496871</v>
      </c>
    </row>
    <row r="41" spans="1:11" x14ac:dyDescent="0.25">
      <c r="A41" s="7" t="s">
        <v>307</v>
      </c>
      <c r="B41" s="1">
        <v>0</v>
      </c>
      <c r="C41" s="1">
        <v>0</v>
      </c>
      <c r="D41" s="1">
        <v>0</v>
      </c>
      <c r="E41" s="1">
        <v>0</v>
      </c>
      <c r="F41" s="1">
        <v>1812239</v>
      </c>
      <c r="G41" s="1">
        <v>4299624</v>
      </c>
      <c r="H41" s="1">
        <v>6111863</v>
      </c>
      <c r="I41" s="1">
        <v>0</v>
      </c>
      <c r="J41" s="1">
        <v>2966088</v>
      </c>
      <c r="K41" s="1">
        <v>2966088</v>
      </c>
    </row>
    <row r="42" spans="1:11" x14ac:dyDescent="0.25">
      <c r="A42" s="7" t="s">
        <v>308</v>
      </c>
      <c r="B42" s="1">
        <v>0</v>
      </c>
      <c r="C42" s="1">
        <v>0</v>
      </c>
      <c r="D42" s="1">
        <v>0</v>
      </c>
      <c r="E42" s="1">
        <v>0</v>
      </c>
      <c r="F42" s="1">
        <v>29711340</v>
      </c>
      <c r="G42" s="1">
        <v>34645388</v>
      </c>
      <c r="H42" s="1">
        <v>64356728</v>
      </c>
      <c r="I42" s="1">
        <v>0</v>
      </c>
      <c r="J42" s="1">
        <v>38970368</v>
      </c>
      <c r="K42" s="1">
        <v>38970368</v>
      </c>
    </row>
    <row r="43" spans="1:11" x14ac:dyDescent="0.25">
      <c r="A43" s="175" t="s">
        <v>1027</v>
      </c>
      <c r="B43" s="1">
        <v>0</v>
      </c>
      <c r="C43" s="1"/>
      <c r="D43" s="1">
        <v>0</v>
      </c>
      <c r="E43" s="1">
        <v>0</v>
      </c>
      <c r="F43" s="1"/>
      <c r="G43" s="1"/>
      <c r="H43" s="1">
        <v>0</v>
      </c>
      <c r="I43" s="1"/>
      <c r="J43" s="1">
        <v>1020000</v>
      </c>
      <c r="K43" s="1">
        <v>1020000</v>
      </c>
    </row>
    <row r="44" spans="1:11" x14ac:dyDescent="0.25">
      <c r="A44" s="175" t="s">
        <v>1028</v>
      </c>
      <c r="B44" s="1">
        <v>0</v>
      </c>
      <c r="C44" s="1"/>
      <c r="D44" s="1">
        <v>0</v>
      </c>
      <c r="E44" s="1">
        <v>0</v>
      </c>
      <c r="F44" s="1"/>
      <c r="G44" s="1"/>
      <c r="H44" s="1">
        <v>0</v>
      </c>
      <c r="I44" s="1"/>
      <c r="J44" s="1">
        <v>4716000</v>
      </c>
      <c r="K44" s="1">
        <v>4716000</v>
      </c>
    </row>
    <row r="45" spans="1:11" hidden="1" x14ac:dyDescent="0.25">
      <c r="A45" s="175" t="s">
        <v>1029</v>
      </c>
      <c r="B45" s="1"/>
      <c r="C45" s="1">
        <v>0</v>
      </c>
      <c r="D45" s="1">
        <v>0</v>
      </c>
      <c r="E45" s="1"/>
      <c r="F45" s="1">
        <v>0</v>
      </c>
      <c r="G45" s="1">
        <v>0</v>
      </c>
      <c r="H45" s="1">
        <v>0</v>
      </c>
      <c r="I45" s="1"/>
      <c r="J45" s="1"/>
      <c r="K45" s="1"/>
    </row>
    <row r="46" spans="1:11" hidden="1" x14ac:dyDescent="0.25">
      <c r="A46" s="175" t="s">
        <v>1030</v>
      </c>
      <c r="B46" s="1">
        <v>0</v>
      </c>
      <c r="C46" s="1">
        <v>0</v>
      </c>
      <c r="D46" s="1">
        <v>0</v>
      </c>
      <c r="E46" s="1">
        <v>0</v>
      </c>
      <c r="F46" s="1">
        <v>8651561</v>
      </c>
      <c r="G46" s="1">
        <v>8841453</v>
      </c>
      <c r="H46" s="1">
        <v>17493014</v>
      </c>
      <c r="I46" s="1">
        <v>0</v>
      </c>
      <c r="J46" s="1">
        <v>12253200</v>
      </c>
      <c r="K46" s="1">
        <v>12253200</v>
      </c>
    </row>
    <row r="47" spans="1:11" x14ac:dyDescent="0.25">
      <c r="A47" s="175" t="s">
        <v>1031</v>
      </c>
      <c r="B47" s="1">
        <v>0</v>
      </c>
      <c r="C47" s="1">
        <v>0</v>
      </c>
      <c r="D47" s="1">
        <v>0</v>
      </c>
      <c r="E47" s="1">
        <v>0</v>
      </c>
      <c r="F47" s="1">
        <v>286872</v>
      </c>
      <c r="G47" s="1">
        <v>286872</v>
      </c>
      <c r="H47" s="1">
        <v>573744</v>
      </c>
      <c r="I47" s="1"/>
      <c r="J47" s="1">
        <v>288000</v>
      </c>
      <c r="K47" s="1">
        <v>288000</v>
      </c>
    </row>
    <row r="48" spans="1:11" x14ac:dyDescent="0.25">
      <c r="A48" s="175" t="s">
        <v>1032</v>
      </c>
      <c r="B48" s="1"/>
      <c r="C48" s="1">
        <v>0</v>
      </c>
      <c r="D48" s="1">
        <v>0</v>
      </c>
      <c r="E48" s="1"/>
      <c r="F48" s="1">
        <v>1019652</v>
      </c>
      <c r="G48" s="1">
        <v>1019652</v>
      </c>
      <c r="H48" s="1">
        <v>2039304</v>
      </c>
      <c r="I48" s="1"/>
      <c r="J48" s="1"/>
      <c r="K48" s="1"/>
    </row>
    <row r="49" spans="1:11" x14ac:dyDescent="0.25">
      <c r="A49" s="175" t="s">
        <v>1033</v>
      </c>
      <c r="B49" s="1"/>
      <c r="C49" s="1">
        <v>0</v>
      </c>
      <c r="D49" s="1">
        <v>0</v>
      </c>
      <c r="E49" s="1"/>
      <c r="F49" s="1">
        <v>4715772</v>
      </c>
      <c r="G49" s="1">
        <v>4715772</v>
      </c>
      <c r="H49" s="1">
        <v>9431544</v>
      </c>
      <c r="I49" s="1"/>
      <c r="J49" s="1"/>
      <c r="K49" s="1"/>
    </row>
    <row r="50" spans="1:11" x14ac:dyDescent="0.25">
      <c r="A50" s="175" t="s">
        <v>1034</v>
      </c>
      <c r="B50" s="1">
        <v>0</v>
      </c>
      <c r="C50" s="1">
        <v>0</v>
      </c>
      <c r="D50" s="1">
        <v>0</v>
      </c>
      <c r="E50" s="1">
        <v>0</v>
      </c>
      <c r="F50" s="1">
        <v>2589076</v>
      </c>
      <c r="G50" s="1">
        <v>2230502</v>
      </c>
      <c r="H50" s="1">
        <v>4819578</v>
      </c>
      <c r="I50" s="1"/>
      <c r="J50" s="1">
        <v>2328000</v>
      </c>
      <c r="K50" s="1">
        <v>2328000</v>
      </c>
    </row>
    <row r="51" spans="1:11" x14ac:dyDescent="0.25">
      <c r="A51" s="175" t="s">
        <v>1035</v>
      </c>
      <c r="B51" s="1">
        <v>0</v>
      </c>
      <c r="C51" s="1">
        <v>0</v>
      </c>
      <c r="D51" s="1">
        <v>0</v>
      </c>
      <c r="E51" s="1">
        <v>0</v>
      </c>
      <c r="F51" s="1">
        <v>123900</v>
      </c>
      <c r="G51" s="1">
        <v>333696</v>
      </c>
      <c r="H51" s="1">
        <v>457596</v>
      </c>
      <c r="I51" s="1"/>
      <c r="J51" s="1">
        <v>126000</v>
      </c>
      <c r="K51" s="1">
        <v>126000</v>
      </c>
    </row>
    <row r="52" spans="1:11" x14ac:dyDescent="0.25">
      <c r="A52" s="175" t="s">
        <v>1036</v>
      </c>
      <c r="B52" s="1">
        <v>0</v>
      </c>
      <c r="C52" s="1">
        <v>0</v>
      </c>
      <c r="D52" s="1">
        <v>0</v>
      </c>
      <c r="E52" s="1">
        <v>0</v>
      </c>
      <c r="F52" s="1">
        <v>11474264</v>
      </c>
      <c r="G52" s="1">
        <v>15999769</v>
      </c>
      <c r="H52" s="1">
        <v>27474033</v>
      </c>
      <c r="I52" s="1"/>
      <c r="J52" s="1">
        <v>16059176</v>
      </c>
      <c r="K52" s="1">
        <v>16059176</v>
      </c>
    </row>
    <row r="53" spans="1:11" x14ac:dyDescent="0.25">
      <c r="A53" s="175" t="s">
        <v>1037</v>
      </c>
      <c r="B53" s="1">
        <v>0</v>
      </c>
      <c r="C53" s="1">
        <v>0</v>
      </c>
      <c r="D53" s="1">
        <v>0</v>
      </c>
      <c r="E53" s="1">
        <v>0</v>
      </c>
      <c r="F53" s="1">
        <v>625987</v>
      </c>
      <c r="G53" s="1">
        <v>980663</v>
      </c>
      <c r="H53" s="1">
        <v>1606650</v>
      </c>
      <c r="I53" s="1">
        <v>0</v>
      </c>
      <c r="J53" s="1">
        <v>1957992</v>
      </c>
      <c r="K53" s="1">
        <v>1957992</v>
      </c>
    </row>
    <row r="54" spans="1:11" x14ac:dyDescent="0.25">
      <c r="A54" s="175" t="s">
        <v>1038</v>
      </c>
      <c r="B54" s="1">
        <v>0</v>
      </c>
      <c r="C54" s="1">
        <v>0</v>
      </c>
      <c r="D54" s="1">
        <v>0</v>
      </c>
      <c r="E54" s="1">
        <v>0</v>
      </c>
      <c r="F54" s="1">
        <v>205920</v>
      </c>
      <c r="G54" s="1">
        <v>217145</v>
      </c>
      <c r="H54" s="1">
        <v>423065</v>
      </c>
      <c r="I54" s="1"/>
      <c r="J54" s="1">
        <v>204000</v>
      </c>
      <c r="K54" s="1">
        <v>204000</v>
      </c>
    </row>
    <row r="55" spans="1:11" x14ac:dyDescent="0.25">
      <c r="A55" s="175" t="s">
        <v>1039</v>
      </c>
      <c r="B55" s="1">
        <v>0</v>
      </c>
      <c r="C55" s="1">
        <v>0</v>
      </c>
      <c r="D55" s="1">
        <v>0</v>
      </c>
      <c r="E55" s="1">
        <v>0</v>
      </c>
      <c r="F55" s="1">
        <v>18336</v>
      </c>
      <c r="G55" s="1">
        <v>19864</v>
      </c>
      <c r="H55" s="1">
        <v>38200</v>
      </c>
      <c r="I55" s="1"/>
      <c r="J55" s="1">
        <v>18000</v>
      </c>
      <c r="K55" s="1">
        <v>18000</v>
      </c>
    </row>
    <row r="56" spans="1:11" x14ac:dyDescent="0.25">
      <c r="A56" s="175" t="s">
        <v>1040</v>
      </c>
      <c r="B56" s="1">
        <v>0</v>
      </c>
      <c r="C56" s="1">
        <v>0</v>
      </c>
      <c r="D56" s="1">
        <v>0</v>
      </c>
      <c r="E56" s="1">
        <v>0</v>
      </c>
      <c r="F56" s="1">
        <v>0</v>
      </c>
      <c r="G56" s="1">
        <v>0</v>
      </c>
      <c r="H56" s="1">
        <v>0</v>
      </c>
      <c r="I56" s="1">
        <v>0</v>
      </c>
      <c r="J56" s="1"/>
      <c r="K56" s="1">
        <v>0</v>
      </c>
    </row>
    <row r="57" spans="1:11" x14ac:dyDescent="0.25">
      <c r="A57" s="7" t="s">
        <v>306</v>
      </c>
      <c r="B57" s="1">
        <v>0</v>
      </c>
      <c r="C57" s="1">
        <v>0</v>
      </c>
      <c r="D57" s="1">
        <v>0</v>
      </c>
      <c r="E57" s="1">
        <v>0</v>
      </c>
      <c r="F57" s="1">
        <v>231102582</v>
      </c>
      <c r="G57" s="1">
        <v>230846283</v>
      </c>
      <c r="H57" s="1">
        <v>461948865</v>
      </c>
      <c r="I57" s="1">
        <v>0</v>
      </c>
      <c r="J57" s="1">
        <v>252209220</v>
      </c>
      <c r="K57" s="1">
        <v>252209220</v>
      </c>
    </row>
    <row r="58" spans="1:11" x14ac:dyDescent="0.25">
      <c r="A58" s="7" t="s">
        <v>309</v>
      </c>
      <c r="B58" s="1">
        <v>0</v>
      </c>
      <c r="C58" s="1">
        <v>0</v>
      </c>
      <c r="D58" s="1">
        <v>0</v>
      </c>
      <c r="E58" s="1">
        <v>0</v>
      </c>
      <c r="F58" s="1">
        <v>1655782</v>
      </c>
      <c r="G58" s="1">
        <v>406088</v>
      </c>
      <c r="H58" s="1">
        <v>2061870</v>
      </c>
      <c r="I58" s="1">
        <v>0</v>
      </c>
      <c r="J58" s="1">
        <v>2455812</v>
      </c>
      <c r="K58" s="1">
        <v>2455812</v>
      </c>
    </row>
    <row r="59" spans="1:11" x14ac:dyDescent="0.25">
      <c r="A59" s="7" t="s">
        <v>310</v>
      </c>
      <c r="B59" s="1">
        <v>0</v>
      </c>
      <c r="C59" s="1">
        <v>0</v>
      </c>
      <c r="D59" s="1">
        <v>0</v>
      </c>
      <c r="E59" s="1">
        <v>0</v>
      </c>
      <c r="F59" s="1">
        <v>376819</v>
      </c>
      <c r="G59" s="1">
        <v>696289</v>
      </c>
      <c r="H59" s="1">
        <v>1073108</v>
      </c>
      <c r="I59" s="1">
        <v>0</v>
      </c>
      <c r="J59" s="1">
        <v>1004180</v>
      </c>
      <c r="K59" s="1">
        <v>1004180</v>
      </c>
    </row>
    <row r="60" spans="1:11" x14ac:dyDescent="0.25">
      <c r="A60" s="7" t="s">
        <v>311</v>
      </c>
      <c r="B60" s="1">
        <v>0</v>
      </c>
      <c r="C60" s="1">
        <v>0</v>
      </c>
      <c r="D60" s="1">
        <v>0</v>
      </c>
      <c r="E60" s="1">
        <v>0</v>
      </c>
      <c r="F60" s="1">
        <v>378219</v>
      </c>
      <c r="G60" s="1">
        <v>110198</v>
      </c>
      <c r="H60" s="1">
        <v>488417</v>
      </c>
      <c r="I60" s="1">
        <v>0</v>
      </c>
      <c r="J60" s="1">
        <v>1372896</v>
      </c>
      <c r="K60" s="1">
        <v>1372896</v>
      </c>
    </row>
    <row r="61" spans="1:11" x14ac:dyDescent="0.25">
      <c r="A61" s="7" t="s">
        <v>312</v>
      </c>
      <c r="B61" s="1">
        <v>0</v>
      </c>
      <c r="C61" s="1">
        <v>0</v>
      </c>
      <c r="D61" s="1">
        <v>0</v>
      </c>
      <c r="E61" s="1">
        <v>0</v>
      </c>
      <c r="F61" s="1">
        <v>1111230</v>
      </c>
      <c r="G61" s="1">
        <v>908211</v>
      </c>
      <c r="H61" s="1">
        <v>2019441</v>
      </c>
      <c r="I61" s="1">
        <v>0</v>
      </c>
      <c r="J61" s="1">
        <v>970085</v>
      </c>
      <c r="K61" s="1">
        <v>970085</v>
      </c>
    </row>
    <row r="62" spans="1:11" x14ac:dyDescent="0.25">
      <c r="A62" s="7" t="s">
        <v>313</v>
      </c>
      <c r="B62" s="1">
        <v>0</v>
      </c>
      <c r="C62" s="1">
        <v>0</v>
      </c>
      <c r="D62" s="1">
        <v>0</v>
      </c>
      <c r="E62" s="1">
        <v>0</v>
      </c>
      <c r="F62" s="1">
        <v>305442</v>
      </c>
      <c r="G62" s="1">
        <v>261083</v>
      </c>
      <c r="H62" s="1">
        <v>566525</v>
      </c>
      <c r="I62" s="1">
        <v>0</v>
      </c>
      <c r="J62" s="1">
        <v>300012</v>
      </c>
      <c r="K62" s="1">
        <v>300012</v>
      </c>
    </row>
    <row r="63" spans="1:11" x14ac:dyDescent="0.25">
      <c r="A63" s="7" t="s">
        <v>314</v>
      </c>
      <c r="B63" s="1">
        <v>0</v>
      </c>
      <c r="C63" s="1">
        <v>0</v>
      </c>
      <c r="D63" s="1">
        <v>0</v>
      </c>
      <c r="E63" s="1">
        <v>0</v>
      </c>
      <c r="F63" s="1">
        <v>819000</v>
      </c>
      <c r="G63" s="1">
        <v>0</v>
      </c>
      <c r="H63" s="1">
        <v>819000</v>
      </c>
      <c r="I63" s="1">
        <v>0</v>
      </c>
      <c r="J63" s="1"/>
      <c r="K63" s="1">
        <v>0</v>
      </c>
    </row>
    <row r="64" spans="1:11" x14ac:dyDescent="0.25">
      <c r="A64" s="7" t="s">
        <v>315</v>
      </c>
      <c r="B64" s="1">
        <v>0</v>
      </c>
      <c r="C64" s="1">
        <v>0</v>
      </c>
      <c r="D64" s="1">
        <v>0</v>
      </c>
      <c r="E64" s="1">
        <v>0</v>
      </c>
      <c r="F64" s="1">
        <v>2389285</v>
      </c>
      <c r="G64" s="1">
        <v>2679804</v>
      </c>
      <c r="H64" s="1">
        <v>5069089</v>
      </c>
      <c r="I64" s="1">
        <v>0</v>
      </c>
      <c r="J64" s="1">
        <v>3517164</v>
      </c>
      <c r="K64" s="1">
        <v>3517164</v>
      </c>
    </row>
    <row r="65" spans="1:11" hidden="1" x14ac:dyDescent="0.25">
      <c r="A65" s="7" t="s">
        <v>316</v>
      </c>
      <c r="B65" s="1">
        <v>0</v>
      </c>
      <c r="C65" s="1">
        <v>0</v>
      </c>
      <c r="D65" s="1">
        <v>0</v>
      </c>
      <c r="E65" s="1">
        <v>0</v>
      </c>
      <c r="F65" s="1">
        <v>5291995</v>
      </c>
      <c r="G65" s="1">
        <v>4320465</v>
      </c>
      <c r="H65" s="1">
        <v>9612460</v>
      </c>
      <c r="I65" s="1">
        <v>0</v>
      </c>
      <c r="J65" s="1">
        <v>5420052</v>
      </c>
      <c r="K65" s="1">
        <v>5420052</v>
      </c>
    </row>
    <row r="66" spans="1:11" hidden="1" x14ac:dyDescent="0.25">
      <c r="A66" s="7" t="s">
        <v>317</v>
      </c>
      <c r="B66" s="1">
        <v>0</v>
      </c>
      <c r="C66" s="1">
        <v>0</v>
      </c>
      <c r="D66" s="1">
        <v>0</v>
      </c>
      <c r="E66" s="1">
        <v>0</v>
      </c>
      <c r="F66" s="1">
        <v>91991</v>
      </c>
      <c r="G66" s="1">
        <v>10112</v>
      </c>
      <c r="H66" s="1">
        <v>102103</v>
      </c>
      <c r="I66" s="1">
        <v>0</v>
      </c>
      <c r="J66" s="1">
        <v>122952</v>
      </c>
      <c r="K66" s="1">
        <v>122952</v>
      </c>
    </row>
    <row r="67" spans="1:11" x14ac:dyDescent="0.25">
      <c r="A67" s="7" t="s">
        <v>318</v>
      </c>
      <c r="B67" s="1">
        <v>0</v>
      </c>
      <c r="C67" s="1">
        <v>0</v>
      </c>
      <c r="D67" s="1">
        <v>0</v>
      </c>
      <c r="E67" s="1">
        <v>0</v>
      </c>
      <c r="F67" s="1">
        <v>1670896</v>
      </c>
      <c r="G67" s="1">
        <v>163451</v>
      </c>
      <c r="H67" s="1">
        <v>1834347</v>
      </c>
      <c r="I67" s="1">
        <v>0</v>
      </c>
      <c r="J67" s="1">
        <v>1943394</v>
      </c>
      <c r="K67" s="1">
        <v>1943394</v>
      </c>
    </row>
    <row r="68" spans="1:11" x14ac:dyDescent="0.25">
      <c r="A68" s="7" t="s">
        <v>319</v>
      </c>
      <c r="B68" s="1">
        <v>0</v>
      </c>
      <c r="C68" s="1">
        <v>0</v>
      </c>
      <c r="D68" s="1">
        <v>0</v>
      </c>
      <c r="E68" s="1">
        <v>0</v>
      </c>
      <c r="F68" s="1">
        <v>8997873</v>
      </c>
      <c r="G68" s="1">
        <v>8958367</v>
      </c>
      <c r="H68" s="1">
        <v>17956240</v>
      </c>
      <c r="I68" s="1">
        <v>0</v>
      </c>
      <c r="J68" s="1">
        <v>8338104</v>
      </c>
      <c r="K68" s="1">
        <v>8338104</v>
      </c>
    </row>
    <row r="69" spans="1:11" x14ac:dyDescent="0.25">
      <c r="A69" s="7" t="s">
        <v>320</v>
      </c>
      <c r="B69" s="1">
        <v>0</v>
      </c>
      <c r="C69" s="1">
        <v>0</v>
      </c>
      <c r="D69" s="1">
        <v>0</v>
      </c>
      <c r="E69" s="1">
        <v>0</v>
      </c>
      <c r="F69" s="1">
        <v>11987160</v>
      </c>
      <c r="G69" s="1">
        <v>822747</v>
      </c>
      <c r="H69" s="1">
        <v>12809907</v>
      </c>
      <c r="I69" s="1">
        <v>0</v>
      </c>
      <c r="J69" s="1">
        <v>889852</v>
      </c>
      <c r="K69" s="1">
        <v>889852</v>
      </c>
    </row>
    <row r="70" spans="1:11" x14ac:dyDescent="0.25">
      <c r="A70" s="7" t="s">
        <v>321</v>
      </c>
      <c r="B70" s="1">
        <v>0</v>
      </c>
      <c r="C70" s="1">
        <v>0</v>
      </c>
      <c r="D70" s="1">
        <v>0</v>
      </c>
      <c r="E70" s="1">
        <v>0</v>
      </c>
      <c r="F70" s="1">
        <v>13146087</v>
      </c>
      <c r="G70" s="1">
        <v>13487824</v>
      </c>
      <c r="H70" s="1">
        <v>26633911</v>
      </c>
      <c r="I70" s="1">
        <v>0</v>
      </c>
      <c r="J70" s="1">
        <v>16012460</v>
      </c>
      <c r="K70" s="1">
        <v>16012460</v>
      </c>
    </row>
    <row r="71" spans="1:11" x14ac:dyDescent="0.25">
      <c r="A71" s="7" t="s">
        <v>322</v>
      </c>
      <c r="B71" s="1">
        <v>0</v>
      </c>
      <c r="C71" s="1">
        <v>0</v>
      </c>
      <c r="D71" s="1">
        <v>0</v>
      </c>
      <c r="E71" s="1">
        <v>0</v>
      </c>
      <c r="F71" s="1">
        <v>141440</v>
      </c>
      <c r="G71" s="1">
        <v>57250</v>
      </c>
      <c r="H71" s="1">
        <v>198690</v>
      </c>
      <c r="I71" s="1">
        <v>0</v>
      </c>
      <c r="J71" s="1">
        <v>201780</v>
      </c>
      <c r="K71" s="1">
        <v>201780</v>
      </c>
    </row>
    <row r="72" spans="1:11" x14ac:dyDescent="0.25">
      <c r="A72" s="7" t="s">
        <v>323</v>
      </c>
      <c r="B72" s="1">
        <v>174512</v>
      </c>
      <c r="C72" s="1">
        <v>0</v>
      </c>
      <c r="D72" s="1">
        <v>174512</v>
      </c>
      <c r="E72" s="1">
        <v>0</v>
      </c>
      <c r="F72" s="1">
        <v>15212685</v>
      </c>
      <c r="G72" s="1">
        <v>10154137</v>
      </c>
      <c r="H72" s="1">
        <v>25366822</v>
      </c>
      <c r="I72" s="1">
        <v>0</v>
      </c>
      <c r="J72" s="1">
        <v>15802452</v>
      </c>
      <c r="K72" s="1">
        <v>15802452</v>
      </c>
    </row>
    <row r="73" spans="1:11" x14ac:dyDescent="0.25">
      <c r="A73" s="6" t="s">
        <v>172</v>
      </c>
      <c r="B73" s="1">
        <v>0</v>
      </c>
      <c r="C73" s="1">
        <v>0</v>
      </c>
      <c r="D73" s="1">
        <v>0</v>
      </c>
      <c r="E73" s="1">
        <v>0</v>
      </c>
      <c r="F73" s="1">
        <v>4652461</v>
      </c>
      <c r="G73" s="1">
        <v>149622</v>
      </c>
      <c r="H73" s="1">
        <v>4802083</v>
      </c>
      <c r="I73" s="1"/>
      <c r="J73" s="1"/>
      <c r="K73" s="1"/>
    </row>
    <row r="74" spans="1:11" x14ac:dyDescent="0.25">
      <c r="A74" s="7" t="s">
        <v>1041</v>
      </c>
      <c r="B74" s="1">
        <v>0</v>
      </c>
      <c r="C74" s="1">
        <v>0</v>
      </c>
      <c r="D74" s="1">
        <v>0</v>
      </c>
      <c r="E74" s="1">
        <v>0</v>
      </c>
      <c r="F74" s="1">
        <v>0</v>
      </c>
      <c r="G74" s="1">
        <v>0</v>
      </c>
      <c r="H74" s="1">
        <v>0</v>
      </c>
      <c r="I74" s="1"/>
      <c r="J74" s="1"/>
      <c r="K74" s="1"/>
    </row>
    <row r="75" spans="1:11" x14ac:dyDescent="0.25">
      <c r="A75" s="7" t="s">
        <v>1042</v>
      </c>
      <c r="B75" s="1">
        <v>0</v>
      </c>
      <c r="C75" s="1">
        <v>0</v>
      </c>
      <c r="D75" s="1">
        <v>0</v>
      </c>
      <c r="E75" s="1">
        <v>0</v>
      </c>
      <c r="F75" s="1">
        <v>70027</v>
      </c>
      <c r="G75" s="1">
        <v>92265</v>
      </c>
      <c r="H75" s="1">
        <v>162292</v>
      </c>
      <c r="I75" s="1"/>
      <c r="J75" s="1"/>
      <c r="K75" s="1"/>
    </row>
    <row r="76" spans="1:11" x14ac:dyDescent="0.25">
      <c r="A76" s="7" t="s">
        <v>1043</v>
      </c>
      <c r="B76" s="1">
        <v>0</v>
      </c>
      <c r="C76" s="1">
        <v>0</v>
      </c>
      <c r="D76" s="1">
        <v>0</v>
      </c>
      <c r="E76" s="1">
        <v>0</v>
      </c>
      <c r="F76" s="1">
        <v>4517431</v>
      </c>
      <c r="G76" s="1">
        <v>681</v>
      </c>
      <c r="H76" s="1">
        <v>4518112</v>
      </c>
      <c r="I76" s="1"/>
      <c r="J76" s="1"/>
      <c r="K76" s="1"/>
    </row>
    <row r="77" spans="1:11" x14ac:dyDescent="0.25">
      <c r="A77" s="7" t="s">
        <v>1044</v>
      </c>
      <c r="B77" s="1">
        <v>0</v>
      </c>
      <c r="C77" s="1">
        <v>0</v>
      </c>
      <c r="D77" s="1">
        <v>0</v>
      </c>
      <c r="E77" s="1">
        <v>0</v>
      </c>
      <c r="F77" s="1">
        <v>0</v>
      </c>
      <c r="G77" s="1">
        <v>0</v>
      </c>
      <c r="H77" s="1">
        <v>0</v>
      </c>
      <c r="I77" s="1"/>
      <c r="J77" s="1"/>
      <c r="K77" s="1"/>
    </row>
    <row r="78" spans="1:11" x14ac:dyDescent="0.25">
      <c r="A78" s="7" t="s">
        <v>1045</v>
      </c>
      <c r="B78" s="1">
        <v>0</v>
      </c>
      <c r="C78" s="1">
        <v>0</v>
      </c>
      <c r="D78" s="1">
        <v>0</v>
      </c>
      <c r="E78" s="1">
        <v>0</v>
      </c>
      <c r="F78" s="1">
        <v>65003</v>
      </c>
      <c r="G78" s="1">
        <v>56676</v>
      </c>
      <c r="H78" s="1">
        <v>121679</v>
      </c>
      <c r="I78" s="1"/>
      <c r="J78" s="1"/>
      <c r="K78" s="1"/>
    </row>
    <row r="79" spans="1:11" x14ac:dyDescent="0.25">
      <c r="A79" s="6" t="s">
        <v>138</v>
      </c>
      <c r="B79" s="1">
        <v>174512</v>
      </c>
      <c r="C79" s="1">
        <v>0</v>
      </c>
      <c r="D79" s="1">
        <v>174512</v>
      </c>
      <c r="E79" s="1">
        <v>0</v>
      </c>
      <c r="F79" s="1">
        <v>675184721</v>
      </c>
      <c r="G79" s="1">
        <v>632872443</v>
      </c>
      <c r="H79" s="1">
        <v>1308057164</v>
      </c>
      <c r="I79" s="1">
        <v>0</v>
      </c>
      <c r="J79" s="1">
        <v>707604014</v>
      </c>
      <c r="K79" s="1">
        <v>707604014</v>
      </c>
    </row>
  </sheetData>
  <pageMargins left="0.7" right="0.7" top="0.75" bottom="0.75" header="0.3" footer="0.3"/>
  <pageSetup paperSize="9" scale="77" fitToHeight="0" orientation="landscape" r:id="rId2"/>
  <drawing r:id="rId3"/>
  <extLst>
    <ext xmlns:x14="http://schemas.microsoft.com/office/spreadsheetml/2009/9/main" uri="{A8765BA9-456A-4dab-B4F3-ACF838C121DE}">
      <x14:slicerList>
        <x14:slicer r:id="rId4"/>
      </x14:slicerList>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30">
    <tabColor rgb="FFFFC000"/>
  </sheetPr>
  <dimension ref="A1:E16"/>
  <sheetViews>
    <sheetView showGridLines="0" workbookViewId="0">
      <selection sqref="A1:C4"/>
    </sheetView>
  </sheetViews>
  <sheetFormatPr defaultRowHeight="15" x14ac:dyDescent="0.25"/>
  <cols>
    <col min="1" max="1" width="41.5703125" customWidth="1"/>
    <col min="2" max="2" width="10.85546875" customWidth="1"/>
    <col min="3" max="4" width="15.140625" bestFit="1" customWidth="1"/>
    <col min="5" max="5" width="11" style="12" bestFit="1" customWidth="1"/>
    <col min="6" max="10" width="11" bestFit="1" customWidth="1"/>
  </cols>
  <sheetData>
    <row r="1" spans="1:5" x14ac:dyDescent="0.25">
      <c r="A1" s="188" t="s">
        <v>154</v>
      </c>
      <c r="B1" s="188" t="s">
        <v>1120</v>
      </c>
      <c r="C1" s="188"/>
    </row>
    <row r="2" spans="1:5" x14ac:dyDescent="0.25">
      <c r="A2" s="188" t="s">
        <v>155</v>
      </c>
      <c r="B2" s="10">
        <f>'8. Izv. za paricni tekovi'!N13*-1</f>
        <v>123174850</v>
      </c>
      <c r="C2" s="158">
        <f>B2/$B$4</f>
        <v>0.26747690643270744</v>
      </c>
    </row>
    <row r="3" spans="1:5" x14ac:dyDescent="0.25">
      <c r="A3" s="188" t="s">
        <v>156</v>
      </c>
      <c r="B3" s="10">
        <f>'4.Specificirani rashodi'!F68-'4.Specificirani rashodi'!F42</f>
        <v>337331635</v>
      </c>
      <c r="C3" s="158">
        <f>B3/$B$4</f>
        <v>0.7325230935672925</v>
      </c>
    </row>
    <row r="4" spans="1:5" x14ac:dyDescent="0.25">
      <c r="A4" s="188"/>
      <c r="B4" s="9">
        <f>SUM(B2:B3)</f>
        <v>460506485</v>
      </c>
      <c r="C4" s="230">
        <f>SUM(C2:C3)</f>
        <v>1</v>
      </c>
    </row>
    <row r="7" spans="1:5" x14ac:dyDescent="0.25">
      <c r="A7" s="188"/>
      <c r="B7" s="234" t="str" vm="140">
        <f>CUBEMEMBER("ThisWorkbookDataModel","[Calendar].[Година].&amp;[2021]")</f>
        <v>2021</v>
      </c>
      <c r="C7" s="234" t="str" vm="184">
        <f>CUBEMEMBER("ThisWorkbookDataModel","[Calendar].[Година].&amp;[2022]")</f>
        <v>2022</v>
      </c>
      <c r="D7" s="234" t="str" vm="1479">
        <f>CUBEMEMBER("ThisWorkbookDataModel","[Calendar].[Година].&amp;[2023]")</f>
        <v>2023</v>
      </c>
    </row>
    <row r="8" spans="1:5" ht="30" x14ac:dyDescent="0.25">
      <c r="A8" s="235" t="str" vm="9">
        <f>CUBEMEMBER("ThisWorkbookDataModel","[Measures].[Sum of Износ]")</f>
        <v>Sum of Износ</v>
      </c>
      <c r="B8" s="236" t="str" vm="2">
        <f>CUBEMEMBER("ThisWorkbookDataModel",{"[Calendar].[Година].&amp;[2017]","[fActualAndBudget].[ReportType].&amp;[Остварено]"})</f>
        <v>Остварено</v>
      </c>
      <c r="C8" s="236" t="str" vm="3">
        <f>CUBEMEMBER("ThisWorkbookDataModel",{"[Calendar].[Година].&amp;[2018]","[fActualAndBudget].[ReportType].&amp;[Предвидување]"})</f>
        <v>Предвидување</v>
      </c>
      <c r="D8" s="236" t="str" vm="1">
        <f>CUBEMEMBER("ThisWorkbookDataModel",{"[Calendar].[Година].&amp;[2019]","[fActualAndBudget].[ReportType].&amp;[План]"})</f>
        <v>План</v>
      </c>
    </row>
    <row r="9" spans="1:5" x14ac:dyDescent="0.25">
      <c r="A9" s="237" t="s">
        <v>170</v>
      </c>
      <c r="B9" s="9">
        <f>'2. Bilans Na Uspeh'!C82+'2. Bilans Na Uspeh'!C106</f>
        <v>361693480</v>
      </c>
      <c r="C9" s="9">
        <f>'2. Bilans Na Uspeh'!D82+'2. Bilans Na Uspeh'!D106</f>
        <v>377399865</v>
      </c>
      <c r="D9" s="9">
        <f>'2. Bilans Na Uspeh'!F82+'2. Bilans Na Uspeh'!F106</f>
        <v>405194919</v>
      </c>
      <c r="E9" s="12">
        <f t="shared" ref="E9:E10" si="0">D9/C9-1</f>
        <v>7.3648818077876044E-2</v>
      </c>
    </row>
    <row r="10" spans="1:5" x14ac:dyDescent="0.25">
      <c r="A10" s="237" t="s">
        <v>305</v>
      </c>
      <c r="B10" s="9">
        <f>SUM('2. Bilans Na Uspeh'!C104,'2. Bilans Na Uspeh'!C109)</f>
        <v>318721498</v>
      </c>
      <c r="C10" s="9">
        <f>SUM('2. Bilans Na Uspeh'!D104,'2. Bilans Na Uspeh'!D109)</f>
        <v>323596090</v>
      </c>
      <c r="D10" s="9">
        <f>SUM('2. Bilans Na Uspeh'!F104,'2. Bilans Na Uspeh'!F109)</f>
        <v>403816097</v>
      </c>
      <c r="E10" s="12">
        <f t="shared" si="0"/>
        <v>0.24790165727898628</v>
      </c>
    </row>
    <row r="11" spans="1:5" x14ac:dyDescent="0.25">
      <c r="A11" s="188" t="s">
        <v>157</v>
      </c>
      <c r="B11" s="201">
        <f>SUM('2. Bilans Na Uspeh'!C104,'2. Bilans Na Uspeh'!C109,-'2. Bilans Na Uspeh'!C90)</f>
        <v>277035429</v>
      </c>
      <c r="C11" s="201">
        <f>SUM('2. Bilans Na Uspeh'!D104,'2. Bilans Na Uspeh'!D109,-'2. Bilans Na Uspeh'!D90)</f>
        <v>271811478</v>
      </c>
      <c r="D11" s="201">
        <f>SUM('2. Bilans Na Uspeh'!F104,'2. Bilans Na Uspeh'!F109,-'2. Bilans Na Uspeh'!F90)</f>
        <v>337331635</v>
      </c>
      <c r="E11" s="12">
        <f>D11/C11-1</f>
        <v>0.24105000083918449</v>
      </c>
    </row>
    <row r="12" spans="1:5" x14ac:dyDescent="0.25">
      <c r="A12" s="188" t="s">
        <v>158</v>
      </c>
      <c r="B12" s="10">
        <f>B9-B11</f>
        <v>84658051</v>
      </c>
      <c r="C12" s="10">
        <f>C9-C11</f>
        <v>105588387</v>
      </c>
      <c r="D12" s="10">
        <f>D9-D11</f>
        <v>67863284</v>
      </c>
      <c r="E12" s="12">
        <f t="shared" ref="E12:E16" si="1">D12/C12-1</f>
        <v>-0.35728458471479441</v>
      </c>
    </row>
    <row r="13" spans="1:5" x14ac:dyDescent="0.25">
      <c r="A13" s="238" t="s">
        <v>196</v>
      </c>
      <c r="B13" s="9" vm="1988">
        <f>'2. Bilans Na Uspeh'!C90</f>
        <v>41686069</v>
      </c>
      <c r="C13" s="9" vm="1958">
        <f>'2. Bilans Na Uspeh'!D90</f>
        <v>51784612</v>
      </c>
      <c r="D13" s="9" vm="1668">
        <f>'2. Bilans Na Uspeh'!F90</f>
        <v>66484462</v>
      </c>
      <c r="E13" s="12">
        <f t="shared" si="1"/>
        <v>0.28386521463171333</v>
      </c>
    </row>
    <row r="14" spans="1:5" x14ac:dyDescent="0.25">
      <c r="A14" s="188" t="s">
        <v>159</v>
      </c>
      <c r="B14" s="10">
        <f>B12-B13</f>
        <v>42971982</v>
      </c>
      <c r="C14" s="10">
        <f>C12-C13</f>
        <v>53803775</v>
      </c>
      <c r="D14" s="10">
        <f>D12-D13</f>
        <v>1378822</v>
      </c>
      <c r="E14" s="12">
        <f t="shared" si="1"/>
        <v>-0.97437313645743262</v>
      </c>
    </row>
    <row r="15" spans="1:5" x14ac:dyDescent="0.25">
      <c r="A15" s="188" t="s">
        <v>160</v>
      </c>
      <c r="B15" s="158">
        <f>B12/B9</f>
        <v>0.23406020755475052</v>
      </c>
      <c r="C15" s="158">
        <f>C12/C9</f>
        <v>0.27977855000027624</v>
      </c>
      <c r="D15" s="158">
        <f>D12/D9</f>
        <v>0.16748305770339633</v>
      </c>
      <c r="E15" s="12">
        <f t="shared" si="1"/>
        <v>-0.40137277249013203</v>
      </c>
    </row>
    <row r="16" spans="1:5" x14ac:dyDescent="0.25">
      <c r="A16" s="188" t="s">
        <v>161</v>
      </c>
      <c r="B16" s="158">
        <f>B14/B9</f>
        <v>0.11880773189497361</v>
      </c>
      <c r="C16" s="158">
        <f>C14/C9</f>
        <v>0.14256437267141048</v>
      </c>
      <c r="D16" s="158">
        <f>D14/D9</f>
        <v>3.4028610314336149E-3</v>
      </c>
      <c r="E16" s="12">
        <f t="shared" si="1"/>
        <v>-0.97613105597373406</v>
      </c>
    </row>
  </sheetData>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C000"/>
  </sheetPr>
  <dimension ref="A2:L140"/>
  <sheetViews>
    <sheetView workbookViewId="0">
      <selection activeCell="C145" sqref="C145"/>
    </sheetView>
  </sheetViews>
  <sheetFormatPr defaultRowHeight="15" x14ac:dyDescent="0.25"/>
  <cols>
    <col min="1" max="1" width="13.140625" bestFit="1" customWidth="1"/>
    <col min="2" max="2" width="16.28515625" bestFit="1" customWidth="1"/>
    <col min="3" max="11" width="10.140625" bestFit="1" customWidth="1"/>
    <col min="12" max="12" width="11.28515625" bestFit="1" customWidth="1"/>
    <col min="13" max="13" width="10.85546875" bestFit="1" customWidth="1"/>
    <col min="14" max="14" width="11.85546875" bestFit="1" customWidth="1"/>
    <col min="15" max="16" width="10.140625" bestFit="1" customWidth="1"/>
    <col min="17" max="17" width="13.140625" bestFit="1" customWidth="1"/>
    <col min="18" max="19" width="11.140625" bestFit="1" customWidth="1"/>
    <col min="20" max="20" width="10.140625" bestFit="1" customWidth="1"/>
    <col min="21" max="21" width="13.140625" bestFit="1" customWidth="1"/>
    <col min="22" max="22" width="10.28515625" bestFit="1" customWidth="1"/>
    <col min="23" max="24" width="10.140625" bestFit="1" customWidth="1"/>
    <col min="25" max="25" width="13.140625" bestFit="1" customWidth="1"/>
    <col min="26" max="26" width="10.28515625" bestFit="1" customWidth="1"/>
    <col min="27" max="28" width="10.140625" bestFit="1" customWidth="1"/>
    <col min="29" max="29" width="13.140625" bestFit="1" customWidth="1"/>
    <col min="30" max="30" width="10.28515625" bestFit="1" customWidth="1"/>
    <col min="31" max="32" width="10.140625" bestFit="1" customWidth="1"/>
    <col min="33" max="33" width="13.140625" bestFit="1" customWidth="1"/>
    <col min="34" max="34" width="11.140625" bestFit="1" customWidth="1"/>
    <col min="35" max="35" width="13.140625" bestFit="1" customWidth="1"/>
    <col min="36" max="36" width="12.7109375" bestFit="1" customWidth="1"/>
    <col min="37" max="37" width="9" bestFit="1" customWidth="1"/>
    <col min="38" max="41" width="11" bestFit="1" customWidth="1"/>
  </cols>
  <sheetData>
    <row r="2" spans="1:12" x14ac:dyDescent="0.25">
      <c r="A2" s="4" t="s">
        <v>152</v>
      </c>
      <c r="B2" t="s" vm="141">
        <v>301</v>
      </c>
    </row>
    <row r="3" spans="1:12" x14ac:dyDescent="0.25">
      <c r="A3" s="4" t="s">
        <v>151</v>
      </c>
      <c r="B3" t="s" vm="138">
        <v>163</v>
      </c>
    </row>
    <row r="5" spans="1:12" x14ac:dyDescent="0.25">
      <c r="A5" s="4" t="s">
        <v>136</v>
      </c>
      <c r="B5" s="4" t="s">
        <v>137</v>
      </c>
    </row>
    <row r="6" spans="1:12" x14ac:dyDescent="0.25">
      <c r="A6" s="4" t="s">
        <v>242</v>
      </c>
      <c r="B6" t="s">
        <v>140</v>
      </c>
      <c r="C6" t="s">
        <v>141</v>
      </c>
      <c r="D6" t="s">
        <v>142</v>
      </c>
      <c r="E6" t="s">
        <v>143</v>
      </c>
      <c r="F6" t="s">
        <v>144</v>
      </c>
      <c r="G6" t="s">
        <v>145</v>
      </c>
      <c r="H6" t="s">
        <v>146</v>
      </c>
      <c r="I6" t="s">
        <v>147</v>
      </c>
      <c r="J6" t="s">
        <v>148</v>
      </c>
      <c r="K6" t="s">
        <v>149</v>
      </c>
      <c r="L6" t="s">
        <v>138</v>
      </c>
    </row>
    <row r="7" spans="1:12" x14ac:dyDescent="0.25">
      <c r="A7" s="6" t="s">
        <v>379</v>
      </c>
      <c r="B7" s="1">
        <v>208016</v>
      </c>
      <c r="C7" s="1">
        <v>204388</v>
      </c>
      <c r="D7" s="1">
        <v>73520</v>
      </c>
      <c r="E7" s="1">
        <v>130952</v>
      </c>
      <c r="F7" s="1">
        <v>90108</v>
      </c>
      <c r="G7" s="1">
        <v>9878</v>
      </c>
      <c r="H7" s="1">
        <v>157096</v>
      </c>
      <c r="I7" s="1">
        <v>123</v>
      </c>
      <c r="J7" s="1">
        <v>91515</v>
      </c>
      <c r="K7" s="1">
        <v>129985</v>
      </c>
      <c r="L7" s="1">
        <v>1095581</v>
      </c>
    </row>
    <row r="8" spans="1:12" x14ac:dyDescent="0.25">
      <c r="A8" s="6" t="s">
        <v>933</v>
      </c>
      <c r="B8" s="1">
        <v>0</v>
      </c>
      <c r="C8" s="1">
        <v>0</v>
      </c>
      <c r="D8" s="1">
        <v>0</v>
      </c>
      <c r="E8" s="1">
        <v>0</v>
      </c>
      <c r="F8" s="1">
        <v>0</v>
      </c>
      <c r="G8" s="1">
        <v>0</v>
      </c>
      <c r="H8" s="1">
        <v>0</v>
      </c>
      <c r="I8" s="1">
        <v>0</v>
      </c>
      <c r="J8" s="1">
        <v>0</v>
      </c>
      <c r="K8" s="1">
        <v>0</v>
      </c>
      <c r="L8" s="1">
        <v>0</v>
      </c>
    </row>
    <row r="9" spans="1:12" x14ac:dyDescent="0.25">
      <c r="A9" s="6" t="s">
        <v>380</v>
      </c>
      <c r="B9" s="1">
        <v>50932</v>
      </c>
      <c r="C9" s="1">
        <v>55408</v>
      </c>
      <c r="D9" s="1">
        <v>18109</v>
      </c>
      <c r="E9" s="1">
        <v>24551</v>
      </c>
      <c r="F9" s="1">
        <v>7100</v>
      </c>
      <c r="G9" s="1">
        <v>18044</v>
      </c>
      <c r="H9" s="1">
        <v>14165</v>
      </c>
      <c r="I9" s="1">
        <v>0</v>
      </c>
      <c r="J9" s="1">
        <v>53960</v>
      </c>
      <c r="K9" s="1">
        <v>34179</v>
      </c>
      <c r="L9" s="1">
        <v>276448</v>
      </c>
    </row>
    <row r="10" spans="1:12" x14ac:dyDescent="0.25">
      <c r="A10" s="6" t="s">
        <v>451</v>
      </c>
      <c r="B10" s="1">
        <v>0</v>
      </c>
      <c r="C10" s="1">
        <v>0</v>
      </c>
      <c r="D10" s="1">
        <v>0</v>
      </c>
      <c r="E10" s="1">
        <v>0</v>
      </c>
      <c r="F10" s="1">
        <v>0</v>
      </c>
      <c r="G10" s="1">
        <v>0</v>
      </c>
      <c r="H10" s="1">
        <v>0</v>
      </c>
      <c r="I10" s="1">
        <v>0</v>
      </c>
      <c r="J10" s="1">
        <v>0</v>
      </c>
      <c r="K10" s="1">
        <v>0</v>
      </c>
      <c r="L10" s="1">
        <v>0</v>
      </c>
    </row>
    <row r="11" spans="1:12" x14ac:dyDescent="0.25">
      <c r="A11" s="6" t="s">
        <v>934</v>
      </c>
      <c r="B11" s="1">
        <v>0</v>
      </c>
      <c r="C11" s="1">
        <v>0</v>
      </c>
      <c r="D11" s="1">
        <v>0</v>
      </c>
      <c r="E11" s="1">
        <v>0</v>
      </c>
      <c r="F11" s="1">
        <v>0</v>
      </c>
      <c r="G11" s="1">
        <v>0</v>
      </c>
      <c r="H11" s="1">
        <v>0</v>
      </c>
      <c r="I11" s="1">
        <v>0</v>
      </c>
      <c r="J11" s="1">
        <v>0</v>
      </c>
      <c r="K11" s="1">
        <v>0</v>
      </c>
      <c r="L11" s="1">
        <v>0</v>
      </c>
    </row>
    <row r="12" spans="1:12" x14ac:dyDescent="0.25">
      <c r="A12" s="6" t="s">
        <v>381</v>
      </c>
      <c r="B12" s="1">
        <v>0</v>
      </c>
      <c r="C12" s="1">
        <v>504911</v>
      </c>
      <c r="D12" s="1">
        <v>408490</v>
      </c>
      <c r="E12" s="1">
        <v>331108</v>
      </c>
      <c r="F12" s="1">
        <v>290459</v>
      </c>
      <c r="G12" s="1">
        <v>230969</v>
      </c>
      <c r="H12" s="1">
        <v>185108</v>
      </c>
      <c r="I12" s="1">
        <v>199260</v>
      </c>
      <c r="J12" s="1">
        <v>204245</v>
      </c>
      <c r="K12" s="1">
        <v>182207</v>
      </c>
      <c r="L12" s="1">
        <v>2536757</v>
      </c>
    </row>
    <row r="13" spans="1:12" x14ac:dyDescent="0.25">
      <c r="A13" s="6" t="s">
        <v>382</v>
      </c>
      <c r="B13" s="1">
        <v>454446</v>
      </c>
      <c r="C13" s="1">
        <v>302462</v>
      </c>
      <c r="D13" s="1">
        <v>0</v>
      </c>
      <c r="E13" s="1">
        <v>0</v>
      </c>
      <c r="F13" s="1">
        <v>0</v>
      </c>
      <c r="G13" s="1">
        <v>0</v>
      </c>
      <c r="H13" s="1">
        <v>0</v>
      </c>
      <c r="I13" s="1">
        <v>0</v>
      </c>
      <c r="J13" s="1">
        <v>0</v>
      </c>
      <c r="K13" s="1">
        <v>0</v>
      </c>
      <c r="L13" s="1">
        <v>756908</v>
      </c>
    </row>
    <row r="14" spans="1:12" x14ac:dyDescent="0.25">
      <c r="A14" s="6" t="s">
        <v>935</v>
      </c>
      <c r="B14" s="1">
        <v>0</v>
      </c>
      <c r="C14" s="1">
        <v>0</v>
      </c>
      <c r="D14" s="1">
        <v>0</v>
      </c>
      <c r="E14" s="1">
        <v>0</v>
      </c>
      <c r="F14" s="1">
        <v>0</v>
      </c>
      <c r="G14" s="1">
        <v>0</v>
      </c>
      <c r="H14" s="1">
        <v>0</v>
      </c>
      <c r="I14" s="1">
        <v>0</v>
      </c>
      <c r="J14" s="1">
        <v>0</v>
      </c>
      <c r="K14" s="1">
        <v>0</v>
      </c>
      <c r="L14" s="1">
        <v>0</v>
      </c>
    </row>
    <row r="15" spans="1:12" x14ac:dyDescent="0.25">
      <c r="A15" s="6" t="s">
        <v>936</v>
      </c>
      <c r="B15" s="1">
        <v>0</v>
      </c>
      <c r="C15" s="1">
        <v>0</v>
      </c>
      <c r="D15" s="1">
        <v>0</v>
      </c>
      <c r="E15" s="1">
        <v>0</v>
      </c>
      <c r="F15" s="1">
        <v>0</v>
      </c>
      <c r="G15" s="1">
        <v>0</v>
      </c>
      <c r="H15" s="1">
        <v>0</v>
      </c>
      <c r="I15" s="1">
        <v>0</v>
      </c>
      <c r="J15" s="1">
        <v>0</v>
      </c>
      <c r="K15" s="1">
        <v>0</v>
      </c>
      <c r="L15" s="1">
        <v>0</v>
      </c>
    </row>
    <row r="16" spans="1:12" x14ac:dyDescent="0.25">
      <c r="A16" s="6" t="s">
        <v>452</v>
      </c>
      <c r="B16" s="1">
        <v>0</v>
      </c>
      <c r="C16" s="1">
        <v>4463</v>
      </c>
      <c r="D16" s="1">
        <v>4462</v>
      </c>
      <c r="E16" s="1">
        <v>4202</v>
      </c>
      <c r="F16" s="1">
        <v>2328</v>
      </c>
      <c r="G16" s="1">
        <v>9964</v>
      </c>
      <c r="H16" s="1">
        <v>2328</v>
      </c>
      <c r="I16" s="1">
        <v>4948</v>
      </c>
      <c r="J16" s="1">
        <v>0</v>
      </c>
      <c r="K16" s="1">
        <v>4523</v>
      </c>
      <c r="L16" s="1">
        <v>37218</v>
      </c>
    </row>
    <row r="17" spans="1:12" x14ac:dyDescent="0.25">
      <c r="A17" s="6" t="s">
        <v>453</v>
      </c>
      <c r="B17" s="1">
        <v>0</v>
      </c>
      <c r="C17" s="1">
        <v>4753</v>
      </c>
      <c r="D17" s="1">
        <v>2813</v>
      </c>
      <c r="E17" s="1">
        <v>7721</v>
      </c>
      <c r="F17" s="1">
        <v>7686</v>
      </c>
      <c r="G17" s="1">
        <v>9721</v>
      </c>
      <c r="H17" s="1">
        <v>9459</v>
      </c>
      <c r="I17" s="1">
        <v>5918</v>
      </c>
      <c r="J17" s="1">
        <v>0</v>
      </c>
      <c r="K17" s="1">
        <v>10737</v>
      </c>
      <c r="L17" s="1">
        <v>58808</v>
      </c>
    </row>
    <row r="18" spans="1:12" x14ac:dyDescent="0.25">
      <c r="A18" s="6" t="s">
        <v>454</v>
      </c>
      <c r="B18" s="1">
        <v>0</v>
      </c>
      <c r="C18" s="1">
        <v>0</v>
      </c>
      <c r="D18" s="1">
        <v>3153</v>
      </c>
      <c r="E18" s="1">
        <v>0</v>
      </c>
      <c r="F18" s="1">
        <v>6261</v>
      </c>
      <c r="G18" s="1">
        <v>0</v>
      </c>
      <c r="H18" s="1">
        <v>0</v>
      </c>
      <c r="I18" s="1">
        <v>10542</v>
      </c>
      <c r="J18" s="1">
        <v>3396</v>
      </c>
      <c r="K18" s="1">
        <v>0</v>
      </c>
      <c r="L18" s="1">
        <v>23352</v>
      </c>
    </row>
    <row r="19" spans="1:12" x14ac:dyDescent="0.25">
      <c r="A19" s="6" t="s">
        <v>455</v>
      </c>
      <c r="B19" s="1">
        <v>0</v>
      </c>
      <c r="C19" s="1">
        <v>7401</v>
      </c>
      <c r="D19" s="1">
        <v>13190</v>
      </c>
      <c r="E19" s="1">
        <v>17714</v>
      </c>
      <c r="F19" s="1">
        <v>11031</v>
      </c>
      <c r="G19" s="1">
        <v>10614</v>
      </c>
      <c r="H19" s="1">
        <v>19987</v>
      </c>
      <c r="I19" s="1">
        <v>13552</v>
      </c>
      <c r="J19" s="1">
        <v>12475</v>
      </c>
      <c r="K19" s="1">
        <v>14166</v>
      </c>
      <c r="L19" s="1">
        <v>120130</v>
      </c>
    </row>
    <row r="20" spans="1:12" x14ac:dyDescent="0.25">
      <c r="A20" s="6" t="s">
        <v>937</v>
      </c>
      <c r="B20" s="1">
        <v>0</v>
      </c>
      <c r="C20" s="1">
        <v>0</v>
      </c>
      <c r="D20" s="1">
        <v>0</v>
      </c>
      <c r="E20" s="1">
        <v>0</v>
      </c>
      <c r="F20" s="1">
        <v>0</v>
      </c>
      <c r="G20" s="1">
        <v>0</v>
      </c>
      <c r="H20" s="1">
        <v>0</v>
      </c>
      <c r="I20" s="1">
        <v>0</v>
      </c>
      <c r="J20" s="1">
        <v>0</v>
      </c>
      <c r="K20" s="1">
        <v>0</v>
      </c>
      <c r="L20" s="1">
        <v>0</v>
      </c>
    </row>
    <row r="21" spans="1:12" x14ac:dyDescent="0.25">
      <c r="A21" s="6" t="s">
        <v>938</v>
      </c>
      <c r="B21" s="1">
        <v>0</v>
      </c>
      <c r="C21" s="1">
        <v>0</v>
      </c>
      <c r="D21" s="1">
        <v>0</v>
      </c>
      <c r="E21" s="1">
        <v>0</v>
      </c>
      <c r="F21" s="1">
        <v>0</v>
      </c>
      <c r="G21" s="1">
        <v>0</v>
      </c>
      <c r="H21" s="1">
        <v>0</v>
      </c>
      <c r="I21" s="1">
        <v>0</v>
      </c>
      <c r="J21" s="1">
        <v>0</v>
      </c>
      <c r="K21" s="1">
        <v>0</v>
      </c>
      <c r="L21" s="1">
        <v>0</v>
      </c>
    </row>
    <row r="22" spans="1:12" x14ac:dyDescent="0.25">
      <c r="A22" s="6" t="s">
        <v>456</v>
      </c>
      <c r="B22" s="1">
        <v>0</v>
      </c>
      <c r="C22" s="1">
        <v>2872</v>
      </c>
      <c r="D22" s="1">
        <v>3007</v>
      </c>
      <c r="E22" s="1">
        <v>5916</v>
      </c>
      <c r="F22" s="1">
        <v>5675</v>
      </c>
      <c r="G22" s="1">
        <v>5962</v>
      </c>
      <c r="H22" s="1">
        <v>3143</v>
      </c>
      <c r="I22" s="1">
        <v>0</v>
      </c>
      <c r="J22" s="1">
        <v>0</v>
      </c>
      <c r="K22" s="1">
        <v>6548</v>
      </c>
      <c r="L22" s="1">
        <v>33123</v>
      </c>
    </row>
    <row r="23" spans="1:12" x14ac:dyDescent="0.25">
      <c r="A23" s="6" t="s">
        <v>457</v>
      </c>
      <c r="B23" s="1">
        <v>0</v>
      </c>
      <c r="C23" s="1">
        <v>0</v>
      </c>
      <c r="D23" s="1">
        <v>3832</v>
      </c>
      <c r="E23" s="1">
        <v>0</v>
      </c>
      <c r="F23" s="1">
        <v>2134</v>
      </c>
      <c r="G23" s="1">
        <v>2163</v>
      </c>
      <c r="H23" s="1">
        <v>2163</v>
      </c>
      <c r="I23" s="1">
        <v>2232</v>
      </c>
      <c r="J23" s="1">
        <v>0</v>
      </c>
      <c r="K23" s="1">
        <v>2135</v>
      </c>
      <c r="L23" s="1">
        <v>14659</v>
      </c>
    </row>
    <row r="24" spans="1:12" x14ac:dyDescent="0.25">
      <c r="A24" s="6" t="s">
        <v>458</v>
      </c>
      <c r="B24" s="1">
        <v>0</v>
      </c>
      <c r="C24" s="1">
        <v>0</v>
      </c>
      <c r="D24" s="1">
        <v>0</v>
      </c>
      <c r="E24" s="1">
        <v>0</v>
      </c>
      <c r="F24" s="1">
        <v>0</v>
      </c>
      <c r="G24" s="1">
        <v>0</v>
      </c>
      <c r="H24" s="1">
        <v>1650</v>
      </c>
      <c r="I24" s="1">
        <v>0</v>
      </c>
      <c r="J24" s="1">
        <v>0</v>
      </c>
      <c r="K24" s="1">
        <v>0</v>
      </c>
      <c r="L24" s="1">
        <v>1650</v>
      </c>
    </row>
    <row r="25" spans="1:12" x14ac:dyDescent="0.25">
      <c r="A25" s="6" t="s">
        <v>459</v>
      </c>
      <c r="B25" s="1">
        <v>0</v>
      </c>
      <c r="C25" s="1">
        <v>0</v>
      </c>
      <c r="D25" s="1">
        <v>0</v>
      </c>
      <c r="E25" s="1">
        <v>0</v>
      </c>
      <c r="F25" s="1">
        <v>2328</v>
      </c>
      <c r="G25" s="1">
        <v>0</v>
      </c>
      <c r="H25" s="1">
        <v>1794</v>
      </c>
      <c r="I25" s="1">
        <v>2100</v>
      </c>
      <c r="J25" s="1">
        <v>0</v>
      </c>
      <c r="K25" s="1">
        <v>0</v>
      </c>
      <c r="L25" s="1">
        <v>6222</v>
      </c>
    </row>
    <row r="26" spans="1:12" x14ac:dyDescent="0.25">
      <c r="A26" s="6" t="s">
        <v>460</v>
      </c>
      <c r="B26" s="1">
        <v>0</v>
      </c>
      <c r="C26" s="1">
        <v>0</v>
      </c>
      <c r="D26" s="1">
        <v>0</v>
      </c>
      <c r="E26" s="1">
        <v>2186</v>
      </c>
      <c r="F26" s="1">
        <v>1012</v>
      </c>
      <c r="G26" s="1">
        <v>2135</v>
      </c>
      <c r="H26" s="1">
        <v>2154</v>
      </c>
      <c r="I26" s="1">
        <v>0</v>
      </c>
      <c r="J26" s="1">
        <v>3543</v>
      </c>
      <c r="K26" s="1">
        <v>0</v>
      </c>
      <c r="L26" s="1">
        <v>11030</v>
      </c>
    </row>
    <row r="27" spans="1:12" x14ac:dyDescent="0.25">
      <c r="A27" s="6" t="s">
        <v>461</v>
      </c>
      <c r="B27" s="1">
        <v>0</v>
      </c>
      <c r="C27" s="1">
        <v>0</v>
      </c>
      <c r="D27" s="1">
        <v>2085</v>
      </c>
      <c r="E27" s="1">
        <v>0</v>
      </c>
      <c r="F27" s="1">
        <v>2402</v>
      </c>
      <c r="G27" s="1">
        <v>2233</v>
      </c>
      <c r="H27" s="1">
        <v>0</v>
      </c>
      <c r="I27" s="1">
        <v>0</v>
      </c>
      <c r="J27" s="1">
        <v>1650</v>
      </c>
      <c r="K27" s="1">
        <v>0</v>
      </c>
      <c r="L27" s="1">
        <v>8370</v>
      </c>
    </row>
    <row r="28" spans="1:12" x14ac:dyDescent="0.25">
      <c r="A28" s="6" t="s">
        <v>462</v>
      </c>
      <c r="B28" s="1">
        <v>0</v>
      </c>
      <c r="C28" s="1">
        <v>0</v>
      </c>
      <c r="D28" s="1">
        <v>3812</v>
      </c>
      <c r="E28" s="1">
        <v>0</v>
      </c>
      <c r="F28" s="1">
        <v>3638</v>
      </c>
      <c r="G28" s="1">
        <v>6158</v>
      </c>
      <c r="H28" s="1">
        <v>2249</v>
      </c>
      <c r="I28" s="1">
        <v>3249</v>
      </c>
      <c r="J28" s="1">
        <v>2067</v>
      </c>
      <c r="K28" s="1">
        <v>1426</v>
      </c>
      <c r="L28" s="1">
        <v>22599</v>
      </c>
    </row>
    <row r="29" spans="1:12" x14ac:dyDescent="0.25">
      <c r="A29" s="6" t="s">
        <v>463</v>
      </c>
      <c r="B29" s="1">
        <v>0</v>
      </c>
      <c r="C29" s="1">
        <v>1747</v>
      </c>
      <c r="D29" s="1">
        <v>1600</v>
      </c>
      <c r="E29" s="1">
        <v>1872</v>
      </c>
      <c r="F29" s="1">
        <v>1683</v>
      </c>
      <c r="G29" s="1">
        <v>2232</v>
      </c>
      <c r="H29" s="1">
        <v>1620</v>
      </c>
      <c r="I29" s="1">
        <v>2134</v>
      </c>
      <c r="J29" s="1">
        <v>1746</v>
      </c>
      <c r="K29" s="1">
        <v>5812</v>
      </c>
      <c r="L29" s="1">
        <v>20446</v>
      </c>
    </row>
    <row r="30" spans="1:12" x14ac:dyDescent="0.25">
      <c r="A30" s="6" t="s">
        <v>464</v>
      </c>
      <c r="B30" s="1">
        <v>0</v>
      </c>
      <c r="C30" s="1">
        <v>0</v>
      </c>
      <c r="D30" s="1">
        <v>0</v>
      </c>
      <c r="E30" s="1">
        <v>0</v>
      </c>
      <c r="F30" s="1">
        <v>1592</v>
      </c>
      <c r="G30" s="1">
        <v>3784</v>
      </c>
      <c r="H30" s="1">
        <v>3634</v>
      </c>
      <c r="I30" s="1">
        <v>2280</v>
      </c>
      <c r="J30" s="1">
        <v>6034</v>
      </c>
      <c r="K30" s="1">
        <v>2173</v>
      </c>
      <c r="L30" s="1">
        <v>19497</v>
      </c>
    </row>
    <row r="31" spans="1:12" x14ac:dyDescent="0.25">
      <c r="A31" s="6" t="s">
        <v>465</v>
      </c>
      <c r="B31" s="1">
        <v>0</v>
      </c>
      <c r="C31" s="1">
        <v>0</v>
      </c>
      <c r="D31" s="1">
        <v>1844</v>
      </c>
      <c r="E31" s="1">
        <v>2086</v>
      </c>
      <c r="F31" s="1">
        <v>1406</v>
      </c>
      <c r="G31" s="1">
        <v>2086</v>
      </c>
      <c r="H31" s="1">
        <v>2038</v>
      </c>
      <c r="I31" s="1">
        <v>0</v>
      </c>
      <c r="J31" s="1">
        <v>2232</v>
      </c>
      <c r="K31" s="1">
        <v>2203</v>
      </c>
      <c r="L31" s="1">
        <v>13895</v>
      </c>
    </row>
    <row r="32" spans="1:12" x14ac:dyDescent="0.25">
      <c r="A32" s="6" t="s">
        <v>466</v>
      </c>
      <c r="B32" s="1">
        <v>0</v>
      </c>
      <c r="C32" s="1">
        <v>0</v>
      </c>
      <c r="D32" s="1">
        <v>1941</v>
      </c>
      <c r="E32" s="1">
        <v>3407</v>
      </c>
      <c r="F32" s="1">
        <v>4228</v>
      </c>
      <c r="G32" s="1">
        <v>2037</v>
      </c>
      <c r="H32" s="1">
        <v>2182</v>
      </c>
      <c r="I32" s="1">
        <v>4543</v>
      </c>
      <c r="J32" s="1">
        <v>2144</v>
      </c>
      <c r="K32" s="1">
        <v>4589</v>
      </c>
      <c r="L32" s="1">
        <v>25071</v>
      </c>
    </row>
    <row r="33" spans="1:12" x14ac:dyDescent="0.25">
      <c r="A33" s="6" t="s">
        <v>383</v>
      </c>
      <c r="B33" s="1">
        <v>4833</v>
      </c>
      <c r="C33" s="1">
        <v>7820</v>
      </c>
      <c r="D33" s="1">
        <v>8879</v>
      </c>
      <c r="E33" s="1">
        <v>400</v>
      </c>
      <c r="F33" s="1">
        <v>5960</v>
      </c>
      <c r="G33" s="1">
        <v>4618</v>
      </c>
      <c r="H33" s="1">
        <v>53424</v>
      </c>
      <c r="I33" s="1">
        <v>2608</v>
      </c>
      <c r="J33" s="1">
        <v>185</v>
      </c>
      <c r="K33" s="1">
        <v>3264</v>
      </c>
      <c r="L33" s="1">
        <v>91991</v>
      </c>
    </row>
    <row r="34" spans="1:12" x14ac:dyDescent="0.25">
      <c r="A34" s="6" t="s">
        <v>939</v>
      </c>
      <c r="B34" s="1">
        <v>0</v>
      </c>
      <c r="C34" s="1">
        <v>0</v>
      </c>
      <c r="D34" s="1">
        <v>0</v>
      </c>
      <c r="E34" s="1">
        <v>0</v>
      </c>
      <c r="F34" s="1">
        <v>0</v>
      </c>
      <c r="G34" s="1">
        <v>0</v>
      </c>
      <c r="H34" s="1">
        <v>0</v>
      </c>
      <c r="I34" s="1">
        <v>0</v>
      </c>
      <c r="J34" s="1">
        <v>0</v>
      </c>
      <c r="K34" s="1">
        <v>0</v>
      </c>
      <c r="L34" s="1">
        <v>0</v>
      </c>
    </row>
    <row r="35" spans="1:12" x14ac:dyDescent="0.25">
      <c r="A35" s="6" t="s">
        <v>384</v>
      </c>
      <c r="B35" s="1">
        <v>28835</v>
      </c>
      <c r="C35" s="1">
        <v>7056</v>
      </c>
      <c r="D35" s="1">
        <v>4785</v>
      </c>
      <c r="E35" s="1">
        <v>1381200</v>
      </c>
      <c r="F35" s="1">
        <v>156</v>
      </c>
      <c r="G35" s="1">
        <v>6889</v>
      </c>
      <c r="H35" s="1">
        <v>0</v>
      </c>
      <c r="I35" s="1">
        <v>156</v>
      </c>
      <c r="J35" s="1">
        <v>4960</v>
      </c>
      <c r="K35" s="1">
        <v>1184</v>
      </c>
      <c r="L35" s="1">
        <v>1435221</v>
      </c>
    </row>
    <row r="36" spans="1:12" x14ac:dyDescent="0.25">
      <c r="A36" s="6" t="s">
        <v>385</v>
      </c>
      <c r="B36" s="1">
        <v>0</v>
      </c>
      <c r="C36" s="1">
        <v>0</v>
      </c>
      <c r="D36" s="1">
        <v>0</v>
      </c>
      <c r="E36" s="1">
        <v>0</v>
      </c>
      <c r="F36" s="1">
        <v>0</v>
      </c>
      <c r="G36" s="1">
        <v>0</v>
      </c>
      <c r="H36" s="1">
        <v>0</v>
      </c>
      <c r="I36" s="1">
        <v>0</v>
      </c>
      <c r="J36" s="1">
        <v>0</v>
      </c>
      <c r="K36" s="1">
        <v>0</v>
      </c>
      <c r="L36" s="1">
        <v>0</v>
      </c>
    </row>
    <row r="37" spans="1:12" x14ac:dyDescent="0.25">
      <c r="A37" s="6" t="s">
        <v>397</v>
      </c>
      <c r="B37" s="1">
        <v>0</v>
      </c>
      <c r="C37" s="1">
        <v>0</v>
      </c>
      <c r="D37" s="1">
        <v>0</v>
      </c>
      <c r="E37" s="1">
        <v>428</v>
      </c>
      <c r="F37" s="1">
        <v>172</v>
      </c>
      <c r="G37" s="1">
        <v>0</v>
      </c>
      <c r="H37" s="1">
        <v>0</v>
      </c>
      <c r="I37" s="1">
        <v>0</v>
      </c>
      <c r="J37" s="1">
        <v>0</v>
      </c>
      <c r="K37" s="1">
        <v>0</v>
      </c>
      <c r="L37" s="1">
        <v>600</v>
      </c>
    </row>
    <row r="38" spans="1:12" x14ac:dyDescent="0.25">
      <c r="A38" s="6" t="s">
        <v>467</v>
      </c>
      <c r="B38" s="1">
        <v>0</v>
      </c>
      <c r="C38" s="1">
        <v>0</v>
      </c>
      <c r="D38" s="1">
        <v>0</v>
      </c>
      <c r="E38" s="1">
        <v>0</v>
      </c>
      <c r="F38" s="1">
        <v>0</v>
      </c>
      <c r="G38" s="1">
        <v>0</v>
      </c>
      <c r="H38" s="1">
        <v>0</v>
      </c>
      <c r="I38" s="1">
        <v>0</v>
      </c>
      <c r="J38" s="1">
        <v>0</v>
      </c>
      <c r="K38" s="1">
        <v>0</v>
      </c>
      <c r="L38" s="1">
        <v>0</v>
      </c>
    </row>
    <row r="39" spans="1:12" x14ac:dyDescent="0.25">
      <c r="A39" s="6" t="s">
        <v>398</v>
      </c>
      <c r="B39" s="1">
        <v>0</v>
      </c>
      <c r="C39" s="1">
        <v>-24468</v>
      </c>
      <c r="D39" s="1">
        <v>30472</v>
      </c>
      <c r="E39" s="1">
        <v>753533</v>
      </c>
      <c r="F39" s="1">
        <v>354248</v>
      </c>
      <c r="G39" s="1">
        <v>30276</v>
      </c>
      <c r="H39" s="1">
        <v>710473</v>
      </c>
      <c r="I39" s="1">
        <v>29829</v>
      </c>
      <c r="J39" s="1">
        <v>0</v>
      </c>
      <c r="K39" s="1">
        <v>0</v>
      </c>
      <c r="L39" s="1">
        <v>1884363</v>
      </c>
    </row>
    <row r="40" spans="1:12" x14ac:dyDescent="0.25">
      <c r="A40" s="6" t="s">
        <v>399</v>
      </c>
      <c r="B40" s="1">
        <v>0</v>
      </c>
      <c r="C40" s="1">
        <v>0</v>
      </c>
      <c r="D40" s="1">
        <v>24798</v>
      </c>
      <c r="E40" s="1">
        <v>22698</v>
      </c>
      <c r="F40" s="1">
        <v>-10484</v>
      </c>
      <c r="G40" s="1">
        <v>430774</v>
      </c>
      <c r="H40" s="1">
        <v>78625</v>
      </c>
      <c r="I40" s="1">
        <v>122071</v>
      </c>
      <c r="J40" s="1">
        <v>91570</v>
      </c>
      <c r="K40" s="1">
        <v>100573</v>
      </c>
      <c r="L40" s="1">
        <v>860625</v>
      </c>
    </row>
    <row r="41" spans="1:12" x14ac:dyDescent="0.25">
      <c r="A41" s="6" t="s">
        <v>400</v>
      </c>
      <c r="B41" s="1">
        <v>0</v>
      </c>
      <c r="C41" s="1">
        <v>187308</v>
      </c>
      <c r="D41" s="1">
        <v>163953</v>
      </c>
      <c r="E41" s="1">
        <v>199673</v>
      </c>
      <c r="F41" s="1">
        <v>185254</v>
      </c>
      <c r="G41" s="1">
        <v>-58577</v>
      </c>
      <c r="H41" s="1">
        <v>408408</v>
      </c>
      <c r="I41" s="1">
        <v>170166</v>
      </c>
      <c r="J41" s="1">
        <v>161578</v>
      </c>
      <c r="K41" s="1">
        <v>176655</v>
      </c>
      <c r="L41" s="1">
        <v>1594418</v>
      </c>
    </row>
    <row r="42" spans="1:12" x14ac:dyDescent="0.25">
      <c r="A42" s="6" t="s">
        <v>401</v>
      </c>
      <c r="B42" s="1">
        <v>474</v>
      </c>
      <c r="C42" s="1">
        <v>70992</v>
      </c>
      <c r="D42" s="1">
        <v>64843</v>
      </c>
      <c r="E42" s="1">
        <v>100384</v>
      </c>
      <c r="F42" s="1">
        <v>75168</v>
      </c>
      <c r="G42" s="1">
        <v>69983</v>
      </c>
      <c r="H42" s="1">
        <v>119954</v>
      </c>
      <c r="I42" s="1">
        <v>68133</v>
      </c>
      <c r="J42" s="1">
        <v>46568</v>
      </c>
      <c r="K42" s="1">
        <v>51747</v>
      </c>
      <c r="L42" s="1">
        <v>668246</v>
      </c>
    </row>
    <row r="43" spans="1:12" x14ac:dyDescent="0.25">
      <c r="A43" s="6" t="s">
        <v>594</v>
      </c>
      <c r="B43" s="1">
        <v>0</v>
      </c>
      <c r="C43" s="1">
        <v>0</v>
      </c>
      <c r="D43" s="1">
        <v>0</v>
      </c>
      <c r="E43" s="1">
        <v>0</v>
      </c>
      <c r="F43" s="1">
        <v>0</v>
      </c>
      <c r="G43" s="1">
        <v>0</v>
      </c>
      <c r="H43" s="1">
        <v>0</v>
      </c>
      <c r="I43" s="1">
        <v>0</v>
      </c>
      <c r="J43" s="1">
        <v>0</v>
      </c>
      <c r="K43" s="1">
        <v>0</v>
      </c>
      <c r="L43" s="1">
        <v>0</v>
      </c>
    </row>
    <row r="44" spans="1:12" x14ac:dyDescent="0.25">
      <c r="A44" s="6" t="s">
        <v>468</v>
      </c>
      <c r="B44" s="1">
        <v>0</v>
      </c>
      <c r="C44" s="1">
        <v>0</v>
      </c>
      <c r="D44" s="1">
        <v>0</v>
      </c>
      <c r="E44" s="1">
        <v>0</v>
      </c>
      <c r="F44" s="1">
        <v>0</v>
      </c>
      <c r="G44" s="1">
        <v>0</v>
      </c>
      <c r="H44" s="1">
        <v>0</v>
      </c>
      <c r="I44" s="1">
        <v>16800</v>
      </c>
      <c r="J44" s="1">
        <v>0</v>
      </c>
      <c r="K44" s="1">
        <v>0</v>
      </c>
      <c r="L44" s="1">
        <v>16800</v>
      </c>
    </row>
    <row r="45" spans="1:12" x14ac:dyDescent="0.25">
      <c r="A45" s="6" t="s">
        <v>940</v>
      </c>
      <c r="B45" s="1">
        <v>0</v>
      </c>
      <c r="C45" s="1">
        <v>0</v>
      </c>
      <c r="D45" s="1">
        <v>360</v>
      </c>
      <c r="E45" s="1">
        <v>7962</v>
      </c>
      <c r="F45" s="1">
        <v>11123289</v>
      </c>
      <c r="G45" s="1">
        <v>0</v>
      </c>
      <c r="H45" s="1">
        <v>0</v>
      </c>
      <c r="I45" s="1">
        <v>0</v>
      </c>
      <c r="J45" s="1">
        <v>0</v>
      </c>
      <c r="K45" s="1">
        <v>0</v>
      </c>
      <c r="L45" s="1">
        <v>11131611</v>
      </c>
    </row>
    <row r="46" spans="1:12" x14ac:dyDescent="0.25">
      <c r="A46" s="6" t="s">
        <v>941</v>
      </c>
      <c r="B46" s="1">
        <v>0</v>
      </c>
      <c r="C46" s="1">
        <v>0</v>
      </c>
      <c r="D46" s="1">
        <v>0</v>
      </c>
      <c r="E46" s="1">
        <v>0</v>
      </c>
      <c r="F46" s="1">
        <v>0</v>
      </c>
      <c r="G46" s="1">
        <v>0</v>
      </c>
      <c r="H46" s="1">
        <v>0</v>
      </c>
      <c r="I46" s="1">
        <v>0</v>
      </c>
      <c r="J46" s="1">
        <v>0</v>
      </c>
      <c r="K46" s="1">
        <v>0</v>
      </c>
      <c r="L46" s="1">
        <v>0</v>
      </c>
    </row>
    <row r="47" spans="1:12" x14ac:dyDescent="0.25">
      <c r="A47" s="6" t="s">
        <v>942</v>
      </c>
      <c r="B47" s="1">
        <v>0</v>
      </c>
      <c r="C47" s="1">
        <v>0</v>
      </c>
      <c r="D47" s="1">
        <v>0</v>
      </c>
      <c r="E47" s="1">
        <v>0</v>
      </c>
      <c r="F47" s="1">
        <v>0</v>
      </c>
      <c r="G47" s="1">
        <v>0</v>
      </c>
      <c r="H47" s="1">
        <v>0</v>
      </c>
      <c r="I47" s="1">
        <v>0</v>
      </c>
      <c r="J47" s="1">
        <v>0</v>
      </c>
      <c r="K47" s="1">
        <v>0</v>
      </c>
      <c r="L47" s="1">
        <v>0</v>
      </c>
    </row>
    <row r="48" spans="1:12" x14ac:dyDescent="0.25">
      <c r="A48" s="6" t="s">
        <v>943</v>
      </c>
      <c r="B48" s="1">
        <v>0</v>
      </c>
      <c r="C48" s="1">
        <v>0</v>
      </c>
      <c r="D48" s="1">
        <v>0</v>
      </c>
      <c r="E48" s="1">
        <v>0</v>
      </c>
      <c r="F48" s="1">
        <v>0</v>
      </c>
      <c r="G48" s="1">
        <v>0</v>
      </c>
      <c r="H48" s="1">
        <v>0</v>
      </c>
      <c r="I48" s="1">
        <v>0</v>
      </c>
      <c r="J48" s="1">
        <v>0</v>
      </c>
      <c r="K48" s="1">
        <v>0</v>
      </c>
      <c r="L48" s="1">
        <v>0</v>
      </c>
    </row>
    <row r="49" spans="1:12" x14ac:dyDescent="0.25">
      <c r="A49" s="6" t="s">
        <v>402</v>
      </c>
      <c r="B49" s="1">
        <v>17936</v>
      </c>
      <c r="C49" s="1">
        <v>457593</v>
      </c>
      <c r="D49" s="1">
        <v>26800</v>
      </c>
      <c r="E49" s="1">
        <v>3540</v>
      </c>
      <c r="F49" s="1">
        <v>0</v>
      </c>
      <c r="G49" s="1">
        <v>0</v>
      </c>
      <c r="H49" s="1">
        <v>0</v>
      </c>
      <c r="I49" s="1">
        <v>0</v>
      </c>
      <c r="J49" s="1">
        <v>0</v>
      </c>
      <c r="K49" s="1">
        <v>431249</v>
      </c>
      <c r="L49" s="1">
        <v>937118</v>
      </c>
    </row>
    <row r="50" spans="1:12" x14ac:dyDescent="0.25">
      <c r="A50" s="6" t="s">
        <v>403</v>
      </c>
      <c r="B50" s="1">
        <v>3920</v>
      </c>
      <c r="C50" s="1">
        <v>970773</v>
      </c>
      <c r="D50" s="1">
        <v>340266</v>
      </c>
      <c r="E50" s="1">
        <v>427139</v>
      </c>
      <c r="F50" s="1">
        <v>373287</v>
      </c>
      <c r="G50" s="1">
        <v>476848</v>
      </c>
      <c r="H50" s="1">
        <v>322829</v>
      </c>
      <c r="I50" s="1">
        <v>430804</v>
      </c>
      <c r="J50" s="1">
        <v>411034</v>
      </c>
      <c r="K50" s="1">
        <v>326622</v>
      </c>
      <c r="L50" s="1">
        <v>4083522</v>
      </c>
    </row>
    <row r="51" spans="1:12" x14ac:dyDescent="0.25">
      <c r="A51" s="6" t="s">
        <v>404</v>
      </c>
      <c r="B51" s="1">
        <v>16000</v>
      </c>
      <c r="C51" s="1">
        <v>427185</v>
      </c>
      <c r="D51" s="1">
        <v>441984</v>
      </c>
      <c r="E51" s="1">
        <v>427185</v>
      </c>
      <c r="F51" s="1">
        <v>459074</v>
      </c>
      <c r="G51" s="1">
        <v>451665</v>
      </c>
      <c r="H51" s="1">
        <v>434265</v>
      </c>
      <c r="I51" s="1">
        <v>43870</v>
      </c>
      <c r="J51" s="1">
        <v>46456</v>
      </c>
      <c r="K51" s="1">
        <v>50224</v>
      </c>
      <c r="L51" s="1">
        <v>2797908</v>
      </c>
    </row>
    <row r="52" spans="1:12" x14ac:dyDescent="0.25">
      <c r="A52" s="6" t="s">
        <v>469</v>
      </c>
      <c r="B52" s="1">
        <v>0</v>
      </c>
      <c r="C52" s="1">
        <v>0</v>
      </c>
      <c r="D52" s="1">
        <v>0</v>
      </c>
      <c r="E52" s="1">
        <v>0</v>
      </c>
      <c r="F52" s="1">
        <v>0</v>
      </c>
      <c r="G52" s="1">
        <v>487512</v>
      </c>
      <c r="H52" s="1">
        <v>331488</v>
      </c>
      <c r="I52" s="1">
        <v>0</v>
      </c>
      <c r="J52" s="1">
        <v>0</v>
      </c>
      <c r="K52" s="1">
        <v>0</v>
      </c>
      <c r="L52" s="1">
        <v>819000</v>
      </c>
    </row>
    <row r="53" spans="1:12" x14ac:dyDescent="0.25">
      <c r="A53" s="6" t="s">
        <v>405</v>
      </c>
      <c r="B53" s="1">
        <v>0</v>
      </c>
      <c r="C53" s="1">
        <v>75438</v>
      </c>
      <c r="D53" s="1">
        <v>75438</v>
      </c>
      <c r="E53" s="1">
        <v>75438</v>
      </c>
      <c r="F53" s="1">
        <v>60000</v>
      </c>
      <c r="G53" s="1">
        <v>146396</v>
      </c>
      <c r="H53" s="1">
        <v>75438</v>
      </c>
      <c r="I53" s="1">
        <v>74821</v>
      </c>
      <c r="J53" s="1">
        <v>0</v>
      </c>
      <c r="K53" s="1">
        <v>141749</v>
      </c>
      <c r="L53" s="1">
        <v>724718</v>
      </c>
    </row>
    <row r="54" spans="1:12" x14ac:dyDescent="0.25">
      <c r="A54" s="6" t="s">
        <v>944</v>
      </c>
      <c r="B54" s="1">
        <v>0</v>
      </c>
      <c r="C54" s="1">
        <v>0</v>
      </c>
      <c r="D54" s="1">
        <v>0</v>
      </c>
      <c r="E54" s="1">
        <v>0</v>
      </c>
      <c r="F54" s="1">
        <v>0</v>
      </c>
      <c r="G54" s="1">
        <v>0</v>
      </c>
      <c r="H54" s="1">
        <v>0</v>
      </c>
      <c r="I54" s="1">
        <v>0</v>
      </c>
      <c r="J54" s="1">
        <v>0</v>
      </c>
      <c r="K54" s="1">
        <v>0</v>
      </c>
      <c r="L54" s="1">
        <v>0</v>
      </c>
    </row>
    <row r="55" spans="1:12" x14ac:dyDescent="0.25">
      <c r="A55" s="6" t="s">
        <v>470</v>
      </c>
      <c r="B55" s="1">
        <v>0</v>
      </c>
      <c r="C55" s="1">
        <v>0</v>
      </c>
      <c r="D55" s="1">
        <v>0</v>
      </c>
      <c r="E55" s="1">
        <v>0</v>
      </c>
      <c r="F55" s="1">
        <v>0</v>
      </c>
      <c r="G55" s="1">
        <v>0</v>
      </c>
      <c r="H55" s="1">
        <v>0</v>
      </c>
      <c r="I55" s="1">
        <v>0</v>
      </c>
      <c r="J55" s="1">
        <v>0</v>
      </c>
      <c r="K55" s="1">
        <v>0</v>
      </c>
      <c r="L55" s="1">
        <v>0</v>
      </c>
    </row>
    <row r="56" spans="1:12" x14ac:dyDescent="0.25">
      <c r="A56" s="6" t="s">
        <v>406</v>
      </c>
      <c r="B56" s="1">
        <v>0</v>
      </c>
      <c r="C56" s="1">
        <v>3540</v>
      </c>
      <c r="D56" s="1">
        <v>0</v>
      </c>
      <c r="E56" s="1">
        <v>10620</v>
      </c>
      <c r="F56" s="1">
        <v>0</v>
      </c>
      <c r="G56" s="1">
        <v>56480</v>
      </c>
      <c r="H56" s="1">
        <v>0</v>
      </c>
      <c r="I56" s="1">
        <v>0</v>
      </c>
      <c r="J56" s="1">
        <v>0</v>
      </c>
      <c r="K56" s="1">
        <v>0</v>
      </c>
      <c r="L56" s="1">
        <v>70640</v>
      </c>
    </row>
    <row r="57" spans="1:12" x14ac:dyDescent="0.25">
      <c r="A57" s="6" t="s">
        <v>945</v>
      </c>
      <c r="B57" s="1">
        <v>0</v>
      </c>
      <c r="C57" s="1">
        <v>0</v>
      </c>
      <c r="D57" s="1">
        <v>0</v>
      </c>
      <c r="E57" s="1">
        <v>0</v>
      </c>
      <c r="F57" s="1">
        <v>0</v>
      </c>
      <c r="G57" s="1">
        <v>0</v>
      </c>
      <c r="H57" s="1">
        <v>0</v>
      </c>
      <c r="I57" s="1">
        <v>0</v>
      </c>
      <c r="J57" s="1">
        <v>0</v>
      </c>
      <c r="K57" s="1">
        <v>0</v>
      </c>
      <c r="L57" s="1">
        <v>0</v>
      </c>
    </row>
    <row r="58" spans="1:12" x14ac:dyDescent="0.25">
      <c r="A58" s="6" t="s">
        <v>407</v>
      </c>
      <c r="B58" s="1">
        <v>0</v>
      </c>
      <c r="C58" s="1">
        <v>38624</v>
      </c>
      <c r="D58" s="1">
        <v>24846</v>
      </c>
      <c r="E58" s="1">
        <v>26612</v>
      </c>
      <c r="F58" s="1">
        <v>25663</v>
      </c>
      <c r="G58" s="1">
        <v>25123</v>
      </c>
      <c r="H58" s="1">
        <v>25505</v>
      </c>
      <c r="I58" s="1">
        <v>28892</v>
      </c>
      <c r="J58" s="1">
        <v>27817</v>
      </c>
      <c r="K58" s="1">
        <v>26599</v>
      </c>
      <c r="L58" s="1">
        <v>249681</v>
      </c>
    </row>
    <row r="59" spans="1:12" x14ac:dyDescent="0.25">
      <c r="A59" s="6" t="s">
        <v>408</v>
      </c>
      <c r="B59" s="1">
        <v>0</v>
      </c>
      <c r="C59" s="1">
        <v>7544</v>
      </c>
      <c r="D59" s="1">
        <v>6406</v>
      </c>
      <c r="E59" s="1">
        <v>6276</v>
      </c>
      <c r="F59" s="1">
        <v>7069</v>
      </c>
      <c r="G59" s="1">
        <v>4548</v>
      </c>
      <c r="H59" s="1">
        <v>8406</v>
      </c>
      <c r="I59" s="1">
        <v>6289</v>
      </c>
      <c r="J59" s="1">
        <v>5782</v>
      </c>
      <c r="K59" s="1">
        <v>6146</v>
      </c>
      <c r="L59" s="1">
        <v>58466</v>
      </c>
    </row>
    <row r="60" spans="1:12" x14ac:dyDescent="0.25">
      <c r="A60" s="6" t="s">
        <v>409</v>
      </c>
      <c r="B60" s="1">
        <v>0</v>
      </c>
      <c r="C60" s="1">
        <v>495</v>
      </c>
      <c r="D60" s="1">
        <v>495</v>
      </c>
      <c r="E60" s="1">
        <v>495</v>
      </c>
      <c r="F60" s="1">
        <v>495</v>
      </c>
      <c r="G60" s="1">
        <v>495</v>
      </c>
      <c r="H60" s="1">
        <v>495</v>
      </c>
      <c r="I60" s="1">
        <v>495</v>
      </c>
      <c r="J60" s="1">
        <v>495</v>
      </c>
      <c r="K60" s="1">
        <v>495</v>
      </c>
      <c r="L60" s="1">
        <v>4455</v>
      </c>
    </row>
    <row r="61" spans="1:12" x14ac:dyDescent="0.25">
      <c r="A61" s="6" t="s">
        <v>410</v>
      </c>
      <c r="B61" s="1">
        <v>4230</v>
      </c>
      <c r="C61" s="1">
        <v>13680</v>
      </c>
      <c r="D61" s="1">
        <v>0</v>
      </c>
      <c r="E61" s="1">
        <v>0</v>
      </c>
      <c r="F61" s="1">
        <v>160</v>
      </c>
      <c r="G61" s="1">
        <v>60</v>
      </c>
      <c r="H61" s="1">
        <v>30</v>
      </c>
      <c r="I61" s="1">
        <v>200</v>
      </c>
      <c r="J61" s="1">
        <v>80</v>
      </c>
      <c r="K61" s="1">
        <v>250</v>
      </c>
      <c r="L61" s="1">
        <v>18690</v>
      </c>
    </row>
    <row r="62" spans="1:12" x14ac:dyDescent="0.25">
      <c r="A62" s="6" t="s">
        <v>946</v>
      </c>
      <c r="B62" s="1">
        <v>0</v>
      </c>
      <c r="C62" s="1">
        <v>0</v>
      </c>
      <c r="D62" s="1">
        <v>0</v>
      </c>
      <c r="E62" s="1">
        <v>0</v>
      </c>
      <c r="F62" s="1">
        <v>0</v>
      </c>
      <c r="G62" s="1">
        <v>0</v>
      </c>
      <c r="H62" s="1">
        <v>0</v>
      </c>
      <c r="I62" s="1">
        <v>0</v>
      </c>
      <c r="J62" s="1">
        <v>0</v>
      </c>
      <c r="K62" s="1">
        <v>0</v>
      </c>
      <c r="L62" s="1">
        <v>0</v>
      </c>
    </row>
    <row r="63" spans="1:12" x14ac:dyDescent="0.25">
      <c r="A63" s="6" t="s">
        <v>411</v>
      </c>
      <c r="B63" s="1">
        <v>3343</v>
      </c>
      <c r="C63" s="1">
        <v>2596</v>
      </c>
      <c r="D63" s="1">
        <v>0</v>
      </c>
      <c r="E63" s="1">
        <v>4832</v>
      </c>
      <c r="F63" s="1">
        <v>0</v>
      </c>
      <c r="G63" s="1">
        <v>37170</v>
      </c>
      <c r="H63" s="1">
        <v>2313</v>
      </c>
      <c r="I63" s="1">
        <v>0</v>
      </c>
      <c r="J63" s="1">
        <v>0</v>
      </c>
      <c r="K63" s="1">
        <v>0</v>
      </c>
      <c r="L63" s="1">
        <v>50254</v>
      </c>
    </row>
    <row r="64" spans="1:12" x14ac:dyDescent="0.25">
      <c r="A64" s="6" t="s">
        <v>412</v>
      </c>
      <c r="B64" s="1">
        <v>0</v>
      </c>
      <c r="C64" s="1">
        <v>0</v>
      </c>
      <c r="D64" s="1">
        <v>0</v>
      </c>
      <c r="E64" s="1">
        <v>0</v>
      </c>
      <c r="F64" s="1">
        <v>0</v>
      </c>
      <c r="G64" s="1">
        <v>0</v>
      </c>
      <c r="H64" s="1">
        <v>0</v>
      </c>
      <c r="I64" s="1">
        <v>0</v>
      </c>
      <c r="J64" s="1">
        <v>0</v>
      </c>
      <c r="K64" s="1">
        <v>0</v>
      </c>
      <c r="L64" s="1">
        <v>0</v>
      </c>
    </row>
    <row r="65" spans="1:12" x14ac:dyDescent="0.25">
      <c r="A65" s="6" t="s">
        <v>413</v>
      </c>
      <c r="B65" s="1">
        <v>10048</v>
      </c>
      <c r="C65" s="1">
        <v>73505</v>
      </c>
      <c r="D65" s="1">
        <v>17464</v>
      </c>
      <c r="E65" s="1">
        <v>45804</v>
      </c>
      <c r="F65" s="1">
        <v>32536</v>
      </c>
      <c r="G65" s="1">
        <v>12500</v>
      </c>
      <c r="H65" s="1">
        <v>13740</v>
      </c>
      <c r="I65" s="1">
        <v>10000</v>
      </c>
      <c r="J65" s="1">
        <v>18516</v>
      </c>
      <c r="K65" s="1">
        <v>40612</v>
      </c>
      <c r="L65" s="1">
        <v>274725</v>
      </c>
    </row>
    <row r="66" spans="1:12" x14ac:dyDescent="0.25">
      <c r="A66" s="6" t="s">
        <v>947</v>
      </c>
      <c r="B66" s="1">
        <v>0</v>
      </c>
      <c r="C66" s="1">
        <v>0</v>
      </c>
      <c r="D66" s="1">
        <v>0</v>
      </c>
      <c r="E66" s="1">
        <v>0</v>
      </c>
      <c r="F66" s="1">
        <v>0</v>
      </c>
      <c r="G66" s="1">
        <v>0</v>
      </c>
      <c r="H66" s="1">
        <v>0</v>
      </c>
      <c r="I66" s="1">
        <v>0</v>
      </c>
      <c r="J66" s="1">
        <v>0</v>
      </c>
      <c r="K66" s="1">
        <v>0</v>
      </c>
      <c r="L66" s="1">
        <v>0</v>
      </c>
    </row>
    <row r="67" spans="1:12" x14ac:dyDescent="0.25">
      <c r="A67" s="6" t="s">
        <v>414</v>
      </c>
      <c r="B67" s="1">
        <v>10530</v>
      </c>
      <c r="C67" s="1">
        <v>5000</v>
      </c>
      <c r="D67" s="1">
        <v>0</v>
      </c>
      <c r="E67" s="1">
        <v>0</v>
      </c>
      <c r="F67" s="1">
        <v>0</v>
      </c>
      <c r="G67" s="1">
        <v>0</v>
      </c>
      <c r="H67" s="1">
        <v>0</v>
      </c>
      <c r="I67" s="1">
        <v>0</v>
      </c>
      <c r="J67" s="1">
        <v>0</v>
      </c>
      <c r="K67" s="1">
        <v>0</v>
      </c>
      <c r="L67" s="1">
        <v>15530</v>
      </c>
    </row>
    <row r="68" spans="1:12" x14ac:dyDescent="0.25">
      <c r="A68" s="6" t="s">
        <v>415</v>
      </c>
      <c r="B68" s="1">
        <v>45725</v>
      </c>
      <c r="C68" s="1">
        <v>97581</v>
      </c>
      <c r="D68" s="1">
        <v>94850</v>
      </c>
      <c r="E68" s="1">
        <v>14148</v>
      </c>
      <c r="F68" s="1">
        <v>45020</v>
      </c>
      <c r="G68" s="1">
        <v>14986</v>
      </c>
      <c r="H68" s="1">
        <v>8260</v>
      </c>
      <c r="I68" s="1">
        <v>8260</v>
      </c>
      <c r="J68" s="1">
        <v>6000</v>
      </c>
      <c r="K68" s="1">
        <v>130078</v>
      </c>
      <c r="L68" s="1">
        <v>464908</v>
      </c>
    </row>
    <row r="69" spans="1:12" x14ac:dyDescent="0.25">
      <c r="A69" s="6" t="s">
        <v>416</v>
      </c>
      <c r="B69" s="1">
        <v>0</v>
      </c>
      <c r="C69" s="1">
        <v>0</v>
      </c>
      <c r="D69" s="1">
        <v>0</v>
      </c>
      <c r="E69" s="1">
        <v>0</v>
      </c>
      <c r="F69" s="1">
        <v>0</v>
      </c>
      <c r="G69" s="1">
        <v>0</v>
      </c>
      <c r="H69" s="1">
        <v>0</v>
      </c>
      <c r="I69" s="1">
        <v>0</v>
      </c>
      <c r="J69" s="1">
        <v>0</v>
      </c>
      <c r="K69" s="1">
        <v>0</v>
      </c>
      <c r="L69" s="1">
        <v>0</v>
      </c>
    </row>
    <row r="70" spans="1:12" x14ac:dyDescent="0.25">
      <c r="A70" s="6" t="s">
        <v>417</v>
      </c>
      <c r="B70" s="1">
        <v>0</v>
      </c>
      <c r="C70" s="1">
        <v>0</v>
      </c>
      <c r="D70" s="1">
        <v>0</v>
      </c>
      <c r="E70" s="1">
        <v>0</v>
      </c>
      <c r="F70" s="1">
        <v>637200</v>
      </c>
      <c r="G70" s="1">
        <v>318600</v>
      </c>
      <c r="H70" s="1">
        <v>0</v>
      </c>
      <c r="I70" s="1">
        <v>637200</v>
      </c>
      <c r="J70" s="1">
        <v>318600</v>
      </c>
      <c r="K70" s="1">
        <v>474910</v>
      </c>
      <c r="L70" s="1">
        <v>2386510</v>
      </c>
    </row>
    <row r="71" spans="1:12" x14ac:dyDescent="0.25">
      <c r="A71" s="6" t="s">
        <v>418</v>
      </c>
      <c r="B71" s="1">
        <v>0</v>
      </c>
      <c r="C71" s="1">
        <v>0</v>
      </c>
      <c r="D71" s="1">
        <v>0</v>
      </c>
      <c r="E71" s="1">
        <v>0</v>
      </c>
      <c r="F71" s="1">
        <v>0</v>
      </c>
      <c r="G71" s="1">
        <v>0</v>
      </c>
      <c r="H71" s="1">
        <v>0</v>
      </c>
      <c r="I71" s="1">
        <v>0</v>
      </c>
      <c r="J71" s="1">
        <v>0</v>
      </c>
      <c r="K71" s="1">
        <v>0</v>
      </c>
      <c r="L71" s="1">
        <v>0</v>
      </c>
    </row>
    <row r="72" spans="1:12" x14ac:dyDescent="0.25">
      <c r="A72" s="6" t="s">
        <v>387</v>
      </c>
      <c r="B72" s="1">
        <v>18388419</v>
      </c>
      <c r="C72" s="1">
        <v>18451040</v>
      </c>
      <c r="D72" s="1">
        <v>18486605</v>
      </c>
      <c r="E72" s="1">
        <v>18839376</v>
      </c>
      <c r="F72" s="1">
        <v>18756189</v>
      </c>
      <c r="G72" s="1">
        <v>18816904</v>
      </c>
      <c r="H72" s="1">
        <v>18661555</v>
      </c>
      <c r="I72" s="1">
        <v>18403250</v>
      </c>
      <c r="J72" s="1">
        <v>18315750</v>
      </c>
      <c r="K72" s="1">
        <v>20202173</v>
      </c>
      <c r="L72" s="1">
        <v>187321261</v>
      </c>
    </row>
    <row r="73" spans="1:12" x14ac:dyDescent="0.25">
      <c r="A73" s="6" t="s">
        <v>948</v>
      </c>
      <c r="B73" s="1">
        <v>0</v>
      </c>
      <c r="C73" s="1">
        <v>0</v>
      </c>
      <c r="D73" s="1">
        <v>0</v>
      </c>
      <c r="E73" s="1">
        <v>0</v>
      </c>
      <c r="F73" s="1">
        <v>0</v>
      </c>
      <c r="G73" s="1">
        <v>0</v>
      </c>
      <c r="H73" s="1">
        <v>0</v>
      </c>
      <c r="I73" s="1">
        <v>0</v>
      </c>
      <c r="J73" s="1">
        <v>0</v>
      </c>
      <c r="K73" s="1">
        <v>0</v>
      </c>
      <c r="L73" s="1">
        <v>0</v>
      </c>
    </row>
    <row r="74" spans="1:12" x14ac:dyDescent="0.25">
      <c r="A74" s="6" t="s">
        <v>388</v>
      </c>
      <c r="B74" s="1">
        <v>48920</v>
      </c>
      <c r="C74" s="1">
        <v>49144</v>
      </c>
      <c r="D74" s="1">
        <v>0</v>
      </c>
      <c r="E74" s="1">
        <v>50096</v>
      </c>
      <c r="F74" s="1">
        <v>0</v>
      </c>
      <c r="G74" s="1">
        <v>0</v>
      </c>
      <c r="H74" s="1">
        <v>146954</v>
      </c>
      <c r="I74" s="1">
        <v>0</v>
      </c>
      <c r="J74" s="1">
        <v>0</v>
      </c>
      <c r="K74" s="1">
        <v>50386</v>
      </c>
      <c r="L74" s="1">
        <v>345500</v>
      </c>
    </row>
    <row r="75" spans="1:12" x14ac:dyDescent="0.25">
      <c r="A75" s="6" t="s">
        <v>389</v>
      </c>
      <c r="B75" s="1">
        <v>0</v>
      </c>
      <c r="C75" s="1">
        <v>0</v>
      </c>
      <c r="D75" s="1">
        <v>0</v>
      </c>
      <c r="E75" s="1">
        <v>0</v>
      </c>
      <c r="F75" s="1">
        <v>0</v>
      </c>
      <c r="G75" s="1">
        <v>0</v>
      </c>
      <c r="H75" s="1">
        <v>0</v>
      </c>
      <c r="I75" s="1">
        <v>0</v>
      </c>
      <c r="J75" s="1">
        <v>0</v>
      </c>
      <c r="K75" s="1">
        <v>0</v>
      </c>
      <c r="L75" s="1">
        <v>0</v>
      </c>
    </row>
    <row r="76" spans="1:12" x14ac:dyDescent="0.25">
      <c r="A76" s="6" t="s">
        <v>821</v>
      </c>
      <c r="B76" s="1">
        <v>0</v>
      </c>
      <c r="C76" s="1">
        <v>0</v>
      </c>
      <c r="D76" s="1">
        <v>0</v>
      </c>
      <c r="E76" s="1">
        <v>0</v>
      </c>
      <c r="F76" s="1">
        <v>0</v>
      </c>
      <c r="G76" s="1">
        <v>0</v>
      </c>
      <c r="H76" s="1">
        <v>4911300</v>
      </c>
      <c r="I76" s="1">
        <v>43332</v>
      </c>
      <c r="J76" s="1">
        <v>0</v>
      </c>
      <c r="K76" s="1">
        <v>0</v>
      </c>
      <c r="L76" s="1">
        <v>4954632</v>
      </c>
    </row>
    <row r="77" spans="1:12" x14ac:dyDescent="0.25">
      <c r="A77" s="6" t="s">
        <v>390</v>
      </c>
      <c r="B77" s="1">
        <v>0</v>
      </c>
      <c r="C77" s="1">
        <v>0</v>
      </c>
      <c r="D77" s="1">
        <v>0</v>
      </c>
      <c r="E77" s="1">
        <v>0</v>
      </c>
      <c r="F77" s="1">
        <v>0</v>
      </c>
      <c r="G77" s="1">
        <v>0</v>
      </c>
      <c r="H77" s="1">
        <v>49044</v>
      </c>
      <c r="I77" s="1">
        <v>0</v>
      </c>
      <c r="J77" s="1">
        <v>50174</v>
      </c>
      <c r="K77" s="1">
        <v>0</v>
      </c>
      <c r="L77" s="1">
        <v>99218</v>
      </c>
    </row>
    <row r="78" spans="1:12" x14ac:dyDescent="0.25">
      <c r="A78" s="6" t="s">
        <v>949</v>
      </c>
      <c r="B78" s="1">
        <v>0</v>
      </c>
      <c r="C78" s="1">
        <v>0</v>
      </c>
      <c r="D78" s="1">
        <v>0</v>
      </c>
      <c r="E78" s="1">
        <v>0</v>
      </c>
      <c r="F78" s="1">
        <v>0</v>
      </c>
      <c r="G78" s="1">
        <v>0</v>
      </c>
      <c r="H78" s="1">
        <v>0</v>
      </c>
      <c r="I78" s="1">
        <v>0</v>
      </c>
      <c r="J78" s="1">
        <v>0</v>
      </c>
      <c r="K78" s="1">
        <v>0</v>
      </c>
      <c r="L78" s="1">
        <v>0</v>
      </c>
    </row>
    <row r="79" spans="1:12" x14ac:dyDescent="0.25">
      <c r="A79" s="6" t="s">
        <v>584</v>
      </c>
      <c r="B79" s="1">
        <v>0</v>
      </c>
      <c r="C79" s="1">
        <v>0</v>
      </c>
      <c r="D79" s="1">
        <v>0</v>
      </c>
      <c r="E79" s="1">
        <v>0</v>
      </c>
      <c r="F79" s="1">
        <v>0</v>
      </c>
      <c r="G79" s="1">
        <v>0</v>
      </c>
      <c r="H79" s="1">
        <v>0</v>
      </c>
      <c r="I79" s="1">
        <v>0</v>
      </c>
      <c r="J79" s="1">
        <v>0</v>
      </c>
      <c r="K79" s="1">
        <v>0</v>
      </c>
      <c r="L79" s="1">
        <v>0</v>
      </c>
    </row>
    <row r="80" spans="1:12" x14ac:dyDescent="0.25">
      <c r="A80" s="6" t="s">
        <v>237</v>
      </c>
      <c r="B80" s="1">
        <v>828409</v>
      </c>
      <c r="C80" s="1">
        <v>828409</v>
      </c>
      <c r="D80" s="1">
        <v>828409</v>
      </c>
      <c r="E80" s="1">
        <v>828409</v>
      </c>
      <c r="F80" s="1">
        <v>813926</v>
      </c>
      <c r="G80" s="1">
        <v>631198</v>
      </c>
      <c r="H80" s="1">
        <v>572544</v>
      </c>
      <c r="I80" s="1">
        <v>525001</v>
      </c>
      <c r="J80" s="1">
        <v>525001</v>
      </c>
      <c r="K80" s="1">
        <v>756615</v>
      </c>
      <c r="L80" s="1">
        <v>7137921</v>
      </c>
    </row>
    <row r="81" spans="1:12" x14ac:dyDescent="0.25">
      <c r="A81" s="6" t="s">
        <v>391</v>
      </c>
      <c r="B81" s="1">
        <v>23906</v>
      </c>
      <c r="C81" s="1">
        <v>23906</v>
      </c>
      <c r="D81" s="1">
        <v>23906</v>
      </c>
      <c r="E81" s="1">
        <v>23906</v>
      </c>
      <c r="F81" s="1">
        <v>23906</v>
      </c>
      <c r="G81" s="1">
        <v>23906</v>
      </c>
      <c r="H81" s="1">
        <v>23906</v>
      </c>
      <c r="I81" s="1">
        <v>23906</v>
      </c>
      <c r="J81" s="1">
        <v>23906</v>
      </c>
      <c r="K81" s="1">
        <v>23906</v>
      </c>
      <c r="L81" s="1">
        <v>239060</v>
      </c>
    </row>
    <row r="82" spans="1:12" x14ac:dyDescent="0.25">
      <c r="A82" s="6" t="s">
        <v>550</v>
      </c>
      <c r="B82" s="1">
        <v>84971</v>
      </c>
      <c r="C82" s="1">
        <v>84971</v>
      </c>
      <c r="D82" s="1">
        <v>84971</v>
      </c>
      <c r="E82" s="1">
        <v>84971</v>
      </c>
      <c r="F82" s="1">
        <v>84971</v>
      </c>
      <c r="G82" s="1">
        <v>84971</v>
      </c>
      <c r="H82" s="1">
        <v>84971</v>
      </c>
      <c r="I82" s="1">
        <v>84971</v>
      </c>
      <c r="J82" s="1">
        <v>84971</v>
      </c>
      <c r="K82" s="1">
        <v>84971</v>
      </c>
      <c r="L82" s="1">
        <v>849710</v>
      </c>
    </row>
    <row r="83" spans="1:12" x14ac:dyDescent="0.25">
      <c r="A83" s="6" t="s">
        <v>552</v>
      </c>
      <c r="B83" s="1">
        <v>392981</v>
      </c>
      <c r="C83" s="1">
        <v>392981</v>
      </c>
      <c r="D83" s="1">
        <v>392981</v>
      </c>
      <c r="E83" s="1">
        <v>392981</v>
      </c>
      <c r="F83" s="1">
        <v>392981</v>
      </c>
      <c r="G83" s="1">
        <v>392981</v>
      </c>
      <c r="H83" s="1">
        <v>392981</v>
      </c>
      <c r="I83" s="1">
        <v>392981</v>
      </c>
      <c r="J83" s="1">
        <v>392981</v>
      </c>
      <c r="K83" s="1">
        <v>392981</v>
      </c>
      <c r="L83" s="1">
        <v>3929810</v>
      </c>
    </row>
    <row r="84" spans="1:12" x14ac:dyDescent="0.25">
      <c r="A84" s="6" t="s">
        <v>392</v>
      </c>
      <c r="B84" s="1">
        <v>249468</v>
      </c>
      <c r="C84" s="1">
        <v>249468</v>
      </c>
      <c r="D84" s="1">
        <v>249468</v>
      </c>
      <c r="E84" s="1">
        <v>249468</v>
      </c>
      <c r="F84" s="1">
        <v>249468</v>
      </c>
      <c r="G84" s="1">
        <v>237535</v>
      </c>
      <c r="H84" s="1">
        <v>194211</v>
      </c>
      <c r="I84" s="1">
        <v>194211</v>
      </c>
      <c r="J84" s="1">
        <v>194211</v>
      </c>
      <c r="K84" s="1">
        <v>173856</v>
      </c>
      <c r="L84" s="1">
        <v>2241364</v>
      </c>
    </row>
    <row r="85" spans="1:12" x14ac:dyDescent="0.25">
      <c r="A85" s="6" t="s">
        <v>393</v>
      </c>
      <c r="B85" s="1">
        <v>10325</v>
      </c>
      <c r="C85" s="1">
        <v>10325</v>
      </c>
      <c r="D85" s="1">
        <v>10325</v>
      </c>
      <c r="E85" s="1">
        <v>10325</v>
      </c>
      <c r="F85" s="1">
        <v>10325</v>
      </c>
      <c r="G85" s="1">
        <v>10325</v>
      </c>
      <c r="H85" s="1">
        <v>10325</v>
      </c>
      <c r="I85" s="1">
        <v>10325</v>
      </c>
      <c r="J85" s="1">
        <v>10325</v>
      </c>
      <c r="K85" s="1">
        <v>10325</v>
      </c>
      <c r="L85" s="1">
        <v>103250</v>
      </c>
    </row>
    <row r="86" spans="1:12" x14ac:dyDescent="0.25">
      <c r="A86" s="6" t="s">
        <v>296</v>
      </c>
      <c r="B86" s="1">
        <v>1314745</v>
      </c>
      <c r="C86" s="1">
        <v>1323117</v>
      </c>
      <c r="D86" s="1">
        <v>1005662</v>
      </c>
      <c r="E86" s="1">
        <v>846851</v>
      </c>
      <c r="F86" s="1">
        <v>846851</v>
      </c>
      <c r="G86" s="1">
        <v>846851</v>
      </c>
      <c r="H86" s="1">
        <v>846851</v>
      </c>
      <c r="I86" s="1">
        <v>873757</v>
      </c>
      <c r="J86" s="1">
        <v>873918</v>
      </c>
      <c r="K86" s="1">
        <v>879807</v>
      </c>
      <c r="L86" s="1">
        <v>9658410</v>
      </c>
    </row>
    <row r="87" spans="1:12" x14ac:dyDescent="0.25">
      <c r="A87" s="6" t="s">
        <v>326</v>
      </c>
      <c r="B87" s="1">
        <v>38384</v>
      </c>
      <c r="C87" s="1">
        <v>38384</v>
      </c>
      <c r="D87" s="1">
        <v>38384</v>
      </c>
      <c r="E87" s="1">
        <v>51206</v>
      </c>
      <c r="F87" s="1">
        <v>50736</v>
      </c>
      <c r="G87" s="1">
        <v>50736</v>
      </c>
      <c r="H87" s="1">
        <v>50736</v>
      </c>
      <c r="I87" s="1">
        <v>50736</v>
      </c>
      <c r="J87" s="1">
        <v>17445</v>
      </c>
      <c r="K87" s="1">
        <v>79259</v>
      </c>
      <c r="L87" s="1">
        <v>466006</v>
      </c>
    </row>
    <row r="88" spans="1:12" x14ac:dyDescent="0.25">
      <c r="A88" s="6" t="s">
        <v>394</v>
      </c>
      <c r="B88" s="1">
        <v>17160</v>
      </c>
      <c r="C88" s="1">
        <v>17160</v>
      </c>
      <c r="D88" s="1">
        <v>17160</v>
      </c>
      <c r="E88" s="1">
        <v>17160</v>
      </c>
      <c r="F88" s="1">
        <v>17160</v>
      </c>
      <c r="G88" s="1">
        <v>17160</v>
      </c>
      <c r="H88" s="1">
        <v>17160</v>
      </c>
      <c r="I88" s="1">
        <v>17160</v>
      </c>
      <c r="J88" s="1">
        <v>17160</v>
      </c>
      <c r="K88" s="1">
        <v>17160</v>
      </c>
      <c r="L88" s="1">
        <v>171600</v>
      </c>
    </row>
    <row r="89" spans="1:12" x14ac:dyDescent="0.25">
      <c r="A89" s="6" t="s">
        <v>395</v>
      </c>
      <c r="B89" s="1">
        <v>1528</v>
      </c>
      <c r="C89" s="1">
        <v>1528</v>
      </c>
      <c r="D89" s="1">
        <v>1528</v>
      </c>
      <c r="E89" s="1">
        <v>1528</v>
      </c>
      <c r="F89" s="1">
        <v>1528</v>
      </c>
      <c r="G89" s="1">
        <v>1528</v>
      </c>
      <c r="H89" s="1">
        <v>1528</v>
      </c>
      <c r="I89" s="1">
        <v>1528</v>
      </c>
      <c r="J89" s="1">
        <v>1528</v>
      </c>
      <c r="K89" s="1">
        <v>1528</v>
      </c>
      <c r="L89" s="1">
        <v>15280</v>
      </c>
    </row>
    <row r="90" spans="1:12" x14ac:dyDescent="0.25">
      <c r="A90" s="6" t="s">
        <v>950</v>
      </c>
      <c r="B90" s="1">
        <v>0</v>
      </c>
      <c r="C90" s="1">
        <v>0</v>
      </c>
      <c r="D90" s="1">
        <v>0</v>
      </c>
      <c r="E90" s="1">
        <v>0</v>
      </c>
      <c r="F90" s="1">
        <v>0</v>
      </c>
      <c r="G90" s="1">
        <v>0</v>
      </c>
      <c r="H90" s="1">
        <v>0</v>
      </c>
      <c r="I90" s="1">
        <v>0</v>
      </c>
      <c r="J90" s="1">
        <v>0</v>
      </c>
      <c r="K90" s="1">
        <v>0</v>
      </c>
      <c r="L90" s="1">
        <v>0</v>
      </c>
    </row>
    <row r="91" spans="1:12" x14ac:dyDescent="0.25">
      <c r="A91" s="6" t="s">
        <v>419</v>
      </c>
      <c r="B91" s="1">
        <v>25458</v>
      </c>
      <c r="C91" s="1">
        <v>18705</v>
      </c>
      <c r="D91" s="1">
        <v>2583</v>
      </c>
      <c r="E91" s="1">
        <v>29456</v>
      </c>
      <c r="F91" s="1">
        <v>0</v>
      </c>
      <c r="G91" s="1">
        <v>107830</v>
      </c>
      <c r="H91" s="1">
        <v>26286</v>
      </c>
      <c r="I91" s="1">
        <v>0</v>
      </c>
      <c r="J91" s="1">
        <v>15465</v>
      </c>
      <c r="K91" s="1">
        <v>59778</v>
      </c>
      <c r="L91" s="1">
        <v>285561</v>
      </c>
    </row>
    <row r="92" spans="1:12" x14ac:dyDescent="0.25">
      <c r="A92" s="6" t="s">
        <v>420</v>
      </c>
      <c r="B92" s="1">
        <v>3990</v>
      </c>
      <c r="C92" s="1">
        <v>8680</v>
      </c>
      <c r="D92" s="1">
        <v>8120</v>
      </c>
      <c r="E92" s="1">
        <v>9820</v>
      </c>
      <c r="F92" s="1">
        <v>16940</v>
      </c>
      <c r="G92" s="1">
        <v>9730</v>
      </c>
      <c r="H92" s="1">
        <v>5040</v>
      </c>
      <c r="I92" s="1">
        <v>7300</v>
      </c>
      <c r="J92" s="1">
        <v>5640</v>
      </c>
      <c r="K92" s="1">
        <v>6210</v>
      </c>
      <c r="L92" s="1">
        <v>81470</v>
      </c>
    </row>
    <row r="93" spans="1:12" x14ac:dyDescent="0.25">
      <c r="A93" s="6" t="s">
        <v>421</v>
      </c>
      <c r="B93" s="1">
        <v>39576</v>
      </c>
      <c r="C93" s="1">
        <v>51444</v>
      </c>
      <c r="D93" s="1">
        <v>269170</v>
      </c>
      <c r="E93" s="1">
        <v>40342</v>
      </c>
      <c r="F93" s="1">
        <v>48389</v>
      </c>
      <c r="G93" s="1">
        <v>1199</v>
      </c>
      <c r="H93" s="1">
        <v>0</v>
      </c>
      <c r="I93" s="1">
        <v>0</v>
      </c>
      <c r="J93" s="1">
        <v>47943</v>
      </c>
      <c r="K93" s="1">
        <v>126061</v>
      </c>
      <c r="L93" s="1">
        <v>624124</v>
      </c>
    </row>
    <row r="94" spans="1:12" x14ac:dyDescent="0.25">
      <c r="A94" s="6" t="s">
        <v>422</v>
      </c>
      <c r="B94" s="1">
        <v>0</v>
      </c>
      <c r="C94" s="1">
        <v>0</v>
      </c>
      <c r="D94" s="1">
        <v>9808</v>
      </c>
      <c r="E94" s="1">
        <v>0</v>
      </c>
      <c r="F94" s="1">
        <v>0</v>
      </c>
      <c r="G94" s="1">
        <v>0</v>
      </c>
      <c r="H94" s="1">
        <v>0</v>
      </c>
      <c r="I94" s="1">
        <v>0</v>
      </c>
      <c r="J94" s="1">
        <v>0</v>
      </c>
      <c r="K94" s="1">
        <v>0</v>
      </c>
      <c r="L94" s="1">
        <v>9808</v>
      </c>
    </row>
    <row r="95" spans="1:12" x14ac:dyDescent="0.25">
      <c r="A95" s="6" t="s">
        <v>951</v>
      </c>
      <c r="B95" s="1">
        <v>0</v>
      </c>
      <c r="C95" s="1">
        <v>0</v>
      </c>
      <c r="D95" s="1">
        <v>0</v>
      </c>
      <c r="E95" s="1">
        <v>0</v>
      </c>
      <c r="F95" s="1">
        <v>0</v>
      </c>
      <c r="G95" s="1">
        <v>0</v>
      </c>
      <c r="H95" s="1">
        <v>0</v>
      </c>
      <c r="I95" s="1">
        <v>0</v>
      </c>
      <c r="J95" s="1">
        <v>0</v>
      </c>
      <c r="K95" s="1">
        <v>0</v>
      </c>
      <c r="L95" s="1">
        <v>0</v>
      </c>
    </row>
    <row r="96" spans="1:12" x14ac:dyDescent="0.25">
      <c r="A96" s="6" t="s">
        <v>423</v>
      </c>
      <c r="B96" s="1">
        <v>1043</v>
      </c>
      <c r="C96" s="1">
        <v>0</v>
      </c>
      <c r="D96" s="1">
        <v>34441</v>
      </c>
      <c r="E96" s="1">
        <v>0</v>
      </c>
      <c r="F96" s="1">
        <v>150973</v>
      </c>
      <c r="G96" s="1">
        <v>82812</v>
      </c>
      <c r="H96" s="1">
        <v>17442</v>
      </c>
      <c r="I96" s="1">
        <v>0</v>
      </c>
      <c r="J96" s="1">
        <v>84868</v>
      </c>
      <c r="K96" s="1">
        <v>43005</v>
      </c>
      <c r="L96" s="1">
        <v>414584</v>
      </c>
    </row>
    <row r="97" spans="1:12" x14ac:dyDescent="0.25">
      <c r="A97" s="6" t="s">
        <v>952</v>
      </c>
      <c r="B97" s="1">
        <v>0</v>
      </c>
      <c r="C97" s="1">
        <v>0</v>
      </c>
      <c r="D97" s="1">
        <v>0</v>
      </c>
      <c r="E97" s="1">
        <v>0</v>
      </c>
      <c r="F97" s="1">
        <v>0</v>
      </c>
      <c r="G97" s="1">
        <v>0</v>
      </c>
      <c r="H97" s="1">
        <v>0</v>
      </c>
      <c r="I97" s="1">
        <v>0</v>
      </c>
      <c r="J97" s="1">
        <v>0</v>
      </c>
      <c r="K97" s="1">
        <v>0</v>
      </c>
      <c r="L97" s="1">
        <v>0</v>
      </c>
    </row>
    <row r="98" spans="1:12" x14ac:dyDescent="0.25">
      <c r="A98" s="6" t="s">
        <v>424</v>
      </c>
      <c r="B98" s="1">
        <v>7200</v>
      </c>
      <c r="C98" s="1">
        <v>0</v>
      </c>
      <c r="D98" s="1">
        <v>0</v>
      </c>
      <c r="E98" s="1">
        <v>7200</v>
      </c>
      <c r="F98" s="1">
        <v>14400</v>
      </c>
      <c r="G98" s="1">
        <v>5400</v>
      </c>
      <c r="H98" s="1">
        <v>0</v>
      </c>
      <c r="I98" s="1">
        <v>16200</v>
      </c>
      <c r="J98" s="1">
        <v>0</v>
      </c>
      <c r="K98" s="1">
        <v>7200</v>
      </c>
      <c r="L98" s="1">
        <v>57600</v>
      </c>
    </row>
    <row r="99" spans="1:12" x14ac:dyDescent="0.25">
      <c r="A99" s="6" t="s">
        <v>953</v>
      </c>
      <c r="B99" s="1">
        <v>0</v>
      </c>
      <c r="C99" s="1">
        <v>0</v>
      </c>
      <c r="D99" s="1">
        <v>0</v>
      </c>
      <c r="E99" s="1">
        <v>0</v>
      </c>
      <c r="F99" s="1">
        <v>0</v>
      </c>
      <c r="G99" s="1">
        <v>0</v>
      </c>
      <c r="H99" s="1">
        <v>0</v>
      </c>
      <c r="I99" s="1">
        <v>0</v>
      </c>
      <c r="J99" s="1">
        <v>0</v>
      </c>
      <c r="K99" s="1">
        <v>0</v>
      </c>
      <c r="L99" s="1">
        <v>0</v>
      </c>
    </row>
    <row r="100" spans="1:12" x14ac:dyDescent="0.25">
      <c r="A100" s="6" t="s">
        <v>425</v>
      </c>
      <c r="B100" s="1">
        <v>0</v>
      </c>
      <c r="C100" s="1">
        <v>53334</v>
      </c>
      <c r="D100" s="1">
        <v>56724</v>
      </c>
      <c r="E100" s="1">
        <v>64729</v>
      </c>
      <c r="F100" s="1">
        <v>57777</v>
      </c>
      <c r="G100" s="1">
        <v>57777</v>
      </c>
      <c r="H100" s="1">
        <v>72156</v>
      </c>
      <c r="I100" s="1">
        <v>57777</v>
      </c>
      <c r="J100" s="1">
        <v>64993</v>
      </c>
      <c r="K100" s="1">
        <v>65361</v>
      </c>
      <c r="L100" s="1">
        <v>550628</v>
      </c>
    </row>
    <row r="101" spans="1:12" x14ac:dyDescent="0.25">
      <c r="A101" s="6" t="s">
        <v>426</v>
      </c>
      <c r="B101" s="1">
        <v>0</v>
      </c>
      <c r="C101" s="1">
        <v>34445</v>
      </c>
      <c r="D101" s="1">
        <v>34445</v>
      </c>
      <c r="E101" s="1">
        <v>34445</v>
      </c>
      <c r="F101" s="1">
        <v>34445</v>
      </c>
      <c r="G101" s="1">
        <v>34445</v>
      </c>
      <c r="H101" s="1">
        <v>34445</v>
      </c>
      <c r="I101" s="1">
        <v>34445</v>
      </c>
      <c r="J101" s="1">
        <v>34445</v>
      </c>
      <c r="K101" s="1">
        <v>34445</v>
      </c>
      <c r="L101" s="1">
        <v>310005</v>
      </c>
    </row>
    <row r="102" spans="1:12" x14ac:dyDescent="0.25">
      <c r="A102" s="6" t="s">
        <v>954</v>
      </c>
      <c r="B102" s="1">
        <v>0</v>
      </c>
      <c r="C102" s="1">
        <v>0</v>
      </c>
      <c r="D102" s="1">
        <v>0</v>
      </c>
      <c r="E102" s="1">
        <v>0</v>
      </c>
      <c r="F102" s="1">
        <v>0</v>
      </c>
      <c r="G102" s="1">
        <v>0</v>
      </c>
      <c r="H102" s="1">
        <v>0</v>
      </c>
      <c r="I102" s="1">
        <v>0</v>
      </c>
      <c r="J102" s="1">
        <v>0</v>
      </c>
      <c r="K102" s="1">
        <v>0</v>
      </c>
      <c r="L102" s="1">
        <v>0</v>
      </c>
    </row>
    <row r="103" spans="1:12" x14ac:dyDescent="0.25">
      <c r="A103" s="6" t="s">
        <v>427</v>
      </c>
      <c r="B103" s="1">
        <v>29932</v>
      </c>
      <c r="C103" s="1">
        <v>25201</v>
      </c>
      <c r="D103" s="1">
        <v>0</v>
      </c>
      <c r="E103" s="1">
        <v>8193</v>
      </c>
      <c r="F103" s="1">
        <v>32456</v>
      </c>
      <c r="G103" s="1">
        <v>18167</v>
      </c>
      <c r="H103" s="1">
        <v>47810</v>
      </c>
      <c r="I103" s="1">
        <v>29866</v>
      </c>
      <c r="J103" s="1">
        <v>25736</v>
      </c>
      <c r="K103" s="1">
        <v>0</v>
      </c>
      <c r="L103" s="1">
        <v>217361</v>
      </c>
    </row>
    <row r="104" spans="1:12" x14ac:dyDescent="0.25">
      <c r="A104" s="6" t="s">
        <v>428</v>
      </c>
      <c r="B104" s="1">
        <v>0</v>
      </c>
      <c r="C104" s="1">
        <v>0</v>
      </c>
      <c r="D104" s="1">
        <v>0</v>
      </c>
      <c r="E104" s="1">
        <v>0</v>
      </c>
      <c r="F104" s="1">
        <v>40345</v>
      </c>
      <c r="G104" s="1">
        <v>0</v>
      </c>
      <c r="H104" s="1">
        <v>0</v>
      </c>
      <c r="I104" s="1">
        <v>0</v>
      </c>
      <c r="J104" s="1">
        <v>0</v>
      </c>
      <c r="K104" s="1">
        <v>0</v>
      </c>
      <c r="L104" s="1">
        <v>40345</v>
      </c>
    </row>
    <row r="105" spans="1:12" x14ac:dyDescent="0.25">
      <c r="A105" s="6" t="s">
        <v>429</v>
      </c>
      <c r="B105" s="1">
        <v>0</v>
      </c>
      <c r="C105" s="1">
        <v>0</v>
      </c>
      <c r="D105" s="1">
        <v>0</v>
      </c>
      <c r="E105" s="1">
        <v>0</v>
      </c>
      <c r="F105" s="1">
        <v>24372</v>
      </c>
      <c r="G105" s="1">
        <v>22158</v>
      </c>
      <c r="H105" s="1">
        <v>0</v>
      </c>
      <c r="I105" s="1">
        <v>36499</v>
      </c>
      <c r="J105" s="1">
        <v>52664</v>
      </c>
      <c r="K105" s="1">
        <v>7585</v>
      </c>
      <c r="L105" s="1">
        <v>143278</v>
      </c>
    </row>
    <row r="106" spans="1:12" x14ac:dyDescent="0.25">
      <c r="A106" s="6" t="s">
        <v>430</v>
      </c>
      <c r="B106" s="1">
        <v>0</v>
      </c>
      <c r="C106" s="1">
        <v>0</v>
      </c>
      <c r="D106" s="1">
        <v>0</v>
      </c>
      <c r="E106" s="1">
        <v>0</v>
      </c>
      <c r="F106" s="1">
        <v>122187</v>
      </c>
      <c r="G106" s="1">
        <v>0</v>
      </c>
      <c r="H106" s="1">
        <v>0</v>
      </c>
      <c r="I106" s="1">
        <v>0</v>
      </c>
      <c r="J106" s="1">
        <v>0</v>
      </c>
      <c r="K106" s="1">
        <v>0</v>
      </c>
      <c r="L106" s="1">
        <v>122187</v>
      </c>
    </row>
    <row r="107" spans="1:12" x14ac:dyDescent="0.25">
      <c r="A107" s="6" t="s">
        <v>431</v>
      </c>
      <c r="B107" s="1">
        <v>0</v>
      </c>
      <c r="C107" s="1">
        <v>0</v>
      </c>
      <c r="D107" s="1">
        <v>0</v>
      </c>
      <c r="E107" s="1">
        <v>0</v>
      </c>
      <c r="F107" s="1">
        <v>47864</v>
      </c>
      <c r="G107" s="1">
        <v>0</v>
      </c>
      <c r="H107" s="1">
        <v>0</v>
      </c>
      <c r="I107" s="1">
        <v>0</v>
      </c>
      <c r="J107" s="1">
        <v>0</v>
      </c>
      <c r="K107" s="1">
        <v>0</v>
      </c>
      <c r="L107" s="1">
        <v>47864</v>
      </c>
    </row>
    <row r="108" spans="1:12" x14ac:dyDescent="0.25">
      <c r="A108" s="6" t="s">
        <v>432</v>
      </c>
      <c r="B108" s="1">
        <v>492</v>
      </c>
      <c r="C108" s="1">
        <v>262</v>
      </c>
      <c r="D108" s="1">
        <v>0</v>
      </c>
      <c r="E108" s="1">
        <v>0</v>
      </c>
      <c r="F108" s="1">
        <v>12123</v>
      </c>
      <c r="G108" s="1">
        <v>556</v>
      </c>
      <c r="H108" s="1">
        <v>229</v>
      </c>
      <c r="I108" s="1">
        <v>0</v>
      </c>
      <c r="J108" s="1">
        <v>0</v>
      </c>
      <c r="K108" s="1">
        <v>3865</v>
      </c>
      <c r="L108" s="1">
        <v>17527</v>
      </c>
    </row>
    <row r="109" spans="1:12" x14ac:dyDescent="0.25">
      <c r="A109" s="6" t="s">
        <v>433</v>
      </c>
      <c r="B109" s="1">
        <v>20477</v>
      </c>
      <c r="C109" s="1">
        <v>21416</v>
      </c>
      <c r="D109" s="1">
        <v>20650</v>
      </c>
      <c r="E109" s="1">
        <v>24877</v>
      </c>
      <c r="F109" s="1">
        <v>27950</v>
      </c>
      <c r="G109" s="1">
        <v>18636</v>
      </c>
      <c r="H109" s="1">
        <v>47615</v>
      </c>
      <c r="I109" s="1">
        <v>26351</v>
      </c>
      <c r="J109" s="1">
        <v>19972</v>
      </c>
      <c r="K109" s="1">
        <v>25948</v>
      </c>
      <c r="L109" s="1">
        <v>253892</v>
      </c>
    </row>
    <row r="110" spans="1:12" x14ac:dyDescent="0.25">
      <c r="A110" s="6" t="s">
        <v>434</v>
      </c>
      <c r="B110" s="1">
        <v>35592</v>
      </c>
      <c r="C110" s="1">
        <v>0</v>
      </c>
      <c r="D110" s="1">
        <v>108346</v>
      </c>
      <c r="E110" s="1">
        <v>48822</v>
      </c>
      <c r="F110" s="1">
        <v>31430</v>
      </c>
      <c r="G110" s="1">
        <v>0</v>
      </c>
      <c r="H110" s="1">
        <v>0</v>
      </c>
      <c r="I110" s="1">
        <v>739200</v>
      </c>
      <c r="J110" s="1">
        <v>0</v>
      </c>
      <c r="K110" s="1">
        <v>0</v>
      </c>
      <c r="L110" s="1">
        <v>963390</v>
      </c>
    </row>
    <row r="111" spans="1:12" x14ac:dyDescent="0.25">
      <c r="A111" s="6" t="s">
        <v>955</v>
      </c>
      <c r="B111" s="1">
        <v>0</v>
      </c>
      <c r="C111" s="1">
        <v>0</v>
      </c>
      <c r="D111" s="1">
        <v>0</v>
      </c>
      <c r="E111" s="1">
        <v>0</v>
      </c>
      <c r="F111" s="1">
        <v>0</v>
      </c>
      <c r="G111" s="1">
        <v>0</v>
      </c>
      <c r="H111" s="1">
        <v>0</v>
      </c>
      <c r="I111" s="1">
        <v>0</v>
      </c>
      <c r="J111" s="1">
        <v>0</v>
      </c>
      <c r="K111" s="1">
        <v>0</v>
      </c>
      <c r="L111" s="1">
        <v>0</v>
      </c>
    </row>
    <row r="112" spans="1:12" x14ac:dyDescent="0.25">
      <c r="A112" s="6" t="s">
        <v>435</v>
      </c>
      <c r="B112" s="1">
        <v>23600</v>
      </c>
      <c r="C112" s="1">
        <v>65478</v>
      </c>
      <c r="D112" s="1">
        <v>34488</v>
      </c>
      <c r="E112" s="1">
        <v>30182</v>
      </c>
      <c r="F112" s="1">
        <v>92108</v>
      </c>
      <c r="G112" s="1">
        <v>62256</v>
      </c>
      <c r="H112" s="1">
        <v>23600</v>
      </c>
      <c r="I112" s="1">
        <v>34338</v>
      </c>
      <c r="J112" s="1">
        <v>27444</v>
      </c>
      <c r="K112" s="1">
        <v>21905</v>
      </c>
      <c r="L112" s="1">
        <v>415399</v>
      </c>
    </row>
    <row r="113" spans="1:12" x14ac:dyDescent="0.25">
      <c r="A113" s="6" t="s">
        <v>436</v>
      </c>
      <c r="B113" s="1">
        <v>0</v>
      </c>
      <c r="C113" s="1">
        <v>0</v>
      </c>
      <c r="D113" s="1">
        <v>0</v>
      </c>
      <c r="E113" s="1">
        <v>0</v>
      </c>
      <c r="F113" s="1">
        <v>0</v>
      </c>
      <c r="G113" s="1">
        <v>149860</v>
      </c>
      <c r="H113" s="1">
        <v>0</v>
      </c>
      <c r="I113" s="1">
        <v>0</v>
      </c>
      <c r="J113" s="1">
        <v>0</v>
      </c>
      <c r="K113" s="1">
        <v>0</v>
      </c>
      <c r="L113" s="1">
        <v>149860</v>
      </c>
    </row>
    <row r="114" spans="1:12" x14ac:dyDescent="0.25">
      <c r="A114" s="6" t="s">
        <v>437</v>
      </c>
      <c r="B114" s="1">
        <v>0</v>
      </c>
      <c r="C114" s="1">
        <v>35990</v>
      </c>
      <c r="D114" s="1">
        <v>0</v>
      </c>
      <c r="E114" s="1">
        <v>0</v>
      </c>
      <c r="F114" s="1">
        <v>0</v>
      </c>
      <c r="G114" s="1">
        <v>0</v>
      </c>
      <c r="H114" s="1">
        <v>0</v>
      </c>
      <c r="I114" s="1">
        <v>0</v>
      </c>
      <c r="J114" s="1">
        <v>0</v>
      </c>
      <c r="K114" s="1">
        <v>0</v>
      </c>
      <c r="L114" s="1">
        <v>35990</v>
      </c>
    </row>
    <row r="115" spans="1:12" x14ac:dyDescent="0.25">
      <c r="A115" s="6" t="s">
        <v>956</v>
      </c>
      <c r="B115" s="1">
        <v>0</v>
      </c>
      <c r="C115" s="1">
        <v>0</v>
      </c>
      <c r="D115" s="1">
        <v>0</v>
      </c>
      <c r="E115" s="1">
        <v>0</v>
      </c>
      <c r="F115" s="1">
        <v>0</v>
      </c>
      <c r="G115" s="1">
        <v>0</v>
      </c>
      <c r="H115" s="1">
        <v>0</v>
      </c>
      <c r="I115" s="1">
        <v>0</v>
      </c>
      <c r="J115" s="1">
        <v>0</v>
      </c>
      <c r="K115" s="1">
        <v>0</v>
      </c>
      <c r="L115" s="1">
        <v>0</v>
      </c>
    </row>
    <row r="116" spans="1:12" x14ac:dyDescent="0.25">
      <c r="A116" s="6" t="s">
        <v>438</v>
      </c>
      <c r="B116" s="1">
        <v>0</v>
      </c>
      <c r="C116" s="1">
        <v>50150</v>
      </c>
      <c r="D116" s="1">
        <v>149163</v>
      </c>
      <c r="E116" s="1">
        <v>90429</v>
      </c>
      <c r="F116" s="1">
        <v>54107</v>
      </c>
      <c r="G116" s="1">
        <v>50150</v>
      </c>
      <c r="H116" s="1">
        <v>50150</v>
      </c>
      <c r="I116" s="1">
        <v>58064</v>
      </c>
      <c r="J116" s="1">
        <v>35400</v>
      </c>
      <c r="K116" s="1">
        <v>64348</v>
      </c>
      <c r="L116" s="1">
        <v>601961</v>
      </c>
    </row>
    <row r="117" spans="1:12" x14ac:dyDescent="0.25">
      <c r="A117" s="6" t="s">
        <v>439</v>
      </c>
      <c r="B117" s="1">
        <v>0</v>
      </c>
      <c r="C117" s="1">
        <v>0</v>
      </c>
      <c r="D117" s="1">
        <v>0</v>
      </c>
      <c r="E117" s="1">
        <v>0</v>
      </c>
      <c r="F117" s="1">
        <v>0</v>
      </c>
      <c r="G117" s="1">
        <v>0</v>
      </c>
      <c r="H117" s="1">
        <v>0</v>
      </c>
      <c r="I117" s="1">
        <v>0</v>
      </c>
      <c r="J117" s="1">
        <v>174512</v>
      </c>
      <c r="K117" s="1">
        <v>176972</v>
      </c>
      <c r="L117" s="1">
        <v>351484</v>
      </c>
    </row>
    <row r="118" spans="1:12" x14ac:dyDescent="0.25">
      <c r="A118" s="6" t="s">
        <v>440</v>
      </c>
      <c r="B118" s="1">
        <v>0</v>
      </c>
      <c r="C118" s="1">
        <v>453348</v>
      </c>
      <c r="D118" s="1">
        <v>328366</v>
      </c>
      <c r="E118" s="1">
        <v>577540</v>
      </c>
      <c r="F118" s="1">
        <v>439736</v>
      </c>
      <c r="G118" s="1">
        <v>305399</v>
      </c>
      <c r="H118" s="1">
        <v>356273</v>
      </c>
      <c r="I118" s="1">
        <v>344457</v>
      </c>
      <c r="J118" s="1">
        <v>288421</v>
      </c>
      <c r="K118" s="1">
        <v>525717</v>
      </c>
      <c r="L118" s="1">
        <v>3619257</v>
      </c>
    </row>
    <row r="119" spans="1:12" x14ac:dyDescent="0.25">
      <c r="A119" s="6" t="s">
        <v>441</v>
      </c>
      <c r="B119" s="1">
        <v>59558</v>
      </c>
      <c r="C119" s="1">
        <v>60669</v>
      </c>
      <c r="D119" s="1">
        <v>159557</v>
      </c>
      <c r="E119" s="1">
        <v>59558</v>
      </c>
      <c r="F119" s="1">
        <v>59558</v>
      </c>
      <c r="G119" s="1">
        <v>159558</v>
      </c>
      <c r="H119" s="1">
        <v>42229</v>
      </c>
      <c r="I119" s="1">
        <v>32909</v>
      </c>
      <c r="J119" s="1">
        <v>0</v>
      </c>
      <c r="K119" s="1">
        <v>0</v>
      </c>
      <c r="L119" s="1">
        <v>633596</v>
      </c>
    </row>
    <row r="120" spans="1:12" x14ac:dyDescent="0.25">
      <c r="A120" s="6" t="s">
        <v>822</v>
      </c>
      <c r="B120" s="1">
        <v>0</v>
      </c>
      <c r="C120" s="1">
        <v>0</v>
      </c>
      <c r="D120" s="1">
        <v>0</v>
      </c>
      <c r="E120" s="1">
        <v>2968290</v>
      </c>
      <c r="F120" s="1">
        <v>0</v>
      </c>
      <c r="G120" s="1">
        <v>0</v>
      </c>
      <c r="H120" s="1">
        <v>0</v>
      </c>
      <c r="I120" s="1">
        <v>0</v>
      </c>
      <c r="J120" s="1">
        <v>0</v>
      </c>
      <c r="K120" s="1">
        <v>0</v>
      </c>
      <c r="L120" s="1">
        <v>2968290</v>
      </c>
    </row>
    <row r="121" spans="1:12" x14ac:dyDescent="0.25">
      <c r="A121" s="6" t="s">
        <v>442</v>
      </c>
      <c r="B121" s="1">
        <v>8780</v>
      </c>
      <c r="C121" s="1">
        <v>0</v>
      </c>
      <c r="D121" s="1">
        <v>170500</v>
      </c>
      <c r="E121" s="1">
        <v>0</v>
      </c>
      <c r="F121" s="1">
        <v>2150</v>
      </c>
      <c r="G121" s="1">
        <v>0</v>
      </c>
      <c r="H121" s="1">
        <v>0</v>
      </c>
      <c r="I121" s="1">
        <v>0</v>
      </c>
      <c r="J121" s="1">
        <v>1500</v>
      </c>
      <c r="K121" s="1">
        <v>14585</v>
      </c>
      <c r="L121" s="1">
        <v>197515</v>
      </c>
    </row>
    <row r="122" spans="1:12" x14ac:dyDescent="0.25">
      <c r="A122" s="6" t="s">
        <v>443</v>
      </c>
      <c r="B122" s="1">
        <v>0</v>
      </c>
      <c r="C122" s="1">
        <v>0</v>
      </c>
      <c r="D122" s="1">
        <v>0</v>
      </c>
      <c r="E122" s="1">
        <v>0</v>
      </c>
      <c r="F122" s="1">
        <v>0</v>
      </c>
      <c r="G122" s="1">
        <v>0</v>
      </c>
      <c r="H122" s="1">
        <v>0</v>
      </c>
      <c r="I122" s="1">
        <v>0</v>
      </c>
      <c r="J122" s="1">
        <v>0</v>
      </c>
      <c r="K122" s="1">
        <v>0</v>
      </c>
      <c r="L122" s="1">
        <v>0</v>
      </c>
    </row>
    <row r="123" spans="1:12" x14ac:dyDescent="0.25">
      <c r="A123" s="6" t="s">
        <v>444</v>
      </c>
      <c r="B123" s="1">
        <v>0</v>
      </c>
      <c r="C123" s="1">
        <v>2285</v>
      </c>
      <c r="D123" s="1">
        <v>0</v>
      </c>
      <c r="E123" s="1">
        <v>0</v>
      </c>
      <c r="F123" s="1">
        <v>0</v>
      </c>
      <c r="G123" s="1">
        <v>0</v>
      </c>
      <c r="H123" s="1">
        <v>800</v>
      </c>
      <c r="I123" s="1">
        <v>0</v>
      </c>
      <c r="J123" s="1">
        <v>0</v>
      </c>
      <c r="K123" s="1">
        <v>0</v>
      </c>
      <c r="L123" s="1">
        <v>3085</v>
      </c>
    </row>
    <row r="124" spans="1:12" x14ac:dyDescent="0.25">
      <c r="A124" s="6" t="s">
        <v>445</v>
      </c>
      <c r="B124" s="1">
        <v>0</v>
      </c>
      <c r="C124" s="1">
        <v>0</v>
      </c>
      <c r="D124" s="1">
        <v>0</v>
      </c>
      <c r="E124" s="1">
        <v>0</v>
      </c>
      <c r="F124" s="1">
        <v>3824</v>
      </c>
      <c r="G124" s="1">
        <v>10113</v>
      </c>
      <c r="H124" s="1">
        <v>1514</v>
      </c>
      <c r="I124" s="1">
        <v>34550</v>
      </c>
      <c r="J124" s="1">
        <v>4570</v>
      </c>
      <c r="K124" s="1">
        <v>0</v>
      </c>
      <c r="L124" s="1">
        <v>54571</v>
      </c>
    </row>
    <row r="125" spans="1:12" x14ac:dyDescent="0.25">
      <c r="A125" s="6" t="s">
        <v>446</v>
      </c>
      <c r="B125" s="1">
        <v>0</v>
      </c>
      <c r="C125" s="1">
        <v>0</v>
      </c>
      <c r="D125" s="1">
        <v>27579</v>
      </c>
      <c r="E125" s="1">
        <v>0</v>
      </c>
      <c r="F125" s="1">
        <v>23219</v>
      </c>
      <c r="G125" s="1">
        <v>0</v>
      </c>
      <c r="H125" s="1">
        <v>27072</v>
      </c>
      <c r="I125" s="1">
        <v>0</v>
      </c>
      <c r="J125" s="1">
        <v>0</v>
      </c>
      <c r="K125" s="1">
        <v>18374</v>
      </c>
      <c r="L125" s="1">
        <v>96244</v>
      </c>
    </row>
    <row r="126" spans="1:12" x14ac:dyDescent="0.25">
      <c r="A126" s="6" t="s">
        <v>447</v>
      </c>
      <c r="B126" s="1">
        <v>210</v>
      </c>
      <c r="C126" s="1">
        <v>1300</v>
      </c>
      <c r="D126" s="1">
        <v>8074</v>
      </c>
      <c r="E126" s="1">
        <v>1055</v>
      </c>
      <c r="F126" s="1">
        <v>650</v>
      </c>
      <c r="G126" s="1">
        <v>7907</v>
      </c>
      <c r="H126" s="1">
        <v>330</v>
      </c>
      <c r="I126" s="1">
        <v>1890</v>
      </c>
      <c r="J126" s="1">
        <v>1031</v>
      </c>
      <c r="K126" s="1">
        <v>649</v>
      </c>
      <c r="L126" s="1">
        <v>23096</v>
      </c>
    </row>
    <row r="127" spans="1:12" x14ac:dyDescent="0.25">
      <c r="A127" s="6" t="s">
        <v>471</v>
      </c>
      <c r="B127" s="1">
        <v>440</v>
      </c>
      <c r="C127" s="1">
        <v>1160</v>
      </c>
      <c r="D127" s="1">
        <v>3938</v>
      </c>
      <c r="E127" s="1">
        <v>1270</v>
      </c>
      <c r="F127" s="1">
        <v>680</v>
      </c>
      <c r="G127" s="1">
        <v>4777</v>
      </c>
      <c r="H127" s="1">
        <v>3923</v>
      </c>
      <c r="I127" s="1">
        <v>3180</v>
      </c>
      <c r="J127" s="1">
        <v>3410</v>
      </c>
      <c r="K127" s="1">
        <v>4100</v>
      </c>
      <c r="L127" s="1">
        <v>26878</v>
      </c>
    </row>
    <row r="128" spans="1:12" x14ac:dyDescent="0.25">
      <c r="A128" s="6" t="s">
        <v>957</v>
      </c>
      <c r="B128" s="1">
        <v>0</v>
      </c>
      <c r="C128" s="1">
        <v>0</v>
      </c>
      <c r="D128" s="1">
        <v>0</v>
      </c>
      <c r="E128" s="1">
        <v>0</v>
      </c>
      <c r="F128" s="1">
        <v>0</v>
      </c>
      <c r="G128" s="1">
        <v>0</v>
      </c>
      <c r="H128" s="1">
        <v>0</v>
      </c>
      <c r="I128" s="1">
        <v>0</v>
      </c>
      <c r="J128" s="1">
        <v>0</v>
      </c>
      <c r="K128" s="1">
        <v>0</v>
      </c>
      <c r="L128" s="1">
        <v>0</v>
      </c>
    </row>
    <row r="129" spans="1:12" x14ac:dyDescent="0.25">
      <c r="A129" s="6" t="s">
        <v>448</v>
      </c>
      <c r="B129" s="1">
        <v>2500</v>
      </c>
      <c r="C129" s="1">
        <v>1500</v>
      </c>
      <c r="D129" s="1">
        <v>11167</v>
      </c>
      <c r="E129" s="1">
        <v>10329</v>
      </c>
      <c r="F129" s="1">
        <v>0</v>
      </c>
      <c r="G129" s="1">
        <v>3024</v>
      </c>
      <c r="H129" s="1">
        <v>0</v>
      </c>
      <c r="I129" s="1">
        <v>23507</v>
      </c>
      <c r="J129" s="1">
        <v>14604</v>
      </c>
      <c r="K129" s="1">
        <v>-22042</v>
      </c>
      <c r="L129" s="1">
        <v>44589</v>
      </c>
    </row>
    <row r="130" spans="1:12" x14ac:dyDescent="0.25">
      <c r="A130" s="6" t="s">
        <v>449</v>
      </c>
      <c r="B130" s="1">
        <v>0</v>
      </c>
      <c r="C130" s="1">
        <v>0</v>
      </c>
      <c r="D130" s="1">
        <v>0</v>
      </c>
      <c r="E130" s="1">
        <v>0</v>
      </c>
      <c r="F130" s="1">
        <v>58824</v>
      </c>
      <c r="G130" s="1">
        <v>0</v>
      </c>
      <c r="H130" s="1">
        <v>0</v>
      </c>
      <c r="I130" s="1">
        <v>0</v>
      </c>
      <c r="J130" s="1">
        <v>117648</v>
      </c>
      <c r="K130" s="1">
        <v>58824</v>
      </c>
      <c r="L130" s="1">
        <v>235296</v>
      </c>
    </row>
    <row r="131" spans="1:12" x14ac:dyDescent="0.25">
      <c r="A131" s="6" t="s">
        <v>958</v>
      </c>
      <c r="B131" s="1">
        <v>0</v>
      </c>
      <c r="C131" s="1">
        <v>0</v>
      </c>
      <c r="D131" s="1">
        <v>0</v>
      </c>
      <c r="E131" s="1">
        <v>0</v>
      </c>
      <c r="F131" s="1">
        <v>0</v>
      </c>
      <c r="G131" s="1">
        <v>0</v>
      </c>
      <c r="H131" s="1">
        <v>0</v>
      </c>
      <c r="I131" s="1">
        <v>0</v>
      </c>
      <c r="J131" s="1">
        <v>0</v>
      </c>
      <c r="K131" s="1">
        <v>0</v>
      </c>
      <c r="L131" s="1">
        <v>0</v>
      </c>
    </row>
    <row r="132" spans="1:12" x14ac:dyDescent="0.25">
      <c r="A132" s="6" t="s">
        <v>959</v>
      </c>
      <c r="B132" s="1">
        <v>0</v>
      </c>
      <c r="C132" s="1">
        <v>0</v>
      </c>
      <c r="D132" s="1">
        <v>0</v>
      </c>
      <c r="E132" s="1">
        <v>0</v>
      </c>
      <c r="F132" s="1">
        <v>0</v>
      </c>
      <c r="G132" s="1">
        <v>0</v>
      </c>
      <c r="H132" s="1">
        <v>0</v>
      </c>
      <c r="I132" s="1">
        <v>0</v>
      </c>
      <c r="J132" s="1">
        <v>0</v>
      </c>
      <c r="K132" s="1">
        <v>0</v>
      </c>
      <c r="L132" s="1">
        <v>0</v>
      </c>
    </row>
    <row r="133" spans="1:12" x14ac:dyDescent="0.25">
      <c r="A133" s="6" t="s">
        <v>960</v>
      </c>
      <c r="B133" s="1">
        <v>0</v>
      </c>
      <c r="C133" s="1">
        <v>0</v>
      </c>
      <c r="D133" s="1">
        <v>0</v>
      </c>
      <c r="E133" s="1">
        <v>0</v>
      </c>
      <c r="F133" s="1">
        <v>0</v>
      </c>
      <c r="G133" s="1">
        <v>0</v>
      </c>
      <c r="H133" s="1">
        <v>0</v>
      </c>
      <c r="I133" s="1">
        <v>0</v>
      </c>
      <c r="J133" s="1">
        <v>0</v>
      </c>
      <c r="K133" s="1">
        <v>0</v>
      </c>
      <c r="L133" s="1">
        <v>0</v>
      </c>
    </row>
    <row r="134" spans="1:12" x14ac:dyDescent="0.25">
      <c r="A134" s="6" t="s">
        <v>961</v>
      </c>
      <c r="B134" s="1">
        <v>0</v>
      </c>
      <c r="C134" s="1">
        <v>0</v>
      </c>
      <c r="D134" s="1">
        <v>0</v>
      </c>
      <c r="E134" s="1">
        <v>0</v>
      </c>
      <c r="F134" s="1">
        <v>0</v>
      </c>
      <c r="G134" s="1">
        <v>0</v>
      </c>
      <c r="H134" s="1">
        <v>0</v>
      </c>
      <c r="I134" s="1">
        <v>0</v>
      </c>
      <c r="J134" s="1">
        <v>0</v>
      </c>
      <c r="K134" s="1">
        <v>0</v>
      </c>
      <c r="L134" s="1">
        <v>0</v>
      </c>
    </row>
    <row r="135" spans="1:12" x14ac:dyDescent="0.25">
      <c r="A135" s="6" t="s">
        <v>962</v>
      </c>
      <c r="B135" s="1">
        <v>0</v>
      </c>
      <c r="C135" s="1">
        <v>0</v>
      </c>
      <c r="D135" s="1">
        <v>0</v>
      </c>
      <c r="E135" s="1">
        <v>0</v>
      </c>
      <c r="F135" s="1">
        <v>0</v>
      </c>
      <c r="G135" s="1">
        <v>0</v>
      </c>
      <c r="H135" s="1">
        <v>0</v>
      </c>
      <c r="I135" s="1">
        <v>0</v>
      </c>
      <c r="J135" s="1">
        <v>0</v>
      </c>
      <c r="K135" s="1">
        <v>0</v>
      </c>
      <c r="L135" s="1">
        <v>0</v>
      </c>
    </row>
    <row r="136" spans="1:12" x14ac:dyDescent="0.25">
      <c r="A136" s="6" t="s">
        <v>473</v>
      </c>
      <c r="B136" s="1">
        <v>0</v>
      </c>
      <c r="C136" s="1">
        <v>0</v>
      </c>
      <c r="D136" s="1">
        <v>0</v>
      </c>
      <c r="E136" s="1">
        <v>0</v>
      </c>
      <c r="F136" s="1">
        <v>57505</v>
      </c>
      <c r="G136" s="1">
        <v>0</v>
      </c>
      <c r="H136" s="1">
        <v>0</v>
      </c>
      <c r="I136" s="1">
        <v>0</v>
      </c>
      <c r="J136" s="1">
        <v>0</v>
      </c>
      <c r="K136" s="1">
        <v>0</v>
      </c>
      <c r="L136" s="1">
        <v>57505</v>
      </c>
    </row>
    <row r="137" spans="1:12" x14ac:dyDescent="0.25">
      <c r="A137" s="6" t="s">
        <v>823</v>
      </c>
      <c r="B137" s="1">
        <v>3425</v>
      </c>
      <c r="C137" s="1">
        <v>0</v>
      </c>
      <c r="D137" s="1">
        <v>0</v>
      </c>
      <c r="E137" s="1">
        <v>0</v>
      </c>
      <c r="F137" s="1">
        <v>0</v>
      </c>
      <c r="G137" s="1">
        <v>0</v>
      </c>
      <c r="H137" s="1">
        <v>0</v>
      </c>
      <c r="I137" s="1">
        <v>0</v>
      </c>
      <c r="J137" s="1">
        <v>0</v>
      </c>
      <c r="K137" s="1">
        <v>0</v>
      </c>
      <c r="L137" s="1">
        <v>3425</v>
      </c>
    </row>
    <row r="138" spans="1:12" x14ac:dyDescent="0.25">
      <c r="A138" s="6" t="s">
        <v>963</v>
      </c>
      <c r="B138" s="1">
        <v>0</v>
      </c>
      <c r="C138" s="1">
        <v>0</v>
      </c>
      <c r="D138" s="1">
        <v>0</v>
      </c>
      <c r="E138" s="1">
        <v>0</v>
      </c>
      <c r="F138" s="1">
        <v>0</v>
      </c>
      <c r="G138" s="1">
        <v>0</v>
      </c>
      <c r="H138" s="1">
        <v>0</v>
      </c>
      <c r="I138" s="1">
        <v>0</v>
      </c>
      <c r="J138" s="1">
        <v>0</v>
      </c>
      <c r="K138" s="1">
        <v>0</v>
      </c>
      <c r="L138" s="1">
        <v>0</v>
      </c>
    </row>
    <row r="139" spans="1:12" x14ac:dyDescent="0.25">
      <c r="A139" s="6" t="s">
        <v>474</v>
      </c>
      <c r="B139" s="1">
        <v>165</v>
      </c>
      <c r="C139" s="1">
        <v>110</v>
      </c>
      <c r="D139" s="1">
        <v>26</v>
      </c>
      <c r="E139" s="1">
        <v>103</v>
      </c>
      <c r="F139" s="1">
        <v>35</v>
      </c>
      <c r="G139" s="1">
        <v>35</v>
      </c>
      <c r="H139" s="1">
        <v>185</v>
      </c>
      <c r="I139" s="1">
        <v>76</v>
      </c>
      <c r="J139" s="1">
        <v>60</v>
      </c>
      <c r="K139" s="1">
        <v>34</v>
      </c>
      <c r="L139" s="1">
        <v>829</v>
      </c>
    </row>
    <row r="140" spans="1:12" x14ac:dyDescent="0.25">
      <c r="A140" s="6" t="s">
        <v>138</v>
      </c>
      <c r="B140" s="1">
        <v>22520922</v>
      </c>
      <c r="C140" s="1">
        <v>25866577</v>
      </c>
      <c r="D140" s="1">
        <v>24445041</v>
      </c>
      <c r="E140" s="1">
        <v>29442999</v>
      </c>
      <c r="F140" s="1">
        <v>36517426</v>
      </c>
      <c r="G140" s="1">
        <v>25060210</v>
      </c>
      <c r="H140" s="1">
        <v>29725588</v>
      </c>
      <c r="I140" s="1">
        <v>24003242</v>
      </c>
      <c r="J140" s="1">
        <v>23052344</v>
      </c>
      <c r="K140" s="1">
        <v>26278931</v>
      </c>
      <c r="L140" s="1">
        <v>266913280</v>
      </c>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4">
    <tabColor rgb="FFFFC000"/>
    <pageSetUpPr fitToPage="1"/>
  </sheetPr>
  <dimension ref="A4:I35"/>
  <sheetViews>
    <sheetView topLeftCell="A13" zoomScale="130" zoomScaleNormal="130" workbookViewId="0">
      <selection activeCell="A28" sqref="A28"/>
    </sheetView>
  </sheetViews>
  <sheetFormatPr defaultRowHeight="15" x14ac:dyDescent="0.25"/>
  <cols>
    <col min="1" max="1" width="50.140625" customWidth="1"/>
    <col min="2" max="2" width="28.7109375" bestFit="1" customWidth="1"/>
    <col min="3" max="3" width="13.42578125" customWidth="1"/>
    <col min="4" max="4" width="17.28515625" customWidth="1"/>
    <col min="5" max="5" width="14.7109375" customWidth="1"/>
    <col min="6" max="6" width="12.7109375" customWidth="1"/>
    <col min="7" max="7" width="16.28515625" bestFit="1" customWidth="1"/>
    <col min="8" max="8" width="10.140625" hidden="1" customWidth="1"/>
    <col min="9" max="13" width="10.140625" bestFit="1" customWidth="1"/>
    <col min="14" max="14" width="11.140625" bestFit="1" customWidth="1"/>
    <col min="15" max="16" width="10.140625" bestFit="1" customWidth="1"/>
    <col min="17" max="17" width="13.140625" bestFit="1" customWidth="1"/>
    <col min="18" max="19" width="11.140625" bestFit="1" customWidth="1"/>
    <col min="20" max="20" width="10.140625" bestFit="1" customWidth="1"/>
    <col min="21" max="21" width="13.140625" bestFit="1" customWidth="1"/>
    <col min="22" max="22" width="10.28515625" bestFit="1" customWidth="1"/>
    <col min="23" max="24" width="10.140625" bestFit="1" customWidth="1"/>
    <col min="25" max="25" width="13.140625" bestFit="1" customWidth="1"/>
    <col min="26" max="26" width="10.28515625" bestFit="1" customWidth="1"/>
    <col min="27" max="28" width="10.140625" bestFit="1" customWidth="1"/>
    <col min="29" max="29" width="13.140625" bestFit="1" customWidth="1"/>
    <col min="30" max="30" width="10.28515625" bestFit="1" customWidth="1"/>
    <col min="31" max="32" width="10.140625" bestFit="1" customWidth="1"/>
    <col min="33" max="33" width="13.140625" bestFit="1" customWidth="1"/>
    <col min="34" max="34" width="11.140625" bestFit="1" customWidth="1"/>
    <col min="35" max="35" width="13.140625" bestFit="1" customWidth="1"/>
    <col min="36" max="36" width="12.7109375" bestFit="1" customWidth="1"/>
    <col min="37" max="37" width="9" bestFit="1" customWidth="1"/>
    <col min="38" max="41" width="11" bestFit="1" customWidth="1"/>
  </cols>
  <sheetData>
    <row r="4" spans="1:9" ht="13.9" customHeight="1" x14ac:dyDescent="0.25"/>
    <row r="11" spans="1:9" x14ac:dyDescent="0.25">
      <c r="A11" s="4" t="s">
        <v>244</v>
      </c>
      <c r="B11" t="s" vm="12">
        <v>245</v>
      </c>
    </row>
    <row r="13" spans="1:9" x14ac:dyDescent="0.25">
      <c r="A13" s="4" t="s">
        <v>136</v>
      </c>
      <c r="B13" s="4" t="s">
        <v>137</v>
      </c>
    </row>
    <row r="14" spans="1:9" x14ac:dyDescent="0.25">
      <c r="B14">
        <v>2019</v>
      </c>
      <c r="E14">
        <v>2020</v>
      </c>
      <c r="H14">
        <v>2021</v>
      </c>
    </row>
    <row r="15" spans="1:9" x14ac:dyDescent="0.25">
      <c r="A15" s="4" t="s">
        <v>242</v>
      </c>
      <c r="B15" t="s">
        <v>248</v>
      </c>
      <c r="C15" t="s">
        <v>239</v>
      </c>
      <c r="D15" t="s">
        <v>301</v>
      </c>
      <c r="E15" t="s">
        <v>248</v>
      </c>
      <c r="F15" t="s">
        <v>239</v>
      </c>
      <c r="G15" t="s">
        <v>301</v>
      </c>
      <c r="H15" t="s">
        <v>239</v>
      </c>
      <c r="I15" t="s">
        <v>301</v>
      </c>
    </row>
    <row r="16" spans="1:9" x14ac:dyDescent="0.25">
      <c r="A16" s="6" t="s">
        <v>241</v>
      </c>
      <c r="B16" s="1"/>
      <c r="C16" s="1"/>
      <c r="D16" s="1"/>
      <c r="E16" s="1"/>
      <c r="F16" s="1"/>
      <c r="G16" s="1"/>
      <c r="H16" s="1"/>
      <c r="I16" s="1"/>
    </row>
    <row r="17" spans="1:9" x14ac:dyDescent="0.25">
      <c r="A17" s="7" t="s">
        <v>307</v>
      </c>
      <c r="B17" s="1">
        <v>0</v>
      </c>
      <c r="C17" s="1">
        <v>0</v>
      </c>
      <c r="D17" s="1">
        <v>1812239</v>
      </c>
      <c r="E17" s="1">
        <v>0</v>
      </c>
      <c r="F17" s="1">
        <v>2966088</v>
      </c>
      <c r="G17" s="1">
        <v>4299624</v>
      </c>
      <c r="H17" s="1">
        <v>3045468</v>
      </c>
      <c r="I17" s="1">
        <v>2306349</v>
      </c>
    </row>
    <row r="18" spans="1:9" x14ac:dyDescent="0.25">
      <c r="A18" s="7" t="s">
        <v>308</v>
      </c>
      <c r="B18" s="1">
        <v>0</v>
      </c>
      <c r="C18" s="1">
        <v>0</v>
      </c>
      <c r="D18" s="1">
        <v>29711340</v>
      </c>
      <c r="E18" s="1">
        <v>0</v>
      </c>
      <c r="F18" s="1">
        <v>38970368</v>
      </c>
      <c r="G18" s="1">
        <v>34645388</v>
      </c>
      <c r="H18" s="1">
        <v>36719996</v>
      </c>
      <c r="I18" s="1">
        <v>41686069</v>
      </c>
    </row>
    <row r="19" spans="1:9" x14ac:dyDescent="0.25">
      <c r="A19" s="7" t="s">
        <v>306</v>
      </c>
      <c r="B19" s="1">
        <v>0</v>
      </c>
      <c r="C19" s="1">
        <v>0</v>
      </c>
      <c r="D19" s="1">
        <v>231102582</v>
      </c>
      <c r="E19" s="1">
        <v>0</v>
      </c>
      <c r="F19" s="1">
        <v>252209220</v>
      </c>
      <c r="G19" s="1">
        <v>230846283</v>
      </c>
      <c r="H19" s="1">
        <v>234171147</v>
      </c>
      <c r="I19" s="1">
        <v>230861452</v>
      </c>
    </row>
    <row r="20" spans="1:9" x14ac:dyDescent="0.25">
      <c r="A20" s="7" t="s">
        <v>309</v>
      </c>
      <c r="B20" s="1">
        <v>0</v>
      </c>
      <c r="C20" s="1">
        <v>0</v>
      </c>
      <c r="D20" s="1">
        <v>1655782</v>
      </c>
      <c r="E20" s="1">
        <v>0</v>
      </c>
      <c r="F20" s="1">
        <v>2455812</v>
      </c>
      <c r="G20" s="1">
        <v>406088</v>
      </c>
      <c r="H20" s="1">
        <v>1176600</v>
      </c>
      <c r="I20" s="1">
        <v>113362</v>
      </c>
    </row>
    <row r="21" spans="1:9" x14ac:dyDescent="0.25">
      <c r="A21" s="7" t="s">
        <v>310</v>
      </c>
      <c r="B21" s="1">
        <v>0</v>
      </c>
      <c r="C21" s="1">
        <v>0</v>
      </c>
      <c r="D21" s="1">
        <v>376819</v>
      </c>
      <c r="E21" s="1">
        <v>0</v>
      </c>
      <c r="F21" s="1">
        <v>1004180</v>
      </c>
      <c r="G21" s="1">
        <v>696289</v>
      </c>
      <c r="H21" s="1">
        <v>609285</v>
      </c>
      <c r="I21" s="1">
        <v>572586</v>
      </c>
    </row>
    <row r="22" spans="1:9" x14ac:dyDescent="0.25">
      <c r="A22" s="7" t="s">
        <v>311</v>
      </c>
      <c r="B22" s="1">
        <v>0</v>
      </c>
      <c r="C22" s="1">
        <v>0</v>
      </c>
      <c r="D22" s="1">
        <v>378219</v>
      </c>
      <c r="E22" s="1">
        <v>0</v>
      </c>
      <c r="F22" s="1">
        <v>1372896</v>
      </c>
      <c r="G22" s="1">
        <v>110198</v>
      </c>
      <c r="H22" s="1">
        <v>1000002</v>
      </c>
      <c r="I22" s="1">
        <v>139305</v>
      </c>
    </row>
    <row r="23" spans="1:9" x14ac:dyDescent="0.25">
      <c r="A23" s="7" t="s">
        <v>312</v>
      </c>
      <c r="B23" s="1">
        <v>0</v>
      </c>
      <c r="C23" s="1">
        <v>0</v>
      </c>
      <c r="D23" s="1">
        <v>1111230</v>
      </c>
      <c r="E23" s="1">
        <v>0</v>
      </c>
      <c r="F23" s="1">
        <v>970085</v>
      </c>
      <c r="G23" s="1">
        <v>908211</v>
      </c>
      <c r="H23" s="1">
        <v>1172920</v>
      </c>
      <c r="I23" s="1">
        <v>921566</v>
      </c>
    </row>
    <row r="24" spans="1:9" x14ac:dyDescent="0.25">
      <c r="A24" s="7" t="s">
        <v>313</v>
      </c>
      <c r="B24" s="1">
        <v>0</v>
      </c>
      <c r="C24" s="1">
        <v>0</v>
      </c>
      <c r="D24" s="1">
        <v>305442</v>
      </c>
      <c r="E24" s="1">
        <v>0</v>
      </c>
      <c r="F24" s="1">
        <v>300012</v>
      </c>
      <c r="G24" s="1">
        <v>261083</v>
      </c>
      <c r="H24" s="1">
        <v>300015</v>
      </c>
      <c r="I24" s="1">
        <v>281344</v>
      </c>
    </row>
    <row r="25" spans="1:9" x14ac:dyDescent="0.25">
      <c r="A25" s="7" t="s">
        <v>314</v>
      </c>
      <c r="B25" s="1">
        <v>0</v>
      </c>
      <c r="C25" s="1">
        <v>0</v>
      </c>
      <c r="D25" s="1">
        <v>819000</v>
      </c>
      <c r="E25" s="1">
        <v>0</v>
      </c>
      <c r="F25" s="1"/>
      <c r="G25" s="1">
        <v>0</v>
      </c>
      <c r="H25" s="1">
        <v>1711000</v>
      </c>
      <c r="I25" s="1">
        <v>944973</v>
      </c>
    </row>
    <row r="26" spans="1:9" x14ac:dyDescent="0.25">
      <c r="A26" s="7" t="s">
        <v>315</v>
      </c>
      <c r="B26" s="1">
        <v>0</v>
      </c>
      <c r="C26" s="1">
        <v>0</v>
      </c>
      <c r="D26" s="1">
        <v>2389285</v>
      </c>
      <c r="E26" s="1">
        <v>0</v>
      </c>
      <c r="F26" s="1">
        <v>3517164</v>
      </c>
      <c r="G26" s="1">
        <v>2679804</v>
      </c>
      <c r="H26" s="1">
        <v>2903461</v>
      </c>
      <c r="I26" s="1">
        <v>2446228</v>
      </c>
    </row>
    <row r="27" spans="1:9" x14ac:dyDescent="0.25">
      <c r="A27" s="7" t="s">
        <v>316</v>
      </c>
      <c r="B27" s="1">
        <v>0</v>
      </c>
      <c r="C27" s="1">
        <v>0</v>
      </c>
      <c r="D27" s="1">
        <v>5291995</v>
      </c>
      <c r="E27" s="1">
        <v>0</v>
      </c>
      <c r="F27" s="1">
        <v>5420052</v>
      </c>
      <c r="G27" s="1">
        <v>4320465</v>
      </c>
      <c r="H27" s="1">
        <v>5265084</v>
      </c>
      <c r="I27" s="1">
        <v>2971264</v>
      </c>
    </row>
    <row r="28" spans="1:9" x14ac:dyDescent="0.25">
      <c r="A28" s="7" t="s">
        <v>317</v>
      </c>
      <c r="B28" s="1">
        <v>0</v>
      </c>
      <c r="C28" s="1">
        <v>0</v>
      </c>
      <c r="D28" s="1">
        <v>91991</v>
      </c>
      <c r="E28" s="1">
        <v>0</v>
      </c>
      <c r="F28" s="1">
        <v>122952</v>
      </c>
      <c r="G28" s="1">
        <v>10112</v>
      </c>
      <c r="H28" s="1">
        <v>24996</v>
      </c>
      <c r="I28" s="1">
        <v>7831</v>
      </c>
    </row>
    <row r="29" spans="1:9" x14ac:dyDescent="0.25">
      <c r="A29" s="7" t="s">
        <v>318</v>
      </c>
      <c r="B29" s="1">
        <v>0</v>
      </c>
      <c r="C29" s="1">
        <v>0</v>
      </c>
      <c r="D29" s="1">
        <v>1670896</v>
      </c>
      <c r="E29" s="1">
        <v>0</v>
      </c>
      <c r="F29" s="1">
        <v>1943394</v>
      </c>
      <c r="G29" s="1">
        <v>163451</v>
      </c>
      <c r="H29" s="1">
        <v>847248</v>
      </c>
      <c r="I29" s="1">
        <v>294526</v>
      </c>
    </row>
    <row r="30" spans="1:9" x14ac:dyDescent="0.25">
      <c r="A30" s="7" t="s">
        <v>319</v>
      </c>
      <c r="B30" s="1">
        <v>0</v>
      </c>
      <c r="C30" s="1">
        <v>0</v>
      </c>
      <c r="D30" s="1">
        <v>8997873</v>
      </c>
      <c r="E30" s="1">
        <v>0</v>
      </c>
      <c r="F30" s="1">
        <v>8338104</v>
      </c>
      <c r="G30" s="1">
        <v>8958367</v>
      </c>
      <c r="H30" s="1">
        <v>9796252</v>
      </c>
      <c r="I30" s="1">
        <v>8331686</v>
      </c>
    </row>
    <row r="31" spans="1:9" x14ac:dyDescent="0.25">
      <c r="A31" s="7" t="s">
        <v>320</v>
      </c>
      <c r="B31" s="1">
        <v>0</v>
      </c>
      <c r="C31" s="1">
        <v>0</v>
      </c>
      <c r="D31" s="1">
        <v>11987160</v>
      </c>
      <c r="E31" s="1">
        <v>0</v>
      </c>
      <c r="F31" s="1">
        <v>889852</v>
      </c>
      <c r="G31" s="1">
        <v>822747</v>
      </c>
      <c r="H31" s="1">
        <v>810912</v>
      </c>
      <c r="I31" s="1">
        <v>772520</v>
      </c>
    </row>
    <row r="32" spans="1:9" x14ac:dyDescent="0.25">
      <c r="A32" s="7" t="s">
        <v>321</v>
      </c>
      <c r="B32" s="1">
        <v>0</v>
      </c>
      <c r="C32" s="1">
        <v>0</v>
      </c>
      <c r="D32" s="1">
        <v>13146087</v>
      </c>
      <c r="E32" s="1">
        <v>0</v>
      </c>
      <c r="F32" s="1">
        <v>16012460</v>
      </c>
      <c r="G32" s="1">
        <v>13487824</v>
      </c>
      <c r="H32" s="1">
        <v>13850952</v>
      </c>
      <c r="I32" s="1">
        <v>12987102</v>
      </c>
    </row>
    <row r="33" spans="1:9" x14ac:dyDescent="0.25">
      <c r="A33" s="7" t="s">
        <v>322</v>
      </c>
      <c r="B33" s="1">
        <v>0</v>
      </c>
      <c r="C33" s="1">
        <v>0</v>
      </c>
      <c r="D33" s="1">
        <v>141440</v>
      </c>
      <c r="E33" s="1">
        <v>0</v>
      </c>
      <c r="F33" s="1">
        <v>201780</v>
      </c>
      <c r="G33" s="1">
        <v>57250</v>
      </c>
      <c r="H33" s="1">
        <v>60180</v>
      </c>
      <c r="I33" s="1">
        <v>0</v>
      </c>
    </row>
    <row r="34" spans="1:9" x14ac:dyDescent="0.25">
      <c r="A34" s="7" t="s">
        <v>323</v>
      </c>
      <c r="B34" s="1">
        <v>174512</v>
      </c>
      <c r="C34" s="1">
        <v>0</v>
      </c>
      <c r="D34" s="1">
        <v>15212685</v>
      </c>
      <c r="E34" s="1">
        <v>0</v>
      </c>
      <c r="F34" s="1">
        <v>15802452</v>
      </c>
      <c r="G34" s="1">
        <v>10154137</v>
      </c>
      <c r="H34" s="1">
        <v>14118291</v>
      </c>
      <c r="I34" s="1">
        <v>10166523</v>
      </c>
    </row>
    <row r="35" spans="1:9" x14ac:dyDescent="0.25">
      <c r="A35" s="6" t="s">
        <v>138</v>
      </c>
      <c r="B35" s="1">
        <v>174512</v>
      </c>
      <c r="C35" s="1">
        <v>0</v>
      </c>
      <c r="D35" s="1">
        <v>326202065</v>
      </c>
      <c r="E35" s="1">
        <v>0</v>
      </c>
      <c r="F35" s="1">
        <v>352496871</v>
      </c>
      <c r="G35" s="1">
        <v>312827321</v>
      </c>
      <c r="H35" s="1">
        <v>327583809</v>
      </c>
      <c r="I35" s="1">
        <v>315804686</v>
      </c>
    </row>
  </sheetData>
  <pageMargins left="0.7" right="0.7" top="0.75" bottom="0.75" header="0.3" footer="0.3"/>
  <pageSetup scale="99" fitToHeight="0" orientation="landscape" r:id="rId2"/>
  <colBreaks count="1" manualBreakCount="1">
    <brk id="8" max="1048575" man="1"/>
  </colBreaks>
  <drawing r:id="rId3"/>
  <extLst>
    <ext xmlns:x14="http://schemas.microsoft.com/office/spreadsheetml/2009/9/main" uri="{A8765BA9-456A-4dab-B4F3-ACF838C121DE}">
      <x14:slicerList>
        <x14:slicer r:id="rId4"/>
      </x14:slicerList>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FFC000"/>
    <pageSetUpPr fitToPage="1"/>
  </sheetPr>
  <dimension ref="A1:C688"/>
  <sheetViews>
    <sheetView zoomScale="85" zoomScaleNormal="85" workbookViewId="0">
      <selection activeCell="C20" sqref="C20"/>
    </sheetView>
  </sheetViews>
  <sheetFormatPr defaultRowHeight="15" x14ac:dyDescent="0.25"/>
  <cols>
    <col min="1" max="1" width="36" style="2" customWidth="1"/>
    <col min="2" max="2" width="15.42578125" customWidth="1"/>
    <col min="3" max="3" width="13.42578125" customWidth="1"/>
    <col min="4" max="4" width="12" bestFit="1" customWidth="1"/>
    <col min="5" max="5" width="14.7109375" customWidth="1"/>
    <col min="6" max="6" width="12.7109375" customWidth="1"/>
    <col min="7" max="7" width="11.5703125" bestFit="1" customWidth="1"/>
    <col min="8" max="13" width="10.85546875" bestFit="1" customWidth="1"/>
    <col min="14" max="14" width="13.7109375" bestFit="1" customWidth="1"/>
    <col min="15" max="16" width="10.140625" bestFit="1" customWidth="1"/>
    <col min="17" max="17" width="13.140625" bestFit="1" customWidth="1"/>
    <col min="18" max="19" width="11.140625" bestFit="1" customWidth="1"/>
    <col min="20" max="20" width="10.140625" bestFit="1" customWidth="1"/>
    <col min="21" max="21" width="13.140625" bestFit="1" customWidth="1"/>
    <col min="22" max="22" width="10.28515625" bestFit="1" customWidth="1"/>
    <col min="23" max="24" width="10.140625" bestFit="1" customWidth="1"/>
    <col min="25" max="25" width="13.140625" bestFit="1" customWidth="1"/>
    <col min="26" max="26" width="10.28515625" bestFit="1" customWidth="1"/>
    <col min="27" max="28" width="10.140625" bestFit="1" customWidth="1"/>
    <col min="29" max="29" width="13.140625" bestFit="1" customWidth="1"/>
    <col min="30" max="30" width="10.28515625" bestFit="1" customWidth="1"/>
    <col min="31" max="32" width="10.140625" bestFit="1" customWidth="1"/>
    <col min="33" max="33" width="13.140625" bestFit="1" customWidth="1"/>
    <col min="34" max="34" width="11.140625" bestFit="1" customWidth="1"/>
    <col min="35" max="35" width="13.140625" bestFit="1" customWidth="1"/>
    <col min="36" max="36" width="12.7109375" bestFit="1" customWidth="1"/>
    <col min="37" max="37" width="9" bestFit="1" customWidth="1"/>
    <col min="38" max="41" width="11" bestFit="1" customWidth="1"/>
  </cols>
  <sheetData>
    <row r="1" spans="1:3" x14ac:dyDescent="0.25">
      <c r="A1"/>
    </row>
    <row r="2" spans="1:3" x14ac:dyDescent="0.25">
      <c r="A2" s="4" t="s">
        <v>152</v>
      </c>
      <c r="B2" t="s" vm="11">
        <v>239</v>
      </c>
    </row>
    <row r="4" spans="1:3" x14ac:dyDescent="0.25">
      <c r="A4" s="4" t="s">
        <v>136</v>
      </c>
      <c r="B4" s="4" t="s">
        <v>137</v>
      </c>
    </row>
    <row r="5" spans="1:3" x14ac:dyDescent="0.25">
      <c r="A5" s="4" t="s">
        <v>242</v>
      </c>
      <c r="B5">
        <v>2022</v>
      </c>
      <c r="C5" t="s">
        <v>138</v>
      </c>
    </row>
    <row r="6" spans="1:3" x14ac:dyDescent="0.25">
      <c r="A6" s="6" t="s">
        <v>376</v>
      </c>
      <c r="B6" s="1">
        <v>361061273</v>
      </c>
      <c r="C6" s="1">
        <v>361061273</v>
      </c>
    </row>
    <row r="7" spans="1:3" x14ac:dyDescent="0.25">
      <c r="A7" s="7" t="s">
        <v>781</v>
      </c>
      <c r="B7" s="1">
        <v>1300000</v>
      </c>
      <c r="C7" s="1">
        <v>1300000</v>
      </c>
    </row>
    <row r="8" spans="1:3" x14ac:dyDescent="0.25">
      <c r="A8" s="174" t="s">
        <v>1191</v>
      </c>
      <c r="B8" s="1">
        <v>1300000</v>
      </c>
      <c r="C8" s="1">
        <v>1300000</v>
      </c>
    </row>
    <row r="9" spans="1:3" x14ac:dyDescent="0.25">
      <c r="A9" s="7" t="s">
        <v>782</v>
      </c>
      <c r="B9" s="1">
        <v>169998</v>
      </c>
      <c r="C9" s="1">
        <v>169998</v>
      </c>
    </row>
    <row r="10" spans="1:3" x14ac:dyDescent="0.25">
      <c r="A10" s="174" t="s">
        <v>1192</v>
      </c>
      <c r="B10" s="1">
        <v>169998</v>
      </c>
      <c r="C10" s="1">
        <v>169998</v>
      </c>
    </row>
    <row r="11" spans="1:3" x14ac:dyDescent="0.25">
      <c r="A11" s="7" t="s">
        <v>783</v>
      </c>
      <c r="B11" s="1">
        <v>730001</v>
      </c>
      <c r="C11" s="1">
        <v>730001</v>
      </c>
    </row>
    <row r="12" spans="1:3" x14ac:dyDescent="0.25">
      <c r="A12" s="174" t="s">
        <v>1193</v>
      </c>
      <c r="B12" s="1">
        <v>730001</v>
      </c>
      <c r="C12" s="1">
        <v>730001</v>
      </c>
    </row>
    <row r="13" spans="1:3" x14ac:dyDescent="0.25">
      <c r="A13" s="7" t="s">
        <v>784</v>
      </c>
      <c r="B13" s="1">
        <v>99996</v>
      </c>
      <c r="C13" s="1">
        <v>99996</v>
      </c>
    </row>
    <row r="14" spans="1:3" x14ac:dyDescent="0.25">
      <c r="A14" s="174" t="s">
        <v>1194</v>
      </c>
      <c r="B14" s="1">
        <v>99996</v>
      </c>
      <c r="C14" s="1">
        <v>99996</v>
      </c>
    </row>
    <row r="15" spans="1:3" x14ac:dyDescent="0.25">
      <c r="A15" s="7" t="s">
        <v>785</v>
      </c>
      <c r="B15" s="1">
        <v>50004</v>
      </c>
      <c r="C15" s="1">
        <v>50004</v>
      </c>
    </row>
    <row r="16" spans="1:3" x14ac:dyDescent="0.25">
      <c r="A16" s="174" t="s">
        <v>1195</v>
      </c>
      <c r="B16" s="1">
        <v>50004</v>
      </c>
      <c r="C16" s="1">
        <v>50004</v>
      </c>
    </row>
    <row r="17" spans="1:3" x14ac:dyDescent="0.25">
      <c r="A17" s="7" t="s">
        <v>786</v>
      </c>
      <c r="B17" s="1">
        <v>7199999</v>
      </c>
      <c r="C17" s="1">
        <v>7199999</v>
      </c>
    </row>
    <row r="18" spans="1:3" x14ac:dyDescent="0.25">
      <c r="A18" s="174" t="s">
        <v>1196</v>
      </c>
      <c r="B18" s="1">
        <v>7199999</v>
      </c>
      <c r="C18" s="1">
        <v>7199999</v>
      </c>
    </row>
    <row r="19" spans="1:3" x14ac:dyDescent="0.25">
      <c r="A19" s="7" t="s">
        <v>787</v>
      </c>
      <c r="B19" s="1">
        <v>147000000</v>
      </c>
      <c r="C19" s="1">
        <v>147000000</v>
      </c>
    </row>
    <row r="20" spans="1:3" x14ac:dyDescent="0.25">
      <c r="A20" s="174" t="s">
        <v>1197</v>
      </c>
      <c r="B20" s="1">
        <v>147000000</v>
      </c>
      <c r="C20" s="1">
        <v>147000000</v>
      </c>
    </row>
    <row r="21" spans="1:3" x14ac:dyDescent="0.25">
      <c r="A21" s="7" t="s">
        <v>788</v>
      </c>
      <c r="B21" s="1">
        <v>13000000</v>
      </c>
      <c r="C21" s="1">
        <v>13000000</v>
      </c>
    </row>
    <row r="22" spans="1:3" x14ac:dyDescent="0.25">
      <c r="A22" s="174" t="s">
        <v>1198</v>
      </c>
      <c r="B22" s="1">
        <v>13000000</v>
      </c>
      <c r="C22" s="1">
        <v>13000000</v>
      </c>
    </row>
    <row r="23" spans="1:3" x14ac:dyDescent="0.25">
      <c r="A23" s="7" t="s">
        <v>789</v>
      </c>
      <c r="B23" s="1">
        <v>99996</v>
      </c>
      <c r="C23" s="1">
        <v>99996</v>
      </c>
    </row>
    <row r="24" spans="1:3" x14ac:dyDescent="0.25">
      <c r="A24" s="174" t="s">
        <v>1199</v>
      </c>
      <c r="B24" s="1">
        <v>99996</v>
      </c>
      <c r="C24" s="1">
        <v>99996</v>
      </c>
    </row>
    <row r="25" spans="1:3" x14ac:dyDescent="0.25">
      <c r="A25" s="7" t="s">
        <v>790</v>
      </c>
      <c r="B25" s="1">
        <v>6600000</v>
      </c>
      <c r="C25" s="1">
        <v>6600000</v>
      </c>
    </row>
    <row r="26" spans="1:3" x14ac:dyDescent="0.25">
      <c r="A26" s="174" t="s">
        <v>1200</v>
      </c>
      <c r="B26" s="1">
        <v>6600000</v>
      </c>
      <c r="C26" s="1">
        <v>6600000</v>
      </c>
    </row>
    <row r="27" spans="1:3" x14ac:dyDescent="0.25">
      <c r="A27" s="7" t="s">
        <v>791</v>
      </c>
      <c r="B27" s="1">
        <v>61600001</v>
      </c>
      <c r="C27" s="1">
        <v>61600001</v>
      </c>
    </row>
    <row r="28" spans="1:3" x14ac:dyDescent="0.25">
      <c r="A28" s="174" t="s">
        <v>1201</v>
      </c>
      <c r="B28" s="1">
        <v>61600001</v>
      </c>
      <c r="C28" s="1">
        <v>61600001</v>
      </c>
    </row>
    <row r="29" spans="1:3" x14ac:dyDescent="0.25">
      <c r="A29" s="7" t="s">
        <v>792</v>
      </c>
      <c r="B29" s="1">
        <v>7100000</v>
      </c>
      <c r="C29" s="1">
        <v>7100000</v>
      </c>
    </row>
    <row r="30" spans="1:3" x14ac:dyDescent="0.25">
      <c r="A30" s="174" t="s">
        <v>1202</v>
      </c>
      <c r="B30" s="1">
        <v>7100000</v>
      </c>
      <c r="C30" s="1">
        <v>7100000</v>
      </c>
    </row>
    <row r="31" spans="1:3" x14ac:dyDescent="0.25">
      <c r="A31" s="7" t="s">
        <v>793</v>
      </c>
      <c r="B31" s="1">
        <v>13500001</v>
      </c>
      <c r="C31" s="1">
        <v>13500001</v>
      </c>
    </row>
    <row r="32" spans="1:3" x14ac:dyDescent="0.25">
      <c r="A32" s="174" t="s">
        <v>1203</v>
      </c>
      <c r="B32" s="1">
        <v>13500001</v>
      </c>
      <c r="C32" s="1">
        <v>13500001</v>
      </c>
    </row>
    <row r="33" spans="1:3" x14ac:dyDescent="0.25">
      <c r="A33" s="7" t="s">
        <v>794</v>
      </c>
      <c r="B33" s="1">
        <v>30946106</v>
      </c>
      <c r="C33" s="1">
        <v>30946106</v>
      </c>
    </row>
    <row r="34" spans="1:3" x14ac:dyDescent="0.25">
      <c r="A34" s="174" t="s">
        <v>1204</v>
      </c>
      <c r="B34" s="1">
        <v>30946106</v>
      </c>
      <c r="C34" s="1">
        <v>30946106</v>
      </c>
    </row>
    <row r="35" spans="1:3" x14ac:dyDescent="0.25">
      <c r="A35" s="7" t="s">
        <v>795</v>
      </c>
      <c r="B35" s="1">
        <v>28470000</v>
      </c>
      <c r="C35" s="1">
        <v>28470000</v>
      </c>
    </row>
    <row r="36" spans="1:3" x14ac:dyDescent="0.25">
      <c r="A36" s="174" t="s">
        <v>1205</v>
      </c>
      <c r="B36" s="1">
        <v>28470000</v>
      </c>
      <c r="C36" s="1">
        <v>28470000</v>
      </c>
    </row>
    <row r="37" spans="1:3" x14ac:dyDescent="0.25">
      <c r="A37" s="7" t="s">
        <v>796</v>
      </c>
      <c r="B37" s="1">
        <v>30000</v>
      </c>
      <c r="C37" s="1">
        <v>30000</v>
      </c>
    </row>
    <row r="38" spans="1:3" x14ac:dyDescent="0.25">
      <c r="A38" s="174" t="s">
        <v>1206</v>
      </c>
      <c r="B38" s="1">
        <v>30000</v>
      </c>
      <c r="C38" s="1">
        <v>30000</v>
      </c>
    </row>
    <row r="39" spans="1:3" x14ac:dyDescent="0.25">
      <c r="A39" s="7" t="s">
        <v>797</v>
      </c>
      <c r="B39" s="1">
        <v>599998</v>
      </c>
      <c r="C39" s="1">
        <v>599998</v>
      </c>
    </row>
    <row r="40" spans="1:3" x14ac:dyDescent="0.25">
      <c r="A40" s="174" t="s">
        <v>1206</v>
      </c>
      <c r="B40" s="1">
        <v>599998</v>
      </c>
      <c r="C40" s="1">
        <v>599998</v>
      </c>
    </row>
    <row r="41" spans="1:3" x14ac:dyDescent="0.25">
      <c r="A41" s="7" t="s">
        <v>798</v>
      </c>
      <c r="B41" s="1">
        <v>849999</v>
      </c>
      <c r="C41" s="1">
        <v>849999</v>
      </c>
    </row>
    <row r="42" spans="1:3" x14ac:dyDescent="0.25">
      <c r="A42" s="174" t="s">
        <v>1207</v>
      </c>
      <c r="B42" s="1">
        <v>849999</v>
      </c>
      <c r="C42" s="1">
        <v>849999</v>
      </c>
    </row>
    <row r="43" spans="1:3" x14ac:dyDescent="0.25">
      <c r="A43" s="7" t="s">
        <v>799</v>
      </c>
      <c r="B43" s="1">
        <v>50004</v>
      </c>
      <c r="C43" s="1">
        <v>50004</v>
      </c>
    </row>
    <row r="44" spans="1:3" x14ac:dyDescent="0.25">
      <c r="A44" s="174" t="s">
        <v>1208</v>
      </c>
      <c r="B44" s="1">
        <v>50004</v>
      </c>
      <c r="C44" s="1">
        <v>50004</v>
      </c>
    </row>
    <row r="45" spans="1:3" x14ac:dyDescent="0.25">
      <c r="A45" s="7" t="s">
        <v>800</v>
      </c>
      <c r="B45" s="1">
        <v>200004</v>
      </c>
      <c r="C45" s="1">
        <v>200004</v>
      </c>
    </row>
    <row r="46" spans="1:3" x14ac:dyDescent="0.25">
      <c r="A46" s="174" t="s">
        <v>1209</v>
      </c>
      <c r="B46" s="1">
        <v>200004</v>
      </c>
      <c r="C46" s="1">
        <v>200004</v>
      </c>
    </row>
    <row r="47" spans="1:3" x14ac:dyDescent="0.25">
      <c r="A47" s="7" t="s">
        <v>801</v>
      </c>
      <c r="B47" s="1">
        <v>9996</v>
      </c>
      <c r="C47" s="1">
        <v>9996</v>
      </c>
    </row>
    <row r="48" spans="1:3" x14ac:dyDescent="0.25">
      <c r="A48" s="174" t="s">
        <v>1210</v>
      </c>
      <c r="B48" s="1">
        <v>9996</v>
      </c>
      <c r="C48" s="1">
        <v>9996</v>
      </c>
    </row>
    <row r="49" spans="1:3" x14ac:dyDescent="0.25">
      <c r="A49" s="7" t="s">
        <v>802</v>
      </c>
      <c r="B49" s="1">
        <v>150000</v>
      </c>
      <c r="C49" s="1">
        <v>150000</v>
      </c>
    </row>
    <row r="50" spans="1:3" x14ac:dyDescent="0.25">
      <c r="A50" s="174" t="s">
        <v>1211</v>
      </c>
      <c r="B50" s="1">
        <v>150000</v>
      </c>
      <c r="C50" s="1">
        <v>150000</v>
      </c>
    </row>
    <row r="51" spans="1:3" x14ac:dyDescent="0.25">
      <c r="A51" s="7" t="s">
        <v>803</v>
      </c>
      <c r="B51" s="1">
        <v>9996</v>
      </c>
      <c r="C51" s="1">
        <v>9996</v>
      </c>
    </row>
    <row r="52" spans="1:3" x14ac:dyDescent="0.25">
      <c r="A52" s="174" t="s">
        <v>1212</v>
      </c>
      <c r="B52" s="1">
        <v>9996</v>
      </c>
      <c r="C52" s="1">
        <v>9996</v>
      </c>
    </row>
    <row r="53" spans="1:3" x14ac:dyDescent="0.25">
      <c r="A53" s="7" t="s">
        <v>804</v>
      </c>
      <c r="B53" s="1">
        <v>50004</v>
      </c>
      <c r="C53" s="1">
        <v>50004</v>
      </c>
    </row>
    <row r="54" spans="1:3" x14ac:dyDescent="0.25">
      <c r="A54" s="174" t="s">
        <v>1213</v>
      </c>
      <c r="B54" s="1">
        <v>50004</v>
      </c>
      <c r="C54" s="1">
        <v>50004</v>
      </c>
    </row>
    <row r="55" spans="1:3" x14ac:dyDescent="0.25">
      <c r="A55" s="7" t="s">
        <v>805</v>
      </c>
      <c r="B55" s="1">
        <v>0</v>
      </c>
      <c r="C55" s="1">
        <v>0</v>
      </c>
    </row>
    <row r="56" spans="1:3" x14ac:dyDescent="0.25">
      <c r="A56" s="174" t="s">
        <v>1214</v>
      </c>
      <c r="B56" s="1">
        <v>0</v>
      </c>
      <c r="C56" s="1">
        <v>0</v>
      </c>
    </row>
    <row r="57" spans="1:3" x14ac:dyDescent="0.25">
      <c r="A57" s="7" t="s">
        <v>964</v>
      </c>
      <c r="B57" s="1">
        <v>7160284</v>
      </c>
      <c r="C57" s="1">
        <v>7160284</v>
      </c>
    </row>
    <row r="58" spans="1:3" x14ac:dyDescent="0.25">
      <c r="A58" s="174" t="s">
        <v>1215</v>
      </c>
      <c r="B58" s="1">
        <v>7160284</v>
      </c>
      <c r="C58" s="1">
        <v>7160284</v>
      </c>
    </row>
    <row r="59" spans="1:3" x14ac:dyDescent="0.25">
      <c r="A59" s="7" t="s">
        <v>965</v>
      </c>
      <c r="B59" s="1">
        <v>3193832</v>
      </c>
      <c r="C59" s="1">
        <v>3193832</v>
      </c>
    </row>
    <row r="60" spans="1:3" x14ac:dyDescent="0.25">
      <c r="A60" s="174" t="s">
        <v>1216</v>
      </c>
      <c r="B60" s="1">
        <v>3193832</v>
      </c>
      <c r="C60" s="1">
        <v>3193832</v>
      </c>
    </row>
    <row r="61" spans="1:3" x14ac:dyDescent="0.25">
      <c r="A61" s="7" t="s">
        <v>966</v>
      </c>
      <c r="B61" s="1">
        <v>1293828</v>
      </c>
      <c r="C61" s="1">
        <v>1293828</v>
      </c>
    </row>
    <row r="62" spans="1:3" x14ac:dyDescent="0.25">
      <c r="A62" s="174" t="s">
        <v>1217</v>
      </c>
      <c r="B62" s="1">
        <v>1293828</v>
      </c>
      <c r="C62" s="1">
        <v>1293828</v>
      </c>
    </row>
    <row r="63" spans="1:3" x14ac:dyDescent="0.25">
      <c r="A63" s="7" t="s">
        <v>806</v>
      </c>
      <c r="B63" s="1">
        <v>5004</v>
      </c>
      <c r="C63" s="1">
        <v>5004</v>
      </c>
    </row>
    <row r="64" spans="1:3" x14ac:dyDescent="0.25">
      <c r="A64" s="174" t="s">
        <v>1218</v>
      </c>
      <c r="B64" s="1">
        <v>5004</v>
      </c>
      <c r="C64" s="1">
        <v>5004</v>
      </c>
    </row>
    <row r="65" spans="1:3" x14ac:dyDescent="0.25">
      <c r="A65" s="7" t="s">
        <v>807</v>
      </c>
      <c r="B65" s="1">
        <v>6999996</v>
      </c>
      <c r="C65" s="1">
        <v>6999996</v>
      </c>
    </row>
    <row r="66" spans="1:3" x14ac:dyDescent="0.25">
      <c r="A66" s="174" t="s">
        <v>1219</v>
      </c>
      <c r="B66" s="1">
        <v>6999996</v>
      </c>
      <c r="C66" s="1">
        <v>6999996</v>
      </c>
    </row>
    <row r="67" spans="1:3" x14ac:dyDescent="0.25">
      <c r="A67" s="7" t="s">
        <v>808</v>
      </c>
      <c r="B67" s="1">
        <v>999996</v>
      </c>
      <c r="C67" s="1">
        <v>999996</v>
      </c>
    </row>
    <row r="68" spans="1:3" x14ac:dyDescent="0.25">
      <c r="A68" s="174" t="s">
        <v>1220</v>
      </c>
      <c r="B68" s="1">
        <v>999996</v>
      </c>
      <c r="C68" s="1">
        <v>999996</v>
      </c>
    </row>
    <row r="69" spans="1:3" x14ac:dyDescent="0.25">
      <c r="A69" s="7" t="s">
        <v>967</v>
      </c>
      <c r="B69" s="1">
        <v>411111</v>
      </c>
      <c r="C69" s="1">
        <v>411111</v>
      </c>
    </row>
    <row r="70" spans="1:3" x14ac:dyDescent="0.25">
      <c r="A70" s="174" t="s">
        <v>1221</v>
      </c>
      <c r="B70" s="1">
        <v>411111</v>
      </c>
      <c r="C70" s="1">
        <v>411111</v>
      </c>
    </row>
    <row r="71" spans="1:3" x14ac:dyDescent="0.25">
      <c r="A71" s="7" t="s">
        <v>809</v>
      </c>
      <c r="B71" s="1">
        <v>500004</v>
      </c>
      <c r="C71" s="1">
        <v>500004</v>
      </c>
    </row>
    <row r="72" spans="1:3" x14ac:dyDescent="0.25">
      <c r="A72" s="174" t="s">
        <v>1222</v>
      </c>
      <c r="B72" s="1">
        <v>500004</v>
      </c>
      <c r="C72" s="1">
        <v>500004</v>
      </c>
    </row>
    <row r="73" spans="1:3" x14ac:dyDescent="0.25">
      <c r="A73" s="7" t="s">
        <v>810</v>
      </c>
      <c r="B73" s="1">
        <v>500004</v>
      </c>
      <c r="C73" s="1">
        <v>500004</v>
      </c>
    </row>
    <row r="74" spans="1:3" x14ac:dyDescent="0.25">
      <c r="A74" s="174" t="s">
        <v>1223</v>
      </c>
      <c r="B74" s="1">
        <v>500004</v>
      </c>
      <c r="C74" s="1">
        <v>500004</v>
      </c>
    </row>
    <row r="75" spans="1:3" x14ac:dyDescent="0.25">
      <c r="A75" s="7" t="s">
        <v>968</v>
      </c>
      <c r="B75" s="1">
        <v>121107</v>
      </c>
      <c r="C75" s="1">
        <v>121107</v>
      </c>
    </row>
    <row r="76" spans="1:3" x14ac:dyDescent="0.25">
      <c r="A76" s="174" t="s">
        <v>1224</v>
      </c>
      <c r="B76" s="1">
        <v>121107</v>
      </c>
      <c r="C76" s="1">
        <v>121107</v>
      </c>
    </row>
    <row r="77" spans="1:3" x14ac:dyDescent="0.25">
      <c r="A77" s="7" t="s">
        <v>811</v>
      </c>
      <c r="B77" s="1">
        <v>20000004</v>
      </c>
      <c r="C77" s="1">
        <v>20000004</v>
      </c>
    </row>
    <row r="78" spans="1:3" x14ac:dyDescent="0.25">
      <c r="A78" s="174" t="s">
        <v>1225</v>
      </c>
      <c r="B78" s="1">
        <v>20000004</v>
      </c>
      <c r="C78" s="1">
        <v>20000004</v>
      </c>
    </row>
    <row r="79" spans="1:3" x14ac:dyDescent="0.25">
      <c r="A79" s="7" t="s">
        <v>812</v>
      </c>
      <c r="B79" s="1">
        <v>60000</v>
      </c>
      <c r="C79" s="1">
        <v>60000</v>
      </c>
    </row>
    <row r="80" spans="1:3" x14ac:dyDescent="0.25">
      <c r="A80" s="174" t="s">
        <v>1226</v>
      </c>
      <c r="B80" s="1">
        <v>60000</v>
      </c>
      <c r="C80" s="1">
        <v>60000</v>
      </c>
    </row>
    <row r="81" spans="1:3" x14ac:dyDescent="0.25">
      <c r="A81" s="6" t="s">
        <v>377</v>
      </c>
      <c r="B81" s="1">
        <v>5405772</v>
      </c>
      <c r="C81" s="1">
        <v>5405772</v>
      </c>
    </row>
    <row r="82" spans="1:3" x14ac:dyDescent="0.25">
      <c r="A82" s="7" t="s">
        <v>813</v>
      </c>
      <c r="B82" s="1">
        <v>4715772</v>
      </c>
      <c r="C82" s="1">
        <v>4715772</v>
      </c>
    </row>
    <row r="83" spans="1:3" x14ac:dyDescent="0.25">
      <c r="A83" s="174" t="s">
        <v>1227</v>
      </c>
      <c r="B83" s="1">
        <v>4715772</v>
      </c>
      <c r="C83" s="1">
        <v>4715772</v>
      </c>
    </row>
    <row r="84" spans="1:3" x14ac:dyDescent="0.25">
      <c r="A84" s="7" t="s">
        <v>814</v>
      </c>
      <c r="B84" s="1">
        <v>590000</v>
      </c>
      <c r="C84" s="1">
        <v>590000</v>
      </c>
    </row>
    <row r="85" spans="1:3" x14ac:dyDescent="0.25">
      <c r="A85" s="174" t="s">
        <v>1228</v>
      </c>
      <c r="B85" s="1">
        <v>590000</v>
      </c>
      <c r="C85" s="1">
        <v>590000</v>
      </c>
    </row>
    <row r="86" spans="1:3" x14ac:dyDescent="0.25">
      <c r="A86" s="7" t="s">
        <v>815</v>
      </c>
      <c r="B86" s="1">
        <v>0</v>
      </c>
      <c r="C86" s="1">
        <v>0</v>
      </c>
    </row>
    <row r="87" spans="1:3" x14ac:dyDescent="0.25">
      <c r="A87" s="174" t="s">
        <v>1229</v>
      </c>
      <c r="B87" s="1">
        <v>0</v>
      </c>
      <c r="C87" s="1">
        <v>0</v>
      </c>
    </row>
    <row r="88" spans="1:3" x14ac:dyDescent="0.25">
      <c r="A88" s="7" t="s">
        <v>816</v>
      </c>
      <c r="B88" s="1">
        <v>100000</v>
      </c>
      <c r="C88" s="1">
        <v>100000</v>
      </c>
    </row>
    <row r="89" spans="1:3" x14ac:dyDescent="0.25">
      <c r="A89" s="174" t="s">
        <v>1230</v>
      </c>
      <c r="B89" s="1">
        <v>100000</v>
      </c>
      <c r="C89" s="1">
        <v>100000</v>
      </c>
    </row>
    <row r="90" spans="1:3" x14ac:dyDescent="0.25">
      <c r="A90" s="6" t="s">
        <v>378</v>
      </c>
      <c r="B90" s="1">
        <v>14727208</v>
      </c>
      <c r="C90" s="1">
        <v>14727208</v>
      </c>
    </row>
    <row r="91" spans="1:3" x14ac:dyDescent="0.25">
      <c r="A91" s="7" t="s">
        <v>379</v>
      </c>
      <c r="B91" s="1">
        <v>2250996</v>
      </c>
      <c r="C91" s="1">
        <v>2250996</v>
      </c>
    </row>
    <row r="92" spans="1:3" x14ac:dyDescent="0.25">
      <c r="A92" s="174" t="s">
        <v>504</v>
      </c>
      <c r="B92" s="1">
        <v>2250996</v>
      </c>
      <c r="C92" s="1">
        <v>2250996</v>
      </c>
    </row>
    <row r="93" spans="1:3" x14ac:dyDescent="0.25">
      <c r="A93" s="7" t="s">
        <v>380</v>
      </c>
      <c r="B93" s="1">
        <v>826056</v>
      </c>
      <c r="C93" s="1">
        <v>826056</v>
      </c>
    </row>
    <row r="94" spans="1:3" x14ac:dyDescent="0.25">
      <c r="A94" s="174" t="s">
        <v>505</v>
      </c>
      <c r="B94" s="1">
        <v>826056</v>
      </c>
      <c r="C94" s="1">
        <v>826056</v>
      </c>
    </row>
    <row r="95" spans="1:3" x14ac:dyDescent="0.25">
      <c r="A95" s="7" t="s">
        <v>451</v>
      </c>
      <c r="B95" s="1">
        <v>782500</v>
      </c>
      <c r="C95" s="1">
        <v>782500</v>
      </c>
    </row>
    <row r="96" spans="1:3" x14ac:dyDescent="0.25">
      <c r="A96" s="174" t="s">
        <v>506</v>
      </c>
      <c r="B96" s="1">
        <v>782500</v>
      </c>
      <c r="C96" s="1">
        <v>782500</v>
      </c>
    </row>
    <row r="97" spans="1:3" x14ac:dyDescent="0.25">
      <c r="A97" s="7" t="s">
        <v>381</v>
      </c>
      <c r="B97" s="1">
        <v>8000004</v>
      </c>
      <c r="C97" s="1">
        <v>8000004</v>
      </c>
    </row>
    <row r="98" spans="1:3" x14ac:dyDescent="0.25">
      <c r="A98" s="174" t="s">
        <v>533</v>
      </c>
      <c r="B98" s="1">
        <v>8000004</v>
      </c>
      <c r="C98" s="1">
        <v>8000004</v>
      </c>
    </row>
    <row r="99" spans="1:3" x14ac:dyDescent="0.25">
      <c r="A99" s="7" t="s">
        <v>382</v>
      </c>
      <c r="B99" s="1">
        <v>1115100</v>
      </c>
      <c r="C99" s="1">
        <v>1115100</v>
      </c>
    </row>
    <row r="100" spans="1:3" x14ac:dyDescent="0.25">
      <c r="A100" s="174" t="s">
        <v>534</v>
      </c>
      <c r="B100" s="1">
        <v>1115100</v>
      </c>
      <c r="C100" s="1">
        <v>1115100</v>
      </c>
    </row>
    <row r="101" spans="1:3" x14ac:dyDescent="0.25">
      <c r="A101" s="7" t="s">
        <v>452</v>
      </c>
      <c r="B101" s="1">
        <v>48000</v>
      </c>
      <c r="C101" s="1">
        <v>48000</v>
      </c>
    </row>
    <row r="102" spans="1:3" x14ac:dyDescent="0.25">
      <c r="A102" s="174" t="s">
        <v>535</v>
      </c>
      <c r="B102" s="1">
        <v>48000</v>
      </c>
      <c r="C102" s="1">
        <v>48000</v>
      </c>
    </row>
    <row r="103" spans="1:3" x14ac:dyDescent="0.25">
      <c r="A103" s="7" t="s">
        <v>453</v>
      </c>
      <c r="B103" s="1">
        <v>48000</v>
      </c>
      <c r="C103" s="1">
        <v>48000</v>
      </c>
    </row>
    <row r="104" spans="1:3" x14ac:dyDescent="0.25">
      <c r="A104" s="174" t="s">
        <v>536</v>
      </c>
      <c r="B104" s="1">
        <v>48000</v>
      </c>
      <c r="C104" s="1">
        <v>48000</v>
      </c>
    </row>
    <row r="105" spans="1:3" x14ac:dyDescent="0.25">
      <c r="A105" s="7" t="s">
        <v>454</v>
      </c>
      <c r="B105" s="1">
        <v>48000</v>
      </c>
      <c r="C105" s="1">
        <v>48000</v>
      </c>
    </row>
    <row r="106" spans="1:3" x14ac:dyDescent="0.25">
      <c r="A106" s="174" t="s">
        <v>537</v>
      </c>
      <c r="B106" s="1">
        <v>48000</v>
      </c>
      <c r="C106" s="1">
        <v>48000</v>
      </c>
    </row>
    <row r="107" spans="1:3" x14ac:dyDescent="0.25">
      <c r="A107" s="7" t="s">
        <v>455</v>
      </c>
      <c r="B107" s="1">
        <v>48000</v>
      </c>
      <c r="C107" s="1">
        <v>48000</v>
      </c>
    </row>
    <row r="108" spans="1:3" x14ac:dyDescent="0.25">
      <c r="A108" s="174" t="s">
        <v>538</v>
      </c>
      <c r="B108" s="1">
        <v>48000</v>
      </c>
      <c r="C108" s="1">
        <v>48000</v>
      </c>
    </row>
    <row r="109" spans="1:3" x14ac:dyDescent="0.25">
      <c r="A109" s="7" t="s">
        <v>456</v>
      </c>
      <c r="B109" s="1">
        <v>48000</v>
      </c>
      <c r="C109" s="1">
        <v>48000</v>
      </c>
    </row>
    <row r="110" spans="1:3" x14ac:dyDescent="0.25">
      <c r="A110" s="174" t="s">
        <v>539</v>
      </c>
      <c r="B110" s="1">
        <v>48000</v>
      </c>
      <c r="C110" s="1">
        <v>48000</v>
      </c>
    </row>
    <row r="111" spans="1:3" x14ac:dyDescent="0.25">
      <c r="A111" s="7" t="s">
        <v>457</v>
      </c>
      <c r="B111" s="1">
        <v>48000</v>
      </c>
      <c r="C111" s="1">
        <v>48000</v>
      </c>
    </row>
    <row r="112" spans="1:3" x14ac:dyDescent="0.25">
      <c r="A112" s="174" t="s">
        <v>540</v>
      </c>
      <c r="B112" s="1">
        <v>48000</v>
      </c>
      <c r="C112" s="1">
        <v>48000</v>
      </c>
    </row>
    <row r="113" spans="1:3" x14ac:dyDescent="0.25">
      <c r="A113" s="7" t="s">
        <v>458</v>
      </c>
      <c r="B113" s="1">
        <v>48000</v>
      </c>
      <c r="C113" s="1">
        <v>48000</v>
      </c>
    </row>
    <row r="114" spans="1:3" x14ac:dyDescent="0.25">
      <c r="A114" s="174" t="s">
        <v>541</v>
      </c>
      <c r="B114" s="1">
        <v>48000</v>
      </c>
      <c r="C114" s="1">
        <v>48000</v>
      </c>
    </row>
    <row r="115" spans="1:3" x14ac:dyDescent="0.25">
      <c r="A115" s="7" t="s">
        <v>459</v>
      </c>
      <c r="B115" s="1">
        <v>48000</v>
      </c>
      <c r="C115" s="1">
        <v>48000</v>
      </c>
    </row>
    <row r="116" spans="1:3" x14ac:dyDescent="0.25">
      <c r="A116" s="174" t="s">
        <v>542</v>
      </c>
      <c r="B116" s="1">
        <v>48000</v>
      </c>
      <c r="C116" s="1">
        <v>48000</v>
      </c>
    </row>
    <row r="117" spans="1:3" x14ac:dyDescent="0.25">
      <c r="A117" s="7" t="s">
        <v>460</v>
      </c>
      <c r="B117" s="1">
        <v>48000</v>
      </c>
      <c r="C117" s="1">
        <v>48000</v>
      </c>
    </row>
    <row r="118" spans="1:3" x14ac:dyDescent="0.25">
      <c r="A118" s="174" t="s">
        <v>543</v>
      </c>
      <c r="B118" s="1">
        <v>48000</v>
      </c>
      <c r="C118" s="1">
        <v>48000</v>
      </c>
    </row>
    <row r="119" spans="1:3" x14ac:dyDescent="0.25">
      <c r="A119" s="7" t="s">
        <v>461</v>
      </c>
      <c r="B119" s="1">
        <v>48000</v>
      </c>
      <c r="C119" s="1">
        <v>48000</v>
      </c>
    </row>
    <row r="120" spans="1:3" x14ac:dyDescent="0.25">
      <c r="A120" s="174" t="s">
        <v>544</v>
      </c>
      <c r="B120" s="1">
        <v>48000</v>
      </c>
      <c r="C120" s="1">
        <v>48000</v>
      </c>
    </row>
    <row r="121" spans="1:3" x14ac:dyDescent="0.25">
      <c r="A121" s="7" t="s">
        <v>462</v>
      </c>
      <c r="B121" s="1">
        <v>48000</v>
      </c>
      <c r="C121" s="1">
        <v>48000</v>
      </c>
    </row>
    <row r="122" spans="1:3" x14ac:dyDescent="0.25">
      <c r="A122" s="174" t="s">
        <v>545</v>
      </c>
      <c r="B122" s="1">
        <v>48000</v>
      </c>
      <c r="C122" s="1">
        <v>48000</v>
      </c>
    </row>
    <row r="123" spans="1:3" x14ac:dyDescent="0.25">
      <c r="A123" s="7" t="s">
        <v>463</v>
      </c>
      <c r="B123" s="1">
        <v>48000</v>
      </c>
      <c r="C123" s="1">
        <v>48000</v>
      </c>
    </row>
    <row r="124" spans="1:3" x14ac:dyDescent="0.25">
      <c r="A124" s="174" t="s">
        <v>546</v>
      </c>
      <c r="B124" s="1">
        <v>48000</v>
      </c>
      <c r="C124" s="1">
        <v>48000</v>
      </c>
    </row>
    <row r="125" spans="1:3" x14ac:dyDescent="0.25">
      <c r="A125" s="7" t="s">
        <v>464</v>
      </c>
      <c r="B125" s="1">
        <v>48000</v>
      </c>
      <c r="C125" s="1">
        <v>48000</v>
      </c>
    </row>
    <row r="126" spans="1:3" x14ac:dyDescent="0.25">
      <c r="A126" s="174" t="s">
        <v>547</v>
      </c>
      <c r="B126" s="1">
        <v>48000</v>
      </c>
      <c r="C126" s="1">
        <v>48000</v>
      </c>
    </row>
    <row r="127" spans="1:3" x14ac:dyDescent="0.25">
      <c r="A127" s="7" t="s">
        <v>465</v>
      </c>
      <c r="B127" s="1">
        <v>48000</v>
      </c>
      <c r="C127" s="1">
        <v>48000</v>
      </c>
    </row>
    <row r="128" spans="1:3" x14ac:dyDescent="0.25">
      <c r="A128" s="174" t="s">
        <v>548</v>
      </c>
      <c r="B128" s="1">
        <v>48000</v>
      </c>
      <c r="C128" s="1">
        <v>48000</v>
      </c>
    </row>
    <row r="129" spans="1:3" x14ac:dyDescent="0.25">
      <c r="A129" s="7" t="s">
        <v>466</v>
      </c>
      <c r="B129" s="1">
        <v>48000</v>
      </c>
      <c r="C129" s="1">
        <v>48000</v>
      </c>
    </row>
    <row r="130" spans="1:3" x14ac:dyDescent="0.25">
      <c r="A130" s="174" t="s">
        <v>549</v>
      </c>
      <c r="B130" s="1">
        <v>48000</v>
      </c>
      <c r="C130" s="1">
        <v>48000</v>
      </c>
    </row>
    <row r="131" spans="1:3" x14ac:dyDescent="0.25">
      <c r="A131" s="7" t="s">
        <v>383</v>
      </c>
      <c r="B131" s="1">
        <v>41256</v>
      </c>
      <c r="C131" s="1">
        <v>41256</v>
      </c>
    </row>
    <row r="132" spans="1:3" x14ac:dyDescent="0.25">
      <c r="A132" s="174" t="s">
        <v>532</v>
      </c>
      <c r="B132" s="1">
        <v>41256</v>
      </c>
      <c r="C132" s="1">
        <v>41256</v>
      </c>
    </row>
    <row r="133" spans="1:3" x14ac:dyDescent="0.25">
      <c r="A133" s="7" t="s">
        <v>384</v>
      </c>
      <c r="B133" s="1">
        <v>901296</v>
      </c>
      <c r="C133" s="1">
        <v>901296</v>
      </c>
    </row>
    <row r="134" spans="1:3" x14ac:dyDescent="0.25">
      <c r="A134" s="174" t="s">
        <v>530</v>
      </c>
      <c r="B134" s="1">
        <v>901296</v>
      </c>
      <c r="C134" s="1">
        <v>901296</v>
      </c>
    </row>
    <row r="135" spans="1:3" x14ac:dyDescent="0.25">
      <c r="A135" s="7" t="s">
        <v>385</v>
      </c>
      <c r="B135" s="1">
        <v>90000</v>
      </c>
      <c r="C135" s="1">
        <v>90000</v>
      </c>
    </row>
    <row r="136" spans="1:3" x14ac:dyDescent="0.25">
      <c r="A136" s="174" t="s">
        <v>531</v>
      </c>
      <c r="B136" s="1">
        <v>90000</v>
      </c>
      <c r="C136" s="1">
        <v>90000</v>
      </c>
    </row>
    <row r="137" spans="1:3" x14ac:dyDescent="0.25">
      <c r="A137" s="6" t="s">
        <v>386</v>
      </c>
      <c r="B137" s="1">
        <v>240424089</v>
      </c>
      <c r="C137" s="1">
        <v>240424089</v>
      </c>
    </row>
    <row r="138" spans="1:3" x14ac:dyDescent="0.25">
      <c r="A138" s="7" t="s">
        <v>387</v>
      </c>
      <c r="B138" s="1">
        <v>233206681</v>
      </c>
      <c r="C138" s="1">
        <v>233206681</v>
      </c>
    </row>
    <row r="139" spans="1:3" x14ac:dyDescent="0.25">
      <c r="A139" s="174" t="s">
        <v>1231</v>
      </c>
      <c r="B139" s="1">
        <v>233206681</v>
      </c>
      <c r="C139" s="1">
        <v>233206681</v>
      </c>
    </row>
    <row r="140" spans="1:3" x14ac:dyDescent="0.25">
      <c r="A140" s="7" t="s">
        <v>388</v>
      </c>
      <c r="B140" s="1">
        <v>919808</v>
      </c>
      <c r="C140" s="1">
        <v>919808</v>
      </c>
    </row>
    <row r="141" spans="1:3" x14ac:dyDescent="0.25">
      <c r="A141" s="174" t="s">
        <v>1232</v>
      </c>
      <c r="B141" s="1">
        <v>919808</v>
      </c>
      <c r="C141" s="1">
        <v>919808</v>
      </c>
    </row>
    <row r="142" spans="1:3" x14ac:dyDescent="0.25">
      <c r="A142" s="7" t="s">
        <v>389</v>
      </c>
      <c r="B142" s="1">
        <v>0</v>
      </c>
      <c r="C142" s="1">
        <v>0</v>
      </c>
    </row>
    <row r="143" spans="1:3" x14ac:dyDescent="0.25">
      <c r="A143" s="174" t="s">
        <v>1233</v>
      </c>
      <c r="B143" s="1">
        <v>0</v>
      </c>
      <c r="C143" s="1">
        <v>0</v>
      </c>
    </row>
    <row r="144" spans="1:3" x14ac:dyDescent="0.25">
      <c r="A144" s="7" t="s">
        <v>821</v>
      </c>
      <c r="B144" s="1">
        <v>6147600</v>
      </c>
      <c r="C144" s="1">
        <v>6147600</v>
      </c>
    </row>
    <row r="145" spans="1:3" x14ac:dyDescent="0.25">
      <c r="A145" s="174" t="s">
        <v>1234</v>
      </c>
      <c r="B145" s="1">
        <v>6147600</v>
      </c>
      <c r="C145" s="1">
        <v>6147600</v>
      </c>
    </row>
    <row r="146" spans="1:3" x14ac:dyDescent="0.25">
      <c r="A146" s="7" t="s">
        <v>390</v>
      </c>
      <c r="B146" s="1">
        <v>150000</v>
      </c>
      <c r="C146" s="1">
        <v>150000</v>
      </c>
    </row>
    <row r="147" spans="1:3" x14ac:dyDescent="0.25">
      <c r="A147" s="174" t="s">
        <v>1235</v>
      </c>
      <c r="B147" s="1">
        <v>150000</v>
      </c>
      <c r="C147" s="1">
        <v>150000</v>
      </c>
    </row>
    <row r="148" spans="1:3" x14ac:dyDescent="0.25">
      <c r="A148" s="6" t="s">
        <v>243</v>
      </c>
      <c r="B148" s="1">
        <v>54229630</v>
      </c>
      <c r="C148" s="1">
        <v>54229630</v>
      </c>
    </row>
    <row r="149" spans="1:3" x14ac:dyDescent="0.25">
      <c r="A149" s="7" t="s">
        <v>237</v>
      </c>
      <c r="B149" s="1">
        <v>16675146</v>
      </c>
      <c r="C149" s="1">
        <v>16675146</v>
      </c>
    </row>
    <row r="150" spans="1:3" x14ac:dyDescent="0.25">
      <c r="A150" s="174" t="s">
        <v>507</v>
      </c>
      <c r="B150" s="1">
        <v>16675146</v>
      </c>
      <c r="C150" s="1">
        <v>16675146</v>
      </c>
    </row>
    <row r="151" spans="1:3" x14ac:dyDescent="0.25">
      <c r="A151" s="7" t="s">
        <v>391</v>
      </c>
      <c r="B151" s="1">
        <v>1463417</v>
      </c>
      <c r="C151" s="1">
        <v>1463417</v>
      </c>
    </row>
    <row r="152" spans="1:3" x14ac:dyDescent="0.25">
      <c r="A152" s="174" t="s">
        <v>508</v>
      </c>
      <c r="B152" s="1">
        <v>1463417</v>
      </c>
      <c r="C152" s="1">
        <v>1463417</v>
      </c>
    </row>
    <row r="153" spans="1:3" x14ac:dyDescent="0.25">
      <c r="A153" s="7" t="s">
        <v>550</v>
      </c>
      <c r="B153" s="1">
        <v>1069656</v>
      </c>
      <c r="C153" s="1">
        <v>1069656</v>
      </c>
    </row>
    <row r="154" spans="1:3" x14ac:dyDescent="0.25">
      <c r="A154" s="174" t="s">
        <v>551</v>
      </c>
      <c r="B154" s="1">
        <v>1069656</v>
      </c>
      <c r="C154" s="1">
        <v>1069656</v>
      </c>
    </row>
    <row r="155" spans="1:3" x14ac:dyDescent="0.25">
      <c r="A155" s="7" t="s">
        <v>552</v>
      </c>
      <c r="B155" s="1">
        <v>4715772</v>
      </c>
      <c r="C155" s="1">
        <v>4715772</v>
      </c>
    </row>
    <row r="156" spans="1:3" x14ac:dyDescent="0.25">
      <c r="A156" s="174" t="s">
        <v>1236</v>
      </c>
      <c r="B156" s="1">
        <v>4715772</v>
      </c>
      <c r="C156" s="1">
        <v>4715772</v>
      </c>
    </row>
    <row r="157" spans="1:3" x14ac:dyDescent="0.25">
      <c r="A157" s="7" t="s">
        <v>392</v>
      </c>
      <c r="B157" s="1">
        <v>2086272</v>
      </c>
      <c r="C157" s="1">
        <v>2086272</v>
      </c>
    </row>
    <row r="158" spans="1:3" x14ac:dyDescent="0.25">
      <c r="A158" s="174" t="s">
        <v>577</v>
      </c>
      <c r="B158" s="1">
        <v>2086272</v>
      </c>
      <c r="C158" s="1">
        <v>2086272</v>
      </c>
    </row>
    <row r="159" spans="1:3" x14ac:dyDescent="0.25">
      <c r="A159" s="7" t="s">
        <v>393</v>
      </c>
      <c r="B159" s="1">
        <v>1728744</v>
      </c>
      <c r="C159" s="1">
        <v>1728744</v>
      </c>
    </row>
    <row r="160" spans="1:3" x14ac:dyDescent="0.25">
      <c r="A160" s="174" t="s">
        <v>578</v>
      </c>
      <c r="B160" s="1">
        <v>1728744</v>
      </c>
      <c r="C160" s="1">
        <v>1728744</v>
      </c>
    </row>
    <row r="161" spans="1:3" x14ac:dyDescent="0.25">
      <c r="A161" s="7" t="s">
        <v>296</v>
      </c>
      <c r="B161" s="1">
        <v>23272470</v>
      </c>
      <c r="C161" s="1">
        <v>23272470</v>
      </c>
    </row>
    <row r="162" spans="1:3" x14ac:dyDescent="0.25">
      <c r="A162" s="174" t="s">
        <v>580</v>
      </c>
      <c r="B162" s="1">
        <v>23272470</v>
      </c>
      <c r="C162" s="1">
        <v>23272470</v>
      </c>
    </row>
    <row r="163" spans="1:3" x14ac:dyDescent="0.25">
      <c r="A163" s="7" t="s">
        <v>326</v>
      </c>
      <c r="B163" s="1">
        <v>2993897</v>
      </c>
      <c r="C163" s="1">
        <v>2993897</v>
      </c>
    </row>
    <row r="164" spans="1:3" x14ac:dyDescent="0.25">
      <c r="A164" s="174" t="s">
        <v>581</v>
      </c>
      <c r="B164" s="1">
        <v>2993897</v>
      </c>
      <c r="C164" s="1">
        <v>2993897</v>
      </c>
    </row>
    <row r="165" spans="1:3" x14ac:dyDescent="0.25">
      <c r="A165" s="7" t="s">
        <v>394</v>
      </c>
      <c r="B165" s="1">
        <v>205920</v>
      </c>
      <c r="C165" s="1">
        <v>205920</v>
      </c>
    </row>
    <row r="166" spans="1:3" x14ac:dyDescent="0.25">
      <c r="A166" s="174" t="s">
        <v>579</v>
      </c>
      <c r="B166" s="1">
        <v>205920</v>
      </c>
      <c r="C166" s="1">
        <v>205920</v>
      </c>
    </row>
    <row r="167" spans="1:3" x14ac:dyDescent="0.25">
      <c r="A167" s="7" t="s">
        <v>395</v>
      </c>
      <c r="B167" s="1">
        <v>18336</v>
      </c>
      <c r="C167" s="1">
        <v>18336</v>
      </c>
    </row>
    <row r="168" spans="1:3" x14ac:dyDescent="0.25">
      <c r="A168" s="174" t="s">
        <v>576</v>
      </c>
      <c r="B168" s="1">
        <v>18336</v>
      </c>
      <c r="C168" s="1">
        <v>18336</v>
      </c>
    </row>
    <row r="169" spans="1:3" x14ac:dyDescent="0.25">
      <c r="A169" s="6" t="s">
        <v>396</v>
      </c>
      <c r="B169" s="1">
        <v>55457659</v>
      </c>
      <c r="C169" s="1">
        <v>55457659</v>
      </c>
    </row>
    <row r="170" spans="1:3" x14ac:dyDescent="0.25">
      <c r="A170" s="7" t="s">
        <v>397</v>
      </c>
      <c r="B170" s="1">
        <v>1800</v>
      </c>
      <c r="C170" s="1">
        <v>1800</v>
      </c>
    </row>
    <row r="171" spans="1:3" x14ac:dyDescent="0.25">
      <c r="A171" s="174" t="s">
        <v>492</v>
      </c>
      <c r="B171" s="1">
        <v>1800</v>
      </c>
      <c r="C171" s="1">
        <v>1800</v>
      </c>
    </row>
    <row r="172" spans="1:3" x14ac:dyDescent="0.25">
      <c r="A172" s="7" t="s">
        <v>467</v>
      </c>
      <c r="B172" s="1">
        <v>100000</v>
      </c>
      <c r="C172" s="1">
        <v>100000</v>
      </c>
    </row>
    <row r="173" spans="1:3" x14ac:dyDescent="0.25">
      <c r="A173" s="174" t="s">
        <v>493</v>
      </c>
      <c r="B173" s="1">
        <v>100000</v>
      </c>
      <c r="C173" s="1">
        <v>100000</v>
      </c>
    </row>
    <row r="174" spans="1:3" x14ac:dyDescent="0.25">
      <c r="A174" s="7" t="s">
        <v>398</v>
      </c>
      <c r="B174" s="1">
        <v>3900000</v>
      </c>
      <c r="C174" s="1">
        <v>3900000</v>
      </c>
    </row>
    <row r="175" spans="1:3" x14ac:dyDescent="0.25">
      <c r="A175" s="174" t="s">
        <v>494</v>
      </c>
      <c r="B175" s="1">
        <v>3900000</v>
      </c>
      <c r="C175" s="1">
        <v>3900000</v>
      </c>
    </row>
    <row r="176" spans="1:3" x14ac:dyDescent="0.25">
      <c r="A176" s="7" t="s">
        <v>399</v>
      </c>
      <c r="B176" s="1">
        <v>1574400</v>
      </c>
      <c r="C176" s="1">
        <v>1574400</v>
      </c>
    </row>
    <row r="177" spans="1:3" x14ac:dyDescent="0.25">
      <c r="A177" s="174" t="s">
        <v>495</v>
      </c>
      <c r="B177" s="1">
        <v>1574400</v>
      </c>
      <c r="C177" s="1">
        <v>1574400</v>
      </c>
    </row>
    <row r="178" spans="1:3" x14ac:dyDescent="0.25">
      <c r="A178" s="7" t="s">
        <v>400</v>
      </c>
      <c r="B178" s="1">
        <v>2220000</v>
      </c>
      <c r="C178" s="1">
        <v>2220000</v>
      </c>
    </row>
    <row r="179" spans="1:3" x14ac:dyDescent="0.25">
      <c r="A179" s="174" t="s">
        <v>496</v>
      </c>
      <c r="B179" s="1">
        <v>2220000</v>
      </c>
      <c r="C179" s="1">
        <v>2220000</v>
      </c>
    </row>
    <row r="180" spans="1:3" x14ac:dyDescent="0.25">
      <c r="A180" s="7" t="s">
        <v>401</v>
      </c>
      <c r="B180" s="1">
        <v>954000</v>
      </c>
      <c r="C180" s="1">
        <v>954000</v>
      </c>
    </row>
    <row r="181" spans="1:3" x14ac:dyDescent="0.25">
      <c r="A181" s="174" t="s">
        <v>497</v>
      </c>
      <c r="B181" s="1">
        <v>954000</v>
      </c>
      <c r="C181" s="1">
        <v>954000</v>
      </c>
    </row>
    <row r="182" spans="1:3" x14ac:dyDescent="0.25">
      <c r="A182" s="7" t="s">
        <v>594</v>
      </c>
      <c r="B182" s="1">
        <v>1242000</v>
      </c>
      <c r="C182" s="1">
        <v>1242000</v>
      </c>
    </row>
    <row r="183" spans="1:3" x14ac:dyDescent="0.25">
      <c r="A183" s="174" t="s">
        <v>593</v>
      </c>
      <c r="B183" s="1">
        <v>1242000</v>
      </c>
      <c r="C183" s="1">
        <v>1242000</v>
      </c>
    </row>
    <row r="184" spans="1:3" x14ac:dyDescent="0.25">
      <c r="A184" s="7" t="s">
        <v>468</v>
      </c>
      <c r="B184" s="1">
        <v>0</v>
      </c>
      <c r="C184" s="1">
        <v>0</v>
      </c>
    </row>
    <row r="185" spans="1:3" x14ac:dyDescent="0.25">
      <c r="A185" s="174" t="s">
        <v>516</v>
      </c>
      <c r="B185" s="1">
        <v>0</v>
      </c>
      <c r="C185" s="1">
        <v>0</v>
      </c>
    </row>
    <row r="186" spans="1:3" x14ac:dyDescent="0.25">
      <c r="A186" s="7" t="s">
        <v>402</v>
      </c>
      <c r="B186" s="1">
        <v>1500000</v>
      </c>
      <c r="C186" s="1">
        <v>1500000</v>
      </c>
    </row>
    <row r="187" spans="1:3" x14ac:dyDescent="0.25">
      <c r="A187" s="174" t="s">
        <v>476</v>
      </c>
      <c r="B187" s="1">
        <v>1500000</v>
      </c>
      <c r="C187" s="1">
        <v>1500000</v>
      </c>
    </row>
    <row r="188" spans="1:3" x14ac:dyDescent="0.25">
      <c r="A188" s="7" t="s">
        <v>403</v>
      </c>
      <c r="B188" s="1">
        <v>5851200</v>
      </c>
      <c r="C188" s="1">
        <v>5851200</v>
      </c>
    </row>
    <row r="189" spans="1:3" x14ac:dyDescent="0.25">
      <c r="A189" s="174" t="s">
        <v>477</v>
      </c>
      <c r="B189" s="1">
        <v>5851200</v>
      </c>
      <c r="C189" s="1">
        <v>5851200</v>
      </c>
    </row>
    <row r="190" spans="1:3" x14ac:dyDescent="0.25">
      <c r="A190" s="7" t="s">
        <v>404</v>
      </c>
      <c r="B190" s="1">
        <v>5950200</v>
      </c>
      <c r="C190" s="1">
        <v>5950200</v>
      </c>
    </row>
    <row r="191" spans="1:3" x14ac:dyDescent="0.25">
      <c r="A191" s="174" t="s">
        <v>478</v>
      </c>
      <c r="B191" s="1">
        <v>5950200</v>
      </c>
      <c r="C191" s="1">
        <v>5950200</v>
      </c>
    </row>
    <row r="192" spans="1:3" x14ac:dyDescent="0.25">
      <c r="A192" s="7" t="s">
        <v>469</v>
      </c>
      <c r="B192" s="1">
        <v>1100000</v>
      </c>
      <c r="C192" s="1">
        <v>1100000</v>
      </c>
    </row>
    <row r="193" spans="1:3" x14ac:dyDescent="0.25">
      <c r="A193" s="174" t="s">
        <v>515</v>
      </c>
      <c r="B193" s="1">
        <v>1100000</v>
      </c>
      <c r="C193" s="1">
        <v>1100000</v>
      </c>
    </row>
    <row r="194" spans="1:3" x14ac:dyDescent="0.25">
      <c r="A194" s="7" t="s">
        <v>405</v>
      </c>
      <c r="B194" s="1">
        <v>1620144</v>
      </c>
      <c r="C194" s="1">
        <v>1620144</v>
      </c>
    </row>
    <row r="195" spans="1:3" x14ac:dyDescent="0.25">
      <c r="A195" s="174" t="s">
        <v>479</v>
      </c>
      <c r="B195" s="1">
        <v>1620144</v>
      </c>
      <c r="C195" s="1">
        <v>1620144</v>
      </c>
    </row>
    <row r="196" spans="1:3" x14ac:dyDescent="0.25">
      <c r="A196" s="7" t="s">
        <v>470</v>
      </c>
      <c r="B196" s="1">
        <v>835920</v>
      </c>
      <c r="C196" s="1">
        <v>835920</v>
      </c>
    </row>
    <row r="197" spans="1:3" x14ac:dyDescent="0.25">
      <c r="A197" s="174" t="s">
        <v>480</v>
      </c>
      <c r="B197" s="1">
        <v>835920</v>
      </c>
      <c r="C197" s="1">
        <v>835920</v>
      </c>
    </row>
    <row r="198" spans="1:3" x14ac:dyDescent="0.25">
      <c r="A198" s="7" t="s">
        <v>406</v>
      </c>
      <c r="B198" s="1">
        <v>246000</v>
      </c>
      <c r="C198" s="1">
        <v>246000</v>
      </c>
    </row>
    <row r="199" spans="1:3" x14ac:dyDescent="0.25">
      <c r="A199" s="174" t="s">
        <v>523</v>
      </c>
      <c r="B199" s="1">
        <v>246000</v>
      </c>
      <c r="C199" s="1">
        <v>246000</v>
      </c>
    </row>
    <row r="200" spans="1:3" x14ac:dyDescent="0.25">
      <c r="A200" s="7" t="s">
        <v>407</v>
      </c>
      <c r="B200" s="1">
        <v>420000</v>
      </c>
      <c r="C200" s="1">
        <v>420000</v>
      </c>
    </row>
    <row r="201" spans="1:3" x14ac:dyDescent="0.25">
      <c r="A201" s="174" t="s">
        <v>517</v>
      </c>
      <c r="B201" s="1">
        <v>420000</v>
      </c>
      <c r="C201" s="1">
        <v>420000</v>
      </c>
    </row>
    <row r="202" spans="1:3" x14ac:dyDescent="0.25">
      <c r="A202" s="7" t="s">
        <v>408</v>
      </c>
      <c r="B202" s="1">
        <v>78000</v>
      </c>
      <c r="C202" s="1">
        <v>78000</v>
      </c>
    </row>
    <row r="203" spans="1:3" x14ac:dyDescent="0.25">
      <c r="A203" s="174" t="s">
        <v>518</v>
      </c>
      <c r="B203" s="1">
        <v>78000</v>
      </c>
      <c r="C203" s="1">
        <v>78000</v>
      </c>
    </row>
    <row r="204" spans="1:3" x14ac:dyDescent="0.25">
      <c r="A204" s="7" t="s">
        <v>409</v>
      </c>
      <c r="B204" s="1">
        <v>8400</v>
      </c>
      <c r="C204" s="1">
        <v>8400</v>
      </c>
    </row>
    <row r="205" spans="1:3" x14ac:dyDescent="0.25">
      <c r="A205" s="174" t="s">
        <v>519</v>
      </c>
      <c r="B205" s="1">
        <v>8400</v>
      </c>
      <c r="C205" s="1">
        <v>8400</v>
      </c>
    </row>
    <row r="206" spans="1:3" x14ac:dyDescent="0.25">
      <c r="A206" s="7" t="s">
        <v>410</v>
      </c>
      <c r="B206" s="1">
        <v>145600</v>
      </c>
      <c r="C206" s="1">
        <v>145600</v>
      </c>
    </row>
    <row r="207" spans="1:3" x14ac:dyDescent="0.25">
      <c r="A207" s="174" t="s">
        <v>520</v>
      </c>
      <c r="B207" s="1">
        <v>145600</v>
      </c>
      <c r="C207" s="1">
        <v>145600</v>
      </c>
    </row>
    <row r="208" spans="1:3" x14ac:dyDescent="0.25">
      <c r="A208" s="7" t="s">
        <v>411</v>
      </c>
      <c r="B208" s="1">
        <v>578000</v>
      </c>
      <c r="C208" s="1">
        <v>578000</v>
      </c>
    </row>
    <row r="209" spans="1:3" x14ac:dyDescent="0.25">
      <c r="A209" s="174" t="s">
        <v>475</v>
      </c>
      <c r="B209" s="1">
        <v>578000</v>
      </c>
      <c r="C209" s="1">
        <v>578000</v>
      </c>
    </row>
    <row r="210" spans="1:3" x14ac:dyDescent="0.25">
      <c r="A210" s="7" t="s">
        <v>412</v>
      </c>
      <c r="B210" s="1">
        <v>48000</v>
      </c>
      <c r="C210" s="1">
        <v>48000</v>
      </c>
    </row>
    <row r="211" spans="1:3" x14ac:dyDescent="0.25">
      <c r="A211" s="174" t="s">
        <v>521</v>
      </c>
      <c r="B211" s="1">
        <v>48000</v>
      </c>
      <c r="C211" s="1">
        <v>48000</v>
      </c>
    </row>
    <row r="212" spans="1:3" x14ac:dyDescent="0.25">
      <c r="A212" s="7" t="s">
        <v>413</v>
      </c>
      <c r="B212" s="1">
        <v>450000</v>
      </c>
      <c r="C212" s="1">
        <v>450000</v>
      </c>
    </row>
    <row r="213" spans="1:3" x14ac:dyDescent="0.25">
      <c r="A213" s="174" t="s">
        <v>522</v>
      </c>
      <c r="B213" s="1">
        <v>450000</v>
      </c>
      <c r="C213" s="1">
        <v>450000</v>
      </c>
    </row>
    <row r="214" spans="1:3" x14ac:dyDescent="0.25">
      <c r="A214" s="7" t="s">
        <v>414</v>
      </c>
      <c r="B214" s="1">
        <v>18504</v>
      </c>
      <c r="C214" s="1">
        <v>18504</v>
      </c>
    </row>
    <row r="215" spans="1:3" x14ac:dyDescent="0.25">
      <c r="A215" s="174" t="s">
        <v>498</v>
      </c>
      <c r="B215" s="1">
        <v>18504</v>
      </c>
      <c r="C215" s="1">
        <v>18504</v>
      </c>
    </row>
    <row r="216" spans="1:3" x14ac:dyDescent="0.25">
      <c r="A216" s="7" t="s">
        <v>415</v>
      </c>
      <c r="B216" s="1">
        <v>300000</v>
      </c>
      <c r="C216" s="1">
        <v>300000</v>
      </c>
    </row>
    <row r="217" spans="1:3" x14ac:dyDescent="0.25">
      <c r="A217" s="174" t="s">
        <v>1237</v>
      </c>
      <c r="B217" s="1">
        <v>300000</v>
      </c>
      <c r="C217" s="1">
        <v>300000</v>
      </c>
    </row>
    <row r="218" spans="1:3" x14ac:dyDescent="0.25">
      <c r="A218" s="7" t="s">
        <v>416</v>
      </c>
      <c r="B218" s="1">
        <v>1260000</v>
      </c>
      <c r="C218" s="1">
        <v>1260000</v>
      </c>
    </row>
    <row r="219" spans="1:3" x14ac:dyDescent="0.25">
      <c r="A219" s="174" t="s">
        <v>1238</v>
      </c>
      <c r="B219" s="1">
        <v>1260000</v>
      </c>
      <c r="C219" s="1">
        <v>1260000</v>
      </c>
    </row>
    <row r="220" spans="1:3" x14ac:dyDescent="0.25">
      <c r="A220" s="7" t="s">
        <v>417</v>
      </c>
      <c r="B220" s="1">
        <v>6636876</v>
      </c>
      <c r="C220" s="1">
        <v>6636876</v>
      </c>
    </row>
    <row r="221" spans="1:3" x14ac:dyDescent="0.25">
      <c r="A221" s="174" t="s">
        <v>481</v>
      </c>
      <c r="B221" s="1">
        <v>6636876</v>
      </c>
      <c r="C221" s="1">
        <v>6636876</v>
      </c>
    </row>
    <row r="222" spans="1:3" x14ac:dyDescent="0.25">
      <c r="A222" s="7" t="s">
        <v>418</v>
      </c>
      <c r="B222" s="1">
        <v>0</v>
      </c>
      <c r="C222" s="1">
        <v>0</v>
      </c>
    </row>
    <row r="223" spans="1:3" x14ac:dyDescent="0.25">
      <c r="A223" s="174" t="s">
        <v>1239</v>
      </c>
      <c r="B223" s="1">
        <v>0</v>
      </c>
      <c r="C223" s="1">
        <v>0</v>
      </c>
    </row>
    <row r="224" spans="1:3" x14ac:dyDescent="0.25">
      <c r="A224" s="7" t="s">
        <v>419</v>
      </c>
      <c r="B224" s="1">
        <v>390000</v>
      </c>
      <c r="C224" s="1">
        <v>390000</v>
      </c>
    </row>
    <row r="225" spans="1:3" x14ac:dyDescent="0.25">
      <c r="A225" s="174" t="s">
        <v>1240</v>
      </c>
      <c r="B225" s="1">
        <v>390000</v>
      </c>
      <c r="C225" s="1">
        <v>390000</v>
      </c>
    </row>
    <row r="226" spans="1:3" x14ac:dyDescent="0.25">
      <c r="A226" s="7" t="s">
        <v>420</v>
      </c>
      <c r="B226" s="1">
        <v>30000</v>
      </c>
      <c r="C226" s="1">
        <v>30000</v>
      </c>
    </row>
    <row r="227" spans="1:3" x14ac:dyDescent="0.25">
      <c r="A227" s="174" t="s">
        <v>511</v>
      </c>
      <c r="B227" s="1">
        <v>30000</v>
      </c>
      <c r="C227" s="1">
        <v>30000</v>
      </c>
    </row>
    <row r="228" spans="1:3" x14ac:dyDescent="0.25">
      <c r="A228" s="7" t="s">
        <v>421</v>
      </c>
      <c r="B228" s="1">
        <v>740004</v>
      </c>
      <c r="C228" s="1">
        <v>740004</v>
      </c>
    </row>
    <row r="229" spans="1:3" x14ac:dyDescent="0.25">
      <c r="A229" s="174" t="s">
        <v>512</v>
      </c>
      <c r="B229" s="1">
        <v>740004</v>
      </c>
      <c r="C229" s="1">
        <v>740004</v>
      </c>
    </row>
    <row r="230" spans="1:3" x14ac:dyDescent="0.25">
      <c r="A230" s="7" t="s">
        <v>422</v>
      </c>
      <c r="B230" s="1">
        <v>55000</v>
      </c>
      <c r="C230" s="1">
        <v>55000</v>
      </c>
    </row>
    <row r="231" spans="1:3" x14ac:dyDescent="0.25">
      <c r="A231" s="174" t="s">
        <v>513</v>
      </c>
      <c r="B231" s="1">
        <v>55000</v>
      </c>
      <c r="C231" s="1">
        <v>55000</v>
      </c>
    </row>
    <row r="232" spans="1:3" x14ac:dyDescent="0.25">
      <c r="A232" s="7" t="s">
        <v>423</v>
      </c>
      <c r="B232" s="1">
        <v>699996</v>
      </c>
      <c r="C232" s="1">
        <v>699996</v>
      </c>
    </row>
    <row r="233" spans="1:3" x14ac:dyDescent="0.25">
      <c r="A233" s="174" t="s">
        <v>514</v>
      </c>
      <c r="B233" s="1">
        <v>699996</v>
      </c>
      <c r="C233" s="1">
        <v>699996</v>
      </c>
    </row>
    <row r="234" spans="1:3" x14ac:dyDescent="0.25">
      <c r="A234" s="7" t="s">
        <v>424</v>
      </c>
      <c r="B234" s="1">
        <v>0</v>
      </c>
      <c r="C234" s="1">
        <v>0</v>
      </c>
    </row>
    <row r="235" spans="1:3" x14ac:dyDescent="0.25">
      <c r="A235" s="174" t="s">
        <v>1241</v>
      </c>
      <c r="B235" s="1">
        <v>0</v>
      </c>
      <c r="C235" s="1">
        <v>0</v>
      </c>
    </row>
    <row r="236" spans="1:3" x14ac:dyDescent="0.25">
      <c r="A236" s="7" t="s">
        <v>425</v>
      </c>
      <c r="B236" s="1">
        <v>769524</v>
      </c>
      <c r="C236" s="1">
        <v>769524</v>
      </c>
    </row>
    <row r="237" spans="1:3" x14ac:dyDescent="0.25">
      <c r="A237" s="174" t="s">
        <v>1242</v>
      </c>
      <c r="B237" s="1">
        <v>769524</v>
      </c>
      <c r="C237" s="1">
        <v>769524</v>
      </c>
    </row>
    <row r="238" spans="1:3" x14ac:dyDescent="0.25">
      <c r="A238" s="7" t="s">
        <v>426</v>
      </c>
      <c r="B238" s="1">
        <v>639996</v>
      </c>
      <c r="C238" s="1">
        <v>639996</v>
      </c>
    </row>
    <row r="239" spans="1:3" x14ac:dyDescent="0.25">
      <c r="A239" s="174" t="s">
        <v>1243</v>
      </c>
      <c r="B239" s="1">
        <v>639996</v>
      </c>
      <c r="C239" s="1">
        <v>639996</v>
      </c>
    </row>
    <row r="240" spans="1:3" x14ac:dyDescent="0.25">
      <c r="A240" s="7" t="s">
        <v>427</v>
      </c>
      <c r="B240" s="1">
        <v>718552</v>
      </c>
      <c r="C240" s="1">
        <v>718552</v>
      </c>
    </row>
    <row r="241" spans="1:3" x14ac:dyDescent="0.25">
      <c r="A241" s="174" t="s">
        <v>499</v>
      </c>
      <c r="B241" s="1">
        <v>718552</v>
      </c>
      <c r="C241" s="1">
        <v>718552</v>
      </c>
    </row>
    <row r="242" spans="1:3" x14ac:dyDescent="0.25">
      <c r="A242" s="7" t="s">
        <v>428</v>
      </c>
      <c r="B242" s="1">
        <v>120080</v>
      </c>
      <c r="C242" s="1">
        <v>120080</v>
      </c>
    </row>
    <row r="243" spans="1:3" x14ac:dyDescent="0.25">
      <c r="A243" s="174" t="s">
        <v>524</v>
      </c>
      <c r="B243" s="1">
        <v>120080</v>
      </c>
      <c r="C243" s="1">
        <v>120080</v>
      </c>
    </row>
    <row r="244" spans="1:3" x14ac:dyDescent="0.25">
      <c r="A244" s="7" t="s">
        <v>429</v>
      </c>
      <c r="B244" s="1">
        <v>794065</v>
      </c>
      <c r="C244" s="1">
        <v>794065</v>
      </c>
    </row>
    <row r="245" spans="1:3" x14ac:dyDescent="0.25">
      <c r="A245" s="174" t="s">
        <v>525</v>
      </c>
      <c r="B245" s="1">
        <v>794065</v>
      </c>
      <c r="C245" s="1">
        <v>794065</v>
      </c>
    </row>
    <row r="246" spans="1:3" x14ac:dyDescent="0.25">
      <c r="A246" s="7" t="s">
        <v>430</v>
      </c>
      <c r="B246" s="1">
        <v>188853</v>
      </c>
      <c r="C246" s="1">
        <v>188853</v>
      </c>
    </row>
    <row r="247" spans="1:3" x14ac:dyDescent="0.25">
      <c r="A247" s="174" t="s">
        <v>526</v>
      </c>
      <c r="B247" s="1">
        <v>188853</v>
      </c>
      <c r="C247" s="1">
        <v>188853</v>
      </c>
    </row>
    <row r="248" spans="1:3" x14ac:dyDescent="0.25">
      <c r="A248" s="7" t="s">
        <v>431</v>
      </c>
      <c r="B248" s="1">
        <v>30245</v>
      </c>
      <c r="C248" s="1">
        <v>30245</v>
      </c>
    </row>
    <row r="249" spans="1:3" x14ac:dyDescent="0.25">
      <c r="A249" s="174" t="s">
        <v>527</v>
      </c>
      <c r="B249" s="1">
        <v>30245</v>
      </c>
      <c r="C249" s="1">
        <v>30245</v>
      </c>
    </row>
    <row r="250" spans="1:3" x14ac:dyDescent="0.25">
      <c r="A250" s="7" t="s">
        <v>432</v>
      </c>
      <c r="B250" s="1">
        <v>18000</v>
      </c>
      <c r="C250" s="1">
        <v>18000</v>
      </c>
    </row>
    <row r="251" spans="1:3" x14ac:dyDescent="0.25">
      <c r="A251" s="174" t="s">
        <v>500</v>
      </c>
      <c r="B251" s="1">
        <v>18000</v>
      </c>
      <c r="C251" s="1">
        <v>18000</v>
      </c>
    </row>
    <row r="252" spans="1:3" x14ac:dyDescent="0.25">
      <c r="A252" s="7" t="s">
        <v>433</v>
      </c>
      <c r="B252" s="1">
        <v>254256</v>
      </c>
      <c r="C252" s="1">
        <v>254256</v>
      </c>
    </row>
    <row r="253" spans="1:3" x14ac:dyDescent="0.25">
      <c r="A253" s="174" t="s">
        <v>509</v>
      </c>
      <c r="B253" s="1">
        <v>254256</v>
      </c>
      <c r="C253" s="1">
        <v>254256</v>
      </c>
    </row>
    <row r="254" spans="1:3" x14ac:dyDescent="0.25">
      <c r="A254" s="7" t="s">
        <v>434</v>
      </c>
      <c r="B254" s="1">
        <v>1172920</v>
      </c>
      <c r="C254" s="1">
        <v>1172920</v>
      </c>
    </row>
    <row r="255" spans="1:3" x14ac:dyDescent="0.25">
      <c r="A255" s="174" t="s">
        <v>510</v>
      </c>
      <c r="B255" s="1">
        <v>1172920</v>
      </c>
      <c r="C255" s="1">
        <v>1172920</v>
      </c>
    </row>
    <row r="256" spans="1:3" x14ac:dyDescent="0.25">
      <c r="A256" s="7" t="s">
        <v>435</v>
      </c>
      <c r="B256" s="1">
        <v>400248</v>
      </c>
      <c r="C256" s="1">
        <v>400248</v>
      </c>
    </row>
    <row r="257" spans="1:3" x14ac:dyDescent="0.25">
      <c r="A257" s="174" t="s">
        <v>482</v>
      </c>
      <c r="B257" s="1">
        <v>400248</v>
      </c>
      <c r="C257" s="1">
        <v>400248</v>
      </c>
    </row>
    <row r="258" spans="1:3" x14ac:dyDescent="0.25">
      <c r="A258" s="7" t="s">
        <v>436</v>
      </c>
      <c r="B258" s="1">
        <v>220000</v>
      </c>
      <c r="C258" s="1">
        <v>220000</v>
      </c>
    </row>
    <row r="259" spans="1:3" x14ac:dyDescent="0.25">
      <c r="A259" s="174" t="s">
        <v>483</v>
      </c>
      <c r="B259" s="1">
        <v>220000</v>
      </c>
      <c r="C259" s="1">
        <v>220000</v>
      </c>
    </row>
    <row r="260" spans="1:3" x14ac:dyDescent="0.25">
      <c r="A260" s="7" t="s">
        <v>437</v>
      </c>
      <c r="B260" s="1">
        <v>138000</v>
      </c>
      <c r="C260" s="1">
        <v>138000</v>
      </c>
    </row>
    <row r="261" spans="1:3" x14ac:dyDescent="0.25">
      <c r="A261" s="174" t="s">
        <v>484</v>
      </c>
      <c r="B261" s="1">
        <v>138000</v>
      </c>
      <c r="C261" s="1">
        <v>138000</v>
      </c>
    </row>
    <row r="262" spans="1:3" x14ac:dyDescent="0.25">
      <c r="A262" s="7" t="s">
        <v>438</v>
      </c>
      <c r="B262" s="1">
        <v>893100</v>
      </c>
      <c r="C262" s="1">
        <v>893100</v>
      </c>
    </row>
    <row r="263" spans="1:3" x14ac:dyDescent="0.25">
      <c r="A263" s="174" t="s">
        <v>485</v>
      </c>
      <c r="B263" s="1">
        <v>893100</v>
      </c>
      <c r="C263" s="1">
        <v>893100</v>
      </c>
    </row>
    <row r="264" spans="1:3" x14ac:dyDescent="0.25">
      <c r="A264" s="7" t="s">
        <v>439</v>
      </c>
      <c r="B264" s="1">
        <v>1917972</v>
      </c>
      <c r="C264" s="1">
        <v>1917972</v>
      </c>
    </row>
    <row r="265" spans="1:3" x14ac:dyDescent="0.25">
      <c r="A265" s="174" t="s">
        <v>1244</v>
      </c>
      <c r="B265" s="1">
        <v>1917972</v>
      </c>
      <c r="C265" s="1">
        <v>1917972</v>
      </c>
    </row>
    <row r="266" spans="1:3" x14ac:dyDescent="0.25">
      <c r="A266" s="7" t="s">
        <v>440</v>
      </c>
      <c r="B266" s="1">
        <v>5900004</v>
      </c>
      <c r="C266" s="1">
        <v>5900004</v>
      </c>
    </row>
    <row r="267" spans="1:3" x14ac:dyDescent="0.25">
      <c r="A267" s="174" t="s">
        <v>486</v>
      </c>
      <c r="B267" s="1">
        <v>5900004</v>
      </c>
      <c r="C267" s="1">
        <v>5900004</v>
      </c>
    </row>
    <row r="268" spans="1:3" x14ac:dyDescent="0.25">
      <c r="A268" s="7" t="s">
        <v>441</v>
      </c>
      <c r="B268" s="1">
        <v>624996</v>
      </c>
      <c r="C268" s="1">
        <v>624996</v>
      </c>
    </row>
    <row r="269" spans="1:3" x14ac:dyDescent="0.25">
      <c r="A269" s="174" t="s">
        <v>1245</v>
      </c>
      <c r="B269" s="1">
        <v>624996</v>
      </c>
      <c r="C269" s="1">
        <v>624996</v>
      </c>
    </row>
    <row r="270" spans="1:3" x14ac:dyDescent="0.25">
      <c r="A270" s="7" t="s">
        <v>442</v>
      </c>
      <c r="B270" s="1">
        <v>416604</v>
      </c>
      <c r="C270" s="1">
        <v>416604</v>
      </c>
    </row>
    <row r="271" spans="1:3" x14ac:dyDescent="0.25">
      <c r="A271" s="174" t="s">
        <v>1246</v>
      </c>
      <c r="B271" s="1">
        <v>416604</v>
      </c>
      <c r="C271" s="1">
        <v>416604</v>
      </c>
    </row>
    <row r="272" spans="1:3" x14ac:dyDescent="0.25">
      <c r="A272" s="7" t="s">
        <v>443</v>
      </c>
      <c r="B272" s="1">
        <v>250000</v>
      </c>
      <c r="C272" s="1">
        <v>250000</v>
      </c>
    </row>
    <row r="273" spans="1:3" x14ac:dyDescent="0.25">
      <c r="A273" s="174" t="s">
        <v>487</v>
      </c>
      <c r="B273" s="1">
        <v>250000</v>
      </c>
      <c r="C273" s="1">
        <v>250000</v>
      </c>
    </row>
    <row r="274" spans="1:3" x14ac:dyDescent="0.25">
      <c r="A274" s="7" t="s">
        <v>444</v>
      </c>
      <c r="B274" s="1">
        <v>24504</v>
      </c>
      <c r="C274" s="1">
        <v>24504</v>
      </c>
    </row>
    <row r="275" spans="1:3" x14ac:dyDescent="0.25">
      <c r="A275" s="174" t="s">
        <v>501</v>
      </c>
      <c r="B275" s="1">
        <v>24504</v>
      </c>
      <c r="C275" s="1">
        <v>24504</v>
      </c>
    </row>
    <row r="276" spans="1:3" x14ac:dyDescent="0.25">
      <c r="A276" s="7" t="s">
        <v>445</v>
      </c>
      <c r="B276" s="1">
        <v>88656</v>
      </c>
      <c r="C276" s="1">
        <v>88656</v>
      </c>
    </row>
    <row r="277" spans="1:3" x14ac:dyDescent="0.25">
      <c r="A277" s="174" t="s">
        <v>488</v>
      </c>
      <c r="B277" s="1">
        <v>88656</v>
      </c>
      <c r="C277" s="1">
        <v>88656</v>
      </c>
    </row>
    <row r="278" spans="1:3" x14ac:dyDescent="0.25">
      <c r="A278" s="7" t="s">
        <v>446</v>
      </c>
      <c r="B278" s="1">
        <v>400500</v>
      </c>
      <c r="C278" s="1">
        <v>400500</v>
      </c>
    </row>
    <row r="279" spans="1:3" x14ac:dyDescent="0.25">
      <c r="A279" s="174" t="s">
        <v>489</v>
      </c>
      <c r="B279" s="1">
        <v>400500</v>
      </c>
      <c r="C279" s="1">
        <v>400500</v>
      </c>
    </row>
    <row r="280" spans="1:3" x14ac:dyDescent="0.25">
      <c r="A280" s="7" t="s">
        <v>447</v>
      </c>
      <c r="B280" s="1">
        <v>137544</v>
      </c>
      <c r="C280" s="1">
        <v>137544</v>
      </c>
    </row>
    <row r="281" spans="1:3" x14ac:dyDescent="0.25">
      <c r="A281" s="174" t="s">
        <v>490</v>
      </c>
      <c r="B281" s="1">
        <v>137544</v>
      </c>
      <c r="C281" s="1">
        <v>137544</v>
      </c>
    </row>
    <row r="282" spans="1:3" x14ac:dyDescent="0.25">
      <c r="A282" s="7" t="s">
        <v>471</v>
      </c>
      <c r="B282" s="1">
        <v>60000</v>
      </c>
      <c r="C282" s="1">
        <v>60000</v>
      </c>
    </row>
    <row r="283" spans="1:3" x14ac:dyDescent="0.25">
      <c r="A283" s="174" t="s">
        <v>491</v>
      </c>
      <c r="B283" s="1">
        <v>60000</v>
      </c>
      <c r="C283" s="1">
        <v>60000</v>
      </c>
    </row>
    <row r="284" spans="1:3" x14ac:dyDescent="0.25">
      <c r="A284" s="7" t="s">
        <v>448</v>
      </c>
      <c r="B284" s="1">
        <v>24996</v>
      </c>
      <c r="C284" s="1">
        <v>24996</v>
      </c>
    </row>
    <row r="285" spans="1:3" x14ac:dyDescent="0.25">
      <c r="A285" s="174" t="s">
        <v>502</v>
      </c>
      <c r="B285" s="1">
        <v>24996</v>
      </c>
      <c r="C285" s="1">
        <v>24996</v>
      </c>
    </row>
    <row r="286" spans="1:3" x14ac:dyDescent="0.25">
      <c r="A286" s="7" t="s">
        <v>449</v>
      </c>
      <c r="B286" s="1">
        <v>300000</v>
      </c>
      <c r="C286" s="1">
        <v>300000</v>
      </c>
    </row>
    <row r="287" spans="1:3" x14ac:dyDescent="0.25">
      <c r="A287" s="174" t="s">
        <v>503</v>
      </c>
      <c r="B287" s="1">
        <v>300000</v>
      </c>
      <c r="C287" s="1">
        <v>300000</v>
      </c>
    </row>
    <row r="288" spans="1:3" x14ac:dyDescent="0.25">
      <c r="A288" s="6" t="s">
        <v>450</v>
      </c>
      <c r="B288" s="1">
        <v>12000</v>
      </c>
      <c r="C288" s="1">
        <v>12000</v>
      </c>
    </row>
    <row r="289" spans="1:3" x14ac:dyDescent="0.25">
      <c r="A289" s="7" t="s">
        <v>817</v>
      </c>
      <c r="B289" s="1">
        <v>0</v>
      </c>
      <c r="C289" s="1">
        <v>0</v>
      </c>
    </row>
    <row r="290" spans="1:3" x14ac:dyDescent="0.25">
      <c r="A290" s="174" t="s">
        <v>1247</v>
      </c>
      <c r="B290" s="1">
        <v>0</v>
      </c>
      <c r="C290" s="1">
        <v>0</v>
      </c>
    </row>
    <row r="291" spans="1:3" x14ac:dyDescent="0.25">
      <c r="A291" s="7" t="s">
        <v>818</v>
      </c>
      <c r="B291" s="1">
        <v>0</v>
      </c>
      <c r="C291" s="1">
        <v>0</v>
      </c>
    </row>
    <row r="292" spans="1:3" x14ac:dyDescent="0.25">
      <c r="A292" s="174" t="s">
        <v>1248</v>
      </c>
      <c r="B292" s="1">
        <v>0</v>
      </c>
      <c r="C292" s="1">
        <v>0</v>
      </c>
    </row>
    <row r="293" spans="1:3" x14ac:dyDescent="0.25">
      <c r="A293" s="7" t="s">
        <v>819</v>
      </c>
      <c r="B293" s="1">
        <v>6000</v>
      </c>
      <c r="C293" s="1">
        <v>6000</v>
      </c>
    </row>
    <row r="294" spans="1:3" x14ac:dyDescent="0.25">
      <c r="A294" s="174" t="s">
        <v>1249</v>
      </c>
      <c r="B294" s="1">
        <v>6000</v>
      </c>
      <c r="C294" s="1">
        <v>6000</v>
      </c>
    </row>
    <row r="295" spans="1:3" x14ac:dyDescent="0.25">
      <c r="A295" s="7" t="s">
        <v>820</v>
      </c>
      <c r="B295" s="1">
        <v>6000</v>
      </c>
      <c r="C295" s="1">
        <v>6000</v>
      </c>
    </row>
    <row r="296" spans="1:3" x14ac:dyDescent="0.25">
      <c r="A296" s="174" t="s">
        <v>1250</v>
      </c>
      <c r="B296" s="1">
        <v>6000</v>
      </c>
      <c r="C296" s="1">
        <v>6000</v>
      </c>
    </row>
    <row r="297" spans="1:3" x14ac:dyDescent="0.25">
      <c r="A297" s="6" t="s">
        <v>472</v>
      </c>
      <c r="B297" s="1">
        <v>85000</v>
      </c>
      <c r="C297" s="1">
        <v>85000</v>
      </c>
    </row>
    <row r="298" spans="1:3" x14ac:dyDescent="0.25">
      <c r="A298" s="7" t="s">
        <v>473</v>
      </c>
      <c r="B298" s="1">
        <v>80000</v>
      </c>
      <c r="C298" s="1">
        <v>80000</v>
      </c>
    </row>
    <row r="299" spans="1:3" x14ac:dyDescent="0.25">
      <c r="A299" s="174" t="s">
        <v>528</v>
      </c>
      <c r="B299" s="1">
        <v>80000</v>
      </c>
      <c r="C299" s="1">
        <v>80000</v>
      </c>
    </row>
    <row r="300" spans="1:3" x14ac:dyDescent="0.25">
      <c r="A300" s="7" t="s">
        <v>474</v>
      </c>
      <c r="B300" s="1">
        <v>5000</v>
      </c>
      <c r="C300" s="1">
        <v>5000</v>
      </c>
    </row>
    <row r="301" spans="1:3" x14ac:dyDescent="0.25">
      <c r="A301" s="174" t="s">
        <v>529</v>
      </c>
      <c r="B301" s="1">
        <v>5000</v>
      </c>
      <c r="C301" s="1">
        <v>5000</v>
      </c>
    </row>
    <row r="302" spans="1:3" x14ac:dyDescent="0.25">
      <c r="A302" s="173" t="s">
        <v>138</v>
      </c>
      <c r="B302" s="1">
        <v>731402631</v>
      </c>
      <c r="C302" s="1">
        <v>731402631</v>
      </c>
    </row>
    <row r="303" spans="1:3" x14ac:dyDescent="0.25">
      <c r="A303"/>
    </row>
    <row r="304" spans="1:3" x14ac:dyDescent="0.25">
      <c r="A304"/>
    </row>
    <row r="305" spans="1:1" x14ac:dyDescent="0.25">
      <c r="A305"/>
    </row>
    <row r="306" spans="1:1" x14ac:dyDescent="0.25">
      <c r="A306"/>
    </row>
    <row r="307" spans="1:1" x14ac:dyDescent="0.25">
      <c r="A307"/>
    </row>
    <row r="308" spans="1:1" x14ac:dyDescent="0.25">
      <c r="A308"/>
    </row>
    <row r="309" spans="1:1" x14ac:dyDescent="0.25">
      <c r="A309"/>
    </row>
    <row r="310" spans="1:1" x14ac:dyDescent="0.25">
      <c r="A310"/>
    </row>
    <row r="311" spans="1:1" x14ac:dyDescent="0.25">
      <c r="A311"/>
    </row>
    <row r="312" spans="1:1" x14ac:dyDescent="0.25">
      <c r="A312"/>
    </row>
    <row r="313" spans="1:1" x14ac:dyDescent="0.25">
      <c r="A313"/>
    </row>
    <row r="314" spans="1:1" x14ac:dyDescent="0.25">
      <c r="A314"/>
    </row>
    <row r="315" spans="1:1" x14ac:dyDescent="0.25">
      <c r="A315"/>
    </row>
    <row r="316" spans="1:1" x14ac:dyDescent="0.25">
      <c r="A316"/>
    </row>
    <row r="317" spans="1:1" x14ac:dyDescent="0.25">
      <c r="A317"/>
    </row>
    <row r="318" spans="1:1" x14ac:dyDescent="0.25">
      <c r="A318"/>
    </row>
    <row r="319" spans="1:1" x14ac:dyDescent="0.25">
      <c r="A319"/>
    </row>
    <row r="320" spans="1:1" x14ac:dyDescent="0.25">
      <c r="A320"/>
    </row>
    <row r="321" spans="1:1" x14ac:dyDescent="0.25">
      <c r="A321"/>
    </row>
    <row r="322" spans="1:1" x14ac:dyDescent="0.25">
      <c r="A322"/>
    </row>
    <row r="323" spans="1:1" x14ac:dyDescent="0.25">
      <c r="A323"/>
    </row>
    <row r="324" spans="1:1" x14ac:dyDescent="0.25">
      <c r="A324"/>
    </row>
    <row r="325" spans="1:1" x14ac:dyDescent="0.25">
      <c r="A325"/>
    </row>
    <row r="326" spans="1:1" x14ac:dyDescent="0.25">
      <c r="A326"/>
    </row>
    <row r="327" spans="1:1" x14ac:dyDescent="0.25">
      <c r="A327"/>
    </row>
    <row r="328" spans="1:1" x14ac:dyDescent="0.25">
      <c r="A328"/>
    </row>
    <row r="329" spans="1:1" x14ac:dyDescent="0.25">
      <c r="A329"/>
    </row>
    <row r="330" spans="1:1" x14ac:dyDescent="0.25">
      <c r="A330"/>
    </row>
    <row r="331" spans="1:1" x14ac:dyDescent="0.25">
      <c r="A331"/>
    </row>
    <row r="332" spans="1:1" x14ac:dyDescent="0.25">
      <c r="A332"/>
    </row>
    <row r="333" spans="1:1" x14ac:dyDescent="0.25">
      <c r="A333"/>
    </row>
    <row r="334" spans="1:1" x14ac:dyDescent="0.25">
      <c r="A334"/>
    </row>
    <row r="335" spans="1:1" x14ac:dyDescent="0.25">
      <c r="A335"/>
    </row>
    <row r="336" spans="1:1" x14ac:dyDescent="0.25">
      <c r="A336"/>
    </row>
    <row r="337" spans="1:1" x14ac:dyDescent="0.25">
      <c r="A337"/>
    </row>
    <row r="338" spans="1:1" x14ac:dyDescent="0.25">
      <c r="A338"/>
    </row>
    <row r="339" spans="1:1" x14ac:dyDescent="0.25">
      <c r="A339"/>
    </row>
    <row r="340" spans="1:1" x14ac:dyDescent="0.25">
      <c r="A340"/>
    </row>
    <row r="341" spans="1:1" x14ac:dyDescent="0.25">
      <c r="A341"/>
    </row>
    <row r="342" spans="1:1" x14ac:dyDescent="0.25">
      <c r="A342"/>
    </row>
    <row r="343" spans="1:1" x14ac:dyDescent="0.25">
      <c r="A343"/>
    </row>
    <row r="344" spans="1:1" x14ac:dyDescent="0.25">
      <c r="A344"/>
    </row>
    <row r="345" spans="1:1" x14ac:dyDescent="0.25">
      <c r="A345"/>
    </row>
    <row r="346" spans="1:1" x14ac:dyDescent="0.25">
      <c r="A346"/>
    </row>
    <row r="347" spans="1:1" x14ac:dyDescent="0.25">
      <c r="A347"/>
    </row>
    <row r="348" spans="1:1" x14ac:dyDescent="0.25">
      <c r="A348"/>
    </row>
    <row r="349" spans="1:1" x14ac:dyDescent="0.25">
      <c r="A349"/>
    </row>
    <row r="350" spans="1:1" x14ac:dyDescent="0.25">
      <c r="A350"/>
    </row>
    <row r="351" spans="1:1" x14ac:dyDescent="0.25">
      <c r="A351"/>
    </row>
    <row r="352" spans="1:1" x14ac:dyDescent="0.25">
      <c r="A352"/>
    </row>
    <row r="353" spans="1:1" x14ac:dyDescent="0.25">
      <c r="A353"/>
    </row>
    <row r="354" spans="1:1" x14ac:dyDescent="0.25">
      <c r="A354"/>
    </row>
    <row r="355" spans="1:1" x14ac:dyDescent="0.25">
      <c r="A355"/>
    </row>
    <row r="356" spans="1:1" x14ac:dyDescent="0.25">
      <c r="A356"/>
    </row>
    <row r="357" spans="1:1" x14ac:dyDescent="0.25">
      <c r="A357"/>
    </row>
    <row r="358" spans="1:1" x14ac:dyDescent="0.25">
      <c r="A358"/>
    </row>
    <row r="359" spans="1:1" x14ac:dyDescent="0.25">
      <c r="A359"/>
    </row>
    <row r="360" spans="1:1" x14ac:dyDescent="0.25">
      <c r="A360"/>
    </row>
    <row r="361" spans="1:1" x14ac:dyDescent="0.25">
      <c r="A361"/>
    </row>
    <row r="362" spans="1:1" x14ac:dyDescent="0.25">
      <c r="A362"/>
    </row>
    <row r="363" spans="1:1" x14ac:dyDescent="0.25">
      <c r="A363"/>
    </row>
    <row r="364" spans="1:1" x14ac:dyDescent="0.25">
      <c r="A364"/>
    </row>
    <row r="365" spans="1:1" x14ac:dyDescent="0.25">
      <c r="A365"/>
    </row>
    <row r="366" spans="1:1" x14ac:dyDescent="0.25">
      <c r="A366"/>
    </row>
    <row r="367" spans="1:1" x14ac:dyDescent="0.25">
      <c r="A367"/>
    </row>
    <row r="368" spans="1:1" x14ac:dyDescent="0.25">
      <c r="A368"/>
    </row>
    <row r="369" spans="1:1" x14ac:dyDescent="0.25">
      <c r="A369"/>
    </row>
    <row r="370" spans="1:1" x14ac:dyDescent="0.25">
      <c r="A370"/>
    </row>
    <row r="371" spans="1:1" x14ac:dyDescent="0.25">
      <c r="A371"/>
    </row>
    <row r="372" spans="1:1" x14ac:dyDescent="0.25">
      <c r="A372"/>
    </row>
    <row r="373" spans="1:1" x14ac:dyDescent="0.25">
      <c r="A373"/>
    </row>
    <row r="374" spans="1:1" x14ac:dyDescent="0.25">
      <c r="A374"/>
    </row>
    <row r="375" spans="1:1" x14ac:dyDescent="0.25">
      <c r="A375"/>
    </row>
    <row r="376" spans="1:1" x14ac:dyDescent="0.25">
      <c r="A376"/>
    </row>
    <row r="377" spans="1:1" x14ac:dyDescent="0.25">
      <c r="A377"/>
    </row>
    <row r="378" spans="1:1" x14ac:dyDescent="0.25">
      <c r="A378"/>
    </row>
    <row r="379" spans="1:1" x14ac:dyDescent="0.25">
      <c r="A379"/>
    </row>
    <row r="380" spans="1:1" x14ac:dyDescent="0.25">
      <c r="A380"/>
    </row>
    <row r="381" spans="1:1" x14ac:dyDescent="0.25">
      <c r="A381"/>
    </row>
    <row r="382" spans="1:1" x14ac:dyDescent="0.25">
      <c r="A382"/>
    </row>
    <row r="383" spans="1:1" x14ac:dyDescent="0.25">
      <c r="A383"/>
    </row>
    <row r="384" spans="1:1" x14ac:dyDescent="0.25">
      <c r="A384"/>
    </row>
    <row r="385" spans="1:1" x14ac:dyDescent="0.25">
      <c r="A385"/>
    </row>
    <row r="386" spans="1:1" x14ac:dyDescent="0.25">
      <c r="A386"/>
    </row>
    <row r="387" spans="1:1" x14ac:dyDescent="0.25">
      <c r="A387"/>
    </row>
    <row r="388" spans="1:1" x14ac:dyDescent="0.25">
      <c r="A388"/>
    </row>
    <row r="389" spans="1:1" x14ac:dyDescent="0.25">
      <c r="A389"/>
    </row>
    <row r="390" spans="1:1" x14ac:dyDescent="0.25">
      <c r="A390"/>
    </row>
    <row r="391" spans="1:1" x14ac:dyDescent="0.25">
      <c r="A391"/>
    </row>
    <row r="392" spans="1:1" x14ac:dyDescent="0.25">
      <c r="A392"/>
    </row>
    <row r="393" spans="1:1" x14ac:dyDescent="0.25">
      <c r="A393"/>
    </row>
    <row r="394" spans="1:1" x14ac:dyDescent="0.25">
      <c r="A394"/>
    </row>
    <row r="395" spans="1:1" x14ac:dyDescent="0.25">
      <c r="A395"/>
    </row>
    <row r="396" spans="1:1" x14ac:dyDescent="0.25">
      <c r="A396"/>
    </row>
    <row r="397" spans="1:1" x14ac:dyDescent="0.25">
      <c r="A397"/>
    </row>
    <row r="398" spans="1:1" x14ac:dyDescent="0.25">
      <c r="A398"/>
    </row>
    <row r="399" spans="1:1" x14ac:dyDescent="0.25">
      <c r="A399"/>
    </row>
    <row r="400" spans="1:1" x14ac:dyDescent="0.25">
      <c r="A400"/>
    </row>
    <row r="401" spans="1:1" x14ac:dyDescent="0.25">
      <c r="A401"/>
    </row>
    <row r="402" spans="1:1" x14ac:dyDescent="0.25">
      <c r="A402"/>
    </row>
    <row r="403" spans="1:1" x14ac:dyDescent="0.25">
      <c r="A403"/>
    </row>
    <row r="404" spans="1:1" x14ac:dyDescent="0.25">
      <c r="A404"/>
    </row>
    <row r="405" spans="1:1" x14ac:dyDescent="0.25">
      <c r="A405"/>
    </row>
    <row r="406" spans="1:1" x14ac:dyDescent="0.25">
      <c r="A406"/>
    </row>
    <row r="407" spans="1:1" x14ac:dyDescent="0.25">
      <c r="A407"/>
    </row>
    <row r="408" spans="1:1" x14ac:dyDescent="0.25">
      <c r="A408"/>
    </row>
    <row r="409" spans="1:1" x14ac:dyDescent="0.25">
      <c r="A409"/>
    </row>
    <row r="410" spans="1:1" x14ac:dyDescent="0.25">
      <c r="A410"/>
    </row>
    <row r="411" spans="1:1" x14ac:dyDescent="0.25">
      <c r="A411"/>
    </row>
    <row r="412" spans="1:1" x14ac:dyDescent="0.25">
      <c r="A412"/>
    </row>
    <row r="413" spans="1:1" x14ac:dyDescent="0.25">
      <c r="A413"/>
    </row>
    <row r="414" spans="1:1" x14ac:dyDescent="0.25">
      <c r="A414"/>
    </row>
    <row r="415" spans="1:1" x14ac:dyDescent="0.25">
      <c r="A415"/>
    </row>
    <row r="416" spans="1:1" x14ac:dyDescent="0.25">
      <c r="A416"/>
    </row>
    <row r="417" spans="1:1" x14ac:dyDescent="0.25">
      <c r="A417"/>
    </row>
    <row r="418" spans="1:1" x14ac:dyDescent="0.25">
      <c r="A418"/>
    </row>
    <row r="419" spans="1:1" x14ac:dyDescent="0.25">
      <c r="A419"/>
    </row>
    <row r="420" spans="1:1" x14ac:dyDescent="0.25">
      <c r="A420"/>
    </row>
    <row r="421" spans="1:1" x14ac:dyDescent="0.25">
      <c r="A421"/>
    </row>
    <row r="422" spans="1:1" x14ac:dyDescent="0.25">
      <c r="A422"/>
    </row>
    <row r="423" spans="1:1" x14ac:dyDescent="0.25">
      <c r="A423"/>
    </row>
    <row r="424" spans="1:1" x14ac:dyDescent="0.25">
      <c r="A424"/>
    </row>
    <row r="425" spans="1:1" x14ac:dyDescent="0.25">
      <c r="A425"/>
    </row>
    <row r="426" spans="1:1" x14ac:dyDescent="0.25">
      <c r="A426"/>
    </row>
    <row r="427" spans="1:1" x14ac:dyDescent="0.25">
      <c r="A427"/>
    </row>
    <row r="428" spans="1:1" x14ac:dyDescent="0.25">
      <c r="A428"/>
    </row>
    <row r="429" spans="1:1" x14ac:dyDescent="0.25">
      <c r="A429"/>
    </row>
    <row r="430" spans="1:1" x14ac:dyDescent="0.25">
      <c r="A430"/>
    </row>
    <row r="431" spans="1:1" x14ac:dyDescent="0.25">
      <c r="A431"/>
    </row>
    <row r="432" spans="1:1" x14ac:dyDescent="0.25">
      <c r="A432"/>
    </row>
    <row r="433" spans="1:1" x14ac:dyDescent="0.25">
      <c r="A433"/>
    </row>
    <row r="434" spans="1:1" x14ac:dyDescent="0.25">
      <c r="A434"/>
    </row>
    <row r="435" spans="1:1" x14ac:dyDescent="0.25">
      <c r="A435"/>
    </row>
    <row r="436" spans="1:1" x14ac:dyDescent="0.25">
      <c r="A436"/>
    </row>
    <row r="437" spans="1:1" x14ac:dyDescent="0.25">
      <c r="A437"/>
    </row>
    <row r="438" spans="1:1" x14ac:dyDescent="0.25">
      <c r="A438"/>
    </row>
    <row r="439" spans="1:1" x14ac:dyDescent="0.25">
      <c r="A439"/>
    </row>
    <row r="440" spans="1:1" x14ac:dyDescent="0.25">
      <c r="A440"/>
    </row>
    <row r="441" spans="1:1" x14ac:dyDescent="0.25">
      <c r="A441"/>
    </row>
    <row r="442" spans="1:1" x14ac:dyDescent="0.25">
      <c r="A442"/>
    </row>
    <row r="443" spans="1:1" x14ac:dyDescent="0.25">
      <c r="A443"/>
    </row>
    <row r="444" spans="1:1" x14ac:dyDescent="0.25">
      <c r="A444"/>
    </row>
    <row r="445" spans="1:1" x14ac:dyDescent="0.25">
      <c r="A445"/>
    </row>
    <row r="446" spans="1:1" x14ac:dyDescent="0.25">
      <c r="A446"/>
    </row>
    <row r="447" spans="1:1" x14ac:dyDescent="0.25">
      <c r="A447"/>
    </row>
    <row r="448" spans="1:1" x14ac:dyDescent="0.25">
      <c r="A448"/>
    </row>
    <row r="449" spans="1:1" x14ac:dyDescent="0.25">
      <c r="A449"/>
    </row>
    <row r="450" spans="1:1" x14ac:dyDescent="0.25">
      <c r="A450"/>
    </row>
    <row r="451" spans="1:1" x14ac:dyDescent="0.25">
      <c r="A451"/>
    </row>
    <row r="452" spans="1:1" x14ac:dyDescent="0.25">
      <c r="A452"/>
    </row>
    <row r="453" spans="1:1" x14ac:dyDescent="0.25">
      <c r="A453"/>
    </row>
    <row r="454" spans="1:1" x14ac:dyDescent="0.25">
      <c r="A454"/>
    </row>
    <row r="455" spans="1:1" x14ac:dyDescent="0.25">
      <c r="A455"/>
    </row>
    <row r="456" spans="1:1" x14ac:dyDescent="0.25">
      <c r="A456"/>
    </row>
    <row r="457" spans="1:1" x14ac:dyDescent="0.25">
      <c r="A457"/>
    </row>
    <row r="458" spans="1:1" x14ac:dyDescent="0.25">
      <c r="A458"/>
    </row>
    <row r="459" spans="1:1" x14ac:dyDescent="0.25">
      <c r="A459"/>
    </row>
    <row r="460" spans="1:1" x14ac:dyDescent="0.25">
      <c r="A460"/>
    </row>
    <row r="461" spans="1:1" x14ac:dyDescent="0.25">
      <c r="A461"/>
    </row>
    <row r="462" spans="1:1" x14ac:dyDescent="0.25">
      <c r="A462"/>
    </row>
    <row r="463" spans="1:1" x14ac:dyDescent="0.25">
      <c r="A463"/>
    </row>
    <row r="464" spans="1:1" x14ac:dyDescent="0.25">
      <c r="A464"/>
    </row>
    <row r="465" spans="1:1" x14ac:dyDescent="0.25">
      <c r="A465"/>
    </row>
    <row r="466" spans="1:1" x14ac:dyDescent="0.25">
      <c r="A466"/>
    </row>
    <row r="467" spans="1:1" x14ac:dyDescent="0.25">
      <c r="A467"/>
    </row>
    <row r="468" spans="1:1" x14ac:dyDescent="0.25">
      <c r="A468"/>
    </row>
    <row r="469" spans="1:1" x14ac:dyDescent="0.25">
      <c r="A469"/>
    </row>
    <row r="470" spans="1:1" x14ac:dyDescent="0.25">
      <c r="A470"/>
    </row>
    <row r="471" spans="1:1" x14ac:dyDescent="0.25">
      <c r="A471"/>
    </row>
    <row r="472" spans="1:1" x14ac:dyDescent="0.25">
      <c r="A472"/>
    </row>
    <row r="473" spans="1:1" x14ac:dyDescent="0.25">
      <c r="A473"/>
    </row>
    <row r="474" spans="1:1" x14ac:dyDescent="0.25">
      <c r="A474"/>
    </row>
    <row r="475" spans="1:1" x14ac:dyDescent="0.25">
      <c r="A475"/>
    </row>
    <row r="476" spans="1:1" x14ac:dyDescent="0.25">
      <c r="A476"/>
    </row>
    <row r="477" spans="1:1" x14ac:dyDescent="0.25">
      <c r="A477"/>
    </row>
    <row r="478" spans="1:1" x14ac:dyDescent="0.25">
      <c r="A478"/>
    </row>
    <row r="479" spans="1:1" x14ac:dyDescent="0.25">
      <c r="A479"/>
    </row>
    <row r="480" spans="1:1" x14ac:dyDescent="0.25">
      <c r="A480"/>
    </row>
    <row r="481" spans="1:1" x14ac:dyDescent="0.25">
      <c r="A481"/>
    </row>
    <row r="482" spans="1:1" x14ac:dyDescent="0.25">
      <c r="A482"/>
    </row>
    <row r="483" spans="1:1" x14ac:dyDescent="0.25">
      <c r="A483"/>
    </row>
    <row r="484" spans="1:1" x14ac:dyDescent="0.25">
      <c r="A484"/>
    </row>
    <row r="485" spans="1:1" x14ac:dyDescent="0.25">
      <c r="A485"/>
    </row>
    <row r="486" spans="1:1" x14ac:dyDescent="0.25">
      <c r="A486"/>
    </row>
    <row r="487" spans="1:1" x14ac:dyDescent="0.25">
      <c r="A487"/>
    </row>
    <row r="488" spans="1:1" x14ac:dyDescent="0.25">
      <c r="A488"/>
    </row>
    <row r="489" spans="1:1" x14ac:dyDescent="0.25">
      <c r="A489"/>
    </row>
    <row r="490" spans="1:1" x14ac:dyDescent="0.25">
      <c r="A490"/>
    </row>
    <row r="491" spans="1:1" x14ac:dyDescent="0.25">
      <c r="A491"/>
    </row>
    <row r="492" spans="1:1" x14ac:dyDescent="0.25">
      <c r="A492"/>
    </row>
    <row r="493" spans="1:1" x14ac:dyDescent="0.25">
      <c r="A493"/>
    </row>
    <row r="494" spans="1:1" x14ac:dyDescent="0.25">
      <c r="A494"/>
    </row>
    <row r="495" spans="1:1" x14ac:dyDescent="0.25">
      <c r="A495"/>
    </row>
    <row r="496" spans="1:1" x14ac:dyDescent="0.25">
      <c r="A496"/>
    </row>
    <row r="497" spans="1:1" x14ac:dyDescent="0.25">
      <c r="A497"/>
    </row>
    <row r="498" spans="1:1" x14ac:dyDescent="0.25">
      <c r="A498"/>
    </row>
    <row r="499" spans="1:1" x14ac:dyDescent="0.25">
      <c r="A499"/>
    </row>
    <row r="500" spans="1:1" x14ac:dyDescent="0.25">
      <c r="A500"/>
    </row>
    <row r="501" spans="1:1" x14ac:dyDescent="0.25">
      <c r="A501"/>
    </row>
    <row r="502" spans="1:1" x14ac:dyDescent="0.25">
      <c r="A502"/>
    </row>
    <row r="503" spans="1:1" x14ac:dyDescent="0.25">
      <c r="A503"/>
    </row>
    <row r="504" spans="1:1" x14ac:dyDescent="0.25">
      <c r="A504"/>
    </row>
    <row r="505" spans="1:1" x14ac:dyDescent="0.25">
      <c r="A505"/>
    </row>
    <row r="506" spans="1:1" x14ac:dyDescent="0.25">
      <c r="A506"/>
    </row>
    <row r="507" spans="1:1" x14ac:dyDescent="0.25">
      <c r="A507"/>
    </row>
    <row r="508" spans="1:1" x14ac:dyDescent="0.25">
      <c r="A508"/>
    </row>
    <row r="509" spans="1:1" x14ac:dyDescent="0.25">
      <c r="A509"/>
    </row>
    <row r="510" spans="1:1" x14ac:dyDescent="0.25">
      <c r="A510"/>
    </row>
    <row r="511" spans="1:1" x14ac:dyDescent="0.25">
      <c r="A511"/>
    </row>
    <row r="512" spans="1:1" x14ac:dyDescent="0.25">
      <c r="A512"/>
    </row>
    <row r="513" spans="1:1" x14ac:dyDescent="0.25">
      <c r="A513"/>
    </row>
    <row r="514" spans="1:1" x14ac:dyDescent="0.25">
      <c r="A514"/>
    </row>
    <row r="515" spans="1:1" x14ac:dyDescent="0.25">
      <c r="A515"/>
    </row>
    <row r="516" spans="1:1" x14ac:dyDescent="0.25">
      <c r="A516"/>
    </row>
    <row r="517" spans="1:1" x14ac:dyDescent="0.25">
      <c r="A517"/>
    </row>
    <row r="518" spans="1:1" x14ac:dyDescent="0.25">
      <c r="A518"/>
    </row>
    <row r="519" spans="1:1" x14ac:dyDescent="0.25">
      <c r="A519"/>
    </row>
    <row r="520" spans="1:1" x14ac:dyDescent="0.25">
      <c r="A520"/>
    </row>
    <row r="521" spans="1:1" x14ac:dyDescent="0.25">
      <c r="A521"/>
    </row>
    <row r="522" spans="1:1" x14ac:dyDescent="0.25">
      <c r="A522"/>
    </row>
    <row r="523" spans="1:1" x14ac:dyDescent="0.25">
      <c r="A523"/>
    </row>
    <row r="524" spans="1:1" x14ac:dyDescent="0.25">
      <c r="A524"/>
    </row>
    <row r="525" spans="1:1" x14ac:dyDescent="0.25">
      <c r="A525"/>
    </row>
    <row r="526" spans="1:1" x14ac:dyDescent="0.25">
      <c r="A526"/>
    </row>
    <row r="527" spans="1:1" x14ac:dyDescent="0.25">
      <c r="A527"/>
    </row>
    <row r="528" spans="1:1" x14ac:dyDescent="0.25">
      <c r="A528"/>
    </row>
    <row r="529" spans="1:1" x14ac:dyDescent="0.25">
      <c r="A529"/>
    </row>
    <row r="530" spans="1:1" x14ac:dyDescent="0.25">
      <c r="A530"/>
    </row>
    <row r="531" spans="1:1" x14ac:dyDescent="0.25">
      <c r="A531"/>
    </row>
    <row r="532" spans="1:1" x14ac:dyDescent="0.25">
      <c r="A532"/>
    </row>
    <row r="533" spans="1:1" x14ac:dyDescent="0.25">
      <c r="A533"/>
    </row>
    <row r="534" spans="1:1" x14ac:dyDescent="0.25">
      <c r="A534"/>
    </row>
    <row r="535" spans="1:1" x14ac:dyDescent="0.25">
      <c r="A535"/>
    </row>
    <row r="536" spans="1:1" x14ac:dyDescent="0.25">
      <c r="A536"/>
    </row>
    <row r="537" spans="1:1" x14ac:dyDescent="0.25">
      <c r="A537"/>
    </row>
    <row r="538" spans="1:1" x14ac:dyDescent="0.25">
      <c r="A538"/>
    </row>
    <row r="539" spans="1:1" x14ac:dyDescent="0.25">
      <c r="A539"/>
    </row>
    <row r="540" spans="1:1" x14ac:dyDescent="0.25">
      <c r="A540"/>
    </row>
    <row r="541" spans="1:1" x14ac:dyDescent="0.25">
      <c r="A541"/>
    </row>
    <row r="542" spans="1:1" x14ac:dyDescent="0.25">
      <c r="A542"/>
    </row>
    <row r="543" spans="1:1" x14ac:dyDescent="0.25">
      <c r="A543"/>
    </row>
    <row r="544" spans="1:1" x14ac:dyDescent="0.25">
      <c r="A544"/>
    </row>
    <row r="545" spans="1:1" x14ac:dyDescent="0.25">
      <c r="A545"/>
    </row>
    <row r="546" spans="1:1" x14ac:dyDescent="0.25">
      <c r="A546"/>
    </row>
    <row r="547" spans="1:1" x14ac:dyDescent="0.25">
      <c r="A547"/>
    </row>
    <row r="548" spans="1:1" x14ac:dyDescent="0.25">
      <c r="A548"/>
    </row>
    <row r="549" spans="1:1" x14ac:dyDescent="0.25">
      <c r="A549"/>
    </row>
    <row r="550" spans="1:1" x14ac:dyDescent="0.25">
      <c r="A550"/>
    </row>
    <row r="551" spans="1:1" x14ac:dyDescent="0.25">
      <c r="A551"/>
    </row>
    <row r="552" spans="1:1" x14ac:dyDescent="0.25">
      <c r="A552"/>
    </row>
    <row r="553" spans="1:1" x14ac:dyDescent="0.25">
      <c r="A553"/>
    </row>
    <row r="554" spans="1:1" x14ac:dyDescent="0.25">
      <c r="A554"/>
    </row>
    <row r="555" spans="1:1" x14ac:dyDescent="0.25">
      <c r="A555"/>
    </row>
    <row r="556" spans="1:1" x14ac:dyDescent="0.25">
      <c r="A556"/>
    </row>
    <row r="557" spans="1:1" x14ac:dyDescent="0.25">
      <c r="A557"/>
    </row>
    <row r="558" spans="1:1" x14ac:dyDescent="0.25">
      <c r="A558"/>
    </row>
    <row r="559" spans="1:1" x14ac:dyDescent="0.25">
      <c r="A559"/>
    </row>
    <row r="560" spans="1:1" x14ac:dyDescent="0.25">
      <c r="A560"/>
    </row>
    <row r="561" spans="1:1" x14ac:dyDescent="0.25">
      <c r="A561"/>
    </row>
    <row r="562" spans="1:1" x14ac:dyDescent="0.25">
      <c r="A562"/>
    </row>
    <row r="563" spans="1:1" x14ac:dyDescent="0.25">
      <c r="A563"/>
    </row>
    <row r="564" spans="1:1" x14ac:dyDescent="0.25">
      <c r="A564"/>
    </row>
    <row r="565" spans="1:1" x14ac:dyDescent="0.25">
      <c r="A565"/>
    </row>
    <row r="566" spans="1:1" x14ac:dyDescent="0.25">
      <c r="A566"/>
    </row>
    <row r="567" spans="1:1" x14ac:dyDescent="0.25">
      <c r="A567"/>
    </row>
    <row r="568" spans="1:1" x14ac:dyDescent="0.25">
      <c r="A568"/>
    </row>
    <row r="569" spans="1:1" x14ac:dyDescent="0.25">
      <c r="A569"/>
    </row>
    <row r="570" spans="1:1" x14ac:dyDescent="0.25">
      <c r="A570"/>
    </row>
    <row r="571" spans="1:1" x14ac:dyDescent="0.25">
      <c r="A571"/>
    </row>
    <row r="572" spans="1:1" x14ac:dyDescent="0.25">
      <c r="A572"/>
    </row>
    <row r="573" spans="1:1" x14ac:dyDescent="0.25">
      <c r="A573"/>
    </row>
    <row r="574" spans="1:1" x14ac:dyDescent="0.25">
      <c r="A574"/>
    </row>
    <row r="575" spans="1:1" x14ac:dyDescent="0.25">
      <c r="A575"/>
    </row>
    <row r="576" spans="1:1" x14ac:dyDescent="0.25">
      <c r="A576"/>
    </row>
    <row r="577" spans="1:1" x14ac:dyDescent="0.25">
      <c r="A577"/>
    </row>
    <row r="578" spans="1:1" x14ac:dyDescent="0.25">
      <c r="A578"/>
    </row>
    <row r="579" spans="1:1" x14ac:dyDescent="0.25">
      <c r="A579"/>
    </row>
    <row r="580" spans="1:1" x14ac:dyDescent="0.25">
      <c r="A580"/>
    </row>
    <row r="581" spans="1:1" x14ac:dyDescent="0.25">
      <c r="A581"/>
    </row>
    <row r="582" spans="1:1" x14ac:dyDescent="0.25">
      <c r="A582"/>
    </row>
    <row r="583" spans="1:1" x14ac:dyDescent="0.25">
      <c r="A583"/>
    </row>
    <row r="584" spans="1:1" x14ac:dyDescent="0.25">
      <c r="A584"/>
    </row>
    <row r="585" spans="1:1" x14ac:dyDescent="0.25">
      <c r="A585"/>
    </row>
    <row r="586" spans="1:1" x14ac:dyDescent="0.25">
      <c r="A586"/>
    </row>
    <row r="587" spans="1:1" x14ac:dyDescent="0.25">
      <c r="A587"/>
    </row>
    <row r="588" spans="1:1" x14ac:dyDescent="0.25">
      <c r="A588"/>
    </row>
    <row r="589" spans="1:1" x14ac:dyDescent="0.25">
      <c r="A589"/>
    </row>
    <row r="590" spans="1:1" x14ac:dyDescent="0.25">
      <c r="A590"/>
    </row>
    <row r="591" spans="1:1" x14ac:dyDescent="0.25">
      <c r="A591"/>
    </row>
    <row r="592" spans="1:1" x14ac:dyDescent="0.25">
      <c r="A592"/>
    </row>
    <row r="593" spans="1:1" x14ac:dyDescent="0.25">
      <c r="A593"/>
    </row>
    <row r="594" spans="1:1" x14ac:dyDescent="0.25">
      <c r="A594"/>
    </row>
    <row r="595" spans="1:1" x14ac:dyDescent="0.25">
      <c r="A595"/>
    </row>
    <row r="596" spans="1:1" x14ac:dyDescent="0.25">
      <c r="A596"/>
    </row>
    <row r="597" spans="1:1" x14ac:dyDescent="0.25">
      <c r="A597"/>
    </row>
    <row r="598" spans="1:1" x14ac:dyDescent="0.25">
      <c r="A598"/>
    </row>
    <row r="599" spans="1:1" x14ac:dyDescent="0.25">
      <c r="A599"/>
    </row>
    <row r="600" spans="1:1" x14ac:dyDescent="0.25">
      <c r="A600"/>
    </row>
    <row r="601" spans="1:1" x14ac:dyDescent="0.25">
      <c r="A601"/>
    </row>
    <row r="602" spans="1:1" x14ac:dyDescent="0.25">
      <c r="A602"/>
    </row>
    <row r="603" spans="1:1" x14ac:dyDescent="0.25">
      <c r="A603"/>
    </row>
    <row r="604" spans="1:1" x14ac:dyDescent="0.25">
      <c r="A604"/>
    </row>
    <row r="605" spans="1:1" x14ac:dyDescent="0.25">
      <c r="A605"/>
    </row>
    <row r="606" spans="1:1" x14ac:dyDescent="0.25">
      <c r="A606"/>
    </row>
    <row r="607" spans="1:1" x14ac:dyDescent="0.25">
      <c r="A607"/>
    </row>
    <row r="608" spans="1:1" x14ac:dyDescent="0.25">
      <c r="A608"/>
    </row>
    <row r="609" spans="1:1" x14ac:dyDescent="0.25">
      <c r="A609"/>
    </row>
    <row r="610" spans="1:1" x14ac:dyDescent="0.25">
      <c r="A610"/>
    </row>
    <row r="611" spans="1:1" x14ac:dyDescent="0.25">
      <c r="A611"/>
    </row>
    <row r="612" spans="1:1" x14ac:dyDescent="0.25">
      <c r="A612"/>
    </row>
    <row r="613" spans="1:1" x14ac:dyDescent="0.25">
      <c r="A613"/>
    </row>
    <row r="614" spans="1:1" x14ac:dyDescent="0.25">
      <c r="A614"/>
    </row>
    <row r="615" spans="1:1" x14ac:dyDescent="0.25">
      <c r="A615"/>
    </row>
    <row r="616" spans="1:1" x14ac:dyDescent="0.25">
      <c r="A616"/>
    </row>
    <row r="617" spans="1:1" x14ac:dyDescent="0.25">
      <c r="A617"/>
    </row>
    <row r="618" spans="1:1" x14ac:dyDescent="0.25">
      <c r="A618"/>
    </row>
    <row r="619" spans="1:1" x14ac:dyDescent="0.25">
      <c r="A619"/>
    </row>
    <row r="620" spans="1:1" x14ac:dyDescent="0.25">
      <c r="A620"/>
    </row>
    <row r="621" spans="1:1" x14ac:dyDescent="0.25">
      <c r="A621"/>
    </row>
    <row r="622" spans="1:1" x14ac:dyDescent="0.25">
      <c r="A622"/>
    </row>
    <row r="623" spans="1:1" x14ac:dyDescent="0.25">
      <c r="A623"/>
    </row>
    <row r="624" spans="1:1" x14ac:dyDescent="0.25">
      <c r="A624"/>
    </row>
    <row r="625" spans="1:1" x14ac:dyDescent="0.25">
      <c r="A625"/>
    </row>
    <row r="626" spans="1:1" x14ac:dyDescent="0.25">
      <c r="A626"/>
    </row>
    <row r="627" spans="1:1" x14ac:dyDescent="0.25">
      <c r="A627"/>
    </row>
    <row r="628" spans="1:1" x14ac:dyDescent="0.25">
      <c r="A628"/>
    </row>
    <row r="629" spans="1:1" x14ac:dyDescent="0.25">
      <c r="A629"/>
    </row>
    <row r="630" spans="1:1" x14ac:dyDescent="0.25">
      <c r="A630"/>
    </row>
    <row r="631" spans="1:1" x14ac:dyDescent="0.25">
      <c r="A631"/>
    </row>
    <row r="632" spans="1:1" x14ac:dyDescent="0.25">
      <c r="A632"/>
    </row>
    <row r="633" spans="1:1" x14ac:dyDescent="0.25">
      <c r="A633"/>
    </row>
    <row r="634" spans="1:1" x14ac:dyDescent="0.25">
      <c r="A634"/>
    </row>
    <row r="635" spans="1:1" x14ac:dyDescent="0.25">
      <c r="A635"/>
    </row>
    <row r="636" spans="1:1" x14ac:dyDescent="0.25">
      <c r="A636"/>
    </row>
    <row r="637" spans="1:1" x14ac:dyDescent="0.25">
      <c r="A637"/>
    </row>
    <row r="638" spans="1:1" x14ac:dyDescent="0.25">
      <c r="A638"/>
    </row>
    <row r="639" spans="1:1" x14ac:dyDescent="0.25">
      <c r="A639"/>
    </row>
    <row r="640" spans="1:1" x14ac:dyDescent="0.25">
      <c r="A640"/>
    </row>
    <row r="641" spans="1:1" x14ac:dyDescent="0.25">
      <c r="A641"/>
    </row>
    <row r="642" spans="1:1" x14ac:dyDescent="0.25">
      <c r="A642"/>
    </row>
    <row r="643" spans="1:1" x14ac:dyDescent="0.25">
      <c r="A643"/>
    </row>
    <row r="644" spans="1:1" x14ac:dyDescent="0.25">
      <c r="A644"/>
    </row>
    <row r="645" spans="1:1" x14ac:dyDescent="0.25">
      <c r="A645"/>
    </row>
    <row r="646" spans="1:1" x14ac:dyDescent="0.25">
      <c r="A646"/>
    </row>
    <row r="647" spans="1:1" x14ac:dyDescent="0.25">
      <c r="A647"/>
    </row>
    <row r="648" spans="1:1" x14ac:dyDescent="0.25">
      <c r="A648"/>
    </row>
    <row r="649" spans="1:1" x14ac:dyDescent="0.25">
      <c r="A649"/>
    </row>
    <row r="650" spans="1:1" x14ac:dyDescent="0.25">
      <c r="A650"/>
    </row>
    <row r="651" spans="1:1" x14ac:dyDescent="0.25">
      <c r="A651"/>
    </row>
    <row r="652" spans="1:1" x14ac:dyDescent="0.25">
      <c r="A652"/>
    </row>
    <row r="653" spans="1:1" x14ac:dyDescent="0.25">
      <c r="A653"/>
    </row>
    <row r="654" spans="1:1" x14ac:dyDescent="0.25">
      <c r="A654"/>
    </row>
    <row r="655" spans="1:1" x14ac:dyDescent="0.25">
      <c r="A655"/>
    </row>
    <row r="656" spans="1:1" x14ac:dyDescent="0.25">
      <c r="A656"/>
    </row>
    <row r="657" spans="1:1" x14ac:dyDescent="0.25">
      <c r="A657"/>
    </row>
    <row r="658" spans="1:1" x14ac:dyDescent="0.25">
      <c r="A658"/>
    </row>
    <row r="659" spans="1:1" x14ac:dyDescent="0.25">
      <c r="A659"/>
    </row>
    <row r="660" spans="1:1" x14ac:dyDescent="0.25">
      <c r="A660"/>
    </row>
    <row r="661" spans="1:1" x14ac:dyDescent="0.25">
      <c r="A661"/>
    </row>
    <row r="662" spans="1:1" x14ac:dyDescent="0.25">
      <c r="A662"/>
    </row>
    <row r="663" spans="1:1" x14ac:dyDescent="0.25">
      <c r="A663"/>
    </row>
    <row r="664" spans="1:1" x14ac:dyDescent="0.25">
      <c r="A664"/>
    </row>
    <row r="665" spans="1:1" x14ac:dyDescent="0.25">
      <c r="A665"/>
    </row>
    <row r="666" spans="1:1" x14ac:dyDescent="0.25">
      <c r="A666"/>
    </row>
    <row r="667" spans="1:1" x14ac:dyDescent="0.25">
      <c r="A667"/>
    </row>
    <row r="668" spans="1:1" x14ac:dyDescent="0.25">
      <c r="A668"/>
    </row>
    <row r="669" spans="1:1" x14ac:dyDescent="0.25">
      <c r="A669"/>
    </row>
    <row r="670" spans="1:1" x14ac:dyDescent="0.25">
      <c r="A670"/>
    </row>
    <row r="671" spans="1:1" x14ac:dyDescent="0.25">
      <c r="A671"/>
    </row>
    <row r="672" spans="1:1" x14ac:dyDescent="0.25">
      <c r="A672"/>
    </row>
    <row r="673" spans="1:1" x14ac:dyDescent="0.25">
      <c r="A673"/>
    </row>
    <row r="674" spans="1:1" x14ac:dyDescent="0.25">
      <c r="A674"/>
    </row>
    <row r="675" spans="1:1" x14ac:dyDescent="0.25">
      <c r="A675"/>
    </row>
    <row r="676" spans="1:1" x14ac:dyDescent="0.25">
      <c r="A676"/>
    </row>
    <row r="677" spans="1:1" x14ac:dyDescent="0.25">
      <c r="A677"/>
    </row>
    <row r="678" spans="1:1" x14ac:dyDescent="0.25">
      <c r="A678"/>
    </row>
    <row r="679" spans="1:1" x14ac:dyDescent="0.25">
      <c r="A679"/>
    </row>
    <row r="680" spans="1:1" x14ac:dyDescent="0.25">
      <c r="A680"/>
    </row>
    <row r="681" spans="1:1" x14ac:dyDescent="0.25">
      <c r="A681"/>
    </row>
    <row r="682" spans="1:1" x14ac:dyDescent="0.25">
      <c r="A682"/>
    </row>
    <row r="683" spans="1:1" x14ac:dyDescent="0.25">
      <c r="A683"/>
    </row>
    <row r="684" spans="1:1" x14ac:dyDescent="0.25">
      <c r="A684"/>
    </row>
    <row r="685" spans="1:1" x14ac:dyDescent="0.25">
      <c r="A685"/>
    </row>
    <row r="686" spans="1:1" x14ac:dyDescent="0.25">
      <c r="A686"/>
    </row>
    <row r="687" spans="1:1" x14ac:dyDescent="0.25">
      <c r="A687"/>
    </row>
    <row r="688" spans="1:1" x14ac:dyDescent="0.25">
      <c r="A688"/>
    </row>
  </sheetData>
  <pageMargins left="0.7" right="0.7" top="0.75" bottom="0.75" header="0.3" footer="0.3"/>
  <pageSetup scale="48" fitToHeight="0" orientation="landscape"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FFC000"/>
    <pageSetUpPr fitToPage="1"/>
  </sheetPr>
  <dimension ref="A1:N363"/>
  <sheetViews>
    <sheetView topLeftCell="A133" zoomScale="85" zoomScaleNormal="85" workbookViewId="0">
      <selection activeCell="T63" sqref="T62:T63"/>
    </sheetView>
  </sheetViews>
  <sheetFormatPr defaultRowHeight="15" x14ac:dyDescent="0.25"/>
  <cols>
    <col min="1" max="1" width="36" style="2" customWidth="1"/>
    <col min="2" max="2" width="15.42578125" customWidth="1"/>
    <col min="3" max="3" width="13.42578125" customWidth="1"/>
    <col min="4" max="4" width="12" bestFit="1" customWidth="1"/>
    <col min="5" max="5" width="14.7109375" customWidth="1"/>
    <col min="6" max="6" width="12.7109375" customWidth="1"/>
    <col min="7" max="7" width="11.5703125" bestFit="1" customWidth="1"/>
    <col min="8" max="13" width="10.85546875" bestFit="1" customWidth="1"/>
    <col min="14" max="14" width="13.7109375" bestFit="1" customWidth="1"/>
    <col min="15" max="16" width="10.140625" bestFit="1" customWidth="1"/>
    <col min="17" max="17" width="13.140625" bestFit="1" customWidth="1"/>
    <col min="18" max="19" width="11.140625" bestFit="1" customWidth="1"/>
    <col min="20" max="20" width="10.140625" bestFit="1" customWidth="1"/>
    <col min="21" max="21" width="13.140625" bestFit="1" customWidth="1"/>
    <col min="22" max="22" width="10.28515625" bestFit="1" customWidth="1"/>
    <col min="23" max="24" width="10.140625" bestFit="1" customWidth="1"/>
    <col min="25" max="25" width="13.140625" bestFit="1" customWidth="1"/>
    <col min="26" max="26" width="10.28515625" bestFit="1" customWidth="1"/>
    <col min="27" max="28" width="10.140625" bestFit="1" customWidth="1"/>
    <col min="29" max="29" width="13.140625" bestFit="1" customWidth="1"/>
    <col min="30" max="30" width="10.28515625" bestFit="1" customWidth="1"/>
    <col min="31" max="32" width="10.140625" bestFit="1" customWidth="1"/>
    <col min="33" max="33" width="13.140625" bestFit="1" customWidth="1"/>
    <col min="34" max="34" width="11.140625" bestFit="1" customWidth="1"/>
    <col min="35" max="35" width="13.140625" bestFit="1" customWidth="1"/>
    <col min="36" max="36" width="12.7109375" bestFit="1" customWidth="1"/>
    <col min="37" max="37" width="9" bestFit="1" customWidth="1"/>
    <col min="38" max="41" width="11" bestFit="1" customWidth="1"/>
  </cols>
  <sheetData>
    <row r="1" spans="1:14" x14ac:dyDescent="0.25">
      <c r="A1" s="4" t="s">
        <v>152</v>
      </c>
      <c r="B1" t="s" vm="11">
        <v>239</v>
      </c>
    </row>
    <row r="2" spans="1:14" x14ac:dyDescent="0.25">
      <c r="A2" s="4" t="s">
        <v>151</v>
      </c>
      <c r="B2" t="s" vm="1921">
        <v>1065</v>
      </c>
    </row>
    <row r="4" spans="1:14" x14ac:dyDescent="0.25">
      <c r="A4" s="4" t="s">
        <v>1331</v>
      </c>
      <c r="B4" s="4" t="s">
        <v>137</v>
      </c>
    </row>
    <row r="5" spans="1:14" x14ac:dyDescent="0.25">
      <c r="A5" s="4" t="s">
        <v>242</v>
      </c>
      <c r="B5" t="s">
        <v>140</v>
      </c>
      <c r="C5" t="s">
        <v>141</v>
      </c>
      <c r="D5" t="s">
        <v>142</v>
      </c>
      <c r="E5" t="s">
        <v>143</v>
      </c>
      <c r="F5" t="s">
        <v>144</v>
      </c>
      <c r="G5" t="s">
        <v>145</v>
      </c>
      <c r="H5" t="s">
        <v>146</v>
      </c>
      <c r="I5" t="s">
        <v>147</v>
      </c>
      <c r="J5" t="s">
        <v>148</v>
      </c>
      <c r="K5" t="s">
        <v>149</v>
      </c>
      <c r="L5" t="s">
        <v>150</v>
      </c>
      <c r="M5" t="s">
        <v>162</v>
      </c>
      <c r="N5" t="s">
        <v>138</v>
      </c>
    </row>
    <row r="6" spans="1:14" x14ac:dyDescent="0.25">
      <c r="A6" s="6" t="s">
        <v>379</v>
      </c>
      <c r="B6" s="1">
        <v>250000</v>
      </c>
      <c r="C6" s="1">
        <v>250000</v>
      </c>
      <c r="D6" s="1">
        <v>250000</v>
      </c>
      <c r="E6" s="1">
        <v>250000</v>
      </c>
      <c r="F6" s="1">
        <v>250000</v>
      </c>
      <c r="G6" s="1">
        <v>250000</v>
      </c>
      <c r="H6" s="1">
        <v>250000</v>
      </c>
      <c r="I6" s="1">
        <v>250000</v>
      </c>
      <c r="J6" s="1">
        <v>250000</v>
      </c>
      <c r="K6" s="1">
        <v>250000</v>
      </c>
      <c r="L6" s="1">
        <v>250000</v>
      </c>
      <c r="M6" s="1">
        <v>250000</v>
      </c>
      <c r="N6" s="1">
        <v>3000000</v>
      </c>
    </row>
    <row r="7" spans="1:14" x14ac:dyDescent="0.25">
      <c r="A7" s="6" t="s">
        <v>380</v>
      </c>
      <c r="B7" s="1">
        <v>75000</v>
      </c>
      <c r="C7" s="1">
        <v>75000</v>
      </c>
      <c r="D7" s="1">
        <v>75000</v>
      </c>
      <c r="E7" s="1">
        <v>75000</v>
      </c>
      <c r="F7" s="1">
        <v>75000</v>
      </c>
      <c r="G7" s="1">
        <v>75000</v>
      </c>
      <c r="H7" s="1">
        <v>75000</v>
      </c>
      <c r="I7" s="1">
        <v>75000</v>
      </c>
      <c r="J7" s="1">
        <v>75000</v>
      </c>
      <c r="K7" s="1">
        <v>75000</v>
      </c>
      <c r="L7" s="1">
        <v>75000</v>
      </c>
      <c r="M7" s="1">
        <v>75000</v>
      </c>
      <c r="N7" s="1">
        <v>900000</v>
      </c>
    </row>
    <row r="8" spans="1:14" x14ac:dyDescent="0.25">
      <c r="A8" s="6" t="s">
        <v>451</v>
      </c>
      <c r="B8" s="1"/>
      <c r="C8" s="1"/>
      <c r="D8" s="1"/>
      <c r="E8" s="1">
        <v>125000</v>
      </c>
      <c r="F8" s="1">
        <v>125000</v>
      </c>
      <c r="G8" s="1"/>
      <c r="H8" s="1"/>
      <c r="I8" s="1"/>
      <c r="J8" s="1"/>
      <c r="K8" s="1"/>
      <c r="L8" s="1"/>
      <c r="M8" s="1"/>
      <c r="N8" s="1">
        <v>250000</v>
      </c>
    </row>
    <row r="9" spans="1:14" x14ac:dyDescent="0.25">
      <c r="A9" s="6" t="s">
        <v>381</v>
      </c>
      <c r="B9" s="1">
        <v>1200000</v>
      </c>
      <c r="C9" s="1">
        <v>1200000</v>
      </c>
      <c r="D9" s="1">
        <v>1200000</v>
      </c>
      <c r="E9" s="1">
        <v>1200000</v>
      </c>
      <c r="F9" s="1">
        <v>1200000</v>
      </c>
      <c r="G9" s="1">
        <v>1200000</v>
      </c>
      <c r="H9" s="1">
        <v>1200000</v>
      </c>
      <c r="I9" s="1">
        <v>1200000</v>
      </c>
      <c r="J9" s="1">
        <v>1200000</v>
      </c>
      <c r="K9" s="1">
        <v>1200000</v>
      </c>
      <c r="L9" s="1">
        <v>1200000</v>
      </c>
      <c r="M9" s="1">
        <v>1200000</v>
      </c>
      <c r="N9" s="176">
        <v>14400000</v>
      </c>
    </row>
    <row r="10" spans="1:14" x14ac:dyDescent="0.25">
      <c r="A10" s="6" t="s">
        <v>382</v>
      </c>
      <c r="B10" s="1">
        <v>50000</v>
      </c>
      <c r="C10" s="1">
        <v>50000</v>
      </c>
      <c r="D10" s="1">
        <v>50000</v>
      </c>
      <c r="E10" s="1">
        <v>50000</v>
      </c>
      <c r="F10" s="1">
        <v>50000</v>
      </c>
      <c r="G10" s="1">
        <v>50000</v>
      </c>
      <c r="H10" s="1">
        <v>50000</v>
      </c>
      <c r="I10" s="1">
        <v>50000</v>
      </c>
      <c r="J10" s="1">
        <v>50000</v>
      </c>
      <c r="K10" s="1">
        <v>50000</v>
      </c>
      <c r="L10" s="1">
        <v>50000</v>
      </c>
      <c r="M10" s="1">
        <v>50000</v>
      </c>
      <c r="N10" s="1">
        <v>600000</v>
      </c>
    </row>
    <row r="11" spans="1:14" x14ac:dyDescent="0.25">
      <c r="A11" s="6" t="s">
        <v>452</v>
      </c>
      <c r="B11" s="1">
        <v>4000</v>
      </c>
      <c r="C11" s="1">
        <v>4000</v>
      </c>
      <c r="D11" s="1">
        <v>4000</v>
      </c>
      <c r="E11" s="1">
        <v>4000</v>
      </c>
      <c r="F11" s="1">
        <v>4000</v>
      </c>
      <c r="G11" s="1">
        <v>4000</v>
      </c>
      <c r="H11" s="1">
        <v>4000</v>
      </c>
      <c r="I11" s="1">
        <v>4000</v>
      </c>
      <c r="J11" s="1">
        <v>4000</v>
      </c>
      <c r="K11" s="1">
        <v>4000</v>
      </c>
      <c r="L11" s="1">
        <v>4000</v>
      </c>
      <c r="M11" s="1">
        <v>4000</v>
      </c>
      <c r="N11" s="1">
        <v>48000</v>
      </c>
    </row>
    <row r="12" spans="1:14" x14ac:dyDescent="0.25">
      <c r="A12" s="6" t="s">
        <v>453</v>
      </c>
      <c r="B12" s="1">
        <v>4000</v>
      </c>
      <c r="C12" s="1">
        <v>4000</v>
      </c>
      <c r="D12" s="1">
        <v>4000</v>
      </c>
      <c r="E12" s="1">
        <v>4000</v>
      </c>
      <c r="F12" s="1">
        <v>4000</v>
      </c>
      <c r="G12" s="1">
        <v>4000</v>
      </c>
      <c r="H12" s="1">
        <v>4000</v>
      </c>
      <c r="I12" s="1">
        <v>4000</v>
      </c>
      <c r="J12" s="1">
        <v>4000</v>
      </c>
      <c r="K12" s="1">
        <v>4000</v>
      </c>
      <c r="L12" s="1">
        <v>4000</v>
      </c>
      <c r="M12" s="1">
        <v>4000</v>
      </c>
      <c r="N12" s="1">
        <v>48000</v>
      </c>
    </row>
    <row r="13" spans="1:14" x14ac:dyDescent="0.25">
      <c r="A13" s="6" t="s">
        <v>454</v>
      </c>
      <c r="B13" s="1">
        <v>4000</v>
      </c>
      <c r="C13" s="1">
        <v>4000</v>
      </c>
      <c r="D13" s="1">
        <v>4000</v>
      </c>
      <c r="E13" s="1">
        <v>4000</v>
      </c>
      <c r="F13" s="1">
        <v>4000</v>
      </c>
      <c r="G13" s="1">
        <v>4000</v>
      </c>
      <c r="H13" s="1">
        <v>4000</v>
      </c>
      <c r="I13" s="1">
        <v>4000</v>
      </c>
      <c r="J13" s="1">
        <v>4000</v>
      </c>
      <c r="K13" s="1">
        <v>4000</v>
      </c>
      <c r="L13" s="1">
        <v>4000</v>
      </c>
      <c r="M13" s="1">
        <v>4000</v>
      </c>
      <c r="N13" s="1">
        <v>48000</v>
      </c>
    </row>
    <row r="14" spans="1:14" x14ac:dyDescent="0.25">
      <c r="A14" s="6" t="s">
        <v>455</v>
      </c>
      <c r="B14" s="1">
        <v>4000</v>
      </c>
      <c r="C14" s="1">
        <v>4000</v>
      </c>
      <c r="D14" s="1">
        <v>4000</v>
      </c>
      <c r="E14" s="1">
        <v>4000</v>
      </c>
      <c r="F14" s="1">
        <v>4000</v>
      </c>
      <c r="G14" s="1">
        <v>4000</v>
      </c>
      <c r="H14" s="1">
        <v>4000</v>
      </c>
      <c r="I14" s="1">
        <v>4000</v>
      </c>
      <c r="J14" s="1">
        <v>4000</v>
      </c>
      <c r="K14" s="1">
        <v>4000</v>
      </c>
      <c r="L14" s="1">
        <v>4000</v>
      </c>
      <c r="M14" s="1">
        <v>4000</v>
      </c>
      <c r="N14" s="1">
        <v>48000</v>
      </c>
    </row>
    <row r="15" spans="1:14" x14ac:dyDescent="0.25">
      <c r="A15" s="6" t="s">
        <v>456</v>
      </c>
      <c r="B15" s="1">
        <v>4000</v>
      </c>
      <c r="C15" s="1">
        <v>4000</v>
      </c>
      <c r="D15" s="1">
        <v>4000</v>
      </c>
      <c r="E15" s="1">
        <v>4000</v>
      </c>
      <c r="F15" s="1">
        <v>4000</v>
      </c>
      <c r="G15" s="1">
        <v>4000</v>
      </c>
      <c r="H15" s="1">
        <v>4000</v>
      </c>
      <c r="I15" s="1">
        <v>4000</v>
      </c>
      <c r="J15" s="1">
        <v>4000</v>
      </c>
      <c r="K15" s="1">
        <v>4000</v>
      </c>
      <c r="L15" s="1">
        <v>4000</v>
      </c>
      <c r="M15" s="1">
        <v>4000</v>
      </c>
      <c r="N15" s="1">
        <v>48000</v>
      </c>
    </row>
    <row r="16" spans="1:14" x14ac:dyDescent="0.25">
      <c r="A16" s="6" t="s">
        <v>457</v>
      </c>
      <c r="B16" s="1">
        <v>4000</v>
      </c>
      <c r="C16" s="1">
        <v>4000</v>
      </c>
      <c r="D16" s="1">
        <v>4000</v>
      </c>
      <c r="E16" s="1">
        <v>4000</v>
      </c>
      <c r="F16" s="1">
        <v>4000</v>
      </c>
      <c r="G16" s="1">
        <v>4000</v>
      </c>
      <c r="H16" s="1">
        <v>4000</v>
      </c>
      <c r="I16" s="1">
        <v>4000</v>
      </c>
      <c r="J16" s="1">
        <v>4000</v>
      </c>
      <c r="K16" s="1">
        <v>4000</v>
      </c>
      <c r="L16" s="1">
        <v>4000</v>
      </c>
      <c r="M16" s="1">
        <v>4000</v>
      </c>
      <c r="N16" s="1">
        <v>48000</v>
      </c>
    </row>
    <row r="17" spans="1:14" x14ac:dyDescent="0.25">
      <c r="A17" s="6" t="s">
        <v>458</v>
      </c>
      <c r="B17" s="1">
        <v>4000</v>
      </c>
      <c r="C17" s="1">
        <v>4000</v>
      </c>
      <c r="D17" s="1">
        <v>4000</v>
      </c>
      <c r="E17" s="1">
        <v>4000</v>
      </c>
      <c r="F17" s="1">
        <v>4000</v>
      </c>
      <c r="G17" s="1">
        <v>4000</v>
      </c>
      <c r="H17" s="1">
        <v>4000</v>
      </c>
      <c r="I17" s="1">
        <v>4000</v>
      </c>
      <c r="J17" s="1">
        <v>4000</v>
      </c>
      <c r="K17" s="1">
        <v>4000</v>
      </c>
      <c r="L17" s="1">
        <v>4000</v>
      </c>
      <c r="M17" s="1">
        <v>4000</v>
      </c>
      <c r="N17" s="1">
        <v>48000</v>
      </c>
    </row>
    <row r="18" spans="1:14" x14ac:dyDescent="0.25">
      <c r="A18" s="6" t="s">
        <v>459</v>
      </c>
      <c r="B18" s="1">
        <v>4000</v>
      </c>
      <c r="C18" s="1">
        <v>4000</v>
      </c>
      <c r="D18" s="1">
        <v>4000</v>
      </c>
      <c r="E18" s="1">
        <v>4000</v>
      </c>
      <c r="F18" s="1">
        <v>4000</v>
      </c>
      <c r="G18" s="1">
        <v>4000</v>
      </c>
      <c r="H18" s="1">
        <v>4000</v>
      </c>
      <c r="I18" s="1">
        <v>4000</v>
      </c>
      <c r="J18" s="1">
        <v>4000</v>
      </c>
      <c r="K18" s="1">
        <v>4000</v>
      </c>
      <c r="L18" s="1">
        <v>4000</v>
      </c>
      <c r="M18" s="1">
        <v>4000</v>
      </c>
      <c r="N18" s="1">
        <v>48000</v>
      </c>
    </row>
    <row r="19" spans="1:14" x14ac:dyDescent="0.25">
      <c r="A19" s="6" t="s">
        <v>460</v>
      </c>
      <c r="B19" s="1">
        <v>4000</v>
      </c>
      <c r="C19" s="1">
        <v>4000</v>
      </c>
      <c r="D19" s="1">
        <v>4000</v>
      </c>
      <c r="E19" s="1">
        <v>4000</v>
      </c>
      <c r="F19" s="1">
        <v>4000</v>
      </c>
      <c r="G19" s="1">
        <v>4000</v>
      </c>
      <c r="H19" s="1">
        <v>4000</v>
      </c>
      <c r="I19" s="1">
        <v>4000</v>
      </c>
      <c r="J19" s="1">
        <v>4000</v>
      </c>
      <c r="K19" s="1">
        <v>4000</v>
      </c>
      <c r="L19" s="1">
        <v>4000</v>
      </c>
      <c r="M19" s="1">
        <v>4000</v>
      </c>
      <c r="N19" s="1">
        <v>48000</v>
      </c>
    </row>
    <row r="20" spans="1:14" x14ac:dyDescent="0.25">
      <c r="A20" s="6" t="s">
        <v>461</v>
      </c>
      <c r="B20" s="1">
        <v>4000</v>
      </c>
      <c r="C20" s="1">
        <v>4000</v>
      </c>
      <c r="D20" s="1">
        <v>4000</v>
      </c>
      <c r="E20" s="1">
        <v>4000</v>
      </c>
      <c r="F20" s="1">
        <v>4000</v>
      </c>
      <c r="G20" s="1">
        <v>4000</v>
      </c>
      <c r="H20" s="1">
        <v>4000</v>
      </c>
      <c r="I20" s="1">
        <v>4000</v>
      </c>
      <c r="J20" s="1">
        <v>4000</v>
      </c>
      <c r="K20" s="1">
        <v>4000</v>
      </c>
      <c r="L20" s="1">
        <v>4000</v>
      </c>
      <c r="M20" s="1">
        <v>4000</v>
      </c>
      <c r="N20" s="1">
        <v>48000</v>
      </c>
    </row>
    <row r="21" spans="1:14" x14ac:dyDescent="0.25">
      <c r="A21" s="6" t="s">
        <v>462</v>
      </c>
      <c r="B21" s="1">
        <v>4000</v>
      </c>
      <c r="C21" s="1">
        <v>4000</v>
      </c>
      <c r="D21" s="1">
        <v>4000</v>
      </c>
      <c r="E21" s="1">
        <v>4000</v>
      </c>
      <c r="F21" s="1">
        <v>4000</v>
      </c>
      <c r="G21" s="1">
        <v>4000</v>
      </c>
      <c r="H21" s="1">
        <v>4000</v>
      </c>
      <c r="I21" s="1">
        <v>4000</v>
      </c>
      <c r="J21" s="1">
        <v>4000</v>
      </c>
      <c r="K21" s="1">
        <v>4000</v>
      </c>
      <c r="L21" s="1">
        <v>4000</v>
      </c>
      <c r="M21" s="1">
        <v>4000</v>
      </c>
      <c r="N21" s="1">
        <v>48000</v>
      </c>
    </row>
    <row r="22" spans="1:14" x14ac:dyDescent="0.25">
      <c r="A22" s="6" t="s">
        <v>463</v>
      </c>
      <c r="B22" s="1">
        <v>4000</v>
      </c>
      <c r="C22" s="1">
        <v>4000</v>
      </c>
      <c r="D22" s="1">
        <v>4000</v>
      </c>
      <c r="E22" s="1">
        <v>4000</v>
      </c>
      <c r="F22" s="1">
        <v>4000</v>
      </c>
      <c r="G22" s="1">
        <v>4000</v>
      </c>
      <c r="H22" s="1">
        <v>4000</v>
      </c>
      <c r="I22" s="1">
        <v>4000</v>
      </c>
      <c r="J22" s="1">
        <v>4000</v>
      </c>
      <c r="K22" s="1">
        <v>4000</v>
      </c>
      <c r="L22" s="1">
        <v>4000</v>
      </c>
      <c r="M22" s="1">
        <v>4000</v>
      </c>
      <c r="N22" s="1">
        <v>48000</v>
      </c>
    </row>
    <row r="23" spans="1:14" x14ac:dyDescent="0.25">
      <c r="A23" s="6" t="s">
        <v>464</v>
      </c>
      <c r="B23" s="1">
        <v>4000</v>
      </c>
      <c r="C23" s="1">
        <v>4000</v>
      </c>
      <c r="D23" s="1">
        <v>4000</v>
      </c>
      <c r="E23" s="1">
        <v>4000</v>
      </c>
      <c r="F23" s="1">
        <v>4000</v>
      </c>
      <c r="G23" s="1">
        <v>4000</v>
      </c>
      <c r="H23" s="1">
        <v>4000</v>
      </c>
      <c r="I23" s="1">
        <v>4000</v>
      </c>
      <c r="J23" s="1">
        <v>4000</v>
      </c>
      <c r="K23" s="1">
        <v>4000</v>
      </c>
      <c r="L23" s="1">
        <v>4000</v>
      </c>
      <c r="M23" s="1">
        <v>4000</v>
      </c>
      <c r="N23" s="1">
        <v>48000</v>
      </c>
    </row>
    <row r="24" spans="1:14" x14ac:dyDescent="0.25">
      <c r="A24" s="6" t="s">
        <v>465</v>
      </c>
      <c r="B24" s="1">
        <v>4000</v>
      </c>
      <c r="C24" s="1">
        <v>4000</v>
      </c>
      <c r="D24" s="1">
        <v>4000</v>
      </c>
      <c r="E24" s="1">
        <v>4000</v>
      </c>
      <c r="F24" s="1">
        <v>4000</v>
      </c>
      <c r="G24" s="1">
        <v>4000</v>
      </c>
      <c r="H24" s="1">
        <v>4000</v>
      </c>
      <c r="I24" s="1">
        <v>4000</v>
      </c>
      <c r="J24" s="1">
        <v>4000</v>
      </c>
      <c r="K24" s="1">
        <v>4000</v>
      </c>
      <c r="L24" s="1">
        <v>4000</v>
      </c>
      <c r="M24" s="1">
        <v>4000</v>
      </c>
      <c r="N24" s="1">
        <v>48000</v>
      </c>
    </row>
    <row r="25" spans="1:14" x14ac:dyDescent="0.25">
      <c r="A25" s="6" t="s">
        <v>466</v>
      </c>
      <c r="B25" s="1">
        <v>4000</v>
      </c>
      <c r="C25" s="1">
        <v>4000</v>
      </c>
      <c r="D25" s="1">
        <v>4000</v>
      </c>
      <c r="E25" s="1">
        <v>4000</v>
      </c>
      <c r="F25" s="1">
        <v>4000</v>
      </c>
      <c r="G25" s="1">
        <v>4000</v>
      </c>
      <c r="H25" s="1">
        <v>4000</v>
      </c>
      <c r="I25" s="1">
        <v>4000</v>
      </c>
      <c r="J25" s="1">
        <v>4000</v>
      </c>
      <c r="K25" s="1">
        <v>4000</v>
      </c>
      <c r="L25" s="1">
        <v>4000</v>
      </c>
      <c r="M25" s="1">
        <v>4000</v>
      </c>
      <c r="N25" s="1">
        <v>48000</v>
      </c>
    </row>
    <row r="26" spans="1:14" x14ac:dyDescent="0.25">
      <c r="A26" s="6" t="s">
        <v>383</v>
      </c>
      <c r="B26" s="1">
        <v>2750</v>
      </c>
      <c r="C26" s="1">
        <v>2750</v>
      </c>
      <c r="D26" s="1">
        <v>2750</v>
      </c>
      <c r="E26" s="1">
        <v>2750</v>
      </c>
      <c r="F26" s="1">
        <v>2750</v>
      </c>
      <c r="G26" s="1">
        <v>2750</v>
      </c>
      <c r="H26" s="1">
        <v>2750</v>
      </c>
      <c r="I26" s="1">
        <v>2750</v>
      </c>
      <c r="J26" s="1">
        <v>2750</v>
      </c>
      <c r="K26" s="1">
        <v>2750</v>
      </c>
      <c r="L26" s="1">
        <v>2750</v>
      </c>
      <c r="M26" s="1">
        <v>2750</v>
      </c>
      <c r="N26" s="1">
        <v>33000</v>
      </c>
    </row>
    <row r="27" spans="1:14" x14ac:dyDescent="0.25">
      <c r="A27" s="6" t="s">
        <v>384</v>
      </c>
      <c r="B27" s="1">
        <v>16667</v>
      </c>
      <c r="C27" s="1">
        <v>16667</v>
      </c>
      <c r="D27" s="1">
        <v>16667</v>
      </c>
      <c r="E27" s="1">
        <v>16667</v>
      </c>
      <c r="F27" s="1">
        <v>16667</v>
      </c>
      <c r="G27" s="1">
        <v>16667</v>
      </c>
      <c r="H27" s="1">
        <v>16667</v>
      </c>
      <c r="I27" s="1">
        <v>16667</v>
      </c>
      <c r="J27" s="1">
        <v>16667</v>
      </c>
      <c r="K27" s="1">
        <v>16667</v>
      </c>
      <c r="L27" s="1">
        <v>16667</v>
      </c>
      <c r="M27" s="1">
        <v>16667</v>
      </c>
      <c r="N27" s="1">
        <v>200004</v>
      </c>
    </row>
    <row r="28" spans="1:14" x14ac:dyDescent="0.25">
      <c r="A28" s="6" t="s">
        <v>385</v>
      </c>
      <c r="B28" s="1">
        <v>7500</v>
      </c>
      <c r="C28" s="1">
        <v>7500</v>
      </c>
      <c r="D28" s="1">
        <v>7500</v>
      </c>
      <c r="E28" s="1">
        <v>7500</v>
      </c>
      <c r="F28" s="1">
        <v>7500</v>
      </c>
      <c r="G28" s="1">
        <v>7500</v>
      </c>
      <c r="H28" s="1">
        <v>7500</v>
      </c>
      <c r="I28" s="1">
        <v>7500</v>
      </c>
      <c r="J28" s="1">
        <v>7500</v>
      </c>
      <c r="K28" s="1">
        <v>7500</v>
      </c>
      <c r="L28" s="1">
        <v>7500</v>
      </c>
      <c r="M28" s="1">
        <v>7500</v>
      </c>
      <c r="N28" s="1">
        <v>90000</v>
      </c>
    </row>
    <row r="29" spans="1:14" x14ac:dyDescent="0.25">
      <c r="A29" s="6" t="s">
        <v>397</v>
      </c>
      <c r="B29" s="1">
        <v>500</v>
      </c>
      <c r="C29" s="1">
        <v>500</v>
      </c>
      <c r="D29" s="1">
        <v>500</v>
      </c>
      <c r="E29" s="1">
        <v>500</v>
      </c>
      <c r="F29" s="1">
        <v>500</v>
      </c>
      <c r="G29" s="1">
        <v>500</v>
      </c>
      <c r="H29" s="1">
        <v>500</v>
      </c>
      <c r="I29" s="1">
        <v>500</v>
      </c>
      <c r="J29" s="1">
        <v>500</v>
      </c>
      <c r="K29" s="1">
        <v>500</v>
      </c>
      <c r="L29" s="1">
        <v>500</v>
      </c>
      <c r="M29" s="1">
        <v>500</v>
      </c>
      <c r="N29" s="1">
        <v>6000</v>
      </c>
    </row>
    <row r="30" spans="1:14" x14ac:dyDescent="0.25">
      <c r="A30" s="6" t="s">
        <v>467</v>
      </c>
      <c r="B30" s="1"/>
      <c r="C30" s="1"/>
      <c r="D30" s="1"/>
      <c r="E30" s="1"/>
      <c r="F30" s="1"/>
      <c r="G30" s="1"/>
      <c r="H30" s="1">
        <v>10000</v>
      </c>
      <c r="I30" s="1">
        <v>10000</v>
      </c>
      <c r="J30" s="1">
        <v>10000</v>
      </c>
      <c r="K30" s="1">
        <v>10000</v>
      </c>
      <c r="L30" s="1">
        <v>10000</v>
      </c>
      <c r="M30" s="1">
        <v>10000</v>
      </c>
      <c r="N30" s="1">
        <v>60000</v>
      </c>
    </row>
    <row r="31" spans="1:14" x14ac:dyDescent="0.25">
      <c r="A31" s="6" t="s">
        <v>398</v>
      </c>
      <c r="B31" s="1">
        <v>500000</v>
      </c>
      <c r="C31" s="1">
        <v>500000</v>
      </c>
      <c r="D31" s="1">
        <v>500000</v>
      </c>
      <c r="E31" s="1">
        <v>500000</v>
      </c>
      <c r="F31" s="1">
        <v>500000</v>
      </c>
      <c r="G31" s="1">
        <v>500000</v>
      </c>
      <c r="H31" s="1">
        <v>500000</v>
      </c>
      <c r="I31" s="1">
        <v>500000</v>
      </c>
      <c r="J31" s="1">
        <v>500000</v>
      </c>
      <c r="K31" s="1">
        <v>500000</v>
      </c>
      <c r="L31" s="1">
        <v>500000</v>
      </c>
      <c r="M31" s="1">
        <v>500000</v>
      </c>
      <c r="N31" s="1">
        <v>6000000</v>
      </c>
    </row>
    <row r="32" spans="1:14" x14ac:dyDescent="0.25">
      <c r="A32" s="6" t="s">
        <v>399</v>
      </c>
      <c r="B32" s="1">
        <v>227167</v>
      </c>
      <c r="C32" s="1">
        <v>227167</v>
      </c>
      <c r="D32" s="1">
        <v>227167</v>
      </c>
      <c r="E32" s="1">
        <v>227167</v>
      </c>
      <c r="F32" s="1">
        <v>227167</v>
      </c>
      <c r="G32" s="1">
        <v>227167</v>
      </c>
      <c r="H32" s="1">
        <v>227167</v>
      </c>
      <c r="I32" s="1">
        <v>227167</v>
      </c>
      <c r="J32" s="1">
        <v>227166</v>
      </c>
      <c r="K32" s="1">
        <v>227166</v>
      </c>
      <c r="L32" s="1">
        <v>227166</v>
      </c>
      <c r="M32" s="1">
        <v>227166</v>
      </c>
      <c r="N32" s="1">
        <v>2726000</v>
      </c>
    </row>
    <row r="33" spans="1:14" x14ac:dyDescent="0.25">
      <c r="A33" s="6" t="s">
        <v>400</v>
      </c>
      <c r="B33" s="1">
        <v>250000</v>
      </c>
      <c r="C33" s="1">
        <v>250000</v>
      </c>
      <c r="D33" s="1">
        <v>250000</v>
      </c>
      <c r="E33" s="1">
        <v>250000</v>
      </c>
      <c r="F33" s="1">
        <v>250000</v>
      </c>
      <c r="G33" s="1">
        <v>250000</v>
      </c>
      <c r="H33" s="1">
        <v>250000</v>
      </c>
      <c r="I33" s="1">
        <v>250000</v>
      </c>
      <c r="J33" s="1">
        <v>250000</v>
      </c>
      <c r="K33" s="1">
        <v>250000</v>
      </c>
      <c r="L33" s="1">
        <v>250000</v>
      </c>
      <c r="M33" s="1">
        <v>250000</v>
      </c>
      <c r="N33" s="1">
        <v>3000000</v>
      </c>
    </row>
    <row r="34" spans="1:14" x14ac:dyDescent="0.25">
      <c r="A34" s="6" t="s">
        <v>401</v>
      </c>
      <c r="B34" s="1">
        <v>200000</v>
      </c>
      <c r="C34" s="1">
        <v>200000</v>
      </c>
      <c r="D34" s="1">
        <v>200000</v>
      </c>
      <c r="E34" s="1">
        <v>200000</v>
      </c>
      <c r="F34" s="1">
        <v>200000</v>
      </c>
      <c r="G34" s="1">
        <v>200000</v>
      </c>
      <c r="H34" s="1">
        <v>200000</v>
      </c>
      <c r="I34" s="1">
        <v>200000</v>
      </c>
      <c r="J34" s="1">
        <v>200000</v>
      </c>
      <c r="K34" s="1">
        <v>200000</v>
      </c>
      <c r="L34" s="1">
        <v>200000</v>
      </c>
      <c r="M34" s="1">
        <v>200000</v>
      </c>
      <c r="N34" s="1">
        <v>2400000</v>
      </c>
    </row>
    <row r="35" spans="1:14" x14ac:dyDescent="0.25">
      <c r="A35" s="6" t="s">
        <v>594</v>
      </c>
      <c r="B35" s="1">
        <v>250000</v>
      </c>
      <c r="C35" s="1">
        <v>250000</v>
      </c>
      <c r="D35" s="1">
        <v>250000</v>
      </c>
      <c r="E35" s="1">
        <v>250000</v>
      </c>
      <c r="F35" s="1">
        <v>250000</v>
      </c>
      <c r="G35" s="1">
        <v>250000</v>
      </c>
      <c r="H35" s="1">
        <v>250000</v>
      </c>
      <c r="I35" s="1">
        <v>250000</v>
      </c>
      <c r="J35" s="1">
        <v>250000</v>
      </c>
      <c r="K35" s="1">
        <v>250000</v>
      </c>
      <c r="L35" s="1">
        <v>250000</v>
      </c>
      <c r="M35" s="1">
        <v>250000</v>
      </c>
      <c r="N35" s="1">
        <v>3000000</v>
      </c>
    </row>
    <row r="36" spans="1:14" x14ac:dyDescent="0.25">
      <c r="A36" s="6" t="s">
        <v>468</v>
      </c>
      <c r="B36" s="1">
        <v>0</v>
      </c>
      <c r="C36" s="1">
        <v>0</v>
      </c>
      <c r="D36" s="1">
        <v>0</v>
      </c>
      <c r="E36" s="1">
        <v>0</v>
      </c>
      <c r="F36" s="1">
        <v>0</v>
      </c>
      <c r="G36" s="1">
        <v>0</v>
      </c>
      <c r="H36" s="1">
        <v>0</v>
      </c>
      <c r="I36" s="1">
        <v>0</v>
      </c>
      <c r="J36" s="1">
        <v>0</v>
      </c>
      <c r="K36" s="1">
        <v>0</v>
      </c>
      <c r="L36" s="1">
        <v>0</v>
      </c>
      <c r="M36" s="1">
        <v>0</v>
      </c>
      <c r="N36" s="1">
        <v>0</v>
      </c>
    </row>
    <row r="37" spans="1:14" x14ac:dyDescent="0.25">
      <c r="A37" s="6" t="s">
        <v>402</v>
      </c>
      <c r="B37" s="1">
        <v>150000</v>
      </c>
      <c r="C37" s="1">
        <v>150000</v>
      </c>
      <c r="D37" s="1">
        <v>150000</v>
      </c>
      <c r="E37" s="1">
        <v>150000</v>
      </c>
      <c r="F37" s="1">
        <v>150000</v>
      </c>
      <c r="G37" s="1">
        <v>150000</v>
      </c>
      <c r="H37" s="1">
        <v>150000</v>
      </c>
      <c r="I37" s="1">
        <v>150000</v>
      </c>
      <c r="J37" s="1">
        <v>150000</v>
      </c>
      <c r="K37" s="1">
        <v>150000</v>
      </c>
      <c r="L37" s="1">
        <v>150000</v>
      </c>
      <c r="M37" s="1">
        <v>150000</v>
      </c>
      <c r="N37" s="1">
        <v>1800000</v>
      </c>
    </row>
    <row r="38" spans="1:14" x14ac:dyDescent="0.25">
      <c r="A38" s="6" t="s">
        <v>403</v>
      </c>
      <c r="B38" s="1">
        <v>566667</v>
      </c>
      <c r="C38" s="1">
        <v>566667</v>
      </c>
      <c r="D38" s="1">
        <v>566667</v>
      </c>
      <c r="E38" s="1">
        <v>566667</v>
      </c>
      <c r="F38" s="1">
        <v>566667</v>
      </c>
      <c r="G38" s="1">
        <v>566667</v>
      </c>
      <c r="H38" s="1">
        <v>566667</v>
      </c>
      <c r="I38" s="1">
        <v>566667</v>
      </c>
      <c r="J38" s="1">
        <v>566666</v>
      </c>
      <c r="K38" s="1">
        <v>566666</v>
      </c>
      <c r="L38" s="1">
        <v>566666</v>
      </c>
      <c r="M38" s="1">
        <v>566666</v>
      </c>
      <c r="N38" s="1">
        <v>6800000</v>
      </c>
    </row>
    <row r="39" spans="1:14" x14ac:dyDescent="0.25">
      <c r="A39" s="6" t="s">
        <v>404</v>
      </c>
      <c r="B39" s="1">
        <v>550000</v>
      </c>
      <c r="C39" s="1">
        <v>550000</v>
      </c>
      <c r="D39" s="1">
        <v>550000</v>
      </c>
      <c r="E39" s="1">
        <v>550000</v>
      </c>
      <c r="F39" s="1">
        <v>550000</v>
      </c>
      <c r="G39" s="1">
        <v>550000</v>
      </c>
      <c r="H39" s="1">
        <v>550000</v>
      </c>
      <c r="I39" s="1">
        <v>550000</v>
      </c>
      <c r="J39" s="1">
        <v>550000</v>
      </c>
      <c r="K39" s="1">
        <v>550000</v>
      </c>
      <c r="L39" s="1">
        <v>550000</v>
      </c>
      <c r="M39" s="1">
        <v>550000</v>
      </c>
      <c r="N39" s="1">
        <v>6600000</v>
      </c>
    </row>
    <row r="40" spans="1:14" x14ac:dyDescent="0.25">
      <c r="A40" s="6" t="s">
        <v>469</v>
      </c>
      <c r="B40" s="1">
        <v>603100</v>
      </c>
      <c r="C40" s="1">
        <v>603100</v>
      </c>
      <c r="D40" s="1">
        <v>603100</v>
      </c>
      <c r="E40" s="1">
        <v>603100</v>
      </c>
      <c r="F40" s="1">
        <v>603100</v>
      </c>
      <c r="G40" s="1">
        <v>603100</v>
      </c>
      <c r="H40" s="1">
        <v>603100</v>
      </c>
      <c r="I40" s="1">
        <v>603100</v>
      </c>
      <c r="J40" s="1">
        <v>603100</v>
      </c>
      <c r="K40" s="1">
        <v>603100</v>
      </c>
      <c r="L40" s="1">
        <v>603100</v>
      </c>
      <c r="M40" s="1">
        <v>603100</v>
      </c>
      <c r="N40" s="1">
        <v>7237200</v>
      </c>
    </row>
    <row r="41" spans="1:14" x14ac:dyDescent="0.25">
      <c r="A41" s="6" t="s">
        <v>405</v>
      </c>
      <c r="B41" s="1">
        <v>166667</v>
      </c>
      <c r="C41" s="1">
        <v>166667</v>
      </c>
      <c r="D41" s="1">
        <v>166667</v>
      </c>
      <c r="E41" s="1">
        <v>166667</v>
      </c>
      <c r="F41" s="1">
        <v>166667</v>
      </c>
      <c r="G41" s="1">
        <v>166667</v>
      </c>
      <c r="H41" s="1">
        <v>166667</v>
      </c>
      <c r="I41" s="1">
        <v>166667</v>
      </c>
      <c r="J41" s="1">
        <v>166667</v>
      </c>
      <c r="K41" s="1">
        <v>166667</v>
      </c>
      <c r="L41" s="1">
        <v>166667</v>
      </c>
      <c r="M41" s="1">
        <v>166667</v>
      </c>
      <c r="N41" s="1">
        <v>2000004</v>
      </c>
    </row>
    <row r="42" spans="1:14" x14ac:dyDescent="0.25">
      <c r="A42" s="6" t="s">
        <v>470</v>
      </c>
      <c r="B42" s="1">
        <v>10600</v>
      </c>
      <c r="C42" s="1">
        <v>10600</v>
      </c>
      <c r="D42" s="1">
        <v>10600</v>
      </c>
      <c r="E42" s="1">
        <v>10600</v>
      </c>
      <c r="F42" s="1">
        <v>10600</v>
      </c>
      <c r="G42" s="1">
        <v>10600</v>
      </c>
      <c r="H42" s="1">
        <v>10600</v>
      </c>
      <c r="I42" s="1">
        <v>10600</v>
      </c>
      <c r="J42" s="1">
        <v>10600</v>
      </c>
      <c r="K42" s="1">
        <v>10600</v>
      </c>
      <c r="L42" s="1">
        <v>10600</v>
      </c>
      <c r="M42" s="1">
        <v>10600</v>
      </c>
      <c r="N42" s="1">
        <v>127200</v>
      </c>
    </row>
    <row r="43" spans="1:14" x14ac:dyDescent="0.25">
      <c r="A43" s="6" t="s">
        <v>406</v>
      </c>
      <c r="B43" s="1">
        <v>39700</v>
      </c>
      <c r="C43" s="1">
        <v>39700</v>
      </c>
      <c r="D43" s="1">
        <v>39700</v>
      </c>
      <c r="E43" s="1">
        <v>39700</v>
      </c>
      <c r="F43" s="1">
        <v>39700</v>
      </c>
      <c r="G43" s="1">
        <v>39700</v>
      </c>
      <c r="H43" s="1">
        <v>39700</v>
      </c>
      <c r="I43" s="1">
        <v>39700</v>
      </c>
      <c r="J43" s="1">
        <v>39700</v>
      </c>
      <c r="K43" s="1">
        <v>39700</v>
      </c>
      <c r="L43" s="1">
        <v>39700</v>
      </c>
      <c r="M43" s="1">
        <v>39700</v>
      </c>
      <c r="N43" s="1">
        <v>476400</v>
      </c>
    </row>
    <row r="44" spans="1:14" x14ac:dyDescent="0.25">
      <c r="A44" s="6" t="s">
        <v>407</v>
      </c>
      <c r="B44" s="1">
        <v>41667</v>
      </c>
      <c r="C44" s="1">
        <v>41667</v>
      </c>
      <c r="D44" s="1">
        <v>41667</v>
      </c>
      <c r="E44" s="1">
        <v>41667</v>
      </c>
      <c r="F44" s="1">
        <v>41667</v>
      </c>
      <c r="G44" s="1">
        <v>41667</v>
      </c>
      <c r="H44" s="1">
        <v>41667</v>
      </c>
      <c r="I44" s="1">
        <v>41667</v>
      </c>
      <c r="J44" s="1">
        <v>41667</v>
      </c>
      <c r="K44" s="1">
        <v>41667</v>
      </c>
      <c r="L44" s="1">
        <v>41667</v>
      </c>
      <c r="M44" s="1">
        <v>41667</v>
      </c>
      <c r="N44" s="1">
        <v>500004</v>
      </c>
    </row>
    <row r="45" spans="1:14" x14ac:dyDescent="0.25">
      <c r="A45" s="6" t="s">
        <v>408</v>
      </c>
      <c r="B45" s="1">
        <v>0</v>
      </c>
      <c r="C45" s="1">
        <v>0</v>
      </c>
      <c r="D45" s="1">
        <v>0</v>
      </c>
      <c r="E45" s="1">
        <v>0</v>
      </c>
      <c r="F45" s="1">
        <v>0</v>
      </c>
      <c r="G45" s="1">
        <v>0</v>
      </c>
      <c r="H45" s="1">
        <v>0</v>
      </c>
      <c r="I45" s="1">
        <v>0</v>
      </c>
      <c r="J45" s="1">
        <v>0</v>
      </c>
      <c r="K45" s="1">
        <v>0</v>
      </c>
      <c r="L45" s="1">
        <v>0</v>
      </c>
      <c r="M45" s="1">
        <v>0</v>
      </c>
      <c r="N45" s="1">
        <v>0</v>
      </c>
    </row>
    <row r="46" spans="1:14" x14ac:dyDescent="0.25">
      <c r="A46" s="6" t="s">
        <v>409</v>
      </c>
      <c r="B46" s="1">
        <v>0</v>
      </c>
      <c r="C46" s="1">
        <v>0</v>
      </c>
      <c r="D46" s="1">
        <v>0</v>
      </c>
      <c r="E46" s="1">
        <v>0</v>
      </c>
      <c r="F46" s="1">
        <v>0</v>
      </c>
      <c r="G46" s="1">
        <v>0</v>
      </c>
      <c r="H46" s="1">
        <v>0</v>
      </c>
      <c r="I46" s="1">
        <v>0</v>
      </c>
      <c r="J46" s="1">
        <v>0</v>
      </c>
      <c r="K46" s="1">
        <v>0</v>
      </c>
      <c r="L46" s="1">
        <v>0</v>
      </c>
      <c r="M46" s="1">
        <v>0</v>
      </c>
      <c r="N46" s="1">
        <v>0</v>
      </c>
    </row>
    <row r="47" spans="1:14" x14ac:dyDescent="0.25">
      <c r="A47" s="6" t="s">
        <v>410</v>
      </c>
      <c r="B47" s="1">
        <v>12500</v>
      </c>
      <c r="C47" s="1">
        <v>12500</v>
      </c>
      <c r="D47" s="1">
        <v>12500</v>
      </c>
      <c r="E47" s="1">
        <v>12500</v>
      </c>
      <c r="F47" s="1">
        <v>12500</v>
      </c>
      <c r="G47" s="1">
        <v>12500</v>
      </c>
      <c r="H47" s="1">
        <v>12500</v>
      </c>
      <c r="I47" s="1">
        <v>12500</v>
      </c>
      <c r="J47" s="1">
        <v>12500</v>
      </c>
      <c r="K47" s="1">
        <v>12500</v>
      </c>
      <c r="L47" s="1">
        <v>12500</v>
      </c>
      <c r="M47" s="1">
        <v>12500</v>
      </c>
      <c r="N47" s="1">
        <v>150000</v>
      </c>
    </row>
    <row r="48" spans="1:14" x14ac:dyDescent="0.25">
      <c r="A48" s="6" t="s">
        <v>411</v>
      </c>
      <c r="B48" s="1">
        <v>33367</v>
      </c>
      <c r="C48" s="1">
        <v>33367</v>
      </c>
      <c r="D48" s="1">
        <v>33367</v>
      </c>
      <c r="E48" s="1">
        <v>33367</v>
      </c>
      <c r="F48" s="1">
        <v>33367</v>
      </c>
      <c r="G48" s="1">
        <v>33367</v>
      </c>
      <c r="H48" s="1">
        <v>33367</v>
      </c>
      <c r="I48" s="1">
        <v>33367</v>
      </c>
      <c r="J48" s="1">
        <v>33366</v>
      </c>
      <c r="K48" s="1">
        <v>33366</v>
      </c>
      <c r="L48" s="1">
        <v>33366</v>
      </c>
      <c r="M48" s="1">
        <v>33366</v>
      </c>
      <c r="N48" s="1">
        <v>400400</v>
      </c>
    </row>
    <row r="49" spans="1:14" x14ac:dyDescent="0.25">
      <c r="A49" s="6" t="s">
        <v>412</v>
      </c>
      <c r="B49" s="1">
        <v>0</v>
      </c>
      <c r="C49" s="1">
        <v>0</v>
      </c>
      <c r="D49" s="1">
        <v>0</v>
      </c>
      <c r="E49" s="1">
        <v>0</v>
      </c>
      <c r="F49" s="1">
        <v>0</v>
      </c>
      <c r="G49" s="1">
        <v>0</v>
      </c>
      <c r="H49" s="1">
        <v>0</v>
      </c>
      <c r="I49" s="1">
        <v>0</v>
      </c>
      <c r="J49" s="1">
        <v>0</v>
      </c>
      <c r="K49" s="1">
        <v>0</v>
      </c>
      <c r="L49" s="1">
        <v>0</v>
      </c>
      <c r="M49" s="1">
        <v>0</v>
      </c>
      <c r="N49" s="1">
        <v>0</v>
      </c>
    </row>
    <row r="50" spans="1:14" x14ac:dyDescent="0.25">
      <c r="A50" s="6" t="s">
        <v>413</v>
      </c>
      <c r="B50" s="1">
        <v>50000</v>
      </c>
      <c r="C50" s="1">
        <v>50000</v>
      </c>
      <c r="D50" s="1">
        <v>50000</v>
      </c>
      <c r="E50" s="1">
        <v>50000</v>
      </c>
      <c r="F50" s="1">
        <v>50000</v>
      </c>
      <c r="G50" s="1">
        <v>50000</v>
      </c>
      <c r="H50" s="1">
        <v>50000</v>
      </c>
      <c r="I50" s="1">
        <v>50000</v>
      </c>
      <c r="J50" s="1">
        <v>50000</v>
      </c>
      <c r="K50" s="1">
        <v>50000</v>
      </c>
      <c r="L50" s="1">
        <v>50000</v>
      </c>
      <c r="M50" s="1">
        <v>50000</v>
      </c>
      <c r="N50" s="1">
        <v>600000</v>
      </c>
    </row>
    <row r="51" spans="1:14" x14ac:dyDescent="0.25">
      <c r="A51" s="6" t="s">
        <v>414</v>
      </c>
      <c r="B51" s="1">
        <v>0</v>
      </c>
      <c r="C51" s="1">
        <v>0</v>
      </c>
      <c r="D51" s="1">
        <v>0</v>
      </c>
      <c r="E51" s="1">
        <v>0</v>
      </c>
      <c r="F51" s="1">
        <v>0</v>
      </c>
      <c r="G51" s="1">
        <v>0</v>
      </c>
      <c r="H51" s="1">
        <v>0</v>
      </c>
      <c r="I51" s="1">
        <v>0</v>
      </c>
      <c r="J51" s="1">
        <v>0</v>
      </c>
      <c r="K51" s="1">
        <v>0</v>
      </c>
      <c r="L51" s="1">
        <v>0</v>
      </c>
      <c r="M51" s="1">
        <v>0</v>
      </c>
      <c r="N51" s="1">
        <v>0</v>
      </c>
    </row>
    <row r="52" spans="1:14" x14ac:dyDescent="0.25">
      <c r="A52" s="6" t="s">
        <v>415</v>
      </c>
      <c r="B52" s="1">
        <v>100000</v>
      </c>
      <c r="C52" s="1">
        <v>100000</v>
      </c>
      <c r="D52" s="1">
        <v>100000</v>
      </c>
      <c r="E52" s="1">
        <v>100000</v>
      </c>
      <c r="F52" s="1">
        <v>100000</v>
      </c>
      <c r="G52" s="1">
        <v>100000</v>
      </c>
      <c r="H52" s="1">
        <v>100000</v>
      </c>
      <c r="I52" s="1">
        <v>100000</v>
      </c>
      <c r="J52" s="1">
        <v>100000</v>
      </c>
      <c r="K52" s="1">
        <v>100000</v>
      </c>
      <c r="L52" s="1">
        <v>100000</v>
      </c>
      <c r="M52" s="1">
        <v>100000</v>
      </c>
      <c r="N52" s="1">
        <v>1200000</v>
      </c>
    </row>
    <row r="53" spans="1:14" x14ac:dyDescent="0.25">
      <c r="A53" s="6" t="s">
        <v>416</v>
      </c>
      <c r="B53" s="1">
        <v>75000</v>
      </c>
      <c r="C53" s="1">
        <v>75000</v>
      </c>
      <c r="D53" s="1">
        <v>75000</v>
      </c>
      <c r="E53" s="1">
        <v>75000</v>
      </c>
      <c r="F53" s="1">
        <v>75000</v>
      </c>
      <c r="G53" s="1">
        <v>75000</v>
      </c>
      <c r="H53" s="1">
        <v>75000</v>
      </c>
      <c r="I53" s="1">
        <v>75000</v>
      </c>
      <c r="J53" s="1">
        <v>75000</v>
      </c>
      <c r="K53" s="1">
        <v>75000</v>
      </c>
      <c r="L53" s="1">
        <v>75000</v>
      </c>
      <c r="M53" s="1">
        <v>75000</v>
      </c>
      <c r="N53" s="1">
        <v>900000</v>
      </c>
    </row>
    <row r="54" spans="1:14" x14ac:dyDescent="0.25">
      <c r="A54" s="6" t="s">
        <v>417</v>
      </c>
      <c r="B54" s="1">
        <v>130639</v>
      </c>
      <c r="C54" s="1">
        <v>130639</v>
      </c>
      <c r="D54" s="1">
        <v>130639</v>
      </c>
      <c r="E54" s="1">
        <v>130639</v>
      </c>
      <c r="F54" s="1">
        <v>130639</v>
      </c>
      <c r="G54" s="1">
        <v>130639</v>
      </c>
      <c r="H54" s="1">
        <v>130639</v>
      </c>
      <c r="I54" s="1">
        <v>838639</v>
      </c>
      <c r="J54" s="1">
        <v>130639</v>
      </c>
      <c r="K54" s="1">
        <v>130639</v>
      </c>
      <c r="L54" s="1">
        <v>130639</v>
      </c>
      <c r="M54" s="1">
        <v>130639</v>
      </c>
      <c r="N54" s="1">
        <v>2275668</v>
      </c>
    </row>
    <row r="55" spans="1:14" x14ac:dyDescent="0.25">
      <c r="A55" s="6" t="s">
        <v>418</v>
      </c>
      <c r="B55" s="1">
        <v>0</v>
      </c>
      <c r="C55" s="1">
        <v>0</v>
      </c>
      <c r="D55" s="1">
        <v>468000</v>
      </c>
      <c r="E55" s="1">
        <v>0</v>
      </c>
      <c r="F55" s="1">
        <v>0</v>
      </c>
      <c r="G55" s="1">
        <v>0</v>
      </c>
      <c r="H55" s="1">
        <v>0</v>
      </c>
      <c r="I55" s="1">
        <v>0</v>
      </c>
      <c r="J55" s="1">
        <v>0</v>
      </c>
      <c r="K55" s="1">
        <v>0</v>
      </c>
      <c r="L55" s="1">
        <v>0</v>
      </c>
      <c r="M55" s="1">
        <v>0</v>
      </c>
      <c r="N55" s="1">
        <v>468000</v>
      </c>
    </row>
    <row r="56" spans="1:14" x14ac:dyDescent="0.25">
      <c r="A56" s="6" t="s">
        <v>387</v>
      </c>
      <c r="B56" s="1">
        <v>19732618</v>
      </c>
      <c r="C56" s="1">
        <v>19685843</v>
      </c>
      <c r="D56" s="1">
        <v>19648185</v>
      </c>
      <c r="E56" s="1">
        <v>19612430</v>
      </c>
      <c r="F56" s="1">
        <v>19612430</v>
      </c>
      <c r="G56" s="1">
        <v>19612430</v>
      </c>
      <c r="H56" s="1">
        <v>19612430</v>
      </c>
      <c r="I56" s="1">
        <v>19574772</v>
      </c>
      <c r="J56" s="1">
        <v>19540285</v>
      </c>
      <c r="K56" s="1">
        <v>19540285</v>
      </c>
      <c r="L56" s="1">
        <v>19504530</v>
      </c>
      <c r="M56" s="1">
        <v>19466872</v>
      </c>
      <c r="N56" s="1">
        <v>235143110</v>
      </c>
    </row>
    <row r="57" spans="1:14" x14ac:dyDescent="0.25">
      <c r="A57" s="6" t="s">
        <v>388</v>
      </c>
      <c r="B57" s="1">
        <v>0</v>
      </c>
      <c r="C57" s="1">
        <v>65000</v>
      </c>
      <c r="D57" s="1">
        <v>65000</v>
      </c>
      <c r="E57" s="1">
        <v>65000</v>
      </c>
      <c r="F57" s="1">
        <v>0</v>
      </c>
      <c r="G57" s="1">
        <v>0</v>
      </c>
      <c r="H57" s="1">
        <v>0</v>
      </c>
      <c r="I57" s="1">
        <v>65000</v>
      </c>
      <c r="J57" s="1">
        <v>65000</v>
      </c>
      <c r="K57" s="1">
        <v>0</v>
      </c>
      <c r="L57" s="1">
        <v>65000</v>
      </c>
      <c r="M57" s="1">
        <v>65000</v>
      </c>
      <c r="N57" s="1">
        <v>455000</v>
      </c>
    </row>
    <row r="58" spans="1:14" x14ac:dyDescent="0.25">
      <c r="A58" s="6" t="s">
        <v>389</v>
      </c>
      <c r="B58" s="1">
        <v>0</v>
      </c>
      <c r="C58" s="1">
        <v>0</v>
      </c>
      <c r="D58" s="1">
        <v>0</v>
      </c>
      <c r="E58" s="1">
        <v>0</v>
      </c>
      <c r="F58" s="1">
        <v>0</v>
      </c>
      <c r="G58" s="1">
        <v>0</v>
      </c>
      <c r="H58" s="1">
        <v>0</v>
      </c>
      <c r="I58" s="1">
        <v>0</v>
      </c>
      <c r="J58" s="1">
        <v>0</v>
      </c>
      <c r="K58" s="1">
        <v>0</v>
      </c>
      <c r="L58" s="1">
        <v>0</v>
      </c>
      <c r="M58" s="1">
        <v>0</v>
      </c>
      <c r="N58" s="1">
        <v>0</v>
      </c>
    </row>
    <row r="59" spans="1:14" x14ac:dyDescent="0.25">
      <c r="A59" s="6" t="s">
        <v>821</v>
      </c>
      <c r="B59" s="1">
        <v>0</v>
      </c>
      <c r="C59" s="1">
        <v>0</v>
      </c>
      <c r="D59" s="1">
        <v>0</v>
      </c>
      <c r="E59" s="1">
        <v>0</v>
      </c>
      <c r="F59" s="1">
        <v>0</v>
      </c>
      <c r="G59" s="1">
        <v>0</v>
      </c>
      <c r="H59" s="1">
        <v>9100035</v>
      </c>
      <c r="I59" s="1">
        <v>0</v>
      </c>
      <c r="J59" s="1">
        <v>0</v>
      </c>
      <c r="K59" s="1">
        <v>0</v>
      </c>
      <c r="L59" s="1">
        <v>0</v>
      </c>
      <c r="M59" s="1">
        <v>0</v>
      </c>
      <c r="N59" s="1">
        <v>9100035</v>
      </c>
    </row>
    <row r="60" spans="1:14" x14ac:dyDescent="0.25">
      <c r="A60" s="6" t="s">
        <v>390</v>
      </c>
      <c r="B60" s="1">
        <v>55556</v>
      </c>
      <c r="C60" s="1">
        <v>0</v>
      </c>
      <c r="D60" s="1">
        <v>0</v>
      </c>
      <c r="E60" s="1">
        <v>0</v>
      </c>
      <c r="F60" s="1">
        <v>55556</v>
      </c>
      <c r="G60" s="1">
        <v>0</v>
      </c>
      <c r="H60" s="1">
        <v>0</v>
      </c>
      <c r="I60" s="1">
        <v>0</v>
      </c>
      <c r="J60" s="1">
        <v>0</v>
      </c>
      <c r="K60" s="1">
        <v>0</v>
      </c>
      <c r="L60" s="1">
        <v>55556</v>
      </c>
      <c r="M60" s="1">
        <v>0</v>
      </c>
      <c r="N60" s="1">
        <v>166668</v>
      </c>
    </row>
    <row r="61" spans="1:14" x14ac:dyDescent="0.25">
      <c r="A61" s="6" t="s">
        <v>584</v>
      </c>
      <c r="B61" s="1">
        <v>0</v>
      </c>
      <c r="C61" s="1">
        <v>0</v>
      </c>
      <c r="D61" s="1">
        <v>0</v>
      </c>
      <c r="E61" s="1">
        <v>0</v>
      </c>
      <c r="F61" s="1">
        <v>0</v>
      </c>
      <c r="G61" s="1">
        <v>0</v>
      </c>
      <c r="H61" s="1">
        <v>0</v>
      </c>
      <c r="I61" s="1">
        <v>0</v>
      </c>
      <c r="J61" s="1">
        <v>0</v>
      </c>
      <c r="K61" s="1">
        <v>0</v>
      </c>
      <c r="L61" s="1">
        <v>0</v>
      </c>
      <c r="M61" s="1">
        <v>0</v>
      </c>
      <c r="N61" s="1">
        <v>0</v>
      </c>
    </row>
    <row r="62" spans="1:14" x14ac:dyDescent="0.25">
      <c r="A62" s="6" t="s">
        <v>237</v>
      </c>
      <c r="B62" s="1">
        <v>1703826</v>
      </c>
      <c r="C62" s="1">
        <v>1703826</v>
      </c>
      <c r="D62" s="1">
        <v>1703826</v>
      </c>
      <c r="E62" s="1">
        <v>1967935</v>
      </c>
      <c r="F62" s="1">
        <v>1994185</v>
      </c>
      <c r="G62" s="1">
        <v>1994185</v>
      </c>
      <c r="H62" s="1">
        <v>1994185</v>
      </c>
      <c r="I62" s="1">
        <v>1994185</v>
      </c>
      <c r="J62" s="1">
        <v>2208560</v>
      </c>
      <c r="K62" s="1">
        <v>2458373</v>
      </c>
      <c r="L62" s="1">
        <v>2458373</v>
      </c>
      <c r="M62" s="1">
        <v>2760456</v>
      </c>
      <c r="N62" s="1">
        <v>24941915</v>
      </c>
    </row>
    <row r="63" spans="1:14" x14ac:dyDescent="0.25">
      <c r="A63" s="6" t="s">
        <v>391</v>
      </c>
      <c r="B63" s="1">
        <v>30403</v>
      </c>
      <c r="C63" s="1">
        <v>30403</v>
      </c>
      <c r="D63" s="1">
        <v>30403</v>
      </c>
      <c r="E63" s="1">
        <v>30403</v>
      </c>
      <c r="F63" s="1">
        <v>30403</v>
      </c>
      <c r="G63" s="1">
        <v>30403</v>
      </c>
      <c r="H63" s="1">
        <v>30403</v>
      </c>
      <c r="I63" s="1">
        <v>30403</v>
      </c>
      <c r="J63" s="1">
        <v>30403</v>
      </c>
      <c r="K63" s="1">
        <v>30403</v>
      </c>
      <c r="L63" s="1">
        <v>30403</v>
      </c>
      <c r="M63" s="1">
        <v>30403</v>
      </c>
      <c r="N63" s="1">
        <v>364836</v>
      </c>
    </row>
    <row r="64" spans="1:14" x14ac:dyDescent="0.25">
      <c r="A64" s="6" t="s">
        <v>550</v>
      </c>
      <c r="B64" s="1">
        <v>84971</v>
      </c>
      <c r="C64" s="1">
        <v>84971</v>
      </c>
      <c r="D64" s="1">
        <v>89138</v>
      </c>
      <c r="E64" s="1">
        <v>89138</v>
      </c>
      <c r="F64" s="1">
        <v>89138</v>
      </c>
      <c r="G64" s="1">
        <v>89138</v>
      </c>
      <c r="H64" s="1">
        <v>89138</v>
      </c>
      <c r="I64" s="1">
        <v>89138</v>
      </c>
      <c r="J64" s="1">
        <v>89138</v>
      </c>
      <c r="K64" s="1">
        <v>89138</v>
      </c>
      <c r="L64" s="1">
        <v>89138</v>
      </c>
      <c r="M64" s="1">
        <v>89138</v>
      </c>
      <c r="N64" s="1">
        <v>1061322</v>
      </c>
    </row>
    <row r="65" spans="1:14" x14ac:dyDescent="0.25">
      <c r="A65" s="6" t="s">
        <v>552</v>
      </c>
      <c r="B65" s="1">
        <v>392981</v>
      </c>
      <c r="C65" s="1">
        <v>392981</v>
      </c>
      <c r="D65" s="1">
        <v>392981</v>
      </c>
      <c r="E65" s="1">
        <v>392981</v>
      </c>
      <c r="F65" s="1">
        <v>392981</v>
      </c>
      <c r="G65" s="1">
        <v>392981</v>
      </c>
      <c r="H65" s="1">
        <v>392981</v>
      </c>
      <c r="I65" s="1">
        <v>392981</v>
      </c>
      <c r="J65" s="1">
        <v>392981</v>
      </c>
      <c r="K65" s="1">
        <v>392981</v>
      </c>
      <c r="L65" s="1">
        <v>392981</v>
      </c>
      <c r="M65" s="1">
        <v>392981</v>
      </c>
      <c r="N65" s="1">
        <v>4715772</v>
      </c>
    </row>
    <row r="66" spans="1:14" x14ac:dyDescent="0.25">
      <c r="A66" s="6" t="s">
        <v>392</v>
      </c>
      <c r="B66" s="1">
        <v>173856</v>
      </c>
      <c r="C66" s="1">
        <v>173856</v>
      </c>
      <c r="D66" s="1">
        <v>173856</v>
      </c>
      <c r="E66" s="1">
        <v>173856</v>
      </c>
      <c r="F66" s="1">
        <v>173856</v>
      </c>
      <c r="G66" s="1">
        <v>173856</v>
      </c>
      <c r="H66" s="1">
        <v>173856</v>
      </c>
      <c r="I66" s="1">
        <v>173856</v>
      </c>
      <c r="J66" s="1">
        <v>173856</v>
      </c>
      <c r="K66" s="1">
        <v>173856</v>
      </c>
      <c r="L66" s="1">
        <v>173856</v>
      </c>
      <c r="M66" s="1">
        <v>173856</v>
      </c>
      <c r="N66" s="1">
        <v>2086272</v>
      </c>
    </row>
    <row r="67" spans="1:14" x14ac:dyDescent="0.25">
      <c r="A67" s="6" t="s">
        <v>393</v>
      </c>
      <c r="B67" s="1">
        <v>142729</v>
      </c>
      <c r="C67" s="1">
        <v>142729</v>
      </c>
      <c r="D67" s="1">
        <v>142729</v>
      </c>
      <c r="E67" s="1">
        <v>142729</v>
      </c>
      <c r="F67" s="1">
        <v>142729</v>
      </c>
      <c r="G67" s="1">
        <v>142729</v>
      </c>
      <c r="H67" s="1">
        <v>142729</v>
      </c>
      <c r="I67" s="1">
        <v>142729</v>
      </c>
      <c r="J67" s="1">
        <v>142729</v>
      </c>
      <c r="K67" s="1">
        <v>142729</v>
      </c>
      <c r="L67" s="1">
        <v>142729</v>
      </c>
      <c r="M67" s="1">
        <v>142729</v>
      </c>
      <c r="N67" s="1">
        <v>1712748</v>
      </c>
    </row>
    <row r="68" spans="1:14" x14ac:dyDescent="0.25">
      <c r="A68" s="6" t="s">
        <v>296</v>
      </c>
      <c r="B68" s="1">
        <v>1898597</v>
      </c>
      <c r="C68" s="1">
        <v>1898597</v>
      </c>
      <c r="D68" s="1">
        <v>2270035</v>
      </c>
      <c r="E68" s="1">
        <v>2288306</v>
      </c>
      <c r="F68" s="1">
        <v>2288306</v>
      </c>
      <c r="G68" s="1">
        <v>2288306</v>
      </c>
      <c r="H68" s="1">
        <v>2288306</v>
      </c>
      <c r="I68" s="1">
        <v>2534139</v>
      </c>
      <c r="J68" s="1">
        <v>2534139</v>
      </c>
      <c r="K68" s="1">
        <v>2534139</v>
      </c>
      <c r="L68" s="1">
        <v>2731014</v>
      </c>
      <c r="M68" s="1">
        <v>2862264</v>
      </c>
      <c r="N68" s="1">
        <v>28416148</v>
      </c>
    </row>
    <row r="69" spans="1:14" x14ac:dyDescent="0.25">
      <c r="A69" s="6" t="s">
        <v>326</v>
      </c>
      <c r="B69" s="1">
        <v>250758</v>
      </c>
      <c r="C69" s="1">
        <v>250758</v>
      </c>
      <c r="D69" s="1">
        <v>250758</v>
      </c>
      <c r="E69" s="1">
        <v>250758</v>
      </c>
      <c r="F69" s="1">
        <v>250758</v>
      </c>
      <c r="G69" s="1">
        <v>253883</v>
      </c>
      <c r="H69" s="1">
        <v>253883</v>
      </c>
      <c r="I69" s="1">
        <v>253883</v>
      </c>
      <c r="J69" s="1">
        <v>253883</v>
      </c>
      <c r="K69" s="1">
        <v>253883</v>
      </c>
      <c r="L69" s="1">
        <v>253883</v>
      </c>
      <c r="M69" s="1">
        <v>257737</v>
      </c>
      <c r="N69" s="1">
        <v>3034825</v>
      </c>
    </row>
    <row r="70" spans="1:14" x14ac:dyDescent="0.25">
      <c r="A70" s="6" t="s">
        <v>394</v>
      </c>
      <c r="B70" s="1">
        <v>11024</v>
      </c>
      <c r="C70" s="1">
        <v>11024</v>
      </c>
      <c r="D70" s="1">
        <v>11024</v>
      </c>
      <c r="E70" s="1">
        <v>11024</v>
      </c>
      <c r="F70" s="1">
        <v>11024</v>
      </c>
      <c r="G70" s="1">
        <v>11024</v>
      </c>
      <c r="H70" s="1">
        <v>11024</v>
      </c>
      <c r="I70" s="1">
        <v>11024</v>
      </c>
      <c r="J70" s="1">
        <v>11024</v>
      </c>
      <c r="K70" s="1">
        <v>11024</v>
      </c>
      <c r="L70" s="1">
        <v>11024</v>
      </c>
      <c r="M70" s="1">
        <v>11024</v>
      </c>
      <c r="N70" s="1">
        <v>132288</v>
      </c>
    </row>
    <row r="71" spans="1:14" x14ac:dyDescent="0.25">
      <c r="A71" s="6" t="s">
        <v>395</v>
      </c>
      <c r="B71" s="1">
        <v>1528</v>
      </c>
      <c r="C71" s="1">
        <v>1528</v>
      </c>
      <c r="D71" s="1">
        <v>1528</v>
      </c>
      <c r="E71" s="1">
        <v>1528</v>
      </c>
      <c r="F71" s="1">
        <v>1528</v>
      </c>
      <c r="G71" s="1">
        <v>1528</v>
      </c>
      <c r="H71" s="1">
        <v>1528</v>
      </c>
      <c r="I71" s="1">
        <v>1528</v>
      </c>
      <c r="J71" s="1">
        <v>1528</v>
      </c>
      <c r="K71" s="1">
        <v>1528</v>
      </c>
      <c r="L71" s="1">
        <v>1528</v>
      </c>
      <c r="M71" s="1">
        <v>1528</v>
      </c>
      <c r="N71" s="1">
        <v>18336</v>
      </c>
    </row>
    <row r="72" spans="1:14" x14ac:dyDescent="0.25">
      <c r="A72" s="6" t="s">
        <v>419</v>
      </c>
      <c r="B72" s="1">
        <v>0</v>
      </c>
      <c r="C72" s="1">
        <v>0</v>
      </c>
      <c r="D72" s="1">
        <v>112500</v>
      </c>
      <c r="E72" s="1">
        <v>0</v>
      </c>
      <c r="F72" s="1">
        <v>126000</v>
      </c>
      <c r="G72" s="1">
        <v>0</v>
      </c>
      <c r="H72" s="1">
        <v>0</v>
      </c>
      <c r="I72" s="1">
        <v>25000</v>
      </c>
      <c r="J72" s="1">
        <v>0</v>
      </c>
      <c r="K72" s="1">
        <v>112500</v>
      </c>
      <c r="L72" s="1">
        <v>84000</v>
      </c>
      <c r="M72" s="1">
        <v>0</v>
      </c>
      <c r="N72" s="1">
        <v>460000</v>
      </c>
    </row>
    <row r="73" spans="1:14" x14ac:dyDescent="0.25">
      <c r="A73" s="6" t="s">
        <v>420</v>
      </c>
      <c r="B73" s="1">
        <v>6000</v>
      </c>
      <c r="C73" s="1">
        <v>6000</v>
      </c>
      <c r="D73" s="1">
        <v>6000</v>
      </c>
      <c r="E73" s="1">
        <v>6000</v>
      </c>
      <c r="F73" s="1">
        <v>6000</v>
      </c>
      <c r="G73" s="1">
        <v>6000</v>
      </c>
      <c r="H73" s="1">
        <v>6000</v>
      </c>
      <c r="I73" s="1">
        <v>6000</v>
      </c>
      <c r="J73" s="1">
        <v>6000</v>
      </c>
      <c r="K73" s="1">
        <v>6000</v>
      </c>
      <c r="L73" s="1">
        <v>6000</v>
      </c>
      <c r="M73" s="1">
        <v>6000</v>
      </c>
      <c r="N73" s="1">
        <v>72000</v>
      </c>
    </row>
    <row r="74" spans="1:14" x14ac:dyDescent="0.25">
      <c r="A74" s="6" t="s">
        <v>421</v>
      </c>
      <c r="B74" s="1">
        <v>225000</v>
      </c>
      <c r="C74" s="1">
        <v>225000</v>
      </c>
      <c r="D74" s="1">
        <v>225000</v>
      </c>
      <c r="E74" s="1">
        <v>225000</v>
      </c>
      <c r="F74" s="1">
        <v>225000</v>
      </c>
      <c r="G74" s="1">
        <v>225000</v>
      </c>
      <c r="H74" s="1">
        <v>225000</v>
      </c>
      <c r="I74" s="1">
        <v>225000</v>
      </c>
      <c r="J74" s="1">
        <v>225000</v>
      </c>
      <c r="K74" s="1">
        <v>225000</v>
      </c>
      <c r="L74" s="1">
        <v>225000</v>
      </c>
      <c r="M74" s="1">
        <v>225000</v>
      </c>
      <c r="N74" s="1">
        <v>2700000</v>
      </c>
    </row>
    <row r="75" spans="1:14" x14ac:dyDescent="0.25">
      <c r="A75" s="6" t="s">
        <v>422</v>
      </c>
      <c r="B75" s="1">
        <v>5000</v>
      </c>
      <c r="C75" s="1">
        <v>5000</v>
      </c>
      <c r="D75" s="1">
        <v>5000</v>
      </c>
      <c r="E75" s="1">
        <v>5000</v>
      </c>
      <c r="F75" s="1">
        <v>5000</v>
      </c>
      <c r="G75" s="1">
        <v>5000</v>
      </c>
      <c r="H75" s="1">
        <v>5000</v>
      </c>
      <c r="I75" s="1">
        <v>5000</v>
      </c>
      <c r="J75" s="1">
        <v>5000</v>
      </c>
      <c r="K75" s="1">
        <v>5000</v>
      </c>
      <c r="L75" s="1">
        <v>5000</v>
      </c>
      <c r="M75" s="1">
        <v>5000</v>
      </c>
      <c r="N75" s="1">
        <v>60000</v>
      </c>
    </row>
    <row r="76" spans="1:14" x14ac:dyDescent="0.25">
      <c r="A76" s="6" t="s">
        <v>423</v>
      </c>
      <c r="B76" s="1">
        <v>225000</v>
      </c>
      <c r="C76" s="1">
        <v>225000</v>
      </c>
      <c r="D76" s="1">
        <v>225000</v>
      </c>
      <c r="E76" s="1">
        <v>225000</v>
      </c>
      <c r="F76" s="1">
        <v>225000</v>
      </c>
      <c r="G76" s="1">
        <v>225000</v>
      </c>
      <c r="H76" s="1">
        <v>225000</v>
      </c>
      <c r="I76" s="1">
        <v>225000</v>
      </c>
      <c r="J76" s="1">
        <v>225000</v>
      </c>
      <c r="K76" s="1">
        <v>225000</v>
      </c>
      <c r="L76" s="1">
        <v>225000</v>
      </c>
      <c r="M76" s="1">
        <v>225000</v>
      </c>
      <c r="N76" s="1">
        <v>2700000</v>
      </c>
    </row>
    <row r="77" spans="1:14" x14ac:dyDescent="0.25">
      <c r="A77" s="6" t="s">
        <v>424</v>
      </c>
      <c r="B77" s="1">
        <v>0</v>
      </c>
      <c r="C77" s="1">
        <v>0</v>
      </c>
      <c r="D77" s="1">
        <v>0</v>
      </c>
      <c r="E77" s="1">
        <v>0</v>
      </c>
      <c r="F77" s="1">
        <v>0</v>
      </c>
      <c r="G77" s="1">
        <v>0</v>
      </c>
      <c r="H77" s="1">
        <v>0</v>
      </c>
      <c r="I77" s="1">
        <v>0</v>
      </c>
      <c r="J77" s="1">
        <v>0</v>
      </c>
      <c r="K77" s="1">
        <v>0</v>
      </c>
      <c r="L77" s="1">
        <v>0</v>
      </c>
      <c r="M77" s="1">
        <v>0</v>
      </c>
      <c r="N77" s="1">
        <v>0</v>
      </c>
    </row>
    <row r="78" spans="1:14" x14ac:dyDescent="0.25">
      <c r="A78" s="6" t="s">
        <v>1329</v>
      </c>
      <c r="B78" s="1">
        <v>0</v>
      </c>
      <c r="C78" s="1">
        <v>0</v>
      </c>
      <c r="D78" s="1">
        <v>0</v>
      </c>
      <c r="E78" s="1">
        <v>390000</v>
      </c>
      <c r="F78" s="1">
        <v>0</v>
      </c>
      <c r="G78" s="1">
        <v>0</v>
      </c>
      <c r="H78" s="1">
        <v>0</v>
      </c>
      <c r="I78" s="1">
        <v>0</v>
      </c>
      <c r="J78" s="1">
        <v>0</v>
      </c>
      <c r="K78" s="1">
        <v>390000</v>
      </c>
      <c r="L78" s="1">
        <v>0</v>
      </c>
      <c r="M78" s="1">
        <v>0</v>
      </c>
      <c r="N78" s="1">
        <v>780000</v>
      </c>
    </row>
    <row r="79" spans="1:14" x14ac:dyDescent="0.25">
      <c r="A79" s="6" t="s">
        <v>953</v>
      </c>
      <c r="B79" s="1">
        <v>0</v>
      </c>
      <c r="C79" s="1">
        <v>0</v>
      </c>
      <c r="D79" s="1">
        <v>0</v>
      </c>
      <c r="E79" s="1">
        <v>0</v>
      </c>
      <c r="F79" s="1">
        <v>0</v>
      </c>
      <c r="G79" s="1">
        <v>0</v>
      </c>
      <c r="H79" s="1">
        <v>0</v>
      </c>
      <c r="I79" s="1">
        <v>0</v>
      </c>
      <c r="J79" s="1">
        <v>0</v>
      </c>
      <c r="K79" s="1">
        <v>20000</v>
      </c>
      <c r="L79" s="1">
        <v>0</v>
      </c>
      <c r="M79" s="1">
        <v>0</v>
      </c>
      <c r="N79" s="1">
        <v>20000</v>
      </c>
    </row>
    <row r="80" spans="1:14" x14ac:dyDescent="0.25">
      <c r="A80" s="6" t="s">
        <v>425</v>
      </c>
      <c r="B80" s="1">
        <v>68000</v>
      </c>
      <c r="C80" s="1">
        <v>68000</v>
      </c>
      <c r="D80" s="1">
        <v>68000</v>
      </c>
      <c r="E80" s="1">
        <v>68000</v>
      </c>
      <c r="F80" s="1">
        <v>68000</v>
      </c>
      <c r="G80" s="1">
        <v>68000</v>
      </c>
      <c r="H80" s="1">
        <v>68000</v>
      </c>
      <c r="I80" s="1">
        <v>68000</v>
      </c>
      <c r="J80" s="1">
        <v>68000</v>
      </c>
      <c r="K80" s="1">
        <v>68000</v>
      </c>
      <c r="L80" s="1">
        <v>68000</v>
      </c>
      <c r="M80" s="1">
        <v>68000</v>
      </c>
      <c r="N80" s="1">
        <v>816000</v>
      </c>
    </row>
    <row r="81" spans="1:14" x14ac:dyDescent="0.25">
      <c r="A81" s="6" t="s">
        <v>426</v>
      </c>
      <c r="B81" s="1">
        <v>55000</v>
      </c>
      <c r="C81" s="1">
        <v>55000</v>
      </c>
      <c r="D81" s="1">
        <v>55000</v>
      </c>
      <c r="E81" s="1">
        <v>55000</v>
      </c>
      <c r="F81" s="1">
        <v>55000</v>
      </c>
      <c r="G81" s="1">
        <v>55000</v>
      </c>
      <c r="H81" s="1">
        <v>55000</v>
      </c>
      <c r="I81" s="1">
        <v>55000</v>
      </c>
      <c r="J81" s="1">
        <v>55000</v>
      </c>
      <c r="K81" s="1">
        <v>55000</v>
      </c>
      <c r="L81" s="1">
        <v>55000</v>
      </c>
      <c r="M81" s="1">
        <v>55000</v>
      </c>
      <c r="N81" s="1">
        <v>660000</v>
      </c>
    </row>
    <row r="82" spans="1:14" x14ac:dyDescent="0.25">
      <c r="A82" s="6" t="s">
        <v>427</v>
      </c>
      <c r="B82" s="1">
        <v>82000</v>
      </c>
      <c r="C82" s="1">
        <v>82000</v>
      </c>
      <c r="D82" s="1">
        <v>82000</v>
      </c>
      <c r="E82" s="1">
        <v>82000</v>
      </c>
      <c r="F82" s="1">
        <v>82000</v>
      </c>
      <c r="G82" s="1">
        <v>82000</v>
      </c>
      <c r="H82" s="1">
        <v>82000</v>
      </c>
      <c r="I82" s="1">
        <v>82000</v>
      </c>
      <c r="J82" s="1">
        <v>82000</v>
      </c>
      <c r="K82" s="1">
        <v>82000</v>
      </c>
      <c r="L82" s="1">
        <v>82000</v>
      </c>
      <c r="M82" s="1">
        <v>82000</v>
      </c>
      <c r="N82" s="1">
        <v>984000</v>
      </c>
    </row>
    <row r="83" spans="1:14" x14ac:dyDescent="0.25">
      <c r="A83" s="6" t="s">
        <v>428</v>
      </c>
      <c r="B83" s="1">
        <v>16667</v>
      </c>
      <c r="C83" s="1">
        <v>16667</v>
      </c>
      <c r="D83" s="1">
        <v>16667</v>
      </c>
      <c r="E83" s="1">
        <v>16667</v>
      </c>
      <c r="F83" s="1">
        <v>16667</v>
      </c>
      <c r="G83" s="1">
        <v>16667</v>
      </c>
      <c r="H83" s="1">
        <v>16667</v>
      </c>
      <c r="I83" s="1">
        <v>16667</v>
      </c>
      <c r="J83" s="1">
        <v>16667</v>
      </c>
      <c r="K83" s="1">
        <v>16667</v>
      </c>
      <c r="L83" s="1">
        <v>16667</v>
      </c>
      <c r="M83" s="1">
        <v>16667</v>
      </c>
      <c r="N83" s="1">
        <v>200004</v>
      </c>
    </row>
    <row r="84" spans="1:14" x14ac:dyDescent="0.25">
      <c r="A84" s="6" t="s">
        <v>429</v>
      </c>
      <c r="B84" s="1">
        <v>39583</v>
      </c>
      <c r="C84" s="1">
        <v>39583</v>
      </c>
      <c r="D84" s="1">
        <v>39583</v>
      </c>
      <c r="E84" s="1">
        <v>39583</v>
      </c>
      <c r="F84" s="1">
        <v>39583</v>
      </c>
      <c r="G84" s="1">
        <v>39583</v>
      </c>
      <c r="H84" s="1">
        <v>39583</v>
      </c>
      <c r="I84" s="1">
        <v>39583</v>
      </c>
      <c r="J84" s="1">
        <v>39583</v>
      </c>
      <c r="K84" s="1">
        <v>39583</v>
      </c>
      <c r="L84" s="1">
        <v>39583</v>
      </c>
      <c r="M84" s="1">
        <v>39583</v>
      </c>
      <c r="N84" s="1">
        <v>474996</v>
      </c>
    </row>
    <row r="85" spans="1:14" x14ac:dyDescent="0.25">
      <c r="A85" s="6" t="s">
        <v>430</v>
      </c>
      <c r="B85" s="1">
        <v>8333</v>
      </c>
      <c r="C85" s="1">
        <v>8333</v>
      </c>
      <c r="D85" s="1">
        <v>8333</v>
      </c>
      <c r="E85" s="1">
        <v>8333</v>
      </c>
      <c r="F85" s="1">
        <v>8333</v>
      </c>
      <c r="G85" s="1">
        <v>8333</v>
      </c>
      <c r="H85" s="1">
        <v>8333</v>
      </c>
      <c r="I85" s="1">
        <v>133333</v>
      </c>
      <c r="J85" s="1">
        <v>8333</v>
      </c>
      <c r="K85" s="1">
        <v>8333</v>
      </c>
      <c r="L85" s="1">
        <v>8333</v>
      </c>
      <c r="M85" s="1">
        <v>8333</v>
      </c>
      <c r="N85" s="1">
        <v>224996</v>
      </c>
    </row>
    <row r="86" spans="1:14" x14ac:dyDescent="0.25">
      <c r="A86" s="6" t="s">
        <v>431</v>
      </c>
      <c r="B86" s="1">
        <v>4167</v>
      </c>
      <c r="C86" s="1">
        <v>4167</v>
      </c>
      <c r="D86" s="1">
        <v>4167</v>
      </c>
      <c r="E86" s="1">
        <v>4167</v>
      </c>
      <c r="F86" s="1">
        <v>4167</v>
      </c>
      <c r="G86" s="1">
        <v>4167</v>
      </c>
      <c r="H86" s="1">
        <v>4167</v>
      </c>
      <c r="I86" s="1">
        <v>4167</v>
      </c>
      <c r="J86" s="1">
        <v>4167</v>
      </c>
      <c r="K86" s="1">
        <v>4167</v>
      </c>
      <c r="L86" s="1">
        <v>4167</v>
      </c>
      <c r="M86" s="1">
        <v>4167</v>
      </c>
      <c r="N86" s="1">
        <v>50004</v>
      </c>
    </row>
    <row r="87" spans="1:14" x14ac:dyDescent="0.25">
      <c r="A87" s="6" t="s">
        <v>432</v>
      </c>
      <c r="B87" s="1">
        <v>4167</v>
      </c>
      <c r="C87" s="1">
        <v>4167</v>
      </c>
      <c r="D87" s="1">
        <v>4167</v>
      </c>
      <c r="E87" s="1">
        <v>4167</v>
      </c>
      <c r="F87" s="1">
        <v>4167</v>
      </c>
      <c r="G87" s="1">
        <v>4167</v>
      </c>
      <c r="H87" s="1">
        <v>4167</v>
      </c>
      <c r="I87" s="1">
        <v>4167</v>
      </c>
      <c r="J87" s="1">
        <v>4166</v>
      </c>
      <c r="K87" s="1">
        <v>4166</v>
      </c>
      <c r="L87" s="1">
        <v>4166</v>
      </c>
      <c r="M87" s="1">
        <v>4166</v>
      </c>
      <c r="N87" s="1">
        <v>50000</v>
      </c>
    </row>
    <row r="88" spans="1:14" x14ac:dyDescent="0.25">
      <c r="A88" s="6" t="s">
        <v>433</v>
      </c>
      <c r="B88" s="1">
        <v>30000</v>
      </c>
      <c r="C88" s="1">
        <v>30000</v>
      </c>
      <c r="D88" s="1">
        <v>30000</v>
      </c>
      <c r="E88" s="1">
        <v>30000</v>
      </c>
      <c r="F88" s="1">
        <v>30000</v>
      </c>
      <c r="G88" s="1">
        <v>30000</v>
      </c>
      <c r="H88" s="1">
        <v>30000</v>
      </c>
      <c r="I88" s="1">
        <v>30000</v>
      </c>
      <c r="J88" s="1">
        <v>30000</v>
      </c>
      <c r="K88" s="1">
        <v>30000</v>
      </c>
      <c r="L88" s="1">
        <v>30000</v>
      </c>
      <c r="M88" s="1">
        <v>30000</v>
      </c>
      <c r="N88" s="176">
        <v>360000</v>
      </c>
    </row>
    <row r="89" spans="1:14" x14ac:dyDescent="0.25">
      <c r="A89" s="6" t="s">
        <v>434</v>
      </c>
      <c r="B89" s="1">
        <v>97750</v>
      </c>
      <c r="C89" s="1">
        <v>97750</v>
      </c>
      <c r="D89" s="1">
        <v>97750</v>
      </c>
      <c r="E89" s="1">
        <v>97750</v>
      </c>
      <c r="F89" s="1">
        <v>97750</v>
      </c>
      <c r="G89" s="1">
        <v>97750</v>
      </c>
      <c r="H89" s="1">
        <v>97750</v>
      </c>
      <c r="I89" s="1">
        <v>97750</v>
      </c>
      <c r="J89" s="1">
        <v>97750</v>
      </c>
      <c r="K89" s="1">
        <v>97750</v>
      </c>
      <c r="L89" s="1">
        <v>97750</v>
      </c>
      <c r="M89" s="1">
        <v>97750</v>
      </c>
      <c r="N89" s="1">
        <v>1173000</v>
      </c>
    </row>
    <row r="90" spans="1:14" x14ac:dyDescent="0.25">
      <c r="A90" s="6" t="s">
        <v>435</v>
      </c>
      <c r="B90" s="1">
        <v>33333</v>
      </c>
      <c r="C90" s="1">
        <v>33333</v>
      </c>
      <c r="D90" s="1">
        <v>33333</v>
      </c>
      <c r="E90" s="1">
        <v>33333</v>
      </c>
      <c r="F90" s="1">
        <v>33333</v>
      </c>
      <c r="G90" s="1">
        <v>33333</v>
      </c>
      <c r="H90" s="1">
        <v>33333</v>
      </c>
      <c r="I90" s="1">
        <v>33333</v>
      </c>
      <c r="J90" s="1">
        <v>33333</v>
      </c>
      <c r="K90" s="1">
        <v>33333</v>
      </c>
      <c r="L90" s="1">
        <v>33333</v>
      </c>
      <c r="M90" s="1">
        <v>33333</v>
      </c>
      <c r="N90" s="1">
        <v>399996</v>
      </c>
    </row>
    <row r="91" spans="1:14" x14ac:dyDescent="0.25">
      <c r="A91" s="6" t="s">
        <v>436</v>
      </c>
      <c r="B91" s="1">
        <v>20000</v>
      </c>
      <c r="C91" s="1">
        <v>20000</v>
      </c>
      <c r="D91" s="1">
        <v>20000</v>
      </c>
      <c r="E91" s="1">
        <v>20000</v>
      </c>
      <c r="F91" s="1">
        <v>20000</v>
      </c>
      <c r="G91" s="1">
        <v>20000</v>
      </c>
      <c r="H91" s="1">
        <v>20000</v>
      </c>
      <c r="I91" s="1">
        <v>20000</v>
      </c>
      <c r="J91" s="1">
        <v>20000</v>
      </c>
      <c r="K91" s="1">
        <v>20000</v>
      </c>
      <c r="L91" s="1">
        <v>20000</v>
      </c>
      <c r="M91" s="1">
        <v>20000</v>
      </c>
      <c r="N91" s="1">
        <v>240000</v>
      </c>
    </row>
    <row r="92" spans="1:14" x14ac:dyDescent="0.25">
      <c r="A92" s="6" t="s">
        <v>437</v>
      </c>
      <c r="B92" s="1">
        <v>10000</v>
      </c>
      <c r="C92" s="1">
        <v>10000</v>
      </c>
      <c r="D92" s="1">
        <v>10000</v>
      </c>
      <c r="E92" s="1">
        <v>10000</v>
      </c>
      <c r="F92" s="1">
        <v>10000</v>
      </c>
      <c r="G92" s="1">
        <v>10000</v>
      </c>
      <c r="H92" s="1">
        <v>10000</v>
      </c>
      <c r="I92" s="1">
        <v>10000</v>
      </c>
      <c r="J92" s="1">
        <v>10000</v>
      </c>
      <c r="K92" s="1">
        <v>10000</v>
      </c>
      <c r="L92" s="1">
        <v>10000</v>
      </c>
      <c r="M92" s="1">
        <v>10000</v>
      </c>
      <c r="N92" s="1">
        <v>120000</v>
      </c>
    </row>
    <row r="93" spans="1:14" x14ac:dyDescent="0.25">
      <c r="A93" s="6" t="s">
        <v>438</v>
      </c>
      <c r="B93" s="1">
        <v>62667</v>
      </c>
      <c r="C93" s="1">
        <v>62667</v>
      </c>
      <c r="D93" s="1">
        <v>62667</v>
      </c>
      <c r="E93" s="1">
        <v>62667</v>
      </c>
      <c r="F93" s="1">
        <v>62667</v>
      </c>
      <c r="G93" s="1">
        <v>62667</v>
      </c>
      <c r="H93" s="1">
        <v>62667</v>
      </c>
      <c r="I93" s="1">
        <v>62667</v>
      </c>
      <c r="J93" s="1">
        <v>62666</v>
      </c>
      <c r="K93" s="1">
        <v>62666</v>
      </c>
      <c r="L93" s="1">
        <v>62666</v>
      </c>
      <c r="M93" s="1">
        <v>62666</v>
      </c>
      <c r="N93" s="1">
        <v>752000</v>
      </c>
    </row>
    <row r="94" spans="1:14" x14ac:dyDescent="0.25">
      <c r="A94" s="6" t="s">
        <v>439</v>
      </c>
      <c r="B94" s="1">
        <v>200000</v>
      </c>
      <c r="C94" s="1">
        <v>200000</v>
      </c>
      <c r="D94" s="1">
        <v>200000</v>
      </c>
      <c r="E94" s="1">
        <v>200000</v>
      </c>
      <c r="F94" s="1">
        <v>200000</v>
      </c>
      <c r="G94" s="1">
        <v>0</v>
      </c>
      <c r="H94" s="1">
        <v>0</v>
      </c>
      <c r="I94" s="1">
        <v>0</v>
      </c>
      <c r="J94" s="1">
        <v>0</v>
      </c>
      <c r="K94" s="1">
        <v>0</v>
      </c>
      <c r="L94" s="1">
        <v>0</v>
      </c>
      <c r="M94" s="1">
        <v>0</v>
      </c>
      <c r="N94" s="1">
        <v>1000000</v>
      </c>
    </row>
    <row r="95" spans="1:14" x14ac:dyDescent="0.25">
      <c r="A95" s="6" t="s">
        <v>440</v>
      </c>
      <c r="B95" s="1">
        <v>600000</v>
      </c>
      <c r="C95" s="1">
        <v>600000</v>
      </c>
      <c r="D95" s="1">
        <v>600000</v>
      </c>
      <c r="E95" s="1">
        <v>600000</v>
      </c>
      <c r="F95" s="1">
        <v>600000</v>
      </c>
      <c r="G95" s="1">
        <v>600000</v>
      </c>
      <c r="H95" s="1">
        <v>600000</v>
      </c>
      <c r="I95" s="1">
        <v>600000</v>
      </c>
      <c r="J95" s="1">
        <v>600000</v>
      </c>
      <c r="K95" s="1">
        <v>600000</v>
      </c>
      <c r="L95" s="1">
        <v>600000</v>
      </c>
      <c r="M95" s="1">
        <v>600000</v>
      </c>
      <c r="N95" s="1">
        <v>7200000</v>
      </c>
    </row>
    <row r="96" spans="1:14" x14ac:dyDescent="0.25">
      <c r="A96" s="6" t="s">
        <v>441</v>
      </c>
      <c r="B96" s="1">
        <v>69400</v>
      </c>
      <c r="C96" s="1">
        <v>69400</v>
      </c>
      <c r="D96" s="1">
        <v>69400</v>
      </c>
      <c r="E96" s="1">
        <v>69400</v>
      </c>
      <c r="F96" s="1">
        <v>69400</v>
      </c>
      <c r="G96" s="1">
        <v>69400</v>
      </c>
      <c r="H96" s="1">
        <v>0</v>
      </c>
      <c r="I96" s="1">
        <v>0</v>
      </c>
      <c r="J96" s="1">
        <v>0</v>
      </c>
      <c r="K96" s="1">
        <v>0</v>
      </c>
      <c r="L96" s="1">
        <v>0</v>
      </c>
      <c r="M96" s="1">
        <v>0</v>
      </c>
      <c r="N96" s="1">
        <v>416400</v>
      </c>
    </row>
    <row r="97" spans="1:14" x14ac:dyDescent="0.25">
      <c r="A97" s="6" t="s">
        <v>442</v>
      </c>
      <c r="B97" s="1">
        <v>35750</v>
      </c>
      <c r="C97" s="1">
        <v>35750</v>
      </c>
      <c r="D97" s="1">
        <v>35750</v>
      </c>
      <c r="E97" s="1">
        <v>35750</v>
      </c>
      <c r="F97" s="1">
        <v>35750</v>
      </c>
      <c r="G97" s="1">
        <v>35750</v>
      </c>
      <c r="H97" s="1">
        <v>35750</v>
      </c>
      <c r="I97" s="1">
        <v>35750</v>
      </c>
      <c r="J97" s="1">
        <v>35750</v>
      </c>
      <c r="K97" s="1">
        <v>35750</v>
      </c>
      <c r="L97" s="1">
        <v>35750</v>
      </c>
      <c r="M97" s="1">
        <v>35750</v>
      </c>
      <c r="N97" s="176">
        <v>429000</v>
      </c>
    </row>
    <row r="98" spans="1:14" x14ac:dyDescent="0.25">
      <c r="A98" s="6" t="s">
        <v>443</v>
      </c>
      <c r="B98" s="1"/>
      <c r="C98" s="1"/>
      <c r="D98" s="1"/>
      <c r="E98" s="1">
        <v>100000</v>
      </c>
      <c r="F98" s="1"/>
      <c r="G98" s="1"/>
      <c r="H98" s="1"/>
      <c r="I98" s="1"/>
      <c r="J98" s="1"/>
      <c r="K98" s="1"/>
      <c r="L98" s="1"/>
      <c r="M98" s="1"/>
      <c r="N98" s="176">
        <v>100000</v>
      </c>
    </row>
    <row r="99" spans="1:14" x14ac:dyDescent="0.25">
      <c r="A99" s="6" t="s">
        <v>444</v>
      </c>
      <c r="B99" s="1">
        <v>10000</v>
      </c>
      <c r="C99" s="1">
        <v>10000</v>
      </c>
      <c r="D99" s="1">
        <v>10000</v>
      </c>
      <c r="E99" s="1">
        <v>10000</v>
      </c>
      <c r="F99" s="1">
        <v>10000</v>
      </c>
      <c r="G99" s="1">
        <v>10000</v>
      </c>
      <c r="H99" s="1">
        <v>10000</v>
      </c>
      <c r="I99" s="1">
        <v>10000</v>
      </c>
      <c r="J99" s="1">
        <v>10000</v>
      </c>
      <c r="K99" s="1">
        <v>10000</v>
      </c>
      <c r="L99" s="1">
        <v>10000</v>
      </c>
      <c r="M99" s="1">
        <v>10000</v>
      </c>
      <c r="N99" s="1">
        <v>120000</v>
      </c>
    </row>
    <row r="100" spans="1:14" x14ac:dyDescent="0.25">
      <c r="A100" s="6" t="s">
        <v>445</v>
      </c>
      <c r="B100" s="1">
        <v>12688</v>
      </c>
      <c r="C100" s="1">
        <v>12688</v>
      </c>
      <c r="D100" s="1">
        <v>12688</v>
      </c>
      <c r="E100" s="1">
        <v>12688</v>
      </c>
      <c r="F100" s="1">
        <v>12688</v>
      </c>
      <c r="G100" s="1">
        <v>12688</v>
      </c>
      <c r="H100" s="1">
        <v>12687</v>
      </c>
      <c r="I100" s="1">
        <v>12687</v>
      </c>
      <c r="J100" s="1">
        <v>12687</v>
      </c>
      <c r="K100" s="1">
        <v>12687</v>
      </c>
      <c r="L100" s="1">
        <v>12687</v>
      </c>
      <c r="M100" s="1">
        <v>12687</v>
      </c>
      <c r="N100" s="1">
        <v>152250</v>
      </c>
    </row>
    <row r="101" spans="1:14" x14ac:dyDescent="0.25">
      <c r="A101" s="6" t="s">
        <v>446</v>
      </c>
      <c r="B101" s="1">
        <v>17708</v>
      </c>
      <c r="C101" s="1">
        <v>17708</v>
      </c>
      <c r="D101" s="1">
        <v>17708</v>
      </c>
      <c r="E101" s="1">
        <v>17708</v>
      </c>
      <c r="F101" s="1">
        <v>17708</v>
      </c>
      <c r="G101" s="1">
        <v>17708</v>
      </c>
      <c r="H101" s="1">
        <v>17708</v>
      </c>
      <c r="I101" s="1">
        <v>17708</v>
      </c>
      <c r="J101" s="1">
        <v>17708</v>
      </c>
      <c r="K101" s="1">
        <v>17708</v>
      </c>
      <c r="L101" s="1">
        <v>17708</v>
      </c>
      <c r="M101" s="1">
        <v>17708</v>
      </c>
      <c r="N101" s="1">
        <v>212496</v>
      </c>
    </row>
    <row r="102" spans="1:14" x14ac:dyDescent="0.25">
      <c r="A102" s="6" t="s">
        <v>447</v>
      </c>
      <c r="B102" s="1">
        <v>10750</v>
      </c>
      <c r="C102" s="1">
        <v>10750</v>
      </c>
      <c r="D102" s="1">
        <v>10750</v>
      </c>
      <c r="E102" s="1">
        <v>10750</v>
      </c>
      <c r="F102" s="1">
        <v>10750</v>
      </c>
      <c r="G102" s="1">
        <v>10750</v>
      </c>
      <c r="H102" s="1">
        <v>10750</v>
      </c>
      <c r="I102" s="1">
        <v>10750</v>
      </c>
      <c r="J102" s="1">
        <v>10750</v>
      </c>
      <c r="K102" s="1">
        <v>10750</v>
      </c>
      <c r="L102" s="1">
        <v>10750</v>
      </c>
      <c r="M102" s="1">
        <v>10750</v>
      </c>
      <c r="N102" s="1">
        <v>129000</v>
      </c>
    </row>
    <row r="103" spans="1:14" x14ac:dyDescent="0.25">
      <c r="A103" s="6" t="s">
        <v>471</v>
      </c>
      <c r="B103" s="1">
        <v>5000</v>
      </c>
      <c r="C103" s="1">
        <v>5000</v>
      </c>
      <c r="D103" s="1">
        <v>5000</v>
      </c>
      <c r="E103" s="1">
        <v>5000</v>
      </c>
      <c r="F103" s="1">
        <v>5000</v>
      </c>
      <c r="G103" s="1">
        <v>5000</v>
      </c>
      <c r="H103" s="1">
        <v>5000</v>
      </c>
      <c r="I103" s="1">
        <v>5000</v>
      </c>
      <c r="J103" s="1">
        <v>5000</v>
      </c>
      <c r="K103" s="1">
        <v>5000</v>
      </c>
      <c r="L103" s="1">
        <v>5000</v>
      </c>
      <c r="M103" s="1">
        <v>5000</v>
      </c>
      <c r="N103" s="1">
        <v>60000</v>
      </c>
    </row>
    <row r="104" spans="1:14" x14ac:dyDescent="0.25">
      <c r="A104" s="6" t="s">
        <v>448</v>
      </c>
      <c r="B104" s="1">
        <v>4000</v>
      </c>
      <c r="C104" s="1">
        <v>4000</v>
      </c>
      <c r="D104" s="1">
        <v>4000</v>
      </c>
      <c r="E104" s="1">
        <v>4000</v>
      </c>
      <c r="F104" s="1">
        <v>4000</v>
      </c>
      <c r="G104" s="1">
        <v>4000</v>
      </c>
      <c r="H104" s="1">
        <v>4000</v>
      </c>
      <c r="I104" s="1">
        <v>4000</v>
      </c>
      <c r="J104" s="1">
        <v>4000</v>
      </c>
      <c r="K104" s="1">
        <v>4000</v>
      </c>
      <c r="L104" s="1">
        <v>4000</v>
      </c>
      <c r="M104" s="1">
        <v>4000</v>
      </c>
      <c r="N104" s="1">
        <v>48000</v>
      </c>
    </row>
    <row r="105" spans="1:14" x14ac:dyDescent="0.25">
      <c r="A105" s="6" t="s">
        <v>449</v>
      </c>
      <c r="B105" s="1"/>
      <c r="C105" s="1"/>
      <c r="D105" s="1">
        <v>150000</v>
      </c>
      <c r="E105" s="1"/>
      <c r="F105" s="1"/>
      <c r="G105" s="1"/>
      <c r="H105" s="1">
        <v>150000</v>
      </c>
      <c r="I105" s="1"/>
      <c r="J105" s="1"/>
      <c r="K105" s="1"/>
      <c r="L105" s="1"/>
      <c r="M105" s="1"/>
      <c r="N105" s="1">
        <v>300000</v>
      </c>
    </row>
    <row r="106" spans="1:14" x14ac:dyDescent="0.25">
      <c r="A106" s="6" t="s">
        <v>959</v>
      </c>
      <c r="B106" s="1">
        <v>300</v>
      </c>
      <c r="C106" s="1">
        <v>300</v>
      </c>
      <c r="D106" s="1">
        <v>300</v>
      </c>
      <c r="E106" s="1">
        <v>300</v>
      </c>
      <c r="F106" s="1">
        <v>300</v>
      </c>
      <c r="G106" s="1">
        <v>300</v>
      </c>
      <c r="H106" s="1">
        <v>300</v>
      </c>
      <c r="I106" s="1">
        <v>300</v>
      </c>
      <c r="J106" s="1">
        <v>300</v>
      </c>
      <c r="K106" s="1">
        <v>300</v>
      </c>
      <c r="L106" s="1">
        <v>300</v>
      </c>
      <c r="M106" s="1">
        <v>300</v>
      </c>
      <c r="N106" s="1">
        <v>3600</v>
      </c>
    </row>
    <row r="107" spans="1:14" x14ac:dyDescent="0.25">
      <c r="A107" s="6" t="s">
        <v>960</v>
      </c>
      <c r="B107" s="1">
        <v>300</v>
      </c>
      <c r="C107" s="1">
        <v>300</v>
      </c>
      <c r="D107" s="1">
        <v>300</v>
      </c>
      <c r="E107" s="1">
        <v>300</v>
      </c>
      <c r="F107" s="1">
        <v>300</v>
      </c>
      <c r="G107" s="1">
        <v>300</v>
      </c>
      <c r="H107" s="1">
        <v>300</v>
      </c>
      <c r="I107" s="1">
        <v>300</v>
      </c>
      <c r="J107" s="1">
        <v>300</v>
      </c>
      <c r="K107" s="1">
        <v>300</v>
      </c>
      <c r="L107" s="1">
        <v>300</v>
      </c>
      <c r="M107" s="1">
        <v>300</v>
      </c>
      <c r="N107" s="1">
        <v>3600</v>
      </c>
    </row>
    <row r="108" spans="1:14" x14ac:dyDescent="0.25">
      <c r="A108" s="6" t="s">
        <v>473</v>
      </c>
      <c r="B108" s="1">
        <v>6000</v>
      </c>
      <c r="C108" s="1">
        <v>6000</v>
      </c>
      <c r="D108" s="1">
        <v>6000</v>
      </c>
      <c r="E108" s="1">
        <v>6000</v>
      </c>
      <c r="F108" s="1">
        <v>6000</v>
      </c>
      <c r="G108" s="1">
        <v>6000</v>
      </c>
      <c r="H108" s="1">
        <v>6000</v>
      </c>
      <c r="I108" s="1">
        <v>6000</v>
      </c>
      <c r="J108" s="1">
        <v>6000</v>
      </c>
      <c r="K108" s="1">
        <v>6000</v>
      </c>
      <c r="L108" s="1">
        <v>6000</v>
      </c>
      <c r="M108" s="1">
        <v>6000</v>
      </c>
      <c r="N108" s="1">
        <v>72000</v>
      </c>
    </row>
    <row r="109" spans="1:14" x14ac:dyDescent="0.25">
      <c r="A109" s="6" t="s">
        <v>823</v>
      </c>
      <c r="B109" s="1">
        <v>0</v>
      </c>
      <c r="C109" s="1">
        <v>0</v>
      </c>
      <c r="D109" s="1">
        <v>0</v>
      </c>
      <c r="E109" s="1">
        <v>0</v>
      </c>
      <c r="F109" s="1">
        <v>0</v>
      </c>
      <c r="G109" s="1">
        <v>0</v>
      </c>
      <c r="H109" s="1">
        <v>0</v>
      </c>
      <c r="I109" s="1">
        <v>0</v>
      </c>
      <c r="J109" s="1">
        <v>0</v>
      </c>
      <c r="K109" s="1">
        <v>0</v>
      </c>
      <c r="L109" s="1">
        <v>0</v>
      </c>
      <c r="M109" s="1">
        <v>0</v>
      </c>
      <c r="N109" s="1">
        <v>0</v>
      </c>
    </row>
    <row r="110" spans="1:14" x14ac:dyDescent="0.25">
      <c r="A110" s="6" t="s">
        <v>963</v>
      </c>
      <c r="B110" s="1">
        <v>0</v>
      </c>
      <c r="C110" s="1">
        <v>0</v>
      </c>
      <c r="D110" s="1">
        <v>0</v>
      </c>
      <c r="E110" s="1">
        <v>0</v>
      </c>
      <c r="F110" s="1">
        <v>0</v>
      </c>
      <c r="G110" s="1">
        <v>0</v>
      </c>
      <c r="H110" s="1">
        <v>0</v>
      </c>
      <c r="I110" s="1">
        <v>0</v>
      </c>
      <c r="J110" s="1">
        <v>0</v>
      </c>
      <c r="K110" s="1">
        <v>0</v>
      </c>
      <c r="L110" s="1">
        <v>0</v>
      </c>
      <c r="M110" s="1">
        <v>0</v>
      </c>
      <c r="N110" s="1">
        <v>0</v>
      </c>
    </row>
    <row r="111" spans="1:14" x14ac:dyDescent="0.25">
      <c r="A111" s="6" t="s">
        <v>474</v>
      </c>
      <c r="B111" s="1">
        <v>300</v>
      </c>
      <c r="C111" s="1">
        <v>300</v>
      </c>
      <c r="D111" s="1">
        <v>300</v>
      </c>
      <c r="E111" s="1">
        <v>300</v>
      </c>
      <c r="F111" s="1">
        <v>300</v>
      </c>
      <c r="G111" s="1">
        <v>300</v>
      </c>
      <c r="H111" s="1">
        <v>300</v>
      </c>
      <c r="I111" s="1">
        <v>300</v>
      </c>
      <c r="J111" s="1">
        <v>300</v>
      </c>
      <c r="K111" s="1">
        <v>300</v>
      </c>
      <c r="L111" s="1">
        <v>300</v>
      </c>
      <c r="M111" s="1">
        <v>300</v>
      </c>
      <c r="N111" s="1">
        <v>3600</v>
      </c>
    </row>
    <row r="112" spans="1:14" x14ac:dyDescent="0.25">
      <c r="A112" s="6" t="s">
        <v>781</v>
      </c>
      <c r="B112" s="1">
        <v>-54200</v>
      </c>
      <c r="C112" s="1">
        <v>-72490</v>
      </c>
      <c r="D112" s="1">
        <v>-110714</v>
      </c>
      <c r="E112" s="1">
        <v>-106832</v>
      </c>
      <c r="F112" s="1">
        <v>-91379</v>
      </c>
      <c r="G112" s="1">
        <v>-70881</v>
      </c>
      <c r="H112" s="1">
        <v>-77202</v>
      </c>
      <c r="I112" s="1">
        <v>-71965</v>
      </c>
      <c r="J112" s="1">
        <v>-110042</v>
      </c>
      <c r="K112" s="1">
        <v>-93991</v>
      </c>
      <c r="L112" s="1">
        <v>-115566</v>
      </c>
      <c r="M112" s="1">
        <v>-127877</v>
      </c>
      <c r="N112" s="1">
        <v>-1103139</v>
      </c>
    </row>
    <row r="113" spans="1:14" x14ac:dyDescent="0.25">
      <c r="A113" s="6" t="s">
        <v>782</v>
      </c>
      <c r="B113" s="1">
        <v>-10225</v>
      </c>
      <c r="C113" s="1">
        <v>-14511</v>
      </c>
      <c r="D113" s="1">
        <v>-18620</v>
      </c>
      <c r="E113" s="1">
        <v>-23754</v>
      </c>
      <c r="F113" s="1">
        <v>-16232</v>
      </c>
      <c r="G113" s="1">
        <v>-13470</v>
      </c>
      <c r="H113" s="1">
        <v>-18723</v>
      </c>
      <c r="I113" s="1">
        <v>-18657</v>
      </c>
      <c r="J113" s="1">
        <v>-12799</v>
      </c>
      <c r="K113" s="1">
        <v>-18759</v>
      </c>
      <c r="L113" s="1">
        <v>-13470</v>
      </c>
      <c r="M113" s="1">
        <v>-16972</v>
      </c>
      <c r="N113" s="1">
        <v>-196192</v>
      </c>
    </row>
    <row r="114" spans="1:14" x14ac:dyDescent="0.25">
      <c r="A114" s="6" t="s">
        <v>783</v>
      </c>
      <c r="B114" s="1">
        <v>-34906</v>
      </c>
      <c r="C114" s="1">
        <v>-66693</v>
      </c>
      <c r="D114" s="1">
        <v>-59174</v>
      </c>
      <c r="E114" s="1">
        <v>-54610</v>
      </c>
      <c r="F114" s="1">
        <v>-49285</v>
      </c>
      <c r="G114" s="1">
        <v>-45112</v>
      </c>
      <c r="H114" s="1">
        <v>-45435</v>
      </c>
      <c r="I114" s="1">
        <v>-59478</v>
      </c>
      <c r="J114" s="1">
        <v>-65793</v>
      </c>
      <c r="K114" s="1">
        <v>-65532</v>
      </c>
      <c r="L114" s="1">
        <v>-52955</v>
      </c>
      <c r="M114" s="1">
        <v>-58909</v>
      </c>
      <c r="N114" s="1">
        <v>-657882</v>
      </c>
    </row>
    <row r="115" spans="1:14" x14ac:dyDescent="0.25">
      <c r="A115" s="6" t="s">
        <v>784</v>
      </c>
      <c r="B115" s="1">
        <v>-11449</v>
      </c>
      <c r="C115" s="1">
        <v>-9718</v>
      </c>
      <c r="D115" s="1">
        <v>-9452</v>
      </c>
      <c r="E115" s="1">
        <v>-8818</v>
      </c>
      <c r="F115" s="1">
        <v>-8387</v>
      </c>
      <c r="G115" s="1">
        <v>-9585</v>
      </c>
      <c r="H115" s="1">
        <v>-10304</v>
      </c>
      <c r="I115" s="1">
        <v>-7082</v>
      </c>
      <c r="J115" s="1">
        <v>-7162</v>
      </c>
      <c r="K115" s="1">
        <v>-7295</v>
      </c>
      <c r="L115" s="1">
        <v>-11316</v>
      </c>
      <c r="M115" s="1">
        <v>-11981</v>
      </c>
      <c r="N115" s="1">
        <v>-112549</v>
      </c>
    </row>
    <row r="116" spans="1:14" x14ac:dyDescent="0.25">
      <c r="A116" s="6" t="s">
        <v>785</v>
      </c>
      <c r="B116" s="1">
        <v>-639</v>
      </c>
      <c r="C116" s="1">
        <v>-532</v>
      </c>
      <c r="D116" s="1">
        <v>0</v>
      </c>
      <c r="E116" s="1">
        <v>-160</v>
      </c>
      <c r="F116" s="1">
        <v>-1278</v>
      </c>
      <c r="G116" s="1">
        <v>-1278</v>
      </c>
      <c r="H116" s="1">
        <v>0</v>
      </c>
      <c r="I116" s="1">
        <v>-1757</v>
      </c>
      <c r="J116" s="1">
        <v>0</v>
      </c>
      <c r="K116" s="1">
        <v>0</v>
      </c>
      <c r="L116" s="1">
        <v>-1757</v>
      </c>
      <c r="M116" s="1">
        <v>-160</v>
      </c>
      <c r="N116" s="1">
        <v>-7561</v>
      </c>
    </row>
    <row r="117" spans="1:14" x14ac:dyDescent="0.25">
      <c r="A117" s="6" t="s">
        <v>786</v>
      </c>
      <c r="B117" s="1">
        <v>-330490</v>
      </c>
      <c r="C117" s="1">
        <v>-536097</v>
      </c>
      <c r="D117" s="1">
        <v>-705233</v>
      </c>
      <c r="E117" s="1">
        <v>-800421</v>
      </c>
      <c r="F117" s="1">
        <v>-751859</v>
      </c>
      <c r="G117" s="1">
        <v>-696200</v>
      </c>
      <c r="H117" s="1">
        <v>-650737</v>
      </c>
      <c r="I117" s="1">
        <v>-580130</v>
      </c>
      <c r="J117" s="1">
        <v>-617651</v>
      </c>
      <c r="K117" s="1">
        <v>-666671</v>
      </c>
      <c r="L117" s="1">
        <v>-510579</v>
      </c>
      <c r="M117" s="1">
        <v>-478097</v>
      </c>
      <c r="N117" s="1">
        <v>-7324165</v>
      </c>
    </row>
    <row r="118" spans="1:14" x14ac:dyDescent="0.25">
      <c r="A118" s="6" t="s">
        <v>787</v>
      </c>
      <c r="B118" s="1">
        <v>-2772702</v>
      </c>
      <c r="C118" s="1">
        <v>-72559369</v>
      </c>
      <c r="D118" s="1">
        <v>-79247673</v>
      </c>
      <c r="E118" s="1">
        <v>-612583</v>
      </c>
      <c r="F118" s="1">
        <v>-479499</v>
      </c>
      <c r="G118" s="1">
        <v>-594126</v>
      </c>
      <c r="H118" s="1">
        <v>-1320207</v>
      </c>
      <c r="I118" s="1">
        <v>-607308</v>
      </c>
      <c r="J118" s="1">
        <v>-430349</v>
      </c>
      <c r="K118" s="1">
        <v>-574491</v>
      </c>
      <c r="L118" s="1">
        <v>-190030</v>
      </c>
      <c r="M118" s="1">
        <v>-3364004</v>
      </c>
      <c r="N118" s="1">
        <v>-162752341</v>
      </c>
    </row>
    <row r="119" spans="1:14" x14ac:dyDescent="0.25">
      <c r="A119" s="6" t="s">
        <v>788</v>
      </c>
      <c r="B119" s="1">
        <v>-469650</v>
      </c>
      <c r="C119" s="1">
        <v>-536583</v>
      </c>
      <c r="D119" s="1">
        <v>-5066881</v>
      </c>
      <c r="E119" s="1">
        <v>-2102817</v>
      </c>
      <c r="F119" s="1">
        <v>-962544</v>
      </c>
      <c r="G119" s="1">
        <v>-756609</v>
      </c>
      <c r="H119" s="1">
        <v>-1071207</v>
      </c>
      <c r="I119" s="1">
        <v>-1112050</v>
      </c>
      <c r="J119" s="1">
        <v>-1377682</v>
      </c>
      <c r="K119" s="1">
        <v>-1173978</v>
      </c>
      <c r="L119" s="1">
        <v>-675232</v>
      </c>
      <c r="M119" s="1">
        <v>-571063</v>
      </c>
      <c r="N119" s="1">
        <v>-15876296</v>
      </c>
    </row>
    <row r="120" spans="1:14" x14ac:dyDescent="0.25">
      <c r="A120" s="6" t="s">
        <v>789</v>
      </c>
      <c r="B120" s="1">
        <v>-2151</v>
      </c>
      <c r="C120" s="1">
        <v>-2151</v>
      </c>
      <c r="D120" s="1">
        <v>-17349</v>
      </c>
      <c r="E120" s="1">
        <v>-1613</v>
      </c>
      <c r="F120" s="1">
        <v>-5964</v>
      </c>
      <c r="G120" s="1">
        <v>-2151</v>
      </c>
      <c r="H120" s="1">
        <v>0</v>
      </c>
      <c r="I120" s="1">
        <v>-1613</v>
      </c>
      <c r="J120" s="1">
        <v>0</v>
      </c>
      <c r="K120" s="1">
        <v>-4840</v>
      </c>
      <c r="L120" s="1">
        <v>-1225</v>
      </c>
      <c r="M120" s="1">
        <v>-1076</v>
      </c>
      <c r="N120" s="1">
        <v>-40133</v>
      </c>
    </row>
    <row r="121" spans="1:14" x14ac:dyDescent="0.25">
      <c r="A121" s="6" t="s">
        <v>790</v>
      </c>
      <c r="B121" s="1">
        <v>-200345</v>
      </c>
      <c r="C121" s="1">
        <v>-288511</v>
      </c>
      <c r="D121" s="1">
        <v>-1186744</v>
      </c>
      <c r="E121" s="1">
        <v>-1038311</v>
      </c>
      <c r="F121" s="1">
        <v>-1085736</v>
      </c>
      <c r="G121" s="1">
        <v>-1051919</v>
      </c>
      <c r="H121" s="1">
        <v>-1038936</v>
      </c>
      <c r="I121" s="1">
        <v>-1123055</v>
      </c>
      <c r="J121" s="1">
        <v>-1347510</v>
      </c>
      <c r="K121" s="1">
        <v>-1048908</v>
      </c>
      <c r="L121" s="1">
        <v>-1018086</v>
      </c>
      <c r="M121" s="1">
        <v>-1172038</v>
      </c>
      <c r="N121" s="1">
        <v>-11600099</v>
      </c>
    </row>
    <row r="122" spans="1:14" x14ac:dyDescent="0.25">
      <c r="A122" s="6" t="s">
        <v>791</v>
      </c>
      <c r="B122" s="1">
        <v>-3606658</v>
      </c>
      <c r="C122" s="1">
        <v>-4500550</v>
      </c>
      <c r="D122" s="1">
        <v>-4398329</v>
      </c>
      <c r="E122" s="1">
        <v>-3897282</v>
      </c>
      <c r="F122" s="1">
        <v>-4262077</v>
      </c>
      <c r="G122" s="1">
        <v>-5169970</v>
      </c>
      <c r="H122" s="1">
        <v>-2639201</v>
      </c>
      <c r="I122" s="1">
        <v>-1111423</v>
      </c>
      <c r="J122" s="1">
        <v>-1687364</v>
      </c>
      <c r="K122" s="1">
        <v>-1296078</v>
      </c>
      <c r="L122" s="1">
        <v>-4225662</v>
      </c>
      <c r="M122" s="1">
        <v>-4815194</v>
      </c>
      <c r="N122" s="1">
        <v>-41609788</v>
      </c>
    </row>
    <row r="123" spans="1:14" x14ac:dyDescent="0.25">
      <c r="A123" s="6" t="s">
        <v>792</v>
      </c>
      <c r="B123" s="1">
        <v>-345365</v>
      </c>
      <c r="C123" s="1">
        <v>-493246</v>
      </c>
      <c r="D123" s="1">
        <v>-547404</v>
      </c>
      <c r="E123" s="1">
        <v>-376284</v>
      </c>
      <c r="F123" s="1">
        <v>-303310</v>
      </c>
      <c r="G123" s="1">
        <v>-366157</v>
      </c>
      <c r="H123" s="1">
        <v>-222957</v>
      </c>
      <c r="I123" s="1">
        <v>-240301</v>
      </c>
      <c r="J123" s="1">
        <v>-248617</v>
      </c>
      <c r="K123" s="1">
        <v>-325057</v>
      </c>
      <c r="L123" s="1">
        <v>-389062</v>
      </c>
      <c r="M123" s="1">
        <v>-485143</v>
      </c>
      <c r="N123" s="1">
        <v>-4342903</v>
      </c>
    </row>
    <row r="124" spans="1:14" x14ac:dyDescent="0.25">
      <c r="A124" s="6" t="s">
        <v>793</v>
      </c>
      <c r="B124" s="1">
        <v>-1051368</v>
      </c>
      <c r="C124" s="1">
        <v>-1402964</v>
      </c>
      <c r="D124" s="1">
        <v>-1373199</v>
      </c>
      <c r="E124" s="1">
        <v>-1087173</v>
      </c>
      <c r="F124" s="1">
        <v>-4012467</v>
      </c>
      <c r="G124" s="1">
        <v>-1443903</v>
      </c>
      <c r="H124" s="1">
        <v>-1116471</v>
      </c>
      <c r="I124" s="1">
        <v>-1073351</v>
      </c>
      <c r="J124" s="1">
        <v>-1177053</v>
      </c>
      <c r="K124" s="1">
        <v>-1098974</v>
      </c>
      <c r="L124" s="1">
        <v>-1080265</v>
      </c>
      <c r="M124" s="1">
        <v>-1557562</v>
      </c>
      <c r="N124" s="1">
        <v>-17474750</v>
      </c>
    </row>
    <row r="125" spans="1:14" x14ac:dyDescent="0.25">
      <c r="A125" s="6" t="s">
        <v>794</v>
      </c>
      <c r="B125" s="1">
        <v>-2027271</v>
      </c>
      <c r="C125" s="1">
        <v>-2891384</v>
      </c>
      <c r="D125" s="1">
        <v>-3630831</v>
      </c>
      <c r="E125" s="1">
        <v>-2374098</v>
      </c>
      <c r="F125" s="1">
        <v>-2960569</v>
      </c>
      <c r="G125" s="1">
        <v>-3236581</v>
      </c>
      <c r="H125" s="1">
        <v>-2631265</v>
      </c>
      <c r="I125" s="1">
        <v>-2408759</v>
      </c>
      <c r="J125" s="1">
        <v>-3253028</v>
      </c>
      <c r="K125" s="1">
        <v>-2903462</v>
      </c>
      <c r="L125" s="1">
        <v>-2617608</v>
      </c>
      <c r="M125" s="1">
        <v>-3023479</v>
      </c>
      <c r="N125" s="1">
        <v>-33958335</v>
      </c>
    </row>
    <row r="126" spans="1:14" x14ac:dyDescent="0.25">
      <c r="A126" s="6" t="s">
        <v>795</v>
      </c>
      <c r="B126" s="1">
        <v>-845230</v>
      </c>
      <c r="C126" s="1">
        <v>-1242997</v>
      </c>
      <c r="D126" s="1">
        <v>-1648714</v>
      </c>
      <c r="E126" s="1">
        <v>-1208715</v>
      </c>
      <c r="F126" s="1">
        <v>-1318335</v>
      </c>
      <c r="G126" s="1">
        <v>-1303550</v>
      </c>
      <c r="H126" s="1">
        <v>-2287465</v>
      </c>
      <c r="I126" s="1">
        <v>-3053623</v>
      </c>
      <c r="J126" s="1">
        <v>-4393684</v>
      </c>
      <c r="K126" s="1">
        <v>-4929778</v>
      </c>
      <c r="L126" s="1">
        <v>-1164950</v>
      </c>
      <c r="M126" s="1">
        <v>-1443677</v>
      </c>
      <c r="N126" s="1">
        <v>-24840718</v>
      </c>
    </row>
    <row r="127" spans="1:14" x14ac:dyDescent="0.25">
      <c r="A127" s="6" t="s">
        <v>796</v>
      </c>
      <c r="B127" s="1">
        <v>0</v>
      </c>
      <c r="C127" s="1">
        <v>-6932</v>
      </c>
      <c r="D127" s="1">
        <v>-9598</v>
      </c>
      <c r="E127" s="1">
        <v>-2133</v>
      </c>
      <c r="F127" s="1">
        <v>-10979</v>
      </c>
      <c r="G127" s="1">
        <v>-24850</v>
      </c>
      <c r="H127" s="1">
        <v>-12783</v>
      </c>
      <c r="I127" s="1">
        <v>-17040</v>
      </c>
      <c r="J127" s="1">
        <v>-17046</v>
      </c>
      <c r="K127" s="1">
        <v>-17572</v>
      </c>
      <c r="L127" s="1">
        <v>0</v>
      </c>
      <c r="M127" s="1">
        <v>-3198</v>
      </c>
      <c r="N127" s="1">
        <v>-122131</v>
      </c>
    </row>
    <row r="128" spans="1:14" x14ac:dyDescent="0.25">
      <c r="A128" s="6" t="s">
        <v>797</v>
      </c>
      <c r="B128" s="1">
        <v>-90850</v>
      </c>
      <c r="C128" s="1">
        <v>-61855</v>
      </c>
      <c r="D128" s="1">
        <v>-85695</v>
      </c>
      <c r="E128" s="1">
        <v>-70231</v>
      </c>
      <c r="F128" s="1">
        <v>-85695</v>
      </c>
      <c r="G128" s="1">
        <v>-64432</v>
      </c>
      <c r="H128" s="1">
        <v>-43511</v>
      </c>
      <c r="I128" s="1">
        <v>-25810</v>
      </c>
      <c r="J128" s="1">
        <v>-35784</v>
      </c>
      <c r="K128" s="1">
        <v>-35507</v>
      </c>
      <c r="L128" s="1">
        <v>-61211</v>
      </c>
      <c r="M128" s="1">
        <v>-80541</v>
      </c>
      <c r="N128" s="1">
        <v>-741122</v>
      </c>
    </row>
    <row r="129" spans="1:14" x14ac:dyDescent="0.25">
      <c r="A129" s="6" t="s">
        <v>798</v>
      </c>
      <c r="B129" s="1">
        <v>-27704</v>
      </c>
      <c r="C129" s="1">
        <v>-62233</v>
      </c>
      <c r="D129" s="1">
        <v>-75884</v>
      </c>
      <c r="E129" s="1">
        <v>-56612</v>
      </c>
      <c r="F129" s="1">
        <v>-78695</v>
      </c>
      <c r="G129" s="1">
        <v>-116838</v>
      </c>
      <c r="H129" s="1">
        <v>-62635</v>
      </c>
      <c r="I129" s="1">
        <v>-85119</v>
      </c>
      <c r="J129" s="1">
        <v>-70665</v>
      </c>
      <c r="K129" s="1">
        <v>-59824</v>
      </c>
      <c r="L129" s="1">
        <v>-68657</v>
      </c>
      <c r="M129" s="1">
        <v>-79089</v>
      </c>
      <c r="N129" s="1">
        <v>-843955</v>
      </c>
    </row>
    <row r="130" spans="1:14" x14ac:dyDescent="0.25">
      <c r="A130" s="6" t="s">
        <v>799</v>
      </c>
      <c r="B130" s="1">
        <v>0</v>
      </c>
      <c r="C130" s="1">
        <v>-397</v>
      </c>
      <c r="D130" s="1">
        <v>0</v>
      </c>
      <c r="E130" s="1">
        <v>0</v>
      </c>
      <c r="F130" s="1">
        <v>0</v>
      </c>
      <c r="G130" s="1">
        <v>-1191</v>
      </c>
      <c r="H130" s="1">
        <v>0</v>
      </c>
      <c r="I130" s="1">
        <v>0</v>
      </c>
      <c r="J130" s="1">
        <v>0</v>
      </c>
      <c r="K130" s="1">
        <v>-794</v>
      </c>
      <c r="L130" s="1">
        <v>-794</v>
      </c>
      <c r="M130" s="1">
        <v>-397</v>
      </c>
      <c r="N130" s="1">
        <v>-3573</v>
      </c>
    </row>
    <row r="131" spans="1:14" x14ac:dyDescent="0.25">
      <c r="A131" s="6" t="s">
        <v>800</v>
      </c>
      <c r="B131" s="1">
        <v>-10696</v>
      </c>
      <c r="C131" s="1">
        <v>-12414</v>
      </c>
      <c r="D131" s="1">
        <v>-15051</v>
      </c>
      <c r="E131" s="1">
        <v>-9376</v>
      </c>
      <c r="F131" s="1">
        <v>-7924</v>
      </c>
      <c r="G131" s="1">
        <v>-11621</v>
      </c>
      <c r="H131" s="1">
        <v>-27363</v>
      </c>
      <c r="I131" s="1">
        <v>-17300</v>
      </c>
      <c r="J131" s="1">
        <v>-13338</v>
      </c>
      <c r="K131" s="1">
        <v>-29844</v>
      </c>
      <c r="L131" s="1">
        <v>-15978</v>
      </c>
      <c r="M131" s="1">
        <v>-13074</v>
      </c>
      <c r="N131" s="1">
        <v>-183979</v>
      </c>
    </row>
    <row r="132" spans="1:14" x14ac:dyDescent="0.25">
      <c r="A132" s="6" t="s">
        <v>801</v>
      </c>
      <c r="B132" s="1">
        <v>0</v>
      </c>
      <c r="C132" s="1">
        <v>-256</v>
      </c>
      <c r="D132" s="1">
        <v>0</v>
      </c>
      <c r="E132" s="1">
        <v>-256</v>
      </c>
      <c r="F132" s="1">
        <v>-256</v>
      </c>
      <c r="G132" s="1">
        <v>0</v>
      </c>
      <c r="H132" s="1">
        <v>0</v>
      </c>
      <c r="I132" s="1">
        <v>0</v>
      </c>
      <c r="J132" s="1">
        <v>-128</v>
      </c>
      <c r="K132" s="1">
        <v>-639</v>
      </c>
      <c r="L132" s="1">
        <v>-895</v>
      </c>
      <c r="M132" s="1">
        <v>-256</v>
      </c>
      <c r="N132" s="1">
        <v>-2686</v>
      </c>
    </row>
    <row r="133" spans="1:14" x14ac:dyDescent="0.25">
      <c r="A133" s="6" t="s">
        <v>802</v>
      </c>
      <c r="B133" s="1">
        <v>-14835</v>
      </c>
      <c r="C133" s="1">
        <v>-12468</v>
      </c>
      <c r="D133" s="1">
        <v>-20154</v>
      </c>
      <c r="E133" s="1">
        <v>-11407</v>
      </c>
      <c r="F133" s="1">
        <v>-16441</v>
      </c>
      <c r="G133" s="1">
        <v>-12207</v>
      </c>
      <c r="H133" s="1">
        <v>-20962</v>
      </c>
      <c r="I133" s="1">
        <v>-20684</v>
      </c>
      <c r="J133" s="1">
        <v>-18037</v>
      </c>
      <c r="K133" s="1">
        <v>-18890</v>
      </c>
      <c r="L133" s="1">
        <v>-24410</v>
      </c>
      <c r="M133" s="1">
        <v>-14592</v>
      </c>
      <c r="N133" s="1">
        <v>-205087</v>
      </c>
    </row>
    <row r="134" spans="1:14" x14ac:dyDescent="0.25">
      <c r="A134" s="6" t="s">
        <v>803</v>
      </c>
      <c r="B134" s="1">
        <v>0</v>
      </c>
      <c r="C134" s="1">
        <v>0</v>
      </c>
      <c r="D134" s="1">
        <v>-131</v>
      </c>
      <c r="E134" s="1">
        <v>-262</v>
      </c>
      <c r="F134" s="1">
        <v>-655</v>
      </c>
      <c r="G134" s="1">
        <v>0</v>
      </c>
      <c r="H134" s="1">
        <v>-917</v>
      </c>
      <c r="I134" s="1">
        <v>-524</v>
      </c>
      <c r="J134" s="1">
        <v>-262</v>
      </c>
      <c r="K134" s="1">
        <v>-524</v>
      </c>
      <c r="L134" s="1">
        <v>-262</v>
      </c>
      <c r="M134" s="1">
        <v>-393</v>
      </c>
      <c r="N134" s="1">
        <v>-3930</v>
      </c>
    </row>
    <row r="135" spans="1:14" x14ac:dyDescent="0.25">
      <c r="A135" s="6" t="s">
        <v>804</v>
      </c>
      <c r="B135" s="1">
        <v>-2726</v>
      </c>
      <c r="C135" s="1">
        <v>-4806</v>
      </c>
      <c r="D135" s="1">
        <v>-12954</v>
      </c>
      <c r="E135" s="1">
        <v>-2850</v>
      </c>
      <c r="F135" s="1">
        <v>-2375</v>
      </c>
      <c r="G135" s="1">
        <v>-6165</v>
      </c>
      <c r="H135" s="1">
        <v>-5690</v>
      </c>
      <c r="I135" s="1">
        <v>-2489</v>
      </c>
      <c r="J135" s="1">
        <v>-4151</v>
      </c>
      <c r="K135" s="1">
        <v>-4037</v>
      </c>
      <c r="L135" s="1">
        <v>-8768</v>
      </c>
      <c r="M135" s="1">
        <v>-5580</v>
      </c>
      <c r="N135" s="1">
        <v>-62591</v>
      </c>
    </row>
    <row r="136" spans="1:14" x14ac:dyDescent="0.25">
      <c r="A136" s="6" t="s">
        <v>964</v>
      </c>
      <c r="B136" s="1">
        <v>-1407983</v>
      </c>
      <c r="C136" s="1">
        <v>-2051190</v>
      </c>
      <c r="D136" s="1">
        <v>-1693350</v>
      </c>
      <c r="E136" s="1">
        <v>-1508040</v>
      </c>
      <c r="F136" s="1">
        <v>-1238595</v>
      </c>
      <c r="G136" s="1">
        <v>-1546380</v>
      </c>
      <c r="H136" s="1">
        <v>-1005360</v>
      </c>
      <c r="I136" s="1">
        <v>-639000</v>
      </c>
      <c r="J136" s="1">
        <v>-1617735</v>
      </c>
      <c r="K136" s="1">
        <v>-1981965</v>
      </c>
      <c r="L136" s="1">
        <v>-2267385</v>
      </c>
      <c r="M136" s="1">
        <v>-3020340</v>
      </c>
      <c r="N136" s="1">
        <v>-19977323</v>
      </c>
    </row>
    <row r="137" spans="1:14" x14ac:dyDescent="0.25">
      <c r="A137" s="6" t="s">
        <v>965</v>
      </c>
      <c r="B137" s="1">
        <v>-505458</v>
      </c>
      <c r="C137" s="1">
        <v>-732203</v>
      </c>
      <c r="D137" s="1">
        <v>-730505</v>
      </c>
      <c r="E137" s="1">
        <v>-510459</v>
      </c>
      <c r="F137" s="1">
        <v>-776736</v>
      </c>
      <c r="G137" s="1">
        <v>-745518</v>
      </c>
      <c r="H137" s="1">
        <v>-581331</v>
      </c>
      <c r="I137" s="1">
        <v>-361910</v>
      </c>
      <c r="J137" s="1">
        <v>-735648</v>
      </c>
      <c r="K137" s="1">
        <v>-532727</v>
      </c>
      <c r="L137" s="1">
        <v>-629442</v>
      </c>
      <c r="M137" s="1">
        <v>-629350</v>
      </c>
      <c r="N137" s="1">
        <v>-7471287</v>
      </c>
    </row>
    <row r="138" spans="1:14" x14ac:dyDescent="0.25">
      <c r="A138" s="6" t="s">
        <v>966</v>
      </c>
      <c r="B138" s="1">
        <v>-21939</v>
      </c>
      <c r="C138" s="1">
        <v>-37488</v>
      </c>
      <c r="D138" s="1">
        <v>-37701</v>
      </c>
      <c r="E138" s="1">
        <v>-38340</v>
      </c>
      <c r="F138" s="1">
        <v>-27264</v>
      </c>
      <c r="G138" s="1">
        <v>-32802</v>
      </c>
      <c r="H138" s="1">
        <v>-33867</v>
      </c>
      <c r="I138" s="1">
        <v>-38766</v>
      </c>
      <c r="J138" s="1">
        <v>-62196</v>
      </c>
      <c r="K138" s="1">
        <v>-43452</v>
      </c>
      <c r="L138" s="1">
        <v>-29819</v>
      </c>
      <c r="M138" s="1">
        <v>-45597</v>
      </c>
      <c r="N138" s="1">
        <v>-449231</v>
      </c>
    </row>
    <row r="139" spans="1:14" x14ac:dyDescent="0.25">
      <c r="A139" s="6" t="s">
        <v>806</v>
      </c>
      <c r="B139" s="1">
        <v>-14026</v>
      </c>
      <c r="C139" s="1">
        <v>-16838</v>
      </c>
      <c r="D139" s="1">
        <v>-21375</v>
      </c>
      <c r="E139" s="1">
        <v>-24090</v>
      </c>
      <c r="F139" s="1">
        <v>-19010</v>
      </c>
      <c r="G139" s="1">
        <v>-22663</v>
      </c>
      <c r="H139" s="1">
        <v>-11097</v>
      </c>
      <c r="I139" s="1">
        <v>-3120</v>
      </c>
      <c r="J139" s="1">
        <v>-6262</v>
      </c>
      <c r="K139" s="1">
        <v>-4132</v>
      </c>
      <c r="L139" s="1">
        <v>-13100</v>
      </c>
      <c r="M139" s="1">
        <v>-19298</v>
      </c>
      <c r="N139" s="1">
        <v>-175011</v>
      </c>
    </row>
    <row r="140" spans="1:14" x14ac:dyDescent="0.25">
      <c r="A140" s="6" t="s">
        <v>807</v>
      </c>
      <c r="B140" s="1">
        <v>-511331</v>
      </c>
      <c r="C140" s="1">
        <v>-557138</v>
      </c>
      <c r="D140" s="1">
        <v>-936526</v>
      </c>
      <c r="E140" s="1">
        <v>-616477</v>
      </c>
      <c r="F140" s="1">
        <v>-704914</v>
      </c>
      <c r="G140" s="1">
        <v>-659975</v>
      </c>
      <c r="H140" s="1">
        <v>-669194</v>
      </c>
      <c r="I140" s="1">
        <v>-549933</v>
      </c>
      <c r="J140" s="1">
        <v>-664584</v>
      </c>
      <c r="K140" s="1">
        <v>-726806</v>
      </c>
      <c r="L140" s="1">
        <v>-598613</v>
      </c>
      <c r="M140" s="1">
        <v>-551374</v>
      </c>
      <c r="N140" s="1">
        <v>-7746865</v>
      </c>
    </row>
    <row r="141" spans="1:14" x14ac:dyDescent="0.25">
      <c r="A141" s="6" t="s">
        <v>808</v>
      </c>
      <c r="B141" s="1">
        <v>-43388</v>
      </c>
      <c r="C141" s="1">
        <v>-1681230</v>
      </c>
      <c r="D141" s="1">
        <v>-723114</v>
      </c>
      <c r="E141" s="1">
        <v>-14505</v>
      </c>
      <c r="F141" s="1">
        <v>0</v>
      </c>
      <c r="G141" s="1">
        <v>0</v>
      </c>
      <c r="H141" s="1">
        <v>-128</v>
      </c>
      <c r="I141" s="1">
        <v>-128</v>
      </c>
      <c r="J141" s="1">
        <v>0</v>
      </c>
      <c r="K141" s="1">
        <v>0</v>
      </c>
      <c r="L141" s="1">
        <v>-17040</v>
      </c>
      <c r="M141" s="1">
        <v>-383</v>
      </c>
      <c r="N141" s="1">
        <v>-2479916</v>
      </c>
    </row>
    <row r="142" spans="1:14" x14ac:dyDescent="0.25">
      <c r="A142" s="6" t="s">
        <v>967</v>
      </c>
      <c r="B142" s="1">
        <v>-27128</v>
      </c>
      <c r="C142" s="1">
        <v>-40692</v>
      </c>
      <c r="D142" s="1">
        <v>-44930</v>
      </c>
      <c r="E142" s="1">
        <v>-45568</v>
      </c>
      <c r="F142" s="1">
        <v>-34333</v>
      </c>
      <c r="G142" s="1">
        <v>-32214</v>
      </c>
      <c r="H142" s="1">
        <v>-45354</v>
      </c>
      <c r="I142" s="1">
        <v>-62309</v>
      </c>
      <c r="J142" s="1">
        <v>-49170</v>
      </c>
      <c r="K142" s="1">
        <v>-106391</v>
      </c>
      <c r="L142" s="1">
        <v>-36243</v>
      </c>
      <c r="M142" s="1">
        <v>-66971</v>
      </c>
      <c r="N142" s="1">
        <v>-591303</v>
      </c>
    </row>
    <row r="143" spans="1:14" x14ac:dyDescent="0.25">
      <c r="A143" s="6" t="s">
        <v>809</v>
      </c>
      <c r="B143" s="1">
        <v>-48053</v>
      </c>
      <c r="C143" s="1">
        <v>-48053</v>
      </c>
      <c r="D143" s="1">
        <v>-41646</v>
      </c>
      <c r="E143" s="1">
        <v>-44849</v>
      </c>
      <c r="F143" s="1">
        <v>-51256</v>
      </c>
      <c r="G143" s="1">
        <v>-59265</v>
      </c>
      <c r="H143" s="1">
        <v>-35239</v>
      </c>
      <c r="I143" s="1">
        <v>-40044</v>
      </c>
      <c r="J143" s="1">
        <v>-52858</v>
      </c>
      <c r="K143" s="1">
        <v>-53071</v>
      </c>
      <c r="L143" s="1">
        <v>-55115</v>
      </c>
      <c r="M143" s="1">
        <v>-57345</v>
      </c>
      <c r="N143" s="1">
        <v>-586794</v>
      </c>
    </row>
    <row r="144" spans="1:14" x14ac:dyDescent="0.25">
      <c r="A144" s="6" t="s">
        <v>810</v>
      </c>
      <c r="B144" s="1">
        <v>-36549</v>
      </c>
      <c r="C144" s="1">
        <v>-58934</v>
      </c>
      <c r="D144" s="1">
        <v>-72426</v>
      </c>
      <c r="E144" s="1">
        <v>-52443</v>
      </c>
      <c r="F144" s="1">
        <v>-45549</v>
      </c>
      <c r="G144" s="1">
        <v>-70139</v>
      </c>
      <c r="H144" s="1">
        <v>-53955</v>
      </c>
      <c r="I144" s="1">
        <v>-42681</v>
      </c>
      <c r="J144" s="1">
        <v>-46766</v>
      </c>
      <c r="K144" s="1">
        <v>-35145</v>
      </c>
      <c r="L144" s="1">
        <v>-54531</v>
      </c>
      <c r="M144" s="1">
        <v>-63041</v>
      </c>
      <c r="N144" s="1">
        <v>-632159</v>
      </c>
    </row>
    <row r="145" spans="1:14" x14ac:dyDescent="0.25">
      <c r="A145" s="6" t="s">
        <v>968</v>
      </c>
      <c r="B145" s="1">
        <v>0</v>
      </c>
      <c r="C145" s="1">
        <v>0</v>
      </c>
      <c r="D145" s="1">
        <v>0</v>
      </c>
      <c r="E145" s="1">
        <v>0</v>
      </c>
      <c r="F145" s="1">
        <v>0</v>
      </c>
      <c r="G145" s="1">
        <v>0</v>
      </c>
      <c r="H145" s="1">
        <v>0</v>
      </c>
      <c r="I145" s="1">
        <v>0</v>
      </c>
      <c r="J145" s="1">
        <v>0</v>
      </c>
      <c r="K145" s="1">
        <v>0</v>
      </c>
      <c r="L145" s="1">
        <v>0</v>
      </c>
      <c r="M145" s="1">
        <v>0</v>
      </c>
      <c r="N145" s="1">
        <v>0</v>
      </c>
    </row>
    <row r="146" spans="1:14" x14ac:dyDescent="0.25">
      <c r="A146" s="6" t="s">
        <v>811</v>
      </c>
      <c r="B146" s="1">
        <v>-2429894</v>
      </c>
      <c r="C146" s="1">
        <v>-3944646</v>
      </c>
      <c r="D146" s="1">
        <v>-3887447</v>
      </c>
      <c r="E146" s="1">
        <v>-3109913</v>
      </c>
      <c r="F146" s="1">
        <v>-2519003</v>
      </c>
      <c r="G146" s="1">
        <v>-3069835</v>
      </c>
      <c r="H146" s="1">
        <v>-2608232</v>
      </c>
      <c r="I146" s="1">
        <v>-2232168</v>
      </c>
      <c r="J146" s="1">
        <v>-2696710</v>
      </c>
      <c r="K146" s="1">
        <v>-2572820</v>
      </c>
      <c r="L146" s="1">
        <v>-2896224</v>
      </c>
      <c r="M146" s="1">
        <v>-3430277</v>
      </c>
      <c r="N146" s="1">
        <v>-35397169</v>
      </c>
    </row>
    <row r="147" spans="1:14" x14ac:dyDescent="0.25">
      <c r="A147" s="6" t="s">
        <v>812</v>
      </c>
      <c r="B147" s="1">
        <v>0</v>
      </c>
      <c r="C147" s="1">
        <v>0</v>
      </c>
      <c r="D147" s="1">
        <v>-10842</v>
      </c>
      <c r="E147" s="1">
        <v>0</v>
      </c>
      <c r="F147" s="1">
        <v>-149166</v>
      </c>
      <c r="G147" s="1">
        <v>-16756</v>
      </c>
      <c r="H147" s="1">
        <v>0</v>
      </c>
      <c r="I147" s="1">
        <v>-22726</v>
      </c>
      <c r="J147" s="1">
        <v>0</v>
      </c>
      <c r="K147" s="1">
        <v>-7990</v>
      </c>
      <c r="L147" s="1">
        <v>0</v>
      </c>
      <c r="M147" s="1">
        <v>-29003</v>
      </c>
      <c r="N147" s="1">
        <v>-236483</v>
      </c>
    </row>
    <row r="148" spans="1:14" x14ac:dyDescent="0.25">
      <c r="A148" s="6" t="s">
        <v>813</v>
      </c>
      <c r="B148" s="1">
        <v>-438301</v>
      </c>
      <c r="C148" s="1">
        <v>-418525</v>
      </c>
      <c r="D148" s="1">
        <v>-418525</v>
      </c>
      <c r="E148" s="1">
        <v>-418525</v>
      </c>
      <c r="F148" s="1">
        <v>-418525</v>
      </c>
      <c r="G148" s="1">
        <v>-418525</v>
      </c>
      <c r="H148" s="1">
        <v>-418525</v>
      </c>
      <c r="I148" s="1">
        <v>-418525</v>
      </c>
      <c r="J148" s="1">
        <v>-418525</v>
      </c>
      <c r="K148" s="1">
        <v>-418525</v>
      </c>
      <c r="L148" s="1">
        <v>-418525</v>
      </c>
      <c r="M148" s="1">
        <v>-418525</v>
      </c>
      <c r="N148" s="1">
        <v>-5042076</v>
      </c>
    </row>
    <row r="149" spans="1:14" x14ac:dyDescent="0.25">
      <c r="A149" s="6" t="s">
        <v>814</v>
      </c>
      <c r="B149" s="1">
        <v>0</v>
      </c>
      <c r="C149" s="1">
        <v>0</v>
      </c>
      <c r="D149" s="1">
        <v>0</v>
      </c>
      <c r="E149" s="1">
        <v>0</v>
      </c>
      <c r="F149" s="1">
        <v>0</v>
      </c>
      <c r="G149" s="1">
        <v>0</v>
      </c>
      <c r="H149" s="1">
        <v>0</v>
      </c>
      <c r="I149" s="1">
        <v>0</v>
      </c>
      <c r="J149" s="1">
        <v>0</v>
      </c>
      <c r="K149" s="1">
        <v>0</v>
      </c>
      <c r="L149" s="1">
        <v>0</v>
      </c>
      <c r="M149" s="1">
        <v>0</v>
      </c>
      <c r="N149" s="1">
        <v>0</v>
      </c>
    </row>
    <row r="150" spans="1:14" x14ac:dyDescent="0.25">
      <c r="A150" s="6" t="s">
        <v>815</v>
      </c>
      <c r="B150" s="1">
        <v>0</v>
      </c>
      <c r="C150" s="1">
        <v>0</v>
      </c>
      <c r="D150" s="1">
        <v>0</v>
      </c>
      <c r="E150" s="1">
        <v>0</v>
      </c>
      <c r="F150" s="1">
        <v>0</v>
      </c>
      <c r="G150" s="1">
        <v>0</v>
      </c>
      <c r="H150" s="1">
        <v>0</v>
      </c>
      <c r="I150" s="1">
        <v>0</v>
      </c>
      <c r="J150" s="1">
        <v>0</v>
      </c>
      <c r="K150" s="1">
        <v>0</v>
      </c>
      <c r="L150" s="1">
        <v>0</v>
      </c>
      <c r="M150" s="1">
        <v>0</v>
      </c>
      <c r="N150" s="1">
        <v>0</v>
      </c>
    </row>
    <row r="151" spans="1:14" x14ac:dyDescent="0.25">
      <c r="A151" s="6" t="s">
        <v>817</v>
      </c>
      <c r="B151" s="1">
        <v>0</v>
      </c>
      <c r="C151" s="1">
        <v>0</v>
      </c>
      <c r="D151" s="1">
        <v>0</v>
      </c>
      <c r="E151" s="1">
        <v>0</v>
      </c>
      <c r="F151" s="1">
        <v>0</v>
      </c>
      <c r="G151" s="1">
        <v>0</v>
      </c>
      <c r="H151" s="1">
        <v>0</v>
      </c>
      <c r="I151" s="1">
        <v>0</v>
      </c>
      <c r="J151" s="1">
        <v>0</v>
      </c>
      <c r="K151" s="1">
        <v>0</v>
      </c>
      <c r="L151" s="1">
        <v>0</v>
      </c>
      <c r="M151" s="1">
        <v>0</v>
      </c>
      <c r="N151" s="1">
        <v>0</v>
      </c>
    </row>
    <row r="152" spans="1:14" x14ac:dyDescent="0.25">
      <c r="A152" s="6" t="s">
        <v>818</v>
      </c>
      <c r="B152" s="1">
        <v>0</v>
      </c>
      <c r="C152" s="1">
        <v>0</v>
      </c>
      <c r="D152" s="1">
        <v>0</v>
      </c>
      <c r="E152" s="1">
        <v>0</v>
      </c>
      <c r="F152" s="1">
        <v>0</v>
      </c>
      <c r="G152" s="1">
        <v>0</v>
      </c>
      <c r="H152" s="1">
        <v>0</v>
      </c>
      <c r="I152" s="1">
        <v>0</v>
      </c>
      <c r="J152" s="1">
        <v>0</v>
      </c>
      <c r="K152" s="1">
        <v>0</v>
      </c>
      <c r="L152" s="1">
        <v>0</v>
      </c>
      <c r="M152" s="1">
        <v>0</v>
      </c>
      <c r="N152" s="1">
        <v>0</v>
      </c>
    </row>
    <row r="153" spans="1:14" x14ac:dyDescent="0.25">
      <c r="A153" s="6" t="s">
        <v>819</v>
      </c>
      <c r="B153" s="1">
        <v>-149</v>
      </c>
      <c r="C153" s="1">
        <v>-143</v>
      </c>
      <c r="D153" s="1">
        <v>-174</v>
      </c>
      <c r="E153" s="1">
        <v>-173</v>
      </c>
      <c r="F153" s="1">
        <v>-181</v>
      </c>
      <c r="G153" s="1">
        <v>-178</v>
      </c>
      <c r="H153" s="1">
        <v>-186</v>
      </c>
      <c r="I153" s="1">
        <v>-189</v>
      </c>
      <c r="J153" s="1">
        <v>-186</v>
      </c>
      <c r="K153" s="1">
        <v>-196</v>
      </c>
      <c r="L153" s="1">
        <v>-150</v>
      </c>
      <c r="M153" s="1">
        <v>-160</v>
      </c>
      <c r="N153" s="1">
        <v>-2065</v>
      </c>
    </row>
    <row r="154" spans="1:14" x14ac:dyDescent="0.25">
      <c r="A154" s="6" t="s">
        <v>820</v>
      </c>
      <c r="B154" s="1">
        <v>-347</v>
      </c>
      <c r="C154" s="1">
        <v>-12</v>
      </c>
      <c r="D154" s="1">
        <v>-16</v>
      </c>
      <c r="E154" s="1">
        <v>-38</v>
      </c>
      <c r="F154" s="1">
        <v>-793</v>
      </c>
      <c r="G154" s="1">
        <v>-13</v>
      </c>
      <c r="H154" s="1">
        <v>-164</v>
      </c>
      <c r="I154" s="1">
        <v>-42</v>
      </c>
      <c r="J154" s="1">
        <v>-59</v>
      </c>
      <c r="K154" s="1">
        <v>-1734</v>
      </c>
      <c r="L154" s="1">
        <v>-137</v>
      </c>
      <c r="M154" s="1">
        <v>-195</v>
      </c>
      <c r="N154" s="1">
        <v>-3550</v>
      </c>
    </row>
    <row r="155" spans="1:14" x14ac:dyDescent="0.25">
      <c r="A155" s="6" t="s">
        <v>1253</v>
      </c>
      <c r="B155" s="1">
        <v>0</v>
      </c>
      <c r="C155" s="1">
        <v>0</v>
      </c>
      <c r="D155" s="1">
        <v>0</v>
      </c>
      <c r="E155" s="1">
        <v>0</v>
      </c>
      <c r="F155" s="1">
        <v>0</v>
      </c>
      <c r="G155" s="1">
        <v>0</v>
      </c>
      <c r="H155" s="1">
        <v>-134374</v>
      </c>
      <c r="I155" s="1">
        <v>140248</v>
      </c>
      <c r="J155" s="1">
        <v>-5421</v>
      </c>
      <c r="K155" s="1">
        <v>0</v>
      </c>
      <c r="L155" s="1">
        <v>0</v>
      </c>
      <c r="M155" s="1">
        <v>0</v>
      </c>
      <c r="N155" s="1">
        <v>453</v>
      </c>
    </row>
    <row r="156" spans="1:14" x14ac:dyDescent="0.25">
      <c r="A156" s="6" t="s">
        <v>1251</v>
      </c>
      <c r="B156" s="1"/>
      <c r="C156" s="1"/>
      <c r="D156" s="1">
        <v>0</v>
      </c>
      <c r="E156" s="1">
        <v>0</v>
      </c>
      <c r="F156" s="1">
        <v>0</v>
      </c>
      <c r="G156" s="1">
        <v>0</v>
      </c>
      <c r="H156" s="1">
        <v>0</v>
      </c>
      <c r="I156" s="1">
        <v>0</v>
      </c>
      <c r="J156" s="1">
        <v>0</v>
      </c>
      <c r="K156" s="1">
        <v>0</v>
      </c>
      <c r="L156" s="1">
        <v>0</v>
      </c>
      <c r="M156" s="1">
        <v>0</v>
      </c>
      <c r="N156" s="1">
        <v>0</v>
      </c>
    </row>
    <row r="157" spans="1:14" x14ac:dyDescent="0.25">
      <c r="A157" s="6" t="s">
        <v>816</v>
      </c>
      <c r="B157" s="1">
        <v>0</v>
      </c>
      <c r="C157" s="1">
        <v>0</v>
      </c>
      <c r="D157" s="1">
        <v>-32853</v>
      </c>
      <c r="E157" s="1">
        <v>-3195</v>
      </c>
      <c r="F157" s="1">
        <v>-21807</v>
      </c>
      <c r="G157" s="1">
        <v>-98619</v>
      </c>
      <c r="H157" s="1">
        <v>27741</v>
      </c>
      <c r="I157" s="1">
        <v>-127534</v>
      </c>
      <c r="J157" s="1">
        <v>-59875</v>
      </c>
      <c r="K157" s="1">
        <v>-21300</v>
      </c>
      <c r="L157" s="1">
        <v>0</v>
      </c>
      <c r="M157" s="1">
        <v>-793</v>
      </c>
      <c r="N157" s="1">
        <v>-338235</v>
      </c>
    </row>
    <row r="158" spans="1:14" x14ac:dyDescent="0.25">
      <c r="A158" s="6" t="s">
        <v>1301</v>
      </c>
      <c r="B158" s="1">
        <v>0</v>
      </c>
      <c r="C158" s="1">
        <v>0</v>
      </c>
      <c r="D158" s="1">
        <v>0</v>
      </c>
      <c r="E158" s="1">
        <v>0</v>
      </c>
      <c r="F158" s="1">
        <v>0</v>
      </c>
      <c r="G158" s="1">
        <v>0</v>
      </c>
      <c r="H158" s="1">
        <v>0</v>
      </c>
      <c r="I158" s="1">
        <v>0</v>
      </c>
      <c r="J158" s="1">
        <v>0</v>
      </c>
      <c r="K158" s="1">
        <v>0</v>
      </c>
      <c r="L158" s="1">
        <v>0</v>
      </c>
      <c r="M158" s="1">
        <v>0</v>
      </c>
      <c r="N158" s="1">
        <v>0</v>
      </c>
    </row>
    <row r="159" spans="1:14" x14ac:dyDescent="0.25">
      <c r="A159" s="173" t="s">
        <v>138</v>
      </c>
      <c r="B159" s="1">
        <v>14669195</v>
      </c>
      <c r="C159" s="1">
        <v>-62340379</v>
      </c>
      <c r="D159" s="1">
        <v>-73796897</v>
      </c>
      <c r="E159" s="1">
        <v>12992229</v>
      </c>
      <c r="F159" s="1">
        <v>10359175</v>
      </c>
      <c r="G159" s="1">
        <v>10603139</v>
      </c>
      <c r="H159" s="1">
        <v>22692215</v>
      </c>
      <c r="I159" s="1">
        <v>17408246</v>
      </c>
      <c r="J159" s="1">
        <v>11464334</v>
      </c>
      <c r="K159" s="1">
        <v>12594088</v>
      </c>
      <c r="L159" s="1">
        <v>14053901</v>
      </c>
      <c r="M159" s="1">
        <v>7921932</v>
      </c>
      <c r="N159" s="1">
        <v>-1378822</v>
      </c>
    </row>
    <row r="160" spans="1:14" x14ac:dyDescent="0.25">
      <c r="A160"/>
    </row>
    <row r="161" spans="1:1" x14ac:dyDescent="0.25">
      <c r="A161"/>
    </row>
    <row r="162" spans="1:1" x14ac:dyDescent="0.25">
      <c r="A162"/>
    </row>
    <row r="163" spans="1:1" x14ac:dyDescent="0.25">
      <c r="A163"/>
    </row>
    <row r="164" spans="1:1" x14ac:dyDescent="0.25">
      <c r="A164"/>
    </row>
    <row r="165" spans="1:1" x14ac:dyDescent="0.25">
      <c r="A165"/>
    </row>
    <row r="166" spans="1:1" x14ac:dyDescent="0.25">
      <c r="A166"/>
    </row>
    <row r="167" spans="1:1" x14ac:dyDescent="0.25">
      <c r="A167"/>
    </row>
    <row r="168" spans="1:1" x14ac:dyDescent="0.25">
      <c r="A168"/>
    </row>
    <row r="169" spans="1:1" x14ac:dyDescent="0.25">
      <c r="A169"/>
    </row>
    <row r="170" spans="1:1" x14ac:dyDescent="0.25">
      <c r="A170"/>
    </row>
    <row r="171" spans="1:1" x14ac:dyDescent="0.25">
      <c r="A171"/>
    </row>
    <row r="172" spans="1:1" x14ac:dyDescent="0.25">
      <c r="A172"/>
    </row>
    <row r="173" spans="1:1" x14ac:dyDescent="0.25">
      <c r="A173"/>
    </row>
    <row r="174" spans="1:1" x14ac:dyDescent="0.25">
      <c r="A174"/>
    </row>
    <row r="175" spans="1:1" x14ac:dyDescent="0.25">
      <c r="A175"/>
    </row>
    <row r="176" spans="1:1" x14ac:dyDescent="0.25">
      <c r="A176"/>
    </row>
    <row r="177" spans="1:1" x14ac:dyDescent="0.25">
      <c r="A177"/>
    </row>
    <row r="178" spans="1:1" x14ac:dyDescent="0.25">
      <c r="A178"/>
    </row>
    <row r="179" spans="1:1" x14ac:dyDescent="0.25">
      <c r="A179"/>
    </row>
    <row r="180" spans="1:1" x14ac:dyDescent="0.25">
      <c r="A180"/>
    </row>
    <row r="181" spans="1:1" x14ac:dyDescent="0.25">
      <c r="A181"/>
    </row>
    <row r="182" spans="1:1" x14ac:dyDescent="0.25">
      <c r="A182"/>
    </row>
    <row r="183" spans="1:1" x14ac:dyDescent="0.25">
      <c r="A183"/>
    </row>
    <row r="184" spans="1:1" x14ac:dyDescent="0.25">
      <c r="A184"/>
    </row>
    <row r="185" spans="1:1" x14ac:dyDescent="0.25">
      <c r="A185"/>
    </row>
    <row r="186" spans="1:1" x14ac:dyDescent="0.25">
      <c r="A186"/>
    </row>
    <row r="187" spans="1:1" x14ac:dyDescent="0.25">
      <c r="A187"/>
    </row>
    <row r="188" spans="1:1" x14ac:dyDescent="0.25">
      <c r="A188"/>
    </row>
    <row r="189" spans="1:1" x14ac:dyDescent="0.25">
      <c r="A189"/>
    </row>
    <row r="190" spans="1:1" x14ac:dyDescent="0.25">
      <c r="A190"/>
    </row>
    <row r="191" spans="1:1" x14ac:dyDescent="0.25">
      <c r="A191"/>
    </row>
    <row r="192" spans="1:1" x14ac:dyDescent="0.25">
      <c r="A192"/>
    </row>
    <row r="193" spans="1:1" x14ac:dyDescent="0.25">
      <c r="A193"/>
    </row>
    <row r="194" spans="1:1" x14ac:dyDescent="0.25">
      <c r="A194"/>
    </row>
    <row r="195" spans="1:1" x14ac:dyDescent="0.25">
      <c r="A195"/>
    </row>
    <row r="196" spans="1:1" x14ac:dyDescent="0.25">
      <c r="A196"/>
    </row>
    <row r="197" spans="1:1" x14ac:dyDescent="0.25">
      <c r="A197"/>
    </row>
    <row r="198" spans="1:1" x14ac:dyDescent="0.25">
      <c r="A198"/>
    </row>
    <row r="199" spans="1:1" x14ac:dyDescent="0.25">
      <c r="A199"/>
    </row>
    <row r="200" spans="1:1" x14ac:dyDescent="0.25">
      <c r="A200"/>
    </row>
    <row r="201" spans="1:1" x14ac:dyDescent="0.25">
      <c r="A201"/>
    </row>
    <row r="202" spans="1:1" x14ac:dyDescent="0.25">
      <c r="A202"/>
    </row>
    <row r="203" spans="1:1" x14ac:dyDescent="0.25">
      <c r="A203"/>
    </row>
    <row r="204" spans="1:1" x14ac:dyDescent="0.25">
      <c r="A204"/>
    </row>
    <row r="205" spans="1:1" x14ac:dyDescent="0.25">
      <c r="A205"/>
    </row>
    <row r="206" spans="1:1" x14ac:dyDescent="0.25">
      <c r="A206"/>
    </row>
    <row r="207" spans="1:1" x14ac:dyDescent="0.25">
      <c r="A207"/>
    </row>
    <row r="208" spans="1:1" x14ac:dyDescent="0.25">
      <c r="A208"/>
    </row>
    <row r="209" spans="1:1" x14ac:dyDescent="0.25">
      <c r="A209"/>
    </row>
    <row r="210" spans="1:1" x14ac:dyDescent="0.25">
      <c r="A210"/>
    </row>
    <row r="211" spans="1:1" x14ac:dyDescent="0.25">
      <c r="A211"/>
    </row>
    <row r="212" spans="1:1" x14ac:dyDescent="0.25">
      <c r="A212"/>
    </row>
    <row r="213" spans="1:1" x14ac:dyDescent="0.25">
      <c r="A213"/>
    </row>
    <row r="214" spans="1:1" x14ac:dyDescent="0.25">
      <c r="A214"/>
    </row>
    <row r="215" spans="1:1" x14ac:dyDescent="0.25">
      <c r="A215"/>
    </row>
    <row r="216" spans="1:1" x14ac:dyDescent="0.25">
      <c r="A216"/>
    </row>
    <row r="217" spans="1:1" x14ac:dyDescent="0.25">
      <c r="A217"/>
    </row>
    <row r="218" spans="1:1" x14ac:dyDescent="0.25">
      <c r="A218"/>
    </row>
    <row r="219" spans="1:1" x14ac:dyDescent="0.25">
      <c r="A219"/>
    </row>
    <row r="220" spans="1:1" x14ac:dyDescent="0.25">
      <c r="A220"/>
    </row>
    <row r="221" spans="1:1" x14ac:dyDescent="0.25">
      <c r="A221"/>
    </row>
    <row r="222" spans="1:1" x14ac:dyDescent="0.25">
      <c r="A222"/>
    </row>
    <row r="223" spans="1:1" x14ac:dyDescent="0.25">
      <c r="A223"/>
    </row>
    <row r="224" spans="1:1" x14ac:dyDescent="0.25">
      <c r="A224"/>
    </row>
    <row r="225" spans="1:1" x14ac:dyDescent="0.25">
      <c r="A225"/>
    </row>
    <row r="226" spans="1:1" x14ac:dyDescent="0.25">
      <c r="A226"/>
    </row>
    <row r="227" spans="1:1" x14ac:dyDescent="0.25">
      <c r="A227"/>
    </row>
    <row r="228" spans="1:1" x14ac:dyDescent="0.25">
      <c r="A228"/>
    </row>
    <row r="229" spans="1:1" x14ac:dyDescent="0.25">
      <c r="A229"/>
    </row>
    <row r="230" spans="1:1" x14ac:dyDescent="0.25">
      <c r="A230"/>
    </row>
    <row r="231" spans="1:1" x14ac:dyDescent="0.25">
      <c r="A231"/>
    </row>
    <row r="232" spans="1:1" x14ac:dyDescent="0.25">
      <c r="A232"/>
    </row>
    <row r="233" spans="1:1" x14ac:dyDescent="0.25">
      <c r="A233"/>
    </row>
    <row r="234" spans="1:1" x14ac:dyDescent="0.25">
      <c r="A234"/>
    </row>
    <row r="235" spans="1:1" x14ac:dyDescent="0.25">
      <c r="A235"/>
    </row>
    <row r="236" spans="1:1" x14ac:dyDescent="0.25">
      <c r="A236"/>
    </row>
    <row r="237" spans="1:1" x14ac:dyDescent="0.25">
      <c r="A237"/>
    </row>
    <row r="238" spans="1:1" x14ac:dyDescent="0.25">
      <c r="A238"/>
    </row>
    <row r="239" spans="1:1" x14ac:dyDescent="0.25">
      <c r="A239"/>
    </row>
    <row r="240" spans="1:1" x14ac:dyDescent="0.25">
      <c r="A240"/>
    </row>
    <row r="241" spans="1:1" x14ac:dyDescent="0.25">
      <c r="A241"/>
    </row>
    <row r="242" spans="1:1" x14ac:dyDescent="0.25">
      <c r="A242"/>
    </row>
    <row r="243" spans="1:1" x14ac:dyDescent="0.25">
      <c r="A243"/>
    </row>
    <row r="244" spans="1:1" x14ac:dyDescent="0.25">
      <c r="A244"/>
    </row>
    <row r="245" spans="1:1" x14ac:dyDescent="0.25">
      <c r="A245"/>
    </row>
    <row r="246" spans="1:1" x14ac:dyDescent="0.25">
      <c r="A246"/>
    </row>
    <row r="247" spans="1:1" x14ac:dyDescent="0.25">
      <c r="A247"/>
    </row>
    <row r="248" spans="1:1" x14ac:dyDescent="0.25">
      <c r="A248"/>
    </row>
    <row r="249" spans="1:1" x14ac:dyDescent="0.25">
      <c r="A249"/>
    </row>
    <row r="250" spans="1:1" x14ac:dyDescent="0.25">
      <c r="A250"/>
    </row>
    <row r="251" spans="1:1" x14ac:dyDescent="0.25">
      <c r="A251"/>
    </row>
    <row r="252" spans="1:1" x14ac:dyDescent="0.25">
      <c r="A252"/>
    </row>
    <row r="253" spans="1:1" x14ac:dyDescent="0.25">
      <c r="A253"/>
    </row>
    <row r="254" spans="1:1" x14ac:dyDescent="0.25">
      <c r="A254"/>
    </row>
    <row r="255" spans="1:1" x14ac:dyDescent="0.25">
      <c r="A255"/>
    </row>
    <row r="256" spans="1:1" x14ac:dyDescent="0.25">
      <c r="A256"/>
    </row>
    <row r="257" spans="1:1" x14ac:dyDescent="0.25">
      <c r="A257"/>
    </row>
    <row r="258" spans="1:1" x14ac:dyDescent="0.25">
      <c r="A258"/>
    </row>
    <row r="259" spans="1:1" x14ac:dyDescent="0.25">
      <c r="A259"/>
    </row>
    <row r="260" spans="1:1" x14ac:dyDescent="0.25">
      <c r="A260"/>
    </row>
    <row r="261" spans="1:1" x14ac:dyDescent="0.25">
      <c r="A261"/>
    </row>
    <row r="262" spans="1:1" x14ac:dyDescent="0.25">
      <c r="A262"/>
    </row>
    <row r="263" spans="1:1" x14ac:dyDescent="0.25">
      <c r="A263"/>
    </row>
    <row r="264" spans="1:1" x14ac:dyDescent="0.25">
      <c r="A264"/>
    </row>
    <row r="265" spans="1:1" x14ac:dyDescent="0.25">
      <c r="A265"/>
    </row>
    <row r="266" spans="1:1" x14ac:dyDescent="0.25">
      <c r="A266"/>
    </row>
    <row r="267" spans="1:1" x14ac:dyDescent="0.25">
      <c r="A267"/>
    </row>
    <row r="268" spans="1:1" x14ac:dyDescent="0.25">
      <c r="A268"/>
    </row>
    <row r="269" spans="1:1" x14ac:dyDescent="0.25">
      <c r="A269"/>
    </row>
    <row r="270" spans="1:1" x14ac:dyDescent="0.25">
      <c r="A270"/>
    </row>
    <row r="271" spans="1:1" x14ac:dyDescent="0.25">
      <c r="A271"/>
    </row>
    <row r="272" spans="1:1" x14ac:dyDescent="0.25">
      <c r="A272"/>
    </row>
    <row r="273" spans="1:1" x14ac:dyDescent="0.25">
      <c r="A273"/>
    </row>
    <row r="274" spans="1:1" x14ac:dyDescent="0.25">
      <c r="A274"/>
    </row>
    <row r="275" spans="1:1" x14ac:dyDescent="0.25">
      <c r="A275"/>
    </row>
    <row r="276" spans="1:1" x14ac:dyDescent="0.25">
      <c r="A276"/>
    </row>
    <row r="277" spans="1:1" x14ac:dyDescent="0.25">
      <c r="A277"/>
    </row>
    <row r="278" spans="1:1" x14ac:dyDescent="0.25">
      <c r="A278"/>
    </row>
    <row r="279" spans="1:1" x14ac:dyDescent="0.25">
      <c r="A279"/>
    </row>
    <row r="280" spans="1:1" x14ac:dyDescent="0.25">
      <c r="A280"/>
    </row>
    <row r="281" spans="1:1" x14ac:dyDescent="0.25">
      <c r="A281"/>
    </row>
    <row r="282" spans="1:1" x14ac:dyDescent="0.25">
      <c r="A282"/>
    </row>
    <row r="283" spans="1:1" x14ac:dyDescent="0.25">
      <c r="A283"/>
    </row>
    <row r="284" spans="1:1" x14ac:dyDescent="0.25">
      <c r="A284"/>
    </row>
    <row r="285" spans="1:1" x14ac:dyDescent="0.25">
      <c r="A285"/>
    </row>
    <row r="286" spans="1:1" x14ac:dyDescent="0.25">
      <c r="A286"/>
    </row>
    <row r="287" spans="1:1" x14ac:dyDescent="0.25">
      <c r="A287"/>
    </row>
    <row r="288" spans="1:1" x14ac:dyDescent="0.25">
      <c r="A288"/>
    </row>
    <row r="289" spans="1:1" x14ac:dyDescent="0.25">
      <c r="A289"/>
    </row>
    <row r="290" spans="1:1" x14ac:dyDescent="0.25">
      <c r="A290"/>
    </row>
    <row r="291" spans="1:1" x14ac:dyDescent="0.25">
      <c r="A291"/>
    </row>
    <row r="292" spans="1:1" x14ac:dyDescent="0.25">
      <c r="A292"/>
    </row>
    <row r="293" spans="1:1" x14ac:dyDescent="0.25">
      <c r="A293"/>
    </row>
    <row r="294" spans="1:1" x14ac:dyDescent="0.25">
      <c r="A294"/>
    </row>
    <row r="295" spans="1:1" x14ac:dyDescent="0.25">
      <c r="A295"/>
    </row>
    <row r="296" spans="1:1" x14ac:dyDescent="0.25">
      <c r="A296"/>
    </row>
    <row r="297" spans="1:1" x14ac:dyDescent="0.25">
      <c r="A297"/>
    </row>
    <row r="298" spans="1:1" x14ac:dyDescent="0.25">
      <c r="A298"/>
    </row>
    <row r="299" spans="1:1" x14ac:dyDescent="0.25">
      <c r="A299"/>
    </row>
    <row r="300" spans="1:1" x14ac:dyDescent="0.25">
      <c r="A300"/>
    </row>
    <row r="301" spans="1:1" x14ac:dyDescent="0.25">
      <c r="A301"/>
    </row>
    <row r="302" spans="1:1" x14ac:dyDescent="0.25">
      <c r="A302"/>
    </row>
    <row r="303" spans="1:1" x14ac:dyDescent="0.25">
      <c r="A303"/>
    </row>
    <row r="304" spans="1:1" x14ac:dyDescent="0.25">
      <c r="A304"/>
    </row>
    <row r="305" spans="1:1" x14ac:dyDescent="0.25">
      <c r="A305"/>
    </row>
    <row r="306" spans="1:1" x14ac:dyDescent="0.25">
      <c r="A306"/>
    </row>
    <row r="307" spans="1:1" x14ac:dyDescent="0.25">
      <c r="A307"/>
    </row>
    <row r="308" spans="1:1" x14ac:dyDescent="0.25">
      <c r="A308"/>
    </row>
    <row r="309" spans="1:1" x14ac:dyDescent="0.25">
      <c r="A309"/>
    </row>
    <row r="310" spans="1:1" x14ac:dyDescent="0.25">
      <c r="A310"/>
    </row>
    <row r="311" spans="1:1" x14ac:dyDescent="0.25">
      <c r="A311"/>
    </row>
    <row r="312" spans="1:1" x14ac:dyDescent="0.25">
      <c r="A312"/>
    </row>
    <row r="313" spans="1:1" x14ac:dyDescent="0.25">
      <c r="A313"/>
    </row>
    <row r="314" spans="1:1" x14ac:dyDescent="0.25">
      <c r="A314"/>
    </row>
    <row r="315" spans="1:1" x14ac:dyDescent="0.25">
      <c r="A315"/>
    </row>
    <row r="316" spans="1:1" x14ac:dyDescent="0.25">
      <c r="A316"/>
    </row>
    <row r="317" spans="1:1" x14ac:dyDescent="0.25">
      <c r="A317"/>
    </row>
    <row r="318" spans="1:1" x14ac:dyDescent="0.25">
      <c r="A318"/>
    </row>
    <row r="319" spans="1:1" x14ac:dyDescent="0.25">
      <c r="A319"/>
    </row>
    <row r="320" spans="1:1" x14ac:dyDescent="0.25">
      <c r="A320"/>
    </row>
    <row r="321" spans="1:1" x14ac:dyDescent="0.25">
      <c r="A321"/>
    </row>
    <row r="322" spans="1:1" x14ac:dyDescent="0.25">
      <c r="A322"/>
    </row>
    <row r="323" spans="1:1" x14ac:dyDescent="0.25">
      <c r="A323"/>
    </row>
    <row r="324" spans="1:1" x14ac:dyDescent="0.25">
      <c r="A324"/>
    </row>
    <row r="325" spans="1:1" x14ac:dyDescent="0.25">
      <c r="A325"/>
    </row>
    <row r="326" spans="1:1" x14ac:dyDescent="0.25">
      <c r="A326"/>
    </row>
    <row r="327" spans="1:1" x14ac:dyDescent="0.25">
      <c r="A327"/>
    </row>
    <row r="328" spans="1:1" x14ac:dyDescent="0.25">
      <c r="A328"/>
    </row>
    <row r="329" spans="1:1" x14ac:dyDescent="0.25">
      <c r="A329"/>
    </row>
    <row r="330" spans="1:1" x14ac:dyDescent="0.25">
      <c r="A330"/>
    </row>
    <row r="331" spans="1:1" x14ac:dyDescent="0.25">
      <c r="A331"/>
    </row>
    <row r="332" spans="1:1" x14ac:dyDescent="0.25">
      <c r="A332"/>
    </row>
    <row r="333" spans="1:1" x14ac:dyDescent="0.25">
      <c r="A333"/>
    </row>
    <row r="334" spans="1:1" x14ac:dyDescent="0.25">
      <c r="A334"/>
    </row>
    <row r="335" spans="1:1" x14ac:dyDescent="0.25">
      <c r="A335"/>
    </row>
    <row r="336" spans="1:1" x14ac:dyDescent="0.25">
      <c r="A336"/>
    </row>
    <row r="337" spans="1:1" x14ac:dyDescent="0.25">
      <c r="A337"/>
    </row>
    <row r="338" spans="1:1" x14ac:dyDescent="0.25">
      <c r="A338"/>
    </row>
    <row r="339" spans="1:1" x14ac:dyDescent="0.25">
      <c r="A339"/>
    </row>
    <row r="340" spans="1:1" x14ac:dyDescent="0.25">
      <c r="A340"/>
    </row>
    <row r="341" spans="1:1" x14ac:dyDescent="0.25">
      <c r="A341"/>
    </row>
    <row r="342" spans="1:1" x14ac:dyDescent="0.25">
      <c r="A342"/>
    </row>
    <row r="343" spans="1:1" x14ac:dyDescent="0.25">
      <c r="A343"/>
    </row>
    <row r="344" spans="1:1" x14ac:dyDescent="0.25">
      <c r="A344"/>
    </row>
    <row r="345" spans="1:1" x14ac:dyDescent="0.25">
      <c r="A345"/>
    </row>
    <row r="346" spans="1:1" x14ac:dyDescent="0.25">
      <c r="A346"/>
    </row>
    <row r="347" spans="1:1" x14ac:dyDescent="0.25">
      <c r="A347"/>
    </row>
    <row r="348" spans="1:1" x14ac:dyDescent="0.25">
      <c r="A348"/>
    </row>
    <row r="349" spans="1:1" x14ac:dyDescent="0.25">
      <c r="A349"/>
    </row>
    <row r="350" spans="1:1" x14ac:dyDescent="0.25">
      <c r="A350"/>
    </row>
    <row r="351" spans="1:1" x14ac:dyDescent="0.25">
      <c r="A351"/>
    </row>
    <row r="352" spans="1:1" x14ac:dyDescent="0.25">
      <c r="A352"/>
    </row>
    <row r="353" spans="1:1" x14ac:dyDescent="0.25">
      <c r="A353"/>
    </row>
    <row r="354" spans="1:1" x14ac:dyDescent="0.25">
      <c r="A354"/>
    </row>
    <row r="355" spans="1:1" x14ac:dyDescent="0.25">
      <c r="A355"/>
    </row>
    <row r="356" spans="1:1" x14ac:dyDescent="0.25">
      <c r="A356"/>
    </row>
    <row r="357" spans="1:1" x14ac:dyDescent="0.25">
      <c r="A357"/>
    </row>
    <row r="358" spans="1:1" x14ac:dyDescent="0.25">
      <c r="A358"/>
    </row>
    <row r="359" spans="1:1" x14ac:dyDescent="0.25">
      <c r="A359"/>
    </row>
    <row r="360" spans="1:1" x14ac:dyDescent="0.25">
      <c r="A360"/>
    </row>
    <row r="361" spans="1:1" x14ac:dyDescent="0.25">
      <c r="A361"/>
    </row>
    <row r="362" spans="1:1" x14ac:dyDescent="0.25">
      <c r="A362"/>
    </row>
    <row r="363" spans="1:1" x14ac:dyDescent="0.25">
      <c r="A363"/>
    </row>
  </sheetData>
  <pageMargins left="0.7" right="0.7" top="0.75" bottom="0.75" header="0.3" footer="0.3"/>
  <pageSetup scale="48" fitToHeight="0" orientation="landscape"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5" tint="0.39997558519241921"/>
  </sheetPr>
  <dimension ref="A1:FP106"/>
  <sheetViews>
    <sheetView topLeftCell="A16" zoomScale="86" workbookViewId="0">
      <selection activeCell="K33" sqref="K33"/>
    </sheetView>
  </sheetViews>
  <sheetFormatPr defaultRowHeight="15" x14ac:dyDescent="0.25"/>
  <cols>
    <col min="2" max="2" width="66.85546875" customWidth="1"/>
    <col min="3" max="3" width="16.85546875" style="312" hidden="1" customWidth="1"/>
    <col min="4" max="4" width="12.5703125" style="312" hidden="1" customWidth="1"/>
    <col min="5" max="5" width="14" style="312" hidden="1" customWidth="1"/>
    <col min="6" max="6" width="16.85546875" style="312" customWidth="1"/>
    <col min="7" max="7" width="16.140625" style="312" hidden="1" customWidth="1"/>
    <col min="8" max="8" width="16.85546875" style="312" bestFit="1" customWidth="1"/>
    <col min="9" max="9" width="15" style="312" hidden="1" customWidth="1"/>
    <col min="10" max="10" width="16" style="312" customWidth="1"/>
    <col min="11" max="11" width="12.5703125" bestFit="1" customWidth="1"/>
    <col min="12" max="12" width="13.140625" customWidth="1"/>
    <col min="13" max="13" width="11.140625" customWidth="1"/>
    <col min="14" max="14" width="17.28515625" customWidth="1"/>
    <col min="15" max="15" width="10.140625" customWidth="1"/>
    <col min="16" max="16" width="13.140625" customWidth="1"/>
    <col min="17" max="17" width="20.7109375" bestFit="1" customWidth="1"/>
    <col min="18" max="19" width="10.140625" bestFit="1" customWidth="1"/>
    <col min="20" max="20" width="13.140625" bestFit="1" customWidth="1"/>
    <col min="21" max="21" width="10.28515625" bestFit="1" customWidth="1"/>
    <col min="22" max="23" width="10.140625" bestFit="1" customWidth="1"/>
    <col min="24" max="24" width="13.140625" bestFit="1" customWidth="1"/>
    <col min="25" max="25" width="10.28515625" bestFit="1" customWidth="1"/>
    <col min="26" max="27" width="10.140625" bestFit="1" customWidth="1"/>
    <col min="28" max="28" width="13.140625" bestFit="1" customWidth="1"/>
    <col min="29" max="29" width="11.140625" bestFit="1" customWidth="1"/>
    <col min="30" max="30" width="13.140625" bestFit="1" customWidth="1"/>
    <col min="31" max="31" width="12.7109375" bestFit="1" customWidth="1"/>
    <col min="32" max="32" width="9" bestFit="1" customWidth="1"/>
    <col min="33" max="36" width="11" bestFit="1" customWidth="1"/>
  </cols>
  <sheetData>
    <row r="1" spans="2:10" x14ac:dyDescent="0.25">
      <c r="C1" s="256">
        <f>GETPIVOTDATA("[Measures].[Sum of Износ1]",$B$6,"[fActualAndBudget].[ReportType]","[fActualAndBudget].[ReportType].&amp;[Остварено]","[Calendar].[Година]","[Calendar].[Година].&amp;[2020]","[fActualAndBudget].[StavkaKategorija]","[fActualAndBudget].[StavkaKategorija].&amp;[2.29. Приходи од продажба]")+GETPIVOTDATA("[Measures].[Sum of Износ1]",$B$6,"[fActualAndBudget].[ReportType]","[fActualAndBudget].[ReportType].&amp;[Остварено]","[Calendar].[Година]","[Calendar].[Година].&amp;[2020]","[fActualAndBudget].[StavkaKategorija]","[fActualAndBudget].[StavkaKategorija].&amp;[2.30. Останати оперативни приходи]")+GETPIVOTDATA("[Measures].[Sum of Износ1]",$B$6,"[fActualAndBudget].[ReportType]","[fActualAndBudget].[ReportType].&amp;[Остварено]","[Calendar].[Година]","[Calendar].[Година].&amp;[2020]","[fActualAndBudget].[StavkaKategorija]","[fActualAndBudget].[StavkaKategorija].&amp;[2.40. Приходи од финансирање]")</f>
        <v>-319895500</v>
      </c>
      <c r="F1" s="256">
        <f>GETPIVOTDATA("[Measures].[Sum of Износ1]",$B$6,"[fActualAndBudget].[ReportType]","[fActualAndBudget].[ReportType].&amp;[Остварено]","[Calendar].[Година]","[Calendar].[Година].&amp;[2021]","[fActualAndBudget].[StavkaKategorija]","[fActualAndBudget].[StavkaKategorija].&amp;[2.29. Приходи од продажба]")+GETPIVOTDATA("[Measures].[Sum of Износ1]",$B$6,"[fActualAndBudget].[ReportType]","[fActualAndBudget].[ReportType].&amp;[Остварено]","[Calendar].[Година]","[Calendar].[Година].&amp;[2021]","[fActualAndBudget].[StavkaKategorija]","[fActualAndBudget].[StavkaKategorija].&amp;[2.30. Останати оперативни приходи]")+GETPIVOTDATA("[Measures].[Sum of Износ1]",$B$6,"[fActualAndBudget].[ReportType]","[fActualAndBudget].[ReportType].&amp;[Остварено]","[Calendar].[Година]","[Calendar].[Година].&amp;[2021]","[fActualAndBudget].[StavkaKategorija]","[fActualAndBudget].[StavkaKategorija].&amp;[2.40. Приходи од финансирање]")</f>
        <v>-361693480</v>
      </c>
      <c r="H1" s="256">
        <f>GETPIVOTDATA("[Measures].[Sum of Износ1]",$B$6,"[fActualAndBudget].[ReportType]","[fActualAndBudget].[ReportType].&amp;[Предвидување]","[Calendar].[Година]","[Calendar].[Година].&amp;[2022]","[fActualAndBudget].[StavkaKategorija]","[fActualAndBudget].[StavkaKategorija].&amp;[2.29. Приходи од продажба]")+GETPIVOTDATA("[Measures].[Sum of Износ1]",$B$6,"[fActualAndBudget].[ReportType]","[fActualAndBudget].[ReportType].&amp;[Предвидување]","[Calendar].[Година]","[Calendar].[Година].&amp;[2022]","[fActualAndBudget].[StavkaKategorija]","[fActualAndBudget].[StavkaKategorija].&amp;[2.30. Останати оперативни приходи]")+GETPIVOTDATA("[Measures].[Sum of Износ1]",$B$6,"[fActualAndBudget].[ReportType]","[fActualAndBudget].[ReportType].&amp;[Предвидување]","[Calendar].[Година]","[Calendar].[Година].&amp;[2022]","[fActualAndBudget].[StavkaKategorija]","[fActualAndBudget].[StavkaKategorija].&amp;[2.40. Приходи од финансирање]")</f>
        <v>-377399865</v>
      </c>
      <c r="J1" s="256">
        <f>GETPIVOTDATA("[Measures].[Sum of Износ1]",$B$6,"[fActualAndBudget].[ReportType]","[fActualAndBudget].[ReportType].&amp;[План]","[Calendar].[Година]","[Calendar].[Година].&amp;[2023]","[fActualAndBudget].[StavkaKategorija]","[fActualAndBudget].[StavkaKategorija].&amp;[2.29. Приходи од продажба]")+GETPIVOTDATA("[Measures].[Sum of Износ1]",$B$6,"[fActualAndBudget].[ReportType]","[fActualAndBudget].[ReportType].&amp;[План]","[Calendar].[Година]","[Calendar].[Година].&amp;[2023]","[fActualAndBudget].[StavkaKategorija]","[fActualAndBudget].[StavkaKategorija].&amp;[2.30. Останати оперативни приходи]")+GETPIVOTDATA("[Measures].[Sum of Износ1]",$B$6,"[fActualAndBudget].[ReportType]","[fActualAndBudget].[ReportType].&amp;[План]","[Calendar].[Година]","[Calendar].[Година].&amp;[2023]","[fActualAndBudget].[StavkaKategorija]","[fActualAndBudget].[StavkaKategorija].&amp;[2.40. Приходи од финансирање]")</f>
        <v>-405194919</v>
      </c>
    </row>
    <row r="2" spans="2:10" x14ac:dyDescent="0.25">
      <c r="C2" s="256">
        <f>GETPIVOTDATA("[Measures].[Sum of Износ1]",$B$6,"[fActualAndBudget].[ReportType]","[fActualAndBudget].[ReportType].&amp;[Остварено]","[Calendar].[Година]","[Calendar].[Година].&amp;[2020]","[fActualAndBudget].[StavkaKategorija]","[fActualAndBudget].[StavkaKategorija].&amp;[2.32. Потрошени суровини и материјали]")+GETPIVOTDATA("[Measures].[Sum of Износ1]",$B$6,"[fActualAndBudget].[ReportType]","[fActualAndBudget].[ReportType].&amp;[Остварено]","[Calendar].[Година]","[Calendar].[Година].&amp;[2020]","[fActualAndBudget].[StavkaKategorija]","[fActualAndBudget].[StavkaKategorija].&amp;[2.33. Трошоци за вработените]")+GETPIVOTDATA("[Measures].[Sum of Износ1]",$B$6,"[fActualAndBudget].[ReportType]","[fActualAndBudget].[ReportType].&amp;[Остварено]","[Calendar].[Година]","[Calendar].[Година].&amp;[2020]","[fActualAndBudget].[StavkaKategorija]","[fActualAndBudget].[StavkaKategorija].&amp;[2.35. Вредносно усогласување на тековни средства]")+GETPIVOTDATA("[Measures].[Sum of Износ1]",$B$6,"[fActualAndBudget].[ReportType]","[fActualAndBudget].[ReportType].&amp;[Остварено]","[Calendar].[Година]","[Calendar].[Година].&amp;[2020]","[fActualAndBudget].[StavkaKategorija]","[fActualAndBudget].[StavkaKategorija].&amp;[2.37. Останати оперативни расходи]")+GETPIVOTDATA("[Measures].[Sum of Износ1]",$B$6,"[fActualAndBudget].[ReportType]","[fActualAndBudget].[ReportType].&amp;[Остварено]","[Calendar].[Година]","[Calendar].[Година].&amp;[2020]","[fActualAndBudget].[StavkaKategorija]","[fActualAndBudget].[StavkaKategorija].&amp;[2.41. Расходи од финансирање]")</f>
        <v>278331555</v>
      </c>
      <c r="E2" s="256">
        <f>GETPIVOTDATA("[Measures].[Sum of Износ1]",$B$6,"[fActualAndBudget].[ReportType]","[fActualAndBudget].[ReportType].&amp;[План]","[Calendar].[Година]","[Calendar].[Година].&amp;[2020]","[fActualAndBudget].[StavkaKategorija]","[fActualAndBudget].[StavkaKategorija].&amp;[2.32. Потрошени суровини и материјали]")+GETPIVOTDATA("[Measures].[Sum of Износ1]",$B$6,"[fActualAndBudget].[ReportType]","[fActualAndBudget].[ReportType].&amp;[План]","[Calendar].[Година]","[Calendar].[Година].&amp;[2020]","[fActualAndBudget].[StavkaKategorija]","[fActualAndBudget].[StavkaKategorija].&amp;[2.33. Трошоци за вработените]")+GETPIVOTDATA("[Measures].[Sum of Износ1]",$B$6,"[fActualAndBudget].[ReportType]","[fActualAndBudget].[ReportType].&amp;[План]","[Calendar].[Година]","[Calendar].[Година].&amp;[2020]","[fActualAndBudget].[StavkaKategorija]","[fActualAndBudget].[StavkaKategorija].&amp;[2.37. Останати оперативни расходи]")</f>
        <v>313526503</v>
      </c>
      <c r="F2" s="256">
        <f>GETPIVOTDATA("[Measures].[Sum of Износ1]",$B$6,"[fActualAndBudget].[ReportType]","[fActualAndBudget].[ReportType].&amp;[Остварено]","[Calendar].[Година]","[Calendar].[Година].&amp;[2021]","[fActualAndBudget].[StavkaKategorija]","[fActualAndBudget].[StavkaKategorija].&amp;[2.32. Потрошени суровини и материјали]")+GETPIVOTDATA("[Measures].[Sum of Износ1]",$B$6,"[fActualAndBudget].[ReportType]","[fActualAndBudget].[ReportType].&amp;[Остварено]","[Calendar].[Година]","[Calendar].[Година].&amp;[2021]","[fActualAndBudget].[StavkaKategorija]","[fActualAndBudget].[StavkaKategorija].&amp;[2.33. Трошоци за вработените]")+GETPIVOTDATA("[Measures].[Sum of Износ1]",$B$6,"[fActualAndBudget].[ReportType]","[fActualAndBudget].[ReportType].&amp;[Остварено]","[Calendar].[Година]","[Calendar].[Година].&amp;[2021]","[fActualAndBudget].[StavkaKategorija]","[fActualAndBudget].[StavkaKategorija].&amp;[2.35. Вредносно усогласување на тековни средства]")+GETPIVOTDATA("[Measures].[Sum of Износ1]",$B$6,"[fActualAndBudget].[ReportType]","[fActualAndBudget].[ReportType].&amp;[Остварено]","[Calendar].[Година]","[Calendar].[Година].&amp;[2021]","[fActualAndBudget].[StavkaKategorija]","[fActualAndBudget].[StavkaKategorija].&amp;[2.37. Останати оперативни расходи]")+GETPIVOTDATA("[Measures].[Sum of Износ1]",$B$6,"[fActualAndBudget].[ReportType]","[fActualAndBudget].[ReportType].&amp;[Остварено]","[Calendar].[Година]","[Calendar].[Година].&amp;[2021]","[fActualAndBudget].[StavkaKategorija]","[fActualAndBudget].[StavkaKategorija].&amp;[2.41. Расходи од финансирање]")</f>
        <v>277035429</v>
      </c>
      <c r="G2" s="256">
        <f>GETPIVOTDATA("[Measures].[Sum of Износ1]",$B$6,"[fActualAndBudget].[ReportType]","[fActualAndBudget].[ReportType].&amp;[План]","[Calendar].[Година]","[Calendar].[Година].&amp;[2021]","[fActualAndBudget].[StavkaKategorija]","[fActualAndBudget].[StavkaKategorija].&amp;[2.32. Потрошени суровини и материјали]")+GETPIVOTDATA("[Measures].[Sum of Износ1]",$B$6,"[fActualAndBudget].[ReportType]","[fActualAndBudget].[ReportType].&amp;[План]","[Calendar].[Година]","[Calendar].[Година].&amp;[2021]","[fActualAndBudget].[StavkaKategorija]","[fActualAndBudget].[StavkaKategorija].&amp;[2.33. Трошоци за вработените]")+GETPIVOTDATA("[Measures].[Sum of Износ1]",$B$6,"[fActualAndBudget].[ReportType]","[fActualAndBudget].[ReportType].&amp;[План]","[Calendar].[Година]","[Calendar].[Година].&amp;[2021]","[fActualAndBudget].[StavkaKategorija]","[fActualAndBudget].[StavkaKategorija].&amp;[2.37. Останати оперативни расходи]")+GETPIVOTDATA("[Measures].[Sum of Износ1]",$B$6,"[fActualAndBudget].[ReportType]","[fActualAndBudget].[ReportType].&amp;[План]","[Calendar].[Година]","[Calendar].[Година].&amp;[2021]","[fActualAndBudget].[StavkaKategorija]","[fActualAndBudget].[StavkaKategorija].&amp;[2.41. Расходи од финансирање]")</f>
        <v>290945713</v>
      </c>
      <c r="H2" s="256">
        <f>GETPIVOTDATA("[Measures].[Sum of Износ1]",$B$6,"[fActualAndBudget].[ReportType]","[fActualAndBudget].[ReportType].&amp;[Предвидување]","[Calendar].[Година]","[Calendar].[Година].&amp;[2022]","[fActualAndBudget].[StavkaKategorija]","[fActualAndBudget].[StavkaKategorija].&amp;[2.32. Потрошени суровини и материјали]")+GETPIVOTDATA("[Measures].[Sum of Износ1]",$B$6,"[fActualAndBudget].[ReportType]","[fActualAndBudget].[ReportType].&amp;[Предвидување]","[Calendar].[Година]","[Calendar].[Година].&amp;[2022]","[fActualAndBudget].[StavkaKategorija]","[fActualAndBudget].[StavkaKategorija].&amp;[2.33. Трошоци за вработените]")+GETPIVOTDATA("[Measures].[Sum of Износ1]",$B$6,"[fActualAndBudget].[ReportType]","[fActualAndBudget].[ReportType].&amp;[Предвидување]","[Calendar].[Година]","[Calendar].[Година].&amp;[2022]","[fActualAndBudget].[StavkaKategorija]","[fActualAndBudget].[StavkaKategorija].&amp;[2.35. Вредносно усогласување на тековни средства]")+GETPIVOTDATA("[Measures].[Sum of Износ1]",$B$6,"[fActualAndBudget].[ReportType]","[fActualAndBudget].[ReportType].&amp;[Предвидување]","[Calendar].[Година]","[Calendar].[Година].&amp;[2022]","[fActualAndBudget].[StavkaKategorija]","[fActualAndBudget].[StavkaKategorija].&amp;[2.37. Останати оперативни расходи]")+GETPIVOTDATA("[Measures].[Sum of Износ1]",$B$6,"[fActualAndBudget].[ReportType]","[fActualAndBudget].[ReportType].&amp;[Предвидување]","[Calendar].[Година]","[Calendar].[Година].&amp;[2022]","[fActualAndBudget].[StavkaKategorija]","[fActualAndBudget].[StavkaKategorija].&amp;[2.41. Расходи од финансирање]")</f>
        <v>271811478</v>
      </c>
      <c r="I2" s="256">
        <f>GETPIVOTDATA("[Measures].[Sum of Износ1]",$B$6,"[fActualAndBudget].[ReportType]","[fActualAndBudget].[ReportType].&amp;[План]","[Calendar].[Година]","[Calendar].[Година].&amp;[2022]","[fActualAndBudget].[StavkaKategorija]","[fActualAndBudget].[StavkaKategorija].&amp;[2.32. Потрошени суровини и материјали]")+GETPIVOTDATA("[Measures].[Sum of Износ1]",$B$6,"[fActualAndBudget].[ReportType]","[fActualAndBudget].[ReportType].&amp;[План]","[Calendar].[Година]","[Calendar].[Година].&amp;[2022]","[fActualAndBudget].[StavkaKategorija]","[fActualAndBudget].[StavkaKategorija].&amp;[2.33. Трошоци за вработените]")+GETPIVOTDATA("[Measures].[Sum of Износ1]",$B$6,"[fActualAndBudget].[ReportType]","[fActualAndBudget].[ReportType].&amp;[План]","[Calendar].[Година]","[Calendar].[Година].&amp;[2022]","[fActualAndBudget].[StavkaKategorija]","[fActualAndBudget].[StavkaKategorija].&amp;[2.37. Останати оперативни расходи]")+GETPIVOTDATA("[Measures].[Sum of Износ1]",$B$6,"[fActualAndBudget].[ReportType]","[fActualAndBudget].[ReportType].&amp;[План]","[Calendar].[Година]","[Calendar].[Година].&amp;[2022]","[fActualAndBudget].[StavkaKategorija]","[fActualAndBudget].[StavkaKategorija].&amp;[2.41. Расходи од финансирање]")</f>
        <v>310693956</v>
      </c>
      <c r="J2" s="256">
        <f>GETPIVOTDATA("[Measures].[Sum of Износ1]",$B$6,"[fActualAndBudget].[ReportType]","[fActualAndBudget].[ReportType].&amp;[План]","[Calendar].[Година]","[Calendar].[Година].&amp;[2023]","[fActualAndBudget].[StavkaKategorija]","[fActualAndBudget].[StavkaKategorija].&amp;[2.32. Потрошени суровини и материјали]")+GETPIVOTDATA("[Measures].[Sum of Износ1]",$B$6,"[fActualAndBudget].[ReportType]","[fActualAndBudget].[ReportType].&amp;[План]","[Calendar].[Година]","[Calendar].[Година].&amp;[2023]","[fActualAndBudget].[StavkaKategorija]","[fActualAndBudget].[StavkaKategorija].&amp;[2.33. Трошоци за вработените]")+GETPIVOTDATA("[Measures].[Sum of Износ1]",$B$6,"[fActualAndBudget].[ReportType]","[fActualAndBudget].[ReportType].&amp;[План]","[Calendar].[Година]","[Calendar].[Година].&amp;[2023]","[fActualAndBudget].[StavkaKategorija]","[fActualAndBudget].[StavkaKategorija].&amp;[2.35. Вредносно усогласување на тековни средства]")+GETPIVOTDATA("[Measures].[Sum of Износ1]",$B$6,"[fActualAndBudget].[ReportType]","[fActualAndBudget].[ReportType].&amp;[План]","[Calendar].[Година]","[Calendar].[Година].&amp;[2023]","[fActualAndBudget].[StavkaKategorija]","[fActualAndBudget].[StavkaKategorija].&amp;[2.37. Останати оперативни расходи]")+GETPIVOTDATA("[Measures].[Sum of Износ1]",$B$6,"[fActualAndBudget].[ReportType]","[fActualAndBudget].[ReportType].&amp;[План]","[Calendar].[Година]","[Calendar].[Година].&amp;[2023]","[fActualAndBudget].[StavkaKategorija]","[fActualAndBudget].[StavkaKategorija].&amp;[2.41. Расходи од финансирање]")</f>
        <v>337331635</v>
      </c>
    </row>
    <row r="3" spans="2:10" x14ac:dyDescent="0.25">
      <c r="C3" s="256"/>
      <c r="F3" s="256"/>
      <c r="H3" s="256"/>
      <c r="I3" s="256"/>
      <c r="J3" s="256"/>
    </row>
    <row r="4" spans="2:10" x14ac:dyDescent="0.25">
      <c r="B4" s="4" t="s">
        <v>244</v>
      </c>
      <c r="C4" s="312" t="s" vm="12">
        <v>245</v>
      </c>
    </row>
    <row r="6" spans="2:10" x14ac:dyDescent="0.25">
      <c r="B6" s="316" t="s">
        <v>1331</v>
      </c>
      <c r="C6" s="312" t="s">
        <v>137</v>
      </c>
    </row>
    <row r="7" spans="2:10" x14ac:dyDescent="0.25">
      <c r="B7" s="317"/>
      <c r="C7" s="312">
        <v>2020</v>
      </c>
      <c r="D7" s="312">
        <v>2020</v>
      </c>
      <c r="E7" s="312">
        <v>2020</v>
      </c>
      <c r="F7" s="312">
        <v>2021</v>
      </c>
      <c r="G7" s="312">
        <v>2021</v>
      </c>
      <c r="H7" s="312">
        <v>2022</v>
      </c>
      <c r="I7" s="312">
        <v>2022</v>
      </c>
      <c r="J7" s="312">
        <v>2023</v>
      </c>
    </row>
    <row r="8" spans="2:10" x14ac:dyDescent="0.25">
      <c r="B8" s="316" t="s">
        <v>242</v>
      </c>
      <c r="C8" s="315" t="s">
        <v>301</v>
      </c>
      <c r="D8" s="315" t="s">
        <v>248</v>
      </c>
      <c r="E8" s="315" t="s">
        <v>239</v>
      </c>
      <c r="F8" s="315" t="s">
        <v>301</v>
      </c>
      <c r="G8" s="315" t="s">
        <v>239</v>
      </c>
      <c r="H8" s="315" t="s">
        <v>248</v>
      </c>
      <c r="I8" s="315" t="s">
        <v>239</v>
      </c>
      <c r="J8" s="315" t="s">
        <v>239</v>
      </c>
    </row>
    <row r="9" spans="2:10" hidden="1" x14ac:dyDescent="0.25">
      <c r="B9" s="6" t="s">
        <v>1332</v>
      </c>
      <c r="C9" s="313">
        <v>-315148617</v>
      </c>
      <c r="D9" s="313">
        <v>0</v>
      </c>
      <c r="E9" s="313">
        <v>-350082758</v>
      </c>
      <c r="F9" s="313">
        <v>-356940028</v>
      </c>
      <c r="G9" s="313">
        <v>-328690231</v>
      </c>
      <c r="H9" s="313">
        <v>-372291911</v>
      </c>
      <c r="I9" s="313">
        <v>-361061273</v>
      </c>
      <c r="J9" s="313">
        <v>-399809446</v>
      </c>
    </row>
    <row r="10" spans="2:10" hidden="1" x14ac:dyDescent="0.25">
      <c r="B10" s="6" t="s">
        <v>377</v>
      </c>
      <c r="C10" s="313">
        <v>-4743915</v>
      </c>
      <c r="D10" s="313">
        <v>0</v>
      </c>
      <c r="E10" s="313">
        <v>-5001416</v>
      </c>
      <c r="F10" s="313">
        <v>-4746966</v>
      </c>
      <c r="G10" s="313">
        <v>-5530918</v>
      </c>
      <c r="H10" s="313">
        <v>-5102644</v>
      </c>
      <c r="I10" s="313">
        <v>-5405772</v>
      </c>
      <c r="J10" s="313">
        <v>-5379858</v>
      </c>
    </row>
    <row r="11" spans="2:10" x14ac:dyDescent="0.25">
      <c r="B11" s="6" t="s">
        <v>378</v>
      </c>
      <c r="C11" s="313">
        <v>8793652</v>
      </c>
      <c r="D11" s="313">
        <v>0</v>
      </c>
      <c r="E11" s="313">
        <v>10452486</v>
      </c>
      <c r="F11" s="313">
        <v>5579970</v>
      </c>
      <c r="G11" s="313">
        <v>9182796</v>
      </c>
      <c r="H11" s="313">
        <v>10772359</v>
      </c>
      <c r="I11" s="313">
        <v>14727208</v>
      </c>
      <c r="J11" s="313">
        <v>20193004</v>
      </c>
    </row>
    <row r="12" spans="2:10" hidden="1" x14ac:dyDescent="0.25">
      <c r="B12" s="7" t="s">
        <v>241</v>
      </c>
      <c r="C12" s="313"/>
      <c r="D12" s="313"/>
      <c r="E12" s="313"/>
      <c r="F12" s="313"/>
      <c r="G12" s="313"/>
      <c r="H12" s="313"/>
      <c r="I12" s="313"/>
      <c r="J12" s="313"/>
    </row>
    <row r="13" spans="2:10" x14ac:dyDescent="0.25">
      <c r="B13" s="174" t="s">
        <v>585</v>
      </c>
      <c r="C13" s="313"/>
      <c r="D13" s="313"/>
      <c r="E13" s="313"/>
      <c r="F13" s="313"/>
      <c r="G13" s="313"/>
      <c r="H13" s="313"/>
      <c r="I13" s="313"/>
      <c r="J13" s="313"/>
    </row>
    <row r="14" spans="2:10" x14ac:dyDescent="0.25">
      <c r="B14" s="259" t="s">
        <v>744</v>
      </c>
      <c r="C14" s="313">
        <v>4320465</v>
      </c>
      <c r="D14" s="313">
        <v>0</v>
      </c>
      <c r="E14" s="313">
        <v>5420052</v>
      </c>
      <c r="F14" s="313">
        <v>2971264</v>
      </c>
      <c r="G14" s="313">
        <v>5265084</v>
      </c>
      <c r="H14" s="313">
        <v>7829704</v>
      </c>
      <c r="I14" s="313">
        <v>9835104</v>
      </c>
      <c r="J14" s="313"/>
    </row>
    <row r="15" spans="2:10" x14ac:dyDescent="0.25">
      <c r="B15" s="259" t="s">
        <v>533</v>
      </c>
      <c r="C15" s="313"/>
      <c r="D15" s="313"/>
      <c r="E15" s="313"/>
      <c r="F15" s="313"/>
      <c r="G15" s="313"/>
      <c r="H15" s="313">
        <v>719285</v>
      </c>
      <c r="I15" s="313"/>
      <c r="J15" s="313">
        <v>14400000</v>
      </c>
    </row>
    <row r="16" spans="2:10" x14ac:dyDescent="0.25">
      <c r="B16" s="259" t="s">
        <v>534</v>
      </c>
      <c r="C16" s="313"/>
      <c r="D16" s="313"/>
      <c r="E16" s="313"/>
      <c r="F16" s="313"/>
      <c r="G16" s="313"/>
      <c r="H16" s="313">
        <v>0</v>
      </c>
      <c r="I16" s="313"/>
      <c r="J16" s="313">
        <v>600000</v>
      </c>
    </row>
    <row r="17" spans="2:10" x14ac:dyDescent="0.25">
      <c r="B17" s="259" t="s">
        <v>539</v>
      </c>
      <c r="C17" s="313"/>
      <c r="D17" s="313"/>
      <c r="E17" s="313"/>
      <c r="F17" s="313"/>
      <c r="G17" s="313"/>
      <c r="H17" s="313">
        <v>7155</v>
      </c>
      <c r="I17" s="313"/>
      <c r="J17" s="313">
        <v>48000</v>
      </c>
    </row>
    <row r="18" spans="2:10" x14ac:dyDescent="0.25">
      <c r="B18" s="259" t="s">
        <v>540</v>
      </c>
      <c r="C18" s="313"/>
      <c r="D18" s="313"/>
      <c r="E18" s="313"/>
      <c r="F18" s="313"/>
      <c r="G18" s="313"/>
      <c r="H18" s="313">
        <v>12409</v>
      </c>
      <c r="I18" s="313"/>
      <c r="J18" s="313">
        <v>48000</v>
      </c>
    </row>
    <row r="19" spans="2:10" x14ac:dyDescent="0.25">
      <c r="B19" s="259" t="s">
        <v>541</v>
      </c>
      <c r="C19" s="313"/>
      <c r="D19" s="313"/>
      <c r="E19" s="313"/>
      <c r="F19" s="313"/>
      <c r="G19" s="313"/>
      <c r="H19" s="313">
        <v>16793</v>
      </c>
      <c r="I19" s="313"/>
      <c r="J19" s="313">
        <v>48000</v>
      </c>
    </row>
    <row r="20" spans="2:10" x14ac:dyDescent="0.25">
      <c r="B20" s="259" t="s">
        <v>542</v>
      </c>
      <c r="C20" s="313"/>
      <c r="D20" s="313"/>
      <c r="E20" s="313"/>
      <c r="F20" s="313"/>
      <c r="G20" s="313"/>
      <c r="H20" s="313">
        <v>4580</v>
      </c>
      <c r="I20" s="313"/>
      <c r="J20" s="313">
        <v>48000</v>
      </c>
    </row>
    <row r="21" spans="2:10" x14ac:dyDescent="0.25">
      <c r="B21" s="259" t="s">
        <v>543</v>
      </c>
      <c r="C21" s="313"/>
      <c r="D21" s="313"/>
      <c r="E21" s="313"/>
      <c r="F21" s="313"/>
      <c r="G21" s="313"/>
      <c r="H21" s="313">
        <v>9182</v>
      </c>
      <c r="I21" s="313"/>
      <c r="J21" s="313">
        <v>48000</v>
      </c>
    </row>
    <row r="22" spans="2:10" x14ac:dyDescent="0.25">
      <c r="B22" s="259" t="s">
        <v>544</v>
      </c>
      <c r="C22" s="313"/>
      <c r="D22" s="313"/>
      <c r="E22" s="313"/>
      <c r="F22" s="313"/>
      <c r="G22" s="313"/>
      <c r="H22" s="313">
        <v>5059</v>
      </c>
      <c r="I22" s="313"/>
      <c r="J22" s="313">
        <v>48000</v>
      </c>
    </row>
    <row r="23" spans="2:10" x14ac:dyDescent="0.25">
      <c r="B23" s="259" t="s">
        <v>545</v>
      </c>
      <c r="C23" s="313"/>
      <c r="D23" s="313"/>
      <c r="E23" s="313"/>
      <c r="F23" s="313"/>
      <c r="G23" s="313"/>
      <c r="H23" s="313">
        <v>14199</v>
      </c>
      <c r="I23" s="313"/>
      <c r="J23" s="313">
        <v>48000</v>
      </c>
    </row>
    <row r="24" spans="2:10" x14ac:dyDescent="0.25">
      <c r="B24" s="259" t="s">
        <v>546</v>
      </c>
      <c r="C24" s="313"/>
      <c r="D24" s="313"/>
      <c r="E24" s="313"/>
      <c r="F24" s="313"/>
      <c r="G24" s="313"/>
      <c r="H24" s="313">
        <v>11657</v>
      </c>
      <c r="I24" s="313"/>
      <c r="J24" s="313">
        <v>48000</v>
      </c>
    </row>
    <row r="25" spans="2:10" x14ac:dyDescent="0.25">
      <c r="B25" s="259" t="s">
        <v>547</v>
      </c>
      <c r="C25" s="313"/>
      <c r="D25" s="313"/>
      <c r="E25" s="313"/>
      <c r="F25" s="313"/>
      <c r="G25" s="313"/>
      <c r="H25" s="313">
        <v>5382</v>
      </c>
      <c r="I25" s="313"/>
      <c r="J25" s="313">
        <v>48000</v>
      </c>
    </row>
    <row r="26" spans="2:10" x14ac:dyDescent="0.25">
      <c r="B26" s="259" t="s">
        <v>548</v>
      </c>
      <c r="C26" s="313"/>
      <c r="D26" s="313"/>
      <c r="E26" s="313"/>
      <c r="F26" s="313"/>
      <c r="G26" s="313"/>
      <c r="H26" s="313">
        <v>7050</v>
      </c>
      <c r="I26" s="313"/>
      <c r="J26" s="313">
        <v>48000</v>
      </c>
    </row>
    <row r="27" spans="2:10" x14ac:dyDescent="0.25">
      <c r="B27" s="259" t="s">
        <v>549</v>
      </c>
      <c r="C27" s="313"/>
      <c r="D27" s="313"/>
      <c r="E27" s="313"/>
      <c r="F27" s="313"/>
      <c r="G27" s="313"/>
      <c r="H27" s="313">
        <v>4380</v>
      </c>
      <c r="I27" s="313"/>
      <c r="J27" s="313">
        <v>48000</v>
      </c>
    </row>
    <row r="28" spans="2:10" x14ac:dyDescent="0.25">
      <c r="B28" s="259" t="s">
        <v>536</v>
      </c>
      <c r="C28" s="313"/>
      <c r="D28" s="313"/>
      <c r="E28" s="313"/>
      <c r="F28" s="313"/>
      <c r="G28" s="313"/>
      <c r="H28" s="313">
        <v>18754</v>
      </c>
      <c r="I28" s="313"/>
      <c r="J28" s="313">
        <v>48000</v>
      </c>
    </row>
    <row r="29" spans="2:10" x14ac:dyDescent="0.25">
      <c r="B29" s="259" t="s">
        <v>537</v>
      </c>
      <c r="C29" s="313"/>
      <c r="D29" s="313"/>
      <c r="E29" s="313"/>
      <c r="F29" s="313"/>
      <c r="G29" s="313"/>
      <c r="H29" s="313">
        <v>31549</v>
      </c>
      <c r="I29" s="313"/>
      <c r="J29" s="313">
        <v>48000</v>
      </c>
    </row>
    <row r="30" spans="2:10" x14ac:dyDescent="0.25">
      <c r="B30" s="259" t="s">
        <v>538</v>
      </c>
      <c r="C30" s="313"/>
      <c r="D30" s="313"/>
      <c r="E30" s="313"/>
      <c r="F30" s="313"/>
      <c r="G30" s="313"/>
      <c r="H30" s="313">
        <v>6911</v>
      </c>
      <c r="I30" s="313"/>
      <c r="J30" s="313">
        <v>48000</v>
      </c>
    </row>
    <row r="31" spans="2:10" x14ac:dyDescent="0.25">
      <c r="B31" s="259" t="s">
        <v>535</v>
      </c>
      <c r="C31" s="313"/>
      <c r="D31" s="313"/>
      <c r="E31" s="313"/>
      <c r="F31" s="313"/>
      <c r="G31" s="313"/>
      <c r="H31" s="313">
        <v>15519</v>
      </c>
      <c r="I31" s="313"/>
      <c r="J31" s="313">
        <v>48000</v>
      </c>
    </row>
    <row r="32" spans="2:10" x14ac:dyDescent="0.25">
      <c r="B32" s="174" t="s">
        <v>586</v>
      </c>
      <c r="C32" s="313"/>
      <c r="D32" s="313"/>
      <c r="E32" s="313"/>
      <c r="F32" s="313"/>
      <c r="G32" s="313"/>
      <c r="H32" s="313"/>
      <c r="I32" s="313"/>
      <c r="J32" s="313"/>
    </row>
    <row r="33" spans="2:10" x14ac:dyDescent="0.25">
      <c r="B33" s="259" t="s">
        <v>744</v>
      </c>
      <c r="C33" s="313">
        <v>10112</v>
      </c>
      <c r="D33" s="313">
        <v>0</v>
      </c>
      <c r="E33" s="313">
        <v>122952</v>
      </c>
      <c r="F33" s="313">
        <v>7831</v>
      </c>
      <c r="G33" s="313">
        <v>24996</v>
      </c>
      <c r="H33" s="313">
        <v>23719</v>
      </c>
      <c r="I33" s="313">
        <v>41256</v>
      </c>
      <c r="J33" s="313"/>
    </row>
    <row r="34" spans="2:10" x14ac:dyDescent="0.25">
      <c r="B34" s="259" t="s">
        <v>532</v>
      </c>
      <c r="C34" s="313"/>
      <c r="D34" s="313"/>
      <c r="E34" s="313"/>
      <c r="F34" s="313"/>
      <c r="G34" s="313"/>
      <c r="H34" s="313">
        <v>800</v>
      </c>
      <c r="I34" s="313"/>
      <c r="J34" s="313">
        <v>33000</v>
      </c>
    </row>
    <row r="35" spans="2:10" x14ac:dyDescent="0.25">
      <c r="B35" s="174" t="s">
        <v>587</v>
      </c>
      <c r="C35" s="313">
        <v>4299624</v>
      </c>
      <c r="D35" s="313">
        <v>0</v>
      </c>
      <c r="E35" s="313">
        <v>2966088</v>
      </c>
      <c r="F35" s="313">
        <v>2306349</v>
      </c>
      <c r="G35" s="313">
        <v>3045468</v>
      </c>
      <c r="H35" s="313">
        <v>1879780</v>
      </c>
      <c r="I35" s="313">
        <v>3859552</v>
      </c>
      <c r="J35" s="313">
        <v>4150000</v>
      </c>
    </row>
    <row r="36" spans="2:10" x14ac:dyDescent="0.25">
      <c r="B36" s="174" t="s">
        <v>588</v>
      </c>
      <c r="C36" s="313">
        <v>163451</v>
      </c>
      <c r="D36" s="313">
        <v>0</v>
      </c>
      <c r="E36" s="313">
        <v>1943394</v>
      </c>
      <c r="F36" s="313">
        <v>294526</v>
      </c>
      <c r="G36" s="313">
        <v>847248</v>
      </c>
      <c r="H36" s="313">
        <v>148492</v>
      </c>
      <c r="I36" s="313">
        <v>991296</v>
      </c>
      <c r="J36" s="313">
        <v>290004</v>
      </c>
    </row>
    <row r="37" spans="2:10" x14ac:dyDescent="0.25">
      <c r="B37" s="6" t="s">
        <v>386</v>
      </c>
      <c r="C37" s="313">
        <v>230846283</v>
      </c>
      <c r="D37" s="313">
        <v>0</v>
      </c>
      <c r="E37" s="313">
        <v>252209220</v>
      </c>
      <c r="F37" s="313">
        <v>230861452</v>
      </c>
      <c r="G37" s="313">
        <v>234171147</v>
      </c>
      <c r="H37" s="313">
        <v>222559207</v>
      </c>
      <c r="I37" s="313">
        <v>240424089</v>
      </c>
      <c r="J37" s="313">
        <v>244864813</v>
      </c>
    </row>
    <row r="38" spans="2:10" x14ac:dyDescent="0.25">
      <c r="B38" s="6" t="s">
        <v>243</v>
      </c>
      <c r="C38" s="313">
        <v>34645388</v>
      </c>
      <c r="D38" s="313">
        <v>0</v>
      </c>
      <c r="E38" s="313">
        <v>38970368</v>
      </c>
      <c r="F38" s="313">
        <v>41686069</v>
      </c>
      <c r="G38" s="313">
        <v>36719996</v>
      </c>
      <c r="H38" s="313">
        <v>51784612</v>
      </c>
      <c r="I38" s="313">
        <v>54229630</v>
      </c>
      <c r="J38" s="313">
        <v>66484462</v>
      </c>
    </row>
    <row r="39" spans="2:10" x14ac:dyDescent="0.25">
      <c r="B39" s="6" t="s">
        <v>824</v>
      </c>
      <c r="C39" s="313">
        <v>92265</v>
      </c>
      <c r="D39" s="313">
        <v>0</v>
      </c>
      <c r="E39" s="313"/>
      <c r="F39" s="313">
        <v>0</v>
      </c>
      <c r="G39" s="313"/>
      <c r="H39" s="313">
        <v>1200</v>
      </c>
      <c r="I39" s="313"/>
      <c r="J39" s="313">
        <v>7200</v>
      </c>
    </row>
    <row r="40" spans="2:10" x14ac:dyDescent="0.25">
      <c r="B40" s="6" t="s">
        <v>396</v>
      </c>
      <c r="C40" s="313">
        <v>38541998</v>
      </c>
      <c r="D40" s="313">
        <v>0</v>
      </c>
      <c r="E40" s="313">
        <v>50864797</v>
      </c>
      <c r="F40" s="313">
        <v>37677763</v>
      </c>
      <c r="G40" s="313">
        <v>47509870</v>
      </c>
      <c r="H40" s="313">
        <v>38221254</v>
      </c>
      <c r="I40" s="313">
        <v>55457659</v>
      </c>
      <c r="J40" s="313">
        <v>72191018</v>
      </c>
    </row>
    <row r="41" spans="2:10" x14ac:dyDescent="0.25">
      <c r="B41" s="6" t="s">
        <v>450</v>
      </c>
      <c r="C41" s="313">
        <v>-2968</v>
      </c>
      <c r="D41" s="313">
        <v>0</v>
      </c>
      <c r="E41" s="313">
        <v>-22969</v>
      </c>
      <c r="F41" s="313">
        <v>-6486</v>
      </c>
      <c r="G41" s="313">
        <v>-4322</v>
      </c>
      <c r="H41" s="313">
        <v>-5310</v>
      </c>
      <c r="I41" s="313">
        <v>-12000</v>
      </c>
      <c r="J41" s="313">
        <v>-5615</v>
      </c>
    </row>
    <row r="42" spans="2:10" x14ac:dyDescent="0.25">
      <c r="B42" s="6" t="s">
        <v>472</v>
      </c>
      <c r="C42" s="313">
        <v>57357</v>
      </c>
      <c r="D42" s="313">
        <v>0</v>
      </c>
      <c r="E42" s="313"/>
      <c r="F42" s="313">
        <v>2916244</v>
      </c>
      <c r="G42" s="313">
        <v>81900</v>
      </c>
      <c r="H42" s="313">
        <v>257458</v>
      </c>
      <c r="I42" s="313">
        <v>85000</v>
      </c>
      <c r="J42" s="313">
        <v>75600</v>
      </c>
    </row>
    <row r="43" spans="2:10" x14ac:dyDescent="0.25">
      <c r="B43" s="6" t="s">
        <v>138</v>
      </c>
      <c r="C43" s="313">
        <v>-6918557</v>
      </c>
      <c r="D43" s="313">
        <v>0</v>
      </c>
      <c r="E43" s="313">
        <v>-2610272</v>
      </c>
      <c r="F43" s="313">
        <v>-42971982</v>
      </c>
      <c r="G43" s="313">
        <v>-6559762</v>
      </c>
      <c r="H43" s="313">
        <v>-53803775</v>
      </c>
      <c r="I43" s="313">
        <v>-1555459</v>
      </c>
      <c r="J43" s="313">
        <v>-1378822</v>
      </c>
    </row>
    <row r="44" spans="2:10" x14ac:dyDescent="0.25">
      <c r="C44"/>
      <c r="D44"/>
      <c r="E44"/>
      <c r="F44"/>
      <c r="G44"/>
      <c r="H44"/>
      <c r="I44"/>
      <c r="J44"/>
    </row>
    <row r="45" spans="2:10" x14ac:dyDescent="0.25">
      <c r="C45"/>
      <c r="D45"/>
      <c r="E45"/>
      <c r="F45"/>
      <c r="G45"/>
      <c r="H45"/>
      <c r="I45"/>
      <c r="J45"/>
    </row>
    <row r="46" spans="2:10" x14ac:dyDescent="0.25">
      <c r="C46"/>
      <c r="D46"/>
      <c r="E46"/>
      <c r="F46"/>
      <c r="G46"/>
      <c r="H46"/>
      <c r="I46"/>
      <c r="J46"/>
    </row>
    <row r="47" spans="2:10" x14ac:dyDescent="0.25">
      <c r="C47"/>
      <c r="D47"/>
      <c r="E47"/>
      <c r="F47"/>
      <c r="G47"/>
      <c r="H47"/>
      <c r="I47"/>
      <c r="J47"/>
    </row>
    <row r="48" spans="2:10" x14ac:dyDescent="0.25">
      <c r="C48"/>
      <c r="D48"/>
      <c r="E48"/>
      <c r="F48"/>
      <c r="G48"/>
      <c r="H48"/>
      <c r="I48"/>
      <c r="J48"/>
    </row>
    <row r="49" spans="1:172" x14ac:dyDescent="0.25">
      <c r="C49"/>
      <c r="D49"/>
      <c r="E49"/>
      <c r="F49"/>
      <c r="G49"/>
      <c r="H49"/>
      <c r="I49"/>
      <c r="J49"/>
    </row>
    <row r="50" spans="1:172" x14ac:dyDescent="0.25">
      <c r="C50"/>
      <c r="D50"/>
      <c r="E50"/>
      <c r="F50"/>
      <c r="G50"/>
      <c r="H50"/>
      <c r="I50"/>
      <c r="J50"/>
    </row>
    <row r="51" spans="1:172" x14ac:dyDescent="0.25">
      <c r="C51"/>
      <c r="D51"/>
      <c r="E51"/>
      <c r="F51"/>
      <c r="G51"/>
      <c r="H51"/>
      <c r="I51"/>
      <c r="J51"/>
    </row>
    <row r="52" spans="1:172" x14ac:dyDescent="0.25">
      <c r="C52"/>
      <c r="D52"/>
      <c r="E52"/>
      <c r="F52"/>
      <c r="G52"/>
      <c r="H52"/>
      <c r="I52"/>
      <c r="J52"/>
    </row>
    <row r="53" spans="1:172" x14ac:dyDescent="0.25">
      <c r="C53"/>
      <c r="D53"/>
      <c r="E53"/>
      <c r="F53"/>
      <c r="G53"/>
      <c r="H53"/>
      <c r="I53"/>
      <c r="J53"/>
    </row>
    <row r="54" spans="1:172" x14ac:dyDescent="0.25">
      <c r="C54"/>
      <c r="D54"/>
      <c r="E54"/>
      <c r="F54"/>
      <c r="G54"/>
      <c r="H54"/>
      <c r="I54"/>
      <c r="J54"/>
    </row>
    <row r="55" spans="1:172" x14ac:dyDescent="0.25">
      <c r="C55"/>
      <c r="D55"/>
      <c r="E55"/>
      <c r="F55"/>
      <c r="G55"/>
      <c r="H55"/>
      <c r="I55"/>
      <c r="J55"/>
    </row>
    <row r="56" spans="1:172" x14ac:dyDescent="0.25">
      <c r="C56"/>
      <c r="D56"/>
      <c r="E56"/>
      <c r="F56"/>
      <c r="G56"/>
      <c r="H56"/>
      <c r="I56"/>
      <c r="J56"/>
    </row>
    <row r="57" spans="1:172" x14ac:dyDescent="0.25">
      <c r="C57"/>
      <c r="D57"/>
      <c r="E57"/>
      <c r="F57"/>
      <c r="G57"/>
      <c r="H57"/>
      <c r="I57"/>
      <c r="J57"/>
    </row>
    <row r="58" spans="1:172" x14ac:dyDescent="0.25">
      <c r="C58"/>
      <c r="D58"/>
      <c r="E58"/>
      <c r="F58"/>
      <c r="G58"/>
      <c r="H58"/>
      <c r="I58"/>
      <c r="J58"/>
    </row>
    <row r="59" spans="1:172" x14ac:dyDescent="0.25">
      <c r="C59"/>
      <c r="D59"/>
      <c r="E59"/>
      <c r="F59"/>
      <c r="G59"/>
      <c r="H59"/>
      <c r="I59"/>
      <c r="J59"/>
    </row>
    <row r="60" spans="1:172" x14ac:dyDescent="0.25">
      <c r="C60"/>
      <c r="D60"/>
      <c r="E60"/>
      <c r="F60"/>
      <c r="G60"/>
      <c r="H60"/>
      <c r="I60"/>
      <c r="J60"/>
    </row>
    <row r="61" spans="1:172" x14ac:dyDescent="0.25">
      <c r="C61"/>
      <c r="D61"/>
      <c r="E61"/>
      <c r="F61"/>
      <c r="G61"/>
      <c r="H61"/>
      <c r="I61"/>
      <c r="J61"/>
    </row>
    <row r="62" spans="1:172" x14ac:dyDescent="0.25">
      <c r="C62"/>
      <c r="D62"/>
      <c r="E62"/>
      <c r="F62"/>
      <c r="G62"/>
      <c r="H62"/>
      <c r="I62"/>
      <c r="J62"/>
    </row>
    <row r="63" spans="1:172" s="233" customFormat="1" x14ac:dyDescent="0.25">
      <c r="B63"/>
      <c r="C63"/>
      <c r="D63"/>
      <c r="E63"/>
      <c r="F63"/>
      <c r="G63"/>
      <c r="H63"/>
      <c r="I63"/>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row>
    <row r="64" spans="1:172" s="233" customFormat="1" x14ac:dyDescent="0.25">
      <c r="A64"/>
      <c r="B64"/>
      <c r="C64"/>
      <c r="D64"/>
      <c r="E64"/>
      <c r="F64"/>
      <c r="G64"/>
      <c r="H64"/>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row>
    <row r="65" spans="1:172" s="233" customFormat="1" x14ac:dyDescent="0.25">
      <c r="A65"/>
      <c r="B65"/>
      <c r="C65"/>
      <c r="D65"/>
      <c r="E65"/>
      <c r="F65"/>
      <c r="G65"/>
      <c r="H65"/>
      <c r="I65"/>
      <c r="J65"/>
      <c r="K65"/>
      <c r="L65"/>
      <c r="M65"/>
      <c r="N65"/>
      <c r="O65"/>
      <c r="P65"/>
      <c r="Q65"/>
      <c r="R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row>
    <row r="66" spans="1:172" x14ac:dyDescent="0.25">
      <c r="C66"/>
      <c r="D66"/>
      <c r="E66"/>
      <c r="F66"/>
      <c r="G66"/>
      <c r="H66"/>
      <c r="I66"/>
      <c r="J66"/>
      <c r="S66" s="233"/>
      <c r="T66" s="233"/>
      <c r="U66" s="233"/>
      <c r="V66" s="233"/>
      <c r="W66" s="233"/>
      <c r="X66" s="233"/>
      <c r="Y66" s="233"/>
      <c r="Z66" s="233"/>
      <c r="AA66" s="233"/>
      <c r="AB66" s="233"/>
      <c r="AC66" s="233"/>
      <c r="AD66" s="233"/>
      <c r="AE66" s="233"/>
      <c r="AF66" s="233"/>
      <c r="AG66" s="233"/>
      <c r="AH66" s="233"/>
      <c r="AI66" s="233"/>
      <c r="AJ66" s="233"/>
      <c r="AK66" s="233"/>
      <c r="AL66" s="233"/>
      <c r="AM66" s="233"/>
      <c r="AN66" s="233"/>
      <c r="AO66" s="233"/>
      <c r="AP66" s="233"/>
      <c r="AQ66" s="233"/>
      <c r="AR66" s="233"/>
      <c r="AS66" s="233"/>
      <c r="AT66" s="233"/>
      <c r="AU66" s="233"/>
      <c r="AV66" s="233"/>
      <c r="AW66" s="233"/>
      <c r="AX66" s="233"/>
    </row>
    <row r="67" spans="1:172" x14ac:dyDescent="0.25">
      <c r="C67"/>
      <c r="D67"/>
      <c r="E67"/>
      <c r="F67"/>
      <c r="G67"/>
      <c r="H67"/>
      <c r="I67"/>
      <c r="J67"/>
      <c r="S67" s="233"/>
      <c r="T67" s="233"/>
      <c r="U67" s="233"/>
      <c r="V67" s="233"/>
      <c r="W67" s="233"/>
      <c r="X67" s="233"/>
      <c r="Y67" s="233"/>
      <c r="Z67" s="233"/>
      <c r="AA67" s="233"/>
      <c r="AB67" s="233"/>
      <c r="AC67" s="233"/>
      <c r="AD67" s="233"/>
      <c r="AE67" s="233"/>
      <c r="AF67" s="233"/>
      <c r="AG67" s="233"/>
      <c r="AH67" s="233"/>
      <c r="AI67" s="233"/>
      <c r="AJ67" s="233"/>
      <c r="AK67" s="233"/>
      <c r="AL67" s="233"/>
      <c r="AM67" s="233"/>
      <c r="AN67" s="233"/>
      <c r="AO67" s="233"/>
      <c r="AP67" s="233"/>
      <c r="AQ67" s="233"/>
      <c r="AR67" s="233"/>
      <c r="AS67" s="233"/>
      <c r="AT67" s="233"/>
      <c r="AU67" s="233"/>
      <c r="AV67" s="233"/>
      <c r="AW67" s="233"/>
      <c r="AX67" s="233"/>
    </row>
    <row r="68" spans="1:172" x14ac:dyDescent="0.25">
      <c r="C68"/>
      <c r="D68"/>
      <c r="E68"/>
      <c r="F68"/>
      <c r="G68"/>
      <c r="H68"/>
      <c r="I68"/>
      <c r="J68"/>
      <c r="S68" s="233"/>
      <c r="T68" s="233"/>
      <c r="U68" s="233"/>
      <c r="V68" s="233"/>
      <c r="W68" s="233"/>
      <c r="X68" s="233"/>
      <c r="Y68" s="233"/>
      <c r="Z68" s="233"/>
      <c r="AA68" s="233"/>
      <c r="AB68" s="233"/>
      <c r="AC68" s="233"/>
      <c r="AD68" s="233"/>
      <c r="AE68" s="233"/>
      <c r="AF68" s="233"/>
      <c r="AG68" s="233"/>
      <c r="AH68" s="233"/>
      <c r="AI68" s="233"/>
      <c r="AJ68" s="233"/>
      <c r="AK68" s="233"/>
      <c r="AL68" s="233"/>
      <c r="AM68" s="233"/>
      <c r="AN68" s="233"/>
      <c r="AO68" s="233"/>
      <c r="AP68" s="233"/>
      <c r="AQ68" s="233"/>
      <c r="AR68" s="233"/>
      <c r="AS68" s="233"/>
      <c r="AT68" s="233"/>
      <c r="AU68" s="233"/>
      <c r="AV68" s="233"/>
      <c r="AW68" s="233"/>
      <c r="AX68" s="233"/>
    </row>
    <row r="69" spans="1:172" x14ac:dyDescent="0.25">
      <c r="C69"/>
      <c r="D69"/>
      <c r="E69"/>
      <c r="F69"/>
      <c r="G69"/>
      <c r="H69"/>
      <c r="I69"/>
      <c r="J69"/>
      <c r="S69" s="233"/>
      <c r="T69" s="233"/>
      <c r="U69" s="233"/>
      <c r="V69" s="233"/>
      <c r="W69" s="233"/>
      <c r="X69" s="233"/>
      <c r="Y69" s="233"/>
      <c r="Z69" s="233"/>
      <c r="AA69" s="233"/>
      <c r="AB69" s="233"/>
      <c r="AC69" s="233"/>
      <c r="AD69" s="233"/>
      <c r="AE69" s="233"/>
      <c r="AF69" s="233"/>
      <c r="AG69" s="233"/>
      <c r="AH69" s="233"/>
      <c r="AI69" s="233"/>
      <c r="AJ69" s="233"/>
      <c r="AK69" s="233"/>
      <c r="AL69" s="233"/>
      <c r="AM69" s="233"/>
      <c r="AN69" s="233"/>
      <c r="AO69" s="233"/>
      <c r="AP69" s="233"/>
      <c r="AQ69" s="233"/>
      <c r="AR69" s="233"/>
      <c r="AS69" s="233"/>
      <c r="AT69" s="233"/>
      <c r="AU69" s="233"/>
      <c r="AV69" s="233"/>
      <c r="AW69" s="233"/>
      <c r="AX69" s="233"/>
    </row>
    <row r="70" spans="1:172" x14ac:dyDescent="0.25">
      <c r="C70"/>
      <c r="D70"/>
      <c r="E70"/>
      <c r="F70"/>
      <c r="G70"/>
      <c r="H70"/>
      <c r="I70"/>
      <c r="J70"/>
      <c r="S70" s="233"/>
      <c r="T70" s="233"/>
      <c r="U70" s="233"/>
      <c r="V70" s="233"/>
      <c r="W70" s="233"/>
      <c r="X70" s="233"/>
      <c r="Y70" s="233"/>
      <c r="Z70" s="233"/>
      <c r="AA70" s="233"/>
      <c r="AB70" s="233"/>
      <c r="AC70" s="233"/>
      <c r="AD70" s="233"/>
      <c r="AE70" s="233"/>
      <c r="AF70" s="233"/>
      <c r="AG70" s="233"/>
      <c r="AH70" s="233"/>
      <c r="AI70" s="233"/>
      <c r="AJ70" s="233"/>
      <c r="AK70" s="233"/>
      <c r="AL70" s="233"/>
      <c r="AM70" s="233"/>
      <c r="AN70" s="233"/>
      <c r="AO70" s="233"/>
      <c r="AP70" s="233"/>
      <c r="AQ70" s="233"/>
      <c r="AR70" s="233"/>
      <c r="AS70" s="233"/>
      <c r="AT70" s="233"/>
      <c r="AU70" s="233"/>
      <c r="AV70" s="233"/>
      <c r="AW70" s="233"/>
      <c r="AX70" s="233"/>
    </row>
    <row r="71" spans="1:172" x14ac:dyDescent="0.25">
      <c r="C71"/>
      <c r="D71"/>
      <c r="E71"/>
      <c r="F71"/>
      <c r="G71"/>
      <c r="H71"/>
      <c r="I71"/>
      <c r="J71"/>
      <c r="S71" s="233"/>
      <c r="T71" s="233"/>
      <c r="U71" s="233"/>
      <c r="V71" s="233"/>
      <c r="W71" s="233"/>
      <c r="X71" s="233"/>
      <c r="Y71" s="233"/>
      <c r="Z71" s="233"/>
      <c r="AA71" s="233"/>
      <c r="AB71" s="233"/>
      <c r="AC71" s="233"/>
      <c r="AD71" s="233"/>
      <c r="AE71" s="233"/>
      <c r="AF71" s="233"/>
      <c r="AG71" s="233"/>
      <c r="AH71" s="233"/>
      <c r="AI71" s="233"/>
      <c r="AJ71" s="233"/>
      <c r="AK71" s="233"/>
      <c r="AL71" s="233"/>
      <c r="AM71" s="233"/>
      <c r="AN71" s="233"/>
      <c r="AO71" s="233"/>
      <c r="AP71" s="233"/>
      <c r="AQ71" s="233"/>
      <c r="AR71" s="233"/>
      <c r="AS71" s="233"/>
      <c r="AT71" s="233"/>
      <c r="AU71" s="233"/>
      <c r="AV71" s="233"/>
      <c r="AW71" s="233"/>
      <c r="AX71" s="233"/>
    </row>
    <row r="72" spans="1:172" x14ac:dyDescent="0.25">
      <c r="C72"/>
      <c r="D72"/>
      <c r="E72"/>
      <c r="F72"/>
      <c r="G72"/>
      <c r="H72"/>
      <c r="I72"/>
      <c r="J72"/>
    </row>
    <row r="73" spans="1:172" x14ac:dyDescent="0.25">
      <c r="C73"/>
      <c r="D73"/>
      <c r="E73"/>
      <c r="F73"/>
      <c r="G73"/>
      <c r="H73"/>
      <c r="I73"/>
      <c r="J73"/>
    </row>
    <row r="74" spans="1:172" x14ac:dyDescent="0.25">
      <c r="C74"/>
      <c r="D74"/>
      <c r="E74"/>
      <c r="F74"/>
      <c r="G74"/>
      <c r="H74"/>
      <c r="I74"/>
      <c r="J74"/>
    </row>
    <row r="75" spans="1:172" x14ac:dyDescent="0.25">
      <c r="C75"/>
      <c r="D75"/>
      <c r="E75"/>
      <c r="F75"/>
      <c r="G75"/>
      <c r="H75"/>
      <c r="I75"/>
      <c r="J75"/>
    </row>
    <row r="76" spans="1:172" x14ac:dyDescent="0.25">
      <c r="C76"/>
      <c r="D76"/>
      <c r="E76"/>
      <c r="F76"/>
      <c r="G76"/>
      <c r="H76"/>
      <c r="I76"/>
      <c r="J76"/>
    </row>
    <row r="77" spans="1:172" x14ac:dyDescent="0.25">
      <c r="C77"/>
      <c r="D77"/>
      <c r="E77"/>
      <c r="F77"/>
      <c r="G77"/>
      <c r="H77"/>
      <c r="I77"/>
      <c r="J77"/>
    </row>
    <row r="78" spans="1:172" x14ac:dyDescent="0.25">
      <c r="C78"/>
      <c r="D78"/>
      <c r="E78"/>
      <c r="F78"/>
      <c r="G78"/>
      <c r="H78"/>
      <c r="I78"/>
      <c r="J78"/>
    </row>
    <row r="79" spans="1:172" x14ac:dyDescent="0.25">
      <c r="C79"/>
      <c r="D79"/>
      <c r="E79"/>
      <c r="F79"/>
      <c r="G79"/>
      <c r="H79"/>
      <c r="I79"/>
      <c r="J79"/>
    </row>
    <row r="80" spans="1:172" x14ac:dyDescent="0.25">
      <c r="C80"/>
      <c r="D80"/>
      <c r="E80"/>
      <c r="F80"/>
      <c r="G80"/>
      <c r="H80"/>
      <c r="I80"/>
      <c r="J80"/>
    </row>
    <row r="81" spans="3:10" x14ac:dyDescent="0.25">
      <c r="C81"/>
      <c r="D81"/>
      <c r="E81"/>
      <c r="F81"/>
      <c r="G81"/>
      <c r="H81"/>
      <c r="I81"/>
      <c r="J81"/>
    </row>
    <row r="82" spans="3:10" x14ac:dyDescent="0.25">
      <c r="C82"/>
      <c r="D82"/>
      <c r="E82"/>
      <c r="F82"/>
      <c r="G82"/>
      <c r="H82"/>
      <c r="I82"/>
      <c r="J82"/>
    </row>
    <row r="83" spans="3:10" x14ac:dyDescent="0.25">
      <c r="C83"/>
      <c r="D83"/>
      <c r="E83"/>
      <c r="F83"/>
      <c r="G83"/>
      <c r="H83"/>
      <c r="I83"/>
      <c r="J83"/>
    </row>
    <row r="84" spans="3:10" x14ac:dyDescent="0.25">
      <c r="C84"/>
      <c r="D84"/>
      <c r="E84"/>
      <c r="F84"/>
      <c r="G84"/>
      <c r="H84"/>
      <c r="I84"/>
      <c r="J84"/>
    </row>
    <row r="85" spans="3:10" x14ac:dyDescent="0.25">
      <c r="C85"/>
      <c r="D85"/>
      <c r="E85"/>
      <c r="F85"/>
      <c r="G85"/>
      <c r="H85"/>
      <c r="I85"/>
      <c r="J85"/>
    </row>
    <row r="86" spans="3:10" x14ac:dyDescent="0.25">
      <c r="C86"/>
      <c r="D86"/>
      <c r="E86"/>
      <c r="F86"/>
      <c r="G86"/>
      <c r="H86"/>
      <c r="I86"/>
      <c r="J86"/>
    </row>
    <row r="87" spans="3:10" x14ac:dyDescent="0.25">
      <c r="C87"/>
      <c r="D87"/>
      <c r="E87"/>
      <c r="F87"/>
      <c r="G87"/>
      <c r="H87"/>
      <c r="I87"/>
      <c r="J87"/>
    </row>
    <row r="88" spans="3:10" x14ac:dyDescent="0.25">
      <c r="C88"/>
      <c r="D88"/>
      <c r="E88"/>
      <c r="F88"/>
      <c r="G88"/>
      <c r="H88"/>
      <c r="I88"/>
      <c r="J88"/>
    </row>
    <row r="89" spans="3:10" x14ac:dyDescent="0.25">
      <c r="C89"/>
      <c r="D89"/>
      <c r="E89"/>
      <c r="F89"/>
      <c r="G89"/>
      <c r="H89"/>
      <c r="I89"/>
      <c r="J89"/>
    </row>
    <row r="90" spans="3:10" x14ac:dyDescent="0.25">
      <c r="C90"/>
      <c r="D90"/>
      <c r="E90"/>
      <c r="F90"/>
      <c r="G90"/>
      <c r="H90"/>
      <c r="I90"/>
      <c r="J90"/>
    </row>
    <row r="91" spans="3:10" x14ac:dyDescent="0.25">
      <c r="C91"/>
      <c r="D91"/>
      <c r="E91"/>
      <c r="F91"/>
      <c r="G91"/>
      <c r="H91"/>
      <c r="I91"/>
      <c r="J91"/>
    </row>
    <row r="92" spans="3:10" x14ac:dyDescent="0.25">
      <c r="C92"/>
      <c r="D92"/>
      <c r="E92"/>
      <c r="F92"/>
      <c r="G92"/>
      <c r="H92"/>
      <c r="I92"/>
      <c r="J92"/>
    </row>
    <row r="93" spans="3:10" x14ac:dyDescent="0.25">
      <c r="C93"/>
      <c r="D93"/>
      <c r="E93"/>
      <c r="F93"/>
      <c r="G93"/>
      <c r="H93"/>
      <c r="I93"/>
      <c r="J93"/>
    </row>
    <row r="94" spans="3:10" x14ac:dyDescent="0.25">
      <c r="C94"/>
      <c r="D94"/>
      <c r="E94"/>
      <c r="F94"/>
      <c r="G94"/>
      <c r="H94"/>
      <c r="I94"/>
      <c r="J94"/>
    </row>
    <row r="95" spans="3:10" x14ac:dyDescent="0.25">
      <c r="C95"/>
      <c r="D95"/>
      <c r="E95"/>
      <c r="F95"/>
      <c r="G95"/>
      <c r="H95"/>
      <c r="I95"/>
      <c r="J95"/>
    </row>
    <row r="96" spans="3:10" x14ac:dyDescent="0.25">
      <c r="C96"/>
      <c r="D96"/>
      <c r="E96"/>
      <c r="F96"/>
      <c r="G96"/>
      <c r="H96"/>
      <c r="I96"/>
      <c r="J96"/>
    </row>
    <row r="97" customFormat="1" x14ac:dyDescent="0.25"/>
    <row r="98" customFormat="1" x14ac:dyDescent="0.25"/>
    <row r="99" customFormat="1" x14ac:dyDescent="0.25"/>
    <row r="100" customFormat="1" x14ac:dyDescent="0.25"/>
    <row r="101" customFormat="1" x14ac:dyDescent="0.25"/>
    <row r="102" customFormat="1" x14ac:dyDescent="0.25"/>
    <row r="103" customFormat="1" x14ac:dyDescent="0.25"/>
    <row r="104" customFormat="1" x14ac:dyDescent="0.25"/>
    <row r="105" customFormat="1" x14ac:dyDescent="0.25"/>
    <row r="106" customFormat="1" x14ac:dyDescent="0.25"/>
  </sheetData>
  <pageMargins left="0.7" right="0.7" top="0.75" bottom="0.75" header="0.3" footer="0.3"/>
  <pageSetup paperSize="9" fitToHeight="0" orientation="landscape"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FFC000"/>
    <pageSetUpPr fitToPage="1"/>
  </sheetPr>
  <dimension ref="A1:B1298"/>
  <sheetViews>
    <sheetView zoomScale="130" zoomScaleNormal="130" workbookViewId="0">
      <selection activeCell="A12" sqref="A12"/>
    </sheetView>
  </sheetViews>
  <sheetFormatPr defaultRowHeight="15" x14ac:dyDescent="0.25"/>
  <cols>
    <col min="1" max="1" width="56.28515625" style="2" customWidth="1"/>
    <col min="2" max="2" width="28.7109375" style="36" bestFit="1" customWidth="1"/>
    <col min="3" max="4" width="15.140625" bestFit="1" customWidth="1"/>
    <col min="5" max="5" width="14.7109375" customWidth="1"/>
    <col min="6" max="6" width="15.140625" bestFit="1" customWidth="1"/>
    <col min="7" max="7" width="16.28515625" bestFit="1" customWidth="1"/>
    <col min="8" max="13" width="12.28515625" bestFit="1" customWidth="1"/>
    <col min="14" max="14" width="11.140625" bestFit="1" customWidth="1"/>
    <col min="15" max="15" width="15.140625" bestFit="1" customWidth="1"/>
    <col min="16" max="16" width="15.28515625" bestFit="1" customWidth="1"/>
    <col min="17" max="17" width="13.140625" bestFit="1" customWidth="1"/>
    <col min="18" max="18" width="15.140625" bestFit="1" customWidth="1"/>
    <col min="19" max="19" width="11.140625" bestFit="1" customWidth="1"/>
    <col min="20" max="20" width="10.140625" bestFit="1" customWidth="1"/>
    <col min="21" max="21" width="13.140625" bestFit="1" customWidth="1"/>
    <col min="22" max="22" width="10.28515625" bestFit="1" customWidth="1"/>
    <col min="23" max="24" width="10.140625" bestFit="1" customWidth="1"/>
    <col min="25" max="25" width="13.140625" bestFit="1" customWidth="1"/>
    <col min="26" max="26" width="10.28515625" bestFit="1" customWidth="1"/>
    <col min="27" max="28" width="10.140625" bestFit="1" customWidth="1"/>
    <col min="29" max="29" width="13.140625" bestFit="1" customWidth="1"/>
    <col min="30" max="30" width="10.28515625" bestFit="1" customWidth="1"/>
    <col min="31" max="32" width="10.140625" bestFit="1" customWidth="1"/>
    <col min="33" max="33" width="13.140625" bestFit="1" customWidth="1"/>
    <col min="34" max="34" width="11.140625" bestFit="1" customWidth="1"/>
    <col min="35" max="35" width="13.140625" bestFit="1" customWidth="1"/>
    <col min="36" max="36" width="12.7109375" bestFit="1" customWidth="1"/>
    <col min="37" max="37" width="9" bestFit="1" customWidth="1"/>
    <col min="38" max="41" width="11" bestFit="1" customWidth="1"/>
  </cols>
  <sheetData>
    <row r="1" spans="1:2" x14ac:dyDescent="0.25">
      <c r="A1"/>
      <c r="B1"/>
    </row>
    <row r="2" spans="1:2" x14ac:dyDescent="0.25">
      <c r="A2" s="4" t="s">
        <v>244</v>
      </c>
      <c r="B2" t="s" vm="2779">
        <v>245</v>
      </c>
    </row>
    <row r="4" spans="1:2" x14ac:dyDescent="0.25">
      <c r="A4" s="4" t="s">
        <v>242</v>
      </c>
      <c r="B4" s="94" t="s">
        <v>136</v>
      </c>
    </row>
    <row r="5" spans="1:2" x14ac:dyDescent="0.25">
      <c r="A5" s="6" t="s">
        <v>386</v>
      </c>
      <c r="B5" s="94">
        <v>244864813</v>
      </c>
    </row>
    <row r="6" spans="1:2" x14ac:dyDescent="0.25">
      <c r="A6" s="7" t="s">
        <v>564</v>
      </c>
      <c r="B6" s="94">
        <v>244864813</v>
      </c>
    </row>
    <row r="7" spans="1:2" x14ac:dyDescent="0.25">
      <c r="A7" s="174" t="s">
        <v>1476</v>
      </c>
      <c r="B7" s="94">
        <v>235143110</v>
      </c>
    </row>
    <row r="8" spans="1:2" x14ac:dyDescent="0.25">
      <c r="A8" s="174" t="s">
        <v>1477</v>
      </c>
      <c r="B8" s="94">
        <v>0</v>
      </c>
    </row>
    <row r="9" spans="1:2" x14ac:dyDescent="0.25">
      <c r="A9" s="174" t="s">
        <v>1478</v>
      </c>
      <c r="B9" s="94">
        <v>455000</v>
      </c>
    </row>
    <row r="10" spans="1:2" x14ac:dyDescent="0.25">
      <c r="A10" s="174" t="s">
        <v>1479</v>
      </c>
      <c r="B10" s="94">
        <v>166668</v>
      </c>
    </row>
    <row r="11" spans="1:2" x14ac:dyDescent="0.25">
      <c r="A11" s="174" t="s">
        <v>1480</v>
      </c>
      <c r="B11" s="94">
        <v>9100035</v>
      </c>
    </row>
    <row r="12" spans="1:2" x14ac:dyDescent="0.25">
      <c r="A12" s="6" t="s">
        <v>396</v>
      </c>
      <c r="B12" s="94">
        <v>6720400</v>
      </c>
    </row>
    <row r="13" spans="1:2" x14ac:dyDescent="0.25">
      <c r="A13" s="7" t="s">
        <v>555</v>
      </c>
      <c r="B13" s="94">
        <v>480000</v>
      </c>
    </row>
    <row r="14" spans="1:2" x14ac:dyDescent="0.25">
      <c r="A14" s="174" t="s">
        <v>1259</v>
      </c>
      <c r="B14" s="94">
        <v>20000</v>
      </c>
    </row>
    <row r="15" spans="1:2" x14ac:dyDescent="0.25">
      <c r="A15" s="174" t="s">
        <v>375</v>
      </c>
      <c r="B15" s="94">
        <v>460000</v>
      </c>
    </row>
    <row r="16" spans="1:2" x14ac:dyDescent="0.25">
      <c r="A16" s="7" t="s">
        <v>558</v>
      </c>
      <c r="B16" s="94">
        <v>2256000</v>
      </c>
    </row>
    <row r="17" spans="1:2" x14ac:dyDescent="0.25">
      <c r="A17" s="174" t="s">
        <v>374</v>
      </c>
      <c r="B17" s="94">
        <v>660000</v>
      </c>
    </row>
    <row r="18" spans="1:2" x14ac:dyDescent="0.25">
      <c r="A18" s="174" t="s">
        <v>373</v>
      </c>
      <c r="B18" s="94">
        <v>816000</v>
      </c>
    </row>
    <row r="19" spans="1:2" x14ac:dyDescent="0.25">
      <c r="A19" s="174" t="s">
        <v>1330</v>
      </c>
      <c r="B19" s="94">
        <v>780000</v>
      </c>
    </row>
    <row r="20" spans="1:2" x14ac:dyDescent="0.25">
      <c r="A20" s="174" t="s">
        <v>743</v>
      </c>
      <c r="B20" s="94">
        <v>0</v>
      </c>
    </row>
    <row r="21" spans="1:2" x14ac:dyDescent="0.25">
      <c r="A21" s="7" t="s">
        <v>559</v>
      </c>
      <c r="B21" s="94">
        <v>3984400</v>
      </c>
    </row>
    <row r="22" spans="1:2" x14ac:dyDescent="0.25">
      <c r="A22" s="174" t="s">
        <v>331</v>
      </c>
      <c r="B22" s="94">
        <v>1000000</v>
      </c>
    </row>
    <row r="23" spans="1:2" x14ac:dyDescent="0.25">
      <c r="A23" s="174" t="s">
        <v>328</v>
      </c>
      <c r="B23" s="94">
        <v>416400</v>
      </c>
    </row>
    <row r="24" spans="1:2" x14ac:dyDescent="0.25">
      <c r="A24" s="174" t="s">
        <v>330</v>
      </c>
      <c r="B24" s="94">
        <v>468000</v>
      </c>
    </row>
    <row r="25" spans="1:2" x14ac:dyDescent="0.25">
      <c r="A25" s="174" t="s">
        <v>778</v>
      </c>
      <c r="B25" s="94">
        <v>1200000</v>
      </c>
    </row>
    <row r="26" spans="1:2" x14ac:dyDescent="0.25">
      <c r="A26" s="174" t="s">
        <v>779</v>
      </c>
      <c r="B26" s="94">
        <v>900000</v>
      </c>
    </row>
    <row r="27" spans="1:2" x14ac:dyDescent="0.25">
      <c r="A27" s="173" t="s">
        <v>138</v>
      </c>
      <c r="B27" s="94">
        <v>251585213</v>
      </c>
    </row>
    <row r="28" spans="1:2" x14ac:dyDescent="0.25">
      <c r="A28"/>
      <c r="B28"/>
    </row>
    <row r="29" spans="1:2" x14ac:dyDescent="0.25">
      <c r="A29"/>
      <c r="B29"/>
    </row>
    <row r="30" spans="1:2" x14ac:dyDescent="0.25">
      <c r="A30"/>
      <c r="B30"/>
    </row>
    <row r="31" spans="1:2" x14ac:dyDescent="0.25">
      <c r="A31"/>
      <c r="B31"/>
    </row>
    <row r="32" spans="1:2" x14ac:dyDescent="0.25">
      <c r="A32"/>
      <c r="B32"/>
    </row>
    <row r="33" spans="1:2" x14ac:dyDescent="0.25">
      <c r="A33"/>
      <c r="B33"/>
    </row>
    <row r="34" spans="1:2" x14ac:dyDescent="0.25">
      <c r="A34"/>
      <c r="B34"/>
    </row>
    <row r="35" spans="1:2" x14ac:dyDescent="0.25">
      <c r="A35"/>
      <c r="B35"/>
    </row>
    <row r="36" spans="1:2" x14ac:dyDescent="0.25">
      <c r="A36"/>
      <c r="B36"/>
    </row>
    <row r="37" spans="1:2" x14ac:dyDescent="0.25">
      <c r="A37"/>
      <c r="B37"/>
    </row>
    <row r="38" spans="1:2" x14ac:dyDescent="0.25">
      <c r="A38"/>
      <c r="B38"/>
    </row>
    <row r="39" spans="1:2" x14ac:dyDescent="0.25">
      <c r="A39"/>
      <c r="B39"/>
    </row>
    <row r="40" spans="1:2" x14ac:dyDescent="0.25">
      <c r="A40"/>
      <c r="B40"/>
    </row>
    <row r="41" spans="1:2" x14ac:dyDescent="0.25">
      <c r="A41"/>
      <c r="B41"/>
    </row>
    <row r="42" spans="1:2" x14ac:dyDescent="0.25">
      <c r="A42"/>
      <c r="B42"/>
    </row>
    <row r="43" spans="1:2" x14ac:dyDescent="0.25">
      <c r="A43"/>
      <c r="B43"/>
    </row>
    <row r="44" spans="1:2" x14ac:dyDescent="0.25">
      <c r="A44"/>
      <c r="B44"/>
    </row>
    <row r="45" spans="1:2" x14ac:dyDescent="0.25">
      <c r="A45"/>
      <c r="B45"/>
    </row>
    <row r="46" spans="1:2" x14ac:dyDescent="0.25">
      <c r="A46"/>
      <c r="B46"/>
    </row>
    <row r="47" spans="1:2" x14ac:dyDescent="0.25">
      <c r="A47"/>
      <c r="B47"/>
    </row>
    <row r="48" spans="1:2" x14ac:dyDescent="0.25">
      <c r="A48"/>
      <c r="B48"/>
    </row>
    <row r="49" spans="1:2" x14ac:dyDescent="0.25">
      <c r="A49"/>
      <c r="B49"/>
    </row>
    <row r="50" spans="1:2" x14ac:dyDescent="0.25">
      <c r="A50"/>
      <c r="B50"/>
    </row>
    <row r="51" spans="1:2" x14ac:dyDescent="0.25">
      <c r="A51"/>
      <c r="B51"/>
    </row>
    <row r="52" spans="1:2" x14ac:dyDescent="0.25">
      <c r="A52"/>
      <c r="B52"/>
    </row>
    <row r="53" spans="1:2" x14ac:dyDescent="0.25">
      <c r="A53"/>
      <c r="B53"/>
    </row>
    <row r="54" spans="1:2" x14ac:dyDescent="0.25">
      <c r="A54"/>
      <c r="B54"/>
    </row>
    <row r="55" spans="1:2" x14ac:dyDescent="0.25">
      <c r="A55"/>
      <c r="B55"/>
    </row>
    <row r="56" spans="1:2" x14ac:dyDescent="0.25">
      <c r="A56"/>
      <c r="B56"/>
    </row>
    <row r="57" spans="1:2" x14ac:dyDescent="0.25">
      <c r="A57"/>
      <c r="B57"/>
    </row>
    <row r="58" spans="1:2" x14ac:dyDescent="0.25">
      <c r="A58"/>
      <c r="B58"/>
    </row>
    <row r="59" spans="1:2" x14ac:dyDescent="0.25">
      <c r="A59"/>
      <c r="B59"/>
    </row>
    <row r="60" spans="1:2" x14ac:dyDescent="0.25">
      <c r="A60"/>
      <c r="B60"/>
    </row>
    <row r="61" spans="1:2" x14ac:dyDescent="0.25">
      <c r="A61"/>
      <c r="B61"/>
    </row>
    <row r="62" spans="1:2" x14ac:dyDescent="0.25">
      <c r="A62"/>
      <c r="B62"/>
    </row>
    <row r="63" spans="1:2" x14ac:dyDescent="0.25">
      <c r="A63"/>
      <c r="B63"/>
    </row>
    <row r="64" spans="1:2" x14ac:dyDescent="0.25">
      <c r="A64"/>
      <c r="B64"/>
    </row>
    <row r="65" spans="1:2" x14ac:dyDescent="0.25">
      <c r="A65"/>
      <c r="B65"/>
    </row>
    <row r="66" spans="1:2" x14ac:dyDescent="0.25">
      <c r="A66"/>
      <c r="B66"/>
    </row>
    <row r="67" spans="1:2" x14ac:dyDescent="0.25">
      <c r="A67"/>
      <c r="B67"/>
    </row>
    <row r="68" spans="1:2" x14ac:dyDescent="0.25">
      <c r="A68"/>
      <c r="B68"/>
    </row>
    <row r="69" spans="1:2" x14ac:dyDescent="0.25">
      <c r="A69"/>
      <c r="B69"/>
    </row>
    <row r="70" spans="1:2" x14ac:dyDescent="0.25">
      <c r="A70"/>
      <c r="B70"/>
    </row>
    <row r="71" spans="1:2" x14ac:dyDescent="0.25">
      <c r="A71"/>
      <c r="B71"/>
    </row>
    <row r="72" spans="1:2" x14ac:dyDescent="0.25">
      <c r="A72"/>
      <c r="B72"/>
    </row>
    <row r="73" spans="1:2" x14ac:dyDescent="0.25">
      <c r="A73"/>
      <c r="B73"/>
    </row>
    <row r="74" spans="1:2" x14ac:dyDescent="0.25">
      <c r="A74"/>
      <c r="B74"/>
    </row>
    <row r="75" spans="1:2" x14ac:dyDescent="0.25">
      <c r="A75"/>
      <c r="B75"/>
    </row>
    <row r="76" spans="1:2" x14ac:dyDescent="0.25">
      <c r="A76"/>
      <c r="B76"/>
    </row>
    <row r="77" spans="1:2" x14ac:dyDescent="0.25">
      <c r="A77"/>
      <c r="B77"/>
    </row>
    <row r="78" spans="1:2" x14ac:dyDescent="0.25">
      <c r="A78"/>
      <c r="B78"/>
    </row>
    <row r="79" spans="1:2" x14ac:dyDescent="0.25">
      <c r="A79"/>
      <c r="B79"/>
    </row>
    <row r="80" spans="1:2" x14ac:dyDescent="0.25">
      <c r="A80"/>
      <c r="B80"/>
    </row>
    <row r="81" spans="1:2" x14ac:dyDescent="0.25">
      <c r="A81"/>
      <c r="B81"/>
    </row>
    <row r="82" spans="1:2" x14ac:dyDescent="0.25">
      <c r="A82"/>
      <c r="B82"/>
    </row>
    <row r="83" spans="1:2" x14ac:dyDescent="0.25">
      <c r="A83"/>
      <c r="B83"/>
    </row>
    <row r="84" spans="1:2" x14ac:dyDescent="0.25">
      <c r="A84"/>
      <c r="B84"/>
    </row>
    <row r="85" spans="1:2" x14ac:dyDescent="0.25">
      <c r="A85"/>
      <c r="B85"/>
    </row>
    <row r="86" spans="1:2" x14ac:dyDescent="0.25">
      <c r="A86"/>
      <c r="B86"/>
    </row>
    <row r="87" spans="1:2" x14ac:dyDescent="0.25">
      <c r="A87"/>
      <c r="B87"/>
    </row>
    <row r="88" spans="1:2" x14ac:dyDescent="0.25">
      <c r="A88"/>
      <c r="B88"/>
    </row>
    <row r="89" spans="1:2" x14ac:dyDescent="0.25">
      <c r="A89"/>
      <c r="B89"/>
    </row>
    <row r="90" spans="1:2" x14ac:dyDescent="0.25">
      <c r="A90"/>
      <c r="B90"/>
    </row>
    <row r="91" spans="1:2" x14ac:dyDescent="0.25">
      <c r="A91"/>
      <c r="B91"/>
    </row>
    <row r="92" spans="1:2" x14ac:dyDescent="0.25">
      <c r="A92"/>
      <c r="B92"/>
    </row>
    <row r="93" spans="1:2" x14ac:dyDescent="0.25">
      <c r="A93"/>
      <c r="B93"/>
    </row>
    <row r="94" spans="1:2" x14ac:dyDescent="0.25">
      <c r="A94"/>
      <c r="B94"/>
    </row>
    <row r="95" spans="1:2" x14ac:dyDescent="0.25">
      <c r="A95"/>
      <c r="B95"/>
    </row>
    <row r="96" spans="1:2" x14ac:dyDescent="0.25">
      <c r="A96"/>
      <c r="B96"/>
    </row>
    <row r="97" spans="1:2" x14ac:dyDescent="0.25">
      <c r="A97"/>
      <c r="B97"/>
    </row>
    <row r="98" spans="1:2" x14ac:dyDescent="0.25">
      <c r="A98"/>
      <c r="B98"/>
    </row>
    <row r="99" spans="1:2" x14ac:dyDescent="0.25">
      <c r="A99"/>
      <c r="B99"/>
    </row>
    <row r="100" spans="1:2" x14ac:dyDescent="0.25">
      <c r="A100"/>
      <c r="B100"/>
    </row>
    <row r="101" spans="1:2" x14ac:dyDescent="0.25">
      <c r="A101"/>
      <c r="B101"/>
    </row>
    <row r="102" spans="1:2" x14ac:dyDescent="0.25">
      <c r="A102"/>
      <c r="B102"/>
    </row>
    <row r="103" spans="1:2" x14ac:dyDescent="0.25">
      <c r="A103"/>
      <c r="B103"/>
    </row>
    <row r="104" spans="1:2" x14ac:dyDescent="0.25">
      <c r="A104"/>
      <c r="B104"/>
    </row>
    <row r="105" spans="1:2" x14ac:dyDescent="0.25">
      <c r="A105"/>
      <c r="B105"/>
    </row>
    <row r="106" spans="1:2" x14ac:dyDescent="0.25">
      <c r="A106"/>
      <c r="B106"/>
    </row>
    <row r="107" spans="1:2" x14ac:dyDescent="0.25">
      <c r="A107"/>
      <c r="B107"/>
    </row>
    <row r="108" spans="1:2" x14ac:dyDescent="0.25">
      <c r="A108"/>
      <c r="B108"/>
    </row>
    <row r="109" spans="1:2" x14ac:dyDescent="0.25">
      <c r="A109"/>
      <c r="B109"/>
    </row>
    <row r="110" spans="1:2" x14ac:dyDescent="0.25">
      <c r="A110"/>
      <c r="B110"/>
    </row>
    <row r="111" spans="1:2" x14ac:dyDescent="0.25">
      <c r="A111"/>
      <c r="B111"/>
    </row>
    <row r="112" spans="1:2" x14ac:dyDescent="0.25">
      <c r="A112"/>
      <c r="B112"/>
    </row>
    <row r="113" spans="1:2" x14ac:dyDescent="0.25">
      <c r="A113"/>
      <c r="B113"/>
    </row>
    <row r="114" spans="1:2" x14ac:dyDescent="0.25">
      <c r="A114"/>
      <c r="B114"/>
    </row>
    <row r="115" spans="1:2" x14ac:dyDescent="0.25">
      <c r="A115"/>
      <c r="B115"/>
    </row>
    <row r="116" spans="1:2" x14ac:dyDescent="0.25">
      <c r="A116"/>
      <c r="B116"/>
    </row>
    <row r="117" spans="1:2" x14ac:dyDescent="0.25">
      <c r="A117"/>
      <c r="B117"/>
    </row>
    <row r="118" spans="1:2" x14ac:dyDescent="0.25">
      <c r="A118"/>
      <c r="B118"/>
    </row>
    <row r="119" spans="1:2" x14ac:dyDescent="0.25">
      <c r="A119"/>
      <c r="B119"/>
    </row>
    <row r="120" spans="1:2" x14ac:dyDescent="0.25">
      <c r="A120"/>
      <c r="B120"/>
    </row>
    <row r="121" spans="1:2" x14ac:dyDescent="0.25">
      <c r="A121"/>
      <c r="B121"/>
    </row>
    <row r="122" spans="1:2" x14ac:dyDescent="0.25">
      <c r="A122"/>
      <c r="B122"/>
    </row>
    <row r="123" spans="1:2" x14ac:dyDescent="0.25">
      <c r="A123"/>
      <c r="B123"/>
    </row>
    <row r="124" spans="1:2" x14ac:dyDescent="0.25">
      <c r="A124"/>
      <c r="B124"/>
    </row>
    <row r="125" spans="1:2" x14ac:dyDescent="0.25">
      <c r="A125"/>
      <c r="B125"/>
    </row>
    <row r="126" spans="1:2" x14ac:dyDescent="0.25">
      <c r="A126"/>
      <c r="B126"/>
    </row>
    <row r="127" spans="1:2" x14ac:dyDescent="0.25">
      <c r="A127"/>
      <c r="B127"/>
    </row>
    <row r="128" spans="1:2" x14ac:dyDescent="0.25">
      <c r="A128"/>
      <c r="B128"/>
    </row>
    <row r="129" spans="1:2" x14ac:dyDescent="0.25">
      <c r="A129"/>
      <c r="B129"/>
    </row>
    <row r="130" spans="1:2" x14ac:dyDescent="0.25">
      <c r="A130"/>
      <c r="B130"/>
    </row>
    <row r="131" spans="1:2" x14ac:dyDescent="0.25">
      <c r="A131"/>
      <c r="B131"/>
    </row>
    <row r="132" spans="1:2" x14ac:dyDescent="0.25">
      <c r="A132"/>
      <c r="B132"/>
    </row>
    <row r="133" spans="1:2" x14ac:dyDescent="0.25">
      <c r="A133"/>
      <c r="B133"/>
    </row>
    <row r="134" spans="1:2" x14ac:dyDescent="0.25">
      <c r="A134"/>
      <c r="B134"/>
    </row>
    <row r="135" spans="1:2" x14ac:dyDescent="0.25">
      <c r="A135"/>
      <c r="B135"/>
    </row>
    <row r="136" spans="1:2" x14ac:dyDescent="0.25">
      <c r="A136"/>
      <c r="B136"/>
    </row>
    <row r="137" spans="1:2" x14ac:dyDescent="0.25">
      <c r="A137"/>
      <c r="B137"/>
    </row>
    <row r="138" spans="1:2" x14ac:dyDescent="0.25">
      <c r="A138"/>
      <c r="B138"/>
    </row>
    <row r="139" spans="1:2" x14ac:dyDescent="0.25">
      <c r="A139"/>
      <c r="B139"/>
    </row>
    <row r="140" spans="1:2" x14ac:dyDescent="0.25">
      <c r="A140"/>
      <c r="B140"/>
    </row>
    <row r="141" spans="1:2" x14ac:dyDescent="0.25">
      <c r="A141"/>
      <c r="B141"/>
    </row>
    <row r="142" spans="1:2" x14ac:dyDescent="0.25">
      <c r="A142"/>
      <c r="B142"/>
    </row>
    <row r="143" spans="1:2" x14ac:dyDescent="0.25">
      <c r="A143"/>
      <c r="B143"/>
    </row>
    <row r="144" spans="1:2" x14ac:dyDescent="0.25">
      <c r="A144"/>
      <c r="B144"/>
    </row>
    <row r="145" spans="1:2" x14ac:dyDescent="0.25">
      <c r="A145"/>
      <c r="B145"/>
    </row>
    <row r="146" spans="1:2" x14ac:dyDescent="0.25">
      <c r="A146"/>
      <c r="B146"/>
    </row>
    <row r="147" spans="1:2" x14ac:dyDescent="0.25">
      <c r="A147"/>
      <c r="B147"/>
    </row>
    <row r="148" spans="1:2" x14ac:dyDescent="0.25">
      <c r="A148"/>
      <c r="B148"/>
    </row>
    <row r="149" spans="1:2" x14ac:dyDescent="0.25">
      <c r="A149"/>
      <c r="B149"/>
    </row>
    <row r="150" spans="1:2" x14ac:dyDescent="0.25">
      <c r="A150"/>
      <c r="B150"/>
    </row>
    <row r="151" spans="1:2" x14ac:dyDescent="0.25">
      <c r="A151"/>
      <c r="B151"/>
    </row>
    <row r="152" spans="1:2" x14ac:dyDescent="0.25">
      <c r="A152"/>
      <c r="B152"/>
    </row>
    <row r="153" spans="1:2" x14ac:dyDescent="0.25">
      <c r="A153"/>
      <c r="B153"/>
    </row>
    <row r="154" spans="1:2" x14ac:dyDescent="0.25">
      <c r="A154"/>
      <c r="B154"/>
    </row>
    <row r="155" spans="1:2" x14ac:dyDescent="0.25">
      <c r="A155"/>
      <c r="B155"/>
    </row>
    <row r="156" spans="1:2" x14ac:dyDescent="0.25">
      <c r="A156"/>
      <c r="B156"/>
    </row>
    <row r="157" spans="1:2" x14ac:dyDescent="0.25">
      <c r="A157"/>
      <c r="B157"/>
    </row>
    <row r="158" spans="1:2" x14ac:dyDescent="0.25">
      <c r="A158"/>
      <c r="B158"/>
    </row>
    <row r="159" spans="1:2" x14ac:dyDescent="0.25">
      <c r="A159"/>
      <c r="B159"/>
    </row>
    <row r="160" spans="1:2" x14ac:dyDescent="0.25">
      <c r="A160"/>
      <c r="B160"/>
    </row>
    <row r="161" spans="1:2" x14ac:dyDescent="0.25">
      <c r="A161"/>
      <c r="B161"/>
    </row>
    <row r="162" spans="1:2" x14ac:dyDescent="0.25">
      <c r="A162"/>
      <c r="B162"/>
    </row>
    <row r="163" spans="1:2" x14ac:dyDescent="0.25">
      <c r="A163"/>
      <c r="B163"/>
    </row>
    <row r="164" spans="1:2" x14ac:dyDescent="0.25">
      <c r="A164"/>
      <c r="B164"/>
    </row>
    <row r="165" spans="1:2" x14ac:dyDescent="0.25">
      <c r="A165"/>
      <c r="B165"/>
    </row>
    <row r="166" spans="1:2" x14ac:dyDescent="0.25">
      <c r="A166"/>
      <c r="B166"/>
    </row>
    <row r="167" spans="1:2" x14ac:dyDescent="0.25">
      <c r="A167"/>
      <c r="B167"/>
    </row>
    <row r="168" spans="1:2" x14ac:dyDescent="0.25">
      <c r="A168"/>
      <c r="B168"/>
    </row>
    <row r="169" spans="1:2" x14ac:dyDescent="0.25">
      <c r="A169"/>
      <c r="B169"/>
    </row>
    <row r="170" spans="1:2" x14ac:dyDescent="0.25">
      <c r="A170"/>
      <c r="B170"/>
    </row>
    <row r="171" spans="1:2" x14ac:dyDescent="0.25">
      <c r="A171"/>
      <c r="B171"/>
    </row>
    <row r="172" spans="1:2" x14ac:dyDescent="0.25">
      <c r="A172"/>
      <c r="B172"/>
    </row>
    <row r="173" spans="1:2" x14ac:dyDescent="0.25">
      <c r="A173"/>
      <c r="B173"/>
    </row>
    <row r="174" spans="1:2" x14ac:dyDescent="0.25">
      <c r="A174"/>
      <c r="B174"/>
    </row>
    <row r="175" spans="1:2" x14ac:dyDescent="0.25">
      <c r="A175"/>
      <c r="B175"/>
    </row>
    <row r="176" spans="1:2" x14ac:dyDescent="0.25">
      <c r="A176"/>
      <c r="B176"/>
    </row>
    <row r="177" spans="1:2" x14ac:dyDescent="0.25">
      <c r="A177"/>
      <c r="B177"/>
    </row>
    <row r="178" spans="1:2" x14ac:dyDescent="0.25">
      <c r="A178"/>
      <c r="B178"/>
    </row>
    <row r="179" spans="1:2" x14ac:dyDescent="0.25">
      <c r="A179"/>
      <c r="B179"/>
    </row>
    <row r="180" spans="1:2" x14ac:dyDescent="0.25">
      <c r="A180"/>
      <c r="B180"/>
    </row>
    <row r="181" spans="1:2" x14ac:dyDescent="0.25">
      <c r="A181"/>
      <c r="B181"/>
    </row>
    <row r="182" spans="1:2" x14ac:dyDescent="0.25">
      <c r="A182"/>
      <c r="B182"/>
    </row>
    <row r="183" spans="1:2" x14ac:dyDescent="0.25">
      <c r="A183"/>
      <c r="B183"/>
    </row>
    <row r="184" spans="1:2" x14ac:dyDescent="0.25">
      <c r="A184"/>
      <c r="B184"/>
    </row>
    <row r="185" spans="1:2" x14ac:dyDescent="0.25">
      <c r="A185"/>
      <c r="B185"/>
    </row>
    <row r="186" spans="1:2" x14ac:dyDescent="0.25">
      <c r="A186"/>
      <c r="B186"/>
    </row>
    <row r="187" spans="1:2" x14ac:dyDescent="0.25">
      <c r="A187"/>
      <c r="B187"/>
    </row>
    <row r="188" spans="1:2" x14ac:dyDescent="0.25">
      <c r="A188"/>
      <c r="B188"/>
    </row>
    <row r="189" spans="1:2" x14ac:dyDescent="0.25">
      <c r="A189"/>
      <c r="B189"/>
    </row>
    <row r="190" spans="1:2" x14ac:dyDescent="0.25">
      <c r="A190"/>
      <c r="B190"/>
    </row>
    <row r="191" spans="1:2" x14ac:dyDescent="0.25">
      <c r="A191"/>
      <c r="B191"/>
    </row>
    <row r="192" spans="1:2" x14ac:dyDescent="0.25">
      <c r="A192"/>
      <c r="B192"/>
    </row>
    <row r="193" spans="1:2" x14ac:dyDescent="0.25">
      <c r="A193"/>
      <c r="B193"/>
    </row>
    <row r="194" spans="1:2" x14ac:dyDescent="0.25">
      <c r="A194"/>
      <c r="B194"/>
    </row>
    <row r="195" spans="1:2" x14ac:dyDescent="0.25">
      <c r="A195"/>
      <c r="B195"/>
    </row>
    <row r="196" spans="1:2" x14ac:dyDescent="0.25">
      <c r="A196"/>
      <c r="B196"/>
    </row>
    <row r="197" spans="1:2" x14ac:dyDescent="0.25">
      <c r="A197"/>
      <c r="B197"/>
    </row>
    <row r="198" spans="1:2" x14ac:dyDescent="0.25">
      <c r="A198"/>
      <c r="B198"/>
    </row>
    <row r="199" spans="1:2" x14ac:dyDescent="0.25">
      <c r="A199"/>
      <c r="B199"/>
    </row>
    <row r="200" spans="1:2" x14ac:dyDescent="0.25">
      <c r="A200"/>
      <c r="B200"/>
    </row>
    <row r="201" spans="1:2" x14ac:dyDescent="0.25">
      <c r="A201"/>
      <c r="B201"/>
    </row>
    <row r="202" spans="1:2" x14ac:dyDescent="0.25">
      <c r="A202"/>
      <c r="B202"/>
    </row>
    <row r="203" spans="1:2" x14ac:dyDescent="0.25">
      <c r="A203"/>
      <c r="B203"/>
    </row>
    <row r="204" spans="1:2" x14ac:dyDescent="0.25">
      <c r="A204"/>
      <c r="B204"/>
    </row>
    <row r="205" spans="1:2" x14ac:dyDescent="0.25">
      <c r="A205"/>
      <c r="B205"/>
    </row>
    <row r="206" spans="1:2" x14ac:dyDescent="0.25">
      <c r="A206"/>
      <c r="B206"/>
    </row>
    <row r="207" spans="1:2" x14ac:dyDescent="0.25">
      <c r="A207"/>
      <c r="B207"/>
    </row>
    <row r="208" spans="1:2" x14ac:dyDescent="0.25">
      <c r="A208"/>
      <c r="B208"/>
    </row>
    <row r="209" spans="1:2" x14ac:dyDescent="0.25">
      <c r="A209"/>
      <c r="B209"/>
    </row>
    <row r="210" spans="1:2" x14ac:dyDescent="0.25">
      <c r="A210"/>
      <c r="B210"/>
    </row>
    <row r="211" spans="1:2" x14ac:dyDescent="0.25">
      <c r="A211"/>
      <c r="B211"/>
    </row>
    <row r="212" spans="1:2" x14ac:dyDescent="0.25">
      <c r="A212"/>
      <c r="B212"/>
    </row>
    <row r="213" spans="1:2" x14ac:dyDescent="0.25">
      <c r="A213"/>
      <c r="B213"/>
    </row>
    <row r="214" spans="1:2" x14ac:dyDescent="0.25">
      <c r="A214"/>
      <c r="B214"/>
    </row>
    <row r="215" spans="1:2" x14ac:dyDescent="0.25">
      <c r="A215"/>
      <c r="B215"/>
    </row>
    <row r="216" spans="1:2" x14ac:dyDescent="0.25">
      <c r="A216"/>
      <c r="B216"/>
    </row>
    <row r="217" spans="1:2" x14ac:dyDescent="0.25">
      <c r="A217"/>
      <c r="B217"/>
    </row>
    <row r="218" spans="1:2" x14ac:dyDescent="0.25">
      <c r="A218"/>
      <c r="B218"/>
    </row>
    <row r="219" spans="1:2" x14ac:dyDescent="0.25">
      <c r="A219"/>
      <c r="B219"/>
    </row>
    <row r="220" spans="1:2" x14ac:dyDescent="0.25">
      <c r="A220"/>
      <c r="B220"/>
    </row>
    <row r="221" spans="1:2" x14ac:dyDescent="0.25">
      <c r="A221"/>
      <c r="B221"/>
    </row>
    <row r="222" spans="1:2" x14ac:dyDescent="0.25">
      <c r="A222"/>
      <c r="B222"/>
    </row>
    <row r="223" spans="1:2" x14ac:dyDescent="0.25">
      <c r="A223"/>
      <c r="B223"/>
    </row>
    <row r="224" spans="1:2" x14ac:dyDescent="0.25">
      <c r="A224"/>
      <c r="B224"/>
    </row>
    <row r="225" spans="1:2" x14ac:dyDescent="0.25">
      <c r="A225"/>
      <c r="B225"/>
    </row>
    <row r="226" spans="1:2" x14ac:dyDescent="0.25">
      <c r="A226"/>
      <c r="B226"/>
    </row>
    <row r="227" spans="1:2" x14ac:dyDescent="0.25">
      <c r="A227"/>
      <c r="B227"/>
    </row>
    <row r="228" spans="1:2" x14ac:dyDescent="0.25">
      <c r="A228"/>
      <c r="B228"/>
    </row>
    <row r="229" spans="1:2" x14ac:dyDescent="0.25">
      <c r="A229"/>
      <c r="B229"/>
    </row>
    <row r="230" spans="1:2" x14ac:dyDescent="0.25">
      <c r="A230"/>
      <c r="B230"/>
    </row>
    <row r="231" spans="1:2" x14ac:dyDescent="0.25">
      <c r="A231"/>
      <c r="B231"/>
    </row>
    <row r="232" spans="1:2" x14ac:dyDescent="0.25">
      <c r="A232"/>
      <c r="B232"/>
    </row>
    <row r="233" spans="1:2" x14ac:dyDescent="0.25">
      <c r="A233"/>
      <c r="B233"/>
    </row>
    <row r="234" spans="1:2" x14ac:dyDescent="0.25">
      <c r="A234"/>
      <c r="B234"/>
    </row>
    <row r="235" spans="1:2" x14ac:dyDescent="0.25">
      <c r="A235"/>
      <c r="B235"/>
    </row>
    <row r="236" spans="1:2" x14ac:dyDescent="0.25">
      <c r="A236"/>
      <c r="B236"/>
    </row>
    <row r="237" spans="1:2" x14ac:dyDescent="0.25">
      <c r="A237"/>
      <c r="B237"/>
    </row>
    <row r="238" spans="1:2" x14ac:dyDescent="0.25">
      <c r="A238"/>
      <c r="B238"/>
    </row>
    <row r="239" spans="1:2" x14ac:dyDescent="0.25">
      <c r="A239"/>
      <c r="B239"/>
    </row>
    <row r="240" spans="1:2" x14ac:dyDescent="0.25">
      <c r="A240"/>
      <c r="B240"/>
    </row>
    <row r="241" spans="1:2" x14ac:dyDescent="0.25">
      <c r="A241"/>
      <c r="B241"/>
    </row>
    <row r="242" spans="1:2" x14ac:dyDescent="0.25">
      <c r="A242"/>
      <c r="B242"/>
    </row>
    <row r="243" spans="1:2" x14ac:dyDescent="0.25">
      <c r="A243"/>
      <c r="B243"/>
    </row>
    <row r="244" spans="1:2" x14ac:dyDescent="0.25">
      <c r="A244"/>
      <c r="B244"/>
    </row>
    <row r="245" spans="1:2" x14ac:dyDescent="0.25">
      <c r="A245"/>
      <c r="B245"/>
    </row>
    <row r="246" spans="1:2" x14ac:dyDescent="0.25">
      <c r="A246"/>
      <c r="B246"/>
    </row>
    <row r="247" spans="1:2" x14ac:dyDescent="0.25">
      <c r="A247"/>
      <c r="B247"/>
    </row>
    <row r="248" spans="1:2" x14ac:dyDescent="0.25">
      <c r="A248"/>
      <c r="B248"/>
    </row>
    <row r="249" spans="1:2" x14ac:dyDescent="0.25">
      <c r="A249"/>
      <c r="B249"/>
    </row>
    <row r="250" spans="1:2" x14ac:dyDescent="0.25">
      <c r="A250"/>
      <c r="B250"/>
    </row>
    <row r="251" spans="1:2" x14ac:dyDescent="0.25">
      <c r="A251"/>
      <c r="B251"/>
    </row>
    <row r="252" spans="1:2" x14ac:dyDescent="0.25">
      <c r="A252"/>
      <c r="B252"/>
    </row>
    <row r="253" spans="1:2" x14ac:dyDescent="0.25">
      <c r="A253"/>
      <c r="B253"/>
    </row>
    <row r="254" spans="1:2" x14ac:dyDescent="0.25">
      <c r="A254"/>
      <c r="B254"/>
    </row>
    <row r="255" spans="1:2" x14ac:dyDescent="0.25">
      <c r="A255"/>
      <c r="B255"/>
    </row>
    <row r="256" spans="1:2" x14ac:dyDescent="0.25">
      <c r="A256"/>
      <c r="B256"/>
    </row>
    <row r="257" spans="1:2" x14ac:dyDescent="0.25">
      <c r="A257"/>
      <c r="B257"/>
    </row>
    <row r="258" spans="1:2" x14ac:dyDescent="0.25">
      <c r="A258"/>
      <c r="B258"/>
    </row>
    <row r="259" spans="1:2" x14ac:dyDescent="0.25">
      <c r="A259"/>
      <c r="B259"/>
    </row>
    <row r="260" spans="1:2" x14ac:dyDescent="0.25">
      <c r="A260"/>
      <c r="B260"/>
    </row>
    <row r="261" spans="1:2" x14ac:dyDescent="0.25">
      <c r="A261"/>
      <c r="B261"/>
    </row>
    <row r="262" spans="1:2" x14ac:dyDescent="0.25">
      <c r="A262"/>
      <c r="B262"/>
    </row>
    <row r="263" spans="1:2" x14ac:dyDescent="0.25">
      <c r="A263"/>
      <c r="B263"/>
    </row>
    <row r="264" spans="1:2" x14ac:dyDescent="0.25">
      <c r="A264"/>
      <c r="B264"/>
    </row>
    <row r="265" spans="1:2" x14ac:dyDescent="0.25">
      <c r="A265"/>
      <c r="B265"/>
    </row>
    <row r="266" spans="1:2" x14ac:dyDescent="0.25">
      <c r="A266"/>
      <c r="B266"/>
    </row>
    <row r="267" spans="1:2" x14ac:dyDescent="0.25">
      <c r="A267"/>
      <c r="B267"/>
    </row>
    <row r="268" spans="1:2" x14ac:dyDescent="0.25">
      <c r="A268"/>
      <c r="B268"/>
    </row>
    <row r="269" spans="1:2" x14ac:dyDescent="0.25">
      <c r="A269"/>
      <c r="B269"/>
    </row>
    <row r="270" spans="1:2" x14ac:dyDescent="0.25">
      <c r="A270"/>
      <c r="B270"/>
    </row>
    <row r="271" spans="1:2" x14ac:dyDescent="0.25">
      <c r="A271"/>
      <c r="B271"/>
    </row>
    <row r="272" spans="1:2" x14ac:dyDescent="0.25">
      <c r="A272"/>
      <c r="B272"/>
    </row>
    <row r="273" spans="1:2" x14ac:dyDescent="0.25">
      <c r="A273"/>
      <c r="B273"/>
    </row>
    <row r="274" spans="1:2" x14ac:dyDescent="0.25">
      <c r="A274"/>
      <c r="B274"/>
    </row>
    <row r="275" spans="1:2" x14ac:dyDescent="0.25">
      <c r="A275"/>
      <c r="B275"/>
    </row>
    <row r="276" spans="1:2" x14ac:dyDescent="0.25">
      <c r="A276"/>
      <c r="B276"/>
    </row>
    <row r="277" spans="1:2" x14ac:dyDescent="0.25">
      <c r="A277"/>
      <c r="B277"/>
    </row>
    <row r="278" spans="1:2" x14ac:dyDescent="0.25">
      <c r="A278"/>
      <c r="B278"/>
    </row>
    <row r="279" spans="1:2" x14ac:dyDescent="0.25">
      <c r="A279"/>
      <c r="B279"/>
    </row>
    <row r="280" spans="1:2" x14ac:dyDescent="0.25">
      <c r="A280"/>
      <c r="B280"/>
    </row>
    <row r="281" spans="1:2" x14ac:dyDescent="0.25">
      <c r="A281"/>
      <c r="B281"/>
    </row>
    <row r="282" spans="1:2" x14ac:dyDescent="0.25">
      <c r="A282"/>
      <c r="B282"/>
    </row>
    <row r="283" spans="1:2" x14ac:dyDescent="0.25">
      <c r="A283"/>
      <c r="B283"/>
    </row>
    <row r="284" spans="1:2" x14ac:dyDescent="0.25">
      <c r="A284"/>
      <c r="B284"/>
    </row>
    <row r="285" spans="1:2" x14ac:dyDescent="0.25">
      <c r="A285"/>
      <c r="B285"/>
    </row>
    <row r="286" spans="1:2" x14ac:dyDescent="0.25">
      <c r="A286"/>
      <c r="B286"/>
    </row>
    <row r="287" spans="1:2" x14ac:dyDescent="0.25">
      <c r="A287"/>
      <c r="B287"/>
    </row>
    <row r="288" spans="1:2" x14ac:dyDescent="0.25">
      <c r="A288"/>
      <c r="B288"/>
    </row>
    <row r="289" spans="1:2" x14ac:dyDescent="0.25">
      <c r="A289"/>
      <c r="B289"/>
    </row>
    <row r="290" spans="1:2" x14ac:dyDescent="0.25">
      <c r="A290"/>
      <c r="B290"/>
    </row>
    <row r="291" spans="1:2" x14ac:dyDescent="0.25">
      <c r="A291"/>
      <c r="B291"/>
    </row>
    <row r="292" spans="1:2" x14ac:dyDescent="0.25">
      <c r="A292"/>
      <c r="B292"/>
    </row>
    <row r="293" spans="1:2" x14ac:dyDescent="0.25">
      <c r="A293"/>
      <c r="B293"/>
    </row>
    <row r="294" spans="1:2" x14ac:dyDescent="0.25">
      <c r="A294"/>
      <c r="B294"/>
    </row>
    <row r="295" spans="1:2" x14ac:dyDescent="0.25">
      <c r="A295"/>
      <c r="B295"/>
    </row>
    <row r="296" spans="1:2" x14ac:dyDescent="0.25">
      <c r="A296"/>
      <c r="B296"/>
    </row>
    <row r="297" spans="1:2" x14ac:dyDescent="0.25">
      <c r="A297"/>
      <c r="B297"/>
    </row>
    <row r="298" spans="1:2" x14ac:dyDescent="0.25">
      <c r="A298"/>
      <c r="B298"/>
    </row>
    <row r="299" spans="1:2" x14ac:dyDescent="0.25">
      <c r="A299"/>
      <c r="B299"/>
    </row>
    <row r="300" spans="1:2" x14ac:dyDescent="0.25">
      <c r="A300"/>
      <c r="B300"/>
    </row>
    <row r="301" spans="1:2" x14ac:dyDescent="0.25">
      <c r="A301"/>
      <c r="B301"/>
    </row>
    <row r="302" spans="1:2" x14ac:dyDescent="0.25">
      <c r="A302"/>
      <c r="B302"/>
    </row>
    <row r="303" spans="1:2" x14ac:dyDescent="0.25">
      <c r="A303"/>
      <c r="B303"/>
    </row>
    <row r="304" spans="1:2" x14ac:dyDescent="0.25">
      <c r="A304"/>
      <c r="B304"/>
    </row>
    <row r="305" spans="1:2" x14ac:dyDescent="0.25">
      <c r="A305"/>
      <c r="B305"/>
    </row>
    <row r="306" spans="1:2" x14ac:dyDescent="0.25">
      <c r="A306"/>
      <c r="B306"/>
    </row>
    <row r="307" spans="1:2" x14ac:dyDescent="0.25">
      <c r="A307"/>
      <c r="B307"/>
    </row>
    <row r="308" spans="1:2" x14ac:dyDescent="0.25">
      <c r="A308"/>
      <c r="B308"/>
    </row>
    <row r="309" spans="1:2" x14ac:dyDescent="0.25">
      <c r="A309"/>
      <c r="B309"/>
    </row>
    <row r="310" spans="1:2" x14ac:dyDescent="0.25">
      <c r="A310"/>
      <c r="B310"/>
    </row>
    <row r="311" spans="1:2" x14ac:dyDescent="0.25">
      <c r="A311"/>
      <c r="B311"/>
    </row>
    <row r="312" spans="1:2" x14ac:dyDescent="0.25">
      <c r="A312"/>
      <c r="B312"/>
    </row>
    <row r="313" spans="1:2" x14ac:dyDescent="0.25">
      <c r="A313"/>
      <c r="B313"/>
    </row>
    <row r="314" spans="1:2" x14ac:dyDescent="0.25">
      <c r="A314"/>
      <c r="B314"/>
    </row>
    <row r="315" spans="1:2" x14ac:dyDescent="0.25">
      <c r="A315"/>
      <c r="B315"/>
    </row>
    <row r="316" spans="1:2" x14ac:dyDescent="0.25">
      <c r="A316"/>
      <c r="B316"/>
    </row>
    <row r="317" spans="1:2" x14ac:dyDescent="0.25">
      <c r="A317"/>
      <c r="B317"/>
    </row>
    <row r="318" spans="1:2" x14ac:dyDescent="0.25">
      <c r="A318"/>
      <c r="B318"/>
    </row>
    <row r="319" spans="1:2" x14ac:dyDescent="0.25">
      <c r="A319"/>
      <c r="B319"/>
    </row>
    <row r="320" spans="1:2" x14ac:dyDescent="0.25">
      <c r="A320"/>
      <c r="B320"/>
    </row>
    <row r="321" spans="1:2" x14ac:dyDescent="0.25">
      <c r="A321"/>
      <c r="B321"/>
    </row>
    <row r="322" spans="1:2" x14ac:dyDescent="0.25">
      <c r="A322"/>
      <c r="B322"/>
    </row>
    <row r="323" spans="1:2" x14ac:dyDescent="0.25">
      <c r="A323"/>
      <c r="B323"/>
    </row>
    <row r="324" spans="1:2" x14ac:dyDescent="0.25">
      <c r="A324"/>
      <c r="B324"/>
    </row>
    <row r="325" spans="1:2" x14ac:dyDescent="0.25">
      <c r="A325"/>
      <c r="B325"/>
    </row>
    <row r="326" spans="1:2" x14ac:dyDescent="0.25">
      <c r="A326"/>
      <c r="B326"/>
    </row>
    <row r="327" spans="1:2" x14ac:dyDescent="0.25">
      <c r="A327"/>
      <c r="B327"/>
    </row>
    <row r="328" spans="1:2" x14ac:dyDescent="0.25">
      <c r="A328"/>
      <c r="B328"/>
    </row>
    <row r="329" spans="1:2" x14ac:dyDescent="0.25">
      <c r="A329"/>
      <c r="B329"/>
    </row>
    <row r="330" spans="1:2" x14ac:dyDescent="0.25">
      <c r="A330"/>
      <c r="B330"/>
    </row>
    <row r="331" spans="1:2" x14ac:dyDescent="0.25">
      <c r="A331"/>
      <c r="B331"/>
    </row>
    <row r="332" spans="1:2" x14ac:dyDescent="0.25">
      <c r="A332"/>
      <c r="B332"/>
    </row>
    <row r="333" spans="1:2" x14ac:dyDescent="0.25">
      <c r="A333"/>
      <c r="B333"/>
    </row>
    <row r="334" spans="1:2" x14ac:dyDescent="0.25">
      <c r="A334"/>
      <c r="B334"/>
    </row>
    <row r="335" spans="1:2" x14ac:dyDescent="0.25">
      <c r="A335"/>
      <c r="B335"/>
    </row>
    <row r="336" spans="1:2" x14ac:dyDescent="0.25">
      <c r="A336"/>
      <c r="B336"/>
    </row>
    <row r="337" spans="1:2" x14ac:dyDescent="0.25">
      <c r="A337"/>
      <c r="B337"/>
    </row>
    <row r="338" spans="1:2" x14ac:dyDescent="0.25">
      <c r="A338"/>
      <c r="B338"/>
    </row>
    <row r="339" spans="1:2" x14ac:dyDescent="0.25">
      <c r="A339"/>
      <c r="B339"/>
    </row>
    <row r="340" spans="1:2" x14ac:dyDescent="0.25">
      <c r="A340"/>
      <c r="B340"/>
    </row>
    <row r="341" spans="1:2" x14ac:dyDescent="0.25">
      <c r="A341"/>
      <c r="B341"/>
    </row>
    <row r="342" spans="1:2" x14ac:dyDescent="0.25">
      <c r="A342"/>
      <c r="B342"/>
    </row>
    <row r="343" spans="1:2" x14ac:dyDescent="0.25">
      <c r="A343"/>
      <c r="B343"/>
    </row>
    <row r="344" spans="1:2" x14ac:dyDescent="0.25">
      <c r="A344"/>
      <c r="B344"/>
    </row>
    <row r="345" spans="1:2" x14ac:dyDescent="0.25">
      <c r="A345"/>
      <c r="B345"/>
    </row>
    <row r="346" spans="1:2" x14ac:dyDescent="0.25">
      <c r="A346"/>
      <c r="B346"/>
    </row>
    <row r="347" spans="1:2" x14ac:dyDescent="0.25">
      <c r="A347"/>
      <c r="B347"/>
    </row>
    <row r="348" spans="1:2" x14ac:dyDescent="0.25">
      <c r="A348"/>
      <c r="B348"/>
    </row>
    <row r="349" spans="1:2" x14ac:dyDescent="0.25">
      <c r="A349"/>
      <c r="B349"/>
    </row>
    <row r="350" spans="1:2" x14ac:dyDescent="0.25">
      <c r="A350"/>
      <c r="B350"/>
    </row>
    <row r="351" spans="1:2" x14ac:dyDescent="0.25">
      <c r="A351"/>
      <c r="B351"/>
    </row>
    <row r="352" spans="1:2" x14ac:dyDescent="0.25">
      <c r="A352"/>
      <c r="B352"/>
    </row>
    <row r="353" spans="1:2" x14ac:dyDescent="0.25">
      <c r="A353"/>
      <c r="B353"/>
    </row>
    <row r="354" spans="1:2" x14ac:dyDescent="0.25">
      <c r="A354"/>
      <c r="B354"/>
    </row>
    <row r="355" spans="1:2" x14ac:dyDescent="0.25">
      <c r="A355"/>
      <c r="B355"/>
    </row>
    <row r="356" spans="1:2" x14ac:dyDescent="0.25">
      <c r="A356"/>
      <c r="B356"/>
    </row>
    <row r="357" spans="1:2" x14ac:dyDescent="0.25">
      <c r="A357"/>
      <c r="B357"/>
    </row>
    <row r="358" spans="1:2" x14ac:dyDescent="0.25">
      <c r="A358"/>
      <c r="B358"/>
    </row>
    <row r="359" spans="1:2" x14ac:dyDescent="0.25">
      <c r="A359"/>
      <c r="B359"/>
    </row>
    <row r="360" spans="1:2" x14ac:dyDescent="0.25">
      <c r="A360"/>
      <c r="B360"/>
    </row>
    <row r="361" spans="1:2" x14ac:dyDescent="0.25">
      <c r="A361"/>
      <c r="B361"/>
    </row>
    <row r="362" spans="1:2" x14ac:dyDescent="0.25">
      <c r="A362"/>
      <c r="B362"/>
    </row>
    <row r="363" spans="1:2" x14ac:dyDescent="0.25">
      <c r="A363"/>
      <c r="B363"/>
    </row>
    <row r="364" spans="1:2" x14ac:dyDescent="0.25">
      <c r="A364"/>
      <c r="B364"/>
    </row>
    <row r="365" spans="1:2" x14ac:dyDescent="0.25">
      <c r="A365"/>
      <c r="B365"/>
    </row>
    <row r="366" spans="1:2" x14ac:dyDescent="0.25">
      <c r="A366"/>
      <c r="B366"/>
    </row>
    <row r="367" spans="1:2" x14ac:dyDescent="0.25">
      <c r="A367"/>
      <c r="B367"/>
    </row>
    <row r="368" spans="1:2" x14ac:dyDescent="0.25">
      <c r="A368"/>
      <c r="B368"/>
    </row>
    <row r="369" spans="1:2" x14ac:dyDescent="0.25">
      <c r="A369"/>
      <c r="B369"/>
    </row>
    <row r="370" spans="1:2" x14ac:dyDescent="0.25">
      <c r="A370"/>
      <c r="B370"/>
    </row>
    <row r="371" spans="1:2" x14ac:dyDescent="0.25">
      <c r="A371"/>
      <c r="B371"/>
    </row>
    <row r="372" spans="1:2" x14ac:dyDescent="0.25">
      <c r="A372"/>
      <c r="B372"/>
    </row>
    <row r="373" spans="1:2" x14ac:dyDescent="0.25">
      <c r="A373"/>
      <c r="B373"/>
    </row>
    <row r="374" spans="1:2" x14ac:dyDescent="0.25">
      <c r="A374"/>
      <c r="B374"/>
    </row>
    <row r="375" spans="1:2" x14ac:dyDescent="0.25">
      <c r="A375"/>
      <c r="B375"/>
    </row>
    <row r="376" spans="1:2" x14ac:dyDescent="0.25">
      <c r="A376"/>
      <c r="B376"/>
    </row>
    <row r="377" spans="1:2" x14ac:dyDescent="0.25">
      <c r="A377"/>
      <c r="B377"/>
    </row>
    <row r="378" spans="1:2" x14ac:dyDescent="0.25">
      <c r="A378"/>
      <c r="B378"/>
    </row>
    <row r="379" spans="1:2" x14ac:dyDescent="0.25">
      <c r="A379"/>
      <c r="B379"/>
    </row>
    <row r="380" spans="1:2" x14ac:dyDescent="0.25">
      <c r="A380"/>
      <c r="B380"/>
    </row>
    <row r="381" spans="1:2" x14ac:dyDescent="0.25">
      <c r="A381"/>
      <c r="B381"/>
    </row>
    <row r="382" spans="1:2" x14ac:dyDescent="0.25">
      <c r="A382"/>
      <c r="B382"/>
    </row>
    <row r="383" spans="1:2" x14ac:dyDescent="0.25">
      <c r="A383"/>
      <c r="B383"/>
    </row>
    <row r="384" spans="1:2" x14ac:dyDescent="0.25">
      <c r="A384"/>
      <c r="B384"/>
    </row>
    <row r="385" spans="1:2" x14ac:dyDescent="0.25">
      <c r="A385"/>
      <c r="B385"/>
    </row>
    <row r="386" spans="1:2" x14ac:dyDescent="0.25">
      <c r="A386"/>
      <c r="B386"/>
    </row>
    <row r="387" spans="1:2" x14ac:dyDescent="0.25">
      <c r="A387"/>
      <c r="B387"/>
    </row>
    <row r="388" spans="1:2" x14ac:dyDescent="0.25">
      <c r="A388"/>
      <c r="B388"/>
    </row>
    <row r="389" spans="1:2" x14ac:dyDescent="0.25">
      <c r="A389"/>
      <c r="B389"/>
    </row>
    <row r="390" spans="1:2" x14ac:dyDescent="0.25">
      <c r="A390"/>
      <c r="B390"/>
    </row>
    <row r="391" spans="1:2" x14ac:dyDescent="0.25">
      <c r="A391"/>
      <c r="B391"/>
    </row>
    <row r="392" spans="1:2" x14ac:dyDescent="0.25">
      <c r="A392"/>
      <c r="B392"/>
    </row>
    <row r="393" spans="1:2" x14ac:dyDescent="0.25">
      <c r="A393"/>
      <c r="B393"/>
    </row>
    <row r="394" spans="1:2" x14ac:dyDescent="0.25">
      <c r="A394"/>
      <c r="B394"/>
    </row>
    <row r="395" spans="1:2" x14ac:dyDescent="0.25">
      <c r="A395"/>
      <c r="B395"/>
    </row>
    <row r="396" spans="1:2" x14ac:dyDescent="0.25">
      <c r="A396"/>
      <c r="B396"/>
    </row>
    <row r="397" spans="1:2" x14ac:dyDescent="0.25">
      <c r="A397"/>
      <c r="B397"/>
    </row>
    <row r="398" spans="1:2" x14ac:dyDescent="0.25">
      <c r="A398"/>
      <c r="B398"/>
    </row>
    <row r="399" spans="1:2" x14ac:dyDescent="0.25">
      <c r="A399"/>
      <c r="B399"/>
    </row>
    <row r="400" spans="1:2" x14ac:dyDescent="0.25">
      <c r="A400"/>
      <c r="B400"/>
    </row>
    <row r="401" spans="1:2" x14ac:dyDescent="0.25">
      <c r="A401"/>
      <c r="B401"/>
    </row>
    <row r="402" spans="1:2" x14ac:dyDescent="0.25">
      <c r="A402"/>
      <c r="B402"/>
    </row>
    <row r="403" spans="1:2" x14ac:dyDescent="0.25">
      <c r="A403"/>
      <c r="B403"/>
    </row>
    <row r="404" spans="1:2" x14ac:dyDescent="0.25">
      <c r="A404"/>
      <c r="B404"/>
    </row>
    <row r="405" spans="1:2" x14ac:dyDescent="0.25">
      <c r="A405"/>
      <c r="B405"/>
    </row>
    <row r="406" spans="1:2" x14ac:dyDescent="0.25">
      <c r="A406"/>
      <c r="B406"/>
    </row>
    <row r="407" spans="1:2" x14ac:dyDescent="0.25">
      <c r="A407"/>
      <c r="B407"/>
    </row>
    <row r="408" spans="1:2" x14ac:dyDescent="0.25">
      <c r="A408"/>
      <c r="B408"/>
    </row>
    <row r="409" spans="1:2" x14ac:dyDescent="0.25">
      <c r="A409"/>
      <c r="B409"/>
    </row>
    <row r="410" spans="1:2" x14ac:dyDescent="0.25">
      <c r="A410"/>
      <c r="B410"/>
    </row>
    <row r="411" spans="1:2" x14ac:dyDescent="0.25">
      <c r="A411"/>
      <c r="B411"/>
    </row>
    <row r="412" spans="1:2" x14ac:dyDescent="0.25">
      <c r="A412"/>
      <c r="B412"/>
    </row>
    <row r="413" spans="1:2" x14ac:dyDescent="0.25">
      <c r="A413"/>
      <c r="B413"/>
    </row>
    <row r="414" spans="1:2" x14ac:dyDescent="0.25">
      <c r="A414"/>
      <c r="B414"/>
    </row>
    <row r="415" spans="1:2" x14ac:dyDescent="0.25">
      <c r="A415"/>
      <c r="B415"/>
    </row>
    <row r="416" spans="1:2" x14ac:dyDescent="0.25">
      <c r="A416"/>
      <c r="B416"/>
    </row>
    <row r="417" spans="1:2" x14ac:dyDescent="0.25">
      <c r="A417"/>
      <c r="B417"/>
    </row>
    <row r="418" spans="1:2" x14ac:dyDescent="0.25">
      <c r="A418"/>
      <c r="B418"/>
    </row>
    <row r="419" spans="1:2" x14ac:dyDescent="0.25">
      <c r="A419"/>
      <c r="B419"/>
    </row>
    <row r="420" spans="1:2" x14ac:dyDescent="0.25">
      <c r="A420"/>
      <c r="B420"/>
    </row>
    <row r="421" spans="1:2" x14ac:dyDescent="0.25">
      <c r="A421"/>
      <c r="B421"/>
    </row>
    <row r="422" spans="1:2" x14ac:dyDescent="0.25">
      <c r="A422"/>
      <c r="B422"/>
    </row>
    <row r="423" spans="1:2" x14ac:dyDescent="0.25">
      <c r="A423"/>
      <c r="B423"/>
    </row>
    <row r="424" spans="1:2" x14ac:dyDescent="0.25">
      <c r="A424"/>
      <c r="B424"/>
    </row>
    <row r="425" spans="1:2" x14ac:dyDescent="0.25">
      <c r="A425"/>
      <c r="B425"/>
    </row>
    <row r="426" spans="1:2" x14ac:dyDescent="0.25">
      <c r="A426"/>
      <c r="B426"/>
    </row>
    <row r="427" spans="1:2" x14ac:dyDescent="0.25">
      <c r="A427"/>
      <c r="B427"/>
    </row>
    <row r="428" spans="1:2" x14ac:dyDescent="0.25">
      <c r="A428"/>
      <c r="B428"/>
    </row>
    <row r="429" spans="1:2" x14ac:dyDescent="0.25">
      <c r="A429"/>
      <c r="B429"/>
    </row>
    <row r="430" spans="1:2" x14ac:dyDescent="0.25">
      <c r="A430"/>
      <c r="B430"/>
    </row>
    <row r="431" spans="1:2" x14ac:dyDescent="0.25">
      <c r="A431"/>
      <c r="B431"/>
    </row>
    <row r="432" spans="1:2" x14ac:dyDescent="0.25">
      <c r="A432"/>
      <c r="B432"/>
    </row>
    <row r="433" spans="1:2" x14ac:dyDescent="0.25">
      <c r="A433"/>
      <c r="B433"/>
    </row>
    <row r="434" spans="1:2" x14ac:dyDescent="0.25">
      <c r="A434"/>
      <c r="B434"/>
    </row>
    <row r="435" spans="1:2" x14ac:dyDescent="0.25">
      <c r="A435"/>
      <c r="B435"/>
    </row>
    <row r="436" spans="1:2" x14ac:dyDescent="0.25">
      <c r="A436"/>
      <c r="B436"/>
    </row>
    <row r="437" spans="1:2" x14ac:dyDescent="0.25">
      <c r="A437"/>
      <c r="B437"/>
    </row>
    <row r="438" spans="1:2" x14ac:dyDescent="0.25">
      <c r="A438"/>
      <c r="B438"/>
    </row>
    <row r="439" spans="1:2" x14ac:dyDescent="0.25">
      <c r="A439"/>
      <c r="B439"/>
    </row>
    <row r="440" spans="1:2" x14ac:dyDescent="0.25">
      <c r="A440"/>
      <c r="B440"/>
    </row>
    <row r="441" spans="1:2" x14ac:dyDescent="0.25">
      <c r="A441"/>
      <c r="B441"/>
    </row>
    <row r="442" spans="1:2" x14ac:dyDescent="0.25">
      <c r="A442"/>
      <c r="B442"/>
    </row>
    <row r="443" spans="1:2" x14ac:dyDescent="0.25">
      <c r="A443"/>
      <c r="B443"/>
    </row>
    <row r="444" spans="1:2" x14ac:dyDescent="0.25">
      <c r="A444"/>
      <c r="B444"/>
    </row>
    <row r="445" spans="1:2" x14ac:dyDescent="0.25">
      <c r="A445"/>
      <c r="B445"/>
    </row>
    <row r="446" spans="1:2" x14ac:dyDescent="0.25">
      <c r="A446"/>
      <c r="B446"/>
    </row>
    <row r="447" spans="1:2" x14ac:dyDescent="0.25">
      <c r="A447"/>
      <c r="B447"/>
    </row>
    <row r="448" spans="1:2" x14ac:dyDescent="0.25">
      <c r="A448"/>
      <c r="B448"/>
    </row>
    <row r="449" spans="1:2" x14ac:dyDescent="0.25">
      <c r="A449"/>
      <c r="B449"/>
    </row>
    <row r="450" spans="1:2" x14ac:dyDescent="0.25">
      <c r="A450"/>
      <c r="B450"/>
    </row>
    <row r="451" spans="1:2" x14ac:dyDescent="0.25">
      <c r="A451"/>
      <c r="B451"/>
    </row>
    <row r="452" spans="1:2" x14ac:dyDescent="0.25">
      <c r="A452"/>
      <c r="B452"/>
    </row>
    <row r="453" spans="1:2" x14ac:dyDescent="0.25">
      <c r="A453"/>
      <c r="B453"/>
    </row>
    <row r="454" spans="1:2" x14ac:dyDescent="0.25">
      <c r="A454"/>
      <c r="B454"/>
    </row>
    <row r="455" spans="1:2" x14ac:dyDescent="0.25">
      <c r="A455"/>
      <c r="B455"/>
    </row>
    <row r="456" spans="1:2" x14ac:dyDescent="0.25">
      <c r="A456"/>
      <c r="B456"/>
    </row>
    <row r="457" spans="1:2" x14ac:dyDescent="0.25">
      <c r="A457"/>
      <c r="B457"/>
    </row>
    <row r="458" spans="1:2" x14ac:dyDescent="0.25">
      <c r="A458"/>
      <c r="B458"/>
    </row>
    <row r="459" spans="1:2" x14ac:dyDescent="0.25">
      <c r="A459"/>
      <c r="B459"/>
    </row>
    <row r="460" spans="1:2" x14ac:dyDescent="0.25">
      <c r="A460"/>
      <c r="B460"/>
    </row>
    <row r="461" spans="1:2" x14ac:dyDescent="0.25">
      <c r="A461"/>
      <c r="B461"/>
    </row>
    <row r="462" spans="1:2" x14ac:dyDescent="0.25">
      <c r="A462"/>
      <c r="B462"/>
    </row>
    <row r="463" spans="1:2" x14ac:dyDescent="0.25">
      <c r="A463"/>
      <c r="B463"/>
    </row>
    <row r="464" spans="1:2" x14ac:dyDescent="0.25">
      <c r="A464"/>
      <c r="B464"/>
    </row>
    <row r="465" spans="1:2" x14ac:dyDescent="0.25">
      <c r="A465"/>
      <c r="B465"/>
    </row>
    <row r="466" spans="1:2" x14ac:dyDescent="0.25">
      <c r="A466"/>
      <c r="B466"/>
    </row>
    <row r="467" spans="1:2" x14ac:dyDescent="0.25">
      <c r="A467"/>
      <c r="B467"/>
    </row>
    <row r="468" spans="1:2" x14ac:dyDescent="0.25">
      <c r="A468"/>
      <c r="B468"/>
    </row>
    <row r="469" spans="1:2" x14ac:dyDescent="0.25">
      <c r="A469"/>
      <c r="B469"/>
    </row>
    <row r="470" spans="1:2" x14ac:dyDescent="0.25">
      <c r="A470"/>
      <c r="B470"/>
    </row>
    <row r="471" spans="1:2" x14ac:dyDescent="0.25">
      <c r="A471"/>
      <c r="B471"/>
    </row>
    <row r="472" spans="1:2" x14ac:dyDescent="0.25">
      <c r="A472"/>
      <c r="B472"/>
    </row>
    <row r="473" spans="1:2" x14ac:dyDescent="0.25">
      <c r="A473"/>
      <c r="B473"/>
    </row>
    <row r="474" spans="1:2" x14ac:dyDescent="0.25">
      <c r="A474"/>
      <c r="B474"/>
    </row>
    <row r="475" spans="1:2" x14ac:dyDescent="0.25">
      <c r="A475"/>
      <c r="B475"/>
    </row>
    <row r="476" spans="1:2" x14ac:dyDescent="0.25">
      <c r="A476"/>
      <c r="B476"/>
    </row>
    <row r="477" spans="1:2" x14ac:dyDescent="0.25">
      <c r="A477"/>
      <c r="B477"/>
    </row>
    <row r="478" spans="1:2" x14ac:dyDescent="0.25">
      <c r="A478"/>
      <c r="B478"/>
    </row>
    <row r="479" spans="1:2" x14ac:dyDescent="0.25">
      <c r="A479"/>
      <c r="B479"/>
    </row>
    <row r="480" spans="1:2" x14ac:dyDescent="0.25">
      <c r="A480"/>
      <c r="B480"/>
    </row>
    <row r="481" spans="1:2" x14ac:dyDescent="0.25">
      <c r="A481"/>
      <c r="B481"/>
    </row>
    <row r="482" spans="1:2" x14ac:dyDescent="0.25">
      <c r="A482"/>
      <c r="B482"/>
    </row>
    <row r="483" spans="1:2" x14ac:dyDescent="0.25">
      <c r="A483"/>
      <c r="B483"/>
    </row>
    <row r="484" spans="1:2" x14ac:dyDescent="0.25">
      <c r="A484"/>
      <c r="B484"/>
    </row>
    <row r="485" spans="1:2" x14ac:dyDescent="0.25">
      <c r="A485"/>
      <c r="B485"/>
    </row>
    <row r="486" spans="1:2" x14ac:dyDescent="0.25">
      <c r="A486"/>
      <c r="B486"/>
    </row>
    <row r="487" spans="1:2" x14ac:dyDescent="0.25">
      <c r="A487"/>
      <c r="B487"/>
    </row>
    <row r="488" spans="1:2" x14ac:dyDescent="0.25">
      <c r="A488"/>
      <c r="B488"/>
    </row>
    <row r="489" spans="1:2" x14ac:dyDescent="0.25">
      <c r="A489"/>
      <c r="B489"/>
    </row>
    <row r="490" spans="1:2" x14ac:dyDescent="0.25">
      <c r="A490"/>
      <c r="B490"/>
    </row>
    <row r="491" spans="1:2" x14ac:dyDescent="0.25">
      <c r="A491"/>
      <c r="B491"/>
    </row>
    <row r="492" spans="1:2" x14ac:dyDescent="0.25">
      <c r="A492"/>
      <c r="B492"/>
    </row>
    <row r="493" spans="1:2" x14ac:dyDescent="0.25">
      <c r="A493"/>
      <c r="B493"/>
    </row>
    <row r="494" spans="1:2" x14ac:dyDescent="0.25">
      <c r="A494"/>
      <c r="B494"/>
    </row>
    <row r="495" spans="1:2" x14ac:dyDescent="0.25">
      <c r="A495"/>
      <c r="B495"/>
    </row>
    <row r="496" spans="1:2" x14ac:dyDescent="0.25">
      <c r="A496"/>
      <c r="B496"/>
    </row>
    <row r="497" spans="1:2" x14ac:dyDescent="0.25">
      <c r="A497"/>
      <c r="B497"/>
    </row>
    <row r="498" spans="1:2" x14ac:dyDescent="0.25">
      <c r="A498"/>
      <c r="B498"/>
    </row>
    <row r="499" spans="1:2" x14ac:dyDescent="0.25">
      <c r="A499"/>
      <c r="B499"/>
    </row>
    <row r="500" spans="1:2" x14ac:dyDescent="0.25">
      <c r="A500"/>
      <c r="B500"/>
    </row>
    <row r="501" spans="1:2" x14ac:dyDescent="0.25">
      <c r="A501"/>
      <c r="B501"/>
    </row>
    <row r="502" spans="1:2" x14ac:dyDescent="0.25">
      <c r="A502"/>
      <c r="B502"/>
    </row>
    <row r="503" spans="1:2" x14ac:dyDescent="0.25">
      <c r="A503"/>
      <c r="B503"/>
    </row>
    <row r="504" spans="1:2" x14ac:dyDescent="0.25">
      <c r="A504"/>
      <c r="B504"/>
    </row>
    <row r="505" spans="1:2" x14ac:dyDescent="0.25">
      <c r="A505"/>
      <c r="B505"/>
    </row>
    <row r="506" spans="1:2" x14ac:dyDescent="0.25">
      <c r="A506"/>
      <c r="B506"/>
    </row>
    <row r="507" spans="1:2" x14ac:dyDescent="0.25">
      <c r="A507"/>
      <c r="B507"/>
    </row>
    <row r="508" spans="1:2" x14ac:dyDescent="0.25">
      <c r="A508"/>
      <c r="B508"/>
    </row>
    <row r="509" spans="1:2" x14ac:dyDescent="0.25">
      <c r="A509"/>
      <c r="B509"/>
    </row>
    <row r="510" spans="1:2" x14ac:dyDescent="0.25">
      <c r="A510"/>
      <c r="B510"/>
    </row>
    <row r="511" spans="1:2" x14ac:dyDescent="0.25">
      <c r="A511"/>
      <c r="B511"/>
    </row>
    <row r="512" spans="1:2" x14ac:dyDescent="0.25">
      <c r="A512"/>
      <c r="B512"/>
    </row>
    <row r="513" spans="1:2" x14ac:dyDescent="0.25">
      <c r="A513"/>
      <c r="B513"/>
    </row>
    <row r="514" spans="1:2" x14ac:dyDescent="0.25">
      <c r="A514"/>
      <c r="B514"/>
    </row>
    <row r="515" spans="1:2" x14ac:dyDescent="0.25">
      <c r="A515"/>
      <c r="B515"/>
    </row>
    <row r="516" spans="1:2" x14ac:dyDescent="0.25">
      <c r="A516"/>
      <c r="B516"/>
    </row>
    <row r="517" spans="1:2" x14ac:dyDescent="0.25">
      <c r="A517"/>
      <c r="B517"/>
    </row>
    <row r="518" spans="1:2" x14ac:dyDescent="0.25">
      <c r="A518"/>
      <c r="B518"/>
    </row>
    <row r="519" spans="1:2" x14ac:dyDescent="0.25">
      <c r="A519"/>
      <c r="B519"/>
    </row>
    <row r="520" spans="1:2" x14ac:dyDescent="0.25">
      <c r="A520"/>
      <c r="B520"/>
    </row>
    <row r="521" spans="1:2" x14ac:dyDescent="0.25">
      <c r="A521"/>
      <c r="B521"/>
    </row>
    <row r="522" spans="1:2" x14ac:dyDescent="0.25">
      <c r="A522"/>
      <c r="B522"/>
    </row>
    <row r="523" spans="1:2" x14ac:dyDescent="0.25">
      <c r="A523"/>
      <c r="B523"/>
    </row>
    <row r="524" spans="1:2" x14ac:dyDescent="0.25">
      <c r="A524"/>
      <c r="B524"/>
    </row>
    <row r="525" spans="1:2" x14ac:dyDescent="0.25">
      <c r="A525"/>
      <c r="B525"/>
    </row>
    <row r="526" spans="1:2" x14ac:dyDescent="0.25">
      <c r="A526"/>
      <c r="B526"/>
    </row>
    <row r="527" spans="1:2" x14ac:dyDescent="0.25">
      <c r="A527"/>
      <c r="B527"/>
    </row>
    <row r="528" spans="1:2" x14ac:dyDescent="0.25">
      <c r="A528"/>
      <c r="B528"/>
    </row>
    <row r="529" spans="1:2" x14ac:dyDescent="0.25">
      <c r="A529"/>
      <c r="B529"/>
    </row>
    <row r="530" spans="1:2" x14ac:dyDescent="0.25">
      <c r="A530"/>
      <c r="B530"/>
    </row>
    <row r="531" spans="1:2" x14ac:dyDescent="0.25">
      <c r="A531"/>
      <c r="B531"/>
    </row>
    <row r="532" spans="1:2" x14ac:dyDescent="0.25">
      <c r="A532"/>
      <c r="B532"/>
    </row>
    <row r="533" spans="1:2" x14ac:dyDescent="0.25">
      <c r="A533"/>
      <c r="B533"/>
    </row>
    <row r="534" spans="1:2" x14ac:dyDescent="0.25">
      <c r="A534"/>
      <c r="B534"/>
    </row>
    <row r="535" spans="1:2" x14ac:dyDescent="0.25">
      <c r="A535"/>
      <c r="B535"/>
    </row>
    <row r="536" spans="1:2" x14ac:dyDescent="0.25">
      <c r="A536"/>
      <c r="B536"/>
    </row>
    <row r="537" spans="1:2" x14ac:dyDescent="0.25">
      <c r="A537"/>
      <c r="B537"/>
    </row>
    <row r="538" spans="1:2" x14ac:dyDescent="0.25">
      <c r="A538"/>
      <c r="B538"/>
    </row>
    <row r="539" spans="1:2" x14ac:dyDescent="0.25">
      <c r="A539"/>
      <c r="B539"/>
    </row>
    <row r="540" spans="1:2" x14ac:dyDescent="0.25">
      <c r="A540"/>
      <c r="B540"/>
    </row>
    <row r="541" spans="1:2" x14ac:dyDescent="0.25">
      <c r="A541"/>
      <c r="B541"/>
    </row>
    <row r="542" spans="1:2" x14ac:dyDescent="0.25">
      <c r="A542"/>
      <c r="B542"/>
    </row>
    <row r="543" spans="1:2" x14ac:dyDescent="0.25">
      <c r="A543"/>
      <c r="B543"/>
    </row>
    <row r="544" spans="1:2" x14ac:dyDescent="0.25">
      <c r="A544"/>
      <c r="B544"/>
    </row>
    <row r="545" spans="1:2" x14ac:dyDescent="0.25">
      <c r="A545"/>
      <c r="B545"/>
    </row>
    <row r="546" spans="1:2" x14ac:dyDescent="0.25">
      <c r="A546"/>
      <c r="B546"/>
    </row>
    <row r="547" spans="1:2" x14ac:dyDescent="0.25">
      <c r="A547"/>
      <c r="B547"/>
    </row>
    <row r="548" spans="1:2" x14ac:dyDescent="0.25">
      <c r="A548"/>
      <c r="B548"/>
    </row>
    <row r="549" spans="1:2" x14ac:dyDescent="0.25">
      <c r="A549"/>
      <c r="B549"/>
    </row>
    <row r="550" spans="1:2" x14ac:dyDescent="0.25">
      <c r="A550"/>
      <c r="B550"/>
    </row>
    <row r="551" spans="1:2" x14ac:dyDescent="0.25">
      <c r="A551"/>
      <c r="B551"/>
    </row>
    <row r="552" spans="1:2" x14ac:dyDescent="0.25">
      <c r="A552"/>
      <c r="B552"/>
    </row>
    <row r="553" spans="1:2" x14ac:dyDescent="0.25">
      <c r="A553"/>
      <c r="B553"/>
    </row>
    <row r="554" spans="1:2" x14ac:dyDescent="0.25">
      <c r="A554"/>
      <c r="B554"/>
    </row>
    <row r="555" spans="1:2" x14ac:dyDescent="0.25">
      <c r="A555"/>
      <c r="B555"/>
    </row>
    <row r="556" spans="1:2" x14ac:dyDescent="0.25">
      <c r="A556"/>
      <c r="B556"/>
    </row>
    <row r="557" spans="1:2" x14ac:dyDescent="0.25">
      <c r="A557"/>
      <c r="B557"/>
    </row>
    <row r="558" spans="1:2" x14ac:dyDescent="0.25">
      <c r="A558"/>
      <c r="B558"/>
    </row>
    <row r="559" spans="1:2" x14ac:dyDescent="0.25">
      <c r="A559"/>
      <c r="B559"/>
    </row>
    <row r="560" spans="1:2" x14ac:dyDescent="0.25">
      <c r="A560"/>
      <c r="B560"/>
    </row>
    <row r="561" spans="1:2" x14ac:dyDescent="0.25">
      <c r="A561"/>
      <c r="B561"/>
    </row>
    <row r="562" spans="1:2" x14ac:dyDescent="0.25">
      <c r="A562"/>
      <c r="B562"/>
    </row>
    <row r="563" spans="1:2" x14ac:dyDescent="0.25">
      <c r="A563"/>
      <c r="B563"/>
    </row>
    <row r="564" spans="1:2" x14ac:dyDescent="0.25">
      <c r="A564"/>
      <c r="B564"/>
    </row>
    <row r="565" spans="1:2" x14ac:dyDescent="0.25">
      <c r="A565"/>
      <c r="B565"/>
    </row>
    <row r="566" spans="1:2" x14ac:dyDescent="0.25">
      <c r="A566"/>
      <c r="B566"/>
    </row>
    <row r="567" spans="1:2" x14ac:dyDescent="0.25">
      <c r="A567"/>
      <c r="B567"/>
    </row>
    <row r="568" spans="1:2" x14ac:dyDescent="0.25">
      <c r="A568"/>
      <c r="B568"/>
    </row>
    <row r="569" spans="1:2" x14ac:dyDescent="0.25">
      <c r="A569"/>
      <c r="B569"/>
    </row>
    <row r="570" spans="1:2" x14ac:dyDescent="0.25">
      <c r="A570"/>
      <c r="B570"/>
    </row>
    <row r="571" spans="1:2" x14ac:dyDescent="0.25">
      <c r="A571"/>
      <c r="B571"/>
    </row>
    <row r="572" spans="1:2" x14ac:dyDescent="0.25">
      <c r="A572"/>
      <c r="B572"/>
    </row>
    <row r="573" spans="1:2" x14ac:dyDescent="0.25">
      <c r="A573"/>
      <c r="B573"/>
    </row>
    <row r="574" spans="1:2" x14ac:dyDescent="0.25">
      <c r="A574"/>
      <c r="B574"/>
    </row>
    <row r="575" spans="1:2" x14ac:dyDescent="0.25">
      <c r="A575"/>
      <c r="B575"/>
    </row>
    <row r="576" spans="1:2" x14ac:dyDescent="0.25">
      <c r="A576"/>
      <c r="B576"/>
    </row>
    <row r="577" spans="1:2" x14ac:dyDescent="0.25">
      <c r="A577"/>
      <c r="B577"/>
    </row>
    <row r="578" spans="1:2" x14ac:dyDescent="0.25">
      <c r="A578"/>
      <c r="B578"/>
    </row>
    <row r="579" spans="1:2" x14ac:dyDescent="0.25">
      <c r="A579"/>
      <c r="B579"/>
    </row>
    <row r="580" spans="1:2" x14ac:dyDescent="0.25">
      <c r="A580"/>
      <c r="B580"/>
    </row>
    <row r="581" spans="1:2" x14ac:dyDescent="0.25">
      <c r="A581"/>
      <c r="B581"/>
    </row>
    <row r="582" spans="1:2" x14ac:dyDescent="0.25">
      <c r="A582"/>
      <c r="B582"/>
    </row>
    <row r="583" spans="1:2" x14ac:dyDescent="0.25">
      <c r="A583"/>
      <c r="B583"/>
    </row>
    <row r="584" spans="1:2" x14ac:dyDescent="0.25">
      <c r="A584"/>
      <c r="B584"/>
    </row>
    <row r="585" spans="1:2" x14ac:dyDescent="0.25">
      <c r="A585"/>
      <c r="B585"/>
    </row>
    <row r="586" spans="1:2" x14ac:dyDescent="0.25">
      <c r="A586"/>
      <c r="B586"/>
    </row>
    <row r="587" spans="1:2" x14ac:dyDescent="0.25">
      <c r="A587"/>
      <c r="B587"/>
    </row>
    <row r="588" spans="1:2" x14ac:dyDescent="0.25">
      <c r="A588"/>
      <c r="B588"/>
    </row>
    <row r="589" spans="1:2" x14ac:dyDescent="0.25">
      <c r="A589"/>
      <c r="B589"/>
    </row>
    <row r="590" spans="1:2" x14ac:dyDescent="0.25">
      <c r="A590"/>
      <c r="B590"/>
    </row>
    <row r="591" spans="1:2" x14ac:dyDescent="0.25">
      <c r="A591"/>
      <c r="B591"/>
    </row>
    <row r="592" spans="1:2" x14ac:dyDescent="0.25">
      <c r="A592"/>
      <c r="B592"/>
    </row>
    <row r="593" spans="1:2" x14ac:dyDescent="0.25">
      <c r="A593"/>
      <c r="B593"/>
    </row>
    <row r="594" spans="1:2" x14ac:dyDescent="0.25">
      <c r="A594"/>
      <c r="B594"/>
    </row>
    <row r="595" spans="1:2" x14ac:dyDescent="0.25">
      <c r="A595"/>
      <c r="B595"/>
    </row>
    <row r="596" spans="1:2" x14ac:dyDescent="0.25">
      <c r="A596"/>
      <c r="B596"/>
    </row>
    <row r="597" spans="1:2" x14ac:dyDescent="0.25">
      <c r="A597"/>
      <c r="B597"/>
    </row>
    <row r="598" spans="1:2" x14ac:dyDescent="0.25">
      <c r="A598"/>
      <c r="B598"/>
    </row>
    <row r="599" spans="1:2" x14ac:dyDescent="0.25">
      <c r="A599"/>
      <c r="B599"/>
    </row>
    <row r="600" spans="1:2" x14ac:dyDescent="0.25">
      <c r="A600"/>
      <c r="B600"/>
    </row>
    <row r="601" spans="1:2" x14ac:dyDescent="0.25">
      <c r="A601"/>
      <c r="B601"/>
    </row>
    <row r="602" spans="1:2" x14ac:dyDescent="0.25">
      <c r="A602"/>
      <c r="B602"/>
    </row>
    <row r="603" spans="1:2" x14ac:dyDescent="0.25">
      <c r="A603"/>
      <c r="B603"/>
    </row>
    <row r="604" spans="1:2" x14ac:dyDescent="0.25">
      <c r="A604"/>
      <c r="B604"/>
    </row>
    <row r="605" spans="1:2" x14ac:dyDescent="0.25">
      <c r="A605"/>
      <c r="B605"/>
    </row>
    <row r="606" spans="1:2" x14ac:dyDescent="0.25">
      <c r="A606"/>
      <c r="B606"/>
    </row>
    <row r="607" spans="1:2" x14ac:dyDescent="0.25">
      <c r="A607"/>
      <c r="B607"/>
    </row>
    <row r="608" spans="1:2" x14ac:dyDescent="0.25">
      <c r="A608"/>
      <c r="B608"/>
    </row>
    <row r="609" spans="1:2" x14ac:dyDescent="0.25">
      <c r="A609"/>
      <c r="B609"/>
    </row>
    <row r="610" spans="1:2" x14ac:dyDescent="0.25">
      <c r="A610"/>
      <c r="B610"/>
    </row>
    <row r="611" spans="1:2" x14ac:dyDescent="0.25">
      <c r="A611"/>
      <c r="B611"/>
    </row>
    <row r="612" spans="1:2" x14ac:dyDescent="0.25">
      <c r="A612"/>
      <c r="B612"/>
    </row>
    <row r="613" spans="1:2" x14ac:dyDescent="0.25">
      <c r="A613"/>
      <c r="B613"/>
    </row>
    <row r="614" spans="1:2" x14ac:dyDescent="0.25">
      <c r="A614"/>
      <c r="B614"/>
    </row>
    <row r="615" spans="1:2" x14ac:dyDescent="0.25">
      <c r="A615"/>
      <c r="B615"/>
    </row>
    <row r="616" spans="1:2" x14ac:dyDescent="0.25">
      <c r="A616"/>
      <c r="B616"/>
    </row>
    <row r="617" spans="1:2" x14ac:dyDescent="0.25">
      <c r="A617"/>
      <c r="B617"/>
    </row>
    <row r="618" spans="1:2" x14ac:dyDescent="0.25">
      <c r="A618"/>
      <c r="B618"/>
    </row>
    <row r="619" spans="1:2" x14ac:dyDescent="0.25">
      <c r="A619"/>
      <c r="B619"/>
    </row>
    <row r="620" spans="1:2" x14ac:dyDescent="0.25">
      <c r="A620"/>
      <c r="B620"/>
    </row>
    <row r="621" spans="1:2" x14ac:dyDescent="0.25">
      <c r="A621"/>
      <c r="B621"/>
    </row>
    <row r="622" spans="1:2" x14ac:dyDescent="0.25">
      <c r="A622"/>
      <c r="B622"/>
    </row>
    <row r="623" spans="1:2" x14ac:dyDescent="0.25">
      <c r="A623"/>
      <c r="B623"/>
    </row>
    <row r="624" spans="1:2" x14ac:dyDescent="0.25">
      <c r="A624"/>
      <c r="B624"/>
    </row>
    <row r="625" spans="1:2" x14ac:dyDescent="0.25">
      <c r="A625"/>
      <c r="B625"/>
    </row>
    <row r="626" spans="1:2" x14ac:dyDescent="0.25">
      <c r="A626"/>
      <c r="B626"/>
    </row>
    <row r="627" spans="1:2" x14ac:dyDescent="0.25">
      <c r="A627"/>
      <c r="B627"/>
    </row>
    <row r="628" spans="1:2" x14ac:dyDescent="0.25">
      <c r="A628"/>
      <c r="B628"/>
    </row>
    <row r="629" spans="1:2" x14ac:dyDescent="0.25">
      <c r="A629"/>
      <c r="B629"/>
    </row>
    <row r="630" spans="1:2" x14ac:dyDescent="0.25">
      <c r="A630"/>
      <c r="B630"/>
    </row>
    <row r="631" spans="1:2" x14ac:dyDescent="0.25">
      <c r="A631"/>
      <c r="B631"/>
    </row>
    <row r="632" spans="1:2" x14ac:dyDescent="0.25">
      <c r="A632"/>
      <c r="B632"/>
    </row>
    <row r="633" spans="1:2" x14ac:dyDescent="0.25">
      <c r="A633"/>
      <c r="B633"/>
    </row>
    <row r="634" spans="1:2" x14ac:dyDescent="0.25">
      <c r="A634"/>
      <c r="B634"/>
    </row>
    <row r="635" spans="1:2" x14ac:dyDescent="0.25">
      <c r="A635"/>
      <c r="B635"/>
    </row>
    <row r="636" spans="1:2" x14ac:dyDescent="0.25">
      <c r="A636"/>
      <c r="B636"/>
    </row>
    <row r="637" spans="1:2" x14ac:dyDescent="0.25">
      <c r="A637"/>
      <c r="B637"/>
    </row>
    <row r="638" spans="1:2" x14ac:dyDescent="0.25">
      <c r="A638"/>
      <c r="B638"/>
    </row>
    <row r="639" spans="1:2" x14ac:dyDescent="0.25">
      <c r="A639"/>
      <c r="B639"/>
    </row>
    <row r="640" spans="1:2" x14ac:dyDescent="0.25">
      <c r="A640"/>
      <c r="B640"/>
    </row>
    <row r="641" spans="1:2" x14ac:dyDescent="0.25">
      <c r="A641"/>
      <c r="B641"/>
    </row>
    <row r="642" spans="1:2" x14ac:dyDescent="0.25">
      <c r="A642"/>
      <c r="B642"/>
    </row>
    <row r="643" spans="1:2" x14ac:dyDescent="0.25">
      <c r="A643"/>
      <c r="B643"/>
    </row>
    <row r="644" spans="1:2" x14ac:dyDescent="0.25">
      <c r="A644"/>
      <c r="B644"/>
    </row>
    <row r="645" spans="1:2" x14ac:dyDescent="0.25">
      <c r="A645"/>
      <c r="B645"/>
    </row>
    <row r="646" spans="1:2" x14ac:dyDescent="0.25">
      <c r="A646"/>
      <c r="B646"/>
    </row>
    <row r="647" spans="1:2" x14ac:dyDescent="0.25">
      <c r="A647"/>
      <c r="B647"/>
    </row>
    <row r="648" spans="1:2" x14ac:dyDescent="0.25">
      <c r="A648"/>
      <c r="B648"/>
    </row>
    <row r="649" spans="1:2" x14ac:dyDescent="0.25">
      <c r="A649"/>
      <c r="B649"/>
    </row>
    <row r="650" spans="1:2" x14ac:dyDescent="0.25">
      <c r="A650"/>
      <c r="B650"/>
    </row>
    <row r="651" spans="1:2" x14ac:dyDescent="0.25">
      <c r="A651"/>
      <c r="B651"/>
    </row>
    <row r="652" spans="1:2" x14ac:dyDescent="0.25">
      <c r="A652"/>
      <c r="B652"/>
    </row>
    <row r="653" spans="1:2" x14ac:dyDescent="0.25">
      <c r="A653"/>
      <c r="B653"/>
    </row>
    <row r="654" spans="1:2" x14ac:dyDescent="0.25">
      <c r="A654"/>
      <c r="B654"/>
    </row>
    <row r="655" spans="1:2" x14ac:dyDescent="0.25">
      <c r="A655"/>
      <c r="B655"/>
    </row>
    <row r="656" spans="1:2" x14ac:dyDescent="0.25">
      <c r="A656"/>
      <c r="B656"/>
    </row>
    <row r="657" spans="1:2" x14ac:dyDescent="0.25">
      <c r="A657"/>
      <c r="B657"/>
    </row>
    <row r="658" spans="1:2" x14ac:dyDescent="0.25">
      <c r="A658"/>
      <c r="B658"/>
    </row>
    <row r="659" spans="1:2" x14ac:dyDescent="0.25">
      <c r="A659"/>
      <c r="B659"/>
    </row>
    <row r="660" spans="1:2" x14ac:dyDescent="0.25">
      <c r="A660"/>
      <c r="B660"/>
    </row>
    <row r="661" spans="1:2" x14ac:dyDescent="0.25">
      <c r="A661"/>
      <c r="B661"/>
    </row>
    <row r="662" spans="1:2" x14ac:dyDescent="0.25">
      <c r="A662"/>
      <c r="B662"/>
    </row>
    <row r="663" spans="1:2" x14ac:dyDescent="0.25">
      <c r="A663"/>
      <c r="B663"/>
    </row>
    <row r="664" spans="1:2" x14ac:dyDescent="0.25">
      <c r="A664"/>
      <c r="B664"/>
    </row>
    <row r="665" spans="1:2" x14ac:dyDescent="0.25">
      <c r="A665"/>
      <c r="B665"/>
    </row>
    <row r="666" spans="1:2" x14ac:dyDescent="0.25">
      <c r="A666"/>
      <c r="B666"/>
    </row>
    <row r="667" spans="1:2" x14ac:dyDescent="0.25">
      <c r="A667"/>
      <c r="B667"/>
    </row>
    <row r="668" spans="1:2" x14ac:dyDescent="0.25">
      <c r="A668"/>
      <c r="B668"/>
    </row>
    <row r="669" spans="1:2" x14ac:dyDescent="0.25">
      <c r="A669"/>
      <c r="B669"/>
    </row>
    <row r="670" spans="1:2" x14ac:dyDescent="0.25">
      <c r="A670"/>
      <c r="B670"/>
    </row>
    <row r="671" spans="1:2" x14ac:dyDescent="0.25">
      <c r="A671"/>
      <c r="B671"/>
    </row>
    <row r="672" spans="1:2" x14ac:dyDescent="0.25">
      <c r="A672"/>
      <c r="B672"/>
    </row>
    <row r="673" spans="1:2" x14ac:dyDescent="0.25">
      <c r="A673"/>
      <c r="B673"/>
    </row>
    <row r="674" spans="1:2" x14ac:dyDescent="0.25">
      <c r="A674"/>
      <c r="B674"/>
    </row>
    <row r="675" spans="1:2" x14ac:dyDescent="0.25">
      <c r="A675"/>
      <c r="B675"/>
    </row>
    <row r="676" spans="1:2" x14ac:dyDescent="0.25">
      <c r="A676"/>
      <c r="B676"/>
    </row>
    <row r="677" spans="1:2" x14ac:dyDescent="0.25">
      <c r="A677"/>
      <c r="B677"/>
    </row>
    <row r="678" spans="1:2" x14ac:dyDescent="0.25">
      <c r="A678"/>
      <c r="B678"/>
    </row>
    <row r="679" spans="1:2" x14ac:dyDescent="0.25">
      <c r="A679"/>
      <c r="B679"/>
    </row>
    <row r="680" spans="1:2" x14ac:dyDescent="0.25">
      <c r="A680"/>
      <c r="B680"/>
    </row>
    <row r="681" spans="1:2" x14ac:dyDescent="0.25">
      <c r="A681"/>
      <c r="B681"/>
    </row>
    <row r="682" spans="1:2" x14ac:dyDescent="0.25">
      <c r="A682"/>
      <c r="B682"/>
    </row>
    <row r="683" spans="1:2" x14ac:dyDescent="0.25">
      <c r="A683"/>
      <c r="B683"/>
    </row>
    <row r="684" spans="1:2" x14ac:dyDescent="0.25">
      <c r="A684"/>
      <c r="B684"/>
    </row>
    <row r="685" spans="1:2" x14ac:dyDescent="0.25">
      <c r="A685"/>
      <c r="B685"/>
    </row>
    <row r="686" spans="1:2" x14ac:dyDescent="0.25">
      <c r="A686"/>
      <c r="B686"/>
    </row>
    <row r="687" spans="1:2" x14ac:dyDescent="0.25">
      <c r="A687"/>
      <c r="B687"/>
    </row>
    <row r="688" spans="1:2" x14ac:dyDescent="0.25">
      <c r="A688"/>
      <c r="B688"/>
    </row>
    <row r="689" spans="1:2" x14ac:dyDescent="0.25">
      <c r="A689"/>
      <c r="B689"/>
    </row>
    <row r="690" spans="1:2" x14ac:dyDescent="0.25">
      <c r="A690"/>
      <c r="B690"/>
    </row>
    <row r="691" spans="1:2" x14ac:dyDescent="0.25">
      <c r="A691"/>
      <c r="B691"/>
    </row>
    <row r="692" spans="1:2" x14ac:dyDescent="0.25">
      <c r="A692"/>
      <c r="B692"/>
    </row>
    <row r="693" spans="1:2" x14ac:dyDescent="0.25">
      <c r="A693"/>
      <c r="B693"/>
    </row>
    <row r="694" spans="1:2" x14ac:dyDescent="0.25">
      <c r="A694"/>
      <c r="B694"/>
    </row>
    <row r="695" spans="1:2" x14ac:dyDescent="0.25">
      <c r="A695"/>
      <c r="B695"/>
    </row>
    <row r="696" spans="1:2" x14ac:dyDescent="0.25">
      <c r="A696"/>
      <c r="B696"/>
    </row>
    <row r="697" spans="1:2" x14ac:dyDescent="0.25">
      <c r="A697"/>
      <c r="B697"/>
    </row>
    <row r="698" spans="1:2" x14ac:dyDescent="0.25">
      <c r="A698"/>
      <c r="B698"/>
    </row>
    <row r="699" spans="1:2" x14ac:dyDescent="0.25">
      <c r="A699"/>
      <c r="B699"/>
    </row>
    <row r="700" spans="1:2" x14ac:dyDescent="0.25">
      <c r="A700"/>
      <c r="B700"/>
    </row>
    <row r="701" spans="1:2" x14ac:dyDescent="0.25">
      <c r="A701"/>
      <c r="B701"/>
    </row>
    <row r="702" spans="1:2" x14ac:dyDescent="0.25">
      <c r="A702"/>
      <c r="B702"/>
    </row>
    <row r="703" spans="1:2" x14ac:dyDescent="0.25">
      <c r="A703"/>
      <c r="B703"/>
    </row>
    <row r="704" spans="1:2" x14ac:dyDescent="0.25">
      <c r="A704"/>
      <c r="B704"/>
    </row>
    <row r="705" spans="1:2" x14ac:dyDescent="0.25">
      <c r="A705"/>
      <c r="B705"/>
    </row>
    <row r="706" spans="1:2" x14ac:dyDescent="0.25">
      <c r="A706"/>
      <c r="B706"/>
    </row>
    <row r="707" spans="1:2" x14ac:dyDescent="0.25">
      <c r="A707"/>
      <c r="B707"/>
    </row>
    <row r="708" spans="1:2" x14ac:dyDescent="0.25">
      <c r="A708"/>
      <c r="B708"/>
    </row>
    <row r="709" spans="1:2" x14ac:dyDescent="0.25">
      <c r="A709"/>
      <c r="B709"/>
    </row>
    <row r="710" spans="1:2" x14ac:dyDescent="0.25">
      <c r="A710"/>
      <c r="B710"/>
    </row>
    <row r="711" spans="1:2" x14ac:dyDescent="0.25">
      <c r="A711"/>
      <c r="B711"/>
    </row>
    <row r="712" spans="1:2" x14ac:dyDescent="0.25">
      <c r="A712"/>
      <c r="B712"/>
    </row>
    <row r="713" spans="1:2" x14ac:dyDescent="0.25">
      <c r="A713"/>
      <c r="B713"/>
    </row>
    <row r="714" spans="1:2" x14ac:dyDescent="0.25">
      <c r="A714"/>
      <c r="B714"/>
    </row>
    <row r="715" spans="1:2" x14ac:dyDescent="0.25">
      <c r="A715"/>
      <c r="B715"/>
    </row>
    <row r="716" spans="1:2" x14ac:dyDescent="0.25">
      <c r="A716"/>
      <c r="B716"/>
    </row>
    <row r="717" spans="1:2" x14ac:dyDescent="0.25">
      <c r="A717"/>
      <c r="B717"/>
    </row>
    <row r="718" spans="1:2" x14ac:dyDescent="0.25">
      <c r="A718"/>
      <c r="B718"/>
    </row>
    <row r="719" spans="1:2" x14ac:dyDescent="0.25">
      <c r="A719"/>
      <c r="B719"/>
    </row>
    <row r="720" spans="1:2" x14ac:dyDescent="0.25">
      <c r="A720"/>
      <c r="B720"/>
    </row>
    <row r="721" spans="1:2" x14ac:dyDescent="0.25">
      <c r="A721"/>
      <c r="B721"/>
    </row>
    <row r="722" spans="1:2" x14ac:dyDescent="0.25">
      <c r="A722"/>
      <c r="B722"/>
    </row>
    <row r="723" spans="1:2" x14ac:dyDescent="0.25">
      <c r="A723"/>
      <c r="B723"/>
    </row>
    <row r="724" spans="1:2" x14ac:dyDescent="0.25">
      <c r="A724"/>
      <c r="B724"/>
    </row>
    <row r="725" spans="1:2" x14ac:dyDescent="0.25">
      <c r="A725"/>
      <c r="B725"/>
    </row>
    <row r="726" spans="1:2" x14ac:dyDescent="0.25">
      <c r="A726"/>
      <c r="B726"/>
    </row>
    <row r="727" spans="1:2" x14ac:dyDescent="0.25">
      <c r="A727"/>
      <c r="B727"/>
    </row>
    <row r="728" spans="1:2" x14ac:dyDescent="0.25">
      <c r="A728"/>
      <c r="B728"/>
    </row>
    <row r="729" spans="1:2" x14ac:dyDescent="0.25">
      <c r="A729"/>
      <c r="B729"/>
    </row>
    <row r="730" spans="1:2" x14ac:dyDescent="0.25">
      <c r="A730"/>
      <c r="B730"/>
    </row>
    <row r="731" spans="1:2" x14ac:dyDescent="0.25">
      <c r="A731"/>
      <c r="B731"/>
    </row>
    <row r="732" spans="1:2" x14ac:dyDescent="0.25">
      <c r="A732"/>
      <c r="B732"/>
    </row>
    <row r="733" spans="1:2" x14ac:dyDescent="0.25">
      <c r="A733"/>
      <c r="B733"/>
    </row>
    <row r="734" spans="1:2" x14ac:dyDescent="0.25">
      <c r="A734"/>
      <c r="B734"/>
    </row>
    <row r="735" spans="1:2" x14ac:dyDescent="0.25">
      <c r="A735"/>
      <c r="B735"/>
    </row>
    <row r="736" spans="1:2" x14ac:dyDescent="0.25">
      <c r="A736"/>
      <c r="B736"/>
    </row>
    <row r="737" spans="1:2" x14ac:dyDescent="0.25">
      <c r="A737"/>
      <c r="B737"/>
    </row>
    <row r="738" spans="1:2" x14ac:dyDescent="0.25">
      <c r="A738"/>
      <c r="B738"/>
    </row>
    <row r="739" spans="1:2" x14ac:dyDescent="0.25">
      <c r="A739"/>
      <c r="B739"/>
    </row>
    <row r="740" spans="1:2" x14ac:dyDescent="0.25">
      <c r="A740"/>
      <c r="B740"/>
    </row>
    <row r="741" spans="1:2" x14ac:dyDescent="0.25">
      <c r="A741"/>
      <c r="B741"/>
    </row>
    <row r="742" spans="1:2" x14ac:dyDescent="0.25">
      <c r="A742"/>
      <c r="B742"/>
    </row>
    <row r="743" spans="1:2" x14ac:dyDescent="0.25">
      <c r="A743"/>
      <c r="B743"/>
    </row>
    <row r="744" spans="1:2" x14ac:dyDescent="0.25">
      <c r="A744"/>
      <c r="B744"/>
    </row>
    <row r="745" spans="1:2" x14ac:dyDescent="0.25">
      <c r="A745"/>
      <c r="B745"/>
    </row>
    <row r="746" spans="1:2" x14ac:dyDescent="0.25">
      <c r="A746"/>
      <c r="B746"/>
    </row>
    <row r="747" spans="1:2" x14ac:dyDescent="0.25">
      <c r="A747"/>
      <c r="B747"/>
    </row>
    <row r="748" spans="1:2" x14ac:dyDescent="0.25">
      <c r="A748"/>
      <c r="B748"/>
    </row>
    <row r="749" spans="1:2" x14ac:dyDescent="0.25">
      <c r="A749"/>
      <c r="B749"/>
    </row>
    <row r="750" spans="1:2" x14ac:dyDescent="0.25">
      <c r="A750"/>
      <c r="B750"/>
    </row>
    <row r="751" spans="1:2" x14ac:dyDescent="0.25">
      <c r="A751"/>
      <c r="B751"/>
    </row>
    <row r="752" spans="1:2" x14ac:dyDescent="0.25">
      <c r="A752"/>
      <c r="B752"/>
    </row>
    <row r="753" spans="1:2" x14ac:dyDescent="0.25">
      <c r="A753"/>
      <c r="B753"/>
    </row>
    <row r="754" spans="1:2" x14ac:dyDescent="0.25">
      <c r="A754"/>
      <c r="B754"/>
    </row>
    <row r="755" spans="1:2" x14ac:dyDescent="0.25">
      <c r="A755"/>
      <c r="B755"/>
    </row>
    <row r="756" spans="1:2" x14ac:dyDescent="0.25">
      <c r="A756"/>
      <c r="B756"/>
    </row>
    <row r="757" spans="1:2" x14ac:dyDescent="0.25">
      <c r="A757"/>
      <c r="B757"/>
    </row>
    <row r="758" spans="1:2" x14ac:dyDescent="0.25">
      <c r="A758"/>
      <c r="B758"/>
    </row>
    <row r="759" spans="1:2" x14ac:dyDescent="0.25">
      <c r="A759"/>
      <c r="B759"/>
    </row>
    <row r="760" spans="1:2" x14ac:dyDescent="0.25">
      <c r="A760"/>
      <c r="B760"/>
    </row>
    <row r="761" spans="1:2" x14ac:dyDescent="0.25">
      <c r="A761"/>
      <c r="B761"/>
    </row>
    <row r="762" spans="1:2" x14ac:dyDescent="0.25">
      <c r="A762"/>
      <c r="B762"/>
    </row>
    <row r="763" spans="1:2" x14ac:dyDescent="0.25">
      <c r="A763"/>
      <c r="B763"/>
    </row>
    <row r="764" spans="1:2" x14ac:dyDescent="0.25">
      <c r="A764"/>
      <c r="B764"/>
    </row>
    <row r="765" spans="1:2" x14ac:dyDescent="0.25">
      <c r="A765"/>
      <c r="B765"/>
    </row>
    <row r="766" spans="1:2" x14ac:dyDescent="0.25">
      <c r="A766"/>
      <c r="B766"/>
    </row>
    <row r="767" spans="1:2" x14ac:dyDescent="0.25">
      <c r="A767"/>
      <c r="B767"/>
    </row>
    <row r="768" spans="1:2" x14ac:dyDescent="0.25">
      <c r="A768"/>
      <c r="B768"/>
    </row>
    <row r="769" spans="1:2" x14ac:dyDescent="0.25">
      <c r="A769"/>
      <c r="B769"/>
    </row>
    <row r="770" spans="1:2" x14ac:dyDescent="0.25">
      <c r="A770"/>
      <c r="B770"/>
    </row>
    <row r="771" spans="1:2" x14ac:dyDescent="0.25">
      <c r="A771"/>
      <c r="B771"/>
    </row>
    <row r="772" spans="1:2" x14ac:dyDescent="0.25">
      <c r="A772"/>
      <c r="B772"/>
    </row>
    <row r="773" spans="1:2" x14ac:dyDescent="0.25">
      <c r="A773"/>
      <c r="B773"/>
    </row>
    <row r="774" spans="1:2" x14ac:dyDescent="0.25">
      <c r="A774"/>
      <c r="B774"/>
    </row>
    <row r="775" spans="1:2" x14ac:dyDescent="0.25">
      <c r="A775"/>
      <c r="B775"/>
    </row>
    <row r="776" spans="1:2" x14ac:dyDescent="0.25">
      <c r="A776"/>
      <c r="B776"/>
    </row>
    <row r="777" spans="1:2" x14ac:dyDescent="0.25">
      <c r="A777"/>
      <c r="B777"/>
    </row>
    <row r="778" spans="1:2" x14ac:dyDescent="0.25">
      <c r="A778"/>
      <c r="B778"/>
    </row>
    <row r="779" spans="1:2" x14ac:dyDescent="0.25">
      <c r="A779"/>
      <c r="B779"/>
    </row>
    <row r="780" spans="1:2" x14ac:dyDescent="0.25">
      <c r="A780"/>
      <c r="B780"/>
    </row>
    <row r="781" spans="1:2" x14ac:dyDescent="0.25">
      <c r="A781"/>
      <c r="B781"/>
    </row>
    <row r="782" spans="1:2" x14ac:dyDescent="0.25">
      <c r="A782"/>
      <c r="B782"/>
    </row>
    <row r="783" spans="1:2" x14ac:dyDescent="0.25">
      <c r="A783"/>
      <c r="B783"/>
    </row>
    <row r="784" spans="1:2" x14ac:dyDescent="0.25">
      <c r="A784"/>
      <c r="B784"/>
    </row>
    <row r="785" spans="1:2" x14ac:dyDescent="0.25">
      <c r="A785"/>
      <c r="B785"/>
    </row>
    <row r="786" spans="1:2" x14ac:dyDescent="0.25">
      <c r="A786"/>
      <c r="B786"/>
    </row>
    <row r="787" spans="1:2" x14ac:dyDescent="0.25">
      <c r="A787"/>
      <c r="B787"/>
    </row>
    <row r="788" spans="1:2" x14ac:dyDescent="0.25">
      <c r="A788"/>
      <c r="B788"/>
    </row>
    <row r="789" spans="1:2" x14ac:dyDescent="0.25">
      <c r="A789"/>
      <c r="B789"/>
    </row>
    <row r="790" spans="1:2" x14ac:dyDescent="0.25">
      <c r="A790"/>
      <c r="B790"/>
    </row>
    <row r="791" spans="1:2" x14ac:dyDescent="0.25">
      <c r="A791"/>
      <c r="B791"/>
    </row>
    <row r="792" spans="1:2" x14ac:dyDescent="0.25">
      <c r="A792"/>
      <c r="B792"/>
    </row>
    <row r="793" spans="1:2" x14ac:dyDescent="0.25">
      <c r="A793"/>
      <c r="B793"/>
    </row>
    <row r="794" spans="1:2" x14ac:dyDescent="0.25">
      <c r="A794"/>
      <c r="B794"/>
    </row>
    <row r="795" spans="1:2" x14ac:dyDescent="0.25">
      <c r="A795"/>
      <c r="B795"/>
    </row>
    <row r="796" spans="1:2" x14ac:dyDescent="0.25">
      <c r="A796"/>
      <c r="B796"/>
    </row>
    <row r="797" spans="1:2" x14ac:dyDescent="0.25">
      <c r="A797"/>
      <c r="B797"/>
    </row>
    <row r="798" spans="1:2" x14ac:dyDescent="0.25">
      <c r="A798"/>
      <c r="B798"/>
    </row>
    <row r="799" spans="1:2" x14ac:dyDescent="0.25">
      <c r="A799"/>
      <c r="B799"/>
    </row>
    <row r="800" spans="1:2" x14ac:dyDescent="0.25">
      <c r="A800"/>
      <c r="B800"/>
    </row>
    <row r="801" spans="1:2" x14ac:dyDescent="0.25">
      <c r="A801"/>
      <c r="B801"/>
    </row>
    <row r="802" spans="1:2" x14ac:dyDescent="0.25">
      <c r="A802"/>
      <c r="B802"/>
    </row>
    <row r="803" spans="1:2" x14ac:dyDescent="0.25">
      <c r="A803"/>
      <c r="B803"/>
    </row>
    <row r="804" spans="1:2" x14ac:dyDescent="0.25">
      <c r="A804"/>
      <c r="B804"/>
    </row>
    <row r="805" spans="1:2" x14ac:dyDescent="0.25">
      <c r="A805"/>
      <c r="B805"/>
    </row>
    <row r="806" spans="1:2" x14ac:dyDescent="0.25">
      <c r="A806"/>
      <c r="B806"/>
    </row>
    <row r="807" spans="1:2" x14ac:dyDescent="0.25">
      <c r="A807"/>
      <c r="B807"/>
    </row>
    <row r="808" spans="1:2" x14ac:dyDescent="0.25">
      <c r="A808"/>
      <c r="B808"/>
    </row>
    <row r="809" spans="1:2" x14ac:dyDescent="0.25">
      <c r="A809"/>
      <c r="B809"/>
    </row>
    <row r="810" spans="1:2" x14ac:dyDescent="0.25">
      <c r="A810"/>
      <c r="B810"/>
    </row>
    <row r="811" spans="1:2" x14ac:dyDescent="0.25">
      <c r="A811"/>
      <c r="B811"/>
    </row>
    <row r="812" spans="1:2" x14ac:dyDescent="0.25">
      <c r="A812"/>
      <c r="B812"/>
    </row>
    <row r="813" spans="1:2" x14ac:dyDescent="0.25">
      <c r="A813"/>
      <c r="B813"/>
    </row>
    <row r="814" spans="1:2" x14ac:dyDescent="0.25">
      <c r="A814"/>
      <c r="B814"/>
    </row>
    <row r="815" spans="1:2" x14ac:dyDescent="0.25">
      <c r="A815"/>
      <c r="B815"/>
    </row>
    <row r="816" spans="1:2" x14ac:dyDescent="0.25">
      <c r="A816"/>
      <c r="B816"/>
    </row>
    <row r="817" spans="1:2" x14ac:dyDescent="0.25">
      <c r="A817"/>
      <c r="B817"/>
    </row>
    <row r="818" spans="1:2" x14ac:dyDescent="0.25">
      <c r="A818"/>
      <c r="B818"/>
    </row>
    <row r="819" spans="1:2" x14ac:dyDescent="0.25">
      <c r="A819"/>
      <c r="B819"/>
    </row>
    <row r="820" spans="1:2" x14ac:dyDescent="0.25">
      <c r="A820"/>
      <c r="B820"/>
    </row>
    <row r="821" spans="1:2" x14ac:dyDescent="0.25">
      <c r="A821"/>
      <c r="B821"/>
    </row>
    <row r="822" spans="1:2" x14ac:dyDescent="0.25">
      <c r="A822"/>
      <c r="B822"/>
    </row>
    <row r="823" spans="1:2" x14ac:dyDescent="0.25">
      <c r="A823"/>
      <c r="B823"/>
    </row>
    <row r="824" spans="1:2" x14ac:dyDescent="0.25">
      <c r="A824"/>
      <c r="B824"/>
    </row>
    <row r="825" spans="1:2" x14ac:dyDescent="0.25">
      <c r="A825"/>
      <c r="B825"/>
    </row>
    <row r="826" spans="1:2" x14ac:dyDescent="0.25">
      <c r="A826"/>
      <c r="B826"/>
    </row>
    <row r="827" spans="1:2" x14ac:dyDescent="0.25">
      <c r="A827"/>
      <c r="B827"/>
    </row>
    <row r="828" spans="1:2" x14ac:dyDescent="0.25">
      <c r="A828"/>
      <c r="B828"/>
    </row>
    <row r="829" spans="1:2" x14ac:dyDescent="0.25">
      <c r="A829"/>
      <c r="B829"/>
    </row>
    <row r="830" spans="1:2" x14ac:dyDescent="0.25">
      <c r="A830"/>
      <c r="B830"/>
    </row>
    <row r="831" spans="1:2" x14ac:dyDescent="0.25">
      <c r="A831"/>
      <c r="B831"/>
    </row>
    <row r="832" spans="1:2" x14ac:dyDescent="0.25">
      <c r="A832"/>
      <c r="B832"/>
    </row>
    <row r="833" spans="1:2" x14ac:dyDescent="0.25">
      <c r="A833"/>
      <c r="B833"/>
    </row>
    <row r="834" spans="1:2" x14ac:dyDescent="0.25">
      <c r="A834"/>
      <c r="B834"/>
    </row>
    <row r="835" spans="1:2" x14ac:dyDescent="0.25">
      <c r="A835"/>
      <c r="B835"/>
    </row>
    <row r="836" spans="1:2" x14ac:dyDescent="0.25">
      <c r="A836"/>
      <c r="B836"/>
    </row>
    <row r="837" spans="1:2" x14ac:dyDescent="0.25">
      <c r="A837"/>
      <c r="B837"/>
    </row>
    <row r="838" spans="1:2" x14ac:dyDescent="0.25">
      <c r="A838"/>
      <c r="B838"/>
    </row>
    <row r="839" spans="1:2" x14ac:dyDescent="0.25">
      <c r="A839"/>
      <c r="B839"/>
    </row>
    <row r="840" spans="1:2" x14ac:dyDescent="0.25">
      <c r="A840"/>
      <c r="B840"/>
    </row>
    <row r="841" spans="1:2" x14ac:dyDescent="0.25">
      <c r="A841"/>
      <c r="B841"/>
    </row>
    <row r="842" spans="1:2" x14ac:dyDescent="0.25">
      <c r="A842"/>
      <c r="B842"/>
    </row>
    <row r="843" spans="1:2" x14ac:dyDescent="0.25">
      <c r="A843"/>
      <c r="B843"/>
    </row>
    <row r="844" spans="1:2" x14ac:dyDescent="0.25">
      <c r="A844"/>
      <c r="B844"/>
    </row>
    <row r="845" spans="1:2" x14ac:dyDescent="0.25">
      <c r="A845"/>
      <c r="B845"/>
    </row>
    <row r="846" spans="1:2" x14ac:dyDescent="0.25">
      <c r="A846"/>
      <c r="B846"/>
    </row>
    <row r="847" spans="1:2" x14ac:dyDescent="0.25">
      <c r="A847"/>
      <c r="B847"/>
    </row>
    <row r="848" spans="1:2" x14ac:dyDescent="0.25">
      <c r="A848"/>
      <c r="B848"/>
    </row>
    <row r="849" spans="1:2" x14ac:dyDescent="0.25">
      <c r="A849"/>
      <c r="B849"/>
    </row>
    <row r="850" spans="1:2" x14ac:dyDescent="0.25">
      <c r="A850"/>
      <c r="B850"/>
    </row>
    <row r="851" spans="1:2" x14ac:dyDescent="0.25">
      <c r="A851"/>
      <c r="B851"/>
    </row>
    <row r="852" spans="1:2" x14ac:dyDescent="0.25">
      <c r="A852"/>
      <c r="B852"/>
    </row>
    <row r="853" spans="1:2" x14ac:dyDescent="0.25">
      <c r="A853"/>
      <c r="B853"/>
    </row>
    <row r="854" spans="1:2" x14ac:dyDescent="0.25">
      <c r="A854"/>
      <c r="B854"/>
    </row>
    <row r="855" spans="1:2" x14ac:dyDescent="0.25">
      <c r="A855"/>
      <c r="B855"/>
    </row>
    <row r="856" spans="1:2" x14ac:dyDescent="0.25">
      <c r="A856"/>
      <c r="B856"/>
    </row>
    <row r="857" spans="1:2" x14ac:dyDescent="0.25">
      <c r="A857"/>
      <c r="B857"/>
    </row>
    <row r="858" spans="1:2" x14ac:dyDescent="0.25">
      <c r="A858"/>
      <c r="B858"/>
    </row>
    <row r="859" spans="1:2" x14ac:dyDescent="0.25">
      <c r="A859"/>
      <c r="B859"/>
    </row>
    <row r="860" spans="1:2" x14ac:dyDescent="0.25">
      <c r="A860"/>
      <c r="B860"/>
    </row>
    <row r="861" spans="1:2" x14ac:dyDescent="0.25">
      <c r="A861"/>
      <c r="B861"/>
    </row>
    <row r="862" spans="1:2" x14ac:dyDescent="0.25">
      <c r="A862"/>
      <c r="B862"/>
    </row>
    <row r="863" spans="1:2" x14ac:dyDescent="0.25">
      <c r="A863"/>
      <c r="B863"/>
    </row>
    <row r="864" spans="1:2" x14ac:dyDescent="0.25">
      <c r="A864"/>
      <c r="B864"/>
    </row>
    <row r="865" spans="1:2" x14ac:dyDescent="0.25">
      <c r="A865"/>
      <c r="B865"/>
    </row>
    <row r="866" spans="1:2" x14ac:dyDescent="0.25">
      <c r="A866"/>
      <c r="B866"/>
    </row>
    <row r="867" spans="1:2" x14ac:dyDescent="0.25">
      <c r="A867"/>
      <c r="B867"/>
    </row>
    <row r="868" spans="1:2" x14ac:dyDescent="0.25">
      <c r="A868"/>
      <c r="B868"/>
    </row>
    <row r="869" spans="1:2" x14ac:dyDescent="0.25">
      <c r="A869"/>
      <c r="B869"/>
    </row>
    <row r="870" spans="1:2" x14ac:dyDescent="0.25">
      <c r="A870"/>
      <c r="B870"/>
    </row>
    <row r="871" spans="1:2" x14ac:dyDescent="0.25">
      <c r="A871"/>
      <c r="B871"/>
    </row>
    <row r="872" spans="1:2" x14ac:dyDescent="0.25">
      <c r="A872"/>
      <c r="B872"/>
    </row>
    <row r="873" spans="1:2" x14ac:dyDescent="0.25">
      <c r="A873"/>
      <c r="B873"/>
    </row>
    <row r="874" spans="1:2" x14ac:dyDescent="0.25">
      <c r="A874"/>
      <c r="B874"/>
    </row>
    <row r="875" spans="1:2" x14ac:dyDescent="0.25">
      <c r="A875"/>
      <c r="B875"/>
    </row>
    <row r="876" spans="1:2" x14ac:dyDescent="0.25">
      <c r="A876"/>
      <c r="B876"/>
    </row>
    <row r="877" spans="1:2" x14ac:dyDescent="0.25">
      <c r="A877"/>
      <c r="B877"/>
    </row>
    <row r="878" spans="1:2" x14ac:dyDescent="0.25">
      <c r="A878"/>
      <c r="B878"/>
    </row>
    <row r="879" spans="1:2" x14ac:dyDescent="0.25">
      <c r="A879"/>
      <c r="B879"/>
    </row>
    <row r="880" spans="1:2" x14ac:dyDescent="0.25">
      <c r="A880"/>
      <c r="B880"/>
    </row>
    <row r="881" spans="1:2" x14ac:dyDescent="0.25">
      <c r="A881"/>
      <c r="B881"/>
    </row>
    <row r="882" spans="1:2" x14ac:dyDescent="0.25">
      <c r="A882"/>
      <c r="B882"/>
    </row>
    <row r="883" spans="1:2" x14ac:dyDescent="0.25">
      <c r="A883"/>
      <c r="B883"/>
    </row>
    <row r="884" spans="1:2" x14ac:dyDescent="0.25">
      <c r="A884"/>
      <c r="B884"/>
    </row>
    <row r="885" spans="1:2" x14ac:dyDescent="0.25">
      <c r="A885"/>
      <c r="B885"/>
    </row>
    <row r="886" spans="1:2" x14ac:dyDescent="0.25">
      <c r="A886"/>
      <c r="B886"/>
    </row>
    <row r="887" spans="1:2" x14ac:dyDescent="0.25">
      <c r="A887"/>
      <c r="B887"/>
    </row>
    <row r="888" spans="1:2" x14ac:dyDescent="0.25">
      <c r="A888"/>
      <c r="B888"/>
    </row>
    <row r="889" spans="1:2" x14ac:dyDescent="0.25">
      <c r="A889"/>
      <c r="B889"/>
    </row>
    <row r="890" spans="1:2" x14ac:dyDescent="0.25">
      <c r="A890"/>
      <c r="B890"/>
    </row>
    <row r="891" spans="1:2" x14ac:dyDescent="0.25">
      <c r="A891"/>
      <c r="B891"/>
    </row>
    <row r="892" spans="1:2" x14ac:dyDescent="0.25">
      <c r="A892"/>
      <c r="B892"/>
    </row>
    <row r="893" spans="1:2" x14ac:dyDescent="0.25">
      <c r="A893"/>
      <c r="B893"/>
    </row>
    <row r="894" spans="1:2" x14ac:dyDescent="0.25">
      <c r="A894"/>
      <c r="B894"/>
    </row>
    <row r="895" spans="1:2" x14ac:dyDescent="0.25">
      <c r="A895"/>
      <c r="B895"/>
    </row>
    <row r="896" spans="1:2" x14ac:dyDescent="0.25">
      <c r="A896"/>
      <c r="B896"/>
    </row>
    <row r="897" spans="1:2" x14ac:dyDescent="0.25">
      <c r="A897"/>
      <c r="B897"/>
    </row>
    <row r="898" spans="1:2" x14ac:dyDescent="0.25">
      <c r="A898"/>
      <c r="B898"/>
    </row>
    <row r="899" spans="1:2" x14ac:dyDescent="0.25">
      <c r="A899"/>
      <c r="B899"/>
    </row>
    <row r="900" spans="1:2" x14ac:dyDescent="0.25">
      <c r="A900"/>
      <c r="B900"/>
    </row>
    <row r="901" spans="1:2" x14ac:dyDescent="0.25">
      <c r="A901"/>
      <c r="B901"/>
    </row>
    <row r="902" spans="1:2" x14ac:dyDescent="0.25">
      <c r="A902"/>
      <c r="B902"/>
    </row>
    <row r="903" spans="1:2" x14ac:dyDescent="0.25">
      <c r="A903"/>
      <c r="B903"/>
    </row>
    <row r="904" spans="1:2" x14ac:dyDescent="0.25">
      <c r="A904"/>
      <c r="B904"/>
    </row>
    <row r="905" spans="1:2" x14ac:dyDescent="0.25">
      <c r="A905"/>
      <c r="B905"/>
    </row>
    <row r="906" spans="1:2" x14ac:dyDescent="0.25">
      <c r="A906"/>
      <c r="B906"/>
    </row>
    <row r="907" spans="1:2" x14ac:dyDescent="0.25">
      <c r="A907"/>
      <c r="B907"/>
    </row>
    <row r="908" spans="1:2" x14ac:dyDescent="0.25">
      <c r="A908"/>
      <c r="B908"/>
    </row>
    <row r="909" spans="1:2" x14ac:dyDescent="0.25">
      <c r="A909"/>
      <c r="B909"/>
    </row>
    <row r="910" spans="1:2" x14ac:dyDescent="0.25">
      <c r="A910"/>
      <c r="B910"/>
    </row>
    <row r="911" spans="1:2" x14ac:dyDescent="0.25">
      <c r="A911"/>
      <c r="B911"/>
    </row>
    <row r="912" spans="1:2" x14ac:dyDescent="0.25">
      <c r="A912"/>
      <c r="B912"/>
    </row>
    <row r="913" spans="1:2" x14ac:dyDescent="0.25">
      <c r="A913"/>
      <c r="B913"/>
    </row>
    <row r="914" spans="1:2" x14ac:dyDescent="0.25">
      <c r="A914"/>
      <c r="B914"/>
    </row>
    <row r="915" spans="1:2" x14ac:dyDescent="0.25">
      <c r="A915"/>
      <c r="B915"/>
    </row>
    <row r="916" spans="1:2" x14ac:dyDescent="0.25">
      <c r="A916"/>
      <c r="B916"/>
    </row>
    <row r="917" spans="1:2" x14ac:dyDescent="0.25">
      <c r="A917"/>
      <c r="B917"/>
    </row>
    <row r="918" spans="1:2" x14ac:dyDescent="0.25">
      <c r="A918"/>
      <c r="B918"/>
    </row>
    <row r="919" spans="1:2" x14ac:dyDescent="0.25">
      <c r="A919"/>
      <c r="B919"/>
    </row>
    <row r="920" spans="1:2" x14ac:dyDescent="0.25">
      <c r="A920"/>
      <c r="B920"/>
    </row>
    <row r="921" spans="1:2" x14ac:dyDescent="0.25">
      <c r="A921"/>
      <c r="B921"/>
    </row>
    <row r="922" spans="1:2" x14ac:dyDescent="0.25">
      <c r="A922"/>
      <c r="B922"/>
    </row>
    <row r="923" spans="1:2" x14ac:dyDescent="0.25">
      <c r="A923"/>
      <c r="B923"/>
    </row>
    <row r="924" spans="1:2" x14ac:dyDescent="0.25">
      <c r="A924"/>
      <c r="B924"/>
    </row>
    <row r="925" spans="1:2" x14ac:dyDescent="0.25">
      <c r="A925"/>
      <c r="B925"/>
    </row>
    <row r="926" spans="1:2" x14ac:dyDescent="0.25">
      <c r="A926"/>
      <c r="B926"/>
    </row>
    <row r="927" spans="1:2" x14ac:dyDescent="0.25">
      <c r="A927"/>
      <c r="B927"/>
    </row>
    <row r="928" spans="1:2" x14ac:dyDescent="0.25">
      <c r="A928"/>
      <c r="B928"/>
    </row>
    <row r="929" spans="1:2" x14ac:dyDescent="0.25">
      <c r="A929"/>
      <c r="B929"/>
    </row>
    <row r="930" spans="1:2" x14ac:dyDescent="0.25">
      <c r="A930"/>
      <c r="B930"/>
    </row>
    <row r="931" spans="1:2" x14ac:dyDescent="0.25">
      <c r="A931"/>
      <c r="B931"/>
    </row>
    <row r="932" spans="1:2" x14ac:dyDescent="0.25">
      <c r="A932"/>
      <c r="B932"/>
    </row>
    <row r="933" spans="1:2" x14ac:dyDescent="0.25">
      <c r="A933"/>
      <c r="B933"/>
    </row>
    <row r="934" spans="1:2" x14ac:dyDescent="0.25">
      <c r="A934"/>
      <c r="B934"/>
    </row>
    <row r="935" spans="1:2" x14ac:dyDescent="0.25">
      <c r="A935"/>
      <c r="B935"/>
    </row>
    <row r="936" spans="1:2" x14ac:dyDescent="0.25">
      <c r="A936"/>
      <c r="B936"/>
    </row>
    <row r="937" spans="1:2" x14ac:dyDescent="0.25">
      <c r="A937"/>
      <c r="B937"/>
    </row>
    <row r="938" spans="1:2" x14ac:dyDescent="0.25">
      <c r="A938"/>
      <c r="B938"/>
    </row>
    <row r="939" spans="1:2" x14ac:dyDescent="0.25">
      <c r="A939"/>
      <c r="B939"/>
    </row>
    <row r="940" spans="1:2" x14ac:dyDescent="0.25">
      <c r="A940"/>
      <c r="B940"/>
    </row>
    <row r="941" spans="1:2" x14ac:dyDescent="0.25">
      <c r="A941"/>
      <c r="B941"/>
    </row>
    <row r="942" spans="1:2" x14ac:dyDescent="0.25">
      <c r="A942"/>
      <c r="B942"/>
    </row>
    <row r="943" spans="1:2" x14ac:dyDescent="0.25">
      <c r="A943"/>
      <c r="B943"/>
    </row>
    <row r="944" spans="1:2" x14ac:dyDescent="0.25">
      <c r="A944"/>
      <c r="B944"/>
    </row>
    <row r="945" spans="1:2" x14ac:dyDescent="0.25">
      <c r="A945"/>
      <c r="B945"/>
    </row>
    <row r="946" spans="1:2" x14ac:dyDescent="0.25">
      <c r="A946"/>
      <c r="B946"/>
    </row>
    <row r="947" spans="1:2" x14ac:dyDescent="0.25">
      <c r="A947"/>
      <c r="B947"/>
    </row>
    <row r="948" spans="1:2" x14ac:dyDescent="0.25">
      <c r="A948"/>
      <c r="B948"/>
    </row>
    <row r="949" spans="1:2" x14ac:dyDescent="0.25">
      <c r="A949"/>
      <c r="B949"/>
    </row>
    <row r="950" spans="1:2" x14ac:dyDescent="0.25">
      <c r="A950"/>
      <c r="B950"/>
    </row>
    <row r="951" spans="1:2" x14ac:dyDescent="0.25">
      <c r="A951"/>
      <c r="B951"/>
    </row>
    <row r="952" spans="1:2" x14ac:dyDescent="0.25">
      <c r="A952"/>
      <c r="B952"/>
    </row>
    <row r="953" spans="1:2" x14ac:dyDescent="0.25">
      <c r="A953"/>
      <c r="B953"/>
    </row>
    <row r="954" spans="1:2" x14ac:dyDescent="0.25">
      <c r="A954"/>
      <c r="B954"/>
    </row>
    <row r="955" spans="1:2" x14ac:dyDescent="0.25">
      <c r="A955"/>
      <c r="B955"/>
    </row>
    <row r="956" spans="1:2" x14ac:dyDescent="0.25">
      <c r="A956"/>
      <c r="B956"/>
    </row>
    <row r="957" spans="1:2" x14ac:dyDescent="0.25">
      <c r="A957"/>
      <c r="B957"/>
    </row>
    <row r="958" spans="1:2" x14ac:dyDescent="0.25">
      <c r="A958"/>
      <c r="B958"/>
    </row>
    <row r="959" spans="1:2" x14ac:dyDescent="0.25">
      <c r="A959"/>
      <c r="B959"/>
    </row>
    <row r="960" spans="1:2" x14ac:dyDescent="0.25">
      <c r="A960"/>
      <c r="B960"/>
    </row>
    <row r="961" spans="1:2" x14ac:dyDescent="0.25">
      <c r="A961"/>
      <c r="B961"/>
    </row>
    <row r="962" spans="1:2" x14ac:dyDescent="0.25">
      <c r="A962"/>
      <c r="B962"/>
    </row>
    <row r="963" spans="1:2" x14ac:dyDescent="0.25">
      <c r="A963"/>
      <c r="B963"/>
    </row>
    <row r="964" spans="1:2" x14ac:dyDescent="0.25">
      <c r="A964"/>
      <c r="B964"/>
    </row>
    <row r="965" spans="1:2" x14ac:dyDescent="0.25">
      <c r="A965"/>
      <c r="B965"/>
    </row>
    <row r="966" spans="1:2" x14ac:dyDescent="0.25">
      <c r="A966"/>
      <c r="B966"/>
    </row>
    <row r="967" spans="1:2" x14ac:dyDescent="0.25">
      <c r="A967"/>
      <c r="B967"/>
    </row>
    <row r="968" spans="1:2" x14ac:dyDescent="0.25">
      <c r="A968"/>
      <c r="B968"/>
    </row>
    <row r="969" spans="1:2" x14ac:dyDescent="0.25">
      <c r="A969"/>
      <c r="B969"/>
    </row>
    <row r="970" spans="1:2" x14ac:dyDescent="0.25">
      <c r="A970"/>
      <c r="B970"/>
    </row>
    <row r="971" spans="1:2" x14ac:dyDescent="0.25">
      <c r="A971"/>
      <c r="B971"/>
    </row>
    <row r="972" spans="1:2" x14ac:dyDescent="0.25">
      <c r="A972"/>
      <c r="B972"/>
    </row>
    <row r="973" spans="1:2" x14ac:dyDescent="0.25">
      <c r="A973"/>
      <c r="B973"/>
    </row>
    <row r="974" spans="1:2" x14ac:dyDescent="0.25">
      <c r="A974"/>
      <c r="B974"/>
    </row>
    <row r="975" spans="1:2" x14ac:dyDescent="0.25">
      <c r="A975"/>
      <c r="B975"/>
    </row>
    <row r="976" spans="1:2" x14ac:dyDescent="0.25">
      <c r="A976"/>
      <c r="B976"/>
    </row>
    <row r="977" spans="1:2" x14ac:dyDescent="0.25">
      <c r="A977"/>
      <c r="B977"/>
    </row>
    <row r="978" spans="1:2" x14ac:dyDescent="0.25">
      <c r="A978"/>
      <c r="B978"/>
    </row>
    <row r="979" spans="1:2" x14ac:dyDescent="0.25">
      <c r="A979"/>
      <c r="B979"/>
    </row>
    <row r="980" spans="1:2" x14ac:dyDescent="0.25">
      <c r="A980"/>
      <c r="B980"/>
    </row>
    <row r="981" spans="1:2" x14ac:dyDescent="0.25">
      <c r="A981"/>
      <c r="B981"/>
    </row>
    <row r="982" spans="1:2" x14ac:dyDescent="0.25">
      <c r="A982"/>
      <c r="B982"/>
    </row>
    <row r="983" spans="1:2" x14ac:dyDescent="0.25">
      <c r="A983"/>
      <c r="B983"/>
    </row>
    <row r="984" spans="1:2" x14ac:dyDescent="0.25">
      <c r="A984"/>
      <c r="B984"/>
    </row>
    <row r="985" spans="1:2" x14ac:dyDescent="0.25">
      <c r="A985"/>
      <c r="B985"/>
    </row>
    <row r="986" spans="1:2" x14ac:dyDescent="0.25">
      <c r="A986"/>
      <c r="B986"/>
    </row>
    <row r="987" spans="1:2" x14ac:dyDescent="0.25">
      <c r="A987"/>
      <c r="B987"/>
    </row>
    <row r="988" spans="1:2" x14ac:dyDescent="0.25">
      <c r="A988"/>
      <c r="B988"/>
    </row>
    <row r="989" spans="1:2" x14ac:dyDescent="0.25">
      <c r="A989"/>
      <c r="B989"/>
    </row>
    <row r="990" spans="1:2" x14ac:dyDescent="0.25">
      <c r="A990"/>
      <c r="B990"/>
    </row>
    <row r="991" spans="1:2" x14ac:dyDescent="0.25">
      <c r="A991"/>
      <c r="B991"/>
    </row>
    <row r="992" spans="1:2" x14ac:dyDescent="0.25">
      <c r="A992"/>
      <c r="B992"/>
    </row>
    <row r="993" spans="1:2" x14ac:dyDescent="0.25">
      <c r="A993"/>
      <c r="B993"/>
    </row>
    <row r="994" spans="1:2" x14ac:dyDescent="0.25">
      <c r="A994"/>
      <c r="B994"/>
    </row>
    <row r="995" spans="1:2" x14ac:dyDescent="0.25">
      <c r="A995"/>
      <c r="B995"/>
    </row>
    <row r="996" spans="1:2" x14ac:dyDescent="0.25">
      <c r="A996"/>
      <c r="B996"/>
    </row>
    <row r="997" spans="1:2" x14ac:dyDescent="0.25">
      <c r="A997"/>
      <c r="B997"/>
    </row>
    <row r="998" spans="1:2" x14ac:dyDescent="0.25">
      <c r="A998"/>
      <c r="B998"/>
    </row>
    <row r="999" spans="1:2" x14ac:dyDescent="0.25">
      <c r="A999"/>
      <c r="B999"/>
    </row>
    <row r="1000" spans="1:2" x14ac:dyDescent="0.25">
      <c r="A1000"/>
      <c r="B1000"/>
    </row>
    <row r="1001" spans="1:2" x14ac:dyDescent="0.25">
      <c r="A1001"/>
      <c r="B1001"/>
    </row>
    <row r="1002" spans="1:2" x14ac:dyDescent="0.25">
      <c r="A1002"/>
      <c r="B1002"/>
    </row>
    <row r="1003" spans="1:2" x14ac:dyDescent="0.25">
      <c r="A1003"/>
      <c r="B1003"/>
    </row>
    <row r="1004" spans="1:2" x14ac:dyDescent="0.25">
      <c r="A1004"/>
      <c r="B1004"/>
    </row>
    <row r="1005" spans="1:2" x14ac:dyDescent="0.25">
      <c r="A1005"/>
      <c r="B1005"/>
    </row>
    <row r="1006" spans="1:2" x14ac:dyDescent="0.25">
      <c r="A1006"/>
      <c r="B1006"/>
    </row>
    <row r="1007" spans="1:2" x14ac:dyDescent="0.25">
      <c r="A1007"/>
      <c r="B1007"/>
    </row>
    <row r="1008" spans="1:2" x14ac:dyDescent="0.25">
      <c r="A1008"/>
      <c r="B1008"/>
    </row>
    <row r="1009" spans="1:2" x14ac:dyDescent="0.25">
      <c r="A1009"/>
      <c r="B1009"/>
    </row>
    <row r="1010" spans="1:2" x14ac:dyDescent="0.25">
      <c r="A1010"/>
      <c r="B1010"/>
    </row>
    <row r="1011" spans="1:2" x14ac:dyDescent="0.25">
      <c r="A1011"/>
      <c r="B1011"/>
    </row>
    <row r="1012" spans="1:2" x14ac:dyDescent="0.25">
      <c r="A1012"/>
      <c r="B1012"/>
    </row>
    <row r="1013" spans="1:2" x14ac:dyDescent="0.25">
      <c r="A1013"/>
      <c r="B1013"/>
    </row>
    <row r="1014" spans="1:2" x14ac:dyDescent="0.25">
      <c r="A1014"/>
      <c r="B1014"/>
    </row>
    <row r="1015" spans="1:2" x14ac:dyDescent="0.25">
      <c r="A1015"/>
      <c r="B1015"/>
    </row>
    <row r="1016" spans="1:2" x14ac:dyDescent="0.25">
      <c r="A1016"/>
      <c r="B1016"/>
    </row>
    <row r="1017" spans="1:2" x14ac:dyDescent="0.25">
      <c r="A1017"/>
      <c r="B1017"/>
    </row>
    <row r="1018" spans="1:2" x14ac:dyDescent="0.25">
      <c r="A1018"/>
      <c r="B1018"/>
    </row>
    <row r="1019" spans="1:2" x14ac:dyDescent="0.25">
      <c r="A1019"/>
      <c r="B1019"/>
    </row>
    <row r="1020" spans="1:2" x14ac:dyDescent="0.25">
      <c r="A1020"/>
      <c r="B1020"/>
    </row>
    <row r="1021" spans="1:2" x14ac:dyDescent="0.25">
      <c r="A1021"/>
      <c r="B1021"/>
    </row>
    <row r="1022" spans="1:2" x14ac:dyDescent="0.25">
      <c r="A1022"/>
      <c r="B1022"/>
    </row>
    <row r="1023" spans="1:2" x14ac:dyDescent="0.25">
      <c r="A1023"/>
      <c r="B1023"/>
    </row>
    <row r="1024" spans="1:2" x14ac:dyDescent="0.25">
      <c r="A1024"/>
      <c r="B1024"/>
    </row>
    <row r="1025" spans="1:2" x14ac:dyDescent="0.25">
      <c r="A1025"/>
      <c r="B1025"/>
    </row>
    <row r="1026" spans="1:2" x14ac:dyDescent="0.25">
      <c r="A1026"/>
      <c r="B1026"/>
    </row>
    <row r="1027" spans="1:2" x14ac:dyDescent="0.25">
      <c r="A1027"/>
      <c r="B1027"/>
    </row>
    <row r="1028" spans="1:2" x14ac:dyDescent="0.25">
      <c r="A1028"/>
      <c r="B1028"/>
    </row>
    <row r="1029" spans="1:2" x14ac:dyDescent="0.25">
      <c r="A1029"/>
      <c r="B1029"/>
    </row>
    <row r="1030" spans="1:2" x14ac:dyDescent="0.25">
      <c r="A1030"/>
      <c r="B1030"/>
    </row>
    <row r="1031" spans="1:2" x14ac:dyDescent="0.25">
      <c r="A1031"/>
      <c r="B1031"/>
    </row>
    <row r="1032" spans="1:2" x14ac:dyDescent="0.25">
      <c r="A1032"/>
      <c r="B1032"/>
    </row>
    <row r="1033" spans="1:2" x14ac:dyDescent="0.25">
      <c r="A1033"/>
      <c r="B1033"/>
    </row>
    <row r="1034" spans="1:2" x14ac:dyDescent="0.25">
      <c r="A1034"/>
      <c r="B1034"/>
    </row>
    <row r="1035" spans="1:2" x14ac:dyDescent="0.25">
      <c r="A1035"/>
      <c r="B1035"/>
    </row>
    <row r="1036" spans="1:2" x14ac:dyDescent="0.25">
      <c r="A1036"/>
      <c r="B1036"/>
    </row>
    <row r="1037" spans="1:2" x14ac:dyDescent="0.25">
      <c r="A1037"/>
      <c r="B1037"/>
    </row>
    <row r="1038" spans="1:2" x14ac:dyDescent="0.25">
      <c r="A1038"/>
      <c r="B1038"/>
    </row>
    <row r="1039" spans="1:2" x14ac:dyDescent="0.25">
      <c r="A1039"/>
      <c r="B1039"/>
    </row>
    <row r="1040" spans="1:2" x14ac:dyDescent="0.25">
      <c r="A1040"/>
      <c r="B1040"/>
    </row>
    <row r="1041" spans="1:2" x14ac:dyDescent="0.25">
      <c r="A1041"/>
      <c r="B1041"/>
    </row>
    <row r="1042" spans="1:2" x14ac:dyDescent="0.25">
      <c r="A1042"/>
      <c r="B1042"/>
    </row>
    <row r="1043" spans="1:2" x14ac:dyDescent="0.25">
      <c r="A1043"/>
      <c r="B1043"/>
    </row>
    <row r="1044" spans="1:2" x14ac:dyDescent="0.25">
      <c r="A1044"/>
      <c r="B1044"/>
    </row>
    <row r="1045" spans="1:2" x14ac:dyDescent="0.25">
      <c r="A1045"/>
      <c r="B1045"/>
    </row>
    <row r="1046" spans="1:2" x14ac:dyDescent="0.25">
      <c r="A1046"/>
      <c r="B1046"/>
    </row>
    <row r="1047" spans="1:2" x14ac:dyDescent="0.25">
      <c r="A1047"/>
      <c r="B1047"/>
    </row>
    <row r="1048" spans="1:2" x14ac:dyDescent="0.25">
      <c r="A1048"/>
      <c r="B1048"/>
    </row>
    <row r="1049" spans="1:2" x14ac:dyDescent="0.25">
      <c r="A1049"/>
      <c r="B1049"/>
    </row>
    <row r="1050" spans="1:2" x14ac:dyDescent="0.25">
      <c r="A1050"/>
      <c r="B1050"/>
    </row>
    <row r="1051" spans="1:2" x14ac:dyDescent="0.25">
      <c r="A1051"/>
      <c r="B1051"/>
    </row>
    <row r="1052" spans="1:2" x14ac:dyDescent="0.25">
      <c r="A1052"/>
      <c r="B1052"/>
    </row>
    <row r="1053" spans="1:2" x14ac:dyDescent="0.25">
      <c r="A1053"/>
      <c r="B1053"/>
    </row>
    <row r="1054" spans="1:2" x14ac:dyDescent="0.25">
      <c r="A1054"/>
      <c r="B1054"/>
    </row>
    <row r="1055" spans="1:2" x14ac:dyDescent="0.25">
      <c r="A1055"/>
      <c r="B1055"/>
    </row>
    <row r="1056" spans="1:2" x14ac:dyDescent="0.25">
      <c r="A1056"/>
      <c r="B1056"/>
    </row>
    <row r="1057" spans="1:2" x14ac:dyDescent="0.25">
      <c r="A1057"/>
      <c r="B1057"/>
    </row>
    <row r="1058" spans="1:2" x14ac:dyDescent="0.25">
      <c r="A1058"/>
      <c r="B1058"/>
    </row>
    <row r="1059" spans="1:2" x14ac:dyDescent="0.25">
      <c r="A1059"/>
      <c r="B1059"/>
    </row>
    <row r="1060" spans="1:2" x14ac:dyDescent="0.25">
      <c r="A1060"/>
      <c r="B1060"/>
    </row>
    <row r="1061" spans="1:2" x14ac:dyDescent="0.25">
      <c r="A1061"/>
      <c r="B1061"/>
    </row>
    <row r="1062" spans="1:2" x14ac:dyDescent="0.25">
      <c r="A1062"/>
      <c r="B1062"/>
    </row>
    <row r="1063" spans="1:2" x14ac:dyDescent="0.25">
      <c r="A1063"/>
      <c r="B1063"/>
    </row>
    <row r="1064" spans="1:2" x14ac:dyDescent="0.25">
      <c r="A1064"/>
      <c r="B1064"/>
    </row>
    <row r="1065" spans="1:2" x14ac:dyDescent="0.25">
      <c r="A1065"/>
      <c r="B1065"/>
    </row>
    <row r="1066" spans="1:2" x14ac:dyDescent="0.25">
      <c r="A1066"/>
      <c r="B1066"/>
    </row>
    <row r="1067" spans="1:2" x14ac:dyDescent="0.25">
      <c r="A1067"/>
      <c r="B1067"/>
    </row>
    <row r="1068" spans="1:2" x14ac:dyDescent="0.25">
      <c r="A1068"/>
      <c r="B1068"/>
    </row>
    <row r="1069" spans="1:2" x14ac:dyDescent="0.25">
      <c r="A1069"/>
      <c r="B1069"/>
    </row>
    <row r="1070" spans="1:2" x14ac:dyDescent="0.25">
      <c r="A1070"/>
      <c r="B1070"/>
    </row>
    <row r="1071" spans="1:2" x14ac:dyDescent="0.25">
      <c r="A1071"/>
      <c r="B1071"/>
    </row>
    <row r="1072" spans="1:2" x14ac:dyDescent="0.25">
      <c r="A1072"/>
      <c r="B1072"/>
    </row>
    <row r="1073" spans="1:2" x14ac:dyDescent="0.25">
      <c r="A1073"/>
      <c r="B1073"/>
    </row>
    <row r="1074" spans="1:2" x14ac:dyDescent="0.25">
      <c r="A1074"/>
      <c r="B1074"/>
    </row>
    <row r="1075" spans="1:2" x14ac:dyDescent="0.25">
      <c r="A1075"/>
      <c r="B1075"/>
    </row>
    <row r="1076" spans="1:2" x14ac:dyDescent="0.25">
      <c r="A1076"/>
      <c r="B1076"/>
    </row>
    <row r="1077" spans="1:2" x14ac:dyDescent="0.25">
      <c r="A1077"/>
      <c r="B1077"/>
    </row>
    <row r="1078" spans="1:2" x14ac:dyDescent="0.25">
      <c r="A1078"/>
      <c r="B1078"/>
    </row>
    <row r="1079" spans="1:2" x14ac:dyDescent="0.25">
      <c r="A1079"/>
      <c r="B1079"/>
    </row>
    <row r="1080" spans="1:2" x14ac:dyDescent="0.25">
      <c r="A1080"/>
      <c r="B1080"/>
    </row>
    <row r="1081" spans="1:2" x14ac:dyDescent="0.25">
      <c r="A1081"/>
      <c r="B1081"/>
    </row>
    <row r="1082" spans="1:2" x14ac:dyDescent="0.25">
      <c r="A1082"/>
      <c r="B1082"/>
    </row>
    <row r="1083" spans="1:2" x14ac:dyDescent="0.25">
      <c r="A1083"/>
      <c r="B1083"/>
    </row>
    <row r="1084" spans="1:2" x14ac:dyDescent="0.25">
      <c r="A1084"/>
      <c r="B1084"/>
    </row>
    <row r="1085" spans="1:2" x14ac:dyDescent="0.25">
      <c r="A1085"/>
      <c r="B1085"/>
    </row>
    <row r="1086" spans="1:2" x14ac:dyDescent="0.25">
      <c r="A1086"/>
      <c r="B1086"/>
    </row>
    <row r="1087" spans="1:2" x14ac:dyDescent="0.25">
      <c r="A1087"/>
      <c r="B1087"/>
    </row>
    <row r="1088" spans="1:2" x14ac:dyDescent="0.25">
      <c r="A1088"/>
      <c r="B1088"/>
    </row>
    <row r="1089" spans="1:2" x14ac:dyDescent="0.25">
      <c r="A1089"/>
      <c r="B1089"/>
    </row>
    <row r="1090" spans="1:2" x14ac:dyDescent="0.25">
      <c r="A1090"/>
      <c r="B1090"/>
    </row>
    <row r="1091" spans="1:2" x14ac:dyDescent="0.25">
      <c r="A1091"/>
      <c r="B1091"/>
    </row>
    <row r="1092" spans="1:2" x14ac:dyDescent="0.25">
      <c r="A1092"/>
      <c r="B1092"/>
    </row>
    <row r="1093" spans="1:2" x14ac:dyDescent="0.25">
      <c r="A1093"/>
      <c r="B1093"/>
    </row>
    <row r="1094" spans="1:2" x14ac:dyDescent="0.25">
      <c r="A1094"/>
      <c r="B1094"/>
    </row>
    <row r="1095" spans="1:2" x14ac:dyDescent="0.25">
      <c r="A1095"/>
      <c r="B1095"/>
    </row>
    <row r="1096" spans="1:2" x14ac:dyDescent="0.25">
      <c r="A1096"/>
      <c r="B1096"/>
    </row>
    <row r="1097" spans="1:2" x14ac:dyDescent="0.25">
      <c r="A1097"/>
      <c r="B1097"/>
    </row>
    <row r="1098" spans="1:2" x14ac:dyDescent="0.25">
      <c r="A1098"/>
      <c r="B1098"/>
    </row>
    <row r="1099" spans="1:2" x14ac:dyDescent="0.25">
      <c r="A1099"/>
      <c r="B1099"/>
    </row>
    <row r="1100" spans="1:2" x14ac:dyDescent="0.25">
      <c r="A1100"/>
      <c r="B1100"/>
    </row>
    <row r="1101" spans="1:2" x14ac:dyDescent="0.25">
      <c r="A1101"/>
      <c r="B1101"/>
    </row>
    <row r="1102" spans="1:2" x14ac:dyDescent="0.25">
      <c r="A1102"/>
      <c r="B1102"/>
    </row>
    <row r="1103" spans="1:2" x14ac:dyDescent="0.25">
      <c r="A1103"/>
      <c r="B1103"/>
    </row>
    <row r="1104" spans="1:2" x14ac:dyDescent="0.25">
      <c r="A1104"/>
      <c r="B1104"/>
    </row>
    <row r="1105" spans="1:2" x14ac:dyDescent="0.25">
      <c r="A1105"/>
      <c r="B1105"/>
    </row>
    <row r="1106" spans="1:2" x14ac:dyDescent="0.25">
      <c r="A1106"/>
      <c r="B1106"/>
    </row>
    <row r="1107" spans="1:2" x14ac:dyDescent="0.25">
      <c r="A1107"/>
      <c r="B1107"/>
    </row>
    <row r="1108" spans="1:2" x14ac:dyDescent="0.25">
      <c r="A1108"/>
      <c r="B1108"/>
    </row>
    <row r="1109" spans="1:2" x14ac:dyDescent="0.25">
      <c r="A1109"/>
      <c r="B1109"/>
    </row>
    <row r="1110" spans="1:2" x14ac:dyDescent="0.25">
      <c r="A1110"/>
      <c r="B1110"/>
    </row>
    <row r="1111" spans="1:2" x14ac:dyDescent="0.25">
      <c r="A1111"/>
      <c r="B1111"/>
    </row>
    <row r="1112" spans="1:2" x14ac:dyDescent="0.25">
      <c r="A1112"/>
      <c r="B1112"/>
    </row>
    <row r="1113" spans="1:2" x14ac:dyDescent="0.25">
      <c r="A1113"/>
      <c r="B1113"/>
    </row>
    <row r="1114" spans="1:2" x14ac:dyDescent="0.25">
      <c r="A1114"/>
      <c r="B1114"/>
    </row>
    <row r="1115" spans="1:2" x14ac:dyDescent="0.25">
      <c r="A1115"/>
      <c r="B1115"/>
    </row>
    <row r="1116" spans="1:2" x14ac:dyDescent="0.25">
      <c r="A1116"/>
      <c r="B1116"/>
    </row>
    <row r="1117" spans="1:2" x14ac:dyDescent="0.25">
      <c r="A1117"/>
      <c r="B1117"/>
    </row>
    <row r="1118" spans="1:2" x14ac:dyDescent="0.25">
      <c r="A1118"/>
      <c r="B1118"/>
    </row>
    <row r="1119" spans="1:2" x14ac:dyDescent="0.25">
      <c r="A1119"/>
      <c r="B1119"/>
    </row>
    <row r="1120" spans="1:2" x14ac:dyDescent="0.25">
      <c r="A1120"/>
      <c r="B1120"/>
    </row>
    <row r="1121" spans="1:2" x14ac:dyDescent="0.25">
      <c r="A1121"/>
      <c r="B1121"/>
    </row>
    <row r="1122" spans="1:2" x14ac:dyDescent="0.25">
      <c r="A1122"/>
      <c r="B1122"/>
    </row>
    <row r="1123" spans="1:2" x14ac:dyDescent="0.25">
      <c r="A1123"/>
      <c r="B1123"/>
    </row>
    <row r="1124" spans="1:2" x14ac:dyDescent="0.25">
      <c r="A1124"/>
      <c r="B1124"/>
    </row>
    <row r="1125" spans="1:2" x14ac:dyDescent="0.25">
      <c r="A1125"/>
      <c r="B1125"/>
    </row>
    <row r="1126" spans="1:2" x14ac:dyDescent="0.25">
      <c r="A1126"/>
      <c r="B1126"/>
    </row>
    <row r="1127" spans="1:2" x14ac:dyDescent="0.25">
      <c r="A1127"/>
      <c r="B1127"/>
    </row>
    <row r="1128" spans="1:2" x14ac:dyDescent="0.25">
      <c r="A1128"/>
      <c r="B1128"/>
    </row>
    <row r="1129" spans="1:2" x14ac:dyDescent="0.25">
      <c r="A1129"/>
      <c r="B1129"/>
    </row>
    <row r="1130" spans="1:2" x14ac:dyDescent="0.25">
      <c r="A1130"/>
      <c r="B1130"/>
    </row>
    <row r="1131" spans="1:2" x14ac:dyDescent="0.25">
      <c r="A1131"/>
      <c r="B1131"/>
    </row>
    <row r="1132" spans="1:2" x14ac:dyDescent="0.25">
      <c r="A1132"/>
      <c r="B1132"/>
    </row>
    <row r="1133" spans="1:2" x14ac:dyDescent="0.25">
      <c r="A1133"/>
      <c r="B1133"/>
    </row>
    <row r="1134" spans="1:2" x14ac:dyDescent="0.25">
      <c r="A1134"/>
      <c r="B1134"/>
    </row>
    <row r="1135" spans="1:2" x14ac:dyDescent="0.25">
      <c r="A1135"/>
      <c r="B1135"/>
    </row>
    <row r="1136" spans="1:2" x14ac:dyDescent="0.25">
      <c r="A1136"/>
      <c r="B1136"/>
    </row>
    <row r="1137" spans="1:2" x14ac:dyDescent="0.25">
      <c r="A1137"/>
      <c r="B1137"/>
    </row>
    <row r="1138" spans="1:2" x14ac:dyDescent="0.25">
      <c r="A1138"/>
      <c r="B1138"/>
    </row>
    <row r="1139" spans="1:2" x14ac:dyDescent="0.25">
      <c r="A1139"/>
      <c r="B1139"/>
    </row>
    <row r="1140" spans="1:2" x14ac:dyDescent="0.25">
      <c r="A1140"/>
      <c r="B1140"/>
    </row>
    <row r="1141" spans="1:2" x14ac:dyDescent="0.25">
      <c r="A1141"/>
      <c r="B1141"/>
    </row>
    <row r="1142" spans="1:2" x14ac:dyDescent="0.25">
      <c r="A1142"/>
      <c r="B1142"/>
    </row>
    <row r="1143" spans="1:2" x14ac:dyDescent="0.25">
      <c r="A1143"/>
      <c r="B1143"/>
    </row>
    <row r="1144" spans="1:2" x14ac:dyDescent="0.25">
      <c r="A1144"/>
      <c r="B1144"/>
    </row>
    <row r="1145" spans="1:2" x14ac:dyDescent="0.25">
      <c r="A1145"/>
      <c r="B1145"/>
    </row>
    <row r="1146" spans="1:2" x14ac:dyDescent="0.25">
      <c r="A1146"/>
      <c r="B1146"/>
    </row>
    <row r="1147" spans="1:2" x14ac:dyDescent="0.25">
      <c r="A1147"/>
      <c r="B1147"/>
    </row>
    <row r="1148" spans="1:2" x14ac:dyDescent="0.25">
      <c r="A1148"/>
      <c r="B1148"/>
    </row>
    <row r="1149" spans="1:2" x14ac:dyDescent="0.25">
      <c r="A1149"/>
      <c r="B1149"/>
    </row>
    <row r="1150" spans="1:2" x14ac:dyDescent="0.25">
      <c r="A1150"/>
      <c r="B1150"/>
    </row>
    <row r="1151" spans="1:2" x14ac:dyDescent="0.25">
      <c r="A1151"/>
      <c r="B1151"/>
    </row>
    <row r="1152" spans="1:2" x14ac:dyDescent="0.25">
      <c r="A1152"/>
      <c r="B1152"/>
    </row>
    <row r="1153" spans="1:2" x14ac:dyDescent="0.25">
      <c r="A1153"/>
      <c r="B1153"/>
    </row>
    <row r="1154" spans="1:2" x14ac:dyDescent="0.25">
      <c r="A1154"/>
      <c r="B1154"/>
    </row>
    <row r="1155" spans="1:2" x14ac:dyDescent="0.25">
      <c r="A1155"/>
      <c r="B1155"/>
    </row>
    <row r="1156" spans="1:2" x14ac:dyDescent="0.25">
      <c r="A1156"/>
      <c r="B1156"/>
    </row>
    <row r="1157" spans="1:2" x14ac:dyDescent="0.25">
      <c r="A1157"/>
      <c r="B1157"/>
    </row>
    <row r="1158" spans="1:2" x14ac:dyDescent="0.25">
      <c r="A1158"/>
      <c r="B1158"/>
    </row>
    <row r="1159" spans="1:2" x14ac:dyDescent="0.25">
      <c r="A1159"/>
      <c r="B1159"/>
    </row>
    <row r="1160" spans="1:2" x14ac:dyDescent="0.25">
      <c r="A1160"/>
      <c r="B1160"/>
    </row>
    <row r="1161" spans="1:2" x14ac:dyDescent="0.25">
      <c r="A1161"/>
      <c r="B1161"/>
    </row>
    <row r="1162" spans="1:2" x14ac:dyDescent="0.25">
      <c r="A1162"/>
      <c r="B1162"/>
    </row>
    <row r="1163" spans="1:2" x14ac:dyDescent="0.25">
      <c r="A1163"/>
      <c r="B1163"/>
    </row>
    <row r="1164" spans="1:2" x14ac:dyDescent="0.25">
      <c r="A1164"/>
      <c r="B1164"/>
    </row>
    <row r="1165" spans="1:2" x14ac:dyDescent="0.25">
      <c r="A1165"/>
      <c r="B1165"/>
    </row>
    <row r="1166" spans="1:2" x14ac:dyDescent="0.25">
      <c r="A1166"/>
      <c r="B1166"/>
    </row>
    <row r="1167" spans="1:2" x14ac:dyDescent="0.25">
      <c r="A1167"/>
      <c r="B1167"/>
    </row>
    <row r="1168" spans="1:2" x14ac:dyDescent="0.25">
      <c r="A1168"/>
      <c r="B1168"/>
    </row>
    <row r="1169" spans="1:2" x14ac:dyDescent="0.25">
      <c r="A1169"/>
      <c r="B1169"/>
    </row>
    <row r="1170" spans="1:2" x14ac:dyDescent="0.25">
      <c r="A1170"/>
      <c r="B1170"/>
    </row>
    <row r="1171" spans="1:2" x14ac:dyDescent="0.25">
      <c r="A1171"/>
      <c r="B1171"/>
    </row>
    <row r="1172" spans="1:2" x14ac:dyDescent="0.25">
      <c r="A1172"/>
      <c r="B1172"/>
    </row>
    <row r="1173" spans="1:2" x14ac:dyDescent="0.25">
      <c r="A1173"/>
      <c r="B1173"/>
    </row>
    <row r="1174" spans="1:2" x14ac:dyDescent="0.25">
      <c r="A1174"/>
      <c r="B1174"/>
    </row>
    <row r="1175" spans="1:2" x14ac:dyDescent="0.25">
      <c r="A1175"/>
      <c r="B1175"/>
    </row>
    <row r="1176" spans="1:2" x14ac:dyDescent="0.25">
      <c r="A1176"/>
      <c r="B1176"/>
    </row>
    <row r="1177" spans="1:2" x14ac:dyDescent="0.25">
      <c r="A1177"/>
      <c r="B1177"/>
    </row>
    <row r="1178" spans="1:2" x14ac:dyDescent="0.25">
      <c r="A1178"/>
      <c r="B1178"/>
    </row>
    <row r="1179" spans="1:2" x14ac:dyDescent="0.25">
      <c r="A1179"/>
      <c r="B1179"/>
    </row>
    <row r="1180" spans="1:2" x14ac:dyDescent="0.25">
      <c r="A1180"/>
      <c r="B1180"/>
    </row>
    <row r="1181" spans="1:2" x14ac:dyDescent="0.25">
      <c r="A1181"/>
      <c r="B1181"/>
    </row>
    <row r="1182" spans="1:2" x14ac:dyDescent="0.25">
      <c r="A1182"/>
      <c r="B1182"/>
    </row>
    <row r="1183" spans="1:2" x14ac:dyDescent="0.25">
      <c r="A1183"/>
      <c r="B1183"/>
    </row>
    <row r="1184" spans="1:2" x14ac:dyDescent="0.25">
      <c r="A1184"/>
      <c r="B1184"/>
    </row>
    <row r="1185" spans="1:2" x14ac:dyDescent="0.25">
      <c r="A1185"/>
      <c r="B1185"/>
    </row>
    <row r="1186" spans="1:2" x14ac:dyDescent="0.25">
      <c r="A1186"/>
      <c r="B1186"/>
    </row>
    <row r="1187" spans="1:2" x14ac:dyDescent="0.25">
      <c r="A1187"/>
      <c r="B1187"/>
    </row>
    <row r="1188" spans="1:2" x14ac:dyDescent="0.25">
      <c r="A1188"/>
      <c r="B1188"/>
    </row>
    <row r="1189" spans="1:2" x14ac:dyDescent="0.25">
      <c r="A1189"/>
      <c r="B1189"/>
    </row>
    <row r="1190" spans="1:2" x14ac:dyDescent="0.25">
      <c r="A1190"/>
      <c r="B1190"/>
    </row>
    <row r="1191" spans="1:2" x14ac:dyDescent="0.25">
      <c r="A1191"/>
      <c r="B1191"/>
    </row>
    <row r="1192" spans="1:2" x14ac:dyDescent="0.25">
      <c r="A1192"/>
      <c r="B1192"/>
    </row>
    <row r="1193" spans="1:2" x14ac:dyDescent="0.25">
      <c r="A1193"/>
      <c r="B1193"/>
    </row>
    <row r="1194" spans="1:2" x14ac:dyDescent="0.25">
      <c r="A1194"/>
      <c r="B1194"/>
    </row>
    <row r="1195" spans="1:2" x14ac:dyDescent="0.25">
      <c r="A1195"/>
      <c r="B1195"/>
    </row>
    <row r="1196" spans="1:2" x14ac:dyDescent="0.25">
      <c r="A1196"/>
      <c r="B1196"/>
    </row>
    <row r="1197" spans="1:2" x14ac:dyDescent="0.25">
      <c r="A1197"/>
      <c r="B1197"/>
    </row>
    <row r="1198" spans="1:2" x14ac:dyDescent="0.25">
      <c r="A1198"/>
      <c r="B1198"/>
    </row>
    <row r="1199" spans="1:2" x14ac:dyDescent="0.25">
      <c r="A1199"/>
      <c r="B1199"/>
    </row>
    <row r="1200" spans="1:2" x14ac:dyDescent="0.25">
      <c r="A1200"/>
      <c r="B1200"/>
    </row>
    <row r="1201" spans="1:2" x14ac:dyDescent="0.25">
      <c r="A1201"/>
      <c r="B1201"/>
    </row>
    <row r="1202" spans="1:2" x14ac:dyDescent="0.25">
      <c r="A1202"/>
      <c r="B1202"/>
    </row>
    <row r="1203" spans="1:2" x14ac:dyDescent="0.25">
      <c r="A1203"/>
      <c r="B1203"/>
    </row>
    <row r="1204" spans="1:2" x14ac:dyDescent="0.25">
      <c r="A1204"/>
      <c r="B1204"/>
    </row>
    <row r="1205" spans="1:2" x14ac:dyDescent="0.25">
      <c r="A1205"/>
      <c r="B1205"/>
    </row>
    <row r="1206" spans="1:2" x14ac:dyDescent="0.25">
      <c r="A1206"/>
      <c r="B1206"/>
    </row>
    <row r="1207" spans="1:2" x14ac:dyDescent="0.25">
      <c r="A1207"/>
      <c r="B1207"/>
    </row>
    <row r="1208" spans="1:2" x14ac:dyDescent="0.25">
      <c r="A1208"/>
      <c r="B1208"/>
    </row>
    <row r="1209" spans="1:2" x14ac:dyDescent="0.25">
      <c r="A1209"/>
      <c r="B1209"/>
    </row>
    <row r="1210" spans="1:2" x14ac:dyDescent="0.25">
      <c r="A1210"/>
      <c r="B1210"/>
    </row>
    <row r="1211" spans="1:2" x14ac:dyDescent="0.25">
      <c r="A1211"/>
      <c r="B1211"/>
    </row>
    <row r="1212" spans="1:2" x14ac:dyDescent="0.25">
      <c r="A1212"/>
      <c r="B1212"/>
    </row>
    <row r="1213" spans="1:2" x14ac:dyDescent="0.25">
      <c r="A1213"/>
      <c r="B1213"/>
    </row>
    <row r="1214" spans="1:2" x14ac:dyDescent="0.25">
      <c r="A1214"/>
      <c r="B1214"/>
    </row>
    <row r="1215" spans="1:2" x14ac:dyDescent="0.25">
      <c r="A1215"/>
      <c r="B1215"/>
    </row>
    <row r="1216" spans="1:2" x14ac:dyDescent="0.25">
      <c r="A1216"/>
      <c r="B1216"/>
    </row>
    <row r="1217" spans="1:2" x14ac:dyDescent="0.25">
      <c r="A1217"/>
      <c r="B1217"/>
    </row>
    <row r="1218" spans="1:2" x14ac:dyDescent="0.25">
      <c r="A1218"/>
      <c r="B1218"/>
    </row>
    <row r="1219" spans="1:2" x14ac:dyDescent="0.25">
      <c r="A1219"/>
      <c r="B1219"/>
    </row>
    <row r="1220" spans="1:2" x14ac:dyDescent="0.25">
      <c r="A1220"/>
      <c r="B1220"/>
    </row>
    <row r="1221" spans="1:2" x14ac:dyDescent="0.25">
      <c r="A1221"/>
      <c r="B1221"/>
    </row>
    <row r="1222" spans="1:2" x14ac:dyDescent="0.25">
      <c r="A1222"/>
      <c r="B1222"/>
    </row>
    <row r="1223" spans="1:2" x14ac:dyDescent="0.25">
      <c r="A1223"/>
      <c r="B1223"/>
    </row>
    <row r="1224" spans="1:2" x14ac:dyDescent="0.25">
      <c r="A1224"/>
      <c r="B1224"/>
    </row>
    <row r="1225" spans="1:2" x14ac:dyDescent="0.25">
      <c r="A1225"/>
      <c r="B1225"/>
    </row>
    <row r="1226" spans="1:2" x14ac:dyDescent="0.25">
      <c r="A1226"/>
      <c r="B1226"/>
    </row>
    <row r="1227" spans="1:2" x14ac:dyDescent="0.25">
      <c r="A1227"/>
      <c r="B1227"/>
    </row>
    <row r="1228" spans="1:2" x14ac:dyDescent="0.25">
      <c r="A1228"/>
      <c r="B1228"/>
    </row>
    <row r="1229" spans="1:2" x14ac:dyDescent="0.25">
      <c r="A1229"/>
      <c r="B1229"/>
    </row>
    <row r="1230" spans="1:2" x14ac:dyDescent="0.25">
      <c r="A1230"/>
      <c r="B1230"/>
    </row>
    <row r="1231" spans="1:2" x14ac:dyDescent="0.25">
      <c r="A1231"/>
      <c r="B1231"/>
    </row>
    <row r="1232" spans="1:2" x14ac:dyDescent="0.25">
      <c r="A1232"/>
      <c r="B1232"/>
    </row>
    <row r="1233" spans="1:2" x14ac:dyDescent="0.25">
      <c r="A1233"/>
      <c r="B1233"/>
    </row>
    <row r="1234" spans="1:2" x14ac:dyDescent="0.25">
      <c r="A1234"/>
      <c r="B1234"/>
    </row>
    <row r="1235" spans="1:2" x14ac:dyDescent="0.25">
      <c r="A1235"/>
      <c r="B1235"/>
    </row>
    <row r="1236" spans="1:2" x14ac:dyDescent="0.25">
      <c r="A1236"/>
      <c r="B1236"/>
    </row>
    <row r="1237" spans="1:2" x14ac:dyDescent="0.25">
      <c r="A1237"/>
      <c r="B1237"/>
    </row>
    <row r="1238" spans="1:2" x14ac:dyDescent="0.25">
      <c r="A1238"/>
      <c r="B1238"/>
    </row>
    <row r="1239" spans="1:2" x14ac:dyDescent="0.25">
      <c r="A1239"/>
      <c r="B1239"/>
    </row>
    <row r="1240" spans="1:2" x14ac:dyDescent="0.25">
      <c r="A1240"/>
      <c r="B1240"/>
    </row>
    <row r="1241" spans="1:2" x14ac:dyDescent="0.25">
      <c r="A1241"/>
      <c r="B1241"/>
    </row>
    <row r="1242" spans="1:2" x14ac:dyDescent="0.25">
      <c r="A1242"/>
      <c r="B1242"/>
    </row>
    <row r="1243" spans="1:2" x14ac:dyDescent="0.25">
      <c r="A1243"/>
      <c r="B1243"/>
    </row>
    <row r="1244" spans="1:2" x14ac:dyDescent="0.25">
      <c r="A1244"/>
      <c r="B1244"/>
    </row>
    <row r="1245" spans="1:2" x14ac:dyDescent="0.25">
      <c r="A1245"/>
      <c r="B1245"/>
    </row>
    <row r="1246" spans="1:2" x14ac:dyDescent="0.25">
      <c r="A1246"/>
      <c r="B1246"/>
    </row>
    <row r="1247" spans="1:2" x14ac:dyDescent="0.25">
      <c r="A1247"/>
      <c r="B1247"/>
    </row>
    <row r="1248" spans="1:2" x14ac:dyDescent="0.25">
      <c r="A1248"/>
      <c r="B1248"/>
    </row>
    <row r="1249" spans="1:2" x14ac:dyDescent="0.25">
      <c r="A1249"/>
      <c r="B1249"/>
    </row>
    <row r="1250" spans="1:2" x14ac:dyDescent="0.25">
      <c r="A1250"/>
      <c r="B1250"/>
    </row>
    <row r="1251" spans="1:2" x14ac:dyDescent="0.25">
      <c r="A1251"/>
      <c r="B1251"/>
    </row>
    <row r="1252" spans="1:2" x14ac:dyDescent="0.25">
      <c r="A1252"/>
      <c r="B1252"/>
    </row>
    <row r="1253" spans="1:2" x14ac:dyDescent="0.25">
      <c r="A1253"/>
      <c r="B1253"/>
    </row>
    <row r="1254" spans="1:2" x14ac:dyDescent="0.25">
      <c r="A1254"/>
      <c r="B1254"/>
    </row>
    <row r="1255" spans="1:2" x14ac:dyDescent="0.25">
      <c r="A1255"/>
      <c r="B1255"/>
    </row>
    <row r="1256" spans="1:2" x14ac:dyDescent="0.25">
      <c r="A1256"/>
      <c r="B1256"/>
    </row>
    <row r="1257" spans="1:2" x14ac:dyDescent="0.25">
      <c r="A1257"/>
      <c r="B1257"/>
    </row>
    <row r="1258" spans="1:2" x14ac:dyDescent="0.25">
      <c r="A1258"/>
      <c r="B1258"/>
    </row>
    <row r="1259" spans="1:2" x14ac:dyDescent="0.25">
      <c r="A1259"/>
      <c r="B1259"/>
    </row>
    <row r="1260" spans="1:2" x14ac:dyDescent="0.25">
      <c r="A1260"/>
      <c r="B1260"/>
    </row>
    <row r="1261" spans="1:2" x14ac:dyDescent="0.25">
      <c r="A1261"/>
      <c r="B1261"/>
    </row>
    <row r="1262" spans="1:2" x14ac:dyDescent="0.25">
      <c r="A1262"/>
      <c r="B1262"/>
    </row>
    <row r="1263" spans="1:2" x14ac:dyDescent="0.25">
      <c r="A1263"/>
      <c r="B1263"/>
    </row>
    <row r="1264" spans="1:2" x14ac:dyDescent="0.25">
      <c r="A1264"/>
      <c r="B1264"/>
    </row>
    <row r="1265" spans="1:2" x14ac:dyDescent="0.25">
      <c r="A1265"/>
      <c r="B1265"/>
    </row>
    <row r="1266" spans="1:2" x14ac:dyDescent="0.25">
      <c r="A1266"/>
      <c r="B1266"/>
    </row>
    <row r="1267" spans="1:2" x14ac:dyDescent="0.25">
      <c r="A1267"/>
      <c r="B1267"/>
    </row>
    <row r="1268" spans="1:2" x14ac:dyDescent="0.25">
      <c r="A1268"/>
      <c r="B1268"/>
    </row>
    <row r="1269" spans="1:2" x14ac:dyDescent="0.25">
      <c r="A1269"/>
      <c r="B1269"/>
    </row>
    <row r="1270" spans="1:2" x14ac:dyDescent="0.25">
      <c r="A1270"/>
      <c r="B1270"/>
    </row>
    <row r="1271" spans="1:2" x14ac:dyDescent="0.25">
      <c r="A1271"/>
      <c r="B1271"/>
    </row>
    <row r="1272" spans="1:2" x14ac:dyDescent="0.25">
      <c r="A1272"/>
      <c r="B1272"/>
    </row>
    <row r="1273" spans="1:2" x14ac:dyDescent="0.25">
      <c r="A1273"/>
      <c r="B1273"/>
    </row>
    <row r="1274" spans="1:2" x14ac:dyDescent="0.25">
      <c r="A1274"/>
      <c r="B1274"/>
    </row>
    <row r="1275" spans="1:2" x14ac:dyDescent="0.25">
      <c r="A1275"/>
      <c r="B1275"/>
    </row>
    <row r="1276" spans="1:2" x14ac:dyDescent="0.25">
      <c r="A1276"/>
      <c r="B1276"/>
    </row>
    <row r="1277" spans="1:2" x14ac:dyDescent="0.25">
      <c r="A1277"/>
      <c r="B1277"/>
    </row>
    <row r="1278" spans="1:2" x14ac:dyDescent="0.25">
      <c r="A1278"/>
      <c r="B1278"/>
    </row>
    <row r="1279" spans="1:2" x14ac:dyDescent="0.25">
      <c r="A1279"/>
      <c r="B1279"/>
    </row>
    <row r="1280" spans="1:2" x14ac:dyDescent="0.25">
      <c r="A1280"/>
      <c r="B1280"/>
    </row>
    <row r="1281" spans="1:2" x14ac:dyDescent="0.25">
      <c r="A1281"/>
      <c r="B1281"/>
    </row>
    <row r="1282" spans="1:2" x14ac:dyDescent="0.25">
      <c r="A1282"/>
      <c r="B1282"/>
    </row>
    <row r="1283" spans="1:2" x14ac:dyDescent="0.25">
      <c r="A1283"/>
      <c r="B1283"/>
    </row>
    <row r="1284" spans="1:2" x14ac:dyDescent="0.25">
      <c r="A1284"/>
      <c r="B1284"/>
    </row>
    <row r="1285" spans="1:2" x14ac:dyDescent="0.25">
      <c r="A1285"/>
      <c r="B1285"/>
    </row>
    <row r="1286" spans="1:2" x14ac:dyDescent="0.25">
      <c r="A1286"/>
      <c r="B1286"/>
    </row>
    <row r="1287" spans="1:2" x14ac:dyDescent="0.25">
      <c r="A1287"/>
      <c r="B1287"/>
    </row>
    <row r="1288" spans="1:2" x14ac:dyDescent="0.25">
      <c r="A1288"/>
      <c r="B1288"/>
    </row>
    <row r="1289" spans="1:2" x14ac:dyDescent="0.25">
      <c r="A1289"/>
      <c r="B1289"/>
    </row>
    <row r="1290" spans="1:2" x14ac:dyDescent="0.25">
      <c r="A1290"/>
      <c r="B1290"/>
    </row>
    <row r="1291" spans="1:2" x14ac:dyDescent="0.25">
      <c r="A1291"/>
      <c r="B1291"/>
    </row>
    <row r="1292" spans="1:2" x14ac:dyDescent="0.25">
      <c r="A1292"/>
      <c r="B1292"/>
    </row>
    <row r="1293" spans="1:2" x14ac:dyDescent="0.25">
      <c r="A1293"/>
      <c r="B1293"/>
    </row>
    <row r="1294" spans="1:2" x14ac:dyDescent="0.25">
      <c r="A1294"/>
      <c r="B1294"/>
    </row>
    <row r="1295" spans="1:2" x14ac:dyDescent="0.25">
      <c r="A1295"/>
      <c r="B1295"/>
    </row>
    <row r="1296" spans="1:2" x14ac:dyDescent="0.25">
      <c r="A1296"/>
      <c r="B1296"/>
    </row>
    <row r="1297" spans="1:2" x14ac:dyDescent="0.25">
      <c r="A1297"/>
      <c r="B1297"/>
    </row>
    <row r="1298" spans="1:2" x14ac:dyDescent="0.25">
      <c r="A1298"/>
      <c r="B1298"/>
    </row>
  </sheetData>
  <pageMargins left="0.7" right="0.7" top="0.75" bottom="0.75" header="0.3" footer="0.3"/>
  <pageSetup scale="48" fitToHeight="0" orientation="landscape" r:id="rId2"/>
  <drawing r:id="rId3"/>
  <extLst>
    <ext xmlns:x14="http://schemas.microsoft.com/office/spreadsheetml/2009/9/main" uri="{A8765BA9-456A-4dab-B4F3-ACF838C121DE}">
      <x14:slicerList>
        <x14:slicer r:id="rId4"/>
      </x14:slicerList>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FFC000"/>
  </sheetPr>
  <dimension ref="A2:BD178"/>
  <sheetViews>
    <sheetView topLeftCell="B1" workbookViewId="0">
      <selection activeCell="C12" sqref="C12"/>
    </sheetView>
  </sheetViews>
  <sheetFormatPr defaultRowHeight="15" x14ac:dyDescent="0.25"/>
  <cols>
    <col min="1" max="1" width="41.28515625" customWidth="1"/>
    <col min="2" max="2" width="31.85546875" customWidth="1"/>
    <col min="3" max="3" width="39.85546875" customWidth="1"/>
    <col min="4" max="4" width="17" style="182" customWidth="1"/>
    <col min="5" max="5" width="11.140625" bestFit="1" customWidth="1"/>
    <col min="6" max="6" width="17.140625" customWidth="1"/>
    <col min="7" max="7" width="15.28515625" customWidth="1"/>
    <col min="8" max="8" width="12.7109375" customWidth="1"/>
    <col min="9" max="9" width="11.140625" bestFit="1" customWidth="1"/>
    <col min="10" max="10" width="20.28515625" bestFit="1" customWidth="1"/>
    <col min="11" max="11" width="12.7109375" bestFit="1" customWidth="1"/>
    <col min="12" max="13" width="10.140625" bestFit="1" customWidth="1"/>
    <col min="14" max="14" width="11.140625" bestFit="1" customWidth="1"/>
    <col min="15" max="16" width="10.140625" bestFit="1" customWidth="1"/>
    <col min="17" max="17" width="13.140625" bestFit="1" customWidth="1"/>
    <col min="18" max="19" width="11.140625" bestFit="1" customWidth="1"/>
    <col min="20" max="20" width="10.140625" bestFit="1" customWidth="1"/>
    <col min="21" max="21" width="13.140625" bestFit="1" customWidth="1"/>
    <col min="22" max="22" width="10.28515625" bestFit="1" customWidth="1"/>
    <col min="23" max="24" width="10.140625" bestFit="1" customWidth="1"/>
    <col min="25" max="25" width="13.140625" bestFit="1" customWidth="1"/>
    <col min="26" max="26" width="10.28515625" bestFit="1" customWidth="1"/>
    <col min="27" max="28" width="10.140625" bestFit="1" customWidth="1"/>
    <col min="29" max="29" width="13.140625" bestFit="1" customWidth="1"/>
    <col min="30" max="30" width="10.28515625" bestFit="1" customWidth="1"/>
    <col min="31" max="32" width="10.140625" bestFit="1" customWidth="1"/>
    <col min="33" max="33" width="13.140625" bestFit="1" customWidth="1"/>
    <col min="34" max="34" width="11.140625" bestFit="1" customWidth="1"/>
    <col min="35" max="35" width="13.140625" bestFit="1" customWidth="1"/>
    <col min="36" max="36" width="12.7109375" bestFit="1" customWidth="1"/>
    <col min="37" max="37" width="9" bestFit="1" customWidth="1"/>
    <col min="38" max="41" width="11" bestFit="1" customWidth="1"/>
  </cols>
  <sheetData>
    <row r="2" spans="1:56" x14ac:dyDescent="0.25">
      <c r="A2" s="187" t="s">
        <v>5</v>
      </c>
      <c r="B2" s="188" t="s" vm="1443">
        <v>777</v>
      </c>
    </row>
    <row r="3" spans="1:56" x14ac:dyDescent="0.25">
      <c r="A3" s="187" t="s">
        <v>244</v>
      </c>
      <c r="B3" s="188" t="s" vm="185">
        <v>777</v>
      </c>
      <c r="C3" s="207"/>
    </row>
    <row r="4" spans="1:56" x14ac:dyDescent="0.25">
      <c r="B4" s="205"/>
      <c r="C4" s="206"/>
      <c r="D4" s="206"/>
      <c r="E4" s="206"/>
      <c r="F4" s="206"/>
      <c r="G4" s="206"/>
    </row>
    <row r="5" spans="1:56" s="13" customFormat="1" ht="41.25" customHeight="1" x14ac:dyDescent="0.25">
      <c r="A5" s="208" t="s">
        <v>750</v>
      </c>
      <c r="B5" s="208" t="s">
        <v>715</v>
      </c>
      <c r="C5" s="208" t="s">
        <v>716</v>
      </c>
      <c r="D5" s="209" t="s">
        <v>717</v>
      </c>
      <c r="E5" s="210" t="s">
        <v>745</v>
      </c>
      <c r="F5" s="210" t="s">
        <v>746</v>
      </c>
      <c r="G5" s="311" t="s">
        <v>747</v>
      </c>
      <c r="H5" s="210" t="s">
        <v>748</v>
      </c>
      <c r="I5" s="210" t="s">
        <v>749</v>
      </c>
      <c r="J5" s="211"/>
      <c r="K5" s="211"/>
      <c r="L5" s="211"/>
      <c r="M5" s="211"/>
      <c r="N5" s="211"/>
      <c r="O5" s="211"/>
      <c r="P5" s="211"/>
      <c r="Q5" s="211"/>
      <c r="R5" s="211"/>
      <c r="S5" s="211"/>
      <c r="T5" s="211"/>
      <c r="U5" s="211"/>
      <c r="V5" s="211"/>
      <c r="W5" s="211"/>
      <c r="X5" s="211"/>
      <c r="Y5" s="211"/>
      <c r="Z5" s="211"/>
      <c r="AA5" s="211"/>
      <c r="AB5" s="211"/>
      <c r="AC5" s="211"/>
      <c r="AD5" s="211"/>
      <c r="AE5" s="211"/>
      <c r="AF5" s="211"/>
      <c r="AG5" s="211"/>
      <c r="AH5" s="211"/>
      <c r="AI5" s="211"/>
      <c r="AJ5" s="211"/>
      <c r="AK5" s="211"/>
      <c r="AL5" s="211"/>
      <c r="AM5" s="211"/>
      <c r="AN5" s="211"/>
      <c r="AO5" s="211"/>
      <c r="AP5" s="211"/>
      <c r="AQ5" s="211"/>
      <c r="AR5" s="211"/>
      <c r="AS5" s="211"/>
      <c r="AT5" s="211"/>
      <c r="AU5" s="211"/>
      <c r="AV5" s="211"/>
      <c r="AW5" s="211"/>
      <c r="AX5" s="211"/>
      <c r="AY5" s="211"/>
      <c r="AZ5" s="211"/>
      <c r="BA5" s="211"/>
      <c r="BB5" s="211"/>
      <c r="BC5" s="211"/>
      <c r="BD5" s="211"/>
    </row>
    <row r="6" spans="1:56" x14ac:dyDescent="0.25">
      <c r="A6" s="188" t="s">
        <v>396</v>
      </c>
      <c r="B6" s="188" t="s">
        <v>744</v>
      </c>
      <c r="C6" s="188" t="s">
        <v>1259</v>
      </c>
      <c r="D6" s="188" t="s">
        <v>744</v>
      </c>
      <c r="E6" s="10"/>
      <c r="F6" s="10"/>
      <c r="G6" s="10"/>
      <c r="H6" s="203"/>
      <c r="I6" s="10">
        <v>20000</v>
      </c>
    </row>
    <row r="7" spans="1:56" x14ac:dyDescent="0.25">
      <c r="A7" s="188"/>
      <c r="B7" s="188"/>
      <c r="C7" s="188" t="s">
        <v>331</v>
      </c>
      <c r="D7" s="188" t="s">
        <v>744</v>
      </c>
      <c r="E7" s="10"/>
      <c r="F7" s="10"/>
      <c r="G7" s="10"/>
      <c r="H7" s="203"/>
      <c r="I7" s="10">
        <v>1331471</v>
      </c>
    </row>
    <row r="8" spans="1:56" x14ac:dyDescent="0.25">
      <c r="A8" s="188"/>
      <c r="B8" s="188"/>
      <c r="C8" s="188" t="s">
        <v>375</v>
      </c>
      <c r="D8" s="188" t="s">
        <v>744</v>
      </c>
      <c r="E8" s="10"/>
      <c r="F8" s="10"/>
      <c r="G8" s="10"/>
      <c r="H8" s="203"/>
      <c r="I8" s="10">
        <v>474306</v>
      </c>
    </row>
    <row r="9" spans="1:56" x14ac:dyDescent="0.25">
      <c r="A9" s="188"/>
      <c r="B9" s="188"/>
      <c r="C9" s="188" t="s">
        <v>328</v>
      </c>
      <c r="D9" s="188" t="s">
        <v>744</v>
      </c>
      <c r="E9" s="10"/>
      <c r="F9" s="10"/>
      <c r="G9" s="10"/>
      <c r="H9" s="203"/>
      <c r="I9" s="10">
        <v>485800</v>
      </c>
    </row>
    <row r="10" spans="1:56" x14ac:dyDescent="0.25">
      <c r="A10" s="188"/>
      <c r="B10" s="188"/>
      <c r="C10" s="188" t="s">
        <v>374</v>
      </c>
      <c r="D10" s="188" t="s">
        <v>744</v>
      </c>
      <c r="E10" s="10"/>
      <c r="F10" s="10"/>
      <c r="G10" s="10"/>
      <c r="H10" s="203"/>
      <c r="I10" s="10">
        <v>770000</v>
      </c>
    </row>
    <row r="11" spans="1:56" x14ac:dyDescent="0.25">
      <c r="A11" s="188"/>
      <c r="B11" s="188"/>
      <c r="C11" s="188" t="s">
        <v>373</v>
      </c>
      <c r="D11" s="188" t="s">
        <v>744</v>
      </c>
      <c r="E11" s="10"/>
      <c r="F11" s="10"/>
      <c r="G11" s="10"/>
      <c r="H11" s="203"/>
      <c r="I11" s="10">
        <v>952000</v>
      </c>
    </row>
    <row r="12" spans="1:56" x14ac:dyDescent="0.25">
      <c r="A12" s="188"/>
      <c r="B12" s="188"/>
      <c r="C12" s="188" t="s">
        <v>330</v>
      </c>
      <c r="D12" s="188" t="s">
        <v>744</v>
      </c>
      <c r="E12" s="10"/>
      <c r="F12" s="10"/>
      <c r="G12" s="10"/>
      <c r="H12" s="203"/>
      <c r="I12" s="10">
        <v>468000</v>
      </c>
    </row>
    <row r="13" spans="1:56" x14ac:dyDescent="0.25">
      <c r="A13" s="188"/>
      <c r="B13" s="188"/>
      <c r="C13" s="188" t="s">
        <v>1330</v>
      </c>
      <c r="D13" s="188" t="s">
        <v>744</v>
      </c>
      <c r="E13" s="10"/>
      <c r="F13" s="10"/>
      <c r="G13" s="10"/>
      <c r="H13" s="203"/>
      <c r="I13" s="10">
        <v>780000</v>
      </c>
    </row>
    <row r="14" spans="1:56" x14ac:dyDescent="0.25">
      <c r="A14" s="188"/>
      <c r="B14" s="188"/>
      <c r="C14" s="188" t="s">
        <v>743</v>
      </c>
      <c r="D14" s="188" t="s">
        <v>744</v>
      </c>
      <c r="E14" s="10"/>
      <c r="F14" s="10"/>
      <c r="G14" s="10"/>
      <c r="H14" s="203"/>
      <c r="I14" s="10">
        <v>0</v>
      </c>
    </row>
    <row r="15" spans="1:56" x14ac:dyDescent="0.25">
      <c r="A15" s="188"/>
      <c r="B15" s="188"/>
      <c r="C15" s="188" t="s">
        <v>778</v>
      </c>
      <c r="D15" s="188" t="s">
        <v>744</v>
      </c>
      <c r="E15" s="10"/>
      <c r="F15" s="10"/>
      <c r="G15" s="10"/>
      <c r="H15" s="203"/>
      <c r="I15" s="10">
        <v>1228586</v>
      </c>
    </row>
    <row r="16" spans="1:56" x14ac:dyDescent="0.25">
      <c r="A16" s="188"/>
      <c r="B16" s="188"/>
      <c r="C16" s="188" t="s">
        <v>779</v>
      </c>
      <c r="D16" s="188" t="s">
        <v>744</v>
      </c>
      <c r="E16" s="10"/>
      <c r="F16" s="10"/>
      <c r="G16" s="10"/>
      <c r="H16" s="203"/>
      <c r="I16" s="10">
        <v>1196005</v>
      </c>
    </row>
    <row r="17" spans="1:9" x14ac:dyDescent="0.25">
      <c r="A17" s="188"/>
      <c r="B17" s="188" t="s">
        <v>780</v>
      </c>
      <c r="C17" s="188"/>
      <c r="D17" s="188"/>
      <c r="E17" s="10"/>
      <c r="F17" s="10"/>
      <c r="G17" s="10"/>
      <c r="H17" s="203"/>
      <c r="I17" s="10">
        <v>7706168</v>
      </c>
    </row>
    <row r="18" spans="1:9" x14ac:dyDescent="0.25">
      <c r="A18" s="188"/>
      <c r="B18" s="188" t="s">
        <v>1124</v>
      </c>
      <c r="C18" s="188" t="s">
        <v>651</v>
      </c>
      <c r="D18" s="188" t="s">
        <v>606</v>
      </c>
      <c r="E18" s="10">
        <v>48</v>
      </c>
      <c r="F18" s="10">
        <v>120000</v>
      </c>
      <c r="G18" s="10">
        <v>1440000</v>
      </c>
      <c r="H18" s="203"/>
      <c r="I18" s="10"/>
    </row>
    <row r="19" spans="1:9" x14ac:dyDescent="0.25">
      <c r="A19" s="188"/>
      <c r="B19" s="188" t="s">
        <v>1125</v>
      </c>
      <c r="C19" s="188"/>
      <c r="D19" s="188"/>
      <c r="E19" s="10">
        <v>48</v>
      </c>
      <c r="F19" s="10">
        <v>120000</v>
      </c>
      <c r="G19" s="10">
        <v>1440000</v>
      </c>
      <c r="H19" s="203"/>
      <c r="I19" s="10"/>
    </row>
    <row r="20" spans="1:9" x14ac:dyDescent="0.25">
      <c r="A20" s="188"/>
      <c r="B20" s="188" t="s">
        <v>1126</v>
      </c>
      <c r="C20" s="188" t="s">
        <v>652</v>
      </c>
      <c r="D20" s="188" t="s">
        <v>1127</v>
      </c>
      <c r="E20" s="10">
        <v>4</v>
      </c>
      <c r="F20" s="10">
        <v>4108000</v>
      </c>
      <c r="G20" s="10">
        <v>4108000</v>
      </c>
      <c r="H20" s="203"/>
      <c r="I20" s="10"/>
    </row>
    <row r="21" spans="1:9" x14ac:dyDescent="0.25">
      <c r="A21" s="188"/>
      <c r="B21" s="188"/>
      <c r="C21" s="188" t="s">
        <v>653</v>
      </c>
      <c r="D21" s="188" t="s">
        <v>1127</v>
      </c>
      <c r="E21" s="10">
        <v>4</v>
      </c>
      <c r="F21" s="10">
        <v>472000</v>
      </c>
      <c r="G21" s="10">
        <v>472000</v>
      </c>
      <c r="H21" s="203"/>
      <c r="I21" s="10"/>
    </row>
    <row r="22" spans="1:9" x14ac:dyDescent="0.25">
      <c r="A22" s="188"/>
      <c r="B22" s="188"/>
      <c r="C22" s="188" t="s">
        <v>654</v>
      </c>
      <c r="D22" s="188" t="s">
        <v>1127</v>
      </c>
      <c r="E22" s="10">
        <v>4</v>
      </c>
      <c r="F22" s="10">
        <v>112000</v>
      </c>
      <c r="G22" s="10">
        <v>112000</v>
      </c>
      <c r="H22" s="203"/>
      <c r="I22" s="10"/>
    </row>
    <row r="23" spans="1:9" x14ac:dyDescent="0.25">
      <c r="A23" s="188"/>
      <c r="B23" s="188" t="s">
        <v>1128</v>
      </c>
      <c r="C23" s="188"/>
      <c r="D23" s="188"/>
      <c r="E23" s="10">
        <v>12</v>
      </c>
      <c r="F23" s="10">
        <v>4692000</v>
      </c>
      <c r="G23" s="10">
        <v>4692000</v>
      </c>
      <c r="H23" s="203"/>
      <c r="I23" s="10"/>
    </row>
    <row r="24" spans="1:9" x14ac:dyDescent="0.25">
      <c r="A24" s="188"/>
      <c r="B24" s="188" t="s">
        <v>1129</v>
      </c>
      <c r="C24" s="188" t="s">
        <v>1271</v>
      </c>
      <c r="D24" s="188" t="s">
        <v>1130</v>
      </c>
      <c r="E24" s="10">
        <v>4</v>
      </c>
      <c r="F24" s="10">
        <v>800000</v>
      </c>
      <c r="G24" s="10">
        <v>800000</v>
      </c>
      <c r="H24" s="203"/>
      <c r="I24" s="10"/>
    </row>
    <row r="25" spans="1:9" x14ac:dyDescent="0.25">
      <c r="A25" s="188"/>
      <c r="B25" s="188"/>
      <c r="C25" s="188" t="s">
        <v>1272</v>
      </c>
      <c r="D25" s="188" t="s">
        <v>1130</v>
      </c>
      <c r="E25" s="10">
        <v>4</v>
      </c>
      <c r="F25" s="10">
        <v>6000000</v>
      </c>
      <c r="G25" s="10">
        <v>6000000</v>
      </c>
      <c r="H25" s="203"/>
      <c r="I25" s="10"/>
    </row>
    <row r="26" spans="1:9" x14ac:dyDescent="0.25">
      <c r="A26" s="188"/>
      <c r="B26" s="188"/>
      <c r="C26" s="188" t="s">
        <v>1273</v>
      </c>
      <c r="D26" s="188" t="s">
        <v>1130</v>
      </c>
      <c r="E26" s="10">
        <v>4</v>
      </c>
      <c r="F26" s="10">
        <v>4000000</v>
      </c>
      <c r="G26" s="10">
        <v>4000000</v>
      </c>
      <c r="H26" s="203"/>
      <c r="I26" s="10"/>
    </row>
    <row r="27" spans="1:9" x14ac:dyDescent="0.25">
      <c r="A27" s="188"/>
      <c r="B27" s="188"/>
      <c r="C27" s="188" t="s">
        <v>655</v>
      </c>
      <c r="D27" s="188" t="s">
        <v>606</v>
      </c>
      <c r="E27" s="10">
        <v>48</v>
      </c>
      <c r="F27" s="10">
        <v>24000</v>
      </c>
      <c r="G27" s="10">
        <v>288000</v>
      </c>
      <c r="H27" s="203"/>
      <c r="I27" s="10"/>
    </row>
    <row r="28" spans="1:9" x14ac:dyDescent="0.25">
      <c r="A28" s="188"/>
      <c r="B28" s="188"/>
      <c r="C28" s="188" t="s">
        <v>1274</v>
      </c>
      <c r="D28" s="188" t="s">
        <v>1132</v>
      </c>
      <c r="E28" s="10">
        <v>4</v>
      </c>
      <c r="F28" s="10">
        <v>6000000</v>
      </c>
      <c r="G28" s="10">
        <v>6000000</v>
      </c>
      <c r="H28" s="203"/>
      <c r="I28" s="10"/>
    </row>
    <row r="29" spans="1:9" x14ac:dyDescent="0.25">
      <c r="A29" s="188"/>
      <c r="B29" s="188"/>
      <c r="C29" s="188" t="s">
        <v>1275</v>
      </c>
      <c r="D29" s="188" t="s">
        <v>1132</v>
      </c>
      <c r="E29" s="10">
        <v>4</v>
      </c>
      <c r="F29" s="10">
        <v>800000</v>
      </c>
      <c r="G29" s="10">
        <v>800000</v>
      </c>
      <c r="H29" s="203"/>
      <c r="I29" s="10"/>
    </row>
    <row r="30" spans="1:9" x14ac:dyDescent="0.25">
      <c r="A30" s="188"/>
      <c r="B30" s="188"/>
      <c r="C30" s="188" t="s">
        <v>1276</v>
      </c>
      <c r="D30" s="188" t="s">
        <v>1132</v>
      </c>
      <c r="E30" s="10">
        <v>4</v>
      </c>
      <c r="F30" s="10">
        <v>4000000</v>
      </c>
      <c r="G30" s="10">
        <v>4000000</v>
      </c>
      <c r="H30" s="203"/>
      <c r="I30" s="10"/>
    </row>
    <row r="31" spans="1:9" x14ac:dyDescent="0.25">
      <c r="A31" s="188"/>
      <c r="B31" s="188"/>
      <c r="C31" s="188" t="s">
        <v>1131</v>
      </c>
      <c r="D31" s="188" t="s">
        <v>1132</v>
      </c>
      <c r="E31" s="10">
        <v>48</v>
      </c>
      <c r="F31" s="10">
        <v>20000</v>
      </c>
      <c r="G31" s="10">
        <v>240000</v>
      </c>
      <c r="H31" s="203"/>
      <c r="I31" s="10"/>
    </row>
    <row r="32" spans="1:9" x14ac:dyDescent="0.25">
      <c r="A32" s="188"/>
      <c r="B32" s="188" t="s">
        <v>1133</v>
      </c>
      <c r="C32" s="188"/>
      <c r="D32" s="188"/>
      <c r="E32" s="10">
        <v>120</v>
      </c>
      <c r="F32" s="10">
        <v>21644000</v>
      </c>
      <c r="G32" s="10">
        <v>22128000</v>
      </c>
      <c r="H32" s="203"/>
      <c r="I32" s="10"/>
    </row>
    <row r="33" spans="1:9" x14ac:dyDescent="0.25">
      <c r="A33" s="188"/>
      <c r="B33" s="188" t="s">
        <v>1134</v>
      </c>
      <c r="C33" s="188" t="s">
        <v>1288</v>
      </c>
      <c r="D33" s="188" t="s">
        <v>702</v>
      </c>
      <c r="E33" s="10">
        <v>4</v>
      </c>
      <c r="F33" s="10">
        <v>3880000</v>
      </c>
      <c r="G33" s="10">
        <v>3880000</v>
      </c>
      <c r="H33" s="203"/>
      <c r="I33" s="10"/>
    </row>
    <row r="34" spans="1:9" x14ac:dyDescent="0.25">
      <c r="A34" s="188"/>
      <c r="B34" s="188"/>
      <c r="C34" s="188" t="s">
        <v>1289</v>
      </c>
      <c r="D34" s="188" t="s">
        <v>755</v>
      </c>
      <c r="E34" s="10">
        <v>4</v>
      </c>
      <c r="F34" s="10">
        <v>100000</v>
      </c>
      <c r="G34" s="10">
        <v>100000</v>
      </c>
      <c r="H34" s="203"/>
      <c r="I34" s="10"/>
    </row>
    <row r="35" spans="1:9" x14ac:dyDescent="0.25">
      <c r="A35" s="188"/>
      <c r="B35" s="188"/>
      <c r="C35" s="188" t="s">
        <v>1263</v>
      </c>
      <c r="D35" s="188" t="s">
        <v>702</v>
      </c>
      <c r="E35" s="10">
        <v>4</v>
      </c>
      <c r="F35" s="10">
        <v>1038400</v>
      </c>
      <c r="G35" s="10">
        <v>1038400</v>
      </c>
      <c r="H35" s="203"/>
      <c r="I35" s="10"/>
    </row>
    <row r="36" spans="1:9" x14ac:dyDescent="0.25">
      <c r="A36" s="188"/>
      <c r="B36" s="188"/>
      <c r="C36" s="188" t="s">
        <v>1264</v>
      </c>
      <c r="D36" s="188" t="s">
        <v>702</v>
      </c>
      <c r="E36" s="10">
        <v>4</v>
      </c>
      <c r="F36" s="10">
        <v>1180000</v>
      </c>
      <c r="G36" s="10">
        <v>1180000</v>
      </c>
      <c r="H36" s="203"/>
      <c r="I36" s="10"/>
    </row>
    <row r="37" spans="1:9" x14ac:dyDescent="0.25">
      <c r="A37" s="188"/>
      <c r="B37" s="188"/>
      <c r="C37" s="188" t="s">
        <v>1265</v>
      </c>
      <c r="D37" s="188" t="s">
        <v>702</v>
      </c>
      <c r="E37" s="10">
        <v>4</v>
      </c>
      <c r="F37" s="10">
        <v>2124000</v>
      </c>
      <c r="G37" s="10">
        <v>2124000</v>
      </c>
      <c r="H37" s="203"/>
      <c r="I37" s="10"/>
    </row>
    <row r="38" spans="1:9" x14ac:dyDescent="0.25">
      <c r="A38" s="188"/>
      <c r="B38" s="188"/>
      <c r="C38" s="188" t="s">
        <v>1078</v>
      </c>
      <c r="D38" s="188" t="s">
        <v>702</v>
      </c>
      <c r="E38" s="10">
        <v>4</v>
      </c>
      <c r="F38" s="10">
        <v>4720000</v>
      </c>
      <c r="G38" s="10">
        <v>4720000</v>
      </c>
      <c r="H38" s="203"/>
      <c r="I38" s="10"/>
    </row>
    <row r="39" spans="1:9" x14ac:dyDescent="0.25">
      <c r="A39" s="188"/>
      <c r="B39" s="188"/>
      <c r="C39" s="188" t="s">
        <v>1290</v>
      </c>
      <c r="D39" s="188" t="s">
        <v>702</v>
      </c>
      <c r="E39" s="10">
        <v>4</v>
      </c>
      <c r="F39" s="10">
        <v>2832000</v>
      </c>
      <c r="G39" s="10">
        <v>2832000</v>
      </c>
      <c r="H39" s="203"/>
      <c r="I39" s="10"/>
    </row>
    <row r="40" spans="1:9" x14ac:dyDescent="0.25">
      <c r="A40" s="188"/>
      <c r="B40" s="188"/>
      <c r="C40" s="188" t="s">
        <v>1291</v>
      </c>
      <c r="D40" s="188" t="s">
        <v>702</v>
      </c>
      <c r="E40" s="10">
        <v>4</v>
      </c>
      <c r="F40" s="10">
        <v>1274400</v>
      </c>
      <c r="G40" s="10">
        <v>1274400</v>
      </c>
      <c r="H40" s="203"/>
      <c r="I40" s="10"/>
    </row>
    <row r="41" spans="1:9" x14ac:dyDescent="0.25">
      <c r="A41" s="188"/>
      <c r="B41" s="188"/>
      <c r="C41" s="188" t="s">
        <v>1267</v>
      </c>
      <c r="D41" s="188" t="s">
        <v>702</v>
      </c>
      <c r="E41" s="10">
        <v>4</v>
      </c>
      <c r="F41" s="10">
        <v>11800000</v>
      </c>
      <c r="G41" s="10">
        <v>11800000</v>
      </c>
      <c r="H41" s="203"/>
      <c r="I41" s="10"/>
    </row>
    <row r="42" spans="1:9" x14ac:dyDescent="0.25">
      <c r="A42" s="188"/>
      <c r="B42" s="188" t="s">
        <v>1135</v>
      </c>
      <c r="C42" s="188"/>
      <c r="D42" s="188"/>
      <c r="E42" s="10">
        <v>36</v>
      </c>
      <c r="F42" s="10">
        <v>28948800</v>
      </c>
      <c r="G42" s="10">
        <v>28948800</v>
      </c>
      <c r="H42" s="203"/>
      <c r="I42" s="10"/>
    </row>
    <row r="43" spans="1:9" x14ac:dyDescent="0.25">
      <c r="A43" s="188"/>
      <c r="B43" s="188" t="s">
        <v>1136</v>
      </c>
      <c r="C43" s="188" t="s">
        <v>627</v>
      </c>
      <c r="D43" s="188" t="s">
        <v>606</v>
      </c>
      <c r="E43" s="10">
        <v>48</v>
      </c>
      <c r="F43" s="10">
        <v>166668</v>
      </c>
      <c r="G43" s="10">
        <v>1999999.9999999967</v>
      </c>
      <c r="H43" s="203"/>
      <c r="I43" s="10"/>
    </row>
    <row r="44" spans="1:9" x14ac:dyDescent="0.25">
      <c r="A44" s="188"/>
      <c r="B44" s="188"/>
      <c r="C44" s="188" t="s">
        <v>628</v>
      </c>
      <c r="D44" s="188" t="s">
        <v>606</v>
      </c>
      <c r="E44" s="10">
        <v>48</v>
      </c>
      <c r="F44" s="10">
        <v>0</v>
      </c>
      <c r="G44" s="10">
        <v>0</v>
      </c>
      <c r="H44" s="203"/>
      <c r="I44" s="10"/>
    </row>
    <row r="45" spans="1:9" x14ac:dyDescent="0.25">
      <c r="A45" s="188"/>
      <c r="B45" s="188"/>
      <c r="C45" s="188" t="s">
        <v>630</v>
      </c>
      <c r="D45" s="188" t="s">
        <v>609</v>
      </c>
      <c r="E45" s="10">
        <v>48</v>
      </c>
      <c r="F45" s="10">
        <v>50000</v>
      </c>
      <c r="G45" s="10">
        <v>600000</v>
      </c>
      <c r="H45" s="203"/>
      <c r="I45" s="10"/>
    </row>
    <row r="46" spans="1:9" x14ac:dyDescent="0.25">
      <c r="A46" s="188"/>
      <c r="B46" s="188"/>
      <c r="C46" s="188" t="s">
        <v>629</v>
      </c>
      <c r="D46" s="188" t="s">
        <v>606</v>
      </c>
      <c r="E46" s="10">
        <v>48</v>
      </c>
      <c r="F46" s="10">
        <v>0</v>
      </c>
      <c r="G46" s="10">
        <v>0</v>
      </c>
      <c r="H46" s="203"/>
      <c r="I46" s="10"/>
    </row>
    <row r="47" spans="1:9" x14ac:dyDescent="0.25">
      <c r="A47" s="188"/>
      <c r="B47" s="188" t="s">
        <v>1137</v>
      </c>
      <c r="C47" s="188"/>
      <c r="D47" s="188"/>
      <c r="E47" s="10">
        <v>192</v>
      </c>
      <c r="F47" s="10">
        <v>216668</v>
      </c>
      <c r="G47" s="10">
        <v>2599999.9999999963</v>
      </c>
      <c r="H47" s="203"/>
      <c r="I47" s="10"/>
    </row>
    <row r="48" spans="1:9" x14ac:dyDescent="0.25">
      <c r="A48" s="188"/>
      <c r="B48" s="188" t="s">
        <v>1138</v>
      </c>
      <c r="C48" s="188" t="s">
        <v>1139</v>
      </c>
      <c r="D48" s="188" t="s">
        <v>703</v>
      </c>
      <c r="E48" s="10">
        <v>4</v>
      </c>
      <c r="F48" s="10">
        <v>120000</v>
      </c>
      <c r="G48" s="10">
        <v>120000</v>
      </c>
      <c r="H48" s="203"/>
      <c r="I48" s="10"/>
    </row>
    <row r="49" spans="1:9" x14ac:dyDescent="0.25">
      <c r="A49" s="188"/>
      <c r="B49" s="188"/>
      <c r="C49" s="188" t="s">
        <v>1277</v>
      </c>
      <c r="D49" s="188" t="s">
        <v>606</v>
      </c>
      <c r="E49" s="10">
        <v>48</v>
      </c>
      <c r="F49" s="10">
        <v>148800</v>
      </c>
      <c r="G49" s="10">
        <v>1785600</v>
      </c>
      <c r="H49" s="203"/>
      <c r="I49" s="10"/>
    </row>
    <row r="50" spans="1:9" x14ac:dyDescent="0.25">
      <c r="A50" s="188"/>
      <c r="B50" s="188" t="s">
        <v>1140</v>
      </c>
      <c r="C50" s="188"/>
      <c r="D50" s="188"/>
      <c r="E50" s="10">
        <v>52</v>
      </c>
      <c r="F50" s="10">
        <v>268800</v>
      </c>
      <c r="G50" s="10">
        <v>1905600</v>
      </c>
      <c r="H50" s="203"/>
      <c r="I50" s="10"/>
    </row>
    <row r="51" spans="1:9" x14ac:dyDescent="0.25">
      <c r="A51" s="188"/>
      <c r="B51" s="188" t="s">
        <v>1141</v>
      </c>
      <c r="C51" s="188" t="s">
        <v>1278</v>
      </c>
      <c r="D51" s="188" t="s">
        <v>702</v>
      </c>
      <c r="E51" s="10">
        <v>40</v>
      </c>
      <c r="F51" s="10">
        <v>150400</v>
      </c>
      <c r="G51" s="10">
        <v>1504000</v>
      </c>
      <c r="H51" s="203"/>
      <c r="I51" s="10"/>
    </row>
    <row r="52" spans="1:9" x14ac:dyDescent="0.25">
      <c r="A52" s="188"/>
      <c r="B52" s="188"/>
      <c r="C52" s="188" t="s">
        <v>1142</v>
      </c>
      <c r="D52" s="188" t="s">
        <v>707</v>
      </c>
      <c r="E52" s="10">
        <v>4</v>
      </c>
      <c r="F52" s="10">
        <v>48000</v>
      </c>
      <c r="G52" s="10">
        <v>48000</v>
      </c>
      <c r="H52" s="203"/>
      <c r="I52" s="10"/>
    </row>
    <row r="53" spans="1:9" x14ac:dyDescent="0.25">
      <c r="A53" s="188"/>
      <c r="B53" s="188"/>
      <c r="C53" s="188" t="s">
        <v>613</v>
      </c>
      <c r="D53" s="188" t="s">
        <v>755</v>
      </c>
      <c r="E53" s="10">
        <v>600</v>
      </c>
      <c r="F53" s="10">
        <v>4800</v>
      </c>
      <c r="G53" s="10">
        <v>720000</v>
      </c>
      <c r="H53" s="203"/>
      <c r="I53" s="10"/>
    </row>
    <row r="54" spans="1:9" x14ac:dyDescent="0.25">
      <c r="A54" s="188"/>
      <c r="B54" s="188"/>
      <c r="C54" s="188" t="s">
        <v>1143</v>
      </c>
      <c r="D54" s="188" t="s">
        <v>755</v>
      </c>
      <c r="E54" s="10">
        <v>400</v>
      </c>
      <c r="F54" s="10">
        <v>240</v>
      </c>
      <c r="G54" s="10">
        <v>24000</v>
      </c>
      <c r="H54" s="203"/>
      <c r="I54" s="10"/>
    </row>
    <row r="55" spans="1:9" x14ac:dyDescent="0.25">
      <c r="A55" s="188"/>
      <c r="B55" s="188"/>
      <c r="C55" s="188" t="s">
        <v>682</v>
      </c>
      <c r="D55" s="188" t="s">
        <v>755</v>
      </c>
      <c r="E55" s="10">
        <v>4</v>
      </c>
      <c r="F55" s="10">
        <v>1200000</v>
      </c>
      <c r="G55" s="10">
        <v>1200000</v>
      </c>
      <c r="H55" s="203"/>
      <c r="I55" s="10"/>
    </row>
    <row r="56" spans="1:9" x14ac:dyDescent="0.25">
      <c r="A56" s="188"/>
      <c r="B56" s="188"/>
      <c r="C56" s="188" t="s">
        <v>1144</v>
      </c>
      <c r="D56" s="188" t="s">
        <v>707</v>
      </c>
      <c r="E56" s="10">
        <v>4</v>
      </c>
      <c r="F56" s="10">
        <v>128000</v>
      </c>
      <c r="G56" s="10">
        <v>128000</v>
      </c>
      <c r="H56" s="203"/>
      <c r="I56" s="10"/>
    </row>
    <row r="57" spans="1:9" x14ac:dyDescent="0.25">
      <c r="A57" s="188"/>
      <c r="B57" s="188"/>
      <c r="C57" s="188" t="s">
        <v>681</v>
      </c>
      <c r="D57" s="188" t="s">
        <v>704</v>
      </c>
      <c r="E57" s="10">
        <v>48</v>
      </c>
      <c r="F57" s="10">
        <v>16000</v>
      </c>
      <c r="G57" s="10">
        <v>192000</v>
      </c>
      <c r="H57" s="203"/>
      <c r="I57" s="10"/>
    </row>
    <row r="58" spans="1:9" x14ac:dyDescent="0.25">
      <c r="A58" s="188"/>
      <c r="B58" s="188"/>
      <c r="C58" s="188" t="s">
        <v>1145</v>
      </c>
      <c r="D58" s="188" t="s">
        <v>702</v>
      </c>
      <c r="E58" s="10">
        <v>80</v>
      </c>
      <c r="F58" s="10">
        <v>600</v>
      </c>
      <c r="G58" s="10">
        <v>12000</v>
      </c>
      <c r="H58" s="203"/>
      <c r="I58" s="10"/>
    </row>
    <row r="59" spans="1:9" x14ac:dyDescent="0.25">
      <c r="A59" s="188"/>
      <c r="B59" s="188"/>
      <c r="C59" s="188" t="s">
        <v>1146</v>
      </c>
      <c r="D59" s="188" t="s">
        <v>1147</v>
      </c>
      <c r="E59" s="10">
        <v>1000</v>
      </c>
      <c r="F59" s="10">
        <v>2000</v>
      </c>
      <c r="G59" s="10">
        <v>500000</v>
      </c>
      <c r="H59" s="203"/>
      <c r="I59" s="10"/>
    </row>
    <row r="60" spans="1:9" x14ac:dyDescent="0.25">
      <c r="A60" s="188"/>
      <c r="B60" s="188"/>
      <c r="C60" s="188" t="s">
        <v>1121</v>
      </c>
      <c r="D60" s="188" t="s">
        <v>1122</v>
      </c>
      <c r="E60" s="10">
        <v>600</v>
      </c>
      <c r="F60" s="10">
        <v>360</v>
      </c>
      <c r="G60" s="10">
        <v>54000</v>
      </c>
      <c r="H60" s="203"/>
      <c r="I60" s="10"/>
    </row>
    <row r="61" spans="1:9" x14ac:dyDescent="0.25">
      <c r="A61" s="188"/>
      <c r="B61" s="188"/>
      <c r="C61" s="188" t="s">
        <v>1148</v>
      </c>
      <c r="D61" s="188" t="s">
        <v>702</v>
      </c>
      <c r="E61" s="10">
        <v>12</v>
      </c>
      <c r="F61" s="10">
        <v>28000</v>
      </c>
      <c r="G61" s="10">
        <v>84000</v>
      </c>
      <c r="H61" s="203"/>
      <c r="I61" s="10"/>
    </row>
    <row r="62" spans="1:9" x14ac:dyDescent="0.25">
      <c r="A62" s="188"/>
      <c r="B62" s="188"/>
      <c r="C62" s="188" t="s">
        <v>677</v>
      </c>
      <c r="D62" s="188" t="s">
        <v>609</v>
      </c>
      <c r="E62" s="10">
        <v>4</v>
      </c>
      <c r="F62" s="10">
        <v>80000</v>
      </c>
      <c r="G62" s="10">
        <v>80000</v>
      </c>
      <c r="H62" s="203"/>
      <c r="I62" s="10"/>
    </row>
    <row r="63" spans="1:9" x14ac:dyDescent="0.25">
      <c r="A63" s="188"/>
      <c r="B63" s="188"/>
      <c r="C63" s="188" t="s">
        <v>1472</v>
      </c>
      <c r="D63" s="188" t="s">
        <v>1122</v>
      </c>
      <c r="E63" s="10">
        <v>4</v>
      </c>
      <c r="F63" s="10">
        <v>600000</v>
      </c>
      <c r="G63" s="10">
        <v>600000</v>
      </c>
      <c r="H63" s="203"/>
      <c r="I63" s="10"/>
    </row>
    <row r="64" spans="1:9" x14ac:dyDescent="0.25">
      <c r="A64" s="188"/>
      <c r="B64" s="188"/>
      <c r="C64" s="188" t="s">
        <v>1123</v>
      </c>
      <c r="D64" s="188" t="s">
        <v>1122</v>
      </c>
      <c r="E64" s="10">
        <v>400</v>
      </c>
      <c r="F64" s="10">
        <v>400</v>
      </c>
      <c r="G64" s="10">
        <v>40000</v>
      </c>
      <c r="H64" s="203"/>
      <c r="I64" s="10"/>
    </row>
    <row r="65" spans="1:9" x14ac:dyDescent="0.25">
      <c r="A65" s="188"/>
      <c r="B65" s="188"/>
      <c r="C65" s="188" t="s">
        <v>1149</v>
      </c>
      <c r="D65" s="188" t="s">
        <v>704</v>
      </c>
      <c r="E65" s="10">
        <v>48</v>
      </c>
      <c r="F65" s="10">
        <v>40000</v>
      </c>
      <c r="G65" s="10">
        <v>480000</v>
      </c>
      <c r="H65" s="203"/>
      <c r="I65" s="10"/>
    </row>
    <row r="66" spans="1:9" x14ac:dyDescent="0.25">
      <c r="A66" s="188"/>
      <c r="B66" s="188"/>
      <c r="C66" s="188" t="s">
        <v>1150</v>
      </c>
      <c r="D66" s="188" t="s">
        <v>756</v>
      </c>
      <c r="E66" s="10">
        <v>320</v>
      </c>
      <c r="F66" s="10">
        <v>6000</v>
      </c>
      <c r="G66" s="10">
        <v>480000</v>
      </c>
      <c r="H66" s="203"/>
      <c r="I66" s="10"/>
    </row>
    <row r="67" spans="1:9" x14ac:dyDescent="0.25">
      <c r="A67" s="188"/>
      <c r="B67" s="188"/>
      <c r="C67" s="188" t="s">
        <v>1151</v>
      </c>
      <c r="D67" s="188" t="s">
        <v>1152</v>
      </c>
      <c r="E67" s="10">
        <v>4</v>
      </c>
      <c r="F67" s="10">
        <v>340000</v>
      </c>
      <c r="G67" s="10">
        <v>340000</v>
      </c>
      <c r="H67" s="203"/>
      <c r="I67" s="10"/>
    </row>
    <row r="68" spans="1:9" x14ac:dyDescent="0.25">
      <c r="A68" s="188"/>
      <c r="B68" s="188"/>
      <c r="C68" s="188" t="s">
        <v>679</v>
      </c>
      <c r="D68" s="188" t="s">
        <v>1152</v>
      </c>
      <c r="E68" s="10">
        <v>4</v>
      </c>
      <c r="F68" s="10">
        <v>100000</v>
      </c>
      <c r="G68" s="10">
        <v>100000</v>
      </c>
      <c r="H68" s="203"/>
      <c r="I68" s="10"/>
    </row>
    <row r="69" spans="1:9" x14ac:dyDescent="0.25">
      <c r="A69" s="188"/>
      <c r="B69" s="188"/>
      <c r="C69" s="188" t="s">
        <v>1153</v>
      </c>
      <c r="D69" s="188" t="s">
        <v>702</v>
      </c>
      <c r="E69" s="10">
        <v>4</v>
      </c>
      <c r="F69" s="10">
        <v>252000</v>
      </c>
      <c r="G69" s="10">
        <v>252000</v>
      </c>
      <c r="H69" s="203"/>
      <c r="I69" s="10"/>
    </row>
    <row r="70" spans="1:9" x14ac:dyDescent="0.25">
      <c r="A70" s="188"/>
      <c r="B70" s="188"/>
      <c r="C70" s="188" t="s">
        <v>1473</v>
      </c>
      <c r="D70" s="188" t="s">
        <v>706</v>
      </c>
      <c r="E70" s="10">
        <v>400</v>
      </c>
      <c r="F70" s="10">
        <v>8000</v>
      </c>
      <c r="G70" s="10">
        <v>800000</v>
      </c>
      <c r="H70" s="203"/>
      <c r="I70" s="10"/>
    </row>
    <row r="71" spans="1:9" x14ac:dyDescent="0.25">
      <c r="A71" s="188"/>
      <c r="B71" s="188"/>
      <c r="C71" s="188" t="s">
        <v>1154</v>
      </c>
      <c r="D71" s="188" t="s">
        <v>703</v>
      </c>
      <c r="E71" s="10">
        <v>80</v>
      </c>
      <c r="F71" s="10">
        <v>26000</v>
      </c>
      <c r="G71" s="10">
        <v>520000</v>
      </c>
      <c r="H71" s="203"/>
      <c r="I71" s="10"/>
    </row>
    <row r="72" spans="1:9" x14ac:dyDescent="0.25">
      <c r="A72" s="188"/>
      <c r="B72" s="188"/>
      <c r="C72" s="188" t="s">
        <v>1155</v>
      </c>
      <c r="D72" s="188" t="s">
        <v>756</v>
      </c>
      <c r="E72" s="10">
        <v>1600</v>
      </c>
      <c r="F72" s="10">
        <v>360</v>
      </c>
      <c r="G72" s="10">
        <v>144000</v>
      </c>
      <c r="H72" s="203"/>
      <c r="I72" s="10"/>
    </row>
    <row r="73" spans="1:9" x14ac:dyDescent="0.25">
      <c r="A73" s="188"/>
      <c r="B73" s="188"/>
      <c r="C73" s="188" t="s">
        <v>1156</v>
      </c>
      <c r="D73" s="188" t="s">
        <v>1147</v>
      </c>
      <c r="E73" s="10">
        <v>600</v>
      </c>
      <c r="F73" s="10">
        <v>360</v>
      </c>
      <c r="G73" s="10">
        <v>54000</v>
      </c>
      <c r="H73" s="203"/>
      <c r="I73" s="10"/>
    </row>
    <row r="74" spans="1:9" x14ac:dyDescent="0.25">
      <c r="A74" s="188"/>
      <c r="B74" s="188" t="s">
        <v>1157</v>
      </c>
      <c r="C74" s="188"/>
      <c r="D74" s="188"/>
      <c r="E74" s="10">
        <v>6260</v>
      </c>
      <c r="F74" s="10">
        <v>3031520</v>
      </c>
      <c r="G74" s="10">
        <v>8356000</v>
      </c>
      <c r="H74" s="203"/>
      <c r="I74" s="10"/>
    </row>
    <row r="75" spans="1:9" x14ac:dyDescent="0.25">
      <c r="A75" s="188"/>
      <c r="B75" s="188" t="s">
        <v>1158</v>
      </c>
      <c r="C75" s="188" t="s">
        <v>1279</v>
      </c>
      <c r="D75" s="188" t="s">
        <v>702</v>
      </c>
      <c r="E75" s="10">
        <v>4</v>
      </c>
      <c r="F75" s="10">
        <v>3000000</v>
      </c>
      <c r="G75" s="10">
        <v>3000000</v>
      </c>
      <c r="H75" s="203"/>
      <c r="I75" s="10"/>
    </row>
    <row r="76" spans="1:9" x14ac:dyDescent="0.25">
      <c r="A76" s="188"/>
      <c r="B76" s="188"/>
      <c r="C76" s="188" t="s">
        <v>694</v>
      </c>
      <c r="D76" s="188" t="s">
        <v>609</v>
      </c>
      <c r="E76" s="10">
        <v>80</v>
      </c>
      <c r="F76" s="10">
        <v>2000</v>
      </c>
      <c r="G76" s="10">
        <v>40000</v>
      </c>
      <c r="H76" s="203"/>
      <c r="I76" s="10"/>
    </row>
    <row r="77" spans="1:9" x14ac:dyDescent="0.25">
      <c r="A77" s="188"/>
      <c r="B77" s="188"/>
      <c r="C77" s="188" t="s">
        <v>1303</v>
      </c>
      <c r="D77" s="188" t="s">
        <v>702</v>
      </c>
      <c r="E77" s="10">
        <v>4</v>
      </c>
      <c r="F77" s="10">
        <v>380000</v>
      </c>
      <c r="G77" s="10">
        <v>380000</v>
      </c>
      <c r="H77" s="203"/>
      <c r="I77" s="10"/>
    </row>
    <row r="78" spans="1:9" x14ac:dyDescent="0.25">
      <c r="A78" s="188"/>
      <c r="B78" s="188"/>
      <c r="C78" s="188" t="s">
        <v>667</v>
      </c>
      <c r="D78" s="188" t="s">
        <v>606</v>
      </c>
      <c r="E78" s="10">
        <v>48</v>
      </c>
      <c r="F78" s="10">
        <v>160000</v>
      </c>
      <c r="G78" s="10">
        <v>1920000</v>
      </c>
      <c r="H78" s="203"/>
      <c r="I78" s="10"/>
    </row>
    <row r="79" spans="1:9" x14ac:dyDescent="0.25">
      <c r="A79" s="188"/>
      <c r="B79" s="188"/>
      <c r="C79" s="188" t="s">
        <v>686</v>
      </c>
      <c r="D79" s="188" t="s">
        <v>606</v>
      </c>
      <c r="E79" s="10">
        <v>48</v>
      </c>
      <c r="F79" s="10">
        <v>2400000</v>
      </c>
      <c r="G79" s="10">
        <v>28800000</v>
      </c>
      <c r="H79" s="203"/>
      <c r="I79" s="10"/>
    </row>
    <row r="80" spans="1:9" x14ac:dyDescent="0.25">
      <c r="A80" s="188"/>
      <c r="B80" s="188"/>
      <c r="C80" s="188" t="s">
        <v>1159</v>
      </c>
      <c r="D80" s="188" t="s">
        <v>1160</v>
      </c>
      <c r="E80" s="10">
        <v>60</v>
      </c>
      <c r="F80" s="10">
        <v>12000</v>
      </c>
      <c r="G80" s="10">
        <v>180000</v>
      </c>
      <c r="H80" s="203"/>
      <c r="I80" s="10"/>
    </row>
    <row r="81" spans="1:9" x14ac:dyDescent="0.25">
      <c r="A81" s="188"/>
      <c r="B81" s="188"/>
      <c r="C81" s="188" t="s">
        <v>1161</v>
      </c>
      <c r="D81" s="188" t="s">
        <v>1160</v>
      </c>
      <c r="E81" s="10">
        <v>40</v>
      </c>
      <c r="F81" s="10">
        <v>40000</v>
      </c>
      <c r="G81" s="10">
        <v>400000</v>
      </c>
      <c r="H81" s="203"/>
      <c r="I81" s="10"/>
    </row>
    <row r="82" spans="1:9" x14ac:dyDescent="0.25">
      <c r="A82" s="188"/>
      <c r="B82" s="188"/>
      <c r="C82" s="188" t="s">
        <v>1268</v>
      </c>
      <c r="D82" s="188" t="s">
        <v>702</v>
      </c>
      <c r="E82" s="10">
        <v>4</v>
      </c>
      <c r="F82" s="10">
        <v>944000</v>
      </c>
      <c r="G82" s="10">
        <v>944000</v>
      </c>
      <c r="H82" s="203"/>
      <c r="I82" s="10"/>
    </row>
    <row r="83" spans="1:9" x14ac:dyDescent="0.25">
      <c r="A83" s="188"/>
      <c r="B83" s="188"/>
      <c r="C83" s="188" t="s">
        <v>1269</v>
      </c>
      <c r="D83" s="188" t="s">
        <v>702</v>
      </c>
      <c r="E83" s="10">
        <v>4</v>
      </c>
      <c r="F83" s="10">
        <v>1066664</v>
      </c>
      <c r="G83" s="10">
        <v>1066664</v>
      </c>
      <c r="H83" s="203"/>
      <c r="I83" s="10"/>
    </row>
    <row r="84" spans="1:9" x14ac:dyDescent="0.25">
      <c r="A84" s="188"/>
      <c r="B84" s="188"/>
      <c r="C84" s="188" t="s">
        <v>668</v>
      </c>
      <c r="D84" s="188" t="s">
        <v>703</v>
      </c>
      <c r="E84" s="10">
        <v>48</v>
      </c>
      <c r="F84" s="10">
        <v>59000</v>
      </c>
      <c r="G84" s="10">
        <v>708000</v>
      </c>
      <c r="H84" s="203"/>
      <c r="I84" s="10"/>
    </row>
    <row r="85" spans="1:9" x14ac:dyDescent="0.25">
      <c r="A85" s="188"/>
      <c r="B85" s="188"/>
      <c r="C85" s="188" t="s">
        <v>646</v>
      </c>
      <c r="D85" s="188" t="s">
        <v>606</v>
      </c>
      <c r="E85" s="10"/>
      <c r="F85" s="10">
        <v>668000</v>
      </c>
      <c r="G85" s="10">
        <v>0</v>
      </c>
      <c r="H85" s="203"/>
      <c r="I85" s="10"/>
    </row>
    <row r="86" spans="1:9" x14ac:dyDescent="0.25">
      <c r="A86" s="188"/>
      <c r="B86" s="188"/>
      <c r="C86" s="188" t="s">
        <v>696</v>
      </c>
      <c r="D86" s="188" t="s">
        <v>609</v>
      </c>
      <c r="E86" s="10">
        <v>8</v>
      </c>
      <c r="F86" s="10">
        <v>4000</v>
      </c>
      <c r="G86" s="10">
        <v>8000</v>
      </c>
      <c r="H86" s="203"/>
      <c r="I86" s="10"/>
    </row>
    <row r="87" spans="1:9" x14ac:dyDescent="0.25">
      <c r="A87" s="188"/>
      <c r="B87" s="188"/>
      <c r="C87" s="188" t="s">
        <v>688</v>
      </c>
      <c r="D87" s="188" t="s">
        <v>609</v>
      </c>
      <c r="E87" s="10">
        <v>60</v>
      </c>
      <c r="F87" s="10">
        <v>10000</v>
      </c>
      <c r="G87" s="10">
        <v>150000</v>
      </c>
      <c r="H87" s="203"/>
      <c r="I87" s="10"/>
    </row>
    <row r="88" spans="1:9" x14ac:dyDescent="0.25">
      <c r="A88" s="188"/>
      <c r="B88" s="188"/>
      <c r="C88" s="188" t="s">
        <v>697</v>
      </c>
      <c r="D88" s="188" t="s">
        <v>606</v>
      </c>
      <c r="E88" s="10">
        <v>48</v>
      </c>
      <c r="F88" s="10">
        <v>20000</v>
      </c>
      <c r="G88" s="10">
        <v>240000</v>
      </c>
      <c r="H88" s="203"/>
      <c r="I88" s="10"/>
    </row>
    <row r="89" spans="1:9" x14ac:dyDescent="0.25">
      <c r="A89" s="188"/>
      <c r="B89" s="188"/>
      <c r="C89" s="188" t="s">
        <v>687</v>
      </c>
      <c r="D89" s="188" t="s">
        <v>755</v>
      </c>
      <c r="E89" s="10">
        <v>2000</v>
      </c>
      <c r="F89" s="10">
        <v>800</v>
      </c>
      <c r="G89" s="10">
        <v>400000</v>
      </c>
      <c r="H89" s="203"/>
      <c r="I89" s="10"/>
    </row>
    <row r="90" spans="1:9" x14ac:dyDescent="0.25">
      <c r="A90" s="188"/>
      <c r="B90" s="188"/>
      <c r="C90" s="188" t="s">
        <v>1162</v>
      </c>
      <c r="D90" s="188" t="s">
        <v>606</v>
      </c>
      <c r="E90" s="10">
        <v>4</v>
      </c>
      <c r="F90" s="10">
        <v>800000</v>
      </c>
      <c r="G90" s="10">
        <v>800000</v>
      </c>
      <c r="H90" s="203"/>
      <c r="I90" s="10"/>
    </row>
    <row r="91" spans="1:9" x14ac:dyDescent="0.25">
      <c r="A91" s="188"/>
      <c r="B91" s="188"/>
      <c r="C91" s="188" t="s">
        <v>1163</v>
      </c>
      <c r="D91" s="188" t="s">
        <v>702</v>
      </c>
      <c r="E91" s="10">
        <v>48</v>
      </c>
      <c r="F91" s="10">
        <v>64000</v>
      </c>
      <c r="G91" s="10">
        <v>768000</v>
      </c>
      <c r="H91" s="203"/>
      <c r="I91" s="10"/>
    </row>
    <row r="92" spans="1:9" x14ac:dyDescent="0.25">
      <c r="A92" s="188"/>
      <c r="B92" s="188"/>
      <c r="C92" s="188" t="s">
        <v>1280</v>
      </c>
      <c r="D92" s="188" t="s">
        <v>702</v>
      </c>
      <c r="E92" s="10"/>
      <c r="F92" s="10">
        <v>80000</v>
      </c>
      <c r="G92" s="10">
        <v>0</v>
      </c>
      <c r="H92" s="203"/>
      <c r="I92" s="10"/>
    </row>
    <row r="93" spans="1:9" x14ac:dyDescent="0.25">
      <c r="A93" s="188"/>
      <c r="B93" s="188"/>
      <c r="C93" s="188" t="s">
        <v>650</v>
      </c>
      <c r="D93" s="188" t="s">
        <v>702</v>
      </c>
      <c r="E93" s="10">
        <v>4</v>
      </c>
      <c r="F93" s="10">
        <v>0</v>
      </c>
      <c r="G93" s="10">
        <v>0</v>
      </c>
      <c r="H93" s="203"/>
      <c r="I93" s="10"/>
    </row>
    <row r="94" spans="1:9" x14ac:dyDescent="0.25">
      <c r="A94" s="188"/>
      <c r="B94" s="188"/>
      <c r="C94" s="188" t="s">
        <v>1164</v>
      </c>
      <c r="D94" s="188" t="s">
        <v>609</v>
      </c>
      <c r="E94" s="10">
        <v>60</v>
      </c>
      <c r="F94" s="10">
        <v>20000</v>
      </c>
      <c r="G94" s="10">
        <v>300000</v>
      </c>
      <c r="H94" s="203"/>
      <c r="I94" s="10"/>
    </row>
    <row r="95" spans="1:9" x14ac:dyDescent="0.25">
      <c r="A95" s="188"/>
      <c r="B95" s="188"/>
      <c r="C95" s="188" t="s">
        <v>1165</v>
      </c>
      <c r="D95" s="188" t="s">
        <v>1160</v>
      </c>
      <c r="E95" s="10">
        <v>4</v>
      </c>
      <c r="F95" s="10">
        <v>70000</v>
      </c>
      <c r="G95" s="10">
        <v>70000</v>
      </c>
      <c r="H95" s="203"/>
      <c r="I95" s="10"/>
    </row>
    <row r="96" spans="1:9" x14ac:dyDescent="0.25">
      <c r="A96" s="188"/>
      <c r="B96" s="188"/>
      <c r="C96" s="188" t="s">
        <v>1166</v>
      </c>
      <c r="D96" s="188" t="s">
        <v>1160</v>
      </c>
      <c r="E96" s="10">
        <v>40</v>
      </c>
      <c r="F96" s="10">
        <v>38000</v>
      </c>
      <c r="G96" s="10">
        <v>380000</v>
      </c>
      <c r="H96" s="203"/>
      <c r="I96" s="10"/>
    </row>
    <row r="97" spans="1:9" x14ac:dyDescent="0.25">
      <c r="A97" s="188"/>
      <c r="B97" s="188"/>
      <c r="C97" s="188" t="s">
        <v>1167</v>
      </c>
      <c r="D97" s="188" t="s">
        <v>609</v>
      </c>
      <c r="E97" s="10">
        <v>80</v>
      </c>
      <c r="F97" s="10">
        <v>1200</v>
      </c>
      <c r="G97" s="10">
        <v>24000</v>
      </c>
      <c r="H97" s="203"/>
      <c r="I97" s="10"/>
    </row>
    <row r="98" spans="1:9" x14ac:dyDescent="0.25">
      <c r="A98" s="188"/>
      <c r="B98" s="188"/>
      <c r="C98" s="188" t="s">
        <v>1270</v>
      </c>
      <c r="D98" s="188" t="s">
        <v>702</v>
      </c>
      <c r="E98" s="10">
        <v>4</v>
      </c>
      <c r="F98" s="10">
        <v>1180000</v>
      </c>
      <c r="G98" s="10">
        <v>1180000</v>
      </c>
      <c r="H98" s="203"/>
      <c r="I98" s="10"/>
    </row>
    <row r="99" spans="1:9" x14ac:dyDescent="0.25">
      <c r="A99" s="188"/>
      <c r="B99" s="188"/>
      <c r="C99" s="188" t="s">
        <v>1168</v>
      </c>
      <c r="D99" s="188" t="s">
        <v>609</v>
      </c>
      <c r="E99" s="10">
        <v>60</v>
      </c>
      <c r="F99" s="10">
        <v>10000</v>
      </c>
      <c r="G99" s="10">
        <v>150000</v>
      </c>
      <c r="H99" s="203"/>
      <c r="I99" s="10"/>
    </row>
    <row r="100" spans="1:9" x14ac:dyDescent="0.25">
      <c r="A100" s="188"/>
      <c r="B100" s="188"/>
      <c r="C100" s="188" t="s">
        <v>699</v>
      </c>
      <c r="D100" s="188" t="s">
        <v>609</v>
      </c>
      <c r="E100" s="10">
        <v>80</v>
      </c>
      <c r="F100" s="10">
        <v>1200</v>
      </c>
      <c r="G100" s="10">
        <v>24000</v>
      </c>
      <c r="H100" s="203"/>
      <c r="I100" s="10"/>
    </row>
    <row r="101" spans="1:9" x14ac:dyDescent="0.25">
      <c r="A101" s="188"/>
      <c r="B101" s="188"/>
      <c r="C101" s="188" t="s">
        <v>691</v>
      </c>
      <c r="D101" s="188" t="s">
        <v>609</v>
      </c>
      <c r="E101" s="10">
        <v>60</v>
      </c>
      <c r="F101" s="10">
        <v>600</v>
      </c>
      <c r="G101" s="10">
        <v>9000</v>
      </c>
      <c r="H101" s="203"/>
      <c r="I101" s="10"/>
    </row>
    <row r="102" spans="1:9" x14ac:dyDescent="0.25">
      <c r="A102" s="188"/>
      <c r="B102" s="188"/>
      <c r="C102" s="188" t="s">
        <v>700</v>
      </c>
      <c r="D102" s="188" t="s">
        <v>606</v>
      </c>
      <c r="E102" s="10">
        <v>48</v>
      </c>
      <c r="F102" s="10">
        <v>20000</v>
      </c>
      <c r="G102" s="10">
        <v>240000</v>
      </c>
      <c r="H102" s="203"/>
      <c r="I102" s="10"/>
    </row>
    <row r="103" spans="1:9" x14ac:dyDescent="0.25">
      <c r="A103" s="188"/>
      <c r="B103" s="188"/>
      <c r="C103" s="188" t="s">
        <v>1266</v>
      </c>
      <c r="D103" s="188" t="s">
        <v>702</v>
      </c>
      <c r="E103" s="10">
        <v>4</v>
      </c>
      <c r="F103" s="10">
        <v>2832000</v>
      </c>
      <c r="G103" s="10">
        <v>2832000</v>
      </c>
      <c r="H103" s="203"/>
      <c r="I103" s="10"/>
    </row>
    <row r="104" spans="1:9" x14ac:dyDescent="0.25">
      <c r="A104" s="188"/>
      <c r="B104" s="188"/>
      <c r="C104" s="188" t="s">
        <v>685</v>
      </c>
      <c r="D104" s="188" t="s">
        <v>704</v>
      </c>
      <c r="E104" s="10">
        <v>48</v>
      </c>
      <c r="F104" s="10">
        <v>40000</v>
      </c>
      <c r="G104" s="10">
        <v>480000</v>
      </c>
      <c r="H104" s="203"/>
      <c r="I104" s="10"/>
    </row>
    <row r="105" spans="1:9" x14ac:dyDescent="0.25">
      <c r="A105" s="188"/>
      <c r="B105" s="188"/>
      <c r="C105" s="188" t="s">
        <v>684</v>
      </c>
      <c r="D105" s="188" t="s">
        <v>702</v>
      </c>
      <c r="E105" s="10">
        <v>4</v>
      </c>
      <c r="F105" s="10">
        <v>960000</v>
      </c>
      <c r="G105" s="10">
        <v>960000</v>
      </c>
      <c r="H105" s="203"/>
      <c r="I105" s="10"/>
    </row>
    <row r="106" spans="1:9" x14ac:dyDescent="0.25">
      <c r="A106" s="188"/>
      <c r="B106" s="188"/>
      <c r="C106" s="188" t="s">
        <v>1335</v>
      </c>
      <c r="D106" s="188" t="s">
        <v>702</v>
      </c>
      <c r="E106" s="10">
        <v>4</v>
      </c>
      <c r="F106" s="10">
        <v>80000</v>
      </c>
      <c r="G106" s="10">
        <v>80000</v>
      </c>
      <c r="H106" s="203"/>
      <c r="I106" s="10"/>
    </row>
    <row r="107" spans="1:9" x14ac:dyDescent="0.25">
      <c r="A107" s="188"/>
      <c r="B107" s="188" t="s">
        <v>1169</v>
      </c>
      <c r="C107" s="188"/>
      <c r="D107" s="188"/>
      <c r="E107" s="10">
        <v>3008</v>
      </c>
      <c r="F107" s="10">
        <v>14963464</v>
      </c>
      <c r="G107" s="10">
        <v>46533664</v>
      </c>
      <c r="H107" s="203"/>
      <c r="I107" s="10"/>
    </row>
    <row r="108" spans="1:9" x14ac:dyDescent="0.25">
      <c r="A108" s="188"/>
      <c r="B108" s="188" t="s">
        <v>1170</v>
      </c>
      <c r="C108" s="188" t="s">
        <v>671</v>
      </c>
      <c r="D108" s="188" t="s">
        <v>702</v>
      </c>
      <c r="E108" s="10">
        <v>4</v>
      </c>
      <c r="F108" s="10">
        <v>400000</v>
      </c>
      <c r="G108" s="10">
        <v>400000</v>
      </c>
      <c r="H108" s="203"/>
      <c r="I108" s="10"/>
    </row>
    <row r="109" spans="1:9" x14ac:dyDescent="0.25">
      <c r="A109" s="188"/>
      <c r="B109" s="188"/>
      <c r="C109" s="188" t="s">
        <v>675</v>
      </c>
      <c r="D109" s="188" t="s">
        <v>702</v>
      </c>
      <c r="E109" s="10">
        <v>4</v>
      </c>
      <c r="F109" s="10">
        <v>200000</v>
      </c>
      <c r="G109" s="10">
        <v>200000</v>
      </c>
      <c r="H109" s="203"/>
      <c r="I109" s="10"/>
    </row>
    <row r="110" spans="1:9" x14ac:dyDescent="0.25">
      <c r="A110" s="188"/>
      <c r="B110" s="188"/>
      <c r="C110" s="188" t="s">
        <v>670</v>
      </c>
      <c r="D110" s="188" t="s">
        <v>702</v>
      </c>
      <c r="E110" s="10">
        <v>4</v>
      </c>
      <c r="F110" s="10">
        <v>800000</v>
      </c>
      <c r="G110" s="10">
        <v>800000</v>
      </c>
      <c r="H110" s="203"/>
      <c r="I110" s="10"/>
    </row>
    <row r="111" spans="1:9" x14ac:dyDescent="0.25">
      <c r="A111" s="188"/>
      <c r="B111" s="188"/>
      <c r="C111" s="188" t="s">
        <v>673</v>
      </c>
      <c r="D111" s="188" t="s">
        <v>702</v>
      </c>
      <c r="E111" s="10">
        <v>4</v>
      </c>
      <c r="F111" s="10">
        <v>900000</v>
      </c>
      <c r="G111" s="10">
        <v>900000</v>
      </c>
      <c r="H111" s="203"/>
      <c r="I111" s="10"/>
    </row>
    <row r="112" spans="1:9" x14ac:dyDescent="0.25">
      <c r="A112" s="188"/>
      <c r="B112" s="188"/>
      <c r="C112" s="188" t="s">
        <v>672</v>
      </c>
      <c r="D112" s="188" t="s">
        <v>702</v>
      </c>
      <c r="E112" s="10">
        <v>4</v>
      </c>
      <c r="F112" s="10">
        <v>1500000</v>
      </c>
      <c r="G112" s="10">
        <v>1500000</v>
      </c>
      <c r="H112" s="203"/>
      <c r="I112" s="10"/>
    </row>
    <row r="113" spans="1:9" x14ac:dyDescent="0.25">
      <c r="A113" s="188"/>
      <c r="B113" s="188"/>
      <c r="C113" s="188" t="s">
        <v>674</v>
      </c>
      <c r="D113" s="188" t="s">
        <v>702</v>
      </c>
      <c r="E113" s="10">
        <v>4</v>
      </c>
      <c r="F113" s="10">
        <v>200000</v>
      </c>
      <c r="G113" s="10">
        <v>200000</v>
      </c>
      <c r="H113" s="203"/>
      <c r="I113" s="10"/>
    </row>
    <row r="114" spans="1:9" x14ac:dyDescent="0.25">
      <c r="A114" s="188"/>
      <c r="B114" s="188" t="s">
        <v>1171</v>
      </c>
      <c r="C114" s="188"/>
      <c r="D114" s="188"/>
      <c r="E114" s="10">
        <v>24</v>
      </c>
      <c r="F114" s="10">
        <v>4000000</v>
      </c>
      <c r="G114" s="10">
        <v>4000000</v>
      </c>
      <c r="H114" s="203"/>
      <c r="I114" s="10"/>
    </row>
    <row r="115" spans="1:9" x14ac:dyDescent="0.25">
      <c r="A115" s="188"/>
      <c r="B115" s="188" t="s">
        <v>1172</v>
      </c>
      <c r="C115" s="188" t="s">
        <v>598</v>
      </c>
      <c r="D115" s="188" t="s">
        <v>606</v>
      </c>
      <c r="E115" s="10">
        <v>24</v>
      </c>
      <c r="F115" s="10">
        <v>40000</v>
      </c>
      <c r="G115" s="10">
        <v>240000</v>
      </c>
      <c r="H115" s="203"/>
      <c r="I115" s="10"/>
    </row>
    <row r="116" spans="1:9" x14ac:dyDescent="0.25">
      <c r="A116" s="188"/>
      <c r="B116" s="188"/>
      <c r="C116" s="188" t="s">
        <v>601</v>
      </c>
      <c r="D116" s="188" t="s">
        <v>606</v>
      </c>
      <c r="E116" s="10">
        <v>4</v>
      </c>
      <c r="F116" s="10">
        <v>2360000</v>
      </c>
      <c r="G116" s="10">
        <v>2360000</v>
      </c>
      <c r="H116" s="203"/>
      <c r="I116" s="10"/>
    </row>
    <row r="117" spans="1:9" x14ac:dyDescent="0.25">
      <c r="A117" s="188"/>
      <c r="B117" s="188"/>
      <c r="C117" s="188" t="s">
        <v>603</v>
      </c>
      <c r="D117" s="188" t="s">
        <v>606</v>
      </c>
      <c r="E117" s="10">
        <v>48</v>
      </c>
      <c r="F117" s="10">
        <v>1000000</v>
      </c>
      <c r="G117" s="10">
        <v>12000000</v>
      </c>
      <c r="H117" s="203"/>
      <c r="I117" s="10"/>
    </row>
    <row r="118" spans="1:9" x14ac:dyDescent="0.25">
      <c r="A118" s="188"/>
      <c r="B118" s="188"/>
      <c r="C118" s="188" t="s">
        <v>604</v>
      </c>
      <c r="D118" s="188" t="s">
        <v>606</v>
      </c>
      <c r="E118" s="10">
        <v>48</v>
      </c>
      <c r="F118" s="10">
        <v>800000</v>
      </c>
      <c r="G118" s="10">
        <v>9600000</v>
      </c>
      <c r="H118" s="203"/>
      <c r="I118" s="10"/>
    </row>
    <row r="119" spans="1:9" x14ac:dyDescent="0.25">
      <c r="A119" s="188"/>
      <c r="B119" s="188"/>
      <c r="C119" s="188" t="s">
        <v>605</v>
      </c>
      <c r="D119" s="188" t="s">
        <v>606</v>
      </c>
      <c r="E119" s="10">
        <v>48</v>
      </c>
      <c r="F119" s="10">
        <v>1000000</v>
      </c>
      <c r="G119" s="10">
        <v>12000000</v>
      </c>
      <c r="H119" s="203"/>
      <c r="I119" s="10"/>
    </row>
    <row r="120" spans="1:9" x14ac:dyDescent="0.25">
      <c r="A120" s="188"/>
      <c r="B120" s="188"/>
      <c r="C120" s="188" t="s">
        <v>602</v>
      </c>
      <c r="D120" s="188" t="s">
        <v>606</v>
      </c>
      <c r="E120" s="10">
        <v>48</v>
      </c>
      <c r="F120" s="10">
        <v>4000</v>
      </c>
      <c r="G120" s="10">
        <v>48000</v>
      </c>
      <c r="H120" s="203"/>
      <c r="I120" s="10"/>
    </row>
    <row r="121" spans="1:9" x14ac:dyDescent="0.25">
      <c r="A121" s="188"/>
      <c r="B121" s="188"/>
      <c r="C121" s="188" t="s">
        <v>597</v>
      </c>
      <c r="D121" s="188" t="s">
        <v>608</v>
      </c>
      <c r="E121" s="10">
        <v>48</v>
      </c>
      <c r="F121" s="10">
        <v>2000</v>
      </c>
      <c r="G121" s="10">
        <v>24000</v>
      </c>
      <c r="H121" s="203"/>
      <c r="I121" s="10"/>
    </row>
    <row r="122" spans="1:9" x14ac:dyDescent="0.25">
      <c r="A122" s="188"/>
      <c r="B122" s="188"/>
      <c r="C122" s="188" t="s">
        <v>1292</v>
      </c>
      <c r="D122" s="188" t="s">
        <v>606</v>
      </c>
      <c r="E122" s="10">
        <v>4</v>
      </c>
      <c r="F122" s="10">
        <v>8496000</v>
      </c>
      <c r="G122" s="10">
        <v>8496000</v>
      </c>
      <c r="H122" s="203"/>
      <c r="I122" s="10"/>
    </row>
    <row r="123" spans="1:9" x14ac:dyDescent="0.25">
      <c r="A123" s="188"/>
      <c r="B123" s="188"/>
      <c r="C123" s="188" t="s">
        <v>599</v>
      </c>
      <c r="D123" s="188" t="s">
        <v>606</v>
      </c>
      <c r="E123" s="10">
        <v>48</v>
      </c>
      <c r="F123" s="10">
        <v>2000000</v>
      </c>
      <c r="G123" s="10">
        <v>24000000</v>
      </c>
      <c r="H123" s="203"/>
      <c r="I123" s="10"/>
    </row>
    <row r="124" spans="1:9" x14ac:dyDescent="0.25">
      <c r="A124" s="188"/>
      <c r="B124" s="188" t="s">
        <v>1173</v>
      </c>
      <c r="C124" s="188"/>
      <c r="D124" s="188"/>
      <c r="E124" s="10">
        <v>320</v>
      </c>
      <c r="F124" s="10">
        <v>15702000</v>
      </c>
      <c r="G124" s="10">
        <v>68768000</v>
      </c>
      <c r="H124" s="203"/>
      <c r="I124" s="10"/>
    </row>
    <row r="125" spans="1:9" x14ac:dyDescent="0.25">
      <c r="A125" s="188"/>
      <c r="B125" s="188" t="s">
        <v>1174</v>
      </c>
      <c r="C125" s="188" t="s">
        <v>1260</v>
      </c>
      <c r="D125" s="188" t="s">
        <v>703</v>
      </c>
      <c r="E125" s="10">
        <v>1400</v>
      </c>
      <c r="F125" s="10">
        <v>136</v>
      </c>
      <c r="G125" s="10">
        <v>47600</v>
      </c>
      <c r="H125" s="203"/>
      <c r="I125" s="10"/>
    </row>
    <row r="126" spans="1:9" x14ac:dyDescent="0.25">
      <c r="A126" s="188"/>
      <c r="B126" s="188"/>
      <c r="C126" s="188" t="s">
        <v>1175</v>
      </c>
      <c r="D126" s="188" t="s">
        <v>703</v>
      </c>
      <c r="E126" s="10">
        <v>240</v>
      </c>
      <c r="F126" s="10">
        <v>200</v>
      </c>
      <c r="G126" s="10">
        <v>12000</v>
      </c>
      <c r="H126" s="203"/>
      <c r="I126" s="10"/>
    </row>
    <row r="127" spans="1:9" x14ac:dyDescent="0.25">
      <c r="A127" s="188"/>
      <c r="B127" s="188"/>
      <c r="C127" s="188" t="s">
        <v>1176</v>
      </c>
      <c r="D127" s="188" t="s">
        <v>704</v>
      </c>
      <c r="E127" s="10">
        <v>4</v>
      </c>
      <c r="F127" s="10">
        <v>1200000</v>
      </c>
      <c r="G127" s="10">
        <v>1200000</v>
      </c>
      <c r="H127" s="203"/>
      <c r="I127" s="10"/>
    </row>
    <row r="128" spans="1:9" x14ac:dyDescent="0.25">
      <c r="A128" s="188"/>
      <c r="B128" s="188"/>
      <c r="C128" s="188" t="s">
        <v>1177</v>
      </c>
      <c r="D128" s="188" t="s">
        <v>703</v>
      </c>
      <c r="E128" s="10">
        <v>4</v>
      </c>
      <c r="F128" s="10">
        <v>120000</v>
      </c>
      <c r="G128" s="10">
        <v>120000</v>
      </c>
      <c r="H128" s="203"/>
      <c r="I128" s="10"/>
    </row>
    <row r="129" spans="1:9" x14ac:dyDescent="0.25">
      <c r="A129" s="188"/>
      <c r="B129" s="188"/>
      <c r="C129" s="188" t="s">
        <v>1178</v>
      </c>
      <c r="D129" s="188" t="s">
        <v>755</v>
      </c>
      <c r="E129" s="10">
        <v>1400</v>
      </c>
      <c r="F129" s="10">
        <v>240</v>
      </c>
      <c r="G129" s="10">
        <v>84000</v>
      </c>
      <c r="H129" s="203"/>
      <c r="I129" s="10"/>
    </row>
    <row r="130" spans="1:9" x14ac:dyDescent="0.25">
      <c r="A130" s="188"/>
      <c r="B130" s="188"/>
      <c r="C130" s="188" t="s">
        <v>1179</v>
      </c>
      <c r="D130" s="188" t="s">
        <v>703</v>
      </c>
      <c r="E130" s="10">
        <v>800</v>
      </c>
      <c r="F130" s="10">
        <v>400</v>
      </c>
      <c r="G130" s="10">
        <v>80000</v>
      </c>
      <c r="H130" s="203"/>
      <c r="I130" s="10"/>
    </row>
    <row r="131" spans="1:9" x14ac:dyDescent="0.25">
      <c r="A131" s="188"/>
      <c r="B131" s="188"/>
      <c r="C131" s="188" t="s">
        <v>1180</v>
      </c>
      <c r="D131" s="188" t="s">
        <v>703</v>
      </c>
      <c r="E131" s="10">
        <v>4</v>
      </c>
      <c r="F131" s="10">
        <v>360000</v>
      </c>
      <c r="G131" s="10">
        <v>360000</v>
      </c>
      <c r="H131" s="203"/>
      <c r="I131" s="10"/>
    </row>
    <row r="132" spans="1:9" x14ac:dyDescent="0.25">
      <c r="A132" s="188"/>
      <c r="B132" s="188"/>
      <c r="C132" s="188" t="s">
        <v>1181</v>
      </c>
      <c r="D132" s="188" t="s">
        <v>703</v>
      </c>
      <c r="E132" s="10">
        <v>800</v>
      </c>
      <c r="F132" s="10">
        <v>1200</v>
      </c>
      <c r="G132" s="10">
        <v>240000</v>
      </c>
      <c r="H132" s="203"/>
      <c r="I132" s="10"/>
    </row>
    <row r="133" spans="1:9" x14ac:dyDescent="0.25">
      <c r="A133" s="188"/>
      <c r="B133" s="188"/>
      <c r="C133" s="188" t="s">
        <v>1182</v>
      </c>
      <c r="D133" s="188" t="s">
        <v>703</v>
      </c>
      <c r="E133" s="10">
        <v>4000</v>
      </c>
      <c r="F133" s="10">
        <v>40</v>
      </c>
      <c r="G133" s="10">
        <v>40000</v>
      </c>
      <c r="H133" s="203"/>
      <c r="I133" s="10"/>
    </row>
    <row r="134" spans="1:9" x14ac:dyDescent="0.25">
      <c r="A134" s="188"/>
      <c r="B134" s="188"/>
      <c r="C134" s="188" t="s">
        <v>639</v>
      </c>
      <c r="D134" s="188" t="s">
        <v>702</v>
      </c>
      <c r="E134" s="10">
        <v>4</v>
      </c>
      <c r="F134" s="10">
        <v>1200000</v>
      </c>
      <c r="G134" s="10">
        <v>1200000</v>
      </c>
      <c r="H134" s="203"/>
      <c r="I134" s="10"/>
    </row>
    <row r="135" spans="1:9" x14ac:dyDescent="0.25">
      <c r="A135" s="188"/>
      <c r="B135" s="188"/>
      <c r="C135" s="188" t="s">
        <v>1183</v>
      </c>
      <c r="D135" s="188" t="s">
        <v>703</v>
      </c>
      <c r="E135" s="10">
        <v>4</v>
      </c>
      <c r="F135" s="10">
        <v>40000</v>
      </c>
      <c r="G135" s="10">
        <v>40000</v>
      </c>
      <c r="H135" s="203"/>
      <c r="I135" s="10"/>
    </row>
    <row r="136" spans="1:9" x14ac:dyDescent="0.25">
      <c r="A136" s="188"/>
      <c r="B136" s="188"/>
      <c r="C136" s="188" t="s">
        <v>1184</v>
      </c>
      <c r="D136" s="188" t="s">
        <v>755</v>
      </c>
      <c r="E136" s="10">
        <v>1400</v>
      </c>
      <c r="F136" s="10">
        <v>600</v>
      </c>
      <c r="G136" s="10">
        <v>210000</v>
      </c>
      <c r="H136" s="203"/>
      <c r="I136" s="10"/>
    </row>
    <row r="137" spans="1:9" x14ac:dyDescent="0.25">
      <c r="A137" s="188"/>
      <c r="B137" s="188"/>
      <c r="C137" s="188" t="s">
        <v>1185</v>
      </c>
      <c r="D137" s="188" t="s">
        <v>755</v>
      </c>
      <c r="E137" s="10">
        <v>40</v>
      </c>
      <c r="F137" s="10">
        <v>6000</v>
      </c>
      <c r="G137" s="10">
        <v>60000</v>
      </c>
      <c r="H137" s="203"/>
      <c r="I137" s="10"/>
    </row>
    <row r="138" spans="1:9" x14ac:dyDescent="0.25">
      <c r="A138" s="188"/>
      <c r="B138" s="188"/>
      <c r="C138" s="188" t="s">
        <v>1186</v>
      </c>
      <c r="D138" s="188" t="s">
        <v>703</v>
      </c>
      <c r="E138" s="10">
        <v>4</v>
      </c>
      <c r="F138" s="10">
        <v>120000</v>
      </c>
      <c r="G138" s="10">
        <v>120000</v>
      </c>
      <c r="H138" s="203"/>
      <c r="I138" s="10"/>
    </row>
    <row r="139" spans="1:9" x14ac:dyDescent="0.25">
      <c r="A139" s="188"/>
      <c r="B139" s="188"/>
      <c r="C139" s="188" t="s">
        <v>1261</v>
      </c>
      <c r="D139" s="188" t="s">
        <v>703</v>
      </c>
      <c r="E139" s="10">
        <v>4</v>
      </c>
      <c r="F139" s="10">
        <v>188000</v>
      </c>
      <c r="G139" s="10">
        <v>188000</v>
      </c>
      <c r="H139" s="203"/>
      <c r="I139" s="10"/>
    </row>
    <row r="140" spans="1:9" x14ac:dyDescent="0.25">
      <c r="A140" s="188"/>
      <c r="B140" s="188" t="s">
        <v>1187</v>
      </c>
      <c r="C140" s="188"/>
      <c r="D140" s="188"/>
      <c r="E140" s="10">
        <v>10108</v>
      </c>
      <c r="F140" s="10">
        <v>3236816</v>
      </c>
      <c r="G140" s="10">
        <v>4001600</v>
      </c>
      <c r="H140" s="203"/>
      <c r="I140" s="10"/>
    </row>
    <row r="141" spans="1:9" x14ac:dyDescent="0.25">
      <c r="A141" s="188"/>
      <c r="B141" s="188" t="s">
        <v>1188</v>
      </c>
      <c r="C141" s="188" t="s">
        <v>622</v>
      </c>
      <c r="D141" s="188" t="s">
        <v>606</v>
      </c>
      <c r="E141" s="10">
        <v>48</v>
      </c>
      <c r="F141" s="10">
        <v>2200000</v>
      </c>
      <c r="G141" s="10">
        <v>26400000</v>
      </c>
      <c r="H141" s="203"/>
      <c r="I141" s="10"/>
    </row>
    <row r="142" spans="1:9" x14ac:dyDescent="0.25">
      <c r="A142" s="188"/>
      <c r="B142" s="188"/>
      <c r="C142" s="188" t="s">
        <v>626</v>
      </c>
      <c r="D142" s="188" t="s">
        <v>609</v>
      </c>
      <c r="E142" s="10">
        <v>48</v>
      </c>
      <c r="F142" s="10">
        <v>42400</v>
      </c>
      <c r="G142" s="10">
        <v>508800</v>
      </c>
      <c r="H142" s="203"/>
      <c r="I142" s="10"/>
    </row>
    <row r="143" spans="1:9" x14ac:dyDescent="0.25">
      <c r="A143" s="188"/>
      <c r="B143" s="188"/>
      <c r="C143" s="188" t="s">
        <v>625</v>
      </c>
      <c r="D143" s="188" t="s">
        <v>606</v>
      </c>
      <c r="E143" s="10">
        <v>48</v>
      </c>
      <c r="F143" s="10">
        <v>666668</v>
      </c>
      <c r="G143" s="10">
        <v>7999999.9999999674</v>
      </c>
      <c r="H143" s="203"/>
      <c r="I143" s="10"/>
    </row>
    <row r="144" spans="1:9" x14ac:dyDescent="0.25">
      <c r="A144" s="188"/>
      <c r="B144" s="188"/>
      <c r="C144" s="188" t="s">
        <v>1189</v>
      </c>
      <c r="D144" s="188" t="s">
        <v>606</v>
      </c>
      <c r="E144" s="10">
        <v>48</v>
      </c>
      <c r="F144" s="10">
        <v>600000</v>
      </c>
      <c r="G144" s="10">
        <v>7200000</v>
      </c>
      <c r="H144" s="203"/>
      <c r="I144" s="10"/>
    </row>
    <row r="145" spans="1:9" x14ac:dyDescent="0.25">
      <c r="A145" s="188"/>
      <c r="B145" s="188"/>
      <c r="C145" s="188" t="s">
        <v>1293</v>
      </c>
      <c r="D145" s="188" t="s">
        <v>606</v>
      </c>
      <c r="E145" s="10">
        <v>48</v>
      </c>
      <c r="F145" s="10">
        <v>200000</v>
      </c>
      <c r="G145" s="10">
        <v>2400000</v>
      </c>
      <c r="H145" s="203"/>
      <c r="I145" s="10"/>
    </row>
    <row r="146" spans="1:9" x14ac:dyDescent="0.25">
      <c r="A146" s="188"/>
      <c r="B146" s="188"/>
      <c r="C146" s="188" t="s">
        <v>1294</v>
      </c>
      <c r="D146" s="188" t="s">
        <v>606</v>
      </c>
      <c r="E146" s="10">
        <v>48</v>
      </c>
      <c r="F146" s="10">
        <v>2000000</v>
      </c>
      <c r="G146" s="10">
        <v>24000000</v>
      </c>
      <c r="H146" s="203"/>
      <c r="I146" s="10"/>
    </row>
    <row r="147" spans="1:9" x14ac:dyDescent="0.25">
      <c r="A147" s="188"/>
      <c r="B147" s="188" t="s">
        <v>1190</v>
      </c>
      <c r="C147" s="188"/>
      <c r="D147" s="188"/>
      <c r="E147" s="10">
        <v>288</v>
      </c>
      <c r="F147" s="10">
        <v>5709068</v>
      </c>
      <c r="G147" s="10">
        <v>68508799.99999997</v>
      </c>
      <c r="H147" s="203"/>
      <c r="I147" s="10"/>
    </row>
    <row r="148" spans="1:9" x14ac:dyDescent="0.25">
      <c r="A148" s="190" t="s">
        <v>728</v>
      </c>
      <c r="B148" s="190"/>
      <c r="C148" s="190"/>
      <c r="D148" s="190"/>
      <c r="E148" s="212">
        <v>20468</v>
      </c>
      <c r="F148" s="212">
        <v>102533136</v>
      </c>
      <c r="G148" s="212">
        <v>261882464</v>
      </c>
      <c r="H148" s="213"/>
      <c r="I148" s="212">
        <v>7706168</v>
      </c>
    </row>
    <row r="149" spans="1:9" x14ac:dyDescent="0.25">
      <c r="D149"/>
    </row>
    <row r="150" spans="1:9" x14ac:dyDescent="0.25">
      <c r="D150"/>
    </row>
    <row r="151" spans="1:9" x14ac:dyDescent="0.25">
      <c r="D151"/>
    </row>
    <row r="152" spans="1:9" x14ac:dyDescent="0.25">
      <c r="D152"/>
    </row>
    <row r="153" spans="1:9" x14ac:dyDescent="0.25">
      <c r="D153"/>
    </row>
    <row r="154" spans="1:9" x14ac:dyDescent="0.25">
      <c r="D154"/>
    </row>
    <row r="155" spans="1:9" x14ac:dyDescent="0.25">
      <c r="D155"/>
    </row>
    <row r="156" spans="1:9" x14ac:dyDescent="0.25">
      <c r="D156"/>
    </row>
    <row r="157" spans="1:9" x14ac:dyDescent="0.25">
      <c r="D157"/>
    </row>
    <row r="158" spans="1:9" x14ac:dyDescent="0.25">
      <c r="D158"/>
    </row>
    <row r="159" spans="1:9" x14ac:dyDescent="0.25">
      <c r="D159"/>
    </row>
    <row r="160" spans="1:9" x14ac:dyDescent="0.25">
      <c r="D160"/>
    </row>
    <row r="161" spans="4:4" x14ac:dyDescent="0.25">
      <c r="D161"/>
    </row>
    <row r="162" spans="4:4" x14ac:dyDescent="0.25">
      <c r="D162"/>
    </row>
    <row r="163" spans="4:4" x14ac:dyDescent="0.25">
      <c r="D163"/>
    </row>
    <row r="164" spans="4:4" x14ac:dyDescent="0.25">
      <c r="D164"/>
    </row>
    <row r="165" spans="4:4" x14ac:dyDescent="0.25">
      <c r="D165"/>
    </row>
    <row r="166" spans="4:4" x14ac:dyDescent="0.25">
      <c r="D166"/>
    </row>
    <row r="167" spans="4:4" x14ac:dyDescent="0.25">
      <c r="D167"/>
    </row>
    <row r="168" spans="4:4" x14ac:dyDescent="0.25">
      <c r="D168"/>
    </row>
    <row r="169" spans="4:4" x14ac:dyDescent="0.25">
      <c r="D169"/>
    </row>
    <row r="170" spans="4:4" x14ac:dyDescent="0.25">
      <c r="D170"/>
    </row>
    <row r="171" spans="4:4" x14ac:dyDescent="0.25">
      <c r="D171"/>
    </row>
    <row r="172" spans="4:4" x14ac:dyDescent="0.25">
      <c r="D172"/>
    </row>
    <row r="173" spans="4:4" x14ac:dyDescent="0.25">
      <c r="D173"/>
    </row>
    <row r="174" spans="4:4" x14ac:dyDescent="0.25">
      <c r="D174"/>
    </row>
    <row r="175" spans="4:4" x14ac:dyDescent="0.25">
      <c r="D175"/>
    </row>
    <row r="176" spans="4:4" x14ac:dyDescent="0.25">
      <c r="D176"/>
    </row>
    <row r="177" spans="4:4" x14ac:dyDescent="0.25">
      <c r="D177"/>
    </row>
    <row r="178" spans="4:4" x14ac:dyDescent="0.25">
      <c r="D178"/>
    </row>
  </sheetData>
  <pageMargins left="0.7" right="0.7" top="0.75" bottom="0.75" header="0.3" footer="0.3"/>
  <pageSetup paperSize="9" orientation="portrait"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FFC000"/>
  </sheetPr>
  <dimension ref="A2:BD187"/>
  <sheetViews>
    <sheetView topLeftCell="B1" workbookViewId="0">
      <selection activeCell="I9" sqref="I9"/>
    </sheetView>
  </sheetViews>
  <sheetFormatPr defaultRowHeight="15" x14ac:dyDescent="0.25"/>
  <cols>
    <col min="1" max="1" width="41.28515625" customWidth="1"/>
    <col min="2" max="2" width="31.85546875" customWidth="1"/>
    <col min="3" max="3" width="39.85546875" style="2" customWidth="1"/>
    <col min="4" max="4" width="17" style="182" customWidth="1"/>
    <col min="5" max="5" width="15.5703125" bestFit="1" customWidth="1"/>
    <col min="6" max="6" width="17.140625" customWidth="1"/>
    <col min="7" max="7" width="15.28515625" customWidth="1"/>
    <col min="8" max="8" width="12.7109375" customWidth="1"/>
    <col min="9" max="9" width="11.140625" bestFit="1" customWidth="1"/>
    <col min="10" max="10" width="20.28515625" bestFit="1" customWidth="1"/>
    <col min="11" max="11" width="12.7109375" bestFit="1" customWidth="1"/>
    <col min="12" max="13" width="10.140625" bestFit="1" customWidth="1"/>
    <col min="14" max="14" width="11.140625" bestFit="1" customWidth="1"/>
    <col min="15" max="16" width="10.140625" bestFit="1" customWidth="1"/>
    <col min="17" max="17" width="13.140625" bestFit="1" customWidth="1"/>
    <col min="18" max="19" width="11.140625" bestFit="1" customWidth="1"/>
    <col min="20" max="20" width="10.140625" bestFit="1" customWidth="1"/>
    <col min="21" max="21" width="13.140625" bestFit="1" customWidth="1"/>
    <col min="22" max="22" width="10.28515625" bestFit="1" customWidth="1"/>
    <col min="23" max="24" width="10.140625" bestFit="1" customWidth="1"/>
    <col min="25" max="25" width="13.140625" bestFit="1" customWidth="1"/>
    <col min="26" max="26" width="10.28515625" bestFit="1" customWidth="1"/>
    <col min="27" max="28" width="10.140625" bestFit="1" customWidth="1"/>
    <col min="29" max="29" width="13.140625" bestFit="1" customWidth="1"/>
    <col min="30" max="30" width="10.28515625" bestFit="1" customWidth="1"/>
    <col min="31" max="32" width="10.140625" bestFit="1" customWidth="1"/>
    <col min="33" max="33" width="13.140625" bestFit="1" customWidth="1"/>
    <col min="34" max="34" width="11.140625" bestFit="1" customWidth="1"/>
    <col min="35" max="35" width="13.140625" bestFit="1" customWidth="1"/>
    <col min="36" max="36" width="12.7109375" bestFit="1" customWidth="1"/>
    <col min="37" max="37" width="9" bestFit="1" customWidth="1"/>
    <col min="38" max="41" width="11" bestFit="1" customWidth="1"/>
  </cols>
  <sheetData>
    <row r="2" spans="1:56" x14ac:dyDescent="0.25">
      <c r="A2" s="187" t="s">
        <v>5</v>
      </c>
      <c r="B2" s="188" t="s" vm="1443">
        <v>777</v>
      </c>
    </row>
    <row r="3" spans="1:56" x14ac:dyDescent="0.25">
      <c r="A3" s="187" t="s">
        <v>244</v>
      </c>
      <c r="B3" s="188" t="s" vm="185">
        <v>777</v>
      </c>
      <c r="C3" s="215"/>
    </row>
    <row r="4" spans="1:56" x14ac:dyDescent="0.25">
      <c r="B4" s="205"/>
      <c r="C4" s="216"/>
      <c r="D4" s="206"/>
      <c r="E4" s="206"/>
      <c r="F4" s="206"/>
      <c r="G4" s="206"/>
    </row>
    <row r="5" spans="1:56" s="228" customFormat="1" ht="41.25" customHeight="1" x14ac:dyDescent="0.25">
      <c r="A5" s="225" t="s">
        <v>750</v>
      </c>
      <c r="B5" s="225" t="s">
        <v>715</v>
      </c>
      <c r="C5" s="226" t="s">
        <v>753</v>
      </c>
      <c r="D5" s="226" t="s">
        <v>717</v>
      </c>
      <c r="E5" s="226" t="s">
        <v>745</v>
      </c>
      <c r="F5" s="226" t="s">
        <v>746</v>
      </c>
      <c r="G5" s="226" t="s">
        <v>747</v>
      </c>
      <c r="H5" s="226" t="s">
        <v>748</v>
      </c>
      <c r="I5" s="226" t="s">
        <v>749</v>
      </c>
      <c r="J5" s="227"/>
      <c r="K5" s="227"/>
      <c r="L5" s="227"/>
      <c r="M5" s="227"/>
      <c r="N5" s="227"/>
      <c r="O5" s="227"/>
      <c r="P5" s="227"/>
      <c r="Q5" s="227"/>
      <c r="R5" s="227"/>
      <c r="S5" s="227"/>
      <c r="T5" s="227"/>
      <c r="U5" s="227"/>
      <c r="V5" s="227"/>
      <c r="W5" s="227"/>
      <c r="X5" s="227"/>
      <c r="Y5" s="227"/>
      <c r="Z5" s="227"/>
      <c r="AA5" s="227"/>
      <c r="AB5" s="227"/>
      <c r="AC5" s="227"/>
      <c r="AD5" s="227"/>
      <c r="AE5" s="227"/>
      <c r="AF5" s="227"/>
      <c r="AG5" s="227"/>
      <c r="AH5" s="227"/>
      <c r="AI5" s="227"/>
      <c r="AJ5" s="227"/>
      <c r="AK5" s="227"/>
      <c r="AL5" s="227"/>
      <c r="AM5" s="227"/>
      <c r="AN5" s="227"/>
      <c r="AO5" s="227"/>
      <c r="AP5" s="227"/>
      <c r="AQ5" s="227"/>
      <c r="AR5" s="227"/>
      <c r="AS5" s="227"/>
      <c r="AT5" s="227"/>
      <c r="AU5" s="227"/>
      <c r="AV5" s="227"/>
      <c r="AW5" s="227"/>
      <c r="AX5" s="227"/>
      <c r="AY5" s="227"/>
      <c r="AZ5" s="227"/>
      <c r="BA5" s="227"/>
      <c r="BB5" s="227"/>
      <c r="BC5" s="227"/>
      <c r="BD5" s="227"/>
    </row>
    <row r="6" spans="1:56" x14ac:dyDescent="0.25">
      <c r="A6" s="223" t="str" vm="186">
        <f>CUBEMEMBER("ThisWorkbookDataModel","[rArtikli_HR_Analiza].[StavkaKategorija.1].&amp;[2.32. Потрошени суровини и материјали]")</f>
        <v>2.32. Потрошени суровини и материјали</v>
      </c>
      <c r="B6" s="224" t="e">
        <f>CUBEMEMBER("ThisWorkbookDataModel",{"[rArtikli_HR_Analiza].[StavkaKategorija.1].&amp;[2.32. Потрошени суровини и материјали]","[rArtikli_HR_Analiza].[Категорија Артикл].&amp;[Канцелариски материјал]"})</f>
        <v>#N/A</v>
      </c>
      <c r="C6" s="204" t="e">
        <f>CUBEMEMBER("ThisWorkbookDataModel",{"[rArtikli_HR_Analiza].[StavkaKategorija.1].&amp;[2.32. Потрошени суровини и материјали]","[rArtikli_HR_Analiza].[Категорија Артикл].&amp;[Канцелариски материјал]","[rArtikli_HR_Analiza].[Ставка].&amp;[Останат канцелариски материјал]"})</f>
        <v>#N/A</v>
      </c>
      <c r="D6" s="190" t="s">
        <v>756</v>
      </c>
      <c r="E6" s="10">
        <v>170</v>
      </c>
      <c r="F6" s="10">
        <v>300</v>
      </c>
      <c r="G6" s="10">
        <v>51000</v>
      </c>
      <c r="H6" s="203">
        <v>0.18</v>
      </c>
      <c r="I6" s="10">
        <v>120000</v>
      </c>
    </row>
    <row r="7" spans="1:56" x14ac:dyDescent="0.25">
      <c r="A7" s="223"/>
      <c r="B7" s="224"/>
      <c r="C7" s="204" t="e">
        <f>CUBEMEMBER("ThisWorkbookDataModel",{"[rArtikli_HR_Analiza].[StavkaKategorija.1].&amp;[2.32. Потрошени суровини и материјали]","[rArtikli_HR_Analiza].[Категорија Артикл].&amp;[Канцелариски материјал]","[rArtikli_HR_Analiza].[Ставка].&amp;[Тонери]"})</f>
        <v>#N/A</v>
      </c>
      <c r="D7" s="190" t="s">
        <v>755</v>
      </c>
      <c r="E7" s="10">
        <v>4300</v>
      </c>
      <c r="F7" s="10">
        <v>200</v>
      </c>
      <c r="G7" s="10">
        <v>860000</v>
      </c>
      <c r="H7" s="203">
        <v>0.18</v>
      </c>
      <c r="I7" s="10">
        <v>1014800</v>
      </c>
    </row>
    <row r="8" spans="1:56" x14ac:dyDescent="0.25">
      <c r="A8" s="223"/>
      <c r="B8" s="224"/>
      <c r="C8" s="204" t="e">
        <f>CUBEMEMBER("ThisWorkbookDataModel",{"[rArtikli_HR_Analiza].[StavkaKategorija.1].&amp;[2.32. Потрошени суровини и материјали]","[rArtikli_HR_Analiza].[Категорија Артикл].&amp;[Канцелариски материјал]","[rArtikli_HR_Analiza].[Ставка].&amp;[Хартија]"})</f>
        <v>#N/A</v>
      </c>
      <c r="D8" s="190" t="s">
        <v>755</v>
      </c>
      <c r="E8" s="10">
        <v>4000</v>
      </c>
      <c r="F8" s="10">
        <v>100</v>
      </c>
      <c r="G8" s="10">
        <v>400000</v>
      </c>
      <c r="H8" s="203">
        <v>0.18</v>
      </c>
      <c r="I8" s="10">
        <v>472000</v>
      </c>
    </row>
    <row r="9" spans="1:56" x14ac:dyDescent="0.25">
      <c r="A9" s="223"/>
      <c r="B9" s="224" t="e">
        <f>CUBEMEMBER("ThisWorkbookDataModel",{"[rArtikli_HR_Analiza].[StavkaKategorija.1].&amp;[2.32. Потрошени суровини и материјали]","[rArtikli_HR_Analiza].[Категорија Артикл].&amp;[Канцелариски материјал]"},"Канцелариски материјал Total")</f>
        <v>#N/A</v>
      </c>
      <c r="C9" s="224"/>
      <c r="D9" s="217"/>
      <c r="E9" s="218">
        <v>8470</v>
      </c>
      <c r="F9" s="218">
        <v>600</v>
      </c>
      <c r="G9" s="219">
        <v>1311000</v>
      </c>
      <c r="H9" s="220">
        <v>0.54</v>
      </c>
      <c r="I9" s="219">
        <v>1606800</v>
      </c>
    </row>
    <row r="10" spans="1:56" x14ac:dyDescent="0.25">
      <c r="A10" s="223"/>
      <c r="B10" s="224" t="e">
        <f>CUBEMEMBER("ThisWorkbookDataModel",{"[rArtikli_HR_Analiza].[StavkaKategorija.1].&amp;[2.32. Потрошени суровини и материјали]","[rArtikli_HR_Analiza].[Категорија Артикл].&amp;[Комуналии]"})</f>
        <v>#N/A</v>
      </c>
      <c r="C10" s="204" t="e">
        <f>CUBEMEMBER("ThisWorkbookDataModel",{"[rArtikli_HR_Analiza].[StavkaKategorija.1].&amp;[2.32. Потрошени суровини и материјали]","[rArtikli_HR_Analiza].[Категорија Артикл].&amp;[Комуналии]","[rArtikli_HR_Analiza].[Ставка].&amp;[Потрошена електрична енергија]"})</f>
        <v>#N/A</v>
      </c>
      <c r="D10" s="190" t="s">
        <v>606</v>
      </c>
      <c r="E10" s="10">
        <v>12</v>
      </c>
      <c r="F10" s="10">
        <v>291667</v>
      </c>
      <c r="G10" s="10">
        <v>3500000.3999999883</v>
      </c>
      <c r="H10" s="203"/>
      <c r="I10" s="10">
        <v>3500000</v>
      </c>
    </row>
    <row r="11" spans="1:56" x14ac:dyDescent="0.25">
      <c r="A11" s="223"/>
      <c r="B11" s="224" t="e">
        <f>CUBEMEMBER("ThisWorkbookDataModel",{"[rArtikli_HR_Analiza].[StavkaKategorija.1].&amp;[2.32. Потрошени суровини и материјали]","[rArtikli_HR_Analiza].[Категорија Артикл].&amp;[Комуналии]"},"Комуналии Total")</f>
        <v>#N/A</v>
      </c>
      <c r="C11" s="224"/>
      <c r="D11" s="217"/>
      <c r="E11" s="218">
        <v>12</v>
      </c>
      <c r="F11" s="218">
        <v>291667</v>
      </c>
      <c r="G11" s="219">
        <v>3500000.3999999883</v>
      </c>
      <c r="H11" s="220"/>
      <c r="I11" s="219">
        <v>3500000</v>
      </c>
    </row>
    <row r="12" spans="1:56" x14ac:dyDescent="0.25">
      <c r="A12" s="223"/>
      <c r="B12" s="224" t="e">
        <f>CUBEMEMBER("ThisWorkbookDataModel",{"[rArtikli_HR_Analiza].[StavkaKategorija.1].&amp;[2.32. Потрошени суровини и материјали]","[rArtikli_HR_Analiza].[Категорија Артикл].&amp;[Потрошен материјал]"})</f>
        <v>#N/A</v>
      </c>
      <c r="C12" s="204" t="e">
        <f>CUBEMEMBER("ThisWorkbookDataModel",{"[rArtikli_HR_Analiza].[StavkaKategorija.1].&amp;[2.32. Потрошени суровини и материјали]","[rArtikli_HR_Analiza].[Категорија Артикл].&amp;[Потрошен материјал]","[rArtikli_HR_Analiza].[Ставка].&amp;[Вреќи за отпад, ПВЦ, големи од  90 до 120 литри, од мин. 10 во пакување]"})</f>
        <v>#N/A</v>
      </c>
      <c r="D12" s="190" t="s">
        <v>609</v>
      </c>
      <c r="E12" s="10">
        <v>590</v>
      </c>
      <c r="F12" s="10">
        <v>250</v>
      </c>
      <c r="G12" s="10">
        <v>147500</v>
      </c>
      <c r="H12" s="203">
        <v>0.18</v>
      </c>
      <c r="I12" s="10">
        <v>174050</v>
      </c>
    </row>
    <row r="13" spans="1:56" x14ac:dyDescent="0.25">
      <c r="A13" s="223"/>
      <c r="B13" s="224"/>
      <c r="C13" s="204" t="e">
        <f>CUBEMEMBER("ThisWorkbookDataModel",{"[rArtikli_HR_Analiza].[StavkaKategorija.1].&amp;[2.32. Потрошени суровини и материјали]","[rArtikli_HR_Analiza].[Категорија Артикл].&amp;[Потрошен материјал]","[rArtikli_HR_Analiza].[Ставка].&amp;[Крпи за бришење со моќ на впивање на течност, со димензии 200x190x4 мм +/- 20%]"})</f>
        <v>#N/A</v>
      </c>
      <c r="D13" s="190" t="s">
        <v>609</v>
      </c>
      <c r="E13" s="10">
        <v>220</v>
      </c>
      <c r="F13" s="10">
        <v>75</v>
      </c>
      <c r="G13" s="10">
        <v>16500</v>
      </c>
      <c r="H13" s="203">
        <v>0.18</v>
      </c>
      <c r="I13" s="10">
        <v>19470</v>
      </c>
    </row>
    <row r="14" spans="1:56" x14ac:dyDescent="0.25">
      <c r="A14" s="223"/>
      <c r="B14" s="224"/>
      <c r="C14" s="204" t="e">
        <f>CUBEMEMBER("ThisWorkbookDataModel",{"[rArtikli_HR_Analiza].[StavkaKategorija.1].&amp;[2.32. Потрошени суровини и материјали]","[rArtikli_HR_Analiza].[Категорија Артикл].&amp;[Потрошен материјал]","[rArtikli_HR_Analiza].[Ставка].&amp;[Крпи за чистење на маси и други површини (микрофибер), со димензии330х330 мм +/- 20%]"})</f>
        <v>#N/A</v>
      </c>
      <c r="D14" s="190" t="s">
        <v>609</v>
      </c>
      <c r="E14" s="10">
        <v>220</v>
      </c>
      <c r="F14" s="10">
        <v>92</v>
      </c>
      <c r="G14" s="10">
        <v>20240</v>
      </c>
      <c r="H14" s="203">
        <v>0.18</v>
      </c>
      <c r="I14" s="10">
        <v>23883</v>
      </c>
    </row>
    <row r="15" spans="1:56" x14ac:dyDescent="0.25">
      <c r="A15" s="223"/>
      <c r="B15" s="224"/>
      <c r="C15" s="204" t="e">
        <f>CUBEMEMBER("ThisWorkbookDataModel",{"[rArtikli_HR_Analiza].[StavkaKategorija.1].&amp;[2.32. Потрошени суровини и материјали]","[rArtikli_HR_Analiza].[Категорија Артикл].&amp;[Потрошен материјал]","[rArtikli_HR_Analiza].[Ставка].&amp;[Лопатки за ѓубре]"})</f>
        <v>#N/A</v>
      </c>
      <c r="D15" s="190" t="s">
        <v>609</v>
      </c>
      <c r="E15" s="10">
        <v>67</v>
      </c>
      <c r="F15" s="10">
        <v>60</v>
      </c>
      <c r="G15" s="10">
        <v>4020</v>
      </c>
      <c r="H15" s="203">
        <v>0.18</v>
      </c>
      <c r="I15" s="10">
        <v>4744</v>
      </c>
    </row>
    <row r="16" spans="1:56" x14ac:dyDescent="0.25">
      <c r="A16" s="223"/>
      <c r="B16" s="224"/>
      <c r="C16" s="204" t="e">
        <f>CUBEMEMBER("ThisWorkbookDataModel",{"[rArtikli_HR_Analiza].[StavkaKategorija.1].&amp;[2.32. Потрошени суровини и материјали]","[rArtikli_HR_Analiza].[Категорија Артикл].&amp;[Потрошен материјал]","[rArtikli_HR_Analiza].[Ставка].&amp;[Метли]"})</f>
        <v>#N/A</v>
      </c>
      <c r="D16" s="190" t="s">
        <v>609</v>
      </c>
      <c r="E16" s="10">
        <v>59</v>
      </c>
      <c r="F16" s="10">
        <v>108</v>
      </c>
      <c r="G16" s="10">
        <v>6372</v>
      </c>
      <c r="H16" s="203">
        <v>0.18</v>
      </c>
      <c r="I16" s="10">
        <v>7519</v>
      </c>
    </row>
    <row r="17" spans="1:9" x14ac:dyDescent="0.25">
      <c r="A17" s="223"/>
      <c r="B17" s="224"/>
      <c r="C17" s="204" t="e">
        <f>CUBEMEMBER("ThisWorkbookDataModel",{"[rArtikli_HR_Analiza].[StavkaKategorija.1].&amp;[2.32. Потрошени суровини и материјали]","[rArtikli_HR_Analiza].[Категорија Артикл].&amp;[Потрошен материјал]","[rArtikli_HR_Analiza].[Ставка].&amp;[ПВЦ Кофа за цедење на џогер мин. 10 литри]"})</f>
        <v>#N/A</v>
      </c>
      <c r="D17" s="190" t="s">
        <v>609</v>
      </c>
      <c r="E17" s="10">
        <v>270</v>
      </c>
      <c r="F17" s="10">
        <v>150</v>
      </c>
      <c r="G17" s="10">
        <v>40500</v>
      </c>
      <c r="H17" s="203">
        <v>0.18</v>
      </c>
      <c r="I17" s="10">
        <v>47790</v>
      </c>
    </row>
    <row r="18" spans="1:9" x14ac:dyDescent="0.25">
      <c r="A18" s="223"/>
      <c r="B18" s="224"/>
      <c r="C18" s="204" t="e">
        <f>CUBEMEMBER("ThisWorkbookDataModel",{"[rArtikli_HR_Analiza].[StavkaKategorija.1].&amp;[2.32. Потрошени суровини и материјали]","[rArtikli_HR_Analiza].[Категорија Артикл].&amp;[Потрошен материјал]","[rArtikli_HR_Analiza].[Ставка].&amp;[Ракавици]"})</f>
        <v>#N/A</v>
      </c>
      <c r="D18" s="190" t="s">
        <v>609</v>
      </c>
      <c r="E18" s="10">
        <v>190</v>
      </c>
      <c r="F18" s="10">
        <v>80</v>
      </c>
      <c r="G18" s="10">
        <v>15200</v>
      </c>
      <c r="H18" s="203">
        <v>0.18</v>
      </c>
      <c r="I18" s="10">
        <v>17936</v>
      </c>
    </row>
    <row r="19" spans="1:9" x14ac:dyDescent="0.25">
      <c r="A19" s="223"/>
      <c r="B19" s="224"/>
      <c r="C19" s="204" t="e">
        <f>CUBEMEMBER("ThisWorkbookDataModel",{"[rArtikli_HR_Analiza].[StavkaKategorija.1].&amp;[2.32. Потрошени суровини и материјали]","[rArtikli_HR_Analiza].[Категорија Артикл].&amp;[Потрошен материјал]","[rArtikli_HR_Analiza].[Ставка].&amp;[Ракавици гумени хигиеничарски големина М,L,XL]"})</f>
        <v>#N/A</v>
      </c>
      <c r="D19" s="190" t="s">
        <v>609</v>
      </c>
      <c r="E19" s="10" t="s">
        <v>754</v>
      </c>
      <c r="F19" s="10">
        <v>100</v>
      </c>
      <c r="G19" s="10">
        <v>25000</v>
      </c>
      <c r="H19" s="203">
        <v>0.18</v>
      </c>
      <c r="I19" s="10">
        <v>29500</v>
      </c>
    </row>
    <row r="20" spans="1:9" x14ac:dyDescent="0.25">
      <c r="A20" s="223"/>
      <c r="B20" s="224"/>
      <c r="C20" s="204" t="e">
        <f>CUBEMEMBER("ThisWorkbookDataModel",{"[rArtikli_HR_Analiza].[StavkaKategorija.1].&amp;[2.32. Потрошени суровини и материјали]","[rArtikli_HR_Analiza].[Категорија Артикл].&amp;[Потрошен материјал]","[rArtikli_HR_Analiza].[Ставка].&amp;[Резерва за џогер пуцвал]"})</f>
        <v>#N/A</v>
      </c>
      <c r="D20" s="190" t="s">
        <v>609</v>
      </c>
      <c r="E20" s="10">
        <v>50</v>
      </c>
      <c r="F20" s="10">
        <v>150</v>
      </c>
      <c r="G20" s="10">
        <v>7500</v>
      </c>
      <c r="H20" s="203">
        <v>0.18</v>
      </c>
      <c r="I20" s="10">
        <v>8850</v>
      </c>
    </row>
    <row r="21" spans="1:9" x14ac:dyDescent="0.25">
      <c r="A21" s="223"/>
      <c r="B21" s="224"/>
      <c r="C21" s="204" t="e">
        <f>CUBEMEMBER("ThisWorkbookDataModel",{"[rArtikli_HR_Analiza].[StavkaKategorija.1].&amp;[2.32. Потрошени суровини и материјали]","[rArtikli_HR_Analiza].[Категорија Артикл].&amp;[Потрошен материјал]","[rArtikli_HR_Analiza].[Ставка].&amp;[Средство за миење на садови: 5-15% анјонски активни материи, &lt; 5% нејонски активни материи, парфем, 750 -1000мл]"})</f>
        <v>#N/A</v>
      </c>
      <c r="D21" s="190" t="s">
        <v>609</v>
      </c>
      <c r="E21" s="10">
        <v>320</v>
      </c>
      <c r="F21" s="10">
        <v>120</v>
      </c>
      <c r="G21" s="10">
        <v>38400</v>
      </c>
      <c r="H21" s="203">
        <v>0.18</v>
      </c>
      <c r="I21" s="10">
        <v>45312</v>
      </c>
    </row>
    <row r="22" spans="1:9" x14ac:dyDescent="0.25">
      <c r="A22" s="223"/>
      <c r="B22" s="224"/>
      <c r="C22" s="204" t="e">
        <f>CUBEMEMBER("ThisWorkbookDataModel",{"[rArtikli_HR_Analiza].[StavkaKategorija.1].&amp;[2.32. Потрошени суровини и материјали]","[rArtikli_HR_Analiza].[Категорија Артикл].&amp;[Потрошен материјал]","[rArtikli_HR_Analiza].[Ставка].&amp;[Средство за чистење на плочки, пакување од  0,5л - 1 литар]"})</f>
        <v>#N/A</v>
      </c>
      <c r="D22" s="190" t="s">
        <v>609</v>
      </c>
      <c r="E22" s="10">
        <v>330</v>
      </c>
      <c r="F22" s="10">
        <v>150</v>
      </c>
      <c r="G22" s="10">
        <v>49500</v>
      </c>
      <c r="H22" s="203">
        <v>0.18</v>
      </c>
      <c r="I22" s="10">
        <v>58410</v>
      </c>
    </row>
    <row r="23" spans="1:9" x14ac:dyDescent="0.25">
      <c r="A23" s="223"/>
      <c r="B23" s="224"/>
      <c r="C23" s="204" t="e">
        <f>CUBEMEMBER("ThisWorkbookDataModel",{"[rArtikli_HR_Analiza].[StavkaKategorija.1].&amp;[2.32. Потрошени суровини и материјали]","[rArtikli_HR_Analiza].[Категорија Артикл].&amp;[Потрошен материјал]","[rArtikli_HR_Analiza].[Ставка].&amp;[Средство за чистење на подови  кое се состои најмалку од &lt;5% Non-Ionic Surfactants, Perfume, Benzisothiazolinone, алкохол, боја]"})</f>
        <v>#N/A</v>
      </c>
      <c r="D23" s="190" t="s">
        <v>609</v>
      </c>
      <c r="E23" s="10">
        <v>315</v>
      </c>
      <c r="F23" s="10">
        <v>40</v>
      </c>
      <c r="G23" s="10">
        <v>12600</v>
      </c>
      <c r="H23" s="203">
        <v>0.18</v>
      </c>
      <c r="I23" s="10">
        <v>14868</v>
      </c>
    </row>
    <row r="24" spans="1:9" x14ac:dyDescent="0.25">
      <c r="A24" s="223"/>
      <c r="B24" s="224"/>
      <c r="C24" s="204" t="e">
        <f>CUBEMEMBER("ThisWorkbookDataModel",{"[rArtikli_HR_Analiza].[StavkaKategorija.1].&amp;[2.32. Потрошени суровини и материјали]","[rArtikli_HR_Analiza].[Категорија Артикл].&amp;[Потрошен материјал]","[rArtikli_HR_Analiza].[Ставка].&amp;[Средство за чистење на тоалет санитарии антибигор против наслаги од каменец, рѓа и сапун, &lt;5% ензиоактиви нејонски, тензиоактиви анфотери, фосфонати, парфем, 750 -1000мл.]"})</f>
        <v>#N/A</v>
      </c>
      <c r="D24" s="190" t="s">
        <v>609</v>
      </c>
      <c r="E24" s="10">
        <v>350</v>
      </c>
      <c r="F24" s="10">
        <v>200</v>
      </c>
      <c r="G24" s="10">
        <v>70000</v>
      </c>
      <c r="H24" s="203">
        <v>0.18</v>
      </c>
      <c r="I24" s="10">
        <v>82600</v>
      </c>
    </row>
    <row r="25" spans="1:9" x14ac:dyDescent="0.25">
      <c r="A25" s="223"/>
      <c r="B25" s="224"/>
      <c r="C25" s="204" t="e">
        <f>CUBEMEMBER("ThisWorkbookDataModel",{"[rArtikli_HR_Analiza].[StavkaKategorija.1].&amp;[2.32. Потрошени суровини и материјали]","[rArtikli_HR_Analiza].[Категорија Артикл].&amp;[Потрошен материјал]","[rArtikli_HR_Analiza].[Ставка].&amp;[Средство за чистење стаклени површини со пумпа распрскувач кое се состои најмалку од &lt;5% Non-Ionic Surfactants, Perfume, Benzisothiazolinone]"})</f>
        <v>#N/A</v>
      </c>
      <c r="D25" s="190" t="s">
        <v>609</v>
      </c>
      <c r="E25" s="10">
        <v>250</v>
      </c>
      <c r="F25" s="10">
        <v>150</v>
      </c>
      <c r="G25" s="10">
        <v>37500</v>
      </c>
      <c r="H25" s="203">
        <v>0.18</v>
      </c>
      <c r="I25" s="10">
        <v>44250</v>
      </c>
    </row>
    <row r="26" spans="1:9" x14ac:dyDescent="0.25">
      <c r="A26" s="223"/>
      <c r="B26" s="224"/>
      <c r="C26" s="204" t="e">
        <f>CUBEMEMBER("ThisWorkbookDataModel",{"[rArtikli_HR_Analiza].[StavkaKategorija.1].&amp;[2.32. Потрошени суровини и материјали]","[rArtikli_HR_Analiza].[Категорија Артикл].&amp;[Потрошен материјал]","[rArtikli_HR_Analiza].[Ставка].&amp;[Сунѓери со абразивна подлога за миење на садови, димензии мин. 9х5 см]"})</f>
        <v>#N/A</v>
      </c>
      <c r="D26" s="190" t="s">
        <v>609</v>
      </c>
      <c r="E26" s="10">
        <v>168</v>
      </c>
      <c r="F26" s="10">
        <v>29</v>
      </c>
      <c r="G26" s="10">
        <v>4872</v>
      </c>
      <c r="H26" s="203">
        <v>0.18</v>
      </c>
      <c r="I26" s="10">
        <v>5749</v>
      </c>
    </row>
    <row r="27" spans="1:9" x14ac:dyDescent="0.25">
      <c r="A27" s="223"/>
      <c r="B27" s="224"/>
      <c r="C27" s="204" t="e">
        <f>CUBEMEMBER("ThisWorkbookDataModel",{"[rArtikli_HR_Analiza].[StavkaKategorija.1].&amp;[2.32. Потрошени суровини и материјали]","[rArtikli_HR_Analiza].[Категорија Артикл].&amp;[Потрошен материјал]","[rArtikli_HR_Analiza].[Ставка].&amp;[Течен сапун за миење на раце со ph неутрален фактор, антибактериски, во пакување од 300 мл до 1 литар со пумпица]"})</f>
        <v>#N/A</v>
      </c>
      <c r="D27" s="190" t="s">
        <v>609</v>
      </c>
      <c r="E27" s="10">
        <v>270</v>
      </c>
      <c r="F27" s="10">
        <v>80</v>
      </c>
      <c r="G27" s="10">
        <v>21600</v>
      </c>
      <c r="H27" s="203">
        <v>0.18</v>
      </c>
      <c r="I27" s="10">
        <v>25488</v>
      </c>
    </row>
    <row r="28" spans="1:9" x14ac:dyDescent="0.25">
      <c r="A28" s="223"/>
      <c r="B28" s="224"/>
      <c r="C28" s="204" t="e">
        <f>CUBEMEMBER("ThisWorkbookDataModel",{"[rArtikli_HR_Analiza].[StavkaKategorija.1].&amp;[2.32. Потрошени суровини и материјали]","[rArtikli_HR_Analiza].[Категорија Артикл].&amp;[Потрошен материјал]","[rArtikli_HR_Analiza].[Ставка].&amp;[Трослојна абсорбентна хартија 100% целулоза, бела боја со најмалку 100 ливчиња во ролна со димензии најмалку 230 х 100 mm во поединечно пакување во кеса со должина на хартија во ролната од најмалку 25 метри]"})</f>
        <v>#N/A</v>
      </c>
      <c r="D28" s="190" t="s">
        <v>609</v>
      </c>
      <c r="E28" s="10">
        <v>599</v>
      </c>
      <c r="F28" s="10">
        <v>180</v>
      </c>
      <c r="G28" s="10">
        <v>107820</v>
      </c>
      <c r="H28" s="203">
        <v>0.18</v>
      </c>
      <c r="I28" s="10">
        <v>127228</v>
      </c>
    </row>
    <row r="29" spans="1:9" x14ac:dyDescent="0.25">
      <c r="A29" s="223"/>
      <c r="B29" s="224"/>
      <c r="C29" s="204" t="e">
        <f>CUBEMEMBER("ThisWorkbookDataModel",{"[rArtikli_HR_Analiza].[StavkaKategorija.1].&amp;[2.32. Потрошени суровини и материјали]","[rArtikli_HR_Analiza].[Категорија Артикл].&amp;[Потрошен материјал]","[rArtikli_HR_Analiza].[Ставка].&amp;[Трослојна тоалетна хартија во ролна 100% целулоза, бела боја со најмалку 200 листови со димензии најмалку 100 х 205mm]"})</f>
        <v>#N/A</v>
      </c>
      <c r="D29" s="190" t="s">
        <v>609</v>
      </c>
      <c r="E29" s="10">
        <v>590</v>
      </c>
      <c r="F29" s="10">
        <v>290</v>
      </c>
      <c r="G29" s="10">
        <v>171100</v>
      </c>
      <c r="H29" s="203">
        <v>0.18</v>
      </c>
      <c r="I29" s="10">
        <v>201898</v>
      </c>
    </row>
    <row r="30" spans="1:9" x14ac:dyDescent="0.25">
      <c r="A30" s="223"/>
      <c r="B30" s="224"/>
      <c r="C30" s="204" t="e">
        <f>CUBEMEMBER("ThisWorkbookDataModel",{"[rArtikli_HR_Analiza].[StavkaKategorija.1].&amp;[2.32. Потрошени суровини и материјали]","[rArtikli_HR_Analiza].[Категорија Артикл].&amp;[Потрошен материјал]","[rArtikli_HR_Analiza].[Ставка].&amp;[Четка за WC шоља со пластична рачка]"})</f>
        <v>#N/A</v>
      </c>
      <c r="D30" s="190" t="s">
        <v>609</v>
      </c>
      <c r="E30" s="10">
        <v>50</v>
      </c>
      <c r="F30" s="10">
        <v>100</v>
      </c>
      <c r="G30" s="10">
        <v>5000</v>
      </c>
      <c r="H30" s="203">
        <v>0.18</v>
      </c>
      <c r="I30" s="10">
        <v>5900</v>
      </c>
    </row>
    <row r="31" spans="1:9" x14ac:dyDescent="0.25">
      <c r="A31" s="223"/>
      <c r="B31" s="224"/>
      <c r="C31" s="204" t="e">
        <f>CUBEMEMBER("ThisWorkbookDataModel",{"[rArtikli_HR_Analiza].[StavkaKategorija.1].&amp;[2.32. Потрошени суровини и материјали]","[rArtikli_HR_Analiza].[Категорија Артикл].&amp;[Потрошен материјал]","[rArtikli_HR_Analiza].[Ставка].&amp;[Четка за собирање на пајажина со димензии на рачка од 80 см до 120 см]"})</f>
        <v>#N/A</v>
      </c>
      <c r="D31" s="190" t="s">
        <v>609</v>
      </c>
      <c r="E31" s="10">
        <v>35</v>
      </c>
      <c r="F31" s="10">
        <v>108</v>
      </c>
      <c r="G31" s="10">
        <v>3780</v>
      </c>
      <c r="H31" s="203">
        <v>0.18</v>
      </c>
      <c r="I31" s="10">
        <v>4460</v>
      </c>
    </row>
    <row r="32" spans="1:9" x14ac:dyDescent="0.25">
      <c r="A32" s="223"/>
      <c r="B32" s="224"/>
      <c r="C32" s="204" t="e">
        <f>CUBEMEMBER("ThisWorkbookDataModel",{"[rArtikli_HR_Analiza].[StavkaKategorija.1].&amp;[2.32. Потрошени суровини и материјали]","[rArtikli_HR_Analiza].[Категорија Артикл].&amp;[Потрошен материјал]","[rArtikli_HR_Analiza].[Ставка].&amp;[Џогер Пуцвал со рачка во висина минимум 140 см]"})</f>
        <v>#N/A</v>
      </c>
      <c r="D32" s="190" t="s">
        <v>609</v>
      </c>
      <c r="E32" s="10">
        <v>90</v>
      </c>
      <c r="F32" s="10">
        <v>500</v>
      </c>
      <c r="G32" s="10">
        <v>45000</v>
      </c>
      <c r="H32" s="203">
        <v>0.18</v>
      </c>
      <c r="I32" s="10">
        <v>53100</v>
      </c>
    </row>
    <row r="33" spans="1:9" x14ac:dyDescent="0.25">
      <c r="A33" s="223"/>
      <c r="B33" s="224" t="e">
        <f>CUBEMEMBER("ThisWorkbookDataModel",{"[rArtikli_HR_Analiza].[StavkaKategorija.1].&amp;[2.32. Потрошени суровини и материјали]","[rArtikli_HR_Analiza].[Категорија Артикл].&amp;[Потрошен материјал]"},"Потрошен материјал Total")</f>
        <v>#N/A</v>
      </c>
      <c r="C33" s="224"/>
      <c r="D33" s="217"/>
      <c r="E33" s="218">
        <v>5283</v>
      </c>
      <c r="F33" s="218">
        <v>3012</v>
      </c>
      <c r="G33" s="219">
        <v>850004</v>
      </c>
      <c r="H33" s="220">
        <v>3.78</v>
      </c>
      <c r="I33" s="219">
        <v>1003005</v>
      </c>
    </row>
    <row r="34" spans="1:9" x14ac:dyDescent="0.25">
      <c r="A34" s="223"/>
      <c r="B34" s="224" t="e">
        <f>CUBEMEMBER("ThisWorkbookDataModel",{"[rArtikli_HR_Analiza].[StavkaKategorija.1].&amp;[2.32. Потрошени суровини и материјали]","[rArtikli_HR_Analiza].[Категорија Артикл].&amp;[Ситен инвентар, авто гуми]"})</f>
        <v>#N/A</v>
      </c>
      <c r="C34" s="204" t="e">
        <f>CUBEMEMBER("ThisWorkbookDataModel",{"[rArtikli_HR_Analiza].[StavkaKategorija.1].&amp;[2.32. Потрошени суровини и материјали]","[rArtikli_HR_Analiza].[Категорија Артикл].&amp;[Ситен инвентар, авто гуми]","[rArtikli_HR_Analiza].[Ставка].&amp;[Заштита од пренапон - приклучници]"})</f>
        <v>#N/A</v>
      </c>
      <c r="D34" s="190" t="s">
        <v>609</v>
      </c>
      <c r="E34" s="10">
        <v>26</v>
      </c>
      <c r="F34" s="10">
        <v>1500</v>
      </c>
      <c r="G34" s="10">
        <v>39000</v>
      </c>
      <c r="H34" s="203">
        <v>0.18</v>
      </c>
      <c r="I34" s="10">
        <v>46020</v>
      </c>
    </row>
    <row r="35" spans="1:9" x14ac:dyDescent="0.25">
      <c r="A35" s="223"/>
      <c r="B35" s="224"/>
      <c r="C35" s="204" t="e">
        <f>CUBEMEMBER("ThisWorkbookDataModel",{"[rArtikli_HR_Analiza].[StavkaKategorija.1].&amp;[2.32. Потрошени суровини и материјали]","[rArtikli_HR_Analiza].[Категорија Артикл].&amp;[Ситен инвентар, авто гуми]","[rArtikli_HR_Analiza].[Ставка].&amp;[Останат ситен инвентар]"})</f>
        <v>#N/A</v>
      </c>
      <c r="D35" s="190" t="s">
        <v>609</v>
      </c>
      <c r="E35" s="10">
        <v>1</v>
      </c>
      <c r="F35" s="10"/>
      <c r="G35" s="10">
        <v>0</v>
      </c>
      <c r="H35" s="203">
        <v>0</v>
      </c>
      <c r="I35" s="10">
        <v>20207</v>
      </c>
    </row>
    <row r="36" spans="1:9" x14ac:dyDescent="0.25">
      <c r="A36" s="223"/>
      <c r="B36" s="224"/>
      <c r="C36" s="204" t="e">
        <f>CUBEMEMBER("ThisWorkbookDataModel",{"[rArtikli_HR_Analiza].[StavkaKategorija.1].&amp;[2.32. Потрошени суровини и материјали]","[rArtikli_HR_Analiza].[Категорија Артикл].&amp;[Ситен инвентар, авто гуми]","[rArtikli_HR_Analiza].[Ставка].&amp;[ПП апарати за гаснење пожар предизивикан од електрична енергија]"})</f>
        <v>#N/A</v>
      </c>
      <c r="D36" s="190" t="s">
        <v>609</v>
      </c>
      <c r="E36" s="10">
        <v>50</v>
      </c>
      <c r="F36" s="10">
        <v>6000</v>
      </c>
      <c r="G36" s="10">
        <v>300000</v>
      </c>
      <c r="H36" s="203">
        <v>0</v>
      </c>
      <c r="I36" s="10">
        <v>300000</v>
      </c>
    </row>
    <row r="37" spans="1:9" x14ac:dyDescent="0.25">
      <c r="A37" s="223"/>
      <c r="B37" s="224"/>
      <c r="C37" s="204" t="e">
        <f>CUBEMEMBER("ThisWorkbookDataModel",{"[rArtikli_HR_Analiza].[StavkaKategorija.1].&amp;[2.32. Потрошени суровини и материјали]","[rArtikli_HR_Analiza].[Категорија Артикл].&amp;[Ситен инвентар, авто гуми]","[rArtikli_HR_Analiza].[Ставка].&amp;[ПП апарати за гаснење пожар со CO2]"})</f>
        <v>#N/A</v>
      </c>
      <c r="D37" s="190" t="s">
        <v>609</v>
      </c>
      <c r="E37" s="10">
        <v>45</v>
      </c>
      <c r="F37" s="10">
        <v>2400</v>
      </c>
      <c r="G37" s="10">
        <v>108000</v>
      </c>
      <c r="H37" s="203">
        <v>0</v>
      </c>
      <c r="I37" s="10">
        <v>108000</v>
      </c>
    </row>
    <row r="38" spans="1:9" x14ac:dyDescent="0.25">
      <c r="A38" s="223"/>
      <c r="B38" s="224"/>
      <c r="C38" s="204" t="e">
        <f>CUBEMEMBER("ThisWorkbookDataModel",{"[rArtikli_HR_Analiza].[StavkaKategorija.1].&amp;[2.32. Потрошени суровини и материјали]","[rArtikli_HR_Analiza].[Категорија Артикл].&amp;[Ситен инвентар, авто гуми]","[rArtikli_HR_Analiza].[Ставка].&amp;[Уреди за непрекинато напојување УНН]"})</f>
        <v>#N/A</v>
      </c>
      <c r="D38" s="190" t="s">
        <v>609</v>
      </c>
      <c r="E38" s="10">
        <v>26</v>
      </c>
      <c r="F38" s="10">
        <v>9225</v>
      </c>
      <c r="G38" s="10">
        <v>239850</v>
      </c>
      <c r="H38" s="203">
        <v>0.18</v>
      </c>
      <c r="I38" s="10">
        <v>283023</v>
      </c>
    </row>
    <row r="39" spans="1:9" x14ac:dyDescent="0.25">
      <c r="A39" s="223"/>
      <c r="B39" s="224" t="e">
        <f>CUBEMEMBER("ThisWorkbookDataModel",{"[rArtikli_HR_Analiza].[StavkaKategorija.1].&amp;[2.32. Потрошени суровини и материјали]","[rArtikli_HR_Analiza].[Категорија Артикл].&amp;[Ситен инвентар, авто гуми]"},"Ситен инвентар, авто гуми Total")</f>
        <v>#N/A</v>
      </c>
      <c r="C39" s="224"/>
      <c r="D39" s="217"/>
      <c r="E39" s="218">
        <v>148</v>
      </c>
      <c r="F39" s="218">
        <v>19125</v>
      </c>
      <c r="G39" s="219">
        <v>686850</v>
      </c>
      <c r="H39" s="220">
        <v>0.36</v>
      </c>
      <c r="I39" s="219">
        <v>757250</v>
      </c>
    </row>
    <row r="40" spans="1:9" x14ac:dyDescent="0.25">
      <c r="A40" s="223"/>
      <c r="B40" s="224" t="e">
        <f>CUBEMEMBER("ThisWorkbookDataModel",{"[rArtikli_HR_Analiza].[StavkaKategorija.1].&amp;[2.32. Потрошени суровини и материјали]","[rArtikli_HR_Analiza].[Категорија Артикл].&amp;[Тековно и останато одржување]"})</f>
        <v>#N/A</v>
      </c>
      <c r="C40" s="204" t="e">
        <f>CUBEMEMBER("ThisWorkbookDataModel",{"[rArtikli_HR_Analiza].[StavkaKategorija.1].&amp;[2.32. Потрошени суровини и материјали]","[rArtikli_HR_Analiza].[Категорија Артикл].&amp;[Тековно и останато одржување]","[rArtikli_HR_Analiza].[Ставка].&amp;[Алкохол]"})</f>
        <v>#N/A</v>
      </c>
      <c r="D40" s="190" t="s">
        <v>609</v>
      </c>
      <c r="E40" s="10">
        <v>1845</v>
      </c>
      <c r="F40" s="10">
        <v>107</v>
      </c>
      <c r="G40" s="10">
        <v>197415</v>
      </c>
      <c r="H40" s="203">
        <v>0.18</v>
      </c>
      <c r="I40" s="10">
        <v>232950</v>
      </c>
    </row>
    <row r="41" spans="1:9" x14ac:dyDescent="0.25">
      <c r="A41" s="223"/>
      <c r="B41" s="224"/>
      <c r="C41" s="204" t="e">
        <f>CUBEMEMBER("ThisWorkbookDataModel",{"[rArtikli_HR_Analiza].[StavkaKategorija.1].&amp;[2.32. Потрошени суровини и материјали]","[rArtikli_HR_Analiza].[Категорија Артикл].&amp;[Тековно и останато одржување]","[rArtikli_HR_Analiza].[Ставка].&amp;[Визири]"})</f>
        <v>#N/A</v>
      </c>
      <c r="D41" s="190" t="s">
        <v>609</v>
      </c>
      <c r="E41" s="10">
        <v>1700</v>
      </c>
      <c r="F41" s="10">
        <v>300</v>
      </c>
      <c r="G41" s="10">
        <v>510000</v>
      </c>
      <c r="H41" s="203">
        <v>0.18</v>
      </c>
      <c r="I41" s="10">
        <v>601800</v>
      </c>
    </row>
    <row r="42" spans="1:9" x14ac:dyDescent="0.25">
      <c r="A42" s="223"/>
      <c r="B42" s="224"/>
      <c r="C42" s="204" t="e">
        <f>CUBEMEMBER("ThisWorkbookDataModel",{"[rArtikli_HR_Analiza].[StavkaKategorija.1].&amp;[2.32. Потрошени суровини и материјали]","[rArtikli_HR_Analiza].[Категорија Артикл].&amp;[Тековно и останато одржување]","[rArtikli_HR_Analiza].[Ставка].&amp;[Резервни делови - батерии]"})</f>
        <v>#N/A</v>
      </c>
      <c r="D42" s="190" t="s">
        <v>701</v>
      </c>
      <c r="E42" s="10">
        <v>40</v>
      </c>
      <c r="F42" s="10">
        <v>150</v>
      </c>
      <c r="G42" s="10">
        <v>6000</v>
      </c>
      <c r="H42" s="203">
        <v>0</v>
      </c>
      <c r="I42" s="10">
        <v>6000</v>
      </c>
    </row>
    <row r="43" spans="1:9" x14ac:dyDescent="0.25">
      <c r="A43" s="223"/>
      <c r="B43" s="224"/>
      <c r="C43" s="204" t="e">
        <f>CUBEMEMBER("ThisWorkbookDataModel",{"[rArtikli_HR_Analiza].[StavkaKategorija.1].&amp;[2.32. Потрошени суровини и материјали]","[rArtikli_HR_Analiza].[Категорија Артикл].&amp;[Тековно и останато одржување]","[rArtikli_HR_Analiza].[Ставка].&amp;[Резервни делови - казанчиња]"})</f>
        <v>#N/A</v>
      </c>
      <c r="D43" s="190" t="s">
        <v>701</v>
      </c>
      <c r="E43" s="10">
        <v>2</v>
      </c>
      <c r="F43" s="10">
        <v>2500</v>
      </c>
      <c r="G43" s="10">
        <v>5000</v>
      </c>
      <c r="H43" s="203">
        <v>0</v>
      </c>
      <c r="I43" s="10">
        <v>5000</v>
      </c>
    </row>
    <row r="44" spans="1:9" x14ac:dyDescent="0.25">
      <c r="A44" s="223"/>
      <c r="B44" s="224"/>
      <c r="C44" s="204" t="e">
        <f>CUBEMEMBER("ThisWorkbookDataModel",{"[rArtikli_HR_Analiza].[StavkaKategorija.1].&amp;[2.32. Потрошени суровини и материјали]","[rArtikli_HR_Analiza].[Категорија Артикл].&amp;[Тековно и останато одржување]","[rArtikli_HR_Analiza].[Ставка].&amp;[Резервни делови - пловаци]"})</f>
        <v>#N/A</v>
      </c>
      <c r="D44" s="190" t="s">
        <v>701</v>
      </c>
      <c r="E44" s="10">
        <v>5</v>
      </c>
      <c r="F44" s="10">
        <v>100</v>
      </c>
      <c r="G44" s="10">
        <v>500</v>
      </c>
      <c r="H44" s="203">
        <v>0</v>
      </c>
      <c r="I44" s="10">
        <v>500</v>
      </c>
    </row>
    <row r="45" spans="1:9" x14ac:dyDescent="0.25">
      <c r="A45" s="223"/>
      <c r="B45" s="224"/>
      <c r="C45" s="204" t="e">
        <f>CUBEMEMBER("ThisWorkbookDataModel",{"[rArtikli_HR_Analiza].[StavkaKategorija.1].&amp;[2.32. Потрошени суровини и материјали]","[rArtikli_HR_Analiza].[Категорија Артикл].&amp;[Тековно и останато одржување]","[rArtikli_HR_Analiza].[Ставка].&amp;[Резервни делови - продолжен кабел]"})</f>
        <v>#N/A</v>
      </c>
      <c r="D45" s="190" t="s">
        <v>701</v>
      </c>
      <c r="E45" s="10">
        <v>15</v>
      </c>
      <c r="F45" s="10">
        <v>500</v>
      </c>
      <c r="G45" s="10">
        <v>7500</v>
      </c>
      <c r="H45" s="203">
        <v>0</v>
      </c>
      <c r="I45" s="10">
        <v>7500</v>
      </c>
    </row>
    <row r="46" spans="1:9" x14ac:dyDescent="0.25">
      <c r="A46" s="223"/>
      <c r="B46" s="224"/>
      <c r="C46" s="204" t="e">
        <f>CUBEMEMBER("ThisWorkbookDataModel",{"[rArtikli_HR_Analiza].[StavkaKategorija.1].&amp;[2.32. Потрошени суровини и материјали]","[rArtikli_HR_Analiza].[Категорија Артикл].&amp;[Тековно и останато одржување]","[rArtikli_HR_Analiza].[Ставка].&amp;[Резервни делови - чешми]"})</f>
        <v>#N/A</v>
      </c>
      <c r="D46" s="190" t="s">
        <v>701</v>
      </c>
      <c r="E46" s="10">
        <v>10</v>
      </c>
      <c r="F46" s="10">
        <v>600</v>
      </c>
      <c r="G46" s="10">
        <v>6000</v>
      </c>
      <c r="H46" s="203">
        <v>0</v>
      </c>
      <c r="I46" s="10">
        <v>6000</v>
      </c>
    </row>
    <row r="47" spans="1:9" x14ac:dyDescent="0.25">
      <c r="A47" s="223"/>
      <c r="B47" s="224"/>
      <c r="C47" s="204" t="e">
        <f>CUBEMEMBER("ThisWorkbookDataModel",{"[rArtikli_HR_Analiza].[StavkaKategorija.1].&amp;[2.32. Потрошени суровини и материјали]","[rArtikli_HR_Analiza].[Категорија Артикл].&amp;[Тековно и останато одржување]","[rArtikli_HR_Analiza].[Ставка].&amp;[Средство за дезинфекција за вработени]"})</f>
        <v>#N/A</v>
      </c>
      <c r="D47" s="190" t="s">
        <v>609</v>
      </c>
      <c r="E47" s="10">
        <v>1845</v>
      </c>
      <c r="F47" s="10">
        <v>156</v>
      </c>
      <c r="G47" s="10">
        <v>287021.29950000002</v>
      </c>
      <c r="H47" s="203">
        <v>0.18</v>
      </c>
      <c r="I47" s="10">
        <v>338685</v>
      </c>
    </row>
    <row r="48" spans="1:9" x14ac:dyDescent="0.25">
      <c r="A48" s="223"/>
      <c r="B48" s="224"/>
      <c r="C48" s="204" t="e">
        <f>CUBEMEMBER("ThisWorkbookDataModel",{"[rArtikli_HR_Analiza].[StavkaKategorija.1].&amp;[2.32. Потрошени суровини и материјали]","[rArtikli_HR_Analiza].[Категорија Артикл].&amp;[Тековно и останато одржување]","[rArtikli_HR_Analiza].[Ставка].&amp;[Средство за дезинфекција на површини]"})</f>
        <v>#N/A</v>
      </c>
      <c r="D48" s="190" t="s">
        <v>609</v>
      </c>
      <c r="E48" s="10">
        <v>1845</v>
      </c>
      <c r="F48" s="10">
        <v>150</v>
      </c>
      <c r="G48" s="10">
        <v>276750</v>
      </c>
      <c r="H48" s="203">
        <v>0.18</v>
      </c>
      <c r="I48" s="10">
        <v>326565</v>
      </c>
    </row>
    <row r="49" spans="1:9" x14ac:dyDescent="0.25">
      <c r="A49" s="223"/>
      <c r="B49" s="224"/>
      <c r="C49" s="204" t="e">
        <f>CUBEMEMBER("ThisWorkbookDataModel",{"[rArtikli_HR_Analiza].[StavkaKategorija.1].&amp;[2.32. Потрошени суровини и материјали]","[rArtikli_HR_Analiza].[Категорија Артикл].&amp;[Тековно и останато одржување]","[rArtikli_HR_Analiza].[Ставка].&amp;[Трошоци за нафта за затоплување со склучен договор]"})</f>
        <v>#N/A</v>
      </c>
      <c r="D49" s="190" t="s">
        <v>606</v>
      </c>
      <c r="E49" s="10">
        <v>4</v>
      </c>
      <c r="F49" s="10">
        <v>278775</v>
      </c>
      <c r="G49" s="10">
        <v>1115100</v>
      </c>
      <c r="H49" s="203">
        <v>0</v>
      </c>
      <c r="I49" s="10">
        <v>1115100</v>
      </c>
    </row>
    <row r="50" spans="1:9" x14ac:dyDescent="0.25">
      <c r="A50" s="223"/>
      <c r="B50" s="224" t="e">
        <f>CUBEMEMBER("ThisWorkbookDataModel",{"[rArtikli_HR_Analiza].[StavkaKategorija.1].&amp;[2.32. Потрошени суровини и материјали]","[rArtikli_HR_Analiza].[Категорија Артикл].&amp;[Тековно и останато одржување]"},"Тековно и останато одржување Total")</f>
        <v>#N/A</v>
      </c>
      <c r="C50" s="224"/>
      <c r="D50" s="217"/>
      <c r="E50" s="218">
        <v>7311</v>
      </c>
      <c r="F50" s="218">
        <v>283338</v>
      </c>
      <c r="G50" s="219">
        <v>2411286.2994999997</v>
      </c>
      <c r="H50" s="220">
        <v>0.72</v>
      </c>
      <c r="I50" s="219">
        <v>2640100</v>
      </c>
    </row>
    <row r="51" spans="1:9" x14ac:dyDescent="0.25">
      <c r="A51" s="223"/>
      <c r="B51" s="224" t="e">
        <f>CUBEMEMBER("ThisWorkbookDataModel",{"[rArtikli_HR_Analiza].[StavkaKategorija.1].&amp;[2.32. Потрошени суровини и материјали]","[rArtikli_HR_Analiza].[Категорија Артикл].&amp;[Трошоци за возила]"})</f>
        <v>#N/A</v>
      </c>
      <c r="C51" s="204" t="e">
        <f>CUBEMEMBER("ThisWorkbookDataModel",{"[rArtikli_HR_Analiza].[StavkaKategorija.1].&amp;[2.32. Потрошени суровини и материјали]","[rArtikli_HR_Analiza].[Категорија Артикл].&amp;[Трошоци за возила]","[rArtikli_HR_Analiza].[Ставка].&amp;[Зимски пневматици]"})</f>
        <v>#N/A</v>
      </c>
      <c r="D51" s="190" t="s">
        <v>609</v>
      </c>
      <c r="E51" s="10">
        <v>6</v>
      </c>
      <c r="F51" s="10">
        <v>7500</v>
      </c>
      <c r="G51" s="10">
        <v>45000</v>
      </c>
      <c r="H51" s="203">
        <v>0</v>
      </c>
      <c r="I51" s="10">
        <v>45000</v>
      </c>
    </row>
    <row r="52" spans="1:9" x14ac:dyDescent="0.25">
      <c r="A52" s="223"/>
      <c r="B52" s="224"/>
      <c r="C52" s="204" t="e">
        <f>CUBEMEMBER("ThisWorkbookDataModel",{"[rArtikli_HR_Analiza].[StavkaKategorija.1].&amp;[2.32. Потрошени суровини и материјали]","[rArtikli_HR_Analiza].[Категорија Артикл].&amp;[Трошоци за возила]","[rArtikli_HR_Analiza].[Ставка].&amp;[Летни пневматици]"})</f>
        <v>#N/A</v>
      </c>
      <c r="D52" s="190" t="s">
        <v>609</v>
      </c>
      <c r="E52" s="10">
        <v>6</v>
      </c>
      <c r="F52" s="10">
        <v>7500</v>
      </c>
      <c r="G52" s="10">
        <v>45000</v>
      </c>
      <c r="H52" s="203">
        <v>0</v>
      </c>
      <c r="I52" s="10">
        <v>45000</v>
      </c>
    </row>
    <row r="53" spans="1:9" x14ac:dyDescent="0.25">
      <c r="A53" s="223"/>
      <c r="B53" s="224"/>
      <c r="C53" s="204" t="e">
        <f>CUBEMEMBER("ThisWorkbookDataModel",{"[rArtikli_HR_Analiza].[StavkaKategorija.1].&amp;[2.32. Потрошени суровини и материјали]","[rArtikli_HR_Analiza].[Категорија Артикл].&amp;[Трошоци за возила]","[rArtikli_HR_Analiza].[Ставка].&amp;[Потрошено гориво]"})</f>
        <v>#N/A</v>
      </c>
      <c r="D53" s="190" t="s">
        <v>607</v>
      </c>
      <c r="E53" s="10">
        <v>12</v>
      </c>
      <c r="F53" s="10">
        <v>45904</v>
      </c>
      <c r="G53" s="10">
        <v>550847.39999999991</v>
      </c>
      <c r="H53" s="203">
        <v>0.18</v>
      </c>
      <c r="I53" s="10">
        <v>650000</v>
      </c>
    </row>
    <row r="54" spans="1:9" x14ac:dyDescent="0.25">
      <c r="A54" s="223"/>
      <c r="B54" s="224" t="e">
        <f>CUBEMEMBER("ThisWorkbookDataModel",{"[rArtikli_HR_Analiza].[StavkaKategorija.1].&amp;[2.32. Потрошени суровини и материјали]","[rArtikli_HR_Analiza].[Категорија Артикл].&amp;[Трошоци за возила]"},"Трошоци за возила Total")</f>
        <v>#N/A</v>
      </c>
      <c r="C54" s="224"/>
      <c r="D54" s="217"/>
      <c r="E54" s="219">
        <v>24</v>
      </c>
      <c r="F54" s="219">
        <v>60904</v>
      </c>
      <c r="G54" s="219">
        <v>640847.39999999991</v>
      </c>
      <c r="H54" s="221">
        <v>0.18</v>
      </c>
      <c r="I54" s="219">
        <v>740000</v>
      </c>
    </row>
    <row r="55" spans="1:9" x14ac:dyDescent="0.25">
      <c r="A55" s="223" t="str" vm="186">
        <f>CUBEMEMBER("ThisWorkbookDataModel","[rArtikli_HR_Analiza].[StavkaKategorija.1].&amp;[2.32. Потрошени суровини и материјали]","2.32. Потрошени суровини и материјали Total")</f>
        <v>2.32. Потрошени суровини и материјали Total</v>
      </c>
      <c r="B55" s="224"/>
      <c r="C55" s="224"/>
      <c r="D55" s="217"/>
      <c r="E55" s="219">
        <v>21248</v>
      </c>
      <c r="F55" s="219">
        <v>658646</v>
      </c>
      <c r="G55" s="219">
        <v>9399988.0994999874</v>
      </c>
      <c r="H55" s="221">
        <v>5.5799999999999992</v>
      </c>
      <c r="I55" s="219">
        <v>10247155</v>
      </c>
    </row>
    <row r="56" spans="1:9" ht="120" x14ac:dyDescent="0.25">
      <c r="A56" s="223" t="str" vm="183">
        <f>CUBEMEMBER("ThisWorkbookDataModel","[rArtikli_HR_Analiza].[StavkaKategorija.1].&amp;[2.37. Останати оперативни расходи]")</f>
        <v>2.37. Останати оперативни расходи</v>
      </c>
      <c r="B56" s="224" t="e">
        <f>CUBEMEMBER("ThisWorkbookDataModel",{"[rArtikli_HR_Analiza].[StavkaKategorija.1].&amp;[2.37. Останати оперативни расходи]","[rArtikli_HR_Analiza].[Категорија Артикл].&amp;[Едногодишни лиценци на софтверски решенија]"})</f>
        <v>#N/A</v>
      </c>
      <c r="C56" s="204" t="s">
        <v>623</v>
      </c>
      <c r="D56" s="190" t="s">
        <v>702</v>
      </c>
      <c r="E56" s="10">
        <v>1</v>
      </c>
      <c r="F56" s="10">
        <v>600000</v>
      </c>
      <c r="G56" s="10">
        <v>600000</v>
      </c>
      <c r="H56" s="203">
        <v>0.18</v>
      </c>
      <c r="I56" s="10">
        <v>708000</v>
      </c>
    </row>
    <row r="57" spans="1:9" ht="30" x14ac:dyDescent="0.25">
      <c r="A57" s="223"/>
      <c r="B57" s="224"/>
      <c r="C57" s="204" t="s">
        <v>624</v>
      </c>
      <c r="D57" s="190" t="s">
        <v>702</v>
      </c>
      <c r="E57" s="10">
        <v>1</v>
      </c>
      <c r="F57" s="10">
        <v>850000</v>
      </c>
      <c r="G57" s="10">
        <v>850000</v>
      </c>
      <c r="H57" s="203">
        <v>0.18</v>
      </c>
      <c r="I57" s="10">
        <v>1003000</v>
      </c>
    </row>
    <row r="58" spans="1:9" ht="30" x14ac:dyDescent="0.25">
      <c r="A58" s="223"/>
      <c r="B58" s="224" t="s">
        <v>722</v>
      </c>
      <c r="C58" s="224"/>
      <c r="D58" s="217"/>
      <c r="E58" s="219">
        <v>2</v>
      </c>
      <c r="F58" s="219">
        <v>1450000</v>
      </c>
      <c r="G58" s="219">
        <v>1450000</v>
      </c>
      <c r="H58" s="221">
        <v>0.36</v>
      </c>
      <c r="I58" s="219">
        <v>1711000</v>
      </c>
    </row>
    <row r="59" spans="1:9" x14ac:dyDescent="0.25">
      <c r="A59" s="223"/>
      <c r="B59" s="224" t="s">
        <v>708</v>
      </c>
      <c r="C59" s="204" t="s">
        <v>627</v>
      </c>
      <c r="D59" s="190" t="s">
        <v>606</v>
      </c>
      <c r="E59" s="10">
        <v>12</v>
      </c>
      <c r="F59" s="10">
        <v>25286</v>
      </c>
      <c r="G59" s="10">
        <v>303428.16000000003</v>
      </c>
      <c r="H59" s="203">
        <v>0.05</v>
      </c>
      <c r="I59" s="10">
        <v>318600</v>
      </c>
    </row>
    <row r="60" spans="1:9" x14ac:dyDescent="0.25">
      <c r="A60" s="223"/>
      <c r="B60" s="224"/>
      <c r="C60" s="204" t="s">
        <v>628</v>
      </c>
      <c r="D60" s="190" t="s">
        <v>606</v>
      </c>
      <c r="E60" s="10">
        <v>12</v>
      </c>
      <c r="F60" s="10">
        <v>6000</v>
      </c>
      <c r="G60" s="10">
        <v>72000</v>
      </c>
      <c r="H60" s="203">
        <v>0.18</v>
      </c>
      <c r="I60" s="10">
        <v>84960</v>
      </c>
    </row>
    <row r="61" spans="1:9" x14ac:dyDescent="0.25">
      <c r="A61" s="223"/>
      <c r="B61" s="224"/>
      <c r="C61" s="204" t="s">
        <v>629</v>
      </c>
      <c r="D61" s="190" t="s">
        <v>606</v>
      </c>
      <c r="E61" s="10">
        <v>12</v>
      </c>
      <c r="F61" s="10">
        <v>500</v>
      </c>
      <c r="G61" s="10">
        <v>6000</v>
      </c>
      <c r="H61" s="203">
        <v>0.18</v>
      </c>
      <c r="I61" s="10">
        <v>7080</v>
      </c>
    </row>
    <row r="62" spans="1:9" x14ac:dyDescent="0.25">
      <c r="A62" s="223"/>
      <c r="B62" s="224" t="s">
        <v>718</v>
      </c>
      <c r="C62" s="224"/>
      <c r="D62" s="217"/>
      <c r="E62" s="218">
        <v>36</v>
      </c>
      <c r="F62" s="218">
        <v>31786</v>
      </c>
      <c r="G62" s="219">
        <v>381428.16000000003</v>
      </c>
      <c r="H62" s="220">
        <v>0.41</v>
      </c>
      <c r="I62" s="219">
        <v>410640</v>
      </c>
    </row>
    <row r="63" spans="1:9" ht="45" x14ac:dyDescent="0.25">
      <c r="A63" s="223"/>
      <c r="B63" s="224" t="s">
        <v>709</v>
      </c>
      <c r="C63" s="204" t="s">
        <v>642</v>
      </c>
      <c r="D63" s="190" t="s">
        <v>702</v>
      </c>
      <c r="E63" s="10">
        <v>1</v>
      </c>
      <c r="F63" s="10">
        <v>170000</v>
      </c>
      <c r="G63" s="10">
        <v>170000</v>
      </c>
      <c r="H63" s="203">
        <v>0.18</v>
      </c>
      <c r="I63" s="10">
        <v>200600</v>
      </c>
    </row>
    <row r="64" spans="1:9" ht="60" x14ac:dyDescent="0.25">
      <c r="A64" s="223"/>
      <c r="B64" s="224"/>
      <c r="C64" s="204" t="s">
        <v>643</v>
      </c>
      <c r="D64" s="190" t="s">
        <v>702</v>
      </c>
      <c r="E64" s="10">
        <v>1</v>
      </c>
      <c r="F64" s="10">
        <v>150000</v>
      </c>
      <c r="G64" s="10">
        <v>150000</v>
      </c>
      <c r="H64" s="203">
        <v>0.18</v>
      </c>
      <c r="I64" s="10">
        <v>177000</v>
      </c>
    </row>
    <row r="65" spans="1:9" ht="30" x14ac:dyDescent="0.25">
      <c r="A65" s="223"/>
      <c r="B65" s="224"/>
      <c r="C65" s="204" t="s">
        <v>644</v>
      </c>
      <c r="D65" s="190" t="s">
        <v>702</v>
      </c>
      <c r="E65" s="10">
        <v>1</v>
      </c>
      <c r="F65" s="10">
        <v>600000</v>
      </c>
      <c r="G65" s="10">
        <v>600000</v>
      </c>
      <c r="H65" s="203">
        <v>0.18</v>
      </c>
      <c r="I65" s="10">
        <v>708000</v>
      </c>
    </row>
    <row r="66" spans="1:9" x14ac:dyDescent="0.25">
      <c r="A66" s="223"/>
      <c r="B66" s="224"/>
      <c r="C66" s="204" t="s">
        <v>645</v>
      </c>
      <c r="D66" s="190" t="s">
        <v>702</v>
      </c>
      <c r="E66" s="10">
        <v>1</v>
      </c>
      <c r="F66" s="10">
        <v>254237</v>
      </c>
      <c r="G66" s="10">
        <v>254237</v>
      </c>
      <c r="H66" s="203">
        <v>0.18</v>
      </c>
      <c r="I66" s="10">
        <v>300000</v>
      </c>
    </row>
    <row r="67" spans="1:9" ht="45" x14ac:dyDescent="0.25">
      <c r="A67" s="223"/>
      <c r="B67" s="224"/>
      <c r="C67" s="204" t="s">
        <v>646</v>
      </c>
      <c r="D67" s="190" t="s">
        <v>606</v>
      </c>
      <c r="E67" s="10">
        <v>12</v>
      </c>
      <c r="F67" s="10">
        <v>127119</v>
      </c>
      <c r="G67" s="10">
        <v>1525424</v>
      </c>
      <c r="H67" s="203">
        <v>0.18</v>
      </c>
      <c r="I67" s="10">
        <v>1800000</v>
      </c>
    </row>
    <row r="68" spans="1:9" ht="30" x14ac:dyDescent="0.25">
      <c r="A68" s="223"/>
      <c r="B68" s="224"/>
      <c r="C68" s="204" t="s">
        <v>647</v>
      </c>
      <c r="D68" s="190" t="s">
        <v>702</v>
      </c>
      <c r="E68" s="10">
        <v>1</v>
      </c>
      <c r="F68" s="10">
        <v>254237</v>
      </c>
      <c r="G68" s="10">
        <v>254237</v>
      </c>
      <c r="H68" s="203">
        <v>0.18</v>
      </c>
      <c r="I68" s="10">
        <v>300000</v>
      </c>
    </row>
    <row r="69" spans="1:9" x14ac:dyDescent="0.25">
      <c r="A69" s="223"/>
      <c r="B69" s="224" t="s">
        <v>723</v>
      </c>
      <c r="C69" s="224"/>
      <c r="D69" s="217"/>
      <c r="E69" s="218">
        <v>17</v>
      </c>
      <c r="F69" s="218">
        <v>1555593</v>
      </c>
      <c r="G69" s="219">
        <v>2953898</v>
      </c>
      <c r="H69" s="220">
        <v>1.0799999999999998</v>
      </c>
      <c r="I69" s="219">
        <v>3485600</v>
      </c>
    </row>
    <row r="70" spans="1:9" ht="30" x14ac:dyDescent="0.25">
      <c r="A70" s="223"/>
      <c r="B70" s="224" t="s">
        <v>729</v>
      </c>
      <c r="C70" s="204" t="s">
        <v>641</v>
      </c>
      <c r="D70" s="190" t="s">
        <v>705</v>
      </c>
      <c r="E70" s="10">
        <v>24</v>
      </c>
      <c r="F70" s="10">
        <v>10593</v>
      </c>
      <c r="G70" s="10">
        <v>254237</v>
      </c>
      <c r="H70" s="203">
        <v>0.18</v>
      </c>
      <c r="I70" s="10">
        <v>300000</v>
      </c>
    </row>
    <row r="71" spans="1:9" ht="30" x14ac:dyDescent="0.25">
      <c r="A71" s="223"/>
      <c r="B71" s="224" t="s">
        <v>730</v>
      </c>
      <c r="C71" s="224"/>
      <c r="D71" s="217"/>
      <c r="E71" s="218">
        <v>24</v>
      </c>
      <c r="F71" s="218">
        <v>10593</v>
      </c>
      <c r="G71" s="219">
        <v>254237</v>
      </c>
      <c r="H71" s="220">
        <v>0.18</v>
      </c>
      <c r="I71" s="219">
        <v>300000</v>
      </c>
    </row>
    <row r="72" spans="1:9" x14ac:dyDescent="0.25">
      <c r="A72" s="223"/>
      <c r="B72" s="224" t="s">
        <v>710</v>
      </c>
      <c r="C72" s="204" t="s">
        <v>744</v>
      </c>
      <c r="D72" s="190" t="s">
        <v>703</v>
      </c>
      <c r="E72" s="10">
        <v>1</v>
      </c>
      <c r="F72" s="10">
        <v>10000</v>
      </c>
      <c r="G72" s="10">
        <v>10000</v>
      </c>
      <c r="H72" s="203">
        <v>0.18</v>
      </c>
      <c r="I72" s="10">
        <v>11800</v>
      </c>
    </row>
    <row r="73" spans="1:9" ht="30" x14ac:dyDescent="0.25">
      <c r="A73" s="223"/>
      <c r="B73" s="224"/>
      <c r="C73" s="204" t="s">
        <v>758</v>
      </c>
      <c r="D73" s="190" t="s">
        <v>703</v>
      </c>
      <c r="E73" s="10">
        <v>1</v>
      </c>
      <c r="F73" s="10">
        <v>20000</v>
      </c>
      <c r="G73" s="10">
        <v>20000</v>
      </c>
      <c r="H73" s="203">
        <v>0.18</v>
      </c>
      <c r="I73" s="10">
        <v>23600</v>
      </c>
    </row>
    <row r="74" spans="1:9" ht="45" x14ac:dyDescent="0.25">
      <c r="A74" s="223"/>
      <c r="B74" s="224"/>
      <c r="C74" s="204" t="s">
        <v>631</v>
      </c>
      <c r="D74" s="190" t="s">
        <v>702</v>
      </c>
      <c r="E74" s="10">
        <v>1</v>
      </c>
      <c r="F74" s="10">
        <v>173700</v>
      </c>
      <c r="G74" s="10">
        <v>173700</v>
      </c>
      <c r="H74" s="203">
        <v>0.18</v>
      </c>
      <c r="I74" s="10">
        <v>204966</v>
      </c>
    </row>
    <row r="75" spans="1:9" ht="45" x14ac:dyDescent="0.25">
      <c r="A75" s="223"/>
      <c r="B75" s="224"/>
      <c r="C75" s="204" t="s">
        <v>760</v>
      </c>
      <c r="D75" s="190" t="s">
        <v>609</v>
      </c>
      <c r="E75" s="10">
        <v>1</v>
      </c>
      <c r="F75" s="10">
        <v>130000</v>
      </c>
      <c r="G75" s="10">
        <v>130000</v>
      </c>
      <c r="H75" s="203">
        <v>0.18</v>
      </c>
      <c r="I75" s="10">
        <v>153400</v>
      </c>
    </row>
    <row r="76" spans="1:9" ht="30" x14ac:dyDescent="0.25">
      <c r="A76" s="223"/>
      <c r="B76" s="224"/>
      <c r="C76" s="204" t="s">
        <v>759</v>
      </c>
      <c r="D76" s="190" t="s">
        <v>703</v>
      </c>
      <c r="E76" s="10">
        <v>1</v>
      </c>
      <c r="F76" s="10">
        <v>9083</v>
      </c>
      <c r="G76" s="10">
        <v>9083.34</v>
      </c>
      <c r="H76" s="203">
        <v>0.18</v>
      </c>
      <c r="I76" s="10">
        <v>10718</v>
      </c>
    </row>
    <row r="77" spans="1:9" x14ac:dyDescent="0.25">
      <c r="A77" s="223"/>
      <c r="B77" s="224"/>
      <c r="C77" s="204" t="s">
        <v>761</v>
      </c>
      <c r="D77" s="190" t="s">
        <v>703</v>
      </c>
      <c r="E77" s="10">
        <v>1</v>
      </c>
      <c r="F77" s="10">
        <v>6200</v>
      </c>
      <c r="G77" s="10">
        <v>6200</v>
      </c>
      <c r="H77" s="203">
        <v>0.18</v>
      </c>
      <c r="I77" s="10">
        <v>7316</v>
      </c>
    </row>
    <row r="78" spans="1:9" x14ac:dyDescent="0.25">
      <c r="A78" s="223"/>
      <c r="B78" s="224"/>
      <c r="C78" s="204" t="s">
        <v>632</v>
      </c>
      <c r="D78" s="190" t="s">
        <v>609</v>
      </c>
      <c r="E78" s="10">
        <v>500</v>
      </c>
      <c r="F78" s="10">
        <v>149</v>
      </c>
      <c r="G78" s="10">
        <v>74360</v>
      </c>
      <c r="H78" s="203">
        <v>0.18</v>
      </c>
      <c r="I78" s="10">
        <v>87745</v>
      </c>
    </row>
    <row r="79" spans="1:9" x14ac:dyDescent="0.25">
      <c r="A79" s="223"/>
      <c r="B79" s="224"/>
      <c r="C79" s="204" t="s">
        <v>633</v>
      </c>
      <c r="D79" s="190" t="s">
        <v>609</v>
      </c>
      <c r="E79" s="10">
        <v>500</v>
      </c>
      <c r="F79" s="10">
        <v>35</v>
      </c>
      <c r="G79" s="10">
        <v>17500</v>
      </c>
      <c r="H79" s="203">
        <v>0.18</v>
      </c>
      <c r="I79" s="10">
        <v>20650</v>
      </c>
    </row>
    <row r="80" spans="1:9" x14ac:dyDescent="0.25">
      <c r="A80" s="223"/>
      <c r="B80" s="224"/>
      <c r="C80" s="204" t="s">
        <v>634</v>
      </c>
      <c r="D80" s="190" t="s">
        <v>609</v>
      </c>
      <c r="E80" s="10">
        <v>450</v>
      </c>
      <c r="F80" s="10">
        <v>190</v>
      </c>
      <c r="G80" s="10">
        <v>85500</v>
      </c>
      <c r="H80" s="203">
        <v>0.18</v>
      </c>
      <c r="I80" s="10">
        <v>100890</v>
      </c>
    </row>
    <row r="81" spans="1:9" x14ac:dyDescent="0.25">
      <c r="A81" s="223"/>
      <c r="B81" s="224"/>
      <c r="C81" s="204" t="s">
        <v>635</v>
      </c>
      <c r="D81" s="190" t="s">
        <v>609</v>
      </c>
      <c r="E81" s="10">
        <v>450</v>
      </c>
      <c r="F81" s="10">
        <v>265</v>
      </c>
      <c r="G81" s="10">
        <v>119250</v>
      </c>
      <c r="H81" s="203">
        <v>0.18</v>
      </c>
      <c r="I81" s="10">
        <v>140715</v>
      </c>
    </row>
    <row r="82" spans="1:9" ht="30" x14ac:dyDescent="0.25">
      <c r="A82" s="223"/>
      <c r="B82" s="224"/>
      <c r="C82" s="204" t="s">
        <v>637</v>
      </c>
      <c r="D82" s="190" t="s">
        <v>703</v>
      </c>
      <c r="E82" s="10">
        <v>2</v>
      </c>
      <c r="F82" s="10">
        <v>11500</v>
      </c>
      <c r="G82" s="10">
        <v>23000</v>
      </c>
      <c r="H82" s="203">
        <v>0.18</v>
      </c>
      <c r="I82" s="10">
        <v>27140</v>
      </c>
    </row>
    <row r="83" spans="1:9" x14ac:dyDescent="0.25">
      <c r="A83" s="223"/>
      <c r="B83" s="224" t="s">
        <v>724</v>
      </c>
      <c r="C83" s="224"/>
      <c r="D83" s="217"/>
      <c r="E83" s="218">
        <v>1908</v>
      </c>
      <c r="F83" s="218">
        <v>361122</v>
      </c>
      <c r="G83" s="219">
        <v>668593.34000000008</v>
      </c>
      <c r="H83" s="220">
        <v>1.9799999999999998</v>
      </c>
      <c r="I83" s="219">
        <v>788940</v>
      </c>
    </row>
    <row r="84" spans="1:9" ht="45" x14ac:dyDescent="0.25">
      <c r="A84" s="223"/>
      <c r="B84" s="224" t="s">
        <v>731</v>
      </c>
      <c r="C84" s="204" t="s">
        <v>762</v>
      </c>
      <c r="D84" s="190" t="s">
        <v>703</v>
      </c>
      <c r="E84" s="10">
        <v>2</v>
      </c>
      <c r="F84" s="10">
        <v>25500</v>
      </c>
      <c r="G84" s="10">
        <v>51000</v>
      </c>
      <c r="H84" s="203">
        <v>0.18</v>
      </c>
      <c r="I84" s="10">
        <v>60180</v>
      </c>
    </row>
    <row r="85" spans="1:9" x14ac:dyDescent="0.25">
      <c r="A85" s="223"/>
      <c r="B85" s="224" t="s">
        <v>732</v>
      </c>
      <c r="C85" s="224"/>
      <c r="D85" s="217"/>
      <c r="E85" s="218">
        <v>2</v>
      </c>
      <c r="F85" s="218">
        <v>25500</v>
      </c>
      <c r="G85" s="219">
        <v>51000</v>
      </c>
      <c r="H85" s="220">
        <v>0.18</v>
      </c>
      <c r="I85" s="222">
        <v>60180</v>
      </c>
    </row>
    <row r="86" spans="1:9" x14ac:dyDescent="0.25">
      <c r="A86" s="223"/>
      <c r="B86" s="224" t="s">
        <v>610</v>
      </c>
      <c r="C86" s="204" t="s">
        <v>671</v>
      </c>
      <c r="D86" s="190" t="s">
        <v>606</v>
      </c>
      <c r="E86" s="10">
        <v>12</v>
      </c>
      <c r="F86" s="10">
        <v>11770</v>
      </c>
      <c r="G86" s="10">
        <v>141243.1</v>
      </c>
      <c r="H86" s="203">
        <v>0.18</v>
      </c>
      <c r="I86" s="10">
        <v>166667</v>
      </c>
    </row>
    <row r="87" spans="1:9" ht="30" x14ac:dyDescent="0.25">
      <c r="A87" s="223"/>
      <c r="B87" s="224"/>
      <c r="C87" s="204" t="s">
        <v>675</v>
      </c>
      <c r="D87" s="190" t="s">
        <v>609</v>
      </c>
      <c r="E87" s="10">
        <v>12</v>
      </c>
      <c r="F87" s="10">
        <v>11770</v>
      </c>
      <c r="G87" s="10">
        <v>141243.1</v>
      </c>
      <c r="H87" s="203">
        <v>0.18</v>
      </c>
      <c r="I87" s="10">
        <v>166667</v>
      </c>
    </row>
    <row r="88" spans="1:9" x14ac:dyDescent="0.25">
      <c r="A88" s="223"/>
      <c r="B88" s="224"/>
      <c r="C88" s="204" t="s">
        <v>670</v>
      </c>
      <c r="D88" s="190" t="s">
        <v>703</v>
      </c>
      <c r="E88" s="10">
        <v>12</v>
      </c>
      <c r="F88" s="10">
        <v>11770</v>
      </c>
      <c r="G88" s="10">
        <v>141243.1</v>
      </c>
      <c r="H88" s="203">
        <v>0.18</v>
      </c>
      <c r="I88" s="10">
        <v>166667</v>
      </c>
    </row>
    <row r="89" spans="1:9" ht="30" x14ac:dyDescent="0.25">
      <c r="A89" s="223"/>
      <c r="B89" s="224"/>
      <c r="C89" s="204" t="s">
        <v>673</v>
      </c>
      <c r="D89" s="190" t="s">
        <v>609</v>
      </c>
      <c r="E89" s="10">
        <v>12</v>
      </c>
      <c r="F89" s="10">
        <v>11770</v>
      </c>
      <c r="G89" s="10">
        <v>141243.1</v>
      </c>
      <c r="H89" s="203">
        <v>0.18</v>
      </c>
      <c r="I89" s="10">
        <v>166667</v>
      </c>
    </row>
    <row r="90" spans="1:9" ht="30" x14ac:dyDescent="0.25">
      <c r="A90" s="223"/>
      <c r="B90" s="224"/>
      <c r="C90" s="204" t="s">
        <v>672</v>
      </c>
      <c r="D90" s="190" t="s">
        <v>609</v>
      </c>
      <c r="E90" s="10">
        <v>12</v>
      </c>
      <c r="F90" s="10">
        <v>11770</v>
      </c>
      <c r="G90" s="10">
        <v>141243.1</v>
      </c>
      <c r="H90" s="203">
        <v>0.18</v>
      </c>
      <c r="I90" s="10">
        <v>166667</v>
      </c>
    </row>
    <row r="91" spans="1:9" ht="45" x14ac:dyDescent="0.25">
      <c r="A91" s="223"/>
      <c r="B91" s="224"/>
      <c r="C91" s="204" t="s">
        <v>674</v>
      </c>
      <c r="D91" s="190" t="s">
        <v>609</v>
      </c>
      <c r="E91" s="10">
        <v>12</v>
      </c>
      <c r="F91" s="10">
        <v>11770</v>
      </c>
      <c r="G91" s="10">
        <v>141243.1</v>
      </c>
      <c r="H91" s="203">
        <v>0.18</v>
      </c>
      <c r="I91" s="10">
        <v>166667</v>
      </c>
    </row>
    <row r="92" spans="1:9" x14ac:dyDescent="0.25">
      <c r="A92" s="223"/>
      <c r="B92" s="224" t="s">
        <v>725</v>
      </c>
      <c r="C92" s="224"/>
      <c r="D92" s="217"/>
      <c r="E92" s="218">
        <v>72</v>
      </c>
      <c r="F92" s="218">
        <v>70620</v>
      </c>
      <c r="G92" s="219">
        <v>847458.6</v>
      </c>
      <c r="H92" s="220">
        <v>1.0799999999999998</v>
      </c>
      <c r="I92" s="222">
        <v>1000002</v>
      </c>
    </row>
    <row r="93" spans="1:9" ht="30" x14ac:dyDescent="0.25">
      <c r="A93" s="223"/>
      <c r="B93" s="224" t="s">
        <v>611</v>
      </c>
      <c r="C93" s="204" t="s">
        <v>682</v>
      </c>
      <c r="D93" s="190" t="s">
        <v>609</v>
      </c>
      <c r="E93" s="10">
        <v>1</v>
      </c>
      <c r="F93" s="10">
        <v>254238</v>
      </c>
      <c r="G93" s="10">
        <v>254237.5</v>
      </c>
      <c r="H93" s="203">
        <v>0.18</v>
      </c>
      <c r="I93" s="10">
        <v>300000</v>
      </c>
    </row>
    <row r="94" spans="1:9" ht="45" x14ac:dyDescent="0.25">
      <c r="A94" s="223"/>
      <c r="B94" s="224"/>
      <c r="C94" s="204" t="s">
        <v>681</v>
      </c>
      <c r="D94" s="190" t="s">
        <v>704</v>
      </c>
      <c r="E94" s="10">
        <v>1</v>
      </c>
      <c r="F94" s="10">
        <v>21000</v>
      </c>
      <c r="G94" s="10">
        <v>21000</v>
      </c>
      <c r="H94" s="203">
        <v>0.18</v>
      </c>
      <c r="I94" s="10">
        <v>24780</v>
      </c>
    </row>
    <row r="95" spans="1:9" x14ac:dyDescent="0.25">
      <c r="A95" s="223"/>
      <c r="B95" s="224"/>
      <c r="C95" s="204" t="s">
        <v>636</v>
      </c>
      <c r="D95" s="190" t="s">
        <v>609</v>
      </c>
      <c r="E95" s="10">
        <v>8</v>
      </c>
      <c r="F95" s="10">
        <v>1623</v>
      </c>
      <c r="G95" s="10">
        <v>12980.4</v>
      </c>
      <c r="H95" s="203">
        <v>0</v>
      </c>
      <c r="I95" s="10">
        <v>12980</v>
      </c>
    </row>
    <row r="96" spans="1:9" x14ac:dyDescent="0.25">
      <c r="A96" s="223"/>
      <c r="B96" s="224"/>
      <c r="C96" s="204" t="s">
        <v>668</v>
      </c>
      <c r="D96" s="190" t="s">
        <v>705</v>
      </c>
      <c r="E96" s="10">
        <v>22</v>
      </c>
      <c r="F96" s="10">
        <v>12500</v>
      </c>
      <c r="G96" s="10">
        <v>275000</v>
      </c>
      <c r="H96" s="203">
        <v>0.18</v>
      </c>
      <c r="I96" s="10">
        <v>324500</v>
      </c>
    </row>
    <row r="97" spans="1:9" x14ac:dyDescent="0.25">
      <c r="A97" s="223"/>
      <c r="B97" s="224" t="s">
        <v>719</v>
      </c>
      <c r="C97" s="224"/>
      <c r="D97" s="217"/>
      <c r="E97" s="218">
        <v>32</v>
      </c>
      <c r="F97" s="218">
        <v>289361</v>
      </c>
      <c r="G97" s="219">
        <v>563217.9</v>
      </c>
      <c r="H97" s="220">
        <v>0.54</v>
      </c>
      <c r="I97" s="222">
        <v>662260</v>
      </c>
    </row>
    <row r="98" spans="1:9" ht="30" x14ac:dyDescent="0.25">
      <c r="A98" s="223"/>
      <c r="B98" s="224" t="s">
        <v>733</v>
      </c>
      <c r="C98" s="204" t="s">
        <v>687</v>
      </c>
      <c r="D98" s="190" t="s">
        <v>609</v>
      </c>
      <c r="E98" s="10">
        <v>3000</v>
      </c>
      <c r="F98" s="10">
        <v>160</v>
      </c>
      <c r="G98" s="10">
        <v>480000</v>
      </c>
      <c r="H98" s="203">
        <v>0.18</v>
      </c>
      <c r="I98" s="10">
        <v>566400</v>
      </c>
    </row>
    <row r="99" spans="1:9" ht="30" x14ac:dyDescent="0.25">
      <c r="A99" s="223"/>
      <c r="B99" s="224"/>
      <c r="C99" s="204" t="s">
        <v>638</v>
      </c>
      <c r="D99" s="190" t="s">
        <v>704</v>
      </c>
      <c r="E99" s="10">
        <v>1</v>
      </c>
      <c r="F99" s="10">
        <v>84746</v>
      </c>
      <c r="G99" s="10">
        <v>84746</v>
      </c>
      <c r="H99" s="203">
        <v>0.18</v>
      </c>
      <c r="I99" s="10">
        <v>100000</v>
      </c>
    </row>
    <row r="100" spans="1:9" ht="30" x14ac:dyDescent="0.25">
      <c r="A100" s="223"/>
      <c r="B100" s="224"/>
      <c r="C100" s="204" t="s">
        <v>639</v>
      </c>
      <c r="D100" s="190" t="s">
        <v>702</v>
      </c>
      <c r="E100" s="10">
        <v>1</v>
      </c>
      <c r="F100" s="10">
        <v>211864</v>
      </c>
      <c r="G100" s="10">
        <v>211864</v>
      </c>
      <c r="H100" s="203">
        <v>0.18</v>
      </c>
      <c r="I100" s="10">
        <v>250000</v>
      </c>
    </row>
    <row r="101" spans="1:9" x14ac:dyDescent="0.25">
      <c r="A101" s="223"/>
      <c r="B101" s="224"/>
      <c r="C101" s="204" t="s">
        <v>640</v>
      </c>
      <c r="D101" s="190" t="s">
        <v>702</v>
      </c>
      <c r="E101" s="10">
        <v>1</v>
      </c>
      <c r="F101" s="10">
        <v>12000</v>
      </c>
      <c r="G101" s="10">
        <v>12000</v>
      </c>
      <c r="H101" s="203">
        <v>0.18</v>
      </c>
      <c r="I101" s="10">
        <v>14160</v>
      </c>
    </row>
    <row r="102" spans="1:9" ht="30" x14ac:dyDescent="0.25">
      <c r="A102" s="223"/>
      <c r="B102" s="224" t="s">
        <v>734</v>
      </c>
      <c r="C102" s="224"/>
      <c r="D102" s="217"/>
      <c r="E102" s="218">
        <v>3003</v>
      </c>
      <c r="F102" s="218">
        <v>308770</v>
      </c>
      <c r="G102" s="219">
        <v>788610</v>
      </c>
      <c r="H102" s="220">
        <v>0.72</v>
      </c>
      <c r="I102" s="222">
        <v>930560</v>
      </c>
    </row>
    <row r="103" spans="1:9" ht="30" x14ac:dyDescent="0.25">
      <c r="A103" s="223"/>
      <c r="B103" s="224" t="s">
        <v>735</v>
      </c>
      <c r="C103" s="204" t="s">
        <v>676</v>
      </c>
      <c r="D103" s="190" t="s">
        <v>707</v>
      </c>
      <c r="E103" s="10">
        <v>1</v>
      </c>
      <c r="F103" s="10">
        <v>55085</v>
      </c>
      <c r="G103" s="10">
        <v>55085</v>
      </c>
      <c r="H103" s="203">
        <v>0.18</v>
      </c>
      <c r="I103" s="10">
        <v>65000</v>
      </c>
    </row>
    <row r="104" spans="1:9" x14ac:dyDescent="0.25">
      <c r="A104" s="223"/>
      <c r="B104" s="224"/>
      <c r="C104" s="204" t="s">
        <v>677</v>
      </c>
      <c r="D104" s="190" t="s">
        <v>609</v>
      </c>
      <c r="E104" s="10">
        <v>1</v>
      </c>
      <c r="F104" s="10">
        <v>55085</v>
      </c>
      <c r="G104" s="10">
        <v>55085</v>
      </c>
      <c r="H104" s="203">
        <v>0.18</v>
      </c>
      <c r="I104" s="10">
        <v>65000</v>
      </c>
    </row>
    <row r="105" spans="1:9" x14ac:dyDescent="0.25">
      <c r="A105" s="223"/>
      <c r="B105" s="224"/>
      <c r="C105" s="204" t="s">
        <v>679</v>
      </c>
      <c r="D105" s="190" t="s">
        <v>606</v>
      </c>
      <c r="E105" s="10">
        <v>12</v>
      </c>
      <c r="F105" s="10">
        <v>10593</v>
      </c>
      <c r="G105" s="10">
        <v>127118.40000000001</v>
      </c>
      <c r="H105" s="203">
        <v>0.18</v>
      </c>
      <c r="I105" s="10">
        <v>150000</v>
      </c>
    </row>
    <row r="106" spans="1:9" ht="30" x14ac:dyDescent="0.25">
      <c r="A106" s="223"/>
      <c r="B106" s="224" t="s">
        <v>736</v>
      </c>
      <c r="C106" s="224"/>
      <c r="D106" s="217"/>
      <c r="E106" s="218">
        <v>14</v>
      </c>
      <c r="F106" s="218">
        <v>120763</v>
      </c>
      <c r="G106" s="219">
        <v>237288.40000000002</v>
      </c>
      <c r="H106" s="220">
        <v>0.54</v>
      </c>
      <c r="I106" s="222">
        <v>280000</v>
      </c>
    </row>
    <row r="107" spans="1:9" x14ac:dyDescent="0.25">
      <c r="A107" s="223"/>
      <c r="B107" s="224" t="s">
        <v>711</v>
      </c>
      <c r="C107" s="204" t="s">
        <v>612</v>
      </c>
      <c r="D107" s="190" t="s">
        <v>609</v>
      </c>
      <c r="E107" s="10">
        <v>3500</v>
      </c>
      <c r="F107" s="10">
        <v>30</v>
      </c>
      <c r="G107" s="10">
        <v>105000</v>
      </c>
      <c r="H107" s="203">
        <v>0.18</v>
      </c>
      <c r="I107" s="10">
        <v>123900</v>
      </c>
    </row>
    <row r="108" spans="1:9" x14ac:dyDescent="0.25">
      <c r="A108" s="223"/>
      <c r="B108" s="224"/>
      <c r="C108" s="204" t="s">
        <v>613</v>
      </c>
      <c r="D108" s="190" t="s">
        <v>609</v>
      </c>
      <c r="E108" s="10">
        <v>12</v>
      </c>
      <c r="F108" s="10">
        <v>5000</v>
      </c>
      <c r="G108" s="10">
        <v>60000</v>
      </c>
      <c r="H108" s="203">
        <v>0.18</v>
      </c>
      <c r="I108" s="10">
        <v>70800</v>
      </c>
    </row>
    <row r="109" spans="1:9" x14ac:dyDescent="0.25">
      <c r="A109" s="223"/>
      <c r="B109" s="224"/>
      <c r="C109" s="204" t="s">
        <v>614</v>
      </c>
      <c r="D109" s="190" t="s">
        <v>609</v>
      </c>
      <c r="E109" s="10">
        <v>175</v>
      </c>
      <c r="F109" s="10">
        <v>234</v>
      </c>
      <c r="G109" s="10">
        <v>41000.400000000001</v>
      </c>
      <c r="H109" s="203">
        <v>0.18</v>
      </c>
      <c r="I109" s="10">
        <v>48380</v>
      </c>
    </row>
    <row r="110" spans="1:9" x14ac:dyDescent="0.25">
      <c r="A110" s="223"/>
      <c r="B110" s="224"/>
      <c r="C110" s="204" t="s">
        <v>615</v>
      </c>
      <c r="D110" s="190" t="s">
        <v>609</v>
      </c>
      <c r="E110" s="10">
        <v>260</v>
      </c>
      <c r="F110" s="10">
        <v>500</v>
      </c>
      <c r="G110" s="10">
        <v>130000</v>
      </c>
      <c r="H110" s="203">
        <v>0.18</v>
      </c>
      <c r="I110" s="10">
        <v>153400</v>
      </c>
    </row>
    <row r="111" spans="1:9" ht="30" x14ac:dyDescent="0.25">
      <c r="A111" s="223"/>
      <c r="B111" s="224"/>
      <c r="C111" s="204" t="s">
        <v>616</v>
      </c>
      <c r="D111" s="190" t="s">
        <v>706</v>
      </c>
      <c r="E111" s="10">
        <v>130</v>
      </c>
      <c r="F111" s="10">
        <v>1400</v>
      </c>
      <c r="G111" s="10">
        <v>182000</v>
      </c>
      <c r="H111" s="203">
        <v>0.18</v>
      </c>
      <c r="I111" s="10">
        <v>214760</v>
      </c>
    </row>
    <row r="112" spans="1:9" x14ac:dyDescent="0.25">
      <c r="A112" s="223"/>
      <c r="B112" s="224"/>
      <c r="C112" s="204" t="s">
        <v>617</v>
      </c>
      <c r="D112" s="190" t="s">
        <v>705</v>
      </c>
      <c r="E112" s="10">
        <v>24</v>
      </c>
      <c r="F112" s="10">
        <v>6583</v>
      </c>
      <c r="G112" s="10">
        <v>158000.40000000002</v>
      </c>
      <c r="H112" s="203">
        <v>0.18</v>
      </c>
      <c r="I112" s="10">
        <v>186440</v>
      </c>
    </row>
    <row r="113" spans="1:9" x14ac:dyDescent="0.25">
      <c r="A113" s="223"/>
      <c r="B113" s="224" t="s">
        <v>726</v>
      </c>
      <c r="C113" s="224"/>
      <c r="D113" s="217"/>
      <c r="E113" s="218">
        <v>4101</v>
      </c>
      <c r="F113" s="218">
        <v>13747</v>
      </c>
      <c r="G113" s="219">
        <v>676000.8</v>
      </c>
      <c r="H113" s="220">
        <v>1.0799999999999998</v>
      </c>
      <c r="I113" s="222">
        <v>797680</v>
      </c>
    </row>
    <row r="114" spans="1:9" ht="45" x14ac:dyDescent="0.25">
      <c r="A114" s="223"/>
      <c r="B114" s="224" t="s">
        <v>712</v>
      </c>
      <c r="C114" s="204" t="s">
        <v>618</v>
      </c>
      <c r="D114" s="190" t="s">
        <v>609</v>
      </c>
      <c r="E114" s="10">
        <v>1</v>
      </c>
      <c r="F114" s="10">
        <v>1694915</v>
      </c>
      <c r="G114" s="10">
        <v>1694915</v>
      </c>
      <c r="H114" s="203">
        <v>0.18</v>
      </c>
      <c r="I114" s="10">
        <v>2000000</v>
      </c>
    </row>
    <row r="115" spans="1:9" ht="30" x14ac:dyDescent="0.25">
      <c r="A115" s="223"/>
      <c r="B115" s="224"/>
      <c r="C115" s="204" t="s">
        <v>686</v>
      </c>
      <c r="D115" s="190" t="s">
        <v>609</v>
      </c>
      <c r="E115" s="10">
        <v>1</v>
      </c>
      <c r="F115" s="10">
        <v>4534000</v>
      </c>
      <c r="G115" s="10">
        <v>4534000</v>
      </c>
      <c r="H115" s="203">
        <v>0.18</v>
      </c>
      <c r="I115" s="10">
        <v>5350120</v>
      </c>
    </row>
    <row r="116" spans="1:9" x14ac:dyDescent="0.25">
      <c r="A116" s="223"/>
      <c r="B116" s="224"/>
      <c r="C116" s="204" t="s">
        <v>619</v>
      </c>
      <c r="D116" s="190" t="s">
        <v>609</v>
      </c>
      <c r="E116" s="10">
        <v>1</v>
      </c>
      <c r="F116" s="10">
        <v>2795848</v>
      </c>
      <c r="G116" s="10">
        <v>2795848</v>
      </c>
      <c r="H116" s="203">
        <v>0.18</v>
      </c>
      <c r="I116" s="10">
        <v>3299101</v>
      </c>
    </row>
    <row r="117" spans="1:9" ht="60" x14ac:dyDescent="0.25">
      <c r="A117" s="223"/>
      <c r="B117" s="224"/>
      <c r="C117" s="204" t="s">
        <v>622</v>
      </c>
      <c r="D117" s="190" t="s">
        <v>609</v>
      </c>
      <c r="E117" s="10">
        <v>1</v>
      </c>
      <c r="F117" s="10">
        <v>5000000</v>
      </c>
      <c r="G117" s="10">
        <v>5000000</v>
      </c>
      <c r="H117" s="203">
        <v>0.18</v>
      </c>
      <c r="I117" s="10">
        <v>5900000</v>
      </c>
    </row>
    <row r="118" spans="1:9" ht="30" x14ac:dyDescent="0.25">
      <c r="A118" s="223"/>
      <c r="B118" s="224"/>
      <c r="C118" s="204" t="s">
        <v>626</v>
      </c>
      <c r="D118" s="190" t="s">
        <v>609</v>
      </c>
      <c r="E118" s="10">
        <v>12</v>
      </c>
      <c r="F118" s="10">
        <v>10660</v>
      </c>
      <c r="G118" s="10">
        <v>127920</v>
      </c>
      <c r="H118" s="203">
        <v>0.18</v>
      </c>
      <c r="I118" s="10">
        <v>150946</v>
      </c>
    </row>
    <row r="119" spans="1:9" ht="30" x14ac:dyDescent="0.25">
      <c r="A119" s="223"/>
      <c r="B119" s="224"/>
      <c r="C119" s="204" t="s">
        <v>620</v>
      </c>
      <c r="D119" s="190" t="s">
        <v>609</v>
      </c>
      <c r="E119" s="10">
        <v>1</v>
      </c>
      <c r="F119" s="10">
        <v>847458</v>
      </c>
      <c r="G119" s="10">
        <v>847458</v>
      </c>
      <c r="H119" s="203">
        <v>0.18</v>
      </c>
      <c r="I119" s="10">
        <v>1000000</v>
      </c>
    </row>
    <row r="120" spans="1:9" ht="30" x14ac:dyDescent="0.25">
      <c r="A120" s="223"/>
      <c r="B120" s="224"/>
      <c r="C120" s="204" t="s">
        <v>621</v>
      </c>
      <c r="D120" s="190" t="s">
        <v>609</v>
      </c>
      <c r="E120" s="10">
        <v>1</v>
      </c>
      <c r="F120" s="10">
        <v>255000</v>
      </c>
      <c r="G120" s="10">
        <v>255000</v>
      </c>
      <c r="H120" s="203">
        <v>0.18</v>
      </c>
      <c r="I120" s="10">
        <v>300900</v>
      </c>
    </row>
    <row r="121" spans="1:9" ht="45" x14ac:dyDescent="0.25">
      <c r="A121" s="223"/>
      <c r="B121" s="224"/>
      <c r="C121" s="204" t="s">
        <v>625</v>
      </c>
      <c r="D121" s="190" t="s">
        <v>606</v>
      </c>
      <c r="E121" s="10">
        <v>12</v>
      </c>
      <c r="F121" s="10">
        <v>105933</v>
      </c>
      <c r="G121" s="10">
        <v>1271196</v>
      </c>
      <c r="H121" s="203">
        <v>0.18</v>
      </c>
      <c r="I121" s="10">
        <v>1500011</v>
      </c>
    </row>
    <row r="122" spans="1:9" ht="30" x14ac:dyDescent="0.25">
      <c r="A122" s="223"/>
      <c r="B122" s="224" t="s">
        <v>720</v>
      </c>
      <c r="C122" s="224"/>
      <c r="D122" s="217"/>
      <c r="E122" s="218">
        <v>30</v>
      </c>
      <c r="F122" s="218">
        <v>15243814</v>
      </c>
      <c r="G122" s="219">
        <v>16526337</v>
      </c>
      <c r="H122" s="220">
        <v>1.44</v>
      </c>
      <c r="I122" s="222">
        <v>19501078</v>
      </c>
    </row>
    <row r="123" spans="1:9" ht="30" x14ac:dyDescent="0.25">
      <c r="A123" s="223"/>
      <c r="B123" s="224" t="s">
        <v>561</v>
      </c>
      <c r="C123" s="204" t="s">
        <v>598</v>
      </c>
      <c r="D123" s="190" t="s">
        <v>606</v>
      </c>
      <c r="E123" s="10">
        <v>12</v>
      </c>
      <c r="F123" s="10">
        <v>14167</v>
      </c>
      <c r="G123" s="10">
        <v>170000</v>
      </c>
      <c r="H123" s="203">
        <v>0.18</v>
      </c>
      <c r="I123" s="10">
        <v>100000</v>
      </c>
    </row>
    <row r="124" spans="1:9" x14ac:dyDescent="0.25">
      <c r="A124" s="223"/>
      <c r="B124" s="224"/>
      <c r="C124" s="204" t="s">
        <v>600</v>
      </c>
      <c r="D124" s="190" t="s">
        <v>606</v>
      </c>
      <c r="E124" s="10">
        <v>12</v>
      </c>
      <c r="F124" s="10">
        <v>65000</v>
      </c>
      <c r="G124" s="10">
        <v>780000</v>
      </c>
      <c r="H124" s="203">
        <v>0.18</v>
      </c>
      <c r="I124" s="10">
        <v>920400</v>
      </c>
    </row>
    <row r="125" spans="1:9" x14ac:dyDescent="0.25">
      <c r="A125" s="223"/>
      <c r="B125" s="224"/>
      <c r="C125" s="204" t="s">
        <v>601</v>
      </c>
      <c r="D125" s="190" t="s">
        <v>606</v>
      </c>
      <c r="E125" s="10">
        <v>12</v>
      </c>
      <c r="F125" s="10">
        <v>20000</v>
      </c>
      <c r="G125" s="10">
        <v>240000</v>
      </c>
      <c r="H125" s="203">
        <v>0.18</v>
      </c>
      <c r="I125" s="10">
        <v>283200</v>
      </c>
    </row>
    <row r="126" spans="1:9" x14ac:dyDescent="0.25">
      <c r="A126" s="223"/>
      <c r="B126" s="224"/>
      <c r="C126" s="204" t="s">
        <v>603</v>
      </c>
      <c r="D126" s="190" t="s">
        <v>606</v>
      </c>
      <c r="E126" s="10">
        <v>12</v>
      </c>
      <c r="F126" s="10">
        <v>150000</v>
      </c>
      <c r="G126" s="10">
        <v>1800000</v>
      </c>
      <c r="H126" s="203">
        <v>0.18</v>
      </c>
      <c r="I126" s="10">
        <v>2124000</v>
      </c>
    </row>
    <row r="127" spans="1:9" x14ac:dyDescent="0.25">
      <c r="A127" s="223"/>
      <c r="B127" s="224"/>
      <c r="C127" s="204" t="s">
        <v>604</v>
      </c>
      <c r="D127" s="190" t="s">
        <v>609</v>
      </c>
      <c r="E127" s="10">
        <v>1</v>
      </c>
      <c r="F127" s="10">
        <v>805085</v>
      </c>
      <c r="G127" s="10">
        <v>805085</v>
      </c>
      <c r="H127" s="203">
        <v>0.18</v>
      </c>
      <c r="I127" s="10">
        <v>950000</v>
      </c>
    </row>
    <row r="128" spans="1:9" x14ac:dyDescent="0.25">
      <c r="A128" s="223"/>
      <c r="B128" s="224"/>
      <c r="C128" s="204" t="s">
        <v>605</v>
      </c>
      <c r="D128" s="190" t="s">
        <v>606</v>
      </c>
      <c r="E128" s="10">
        <v>12</v>
      </c>
      <c r="F128" s="10">
        <v>42138</v>
      </c>
      <c r="G128" s="10">
        <v>505661</v>
      </c>
      <c r="H128" s="203">
        <v>0.18</v>
      </c>
      <c r="I128" s="10">
        <v>596680</v>
      </c>
    </row>
    <row r="129" spans="1:9" x14ac:dyDescent="0.25">
      <c r="A129" s="223"/>
      <c r="B129" s="224"/>
      <c r="C129" s="204" t="s">
        <v>602</v>
      </c>
      <c r="D129" s="190" t="s">
        <v>606</v>
      </c>
      <c r="E129" s="10">
        <v>12</v>
      </c>
      <c r="F129" s="10">
        <v>385</v>
      </c>
      <c r="G129" s="10">
        <v>4620</v>
      </c>
      <c r="H129" s="203">
        <v>0.18</v>
      </c>
      <c r="I129" s="10">
        <v>5452</v>
      </c>
    </row>
    <row r="130" spans="1:9" x14ac:dyDescent="0.25">
      <c r="A130" s="223"/>
      <c r="B130" s="224"/>
      <c r="C130" s="204" t="s">
        <v>597</v>
      </c>
      <c r="D130" s="190" t="s">
        <v>608</v>
      </c>
      <c r="E130" s="10">
        <v>12</v>
      </c>
      <c r="F130" s="10">
        <v>150</v>
      </c>
      <c r="G130" s="10">
        <v>1800</v>
      </c>
      <c r="H130" s="203">
        <v>0.18</v>
      </c>
      <c r="I130" s="10">
        <v>2124</v>
      </c>
    </row>
    <row r="131" spans="1:9" x14ac:dyDescent="0.25">
      <c r="A131" s="223"/>
      <c r="B131" s="224"/>
      <c r="C131" s="204" t="s">
        <v>599</v>
      </c>
      <c r="D131" s="190" t="s">
        <v>606</v>
      </c>
      <c r="E131" s="10">
        <v>12</v>
      </c>
      <c r="F131" s="10">
        <v>340000</v>
      </c>
      <c r="G131" s="10">
        <v>4080000</v>
      </c>
      <c r="H131" s="203">
        <v>0.18</v>
      </c>
      <c r="I131" s="10">
        <v>4814400</v>
      </c>
    </row>
    <row r="132" spans="1:9" x14ac:dyDescent="0.25">
      <c r="A132" s="223"/>
      <c r="B132" s="224" t="s">
        <v>737</v>
      </c>
      <c r="C132" s="224"/>
      <c r="D132" s="217"/>
      <c r="E132" s="218">
        <v>97</v>
      </c>
      <c r="F132" s="218">
        <v>1436925</v>
      </c>
      <c r="G132" s="219">
        <v>8387166</v>
      </c>
      <c r="H132" s="220">
        <v>1.6199999999999999</v>
      </c>
      <c r="I132" s="222">
        <v>9796256</v>
      </c>
    </row>
    <row r="133" spans="1:9" x14ac:dyDescent="0.25">
      <c r="A133" s="223"/>
      <c r="B133" s="224" t="s">
        <v>713</v>
      </c>
      <c r="C133" s="204" t="s">
        <v>694</v>
      </c>
      <c r="D133" s="190" t="s">
        <v>609</v>
      </c>
      <c r="E133" s="10">
        <v>30</v>
      </c>
      <c r="F133" s="10">
        <v>1115</v>
      </c>
      <c r="G133" s="10">
        <v>33450</v>
      </c>
      <c r="H133" s="203">
        <v>0.18</v>
      </c>
      <c r="I133" s="10">
        <v>39471</v>
      </c>
    </row>
    <row r="134" spans="1:9" x14ac:dyDescent="0.25">
      <c r="A134" s="223"/>
      <c r="B134" s="224"/>
      <c r="C134" s="204" t="s">
        <v>695</v>
      </c>
      <c r="D134" s="190" t="s">
        <v>609</v>
      </c>
      <c r="E134" s="10">
        <v>5</v>
      </c>
      <c r="F134" s="10">
        <v>500</v>
      </c>
      <c r="G134" s="10">
        <v>2500</v>
      </c>
      <c r="H134" s="203">
        <v>0.18</v>
      </c>
      <c r="I134" s="10">
        <v>2950</v>
      </c>
    </row>
    <row r="135" spans="1:9" x14ac:dyDescent="0.25">
      <c r="A135" s="223"/>
      <c r="B135" s="224"/>
      <c r="C135" s="204" t="s">
        <v>696</v>
      </c>
      <c r="D135" s="190" t="s">
        <v>609</v>
      </c>
      <c r="E135" s="10">
        <v>1</v>
      </c>
      <c r="F135" s="10">
        <v>700</v>
      </c>
      <c r="G135" s="10">
        <v>700</v>
      </c>
      <c r="H135" s="203">
        <v>0.18</v>
      </c>
      <c r="I135" s="10">
        <v>826</v>
      </c>
    </row>
    <row r="136" spans="1:9" x14ac:dyDescent="0.25">
      <c r="A136" s="223"/>
      <c r="B136" s="224"/>
      <c r="C136" s="204" t="s">
        <v>688</v>
      </c>
      <c r="D136" s="190" t="s">
        <v>609</v>
      </c>
      <c r="E136" s="10">
        <v>15</v>
      </c>
      <c r="F136" s="10">
        <v>850</v>
      </c>
      <c r="G136" s="10">
        <v>12750</v>
      </c>
      <c r="H136" s="203">
        <v>0.18</v>
      </c>
      <c r="I136" s="10">
        <v>15045</v>
      </c>
    </row>
    <row r="137" spans="1:9" x14ac:dyDescent="0.25">
      <c r="A137" s="223"/>
      <c r="B137" s="224"/>
      <c r="C137" s="204" t="s">
        <v>697</v>
      </c>
      <c r="D137" s="190" t="s">
        <v>606</v>
      </c>
      <c r="E137" s="10">
        <v>12</v>
      </c>
      <c r="F137" s="10">
        <v>4300</v>
      </c>
      <c r="G137" s="10">
        <v>51600</v>
      </c>
      <c r="H137" s="203">
        <v>0.18</v>
      </c>
      <c r="I137" s="10">
        <v>60888</v>
      </c>
    </row>
    <row r="138" spans="1:9" x14ac:dyDescent="0.25">
      <c r="A138" s="223"/>
      <c r="B138" s="224"/>
      <c r="C138" s="204" t="s">
        <v>698</v>
      </c>
      <c r="D138" s="190" t="s">
        <v>609</v>
      </c>
      <c r="E138" s="10">
        <v>10</v>
      </c>
      <c r="F138" s="10">
        <v>80</v>
      </c>
      <c r="G138" s="10">
        <v>800</v>
      </c>
      <c r="H138" s="203">
        <v>0.18</v>
      </c>
      <c r="I138" s="10">
        <v>944</v>
      </c>
    </row>
    <row r="139" spans="1:9" x14ac:dyDescent="0.25">
      <c r="A139" s="223"/>
      <c r="B139" s="224"/>
      <c r="C139" s="204" t="s">
        <v>699</v>
      </c>
      <c r="D139" s="190" t="s">
        <v>609</v>
      </c>
      <c r="E139" s="10">
        <v>20</v>
      </c>
      <c r="F139" s="10">
        <v>300</v>
      </c>
      <c r="G139" s="10">
        <v>6000</v>
      </c>
      <c r="H139" s="203">
        <v>0.18</v>
      </c>
      <c r="I139" s="10">
        <v>7080</v>
      </c>
    </row>
    <row r="140" spans="1:9" ht="30" x14ac:dyDescent="0.25">
      <c r="A140" s="223"/>
      <c r="B140" s="224"/>
      <c r="C140" s="204" t="s">
        <v>689</v>
      </c>
      <c r="D140" s="190" t="s">
        <v>609</v>
      </c>
      <c r="E140" s="10">
        <v>15</v>
      </c>
      <c r="F140" s="10">
        <v>1800</v>
      </c>
      <c r="G140" s="10">
        <v>27000</v>
      </c>
      <c r="H140" s="203">
        <v>0.18</v>
      </c>
      <c r="I140" s="10">
        <v>31860</v>
      </c>
    </row>
    <row r="141" spans="1:9" ht="30" x14ac:dyDescent="0.25">
      <c r="A141" s="223"/>
      <c r="B141" s="224"/>
      <c r="C141" s="204" t="s">
        <v>630</v>
      </c>
      <c r="D141" s="190" t="s">
        <v>609</v>
      </c>
      <c r="E141" s="10">
        <v>12</v>
      </c>
      <c r="F141" s="10">
        <v>2800</v>
      </c>
      <c r="G141" s="10">
        <v>33600</v>
      </c>
      <c r="H141" s="203">
        <v>0.18</v>
      </c>
      <c r="I141" s="10">
        <v>39648</v>
      </c>
    </row>
    <row r="142" spans="1:9" x14ac:dyDescent="0.25">
      <c r="A142" s="223"/>
      <c r="B142" s="224"/>
      <c r="C142" s="204" t="s">
        <v>690</v>
      </c>
      <c r="D142" s="190" t="s">
        <v>609</v>
      </c>
      <c r="E142" s="10">
        <v>1</v>
      </c>
      <c r="F142" s="10">
        <v>5500</v>
      </c>
      <c r="G142" s="10">
        <v>5500</v>
      </c>
      <c r="H142" s="203">
        <v>0.18</v>
      </c>
      <c r="I142" s="10">
        <v>6490</v>
      </c>
    </row>
    <row r="143" spans="1:9" ht="30" x14ac:dyDescent="0.25">
      <c r="A143" s="223"/>
      <c r="B143" s="224"/>
      <c r="C143" s="204" t="s">
        <v>693</v>
      </c>
      <c r="D143" s="190" t="s">
        <v>609</v>
      </c>
      <c r="E143" s="10">
        <v>15</v>
      </c>
      <c r="F143" s="10">
        <v>12800</v>
      </c>
      <c r="G143" s="10">
        <v>192000</v>
      </c>
      <c r="H143" s="203">
        <v>0.18</v>
      </c>
      <c r="I143" s="10">
        <v>226560</v>
      </c>
    </row>
    <row r="144" spans="1:9" x14ac:dyDescent="0.25">
      <c r="A144" s="223"/>
      <c r="B144" s="224"/>
      <c r="C144" s="204" t="s">
        <v>691</v>
      </c>
      <c r="D144" s="190" t="s">
        <v>609</v>
      </c>
      <c r="E144" s="10">
        <v>15</v>
      </c>
      <c r="F144" s="10">
        <v>110</v>
      </c>
      <c r="G144" s="10">
        <v>1650</v>
      </c>
      <c r="H144" s="203">
        <v>0.18</v>
      </c>
      <c r="I144" s="10">
        <v>1947</v>
      </c>
    </row>
    <row r="145" spans="1:9" ht="30" x14ac:dyDescent="0.25">
      <c r="A145" s="223"/>
      <c r="B145" s="224"/>
      <c r="C145" s="204" t="s">
        <v>692</v>
      </c>
      <c r="D145" s="190" t="s">
        <v>609</v>
      </c>
      <c r="E145" s="10">
        <v>15</v>
      </c>
      <c r="F145" s="10">
        <v>1700</v>
      </c>
      <c r="G145" s="10">
        <v>25500</v>
      </c>
      <c r="H145" s="203">
        <v>0.18</v>
      </c>
      <c r="I145" s="10">
        <v>30090</v>
      </c>
    </row>
    <row r="146" spans="1:9" x14ac:dyDescent="0.25">
      <c r="A146" s="223"/>
      <c r="B146" s="224" t="s">
        <v>721</v>
      </c>
      <c r="C146" s="224"/>
      <c r="D146" s="217"/>
      <c r="E146" s="218">
        <v>166</v>
      </c>
      <c r="F146" s="218">
        <v>32555</v>
      </c>
      <c r="G146" s="219">
        <v>393050</v>
      </c>
      <c r="H146" s="220">
        <v>2.34</v>
      </c>
      <c r="I146" s="222">
        <v>463799</v>
      </c>
    </row>
    <row r="147" spans="1:9" x14ac:dyDescent="0.25">
      <c r="A147" s="223"/>
      <c r="B147" s="224" t="s">
        <v>714</v>
      </c>
      <c r="C147" s="204" t="s">
        <v>656</v>
      </c>
      <c r="D147" s="190" t="s">
        <v>609</v>
      </c>
      <c r="E147" s="10">
        <v>2</v>
      </c>
      <c r="F147" s="10">
        <v>75000</v>
      </c>
      <c r="G147" s="10">
        <v>150000</v>
      </c>
      <c r="H147" s="203">
        <v>0.18</v>
      </c>
      <c r="I147" s="10">
        <v>177000</v>
      </c>
    </row>
    <row r="148" spans="1:9" x14ac:dyDescent="0.25">
      <c r="A148" s="223"/>
      <c r="B148" s="224"/>
      <c r="C148" s="204" t="s">
        <v>657</v>
      </c>
      <c r="D148" s="190" t="s">
        <v>609</v>
      </c>
      <c r="E148" s="10">
        <v>2</v>
      </c>
      <c r="F148" s="10">
        <v>16000</v>
      </c>
      <c r="G148" s="10">
        <v>32000</v>
      </c>
      <c r="H148" s="203">
        <v>0.18</v>
      </c>
      <c r="I148" s="10">
        <v>37760</v>
      </c>
    </row>
    <row r="149" spans="1:9" x14ac:dyDescent="0.25">
      <c r="A149" s="223"/>
      <c r="B149" s="224"/>
      <c r="C149" s="204" t="s">
        <v>658</v>
      </c>
      <c r="D149" s="190" t="s">
        <v>609</v>
      </c>
      <c r="E149" s="10">
        <v>2</v>
      </c>
      <c r="F149" s="10">
        <v>89000</v>
      </c>
      <c r="G149" s="10">
        <v>178000</v>
      </c>
      <c r="H149" s="203">
        <v>0.18</v>
      </c>
      <c r="I149" s="10">
        <v>210040</v>
      </c>
    </row>
    <row r="150" spans="1:9" x14ac:dyDescent="0.25">
      <c r="A150" s="223"/>
      <c r="B150" s="224"/>
      <c r="C150" s="204" t="s">
        <v>655</v>
      </c>
      <c r="D150" s="190" t="s">
        <v>606</v>
      </c>
      <c r="E150" s="10">
        <v>12</v>
      </c>
      <c r="F150" s="10">
        <v>5500</v>
      </c>
      <c r="G150" s="10">
        <v>66000</v>
      </c>
      <c r="H150" s="203">
        <v>0.18</v>
      </c>
      <c r="I150" s="10">
        <v>77880</v>
      </c>
    </row>
    <row r="151" spans="1:9" x14ac:dyDescent="0.25">
      <c r="A151" s="223"/>
      <c r="B151" s="224"/>
      <c r="C151" s="204" t="s">
        <v>700</v>
      </c>
      <c r="D151" s="190" t="s">
        <v>606</v>
      </c>
      <c r="E151" s="10">
        <v>12</v>
      </c>
      <c r="F151" s="10">
        <v>3500</v>
      </c>
      <c r="G151" s="10">
        <v>42000</v>
      </c>
      <c r="H151" s="203">
        <v>0.18</v>
      </c>
      <c r="I151" s="10">
        <v>49560</v>
      </c>
    </row>
    <row r="152" spans="1:9" ht="30" x14ac:dyDescent="0.25">
      <c r="A152" s="223"/>
      <c r="B152" s="224"/>
      <c r="C152" s="204" t="s">
        <v>659</v>
      </c>
      <c r="D152" s="190" t="s">
        <v>606</v>
      </c>
      <c r="E152" s="10">
        <v>2</v>
      </c>
      <c r="F152" s="10">
        <v>24000</v>
      </c>
      <c r="G152" s="10">
        <v>48000</v>
      </c>
      <c r="H152" s="203">
        <v>0.18</v>
      </c>
      <c r="I152" s="10">
        <v>56640</v>
      </c>
    </row>
    <row r="153" spans="1:9" ht="30" x14ac:dyDescent="0.25">
      <c r="A153" s="223"/>
      <c r="B153" s="224"/>
      <c r="C153" s="204" t="s">
        <v>660</v>
      </c>
      <c r="D153" s="190" t="s">
        <v>703</v>
      </c>
      <c r="E153" s="10">
        <v>1</v>
      </c>
      <c r="F153" s="10">
        <v>120000</v>
      </c>
      <c r="G153" s="10">
        <v>120000</v>
      </c>
      <c r="H153" s="203">
        <v>0.18</v>
      </c>
      <c r="I153" s="10">
        <v>141600</v>
      </c>
    </row>
    <row r="154" spans="1:9" ht="30" x14ac:dyDescent="0.25">
      <c r="A154" s="223"/>
      <c r="B154" s="224"/>
      <c r="C154" s="204" t="s">
        <v>661</v>
      </c>
      <c r="D154" s="190" t="s">
        <v>703</v>
      </c>
      <c r="E154" s="10">
        <v>1</v>
      </c>
      <c r="F154" s="10">
        <v>36000</v>
      </c>
      <c r="G154" s="10">
        <v>36000</v>
      </c>
      <c r="H154" s="203">
        <v>0.18</v>
      </c>
      <c r="I154" s="10">
        <v>42480</v>
      </c>
    </row>
    <row r="155" spans="1:9" ht="30" x14ac:dyDescent="0.25">
      <c r="A155" s="223"/>
      <c r="B155" s="224"/>
      <c r="C155" s="204" t="s">
        <v>662</v>
      </c>
      <c r="D155" s="190" t="s">
        <v>703</v>
      </c>
      <c r="E155" s="10">
        <v>1</v>
      </c>
      <c r="F155" s="10">
        <v>180000</v>
      </c>
      <c r="G155" s="10">
        <v>180000</v>
      </c>
      <c r="H155" s="203">
        <v>0.18</v>
      </c>
      <c r="I155" s="10">
        <v>212400</v>
      </c>
    </row>
    <row r="156" spans="1:9" ht="45" x14ac:dyDescent="0.25">
      <c r="A156" s="223"/>
      <c r="B156" s="224"/>
      <c r="C156" s="204" t="s">
        <v>663</v>
      </c>
      <c r="D156" s="190" t="s">
        <v>703</v>
      </c>
      <c r="E156" s="10">
        <v>1</v>
      </c>
      <c r="F156" s="10">
        <v>24000</v>
      </c>
      <c r="G156" s="10">
        <v>24000</v>
      </c>
      <c r="H156" s="203">
        <v>0.18</v>
      </c>
      <c r="I156" s="10">
        <v>28320</v>
      </c>
    </row>
    <row r="157" spans="1:9" ht="30" x14ac:dyDescent="0.25">
      <c r="A157" s="223"/>
      <c r="B157" s="224"/>
      <c r="C157" s="204" t="s">
        <v>664</v>
      </c>
      <c r="D157" s="190" t="s">
        <v>703</v>
      </c>
      <c r="E157" s="10">
        <v>1</v>
      </c>
      <c r="F157" s="10">
        <v>36000</v>
      </c>
      <c r="G157" s="10">
        <v>36000</v>
      </c>
      <c r="H157" s="203">
        <v>0.18</v>
      </c>
      <c r="I157" s="10">
        <v>42480</v>
      </c>
    </row>
    <row r="158" spans="1:9" ht="30" x14ac:dyDescent="0.25">
      <c r="A158" s="223"/>
      <c r="B158" s="224" t="s">
        <v>727</v>
      </c>
      <c r="C158" s="224"/>
      <c r="D158" s="217"/>
      <c r="E158" s="218">
        <v>37</v>
      </c>
      <c r="F158" s="218">
        <v>609000</v>
      </c>
      <c r="G158" s="219">
        <v>912000</v>
      </c>
      <c r="H158" s="220">
        <v>1.9799999999999998</v>
      </c>
      <c r="I158" s="222">
        <v>1076160</v>
      </c>
    </row>
    <row r="159" spans="1:9" ht="45" x14ac:dyDescent="0.25">
      <c r="A159" s="223"/>
      <c r="B159" s="224" t="s">
        <v>738</v>
      </c>
      <c r="C159" s="204" t="s">
        <v>666</v>
      </c>
      <c r="D159" s="190" t="s">
        <v>606</v>
      </c>
      <c r="E159" s="10">
        <v>12</v>
      </c>
      <c r="F159" s="10">
        <v>4600</v>
      </c>
      <c r="G159" s="10">
        <v>55200</v>
      </c>
      <c r="H159" s="203">
        <v>0.18</v>
      </c>
      <c r="I159" s="10">
        <v>65136</v>
      </c>
    </row>
    <row r="160" spans="1:9" x14ac:dyDescent="0.25">
      <c r="A160" s="223"/>
      <c r="B160" s="224"/>
      <c r="C160" s="204" t="s">
        <v>667</v>
      </c>
      <c r="D160" s="190" t="s">
        <v>606</v>
      </c>
      <c r="E160" s="10">
        <v>12</v>
      </c>
      <c r="F160" s="10">
        <v>30000</v>
      </c>
      <c r="G160" s="10">
        <v>360000</v>
      </c>
      <c r="H160" s="203">
        <v>0.18</v>
      </c>
      <c r="I160" s="10">
        <v>424800</v>
      </c>
    </row>
    <row r="161" spans="1:9" ht="30" x14ac:dyDescent="0.25">
      <c r="A161" s="223"/>
      <c r="B161" s="224"/>
      <c r="C161" s="204" t="s">
        <v>665</v>
      </c>
      <c r="D161" s="190" t="s">
        <v>609</v>
      </c>
      <c r="E161" s="10">
        <v>50</v>
      </c>
      <c r="F161" s="10">
        <v>180</v>
      </c>
      <c r="G161" s="10">
        <v>500</v>
      </c>
      <c r="H161" s="203">
        <v>0.18</v>
      </c>
      <c r="I161" s="10">
        <v>10620</v>
      </c>
    </row>
    <row r="162" spans="1:9" ht="30" x14ac:dyDescent="0.25">
      <c r="A162" s="223"/>
      <c r="B162" s="224"/>
      <c r="C162" s="204" t="s">
        <v>678</v>
      </c>
      <c r="D162" s="190" t="s">
        <v>702</v>
      </c>
      <c r="E162" s="10">
        <v>12</v>
      </c>
      <c r="F162" s="10">
        <v>10593</v>
      </c>
      <c r="G162" s="10">
        <v>127118.40000000001</v>
      </c>
      <c r="H162" s="203">
        <v>0.18</v>
      </c>
      <c r="I162" s="10">
        <v>150000</v>
      </c>
    </row>
    <row r="163" spans="1:9" x14ac:dyDescent="0.25">
      <c r="A163" s="223"/>
      <c r="B163" s="224"/>
      <c r="C163" s="204" t="s">
        <v>683</v>
      </c>
      <c r="D163" s="190" t="s">
        <v>702</v>
      </c>
      <c r="E163" s="10">
        <v>1</v>
      </c>
      <c r="F163" s="10">
        <v>254237</v>
      </c>
      <c r="G163" s="10">
        <v>254237</v>
      </c>
      <c r="H163" s="203">
        <v>0.18</v>
      </c>
      <c r="I163" s="10">
        <v>300000</v>
      </c>
    </row>
    <row r="164" spans="1:9" ht="30" x14ac:dyDescent="0.25">
      <c r="A164" s="223"/>
      <c r="B164" s="224"/>
      <c r="C164" s="204" t="s">
        <v>680</v>
      </c>
      <c r="D164" s="190" t="s">
        <v>704</v>
      </c>
      <c r="E164" s="10">
        <v>1</v>
      </c>
      <c r="F164" s="10">
        <v>42373</v>
      </c>
      <c r="G164" s="10">
        <v>42373</v>
      </c>
      <c r="H164" s="203">
        <v>0.18</v>
      </c>
      <c r="I164" s="10">
        <v>50000</v>
      </c>
    </row>
    <row r="165" spans="1:9" ht="30" x14ac:dyDescent="0.25">
      <c r="A165" s="223"/>
      <c r="B165" s="224"/>
      <c r="C165" s="204" t="s">
        <v>648</v>
      </c>
      <c r="D165" s="190" t="s">
        <v>702</v>
      </c>
      <c r="E165" s="10">
        <v>1</v>
      </c>
      <c r="F165" s="10">
        <v>20593</v>
      </c>
      <c r="G165" s="10">
        <v>20593</v>
      </c>
      <c r="H165" s="203">
        <v>0.18</v>
      </c>
      <c r="I165" s="10">
        <v>24300</v>
      </c>
    </row>
    <row r="166" spans="1:9" ht="30" x14ac:dyDescent="0.25">
      <c r="A166" s="223"/>
      <c r="B166" s="224"/>
      <c r="C166" s="204" t="s">
        <v>649</v>
      </c>
      <c r="D166" s="190" t="s">
        <v>702</v>
      </c>
      <c r="E166" s="10">
        <v>1</v>
      </c>
      <c r="F166" s="10">
        <v>100000</v>
      </c>
      <c r="G166" s="10">
        <v>100000</v>
      </c>
      <c r="H166" s="203">
        <v>0.18</v>
      </c>
      <c r="I166" s="10">
        <v>118000</v>
      </c>
    </row>
    <row r="167" spans="1:9" ht="30" x14ac:dyDescent="0.25">
      <c r="A167" s="223"/>
      <c r="B167" s="224"/>
      <c r="C167" s="204" t="s">
        <v>650</v>
      </c>
      <c r="D167" s="190" t="s">
        <v>702</v>
      </c>
      <c r="E167" s="10">
        <v>1</v>
      </c>
      <c r="F167" s="10">
        <v>15000</v>
      </c>
      <c r="G167" s="10">
        <v>15000</v>
      </c>
      <c r="H167" s="203">
        <v>0.18</v>
      </c>
      <c r="I167" s="10">
        <v>17700</v>
      </c>
    </row>
    <row r="168" spans="1:9" ht="30" x14ac:dyDescent="0.25">
      <c r="A168" s="223"/>
      <c r="B168" s="224"/>
      <c r="C168" s="204" t="s">
        <v>651</v>
      </c>
      <c r="D168" s="190" t="s">
        <v>606</v>
      </c>
      <c r="E168" s="10">
        <v>12</v>
      </c>
      <c r="F168" s="10">
        <v>21188</v>
      </c>
      <c r="G168" s="10">
        <v>254250</v>
      </c>
      <c r="H168" s="203">
        <v>0.18</v>
      </c>
      <c r="I168" s="10">
        <v>300015</v>
      </c>
    </row>
    <row r="169" spans="1:9" ht="30" x14ac:dyDescent="0.25">
      <c r="A169" s="223"/>
      <c r="B169" s="224"/>
      <c r="C169" s="204" t="s">
        <v>739</v>
      </c>
      <c r="D169" s="190" t="s">
        <v>702</v>
      </c>
      <c r="E169" s="10">
        <v>1</v>
      </c>
      <c r="F169" s="10">
        <v>80000</v>
      </c>
      <c r="G169" s="10">
        <v>80000</v>
      </c>
      <c r="H169" s="203">
        <v>0.18</v>
      </c>
      <c r="I169" s="10">
        <v>94400</v>
      </c>
    </row>
    <row r="170" spans="1:9" ht="30" x14ac:dyDescent="0.25">
      <c r="A170" s="223"/>
      <c r="B170" s="224"/>
      <c r="C170" s="204" t="s">
        <v>669</v>
      </c>
      <c r="D170" s="190" t="s">
        <v>702</v>
      </c>
      <c r="E170" s="10">
        <v>1</v>
      </c>
      <c r="F170" s="10">
        <v>255000</v>
      </c>
      <c r="G170" s="10">
        <v>255000</v>
      </c>
      <c r="H170" s="203">
        <v>0.18</v>
      </c>
      <c r="I170" s="10">
        <v>300900</v>
      </c>
    </row>
    <row r="171" spans="1:9" ht="45" x14ac:dyDescent="0.25">
      <c r="A171" s="223"/>
      <c r="B171" s="224"/>
      <c r="C171" s="204" t="s">
        <v>685</v>
      </c>
      <c r="D171" s="190" t="s">
        <v>704</v>
      </c>
      <c r="E171" s="10">
        <v>12</v>
      </c>
      <c r="F171" s="10">
        <v>11500</v>
      </c>
      <c r="G171" s="10">
        <v>138000</v>
      </c>
      <c r="H171" s="203">
        <v>0.18</v>
      </c>
      <c r="I171" s="10">
        <v>162840</v>
      </c>
    </row>
    <row r="172" spans="1:9" ht="45" x14ac:dyDescent="0.25">
      <c r="A172" s="223"/>
      <c r="B172" s="224"/>
      <c r="C172" s="204" t="s">
        <v>684</v>
      </c>
      <c r="D172" s="190" t="s">
        <v>702</v>
      </c>
      <c r="E172" s="10">
        <v>1</v>
      </c>
      <c r="F172" s="10">
        <v>169492</v>
      </c>
      <c r="G172" s="10">
        <v>169491.7</v>
      </c>
      <c r="H172" s="203">
        <v>0.18</v>
      </c>
      <c r="I172" s="10">
        <v>200000</v>
      </c>
    </row>
    <row r="173" spans="1:9" ht="45" x14ac:dyDescent="0.25">
      <c r="A173" s="223"/>
      <c r="B173" s="224" t="s">
        <v>740</v>
      </c>
      <c r="C173" s="224"/>
      <c r="D173" s="217"/>
      <c r="E173" s="218">
        <v>118</v>
      </c>
      <c r="F173" s="218">
        <v>1014756</v>
      </c>
      <c r="G173" s="219">
        <v>1871763.0999999999</v>
      </c>
      <c r="H173" s="220">
        <v>2.5199999999999996</v>
      </c>
      <c r="I173" s="222">
        <v>2218711</v>
      </c>
    </row>
    <row r="174" spans="1:9" x14ac:dyDescent="0.25">
      <c r="A174" s="223"/>
      <c r="B174" s="224" t="s">
        <v>741</v>
      </c>
      <c r="C174" s="204" t="s">
        <v>652</v>
      </c>
      <c r="D174" s="190" t="s">
        <v>609</v>
      </c>
      <c r="E174" s="10">
        <v>1</v>
      </c>
      <c r="F174" s="10">
        <v>1026600</v>
      </c>
      <c r="G174" s="10">
        <v>1026600</v>
      </c>
      <c r="H174" s="203">
        <v>0</v>
      </c>
      <c r="I174" s="10">
        <v>1026600</v>
      </c>
    </row>
    <row r="175" spans="1:9" x14ac:dyDescent="0.25">
      <c r="A175" s="223"/>
      <c r="B175" s="224"/>
      <c r="C175" s="204" t="s">
        <v>653</v>
      </c>
      <c r="D175" s="190" t="s">
        <v>609</v>
      </c>
      <c r="E175" s="10">
        <v>1</v>
      </c>
      <c r="F175" s="10">
        <v>118000</v>
      </c>
      <c r="G175" s="10">
        <v>118000</v>
      </c>
      <c r="H175" s="203">
        <v>0</v>
      </c>
      <c r="I175" s="10">
        <v>118000</v>
      </c>
    </row>
    <row r="176" spans="1:9" x14ac:dyDescent="0.25">
      <c r="A176" s="223"/>
      <c r="B176" s="224"/>
      <c r="C176" s="204" t="s">
        <v>654</v>
      </c>
      <c r="D176" s="190" t="s">
        <v>609</v>
      </c>
      <c r="E176" s="10">
        <v>1</v>
      </c>
      <c r="F176" s="10">
        <v>28320</v>
      </c>
      <c r="G176" s="10">
        <v>28320</v>
      </c>
      <c r="H176" s="203">
        <v>0</v>
      </c>
      <c r="I176" s="10">
        <v>28320</v>
      </c>
    </row>
    <row r="177" spans="1:10" x14ac:dyDescent="0.25">
      <c r="A177" s="223"/>
      <c r="B177" s="224" t="s">
        <v>742</v>
      </c>
      <c r="C177" s="224"/>
      <c r="D177" s="217"/>
      <c r="E177" s="218">
        <v>3</v>
      </c>
      <c r="F177" s="218">
        <v>1172920</v>
      </c>
      <c r="G177" s="219">
        <v>1172920</v>
      </c>
      <c r="H177" s="220">
        <v>0</v>
      </c>
      <c r="I177" s="222">
        <v>1172920</v>
      </c>
    </row>
    <row r="178" spans="1:10" ht="30" x14ac:dyDescent="0.25">
      <c r="B178" s="224" t="s">
        <v>751</v>
      </c>
      <c r="C178" s="204" t="s">
        <v>331</v>
      </c>
      <c r="D178" s="217"/>
      <c r="E178" s="218"/>
      <c r="F178" s="218"/>
      <c r="G178" s="214">
        <v>1500000</v>
      </c>
      <c r="H178" s="220"/>
      <c r="I178" s="214">
        <v>1500000</v>
      </c>
    </row>
    <row r="179" spans="1:10" ht="30" x14ac:dyDescent="0.25">
      <c r="A179" s="223"/>
      <c r="B179" s="224"/>
      <c r="C179" s="204" t="s">
        <v>375</v>
      </c>
      <c r="D179" s="190"/>
      <c r="E179" s="10"/>
      <c r="F179" s="10"/>
      <c r="G179" s="10">
        <v>150000</v>
      </c>
      <c r="H179" s="203"/>
      <c r="I179" s="10">
        <v>150000</v>
      </c>
    </row>
    <row r="180" spans="1:10" x14ac:dyDescent="0.25">
      <c r="A180" s="223"/>
      <c r="B180" s="224"/>
      <c r="C180" s="204" t="s">
        <v>328</v>
      </c>
      <c r="D180" s="190"/>
      <c r="E180" s="10"/>
      <c r="F180" s="10"/>
      <c r="G180" s="10">
        <v>624996</v>
      </c>
      <c r="H180" s="203"/>
      <c r="I180" s="10">
        <v>624996</v>
      </c>
    </row>
    <row r="181" spans="1:10" ht="30" x14ac:dyDescent="0.25">
      <c r="A181" s="223"/>
      <c r="B181" s="224"/>
      <c r="C181" s="204" t="s">
        <v>374</v>
      </c>
      <c r="D181" s="190"/>
      <c r="E181" s="10"/>
      <c r="F181" s="10"/>
      <c r="G181" s="10">
        <v>639996</v>
      </c>
      <c r="H181" s="203"/>
      <c r="I181" s="10">
        <v>639996</v>
      </c>
    </row>
    <row r="182" spans="1:10" x14ac:dyDescent="0.25">
      <c r="A182" s="223"/>
      <c r="B182" s="224"/>
      <c r="C182" s="204" t="s">
        <v>373</v>
      </c>
      <c r="D182" s="190"/>
      <c r="E182" s="10"/>
      <c r="F182" s="10"/>
      <c r="G182" s="10">
        <v>768000</v>
      </c>
      <c r="H182" s="203"/>
      <c r="I182" s="10">
        <v>768000</v>
      </c>
    </row>
    <row r="183" spans="1:10" x14ac:dyDescent="0.25">
      <c r="A183" s="223"/>
      <c r="B183" s="224"/>
      <c r="C183" s="204" t="s">
        <v>329</v>
      </c>
      <c r="D183" s="190"/>
      <c r="E183" s="10"/>
      <c r="F183" s="10"/>
      <c r="G183" s="10">
        <v>999996</v>
      </c>
      <c r="H183" s="203"/>
      <c r="I183" s="10">
        <v>999996</v>
      </c>
    </row>
    <row r="184" spans="1:10" x14ac:dyDescent="0.25">
      <c r="A184" s="223"/>
      <c r="B184" s="224"/>
      <c r="C184" s="204" t="s">
        <v>330</v>
      </c>
      <c r="D184" s="190"/>
      <c r="E184" s="10"/>
      <c r="F184" s="10"/>
      <c r="G184" s="10">
        <v>600000</v>
      </c>
      <c r="H184" s="203"/>
      <c r="I184" s="10">
        <v>600000</v>
      </c>
    </row>
    <row r="185" spans="1:10" ht="30" x14ac:dyDescent="0.25">
      <c r="A185" s="223"/>
      <c r="B185" s="224"/>
      <c r="C185" s="204" t="s">
        <v>743</v>
      </c>
      <c r="D185" s="190"/>
      <c r="E185" s="10"/>
      <c r="F185" s="10"/>
      <c r="G185" s="10">
        <v>30000</v>
      </c>
      <c r="H185" s="203"/>
      <c r="I185" s="10">
        <v>30000</v>
      </c>
    </row>
    <row r="186" spans="1:10" ht="30" x14ac:dyDescent="0.25">
      <c r="A186" s="223"/>
      <c r="B186" s="224" t="s">
        <v>752</v>
      </c>
      <c r="C186" s="224"/>
      <c r="D186" s="217"/>
      <c r="E186" s="218"/>
      <c r="F186" s="218"/>
      <c r="G186" s="222">
        <f>SUM(G178:G185)</f>
        <v>5312988</v>
      </c>
      <c r="H186" s="220"/>
      <c r="I186" s="222">
        <f>SUM(I178:I185)</f>
        <v>5312988</v>
      </c>
    </row>
    <row r="187" spans="1:10" x14ac:dyDescent="0.25">
      <c r="A187" s="223" t="s">
        <v>728</v>
      </c>
      <c r="B187" s="224"/>
      <c r="C187" s="224"/>
      <c r="D187" s="217"/>
      <c r="E187" s="218">
        <v>9662</v>
      </c>
      <c r="F187" s="218">
        <v>23747825</v>
      </c>
      <c r="G187" s="222">
        <f>SUM(G186,G177,G173,G158,G146,G132,G122,G113,G106,G102,G97,G92,G85,G83,G71,G69,G62,G58)</f>
        <v>43447956.299999997</v>
      </c>
      <c r="H187" s="220">
        <v>18.049999999999994</v>
      </c>
      <c r="I187" s="222">
        <f>SUM(I186,I177,I173,I158,I146,I132,I122,I113,I106,I102,I97,I92,I85,I83,I71,I69,I62,I58)</f>
        <v>49968774</v>
      </c>
      <c r="J187" s="1" t="e">
        <f>GETPIVOTDATA("[Measures].[Sum of Износ]",BU_pomosen_sporedben!$A$5,"[fActualAndBudget].[ReportType]","[fActualAndBudget].[ReportType].&amp;[План]","[fActualAndBudget].[StavkaKategorija]","[fActualAndBudget].[StavkaKategorija].&amp;[2.37. Останати оперативни расходи]","[Calendar].[Година]","[Calendar].[Година].&amp;[2021]")-'Analiza OPEX 2021 (2)'!I187</f>
        <v>#REF!</v>
      </c>
    </row>
  </sheetData>
  <pageMargins left="0.7" right="0.7" top="0.75" bottom="0.75" header="0.3" footer="0.3"/>
  <pageSetup paperSize="9" orientation="portrait"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3">
    <tabColor rgb="FFFFC000"/>
  </sheetPr>
  <dimension ref="A3:I74"/>
  <sheetViews>
    <sheetView workbookViewId="0">
      <selection activeCell="B48" sqref="B48"/>
    </sheetView>
  </sheetViews>
  <sheetFormatPr defaultRowHeight="15" x14ac:dyDescent="0.25"/>
  <cols>
    <col min="1" max="1" width="50.85546875" customWidth="1"/>
    <col min="2" max="2" width="13.85546875" customWidth="1"/>
    <col min="3" max="4" width="11.140625" hidden="1" customWidth="1"/>
    <col min="5" max="5" width="11.140625" bestFit="1" customWidth="1"/>
    <col min="6" max="6" width="17.140625" hidden="1" customWidth="1"/>
    <col min="7" max="7" width="15.28515625" bestFit="1" customWidth="1"/>
    <col min="8" max="8" width="12.7109375" customWidth="1"/>
    <col min="9" max="9" width="11.140625" bestFit="1" customWidth="1"/>
    <col min="10" max="10" width="20.28515625" bestFit="1" customWidth="1"/>
    <col min="11" max="11" width="12.7109375" bestFit="1" customWidth="1"/>
    <col min="12" max="13" width="10.140625" bestFit="1" customWidth="1"/>
    <col min="14" max="14" width="11.140625" bestFit="1" customWidth="1"/>
    <col min="15" max="16" width="10.140625" bestFit="1" customWidth="1"/>
    <col min="17" max="17" width="13.140625" bestFit="1" customWidth="1"/>
    <col min="18" max="19" width="11.140625" bestFit="1" customWidth="1"/>
    <col min="20" max="20" width="10.140625" bestFit="1" customWidth="1"/>
    <col min="21" max="21" width="13.140625" bestFit="1" customWidth="1"/>
    <col min="22" max="22" width="10.28515625" bestFit="1" customWidth="1"/>
    <col min="23" max="24" width="10.140625" bestFit="1" customWidth="1"/>
    <col min="25" max="25" width="13.140625" bestFit="1" customWidth="1"/>
    <col min="26" max="26" width="10.28515625" bestFit="1" customWidth="1"/>
    <col min="27" max="28" width="10.140625" bestFit="1" customWidth="1"/>
    <col min="29" max="29" width="13.140625" bestFit="1" customWidth="1"/>
    <col min="30" max="30" width="10.28515625" bestFit="1" customWidth="1"/>
    <col min="31" max="32" width="10.140625" bestFit="1" customWidth="1"/>
    <col min="33" max="33" width="13.140625" bestFit="1" customWidth="1"/>
    <col min="34" max="34" width="11.140625" bestFit="1" customWidth="1"/>
    <col min="35" max="35" width="13.140625" bestFit="1" customWidth="1"/>
    <col min="36" max="36" width="12.7109375" bestFit="1" customWidth="1"/>
    <col min="37" max="37" width="9" bestFit="1" customWidth="1"/>
    <col min="38" max="41" width="11" bestFit="1" customWidth="1"/>
  </cols>
  <sheetData>
    <row r="3" spans="1:9" x14ac:dyDescent="0.25">
      <c r="A3" s="187" t="s">
        <v>244</v>
      </c>
      <c r="B3" s="188" t="s" vm="12">
        <v>245</v>
      </c>
    </row>
    <row r="4" spans="1:9" ht="30" x14ac:dyDescent="0.25">
      <c r="B4" s="186" t="s">
        <v>301</v>
      </c>
      <c r="C4" s="186"/>
      <c r="D4" s="186" t="s">
        <v>239</v>
      </c>
      <c r="E4" s="186" t="s">
        <v>239</v>
      </c>
      <c r="F4" s="186"/>
      <c r="G4" s="11" t="s">
        <v>757</v>
      </c>
    </row>
    <row r="5" spans="1:9" x14ac:dyDescent="0.25">
      <c r="A5" s="187" t="s">
        <v>136</v>
      </c>
      <c r="B5" s="187" t="s">
        <v>137</v>
      </c>
      <c r="C5" s="188"/>
      <c r="D5" s="188"/>
      <c r="E5" s="308"/>
      <c r="F5" s="188"/>
      <c r="G5" s="188"/>
      <c r="H5" s="188"/>
      <c r="I5" s="188"/>
    </row>
    <row r="6" spans="1:9" x14ac:dyDescent="0.25">
      <c r="A6" s="188"/>
      <c r="B6" s="188" t="s">
        <v>301</v>
      </c>
      <c r="C6" s="188"/>
      <c r="D6" s="188"/>
      <c r="E6" s="188" t="s">
        <v>239</v>
      </c>
      <c r="F6" s="188"/>
      <c r="G6" s="308"/>
      <c r="H6" s="188" t="s">
        <v>248</v>
      </c>
      <c r="I6" s="188"/>
    </row>
    <row r="7" spans="1:9" x14ac:dyDescent="0.25">
      <c r="A7" s="187" t="s">
        <v>242</v>
      </c>
      <c r="B7" s="190">
        <v>2019</v>
      </c>
      <c r="C7" s="188">
        <v>2020</v>
      </c>
      <c r="D7" s="188">
        <v>2021</v>
      </c>
      <c r="E7" s="190">
        <v>2019</v>
      </c>
      <c r="F7" s="190">
        <v>2020</v>
      </c>
      <c r="G7" s="309">
        <v>2021</v>
      </c>
      <c r="H7" s="190">
        <v>2019</v>
      </c>
      <c r="I7" s="190">
        <v>2020</v>
      </c>
    </row>
    <row r="8" spans="1:9" hidden="1" x14ac:dyDescent="0.25">
      <c r="A8" s="189" t="s">
        <v>376</v>
      </c>
      <c r="B8" s="10"/>
      <c r="C8" s="10"/>
      <c r="D8" s="10"/>
      <c r="E8" s="10"/>
      <c r="F8" s="10"/>
      <c r="G8" s="307"/>
      <c r="H8" s="10"/>
      <c r="I8" s="10"/>
    </row>
    <row r="9" spans="1:9" hidden="1" x14ac:dyDescent="0.25">
      <c r="A9" s="229" t="s">
        <v>763</v>
      </c>
      <c r="B9" s="10">
        <v>174076087</v>
      </c>
      <c r="C9" s="10">
        <v>176082377</v>
      </c>
      <c r="D9" s="10">
        <v>158832144</v>
      </c>
      <c r="E9" s="10">
        <v>0</v>
      </c>
      <c r="F9" s="10">
        <v>188191194</v>
      </c>
      <c r="G9" s="307">
        <v>175035695</v>
      </c>
      <c r="H9" s="10">
        <v>0</v>
      </c>
      <c r="I9" s="10">
        <v>0</v>
      </c>
    </row>
    <row r="10" spans="1:9" hidden="1" x14ac:dyDescent="0.25">
      <c r="A10" s="229" t="s">
        <v>764</v>
      </c>
      <c r="B10" s="10">
        <v>2713114</v>
      </c>
      <c r="C10" s="10">
        <v>2247849</v>
      </c>
      <c r="D10" s="10">
        <v>1982682</v>
      </c>
      <c r="E10" s="10">
        <v>0</v>
      </c>
      <c r="F10" s="10">
        <v>1919284</v>
      </c>
      <c r="G10" s="307">
        <v>2474236</v>
      </c>
      <c r="H10" s="10">
        <v>0</v>
      </c>
      <c r="I10" s="10">
        <v>0</v>
      </c>
    </row>
    <row r="11" spans="1:9" hidden="1" x14ac:dyDescent="0.25">
      <c r="A11" s="229" t="s">
        <v>765</v>
      </c>
      <c r="B11" s="10">
        <v>12050341</v>
      </c>
      <c r="C11" s="10">
        <v>9819066</v>
      </c>
      <c r="D11" s="10">
        <v>22226037</v>
      </c>
      <c r="E11" s="10">
        <v>0</v>
      </c>
      <c r="F11" s="10">
        <v>11094063</v>
      </c>
      <c r="G11" s="307">
        <v>10150753</v>
      </c>
      <c r="H11" s="10">
        <v>0</v>
      </c>
      <c r="I11" s="10">
        <v>0</v>
      </c>
    </row>
    <row r="12" spans="1:9" hidden="1" x14ac:dyDescent="0.25">
      <c r="A12" s="229" t="s">
        <v>994</v>
      </c>
      <c r="B12" s="10">
        <v>0</v>
      </c>
      <c r="C12" s="10">
        <v>0</v>
      </c>
      <c r="D12" s="10"/>
      <c r="E12" s="10">
        <v>0</v>
      </c>
      <c r="F12" s="10">
        <v>0</v>
      </c>
      <c r="G12" s="307">
        <v>0</v>
      </c>
      <c r="H12" s="10">
        <v>0</v>
      </c>
      <c r="I12" s="10">
        <v>0</v>
      </c>
    </row>
    <row r="13" spans="1:9" hidden="1" x14ac:dyDescent="0.25">
      <c r="A13" s="229" t="s">
        <v>1328</v>
      </c>
      <c r="B13" s="10"/>
      <c r="C13" s="10"/>
      <c r="D13" s="10"/>
      <c r="E13" s="10">
        <v>0</v>
      </c>
      <c r="F13" s="10">
        <v>9428570</v>
      </c>
      <c r="G13" s="307">
        <v>7624000</v>
      </c>
      <c r="H13" s="10"/>
      <c r="I13" s="10"/>
    </row>
    <row r="14" spans="1:9" hidden="1" x14ac:dyDescent="0.25">
      <c r="A14" s="229" t="s">
        <v>1090</v>
      </c>
      <c r="B14" s="10"/>
      <c r="C14" s="10"/>
      <c r="D14" s="10">
        <v>18919141</v>
      </c>
      <c r="E14" s="10"/>
      <c r="F14" s="10"/>
      <c r="G14" s="307"/>
      <c r="H14" s="10"/>
      <c r="I14" s="10"/>
    </row>
    <row r="15" spans="1:9" hidden="1" x14ac:dyDescent="0.25">
      <c r="A15" s="229" t="s">
        <v>766</v>
      </c>
      <c r="B15" s="10">
        <v>1387743</v>
      </c>
      <c r="C15" s="10">
        <v>1000581</v>
      </c>
      <c r="D15" s="10">
        <v>982380</v>
      </c>
      <c r="E15" s="10">
        <v>0</v>
      </c>
      <c r="F15" s="10">
        <v>1119922</v>
      </c>
      <c r="G15" s="307">
        <v>1241397</v>
      </c>
      <c r="H15" s="10">
        <v>0</v>
      </c>
      <c r="I15" s="10">
        <v>0</v>
      </c>
    </row>
    <row r="16" spans="1:9" hidden="1" x14ac:dyDescent="0.25">
      <c r="A16" s="229" t="s">
        <v>995</v>
      </c>
      <c r="B16" s="10">
        <v>0</v>
      </c>
      <c r="C16" s="10">
        <v>0</v>
      </c>
      <c r="D16" s="10">
        <v>0</v>
      </c>
      <c r="E16" s="10"/>
      <c r="F16" s="10"/>
      <c r="G16" s="307"/>
      <c r="H16" s="10">
        <v>0</v>
      </c>
      <c r="I16" s="10">
        <v>0</v>
      </c>
    </row>
    <row r="17" spans="1:9" hidden="1" x14ac:dyDescent="0.25">
      <c r="A17" s="229" t="s">
        <v>767</v>
      </c>
      <c r="B17" s="10">
        <v>1362191</v>
      </c>
      <c r="C17" s="10">
        <v>1054180</v>
      </c>
      <c r="D17" s="10">
        <v>886099</v>
      </c>
      <c r="E17" s="10">
        <v>0</v>
      </c>
      <c r="F17" s="10">
        <v>1340046</v>
      </c>
      <c r="G17" s="307">
        <v>1229150</v>
      </c>
      <c r="H17" s="10">
        <v>0</v>
      </c>
      <c r="I17" s="10">
        <v>0</v>
      </c>
    </row>
    <row r="18" spans="1:9" hidden="1" x14ac:dyDescent="0.25">
      <c r="A18" s="229" t="s">
        <v>768</v>
      </c>
      <c r="B18" s="10">
        <v>128116</v>
      </c>
      <c r="C18" s="10">
        <v>39196</v>
      </c>
      <c r="D18" s="10">
        <v>36413</v>
      </c>
      <c r="E18" s="10">
        <v>0</v>
      </c>
      <c r="F18" s="10">
        <v>140166</v>
      </c>
      <c r="G18" s="307">
        <v>88818</v>
      </c>
      <c r="H18" s="10">
        <v>0</v>
      </c>
      <c r="I18" s="10">
        <v>0</v>
      </c>
    </row>
    <row r="19" spans="1:9" hidden="1" x14ac:dyDescent="0.25">
      <c r="A19" s="229" t="s">
        <v>769</v>
      </c>
      <c r="B19" s="10">
        <v>199657</v>
      </c>
      <c r="C19" s="10">
        <v>149531</v>
      </c>
      <c r="D19" s="10">
        <v>204631</v>
      </c>
      <c r="E19" s="10">
        <v>0</v>
      </c>
      <c r="F19" s="10">
        <v>179594</v>
      </c>
      <c r="G19" s="307">
        <v>169698</v>
      </c>
      <c r="H19" s="10">
        <v>0</v>
      </c>
      <c r="I19" s="10">
        <v>0</v>
      </c>
    </row>
    <row r="20" spans="1:9" hidden="1" x14ac:dyDescent="0.25">
      <c r="A20" s="229" t="s">
        <v>770</v>
      </c>
      <c r="B20" s="10">
        <v>15284396</v>
      </c>
      <c r="C20" s="10">
        <v>11771385</v>
      </c>
      <c r="D20" s="10">
        <v>13573277</v>
      </c>
      <c r="E20" s="10">
        <v>0</v>
      </c>
      <c r="F20" s="10">
        <v>15564582</v>
      </c>
      <c r="G20" s="307">
        <v>12367605</v>
      </c>
      <c r="H20" s="10">
        <v>0</v>
      </c>
      <c r="I20" s="10">
        <v>0</v>
      </c>
    </row>
    <row r="21" spans="1:9" hidden="1" x14ac:dyDescent="0.25">
      <c r="A21" s="229" t="s">
        <v>771</v>
      </c>
      <c r="B21" s="10">
        <v>79244</v>
      </c>
      <c r="C21" s="10">
        <v>139623</v>
      </c>
      <c r="D21" s="10">
        <v>55744</v>
      </c>
      <c r="E21" s="10">
        <v>0</v>
      </c>
      <c r="F21" s="10">
        <v>71887</v>
      </c>
      <c r="G21" s="307">
        <v>59430</v>
      </c>
      <c r="H21" s="10">
        <v>0</v>
      </c>
      <c r="I21" s="10">
        <v>0</v>
      </c>
    </row>
    <row r="22" spans="1:9" hidden="1" x14ac:dyDescent="0.25">
      <c r="A22" s="229" t="s">
        <v>772</v>
      </c>
      <c r="B22" s="10">
        <v>121059542</v>
      </c>
      <c r="C22" s="10">
        <v>112844829</v>
      </c>
      <c r="D22" s="10">
        <v>139241480</v>
      </c>
      <c r="E22" s="10">
        <v>0</v>
      </c>
      <c r="F22" s="10">
        <v>121033450</v>
      </c>
      <c r="G22" s="307">
        <v>118249449</v>
      </c>
      <c r="H22" s="10">
        <v>0</v>
      </c>
      <c r="I22" s="10">
        <v>0</v>
      </c>
    </row>
    <row r="23" spans="1:9" hidden="1" x14ac:dyDescent="0.25">
      <c r="A23" s="189" t="s">
        <v>377</v>
      </c>
      <c r="B23" s="10"/>
      <c r="C23" s="10"/>
      <c r="D23" s="10"/>
      <c r="E23" s="10"/>
      <c r="F23" s="10"/>
      <c r="G23" s="307"/>
      <c r="H23" s="10"/>
      <c r="I23" s="10"/>
    </row>
    <row r="24" spans="1:9" hidden="1" x14ac:dyDescent="0.25">
      <c r="A24" s="229" t="s">
        <v>996</v>
      </c>
      <c r="B24" s="10">
        <v>0</v>
      </c>
      <c r="C24" s="10">
        <v>0</v>
      </c>
      <c r="D24" s="10">
        <v>14309</v>
      </c>
      <c r="E24" s="10"/>
      <c r="F24" s="10"/>
      <c r="G24" s="307"/>
      <c r="H24" s="10">
        <v>0</v>
      </c>
      <c r="I24" s="10">
        <v>0</v>
      </c>
    </row>
    <row r="25" spans="1:9" hidden="1" x14ac:dyDescent="0.25">
      <c r="A25" s="229" t="s">
        <v>589</v>
      </c>
      <c r="B25" s="10">
        <v>136507</v>
      </c>
      <c r="C25" s="10">
        <v>28143</v>
      </c>
      <c r="D25" s="10">
        <v>16885</v>
      </c>
      <c r="E25" s="10">
        <v>0</v>
      </c>
      <c r="F25" s="10">
        <v>285644</v>
      </c>
      <c r="G25" s="307">
        <v>146</v>
      </c>
      <c r="H25" s="10">
        <v>0</v>
      </c>
      <c r="I25" s="10">
        <v>0</v>
      </c>
    </row>
    <row r="26" spans="1:9" hidden="1" x14ac:dyDescent="0.25">
      <c r="A26" s="229" t="s">
        <v>997</v>
      </c>
      <c r="B26" s="10"/>
      <c r="C26" s="10"/>
      <c r="D26" s="10"/>
      <c r="E26" s="10">
        <v>0</v>
      </c>
      <c r="F26" s="10"/>
      <c r="G26" s="307"/>
      <c r="H26" s="10"/>
      <c r="I26" s="10"/>
    </row>
    <row r="27" spans="1:9" hidden="1" x14ac:dyDescent="0.25">
      <c r="A27" s="229" t="s">
        <v>590</v>
      </c>
      <c r="B27" s="10">
        <v>15847383</v>
      </c>
      <c r="C27" s="10">
        <v>4715772</v>
      </c>
      <c r="D27" s="10">
        <v>4715772</v>
      </c>
      <c r="E27" s="10">
        <v>0</v>
      </c>
      <c r="F27" s="10">
        <v>4715772</v>
      </c>
      <c r="G27" s="307">
        <v>5530772</v>
      </c>
      <c r="H27" s="10">
        <v>0</v>
      </c>
      <c r="I27" s="10">
        <v>0</v>
      </c>
    </row>
    <row r="28" spans="1:9" hidden="1" x14ac:dyDescent="0.25">
      <c r="A28" s="229" t="s">
        <v>998</v>
      </c>
      <c r="B28" s="10"/>
      <c r="C28" s="10"/>
      <c r="D28" s="10"/>
      <c r="E28" s="10">
        <v>0</v>
      </c>
      <c r="F28" s="10"/>
      <c r="G28" s="307"/>
      <c r="H28" s="10"/>
      <c r="I28" s="10"/>
    </row>
    <row r="29" spans="1:9" x14ac:dyDescent="0.25">
      <c r="A29" s="229" t="s">
        <v>999</v>
      </c>
      <c r="B29" s="10">
        <v>0</v>
      </c>
      <c r="C29" s="10">
        <v>0</v>
      </c>
      <c r="D29" s="10"/>
      <c r="E29" s="10"/>
      <c r="F29" s="10"/>
      <c r="G29" s="307"/>
      <c r="H29" s="10">
        <v>0</v>
      </c>
      <c r="I29" s="10">
        <v>0</v>
      </c>
    </row>
    <row r="30" spans="1:9" x14ac:dyDescent="0.25">
      <c r="A30" s="310" t="s">
        <v>378</v>
      </c>
      <c r="B30" s="307"/>
      <c r="C30" s="307"/>
      <c r="D30" s="307"/>
      <c r="E30" s="307"/>
      <c r="F30" s="307"/>
      <c r="G30" s="307"/>
      <c r="H30" s="307"/>
      <c r="I30" s="307"/>
    </row>
    <row r="31" spans="1:9" x14ac:dyDescent="0.25">
      <c r="A31" s="229" t="s">
        <v>585</v>
      </c>
      <c r="B31" s="307">
        <v>5291995</v>
      </c>
      <c r="C31" s="307">
        <v>4320465</v>
      </c>
      <c r="D31" s="307">
        <v>2971264</v>
      </c>
      <c r="E31" s="307">
        <v>0</v>
      </c>
      <c r="F31" s="307">
        <v>5420052</v>
      </c>
      <c r="G31" s="307">
        <v>5265084</v>
      </c>
      <c r="H31" s="307">
        <v>0</v>
      </c>
      <c r="I31" s="307">
        <v>0</v>
      </c>
    </row>
    <row r="32" spans="1:9" x14ac:dyDescent="0.25">
      <c r="A32" s="229" t="s">
        <v>586</v>
      </c>
      <c r="B32" s="307">
        <v>91991</v>
      </c>
      <c r="C32" s="307">
        <v>10112</v>
      </c>
      <c r="D32" s="307">
        <v>7831</v>
      </c>
      <c r="E32" s="307">
        <v>0</v>
      </c>
      <c r="F32" s="307">
        <v>122952</v>
      </c>
      <c r="G32" s="307">
        <v>24996</v>
      </c>
      <c r="H32" s="307">
        <v>0</v>
      </c>
      <c r="I32" s="307">
        <v>0</v>
      </c>
    </row>
    <row r="33" spans="1:9" x14ac:dyDescent="0.25">
      <c r="A33" s="229" t="s">
        <v>587</v>
      </c>
      <c r="B33" s="307">
        <v>1812239</v>
      </c>
      <c r="C33" s="307">
        <v>4299624</v>
      </c>
      <c r="D33" s="307">
        <v>2306349</v>
      </c>
      <c r="E33" s="307">
        <v>0</v>
      </c>
      <c r="F33" s="307">
        <v>2966088</v>
      </c>
      <c r="G33" s="307">
        <v>3045468</v>
      </c>
      <c r="H33" s="307">
        <v>0</v>
      </c>
      <c r="I33" s="307">
        <v>0</v>
      </c>
    </row>
    <row r="34" spans="1:9" x14ac:dyDescent="0.25">
      <c r="A34" s="229" t="s">
        <v>588</v>
      </c>
      <c r="B34" s="307">
        <v>1670896</v>
      </c>
      <c r="C34" s="307">
        <v>163451</v>
      </c>
      <c r="D34" s="307">
        <v>294526</v>
      </c>
      <c r="E34" s="307">
        <v>0</v>
      </c>
      <c r="F34" s="307">
        <v>1943394</v>
      </c>
      <c r="G34" s="307">
        <v>847248</v>
      </c>
      <c r="H34" s="307">
        <v>0</v>
      </c>
      <c r="I34" s="307">
        <v>0</v>
      </c>
    </row>
    <row r="35" spans="1:9" x14ac:dyDescent="0.25">
      <c r="A35" s="310" t="s">
        <v>386</v>
      </c>
      <c r="B35" s="307"/>
      <c r="C35" s="307"/>
      <c r="D35" s="307"/>
      <c r="E35" s="307"/>
      <c r="F35" s="307"/>
      <c r="G35" s="307"/>
      <c r="H35" s="307"/>
      <c r="I35" s="307"/>
    </row>
    <row r="36" spans="1:9" x14ac:dyDescent="0.25">
      <c r="A36" s="229" t="s">
        <v>564</v>
      </c>
      <c r="B36" s="10">
        <v>231102582</v>
      </c>
      <c r="C36" s="10">
        <v>230846283</v>
      </c>
      <c r="D36" s="10">
        <v>230861452</v>
      </c>
      <c r="E36" s="10">
        <v>0</v>
      </c>
      <c r="F36" s="10">
        <v>252209220</v>
      </c>
      <c r="G36" s="307">
        <v>234171147</v>
      </c>
      <c r="H36" s="10">
        <v>0</v>
      </c>
      <c r="I36" s="10">
        <v>0</v>
      </c>
    </row>
    <row r="37" spans="1:9" x14ac:dyDescent="0.25">
      <c r="A37" s="189" t="s">
        <v>243</v>
      </c>
      <c r="B37" s="10"/>
      <c r="C37" s="10"/>
      <c r="D37" s="10"/>
      <c r="E37" s="10"/>
      <c r="F37" s="10"/>
      <c r="G37" s="307"/>
      <c r="H37" s="10"/>
      <c r="I37" s="10"/>
    </row>
    <row r="38" spans="1:9" x14ac:dyDescent="0.25">
      <c r="A38" s="229" t="s">
        <v>569</v>
      </c>
      <c r="B38" s="10">
        <v>29711340</v>
      </c>
      <c r="C38" s="10">
        <v>34645388</v>
      </c>
      <c r="D38" s="10">
        <v>41686069</v>
      </c>
      <c r="E38" s="10">
        <v>0</v>
      </c>
      <c r="F38" s="10">
        <v>38970368</v>
      </c>
      <c r="G38" s="307">
        <v>36719996</v>
      </c>
      <c r="H38" s="10">
        <v>0</v>
      </c>
      <c r="I38" s="10">
        <v>0</v>
      </c>
    </row>
    <row r="39" spans="1:9" s="233" customFormat="1" x14ac:dyDescent="0.25">
      <c r="A39" s="189" t="s">
        <v>824</v>
      </c>
      <c r="B39" s="10">
        <v>70027</v>
      </c>
      <c r="C39" s="10">
        <v>92265</v>
      </c>
      <c r="D39" s="10">
        <v>0</v>
      </c>
      <c r="E39" s="10"/>
      <c r="F39" s="10"/>
      <c r="G39" s="307"/>
      <c r="H39" s="10">
        <v>0</v>
      </c>
      <c r="I39" s="10">
        <v>0</v>
      </c>
    </row>
    <row r="40" spans="1:9" s="233" customFormat="1" x14ac:dyDescent="0.25">
      <c r="A40" s="310" t="s">
        <v>396</v>
      </c>
      <c r="B40" s="307"/>
      <c r="C40" s="307"/>
      <c r="D40" s="307"/>
      <c r="E40" s="307"/>
      <c r="F40" s="307"/>
      <c r="G40" s="307"/>
      <c r="H40" s="307"/>
      <c r="I40" s="307"/>
    </row>
    <row r="41" spans="1:9" s="233" customFormat="1" x14ac:dyDescent="0.25">
      <c r="A41" s="231" t="s">
        <v>553</v>
      </c>
      <c r="B41" s="232">
        <v>305442</v>
      </c>
      <c r="C41" s="232">
        <v>261083</v>
      </c>
      <c r="D41" s="232">
        <v>281344</v>
      </c>
      <c r="E41" s="232">
        <v>0</v>
      </c>
      <c r="F41" s="232">
        <v>300012</v>
      </c>
      <c r="G41" s="232">
        <v>300015</v>
      </c>
      <c r="H41" s="232">
        <v>0</v>
      </c>
      <c r="I41" s="232">
        <v>0</v>
      </c>
    </row>
    <row r="42" spans="1:9" x14ac:dyDescent="0.25">
      <c r="A42" s="231" t="s">
        <v>554</v>
      </c>
      <c r="B42" s="232">
        <v>1111230</v>
      </c>
      <c r="C42" s="232">
        <v>908211</v>
      </c>
      <c r="D42" s="232">
        <v>921566</v>
      </c>
      <c r="E42" s="232">
        <v>0</v>
      </c>
      <c r="F42" s="232">
        <v>970085</v>
      </c>
      <c r="G42" s="232">
        <v>1172920</v>
      </c>
      <c r="H42" s="232">
        <v>0</v>
      </c>
      <c r="I42" s="232">
        <v>0</v>
      </c>
    </row>
    <row r="43" spans="1:9" x14ac:dyDescent="0.25">
      <c r="A43" s="231" t="s">
        <v>555</v>
      </c>
      <c r="B43" s="232">
        <v>1655782</v>
      </c>
      <c r="C43" s="232">
        <v>406088</v>
      </c>
      <c r="D43" s="232">
        <v>113362</v>
      </c>
      <c r="E43" s="232">
        <v>0</v>
      </c>
      <c r="F43" s="232">
        <v>2455812</v>
      </c>
      <c r="G43" s="232">
        <v>1176600</v>
      </c>
      <c r="H43" s="232">
        <v>0</v>
      </c>
      <c r="I43" s="232">
        <v>0</v>
      </c>
    </row>
    <row r="44" spans="1:9" x14ac:dyDescent="0.25">
      <c r="A44" s="231" t="s">
        <v>1000</v>
      </c>
      <c r="B44" s="232">
        <v>0</v>
      </c>
      <c r="C44" s="232">
        <v>0</v>
      </c>
      <c r="D44" s="232">
        <v>568</v>
      </c>
      <c r="E44" s="232"/>
      <c r="F44" s="232"/>
      <c r="G44" s="232"/>
      <c r="H44" s="232">
        <v>0</v>
      </c>
      <c r="I44" s="232">
        <v>0</v>
      </c>
    </row>
    <row r="45" spans="1:9" x14ac:dyDescent="0.25">
      <c r="A45" s="231" t="s">
        <v>1001</v>
      </c>
      <c r="B45" s="232">
        <v>819000</v>
      </c>
      <c r="C45" s="232">
        <v>0</v>
      </c>
      <c r="D45" s="232">
        <v>944973</v>
      </c>
      <c r="E45" s="232">
        <v>0</v>
      </c>
      <c r="F45" s="232"/>
      <c r="G45" s="232">
        <v>1711000</v>
      </c>
      <c r="H45" s="232">
        <v>0</v>
      </c>
      <c r="I45" s="232">
        <v>0</v>
      </c>
    </row>
    <row r="46" spans="1:9" x14ac:dyDescent="0.25">
      <c r="A46" s="231" t="s">
        <v>556</v>
      </c>
      <c r="B46" s="232">
        <v>11987160</v>
      </c>
      <c r="C46" s="232">
        <v>822747</v>
      </c>
      <c r="D46" s="232">
        <v>772520</v>
      </c>
      <c r="E46" s="232">
        <v>0</v>
      </c>
      <c r="F46" s="232">
        <v>889852</v>
      </c>
      <c r="G46" s="232">
        <v>810912</v>
      </c>
      <c r="H46" s="232">
        <v>0</v>
      </c>
      <c r="I46" s="232">
        <v>0</v>
      </c>
    </row>
    <row r="47" spans="1:9" x14ac:dyDescent="0.25">
      <c r="A47" s="231" t="s">
        <v>557</v>
      </c>
      <c r="B47" s="232">
        <v>141440</v>
      </c>
      <c r="C47" s="232">
        <v>57250</v>
      </c>
      <c r="D47" s="232">
        <v>0</v>
      </c>
      <c r="E47" s="232">
        <v>0</v>
      </c>
      <c r="F47" s="232">
        <v>201780</v>
      </c>
      <c r="G47" s="232">
        <v>60180</v>
      </c>
      <c r="H47" s="232">
        <v>0</v>
      </c>
      <c r="I47" s="232">
        <v>0</v>
      </c>
    </row>
    <row r="48" spans="1:9" x14ac:dyDescent="0.25">
      <c r="A48" s="231" t="s">
        <v>558</v>
      </c>
      <c r="B48" s="232">
        <v>2389285</v>
      </c>
      <c r="C48" s="232">
        <v>2679804</v>
      </c>
      <c r="D48" s="232">
        <v>2446228</v>
      </c>
      <c r="E48" s="232">
        <v>0</v>
      </c>
      <c r="F48" s="232">
        <v>3517164</v>
      </c>
      <c r="G48" s="232">
        <v>2903461</v>
      </c>
      <c r="H48" s="232">
        <v>0</v>
      </c>
      <c r="I48" s="232">
        <v>0</v>
      </c>
    </row>
    <row r="49" spans="1:9" x14ac:dyDescent="0.25">
      <c r="A49" s="231" t="s">
        <v>559</v>
      </c>
      <c r="B49" s="232">
        <v>15212685</v>
      </c>
      <c r="C49" s="232">
        <v>10154137</v>
      </c>
      <c r="D49" s="232">
        <v>10166523</v>
      </c>
      <c r="E49" s="232">
        <v>0</v>
      </c>
      <c r="F49" s="232">
        <v>15802452</v>
      </c>
      <c r="G49" s="232">
        <v>14118291</v>
      </c>
      <c r="H49" s="232">
        <v>174512</v>
      </c>
      <c r="I49" s="232">
        <v>0</v>
      </c>
    </row>
    <row r="50" spans="1:9" x14ac:dyDescent="0.25">
      <c r="A50" s="231" t="s">
        <v>560</v>
      </c>
      <c r="B50" s="232">
        <v>378219</v>
      </c>
      <c r="C50" s="232">
        <v>110198</v>
      </c>
      <c r="D50" s="232">
        <v>139305</v>
      </c>
      <c r="E50" s="232">
        <v>0</v>
      </c>
      <c r="F50" s="232">
        <v>1372896</v>
      </c>
      <c r="G50" s="232">
        <v>1000002</v>
      </c>
      <c r="H50" s="232">
        <v>0</v>
      </c>
      <c r="I50" s="232">
        <v>0</v>
      </c>
    </row>
    <row r="51" spans="1:9" hidden="1" x14ac:dyDescent="0.25">
      <c r="A51" s="231" t="s">
        <v>561</v>
      </c>
      <c r="B51" s="232">
        <v>8997873</v>
      </c>
      <c r="C51" s="232">
        <v>8958367</v>
      </c>
      <c r="D51" s="232">
        <v>8331686</v>
      </c>
      <c r="E51" s="232">
        <v>0</v>
      </c>
      <c r="F51" s="232">
        <v>8338104</v>
      </c>
      <c r="G51" s="232">
        <v>9796252</v>
      </c>
      <c r="H51" s="232">
        <v>0</v>
      </c>
      <c r="I51" s="232">
        <v>0</v>
      </c>
    </row>
    <row r="52" spans="1:9" hidden="1" x14ac:dyDescent="0.25">
      <c r="A52" s="231" t="s">
        <v>562</v>
      </c>
      <c r="B52" s="232">
        <v>376819</v>
      </c>
      <c r="C52" s="232">
        <v>696289</v>
      </c>
      <c r="D52" s="232">
        <v>572586</v>
      </c>
      <c r="E52" s="232">
        <v>0</v>
      </c>
      <c r="F52" s="232">
        <v>1004180</v>
      </c>
      <c r="G52" s="232">
        <v>609285</v>
      </c>
      <c r="H52" s="232">
        <v>0</v>
      </c>
      <c r="I52" s="232">
        <v>0</v>
      </c>
    </row>
    <row r="53" spans="1:9" hidden="1" x14ac:dyDescent="0.25">
      <c r="A53" s="231" t="s">
        <v>563</v>
      </c>
      <c r="B53" s="232">
        <v>13146087</v>
      </c>
      <c r="C53" s="232">
        <v>13487824</v>
      </c>
      <c r="D53" s="232">
        <v>12987102</v>
      </c>
      <c r="E53" s="232">
        <v>0</v>
      </c>
      <c r="F53" s="232">
        <v>16012460</v>
      </c>
      <c r="G53" s="232">
        <v>13850952</v>
      </c>
      <c r="H53" s="232">
        <v>0</v>
      </c>
      <c r="I53" s="232">
        <v>0</v>
      </c>
    </row>
    <row r="54" spans="1:9" hidden="1" x14ac:dyDescent="0.25">
      <c r="A54" s="189" t="s">
        <v>450</v>
      </c>
      <c r="B54" s="10"/>
      <c r="C54" s="10"/>
      <c r="D54" s="10"/>
      <c r="E54" s="10"/>
      <c r="F54" s="10"/>
      <c r="G54" s="307"/>
      <c r="H54" s="10"/>
      <c r="I54" s="10"/>
    </row>
    <row r="55" spans="1:9" hidden="1" x14ac:dyDescent="0.25">
      <c r="A55" s="229" t="s">
        <v>773</v>
      </c>
      <c r="B55" s="10">
        <v>4946</v>
      </c>
      <c r="C55" s="10">
        <v>1831</v>
      </c>
      <c r="D55" s="10">
        <v>1881</v>
      </c>
      <c r="E55" s="10">
        <v>0</v>
      </c>
      <c r="F55" s="10">
        <v>22346</v>
      </c>
      <c r="G55" s="307">
        <v>3164</v>
      </c>
      <c r="H55" s="10">
        <v>0</v>
      </c>
      <c r="I55" s="10">
        <v>0</v>
      </c>
    </row>
    <row r="56" spans="1:9" hidden="1" x14ac:dyDescent="0.25">
      <c r="A56" s="229" t="s">
        <v>774</v>
      </c>
      <c r="B56" s="10">
        <v>928</v>
      </c>
      <c r="C56" s="10">
        <v>1137</v>
      </c>
      <c r="D56" s="10">
        <v>4605</v>
      </c>
      <c r="E56" s="10">
        <v>0</v>
      </c>
      <c r="F56" s="10">
        <v>623</v>
      </c>
      <c r="G56" s="307">
        <v>1158</v>
      </c>
      <c r="H56" s="10">
        <v>0</v>
      </c>
      <c r="I56" s="10">
        <v>0</v>
      </c>
    </row>
    <row r="57" spans="1:9" x14ac:dyDescent="0.25">
      <c r="A57" s="189" t="s">
        <v>472</v>
      </c>
      <c r="B57" s="10"/>
      <c r="C57" s="10"/>
      <c r="D57" s="10"/>
      <c r="E57" s="10"/>
      <c r="F57" s="10"/>
      <c r="G57" s="307"/>
      <c r="H57" s="10"/>
      <c r="I57" s="10"/>
    </row>
    <row r="58" spans="1:9" x14ac:dyDescent="0.25">
      <c r="A58" s="229" t="s">
        <v>1002</v>
      </c>
      <c r="B58" s="10">
        <v>0</v>
      </c>
      <c r="C58" s="10">
        <v>0</v>
      </c>
      <c r="D58" s="10"/>
      <c r="E58" s="10"/>
      <c r="F58" s="10"/>
      <c r="G58" s="307"/>
      <c r="H58" s="10">
        <v>0</v>
      </c>
      <c r="I58" s="10">
        <v>0</v>
      </c>
    </row>
    <row r="59" spans="1:9" x14ac:dyDescent="0.25">
      <c r="A59" s="229" t="s">
        <v>775</v>
      </c>
      <c r="B59" s="10">
        <v>4517431</v>
      </c>
      <c r="C59" s="10">
        <v>681</v>
      </c>
      <c r="D59" s="10">
        <v>202884</v>
      </c>
      <c r="E59" s="10"/>
      <c r="F59" s="10"/>
      <c r="G59" s="307">
        <v>1900</v>
      </c>
      <c r="H59" s="10">
        <v>0</v>
      </c>
      <c r="I59" s="10">
        <v>0</v>
      </c>
    </row>
    <row r="60" spans="1:9" x14ac:dyDescent="0.25">
      <c r="A60" s="229" t="s">
        <v>776</v>
      </c>
      <c r="B60" s="10">
        <v>65003</v>
      </c>
      <c r="C60" s="10">
        <v>56676</v>
      </c>
      <c r="D60" s="10">
        <v>2713360</v>
      </c>
      <c r="E60" s="10"/>
      <c r="F60" s="10"/>
      <c r="G60" s="307">
        <v>80000</v>
      </c>
      <c r="H60" s="10">
        <v>0</v>
      </c>
      <c r="I60" s="10">
        <v>0</v>
      </c>
    </row>
    <row r="72" hidden="1" x14ac:dyDescent="0.25"/>
    <row r="73" hidden="1" x14ac:dyDescent="0.25"/>
    <row r="74" hidden="1" x14ac:dyDescent="0.25"/>
  </sheetData>
  <pageMargins left="0.7" right="0.7" top="0.75" bottom="0.75" header="0.3" footer="0.3"/>
  <pageSetup paperSize="9" orientation="portrait"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FFC000"/>
    <pageSetUpPr fitToPage="1"/>
  </sheetPr>
  <dimension ref="A1:C1726"/>
  <sheetViews>
    <sheetView topLeftCell="A151" zoomScale="130" zoomScaleNormal="130" workbookViewId="0">
      <selection activeCell="A156" sqref="A156"/>
    </sheetView>
  </sheetViews>
  <sheetFormatPr defaultRowHeight="15" x14ac:dyDescent="0.25"/>
  <cols>
    <col min="1" max="1" width="56.28515625" style="2" customWidth="1"/>
    <col min="2" max="2" width="28.7109375" style="36" bestFit="1" customWidth="1"/>
    <col min="3" max="4" width="15.140625" bestFit="1" customWidth="1"/>
    <col min="5" max="5" width="14.7109375" customWidth="1"/>
    <col min="6" max="6" width="15.140625" bestFit="1" customWidth="1"/>
    <col min="7" max="7" width="16.28515625" bestFit="1" customWidth="1"/>
    <col min="8" max="13" width="10.140625" bestFit="1" customWidth="1"/>
    <col min="14" max="14" width="11.140625" bestFit="1" customWidth="1"/>
    <col min="15" max="15" width="15.140625" bestFit="1" customWidth="1"/>
    <col min="16" max="16" width="15.28515625" bestFit="1" customWidth="1"/>
    <col min="17" max="17" width="13.140625" bestFit="1" customWidth="1"/>
    <col min="18" max="18" width="15.140625" bestFit="1" customWidth="1"/>
    <col min="19" max="19" width="11.140625" bestFit="1" customWidth="1"/>
    <col min="20" max="20" width="10.140625" bestFit="1" customWidth="1"/>
    <col min="21" max="21" width="13.140625" bestFit="1" customWidth="1"/>
    <col min="22" max="22" width="10.28515625" bestFit="1" customWidth="1"/>
    <col min="23" max="24" width="10.140625" bestFit="1" customWidth="1"/>
    <col min="25" max="25" width="13.140625" bestFit="1" customWidth="1"/>
    <col min="26" max="26" width="10.28515625" bestFit="1" customWidth="1"/>
    <col min="27" max="28" width="10.140625" bestFit="1" customWidth="1"/>
    <col min="29" max="29" width="13.140625" bestFit="1" customWidth="1"/>
    <col min="30" max="30" width="10.28515625" bestFit="1" customWidth="1"/>
    <col min="31" max="32" width="10.140625" bestFit="1" customWidth="1"/>
    <col min="33" max="33" width="13.140625" bestFit="1" customWidth="1"/>
    <col min="34" max="34" width="11.140625" bestFit="1" customWidth="1"/>
    <col min="35" max="35" width="13.140625" bestFit="1" customWidth="1"/>
    <col min="36" max="36" width="12.7109375" bestFit="1" customWidth="1"/>
    <col min="37" max="37" width="9" bestFit="1" customWidth="1"/>
    <col min="38" max="41" width="11" bestFit="1" customWidth="1"/>
  </cols>
  <sheetData>
    <row r="1" spans="1:3" x14ac:dyDescent="0.25">
      <c r="A1"/>
      <c r="B1"/>
    </row>
    <row r="2" spans="1:3" x14ac:dyDescent="0.25">
      <c r="A2" s="4" t="s">
        <v>244</v>
      </c>
      <c r="B2" t="s" vm="2778">
        <v>245</v>
      </c>
    </row>
    <row r="4" spans="1:3" x14ac:dyDescent="0.25">
      <c r="A4" s="4" t="s">
        <v>242</v>
      </c>
      <c r="B4" s="94" t="s">
        <v>1334</v>
      </c>
    </row>
    <row r="5" spans="1:3" x14ac:dyDescent="0.25">
      <c r="A5" s="6" t="s">
        <v>378</v>
      </c>
      <c r="B5" s="94">
        <v>20193000</v>
      </c>
    </row>
    <row r="6" spans="1:3" x14ac:dyDescent="0.25">
      <c r="A6" s="7" t="s">
        <v>585</v>
      </c>
      <c r="B6" s="94">
        <v>15720000</v>
      </c>
    </row>
    <row r="7" spans="1:3" x14ac:dyDescent="0.25">
      <c r="A7" s="174" t="s">
        <v>539</v>
      </c>
      <c r="B7" s="94">
        <v>48000</v>
      </c>
    </row>
    <row r="8" spans="1:3" x14ac:dyDescent="0.25">
      <c r="A8" s="174" t="s">
        <v>540</v>
      </c>
      <c r="B8" s="94">
        <v>48000</v>
      </c>
    </row>
    <row r="9" spans="1:3" x14ac:dyDescent="0.25">
      <c r="A9" s="174" t="s">
        <v>541</v>
      </c>
      <c r="B9" s="94">
        <v>48000</v>
      </c>
    </row>
    <row r="10" spans="1:3" x14ac:dyDescent="0.25">
      <c r="A10" s="174" t="s">
        <v>542</v>
      </c>
      <c r="B10" s="94">
        <v>48000</v>
      </c>
    </row>
    <row r="11" spans="1:3" x14ac:dyDescent="0.25">
      <c r="A11" s="174" t="s">
        <v>543</v>
      </c>
      <c r="B11" s="94">
        <v>48000</v>
      </c>
    </row>
    <row r="12" spans="1:3" x14ac:dyDescent="0.25">
      <c r="A12" s="174" t="s">
        <v>544</v>
      </c>
      <c r="B12" s="94">
        <v>48000</v>
      </c>
      <c r="C12">
        <f>GETPIVOTDATA("[Measures].[Sum of Вкупно трошок]",$A$4,"[fArtikliCeni].[StavkaKategorija]","[fArtikliCeni].[StavkaKategorija].&amp;[2.37. Останати оперативни расходи]")+GETPIVOTDATA("[Measures].[Sum of Износ 5]",'HR po stavki'!$A$4,"[fCoveckiResursi  2].[StavkaKategorija]","[fCoveckiResursi  2].[StavkaKategorija].&amp;[2.37. Останати оперативни расходи]")</f>
        <v>72191016</v>
      </c>
    </row>
    <row r="13" spans="1:3" x14ac:dyDescent="0.25">
      <c r="A13" s="174" t="s">
        <v>545</v>
      </c>
      <c r="B13" s="94">
        <v>48000</v>
      </c>
    </row>
    <row r="14" spans="1:3" x14ac:dyDescent="0.25">
      <c r="A14" s="174" t="s">
        <v>546</v>
      </c>
      <c r="B14" s="94">
        <v>48000</v>
      </c>
    </row>
    <row r="15" spans="1:3" x14ac:dyDescent="0.25">
      <c r="A15" s="174" t="s">
        <v>547</v>
      </c>
      <c r="B15" s="94">
        <v>48000</v>
      </c>
    </row>
    <row r="16" spans="1:3" x14ac:dyDescent="0.25">
      <c r="A16" s="174" t="s">
        <v>548</v>
      </c>
      <c r="B16" s="94">
        <v>48000</v>
      </c>
    </row>
    <row r="17" spans="1:3" x14ac:dyDescent="0.25">
      <c r="A17" s="174" t="s">
        <v>549</v>
      </c>
      <c r="B17" s="94">
        <v>48000</v>
      </c>
    </row>
    <row r="18" spans="1:3" x14ac:dyDescent="0.25">
      <c r="A18" s="174" t="s">
        <v>536</v>
      </c>
      <c r="B18" s="94">
        <v>48000</v>
      </c>
    </row>
    <row r="19" spans="1:3" x14ac:dyDescent="0.25">
      <c r="A19" s="174" t="s">
        <v>537</v>
      </c>
      <c r="B19" s="94">
        <v>48000</v>
      </c>
    </row>
    <row r="20" spans="1:3" x14ac:dyDescent="0.25">
      <c r="A20" s="174" t="s">
        <v>538</v>
      </c>
      <c r="B20" s="94">
        <v>48000</v>
      </c>
    </row>
    <row r="21" spans="1:3" x14ac:dyDescent="0.25">
      <c r="A21" s="174" t="s">
        <v>535</v>
      </c>
      <c r="B21" s="94">
        <v>48000</v>
      </c>
    </row>
    <row r="22" spans="1:3" x14ac:dyDescent="0.25">
      <c r="A22" s="174" t="s">
        <v>1481</v>
      </c>
      <c r="B22" s="94">
        <v>2400000</v>
      </c>
    </row>
    <row r="23" spans="1:3" x14ac:dyDescent="0.25">
      <c r="A23" s="174" t="s">
        <v>1482</v>
      </c>
      <c r="B23" s="94">
        <v>12000000</v>
      </c>
    </row>
    <row r="24" spans="1:3" x14ac:dyDescent="0.25">
      <c r="A24" s="174" t="s">
        <v>1483</v>
      </c>
      <c r="B24" s="94">
        <v>600000</v>
      </c>
    </row>
    <row r="25" spans="1:3" x14ac:dyDescent="0.25">
      <c r="A25" s="7" t="s">
        <v>586</v>
      </c>
      <c r="B25" s="94">
        <v>33000</v>
      </c>
    </row>
    <row r="26" spans="1:3" x14ac:dyDescent="0.25">
      <c r="A26" s="174" t="s">
        <v>1484</v>
      </c>
      <c r="B26" s="94">
        <v>15000</v>
      </c>
    </row>
    <row r="27" spans="1:3" x14ac:dyDescent="0.25">
      <c r="A27" s="174" t="s">
        <v>1485</v>
      </c>
      <c r="B27" s="94">
        <v>6500</v>
      </c>
    </row>
    <row r="28" spans="1:3" x14ac:dyDescent="0.25">
      <c r="A28" s="174" t="s">
        <v>1486</v>
      </c>
      <c r="B28" s="94">
        <v>1500</v>
      </c>
    </row>
    <row r="29" spans="1:3" x14ac:dyDescent="0.25">
      <c r="A29" s="174" t="s">
        <v>1487</v>
      </c>
      <c r="B29" s="94">
        <v>5000</v>
      </c>
    </row>
    <row r="30" spans="1:3" x14ac:dyDescent="0.25">
      <c r="A30" s="174" t="s">
        <v>1488</v>
      </c>
      <c r="B30" s="94">
        <v>5000</v>
      </c>
      <c r="C30" s="36">
        <f>GETPIVOTDATA("[Measures].[Sum of Вкупно трошок]",$A$4)+GETPIVOTDATA("[Measures].[Sum of Износ 5]",'HR po stavki'!$A$4)</f>
        <v>337331629</v>
      </c>
    </row>
    <row r="31" spans="1:3" x14ac:dyDescent="0.25">
      <c r="A31" s="7" t="s">
        <v>587</v>
      </c>
      <c r="B31" s="94">
        <v>4150000</v>
      </c>
    </row>
    <row r="32" spans="1:3" x14ac:dyDescent="0.25">
      <c r="A32" s="174" t="s">
        <v>1489</v>
      </c>
      <c r="B32" s="94">
        <v>30000</v>
      </c>
    </row>
    <row r="33" spans="1:2" x14ac:dyDescent="0.25">
      <c r="A33" s="174" t="s">
        <v>1490</v>
      </c>
      <c r="B33" s="94">
        <v>250000</v>
      </c>
    </row>
    <row r="34" spans="1:2" x14ac:dyDescent="0.25">
      <c r="A34" s="174" t="s">
        <v>1491</v>
      </c>
      <c r="B34" s="94">
        <v>37500</v>
      </c>
    </row>
    <row r="35" spans="1:2" x14ac:dyDescent="0.25">
      <c r="A35" s="174" t="s">
        <v>1492</v>
      </c>
      <c r="B35" s="94">
        <v>37500</v>
      </c>
    </row>
    <row r="36" spans="1:2" x14ac:dyDescent="0.25">
      <c r="A36" s="174" t="s">
        <v>1493</v>
      </c>
      <c r="B36" s="94">
        <v>6900</v>
      </c>
    </row>
    <row r="37" spans="1:2" x14ac:dyDescent="0.25">
      <c r="A37" s="174" t="s">
        <v>1494</v>
      </c>
      <c r="B37" s="94">
        <v>11800</v>
      </c>
    </row>
    <row r="38" spans="1:2" x14ac:dyDescent="0.25">
      <c r="A38" s="174" t="s">
        <v>1495</v>
      </c>
      <c r="B38" s="94">
        <v>600000</v>
      </c>
    </row>
    <row r="39" spans="1:2" x14ac:dyDescent="0.25">
      <c r="A39" s="174" t="s">
        <v>1496</v>
      </c>
      <c r="B39" s="94">
        <v>21250</v>
      </c>
    </row>
    <row r="40" spans="1:2" x14ac:dyDescent="0.25">
      <c r="A40" s="174" t="s">
        <v>1497</v>
      </c>
      <c r="B40" s="94">
        <v>19100</v>
      </c>
    </row>
    <row r="41" spans="1:2" x14ac:dyDescent="0.25">
      <c r="A41" s="174" t="s">
        <v>1498</v>
      </c>
      <c r="B41" s="94">
        <v>10200</v>
      </c>
    </row>
    <row r="42" spans="1:2" x14ac:dyDescent="0.25">
      <c r="A42" s="174" t="s">
        <v>1499</v>
      </c>
      <c r="B42" s="94">
        <v>48000</v>
      </c>
    </row>
    <row r="43" spans="1:2" x14ac:dyDescent="0.25">
      <c r="A43" s="174" t="s">
        <v>1500</v>
      </c>
      <c r="B43" s="94">
        <v>49500</v>
      </c>
    </row>
    <row r="44" spans="1:2" x14ac:dyDescent="0.25">
      <c r="A44" s="174" t="s">
        <v>1501</v>
      </c>
      <c r="B44" s="94">
        <v>63000</v>
      </c>
    </row>
    <row r="45" spans="1:2" x14ac:dyDescent="0.25">
      <c r="A45" s="174" t="s">
        <v>1502</v>
      </c>
      <c r="B45" s="94">
        <v>105000</v>
      </c>
    </row>
    <row r="46" spans="1:2" x14ac:dyDescent="0.25">
      <c r="A46" s="174" t="s">
        <v>1503</v>
      </c>
      <c r="B46" s="94">
        <v>50000</v>
      </c>
    </row>
    <row r="47" spans="1:2" x14ac:dyDescent="0.25">
      <c r="A47" s="174" t="s">
        <v>1504</v>
      </c>
      <c r="B47" s="94">
        <v>6760</v>
      </c>
    </row>
    <row r="48" spans="1:2" x14ac:dyDescent="0.25">
      <c r="A48" s="174" t="s">
        <v>1505</v>
      </c>
      <c r="B48" s="94">
        <v>40500</v>
      </c>
    </row>
    <row r="49" spans="1:2" x14ac:dyDescent="0.25">
      <c r="A49" s="174" t="s">
        <v>1506</v>
      </c>
      <c r="B49" s="94">
        <v>1000000</v>
      </c>
    </row>
    <row r="50" spans="1:2" x14ac:dyDescent="0.25">
      <c r="A50" s="174" t="s">
        <v>1507</v>
      </c>
      <c r="B50" s="94">
        <v>119800</v>
      </c>
    </row>
    <row r="51" spans="1:2" x14ac:dyDescent="0.25">
      <c r="A51" s="174" t="s">
        <v>1508</v>
      </c>
      <c r="B51" s="94">
        <v>177000</v>
      </c>
    </row>
    <row r="52" spans="1:2" x14ac:dyDescent="0.25">
      <c r="A52" s="174" t="s">
        <v>1509</v>
      </c>
      <c r="B52" s="94">
        <v>1400000</v>
      </c>
    </row>
    <row r="53" spans="1:2" x14ac:dyDescent="0.25">
      <c r="A53" s="174" t="s">
        <v>1510</v>
      </c>
      <c r="B53" s="94">
        <v>4990</v>
      </c>
    </row>
    <row r="54" spans="1:2" x14ac:dyDescent="0.25">
      <c r="A54" s="174" t="s">
        <v>1511</v>
      </c>
      <c r="B54" s="94">
        <v>4200</v>
      </c>
    </row>
    <row r="55" spans="1:2" x14ac:dyDescent="0.25">
      <c r="A55" s="174" t="s">
        <v>1512</v>
      </c>
      <c r="B55" s="94">
        <v>57000</v>
      </c>
    </row>
    <row r="56" spans="1:2" x14ac:dyDescent="0.25">
      <c r="A56" s="7" t="s">
        <v>588</v>
      </c>
      <c r="B56" s="94">
        <v>290000</v>
      </c>
    </row>
    <row r="57" spans="1:2" x14ac:dyDescent="0.25">
      <c r="A57" s="174" t="s">
        <v>1513</v>
      </c>
      <c r="B57" s="94">
        <v>45000</v>
      </c>
    </row>
    <row r="58" spans="1:2" x14ac:dyDescent="0.25">
      <c r="A58" s="174" t="s">
        <v>1514</v>
      </c>
      <c r="B58" s="94">
        <v>45000</v>
      </c>
    </row>
    <row r="59" spans="1:2" x14ac:dyDescent="0.25">
      <c r="A59" s="174" t="s">
        <v>1515</v>
      </c>
      <c r="B59" s="94">
        <v>200000</v>
      </c>
    </row>
    <row r="60" spans="1:2" x14ac:dyDescent="0.25">
      <c r="A60" s="6" t="s">
        <v>824</v>
      </c>
      <c r="B60" s="94">
        <v>7200</v>
      </c>
    </row>
    <row r="61" spans="1:2" x14ac:dyDescent="0.25">
      <c r="A61" s="7" t="s">
        <v>1333</v>
      </c>
      <c r="B61" s="94">
        <v>7200</v>
      </c>
    </row>
    <row r="62" spans="1:2" x14ac:dyDescent="0.25">
      <c r="A62" s="174" t="s">
        <v>1516</v>
      </c>
      <c r="B62" s="94">
        <v>3600</v>
      </c>
    </row>
    <row r="63" spans="1:2" x14ac:dyDescent="0.25">
      <c r="A63" s="174" t="s">
        <v>1517</v>
      </c>
      <c r="B63" s="94">
        <v>3600</v>
      </c>
    </row>
    <row r="64" spans="1:2" x14ac:dyDescent="0.25">
      <c r="A64" s="6" t="s">
        <v>396</v>
      </c>
      <c r="B64" s="94">
        <v>65470615.999999993</v>
      </c>
    </row>
    <row r="65" spans="1:2" x14ac:dyDescent="0.25">
      <c r="A65" s="7" t="s">
        <v>553</v>
      </c>
      <c r="B65" s="94">
        <v>360000</v>
      </c>
    </row>
    <row r="66" spans="1:2" x14ac:dyDescent="0.25">
      <c r="A66" s="174" t="s">
        <v>651</v>
      </c>
      <c r="B66" s="94">
        <v>360000</v>
      </c>
    </row>
    <row r="67" spans="1:2" x14ac:dyDescent="0.25">
      <c r="A67" s="7" t="s">
        <v>554</v>
      </c>
      <c r="B67" s="94">
        <v>1173000</v>
      </c>
    </row>
    <row r="68" spans="1:2" x14ac:dyDescent="0.25">
      <c r="A68" s="174" t="s">
        <v>652</v>
      </c>
      <c r="B68" s="94">
        <v>1027000</v>
      </c>
    </row>
    <row r="69" spans="1:2" x14ac:dyDescent="0.25">
      <c r="A69" s="174" t="s">
        <v>653</v>
      </c>
      <c r="B69" s="94">
        <v>118000</v>
      </c>
    </row>
    <row r="70" spans="1:2" x14ac:dyDescent="0.25">
      <c r="A70" s="174" t="s">
        <v>654</v>
      </c>
      <c r="B70" s="94">
        <v>28000</v>
      </c>
    </row>
    <row r="71" spans="1:2" x14ac:dyDescent="0.25">
      <c r="A71" s="7" t="s">
        <v>555</v>
      </c>
      <c r="B71" s="261">
        <v>5532000</v>
      </c>
    </row>
    <row r="72" spans="1:2" x14ac:dyDescent="0.25">
      <c r="A72" s="174" t="s">
        <v>1271</v>
      </c>
      <c r="B72" s="94">
        <v>200000</v>
      </c>
    </row>
    <row r="73" spans="1:2" x14ac:dyDescent="0.25">
      <c r="A73" s="174" t="s">
        <v>1272</v>
      </c>
      <c r="B73" s="94">
        <v>1500000</v>
      </c>
    </row>
    <row r="74" spans="1:2" x14ac:dyDescent="0.25">
      <c r="A74" s="174" t="s">
        <v>1273</v>
      </c>
      <c r="B74" s="94">
        <v>1000000</v>
      </c>
    </row>
    <row r="75" spans="1:2" x14ac:dyDescent="0.25">
      <c r="A75" s="174" t="s">
        <v>655</v>
      </c>
      <c r="B75" s="94">
        <v>72000</v>
      </c>
    </row>
    <row r="76" spans="1:2" x14ac:dyDescent="0.25">
      <c r="A76" s="174" t="s">
        <v>1274</v>
      </c>
      <c r="B76" s="94">
        <v>1500000</v>
      </c>
    </row>
    <row r="77" spans="1:2" x14ac:dyDescent="0.25">
      <c r="A77" s="174" t="s">
        <v>1275</v>
      </c>
      <c r="B77" s="94">
        <v>200000</v>
      </c>
    </row>
    <row r="78" spans="1:2" x14ac:dyDescent="0.25">
      <c r="A78" s="174" t="s">
        <v>1276</v>
      </c>
      <c r="B78" s="94">
        <v>1000000</v>
      </c>
    </row>
    <row r="79" spans="1:2" x14ac:dyDescent="0.25">
      <c r="A79" s="174" t="s">
        <v>1131</v>
      </c>
      <c r="B79" s="94">
        <v>60000</v>
      </c>
    </row>
    <row r="80" spans="1:2" x14ac:dyDescent="0.25">
      <c r="A80" s="7" t="s">
        <v>1001</v>
      </c>
      <c r="B80" s="94">
        <v>7237200</v>
      </c>
    </row>
    <row r="81" spans="1:2" x14ac:dyDescent="0.25">
      <c r="A81" s="174" t="s">
        <v>1288</v>
      </c>
      <c r="B81" s="94">
        <v>970000</v>
      </c>
    </row>
    <row r="82" spans="1:2" x14ac:dyDescent="0.25">
      <c r="A82" s="174" t="s">
        <v>1289</v>
      </c>
      <c r="B82" s="94">
        <v>25000</v>
      </c>
    </row>
    <row r="83" spans="1:2" x14ac:dyDescent="0.25">
      <c r="A83" s="174" t="s">
        <v>1263</v>
      </c>
      <c r="B83" s="94">
        <v>259600</v>
      </c>
    </row>
    <row r="84" spans="1:2" x14ac:dyDescent="0.25">
      <c r="A84" s="174" t="s">
        <v>1264</v>
      </c>
      <c r="B84" s="94">
        <v>295000</v>
      </c>
    </row>
    <row r="85" spans="1:2" x14ac:dyDescent="0.25">
      <c r="A85" s="174" t="s">
        <v>1265</v>
      </c>
      <c r="B85" s="94">
        <v>531000</v>
      </c>
    </row>
    <row r="86" spans="1:2" x14ac:dyDescent="0.25">
      <c r="A86" s="174" t="s">
        <v>1078</v>
      </c>
      <c r="B86" s="94">
        <v>1180000</v>
      </c>
    </row>
    <row r="87" spans="1:2" x14ac:dyDescent="0.25">
      <c r="A87" s="174" t="s">
        <v>1290</v>
      </c>
      <c r="B87" s="94">
        <v>708000</v>
      </c>
    </row>
    <row r="88" spans="1:2" x14ac:dyDescent="0.25">
      <c r="A88" s="174" t="s">
        <v>1291</v>
      </c>
      <c r="B88" s="94">
        <v>318600</v>
      </c>
    </row>
    <row r="89" spans="1:2" x14ac:dyDescent="0.25">
      <c r="A89" s="174" t="s">
        <v>1267</v>
      </c>
      <c r="B89" s="94">
        <v>2950000</v>
      </c>
    </row>
    <row r="90" spans="1:2" x14ac:dyDescent="0.25">
      <c r="A90" s="7" t="s">
        <v>556</v>
      </c>
      <c r="B90" s="94">
        <v>1249999.9999999991</v>
      </c>
    </row>
    <row r="91" spans="1:2" x14ac:dyDescent="0.25">
      <c r="A91" s="174" t="s">
        <v>627</v>
      </c>
      <c r="B91" s="94">
        <v>499999.99999999919</v>
      </c>
    </row>
    <row r="92" spans="1:2" x14ac:dyDescent="0.25">
      <c r="A92" s="174" t="s">
        <v>628</v>
      </c>
      <c r="B92" s="94">
        <v>0</v>
      </c>
    </row>
    <row r="93" spans="1:2" x14ac:dyDescent="0.25">
      <c r="A93" s="174" t="s">
        <v>1176</v>
      </c>
      <c r="B93" s="94">
        <v>300000</v>
      </c>
    </row>
    <row r="94" spans="1:2" x14ac:dyDescent="0.25">
      <c r="A94" s="174" t="s">
        <v>639</v>
      </c>
      <c r="B94" s="94">
        <v>300000</v>
      </c>
    </row>
    <row r="95" spans="1:2" x14ac:dyDescent="0.25">
      <c r="A95" s="174" t="s">
        <v>630</v>
      </c>
      <c r="B95" s="94">
        <v>150000</v>
      </c>
    </row>
    <row r="96" spans="1:2" x14ac:dyDescent="0.25">
      <c r="A96" s="174" t="s">
        <v>629</v>
      </c>
      <c r="B96" s="94">
        <v>0</v>
      </c>
    </row>
    <row r="97" spans="1:2" x14ac:dyDescent="0.25">
      <c r="A97" s="7" t="s">
        <v>557</v>
      </c>
      <c r="B97" s="94">
        <v>476400</v>
      </c>
    </row>
    <row r="98" spans="1:2" x14ac:dyDescent="0.25">
      <c r="A98" s="174" t="s">
        <v>1518</v>
      </c>
      <c r="B98" s="94">
        <v>30000</v>
      </c>
    </row>
    <row r="99" spans="1:2" x14ac:dyDescent="0.25">
      <c r="A99" s="174" t="s">
        <v>1277</v>
      </c>
      <c r="B99" s="94">
        <v>446400</v>
      </c>
    </row>
    <row r="100" spans="1:2" x14ac:dyDescent="0.25">
      <c r="A100" s="7" t="s">
        <v>558</v>
      </c>
      <c r="B100" s="261">
        <v>1881000</v>
      </c>
    </row>
    <row r="101" spans="1:2" x14ac:dyDescent="0.25">
      <c r="A101" s="174" t="s">
        <v>1142</v>
      </c>
      <c r="B101" s="94">
        <v>12000</v>
      </c>
    </row>
    <row r="102" spans="1:2" x14ac:dyDescent="0.25">
      <c r="A102" s="174" t="s">
        <v>613</v>
      </c>
      <c r="B102" s="94">
        <v>180000</v>
      </c>
    </row>
    <row r="103" spans="1:2" x14ac:dyDescent="0.25">
      <c r="A103" s="174" t="s">
        <v>1143</v>
      </c>
      <c r="B103" s="94">
        <v>6000</v>
      </c>
    </row>
    <row r="104" spans="1:2" x14ac:dyDescent="0.25">
      <c r="A104" s="174" t="s">
        <v>682</v>
      </c>
      <c r="B104" s="94">
        <v>300000</v>
      </c>
    </row>
    <row r="105" spans="1:2" x14ac:dyDescent="0.25">
      <c r="A105" s="174" t="s">
        <v>1144</v>
      </c>
      <c r="B105" s="94">
        <v>32000</v>
      </c>
    </row>
    <row r="106" spans="1:2" x14ac:dyDescent="0.25">
      <c r="A106" s="174" t="s">
        <v>681</v>
      </c>
      <c r="B106" s="94">
        <v>48000</v>
      </c>
    </row>
    <row r="107" spans="1:2" x14ac:dyDescent="0.25">
      <c r="A107" s="174" t="s">
        <v>1146</v>
      </c>
      <c r="B107" s="94">
        <v>125000</v>
      </c>
    </row>
    <row r="108" spans="1:2" x14ac:dyDescent="0.25">
      <c r="A108" s="174" t="s">
        <v>1121</v>
      </c>
      <c r="B108" s="94">
        <v>13500</v>
      </c>
    </row>
    <row r="109" spans="1:2" x14ac:dyDescent="0.25">
      <c r="A109" s="174" t="s">
        <v>677</v>
      </c>
      <c r="B109" s="94">
        <v>20000</v>
      </c>
    </row>
    <row r="110" spans="1:2" x14ac:dyDescent="0.25">
      <c r="A110" s="174" t="s">
        <v>1472</v>
      </c>
      <c r="B110" s="94">
        <v>150000</v>
      </c>
    </row>
    <row r="111" spans="1:2" x14ac:dyDescent="0.25">
      <c r="A111" s="174" t="s">
        <v>1123</v>
      </c>
      <c r="B111" s="94">
        <v>10000</v>
      </c>
    </row>
    <row r="112" spans="1:2" x14ac:dyDescent="0.25">
      <c r="A112" s="174" t="s">
        <v>1163</v>
      </c>
      <c r="B112" s="94">
        <v>192000</v>
      </c>
    </row>
    <row r="113" spans="1:2" x14ac:dyDescent="0.25">
      <c r="A113" s="174" t="s">
        <v>1149</v>
      </c>
      <c r="B113" s="94">
        <v>120000</v>
      </c>
    </row>
    <row r="114" spans="1:2" x14ac:dyDescent="0.25">
      <c r="A114" s="174" t="s">
        <v>1150</v>
      </c>
      <c r="B114" s="94">
        <v>120000</v>
      </c>
    </row>
    <row r="115" spans="1:2" x14ac:dyDescent="0.25">
      <c r="A115" s="174" t="s">
        <v>1151</v>
      </c>
      <c r="B115" s="94">
        <v>85000</v>
      </c>
    </row>
    <row r="116" spans="1:2" x14ac:dyDescent="0.25">
      <c r="A116" s="174" t="s">
        <v>679</v>
      </c>
      <c r="B116" s="94">
        <v>25000</v>
      </c>
    </row>
    <row r="117" spans="1:2" x14ac:dyDescent="0.25">
      <c r="A117" s="174" t="s">
        <v>1153</v>
      </c>
      <c r="B117" s="94">
        <v>63000</v>
      </c>
    </row>
    <row r="118" spans="1:2" x14ac:dyDescent="0.25">
      <c r="A118" s="174" t="s">
        <v>1473</v>
      </c>
      <c r="B118" s="94">
        <v>200000</v>
      </c>
    </row>
    <row r="119" spans="1:2" x14ac:dyDescent="0.25">
      <c r="A119" s="174" t="s">
        <v>1154</v>
      </c>
      <c r="B119" s="94">
        <v>130000</v>
      </c>
    </row>
    <row r="120" spans="1:2" x14ac:dyDescent="0.25">
      <c r="A120" s="174" t="s">
        <v>1155</v>
      </c>
      <c r="B120" s="94">
        <v>36000</v>
      </c>
    </row>
    <row r="121" spans="1:2" x14ac:dyDescent="0.25">
      <c r="A121" s="174" t="s">
        <v>1156</v>
      </c>
      <c r="B121" s="94">
        <v>13500</v>
      </c>
    </row>
    <row r="122" spans="1:2" x14ac:dyDescent="0.25">
      <c r="A122" s="7" t="s">
        <v>559</v>
      </c>
      <c r="B122" s="261">
        <v>11641416</v>
      </c>
    </row>
    <row r="123" spans="1:2" x14ac:dyDescent="0.25">
      <c r="A123" s="174" t="s">
        <v>1279</v>
      </c>
      <c r="B123" s="94">
        <v>750000</v>
      </c>
    </row>
    <row r="124" spans="1:2" x14ac:dyDescent="0.25">
      <c r="A124" s="174" t="s">
        <v>1278</v>
      </c>
      <c r="B124" s="94">
        <v>376000</v>
      </c>
    </row>
    <row r="125" spans="1:2" x14ac:dyDescent="0.25">
      <c r="A125" s="174" t="s">
        <v>694</v>
      </c>
      <c r="B125" s="94">
        <v>10000</v>
      </c>
    </row>
    <row r="126" spans="1:2" x14ac:dyDescent="0.25">
      <c r="A126" s="174" t="s">
        <v>1303</v>
      </c>
      <c r="B126" s="94">
        <v>95000</v>
      </c>
    </row>
    <row r="127" spans="1:2" x14ac:dyDescent="0.25">
      <c r="A127" s="174" t="s">
        <v>667</v>
      </c>
      <c r="B127" s="94">
        <v>480000</v>
      </c>
    </row>
    <row r="128" spans="1:2" x14ac:dyDescent="0.25">
      <c r="A128" s="174" t="s">
        <v>1145</v>
      </c>
      <c r="B128" s="94">
        <v>3000</v>
      </c>
    </row>
    <row r="129" spans="1:2" x14ac:dyDescent="0.25">
      <c r="A129" s="174" t="s">
        <v>686</v>
      </c>
      <c r="B129" s="94">
        <v>7200000</v>
      </c>
    </row>
    <row r="130" spans="1:2" x14ac:dyDescent="0.25">
      <c r="A130" s="174" t="s">
        <v>1159</v>
      </c>
      <c r="B130" s="94">
        <v>45000</v>
      </c>
    </row>
    <row r="131" spans="1:2" x14ac:dyDescent="0.25">
      <c r="A131" s="174" t="s">
        <v>1161</v>
      </c>
      <c r="B131" s="94">
        <v>100000</v>
      </c>
    </row>
    <row r="132" spans="1:2" x14ac:dyDescent="0.25">
      <c r="A132" s="174" t="s">
        <v>1268</v>
      </c>
      <c r="B132" s="94">
        <v>236000</v>
      </c>
    </row>
    <row r="133" spans="1:2" x14ac:dyDescent="0.25">
      <c r="A133" s="174" t="s">
        <v>1269</v>
      </c>
      <c r="B133" s="94">
        <v>266666</v>
      </c>
    </row>
    <row r="134" spans="1:2" x14ac:dyDescent="0.25">
      <c r="A134" s="174" t="s">
        <v>668</v>
      </c>
      <c r="B134" s="94">
        <v>177000</v>
      </c>
    </row>
    <row r="135" spans="1:2" x14ac:dyDescent="0.25">
      <c r="A135" s="174" t="s">
        <v>646</v>
      </c>
      <c r="B135" s="94">
        <v>0</v>
      </c>
    </row>
    <row r="136" spans="1:2" x14ac:dyDescent="0.25">
      <c r="A136" s="174" t="s">
        <v>696</v>
      </c>
      <c r="B136" s="94">
        <v>2000</v>
      </c>
    </row>
    <row r="137" spans="1:2" x14ac:dyDescent="0.25">
      <c r="A137" s="174" t="s">
        <v>688</v>
      </c>
      <c r="B137" s="94">
        <v>37500</v>
      </c>
    </row>
    <row r="138" spans="1:2" x14ac:dyDescent="0.25">
      <c r="A138" s="174" t="s">
        <v>1148</v>
      </c>
      <c r="B138" s="94">
        <v>21000</v>
      </c>
    </row>
    <row r="139" spans="1:2" x14ac:dyDescent="0.25">
      <c r="A139" s="174" t="s">
        <v>697</v>
      </c>
      <c r="B139" s="94">
        <v>60000</v>
      </c>
    </row>
    <row r="140" spans="1:2" x14ac:dyDescent="0.25">
      <c r="A140" s="174" t="s">
        <v>687</v>
      </c>
      <c r="B140" s="94">
        <v>100000</v>
      </c>
    </row>
    <row r="141" spans="1:2" x14ac:dyDescent="0.25">
      <c r="A141" s="174" t="s">
        <v>1280</v>
      </c>
      <c r="B141" s="94">
        <v>0</v>
      </c>
    </row>
    <row r="142" spans="1:2" x14ac:dyDescent="0.25">
      <c r="A142" s="174" t="s">
        <v>650</v>
      </c>
      <c r="B142" s="94">
        <v>0</v>
      </c>
    </row>
    <row r="143" spans="1:2" x14ac:dyDescent="0.25">
      <c r="A143" s="174" t="s">
        <v>1164</v>
      </c>
      <c r="B143" s="94">
        <v>75000</v>
      </c>
    </row>
    <row r="144" spans="1:2" x14ac:dyDescent="0.25">
      <c r="A144" s="174" t="s">
        <v>1165</v>
      </c>
      <c r="B144" s="94">
        <v>17500</v>
      </c>
    </row>
    <row r="145" spans="1:2" x14ac:dyDescent="0.25">
      <c r="A145" s="174" t="s">
        <v>1166</v>
      </c>
      <c r="B145" s="94">
        <v>95000</v>
      </c>
    </row>
    <row r="146" spans="1:2" x14ac:dyDescent="0.25">
      <c r="A146" s="174" t="s">
        <v>1167</v>
      </c>
      <c r="B146" s="94">
        <v>6000</v>
      </c>
    </row>
    <row r="147" spans="1:2" x14ac:dyDescent="0.25">
      <c r="A147" s="174" t="s">
        <v>1270</v>
      </c>
      <c r="B147" s="94">
        <v>295000</v>
      </c>
    </row>
    <row r="148" spans="1:2" x14ac:dyDescent="0.25">
      <c r="A148" s="174" t="s">
        <v>1168</v>
      </c>
      <c r="B148" s="94">
        <v>37500</v>
      </c>
    </row>
    <row r="149" spans="1:2" x14ac:dyDescent="0.25">
      <c r="A149" s="174" t="s">
        <v>699</v>
      </c>
      <c r="B149" s="94">
        <v>6000</v>
      </c>
    </row>
    <row r="150" spans="1:2" x14ac:dyDescent="0.25">
      <c r="A150" s="174" t="s">
        <v>691</v>
      </c>
      <c r="B150" s="94">
        <v>2250</v>
      </c>
    </row>
    <row r="151" spans="1:2" x14ac:dyDescent="0.25">
      <c r="A151" s="174" t="s">
        <v>700</v>
      </c>
      <c r="B151" s="94">
        <v>60000</v>
      </c>
    </row>
    <row r="152" spans="1:2" x14ac:dyDescent="0.25">
      <c r="A152" s="174" t="s">
        <v>1266</v>
      </c>
      <c r="B152" s="94">
        <v>708000</v>
      </c>
    </row>
    <row r="153" spans="1:2" x14ac:dyDescent="0.25">
      <c r="A153" s="174" t="s">
        <v>685</v>
      </c>
      <c r="B153" s="94">
        <v>120000</v>
      </c>
    </row>
    <row r="154" spans="1:2" x14ac:dyDescent="0.25">
      <c r="A154" s="174" t="s">
        <v>684</v>
      </c>
      <c r="B154" s="94">
        <v>240000</v>
      </c>
    </row>
    <row r="155" spans="1:2" x14ac:dyDescent="0.25">
      <c r="A155" s="174" t="s">
        <v>1335</v>
      </c>
      <c r="B155" s="94">
        <v>20000</v>
      </c>
    </row>
    <row r="156" spans="1:2" x14ac:dyDescent="0.25">
      <c r="A156" s="7" t="s">
        <v>560</v>
      </c>
      <c r="B156" s="94">
        <v>1000000</v>
      </c>
    </row>
    <row r="157" spans="1:2" x14ac:dyDescent="0.25">
      <c r="A157" s="174" t="s">
        <v>671</v>
      </c>
      <c r="B157" s="94">
        <v>100000</v>
      </c>
    </row>
    <row r="158" spans="1:2" x14ac:dyDescent="0.25">
      <c r="A158" s="174" t="s">
        <v>675</v>
      </c>
      <c r="B158" s="94">
        <v>50000</v>
      </c>
    </row>
    <row r="159" spans="1:2" x14ac:dyDescent="0.25">
      <c r="A159" s="174" t="s">
        <v>670</v>
      </c>
      <c r="B159" s="94">
        <v>200000</v>
      </c>
    </row>
    <row r="160" spans="1:2" x14ac:dyDescent="0.25">
      <c r="A160" s="174" t="s">
        <v>673</v>
      </c>
      <c r="B160" s="94">
        <v>225000</v>
      </c>
    </row>
    <row r="161" spans="1:2" x14ac:dyDescent="0.25">
      <c r="A161" s="174" t="s">
        <v>672</v>
      </c>
      <c r="B161" s="94">
        <v>375000</v>
      </c>
    </row>
    <row r="162" spans="1:2" x14ac:dyDescent="0.25">
      <c r="A162" s="174" t="s">
        <v>674</v>
      </c>
      <c r="B162" s="94">
        <v>50000</v>
      </c>
    </row>
    <row r="163" spans="1:2" x14ac:dyDescent="0.25">
      <c r="A163" s="7" t="s">
        <v>561</v>
      </c>
      <c r="B163" s="94">
        <v>17192000</v>
      </c>
    </row>
    <row r="164" spans="1:2" x14ac:dyDescent="0.25">
      <c r="A164" s="174" t="s">
        <v>598</v>
      </c>
      <c r="B164" s="94">
        <v>60000</v>
      </c>
    </row>
    <row r="165" spans="1:2" x14ac:dyDescent="0.25">
      <c r="A165" s="174" t="s">
        <v>601</v>
      </c>
      <c r="B165" s="94">
        <v>590000</v>
      </c>
    </row>
    <row r="166" spans="1:2" x14ac:dyDescent="0.25">
      <c r="A166" s="174" t="s">
        <v>603</v>
      </c>
      <c r="B166" s="94">
        <v>3000000</v>
      </c>
    </row>
    <row r="167" spans="1:2" x14ac:dyDescent="0.25">
      <c r="A167" s="174" t="s">
        <v>604</v>
      </c>
      <c r="B167" s="94">
        <v>2400000</v>
      </c>
    </row>
    <row r="168" spans="1:2" x14ac:dyDescent="0.25">
      <c r="A168" s="174" t="s">
        <v>605</v>
      </c>
      <c r="B168" s="94">
        <v>3000000</v>
      </c>
    </row>
    <row r="169" spans="1:2" x14ac:dyDescent="0.25">
      <c r="A169" s="174" t="s">
        <v>602</v>
      </c>
      <c r="B169" s="94">
        <v>12000</v>
      </c>
    </row>
    <row r="170" spans="1:2" x14ac:dyDescent="0.25">
      <c r="A170" s="174" t="s">
        <v>597</v>
      </c>
      <c r="B170" s="94">
        <v>6000</v>
      </c>
    </row>
    <row r="171" spans="1:2" x14ac:dyDescent="0.25">
      <c r="A171" s="174" t="s">
        <v>1292</v>
      </c>
      <c r="B171" s="94">
        <v>2124000</v>
      </c>
    </row>
    <row r="172" spans="1:2" x14ac:dyDescent="0.25">
      <c r="A172" s="174" t="s">
        <v>599</v>
      </c>
      <c r="B172" s="94">
        <v>6000000</v>
      </c>
    </row>
    <row r="173" spans="1:2" x14ac:dyDescent="0.25">
      <c r="A173" s="7" t="s">
        <v>562</v>
      </c>
      <c r="B173" s="94">
        <v>400400</v>
      </c>
    </row>
    <row r="174" spans="1:2" x14ac:dyDescent="0.25">
      <c r="A174" s="174" t="s">
        <v>1260</v>
      </c>
      <c r="B174" s="94">
        <v>11900</v>
      </c>
    </row>
    <row r="175" spans="1:2" x14ac:dyDescent="0.25">
      <c r="A175" s="174" t="s">
        <v>1175</v>
      </c>
      <c r="B175" s="94">
        <v>3000</v>
      </c>
    </row>
    <row r="176" spans="1:2" x14ac:dyDescent="0.25">
      <c r="A176" s="174" t="s">
        <v>1177</v>
      </c>
      <c r="B176" s="94">
        <v>30000</v>
      </c>
    </row>
    <row r="177" spans="1:2" x14ac:dyDescent="0.25">
      <c r="A177" s="174" t="s">
        <v>1178</v>
      </c>
      <c r="B177" s="94">
        <v>21000</v>
      </c>
    </row>
    <row r="178" spans="1:2" x14ac:dyDescent="0.25">
      <c r="A178" s="174" t="s">
        <v>1179</v>
      </c>
      <c r="B178" s="94">
        <v>20000</v>
      </c>
    </row>
    <row r="179" spans="1:2" x14ac:dyDescent="0.25">
      <c r="A179" s="174" t="s">
        <v>1180</v>
      </c>
      <c r="B179" s="94">
        <v>90000</v>
      </c>
    </row>
    <row r="180" spans="1:2" x14ac:dyDescent="0.25">
      <c r="A180" s="174" t="s">
        <v>1181</v>
      </c>
      <c r="B180" s="94">
        <v>60000</v>
      </c>
    </row>
    <row r="181" spans="1:2" x14ac:dyDescent="0.25">
      <c r="A181" s="174" t="s">
        <v>1182</v>
      </c>
      <c r="B181" s="94">
        <v>10000</v>
      </c>
    </row>
    <row r="182" spans="1:2" x14ac:dyDescent="0.25">
      <c r="A182" s="174" t="s">
        <v>1183</v>
      </c>
      <c r="B182" s="94">
        <v>10000</v>
      </c>
    </row>
    <row r="183" spans="1:2" x14ac:dyDescent="0.25">
      <c r="A183" s="174" t="s">
        <v>1184</v>
      </c>
      <c r="B183" s="94">
        <v>52500</v>
      </c>
    </row>
    <row r="184" spans="1:2" x14ac:dyDescent="0.25">
      <c r="A184" s="174" t="s">
        <v>1185</v>
      </c>
      <c r="B184" s="94">
        <v>15000</v>
      </c>
    </row>
    <row r="185" spans="1:2" x14ac:dyDescent="0.25">
      <c r="A185" s="174" t="s">
        <v>1186</v>
      </c>
      <c r="B185" s="94">
        <v>30000</v>
      </c>
    </row>
    <row r="186" spans="1:2" x14ac:dyDescent="0.25">
      <c r="A186" s="174" t="s">
        <v>1261</v>
      </c>
      <c r="B186" s="94">
        <v>47000</v>
      </c>
    </row>
    <row r="187" spans="1:2" x14ac:dyDescent="0.25">
      <c r="A187" s="7" t="s">
        <v>563</v>
      </c>
      <c r="B187" s="94">
        <v>17327199.999999993</v>
      </c>
    </row>
    <row r="188" spans="1:2" x14ac:dyDescent="0.25">
      <c r="A188" s="174" t="s">
        <v>622</v>
      </c>
      <c r="B188" s="94">
        <v>6600000</v>
      </c>
    </row>
    <row r="189" spans="1:2" x14ac:dyDescent="0.25">
      <c r="A189" s="174" t="s">
        <v>626</v>
      </c>
      <c r="B189" s="94">
        <v>127200</v>
      </c>
    </row>
    <row r="190" spans="1:2" x14ac:dyDescent="0.25">
      <c r="A190" s="174" t="s">
        <v>1162</v>
      </c>
      <c r="B190" s="94">
        <v>200000</v>
      </c>
    </row>
    <row r="191" spans="1:2" x14ac:dyDescent="0.25">
      <c r="A191" s="174" t="s">
        <v>625</v>
      </c>
      <c r="B191" s="94">
        <v>1999999.9999999919</v>
      </c>
    </row>
    <row r="192" spans="1:2" x14ac:dyDescent="0.25">
      <c r="A192" s="174" t="s">
        <v>1189</v>
      </c>
      <c r="B192" s="94">
        <v>1800000</v>
      </c>
    </row>
    <row r="193" spans="1:2" x14ac:dyDescent="0.25">
      <c r="A193" s="174" t="s">
        <v>1293</v>
      </c>
      <c r="B193" s="94">
        <v>600000</v>
      </c>
    </row>
    <row r="194" spans="1:2" x14ac:dyDescent="0.25">
      <c r="A194" s="174" t="s">
        <v>1294</v>
      </c>
      <c r="B194" s="94">
        <v>6000000</v>
      </c>
    </row>
    <row r="195" spans="1:2" x14ac:dyDescent="0.25">
      <c r="A195" s="6" t="s">
        <v>472</v>
      </c>
      <c r="B195" s="94">
        <v>75600</v>
      </c>
    </row>
    <row r="196" spans="1:2" x14ac:dyDescent="0.25">
      <c r="A196" s="7" t="s">
        <v>775</v>
      </c>
      <c r="B196" s="94">
        <v>3600</v>
      </c>
    </row>
    <row r="197" spans="1:2" x14ac:dyDescent="0.25">
      <c r="A197" s="7" t="s">
        <v>776</v>
      </c>
      <c r="B197" s="94">
        <v>72000</v>
      </c>
    </row>
    <row r="198" spans="1:2" x14ac:dyDescent="0.25">
      <c r="A198" s="173" t="s">
        <v>138</v>
      </c>
      <c r="B198" s="94">
        <v>85746416</v>
      </c>
    </row>
    <row r="199" spans="1:2" x14ac:dyDescent="0.25">
      <c r="A199"/>
      <c r="B199"/>
    </row>
    <row r="200" spans="1:2" x14ac:dyDescent="0.25">
      <c r="A200"/>
      <c r="B200"/>
    </row>
    <row r="201" spans="1:2" x14ac:dyDescent="0.25">
      <c r="A201"/>
      <c r="B201"/>
    </row>
    <row r="202" spans="1:2" x14ac:dyDescent="0.25">
      <c r="A202"/>
      <c r="B202"/>
    </row>
    <row r="203" spans="1:2" x14ac:dyDescent="0.25">
      <c r="A203"/>
      <c r="B203"/>
    </row>
    <row r="204" spans="1:2" x14ac:dyDescent="0.25">
      <c r="A204"/>
      <c r="B204"/>
    </row>
    <row r="205" spans="1:2" x14ac:dyDescent="0.25">
      <c r="A205"/>
      <c r="B205"/>
    </row>
    <row r="206" spans="1:2" x14ac:dyDescent="0.25">
      <c r="A206"/>
      <c r="B206"/>
    </row>
    <row r="207" spans="1:2" x14ac:dyDescent="0.25">
      <c r="A207"/>
      <c r="B207"/>
    </row>
    <row r="208" spans="1:2" x14ac:dyDescent="0.25">
      <c r="A208"/>
      <c r="B208"/>
    </row>
    <row r="209" spans="1:2" x14ac:dyDescent="0.25">
      <c r="A209"/>
      <c r="B209"/>
    </row>
    <row r="210" spans="1:2" x14ac:dyDescent="0.25">
      <c r="A210"/>
      <c r="B210"/>
    </row>
    <row r="211" spans="1:2" x14ac:dyDescent="0.25">
      <c r="A211"/>
      <c r="B211"/>
    </row>
    <row r="212" spans="1:2" x14ac:dyDescent="0.25">
      <c r="A212"/>
      <c r="B212"/>
    </row>
    <row r="213" spans="1:2" x14ac:dyDescent="0.25">
      <c r="A213"/>
      <c r="B213"/>
    </row>
    <row r="214" spans="1:2" x14ac:dyDescent="0.25">
      <c r="A214"/>
      <c r="B214"/>
    </row>
    <row r="215" spans="1:2" x14ac:dyDescent="0.25">
      <c r="A215"/>
      <c r="B215"/>
    </row>
    <row r="216" spans="1:2" x14ac:dyDescent="0.25">
      <c r="A216"/>
      <c r="B216"/>
    </row>
    <row r="217" spans="1:2" x14ac:dyDescent="0.25">
      <c r="A217"/>
      <c r="B217"/>
    </row>
    <row r="218" spans="1:2" x14ac:dyDescent="0.25">
      <c r="A218"/>
      <c r="B218"/>
    </row>
    <row r="219" spans="1:2" x14ac:dyDescent="0.25">
      <c r="A219"/>
      <c r="B219"/>
    </row>
    <row r="220" spans="1:2" x14ac:dyDescent="0.25">
      <c r="A220"/>
      <c r="B220"/>
    </row>
    <row r="221" spans="1:2" x14ac:dyDescent="0.25">
      <c r="A221"/>
      <c r="B221"/>
    </row>
    <row r="222" spans="1:2" x14ac:dyDescent="0.25">
      <c r="A222"/>
      <c r="B222"/>
    </row>
    <row r="223" spans="1:2" x14ac:dyDescent="0.25">
      <c r="A223"/>
      <c r="B223"/>
    </row>
    <row r="224" spans="1:2" x14ac:dyDescent="0.25">
      <c r="A224"/>
      <c r="B224"/>
    </row>
    <row r="225" spans="1:2" x14ac:dyDescent="0.25">
      <c r="A225"/>
      <c r="B225"/>
    </row>
    <row r="226" spans="1:2" x14ac:dyDescent="0.25">
      <c r="A226"/>
      <c r="B226"/>
    </row>
    <row r="227" spans="1:2" x14ac:dyDescent="0.25">
      <c r="A227"/>
      <c r="B227"/>
    </row>
    <row r="228" spans="1:2" x14ac:dyDescent="0.25">
      <c r="A228"/>
      <c r="B228"/>
    </row>
    <row r="229" spans="1:2" x14ac:dyDescent="0.25">
      <c r="A229"/>
      <c r="B229"/>
    </row>
    <row r="230" spans="1:2" x14ac:dyDescent="0.25">
      <c r="A230"/>
      <c r="B230"/>
    </row>
    <row r="231" spans="1:2" x14ac:dyDescent="0.25">
      <c r="A231"/>
      <c r="B231"/>
    </row>
    <row r="232" spans="1:2" x14ac:dyDescent="0.25">
      <c r="A232"/>
      <c r="B232"/>
    </row>
    <row r="233" spans="1:2" x14ac:dyDescent="0.25">
      <c r="A233"/>
      <c r="B233"/>
    </row>
    <row r="234" spans="1:2" x14ac:dyDescent="0.25">
      <c r="A234"/>
      <c r="B234"/>
    </row>
    <row r="235" spans="1:2" x14ac:dyDescent="0.25">
      <c r="A235"/>
      <c r="B235"/>
    </row>
    <row r="236" spans="1:2" x14ac:dyDescent="0.25">
      <c r="A236"/>
      <c r="B236"/>
    </row>
    <row r="237" spans="1:2" x14ac:dyDescent="0.25">
      <c r="A237"/>
      <c r="B237"/>
    </row>
    <row r="238" spans="1:2" x14ac:dyDescent="0.25">
      <c r="A238"/>
      <c r="B238"/>
    </row>
    <row r="239" spans="1:2" x14ac:dyDescent="0.25">
      <c r="A239"/>
      <c r="B239"/>
    </row>
    <row r="240" spans="1:2" x14ac:dyDescent="0.25">
      <c r="A240"/>
      <c r="B240"/>
    </row>
    <row r="241" spans="1:2" x14ac:dyDescent="0.25">
      <c r="A241"/>
      <c r="B241"/>
    </row>
    <row r="242" spans="1:2" x14ac:dyDescent="0.25">
      <c r="A242"/>
      <c r="B242"/>
    </row>
    <row r="243" spans="1:2" x14ac:dyDescent="0.25">
      <c r="A243"/>
      <c r="B243"/>
    </row>
    <row r="244" spans="1:2" x14ac:dyDescent="0.25">
      <c r="A244"/>
      <c r="B244"/>
    </row>
    <row r="245" spans="1:2" x14ac:dyDescent="0.25">
      <c r="A245"/>
      <c r="B245"/>
    </row>
    <row r="246" spans="1:2" x14ac:dyDescent="0.25">
      <c r="A246"/>
      <c r="B246"/>
    </row>
    <row r="247" spans="1:2" x14ac:dyDescent="0.25">
      <c r="A247"/>
      <c r="B247"/>
    </row>
    <row r="248" spans="1:2" x14ac:dyDescent="0.25">
      <c r="A248"/>
      <c r="B248"/>
    </row>
    <row r="249" spans="1:2" x14ac:dyDescent="0.25">
      <c r="A249"/>
      <c r="B249"/>
    </row>
    <row r="250" spans="1:2" x14ac:dyDescent="0.25">
      <c r="A250"/>
      <c r="B250"/>
    </row>
    <row r="251" spans="1:2" x14ac:dyDescent="0.25">
      <c r="A251"/>
      <c r="B251"/>
    </row>
    <row r="252" spans="1:2" x14ac:dyDescent="0.25">
      <c r="A252"/>
      <c r="B252"/>
    </row>
    <row r="253" spans="1:2" x14ac:dyDescent="0.25">
      <c r="A253"/>
      <c r="B253"/>
    </row>
    <row r="254" spans="1:2" x14ac:dyDescent="0.25">
      <c r="A254"/>
      <c r="B254"/>
    </row>
    <row r="255" spans="1:2" x14ac:dyDescent="0.25">
      <c r="A255"/>
      <c r="B255"/>
    </row>
    <row r="256" spans="1:2" x14ac:dyDescent="0.25">
      <c r="A256"/>
      <c r="B256"/>
    </row>
    <row r="257" spans="1:2" x14ac:dyDescent="0.25">
      <c r="A257"/>
      <c r="B257"/>
    </row>
    <row r="258" spans="1:2" x14ac:dyDescent="0.25">
      <c r="A258"/>
      <c r="B258"/>
    </row>
    <row r="259" spans="1:2" x14ac:dyDescent="0.25">
      <c r="A259"/>
      <c r="B259"/>
    </row>
    <row r="260" spans="1:2" x14ac:dyDescent="0.25">
      <c r="A260"/>
      <c r="B260"/>
    </row>
    <row r="261" spans="1:2" x14ac:dyDescent="0.25">
      <c r="A261"/>
      <c r="B261"/>
    </row>
    <row r="262" spans="1:2" x14ac:dyDescent="0.25">
      <c r="A262"/>
      <c r="B262"/>
    </row>
    <row r="263" spans="1:2" x14ac:dyDescent="0.25">
      <c r="A263"/>
      <c r="B263"/>
    </row>
    <row r="264" spans="1:2" x14ac:dyDescent="0.25">
      <c r="A264"/>
      <c r="B264"/>
    </row>
    <row r="265" spans="1:2" x14ac:dyDescent="0.25">
      <c r="A265"/>
      <c r="B265"/>
    </row>
    <row r="266" spans="1:2" x14ac:dyDescent="0.25">
      <c r="A266"/>
      <c r="B266"/>
    </row>
    <row r="267" spans="1:2" x14ac:dyDescent="0.25">
      <c r="A267"/>
      <c r="B267"/>
    </row>
    <row r="268" spans="1:2" x14ac:dyDescent="0.25">
      <c r="A268"/>
      <c r="B268"/>
    </row>
    <row r="269" spans="1:2" x14ac:dyDescent="0.25">
      <c r="A269"/>
      <c r="B269"/>
    </row>
    <row r="270" spans="1:2" x14ac:dyDescent="0.25">
      <c r="A270"/>
      <c r="B270"/>
    </row>
    <row r="271" spans="1:2" x14ac:dyDescent="0.25">
      <c r="A271"/>
      <c r="B271"/>
    </row>
    <row r="272" spans="1:2" x14ac:dyDescent="0.25">
      <c r="A272"/>
      <c r="B272"/>
    </row>
    <row r="273" spans="1:2" x14ac:dyDescent="0.25">
      <c r="A273"/>
      <c r="B273"/>
    </row>
    <row r="274" spans="1:2" x14ac:dyDescent="0.25">
      <c r="A274"/>
      <c r="B274"/>
    </row>
    <row r="275" spans="1:2" x14ac:dyDescent="0.25">
      <c r="A275"/>
      <c r="B275"/>
    </row>
    <row r="276" spans="1:2" x14ac:dyDescent="0.25">
      <c r="A276"/>
      <c r="B276"/>
    </row>
    <row r="277" spans="1:2" x14ac:dyDescent="0.25">
      <c r="A277"/>
      <c r="B277"/>
    </row>
    <row r="278" spans="1:2" x14ac:dyDescent="0.25">
      <c r="A278"/>
      <c r="B278"/>
    </row>
    <row r="279" spans="1:2" x14ac:dyDescent="0.25">
      <c r="A279"/>
      <c r="B279"/>
    </row>
    <row r="280" spans="1:2" x14ac:dyDescent="0.25">
      <c r="A280"/>
      <c r="B280"/>
    </row>
    <row r="281" spans="1:2" x14ac:dyDescent="0.25">
      <c r="A281"/>
      <c r="B281"/>
    </row>
    <row r="282" spans="1:2" x14ac:dyDescent="0.25">
      <c r="A282"/>
      <c r="B282"/>
    </row>
    <row r="283" spans="1:2" x14ac:dyDescent="0.25">
      <c r="A283"/>
      <c r="B283"/>
    </row>
    <row r="284" spans="1:2" x14ac:dyDescent="0.25">
      <c r="A284"/>
      <c r="B284"/>
    </row>
    <row r="285" spans="1:2" x14ac:dyDescent="0.25">
      <c r="A285"/>
      <c r="B285"/>
    </row>
    <row r="286" spans="1:2" x14ac:dyDescent="0.25">
      <c r="A286"/>
      <c r="B286"/>
    </row>
    <row r="287" spans="1:2" x14ac:dyDescent="0.25">
      <c r="A287"/>
      <c r="B287"/>
    </row>
    <row r="288" spans="1:2" x14ac:dyDescent="0.25">
      <c r="A288"/>
      <c r="B288"/>
    </row>
    <row r="289" spans="1:2" x14ac:dyDescent="0.25">
      <c r="A289"/>
      <c r="B289"/>
    </row>
    <row r="290" spans="1:2" x14ac:dyDescent="0.25">
      <c r="A290"/>
      <c r="B290"/>
    </row>
    <row r="291" spans="1:2" x14ac:dyDescent="0.25">
      <c r="A291"/>
      <c r="B291"/>
    </row>
    <row r="292" spans="1:2" x14ac:dyDescent="0.25">
      <c r="A292"/>
      <c r="B292"/>
    </row>
    <row r="293" spans="1:2" x14ac:dyDescent="0.25">
      <c r="A293"/>
      <c r="B293"/>
    </row>
    <row r="294" spans="1:2" x14ac:dyDescent="0.25">
      <c r="A294"/>
      <c r="B294"/>
    </row>
    <row r="295" spans="1:2" x14ac:dyDescent="0.25">
      <c r="A295"/>
      <c r="B295"/>
    </row>
    <row r="296" spans="1:2" x14ac:dyDescent="0.25">
      <c r="A296"/>
      <c r="B296"/>
    </row>
    <row r="297" spans="1:2" x14ac:dyDescent="0.25">
      <c r="A297"/>
      <c r="B297"/>
    </row>
    <row r="298" spans="1:2" x14ac:dyDescent="0.25">
      <c r="A298"/>
      <c r="B298"/>
    </row>
    <row r="299" spans="1:2" x14ac:dyDescent="0.25">
      <c r="A299"/>
      <c r="B299"/>
    </row>
    <row r="300" spans="1:2" x14ac:dyDescent="0.25">
      <c r="A300"/>
      <c r="B300"/>
    </row>
    <row r="301" spans="1:2" x14ac:dyDescent="0.25">
      <c r="A301"/>
      <c r="B301"/>
    </row>
    <row r="302" spans="1:2" x14ac:dyDescent="0.25">
      <c r="A302"/>
      <c r="B302"/>
    </row>
    <row r="303" spans="1:2" x14ac:dyDescent="0.25">
      <c r="A303"/>
      <c r="B303"/>
    </row>
    <row r="304" spans="1:2" x14ac:dyDescent="0.25">
      <c r="A304"/>
      <c r="B304"/>
    </row>
    <row r="305" spans="1:2" x14ac:dyDescent="0.25">
      <c r="A305"/>
      <c r="B305"/>
    </row>
    <row r="306" spans="1:2" x14ac:dyDescent="0.25">
      <c r="A306"/>
      <c r="B306"/>
    </row>
    <row r="307" spans="1:2" x14ac:dyDescent="0.25">
      <c r="A307"/>
      <c r="B307"/>
    </row>
    <row r="308" spans="1:2" x14ac:dyDescent="0.25">
      <c r="A308"/>
      <c r="B308"/>
    </row>
    <row r="309" spans="1:2" x14ac:dyDescent="0.25">
      <c r="A309"/>
      <c r="B309"/>
    </row>
    <row r="310" spans="1:2" x14ac:dyDescent="0.25">
      <c r="A310"/>
      <c r="B310"/>
    </row>
    <row r="311" spans="1:2" x14ac:dyDescent="0.25">
      <c r="A311"/>
      <c r="B311"/>
    </row>
    <row r="312" spans="1:2" x14ac:dyDescent="0.25">
      <c r="A312"/>
      <c r="B312"/>
    </row>
    <row r="313" spans="1:2" x14ac:dyDescent="0.25">
      <c r="A313"/>
      <c r="B313"/>
    </row>
    <row r="314" spans="1:2" x14ac:dyDescent="0.25">
      <c r="A314"/>
      <c r="B314"/>
    </row>
    <row r="315" spans="1:2" x14ac:dyDescent="0.25">
      <c r="A315"/>
      <c r="B315"/>
    </row>
    <row r="316" spans="1:2" x14ac:dyDescent="0.25">
      <c r="A316"/>
      <c r="B316"/>
    </row>
    <row r="317" spans="1:2" x14ac:dyDescent="0.25">
      <c r="A317"/>
      <c r="B317"/>
    </row>
    <row r="318" spans="1:2" x14ac:dyDescent="0.25">
      <c r="A318"/>
      <c r="B318"/>
    </row>
    <row r="319" spans="1:2" x14ac:dyDescent="0.25">
      <c r="A319"/>
      <c r="B319"/>
    </row>
    <row r="320" spans="1:2" x14ac:dyDescent="0.25">
      <c r="A320"/>
      <c r="B320"/>
    </row>
    <row r="321" spans="1:2" x14ac:dyDescent="0.25">
      <c r="A321"/>
      <c r="B321"/>
    </row>
    <row r="322" spans="1:2" x14ac:dyDescent="0.25">
      <c r="A322"/>
      <c r="B322"/>
    </row>
    <row r="323" spans="1:2" x14ac:dyDescent="0.25">
      <c r="A323"/>
      <c r="B323"/>
    </row>
    <row r="324" spans="1:2" x14ac:dyDescent="0.25">
      <c r="A324"/>
      <c r="B324"/>
    </row>
    <row r="325" spans="1:2" x14ac:dyDescent="0.25">
      <c r="A325"/>
      <c r="B325"/>
    </row>
    <row r="326" spans="1:2" x14ac:dyDescent="0.25">
      <c r="A326"/>
      <c r="B326"/>
    </row>
    <row r="327" spans="1:2" x14ac:dyDescent="0.25">
      <c r="A327"/>
      <c r="B327"/>
    </row>
    <row r="328" spans="1:2" x14ac:dyDescent="0.25">
      <c r="A328"/>
      <c r="B328"/>
    </row>
    <row r="329" spans="1:2" x14ac:dyDescent="0.25">
      <c r="A329"/>
      <c r="B329"/>
    </row>
    <row r="330" spans="1:2" x14ac:dyDescent="0.25">
      <c r="A330"/>
      <c r="B330"/>
    </row>
    <row r="331" spans="1:2" x14ac:dyDescent="0.25">
      <c r="A331"/>
      <c r="B331"/>
    </row>
    <row r="332" spans="1:2" x14ac:dyDescent="0.25">
      <c r="A332"/>
      <c r="B332"/>
    </row>
    <row r="333" spans="1:2" x14ac:dyDescent="0.25">
      <c r="A333"/>
      <c r="B333"/>
    </row>
    <row r="334" spans="1:2" x14ac:dyDescent="0.25">
      <c r="A334"/>
      <c r="B334"/>
    </row>
    <row r="335" spans="1:2" x14ac:dyDescent="0.25">
      <c r="A335"/>
      <c r="B335"/>
    </row>
    <row r="336" spans="1:2" x14ac:dyDescent="0.25">
      <c r="A336"/>
      <c r="B336"/>
    </row>
    <row r="337" spans="1:2" x14ac:dyDescent="0.25">
      <c r="A337"/>
      <c r="B337"/>
    </row>
    <row r="338" spans="1:2" x14ac:dyDescent="0.25">
      <c r="A338"/>
      <c r="B338"/>
    </row>
    <row r="339" spans="1:2" x14ac:dyDescent="0.25">
      <c r="A339"/>
      <c r="B339"/>
    </row>
    <row r="340" spans="1:2" x14ac:dyDescent="0.25">
      <c r="A340"/>
      <c r="B340"/>
    </row>
    <row r="341" spans="1:2" x14ac:dyDescent="0.25">
      <c r="A341"/>
      <c r="B341"/>
    </row>
    <row r="342" spans="1:2" x14ac:dyDescent="0.25">
      <c r="A342"/>
      <c r="B342"/>
    </row>
    <row r="343" spans="1:2" x14ac:dyDescent="0.25">
      <c r="A343"/>
      <c r="B343"/>
    </row>
    <row r="344" spans="1:2" x14ac:dyDescent="0.25">
      <c r="A344"/>
      <c r="B344"/>
    </row>
    <row r="345" spans="1:2" x14ac:dyDescent="0.25">
      <c r="A345"/>
      <c r="B345"/>
    </row>
    <row r="346" spans="1:2" x14ac:dyDescent="0.25">
      <c r="A346"/>
      <c r="B346"/>
    </row>
    <row r="347" spans="1:2" x14ac:dyDescent="0.25">
      <c r="A347"/>
      <c r="B347"/>
    </row>
    <row r="348" spans="1:2" x14ac:dyDescent="0.25">
      <c r="A348"/>
      <c r="B348"/>
    </row>
    <row r="349" spans="1:2" x14ac:dyDescent="0.25">
      <c r="A349"/>
      <c r="B349"/>
    </row>
    <row r="350" spans="1:2" x14ac:dyDescent="0.25">
      <c r="A350"/>
      <c r="B350"/>
    </row>
    <row r="351" spans="1:2" x14ac:dyDescent="0.25">
      <c r="A351"/>
      <c r="B351"/>
    </row>
    <row r="352" spans="1:2" x14ac:dyDescent="0.25">
      <c r="A352"/>
      <c r="B352"/>
    </row>
    <row r="353" spans="1:2" x14ac:dyDescent="0.25">
      <c r="A353"/>
      <c r="B353"/>
    </row>
    <row r="354" spans="1:2" x14ac:dyDescent="0.25">
      <c r="A354"/>
      <c r="B354"/>
    </row>
    <row r="355" spans="1:2" x14ac:dyDescent="0.25">
      <c r="A355"/>
      <c r="B355"/>
    </row>
    <row r="356" spans="1:2" x14ac:dyDescent="0.25">
      <c r="A356"/>
      <c r="B356"/>
    </row>
    <row r="357" spans="1:2" x14ac:dyDescent="0.25">
      <c r="A357"/>
      <c r="B357"/>
    </row>
    <row r="358" spans="1:2" x14ac:dyDescent="0.25">
      <c r="A358"/>
      <c r="B358"/>
    </row>
    <row r="359" spans="1:2" x14ac:dyDescent="0.25">
      <c r="A359"/>
      <c r="B359"/>
    </row>
    <row r="360" spans="1:2" x14ac:dyDescent="0.25">
      <c r="A360"/>
      <c r="B360"/>
    </row>
    <row r="361" spans="1:2" x14ac:dyDescent="0.25">
      <c r="A361"/>
      <c r="B361"/>
    </row>
    <row r="362" spans="1:2" x14ac:dyDescent="0.25">
      <c r="A362"/>
      <c r="B362"/>
    </row>
    <row r="363" spans="1:2" x14ac:dyDescent="0.25">
      <c r="A363"/>
      <c r="B363"/>
    </row>
    <row r="364" spans="1:2" x14ac:dyDescent="0.25">
      <c r="A364"/>
      <c r="B364"/>
    </row>
    <row r="365" spans="1:2" x14ac:dyDescent="0.25">
      <c r="A365"/>
      <c r="B365"/>
    </row>
    <row r="366" spans="1:2" x14ac:dyDescent="0.25">
      <c r="A366"/>
      <c r="B366"/>
    </row>
    <row r="367" spans="1:2" x14ac:dyDescent="0.25">
      <c r="A367"/>
      <c r="B367"/>
    </row>
    <row r="368" spans="1:2" x14ac:dyDescent="0.25">
      <c r="A368"/>
      <c r="B368"/>
    </row>
    <row r="369" spans="1:2" x14ac:dyDescent="0.25">
      <c r="A369"/>
      <c r="B369"/>
    </row>
    <row r="370" spans="1:2" x14ac:dyDescent="0.25">
      <c r="A370"/>
      <c r="B370"/>
    </row>
    <row r="371" spans="1:2" x14ac:dyDescent="0.25">
      <c r="A371"/>
      <c r="B371"/>
    </row>
    <row r="372" spans="1:2" x14ac:dyDescent="0.25">
      <c r="A372"/>
      <c r="B372"/>
    </row>
    <row r="373" spans="1:2" x14ac:dyDescent="0.25">
      <c r="A373"/>
      <c r="B373"/>
    </row>
    <row r="374" spans="1:2" x14ac:dyDescent="0.25">
      <c r="A374"/>
      <c r="B374"/>
    </row>
    <row r="375" spans="1:2" x14ac:dyDescent="0.25">
      <c r="A375"/>
      <c r="B375"/>
    </row>
    <row r="376" spans="1:2" x14ac:dyDescent="0.25">
      <c r="A376"/>
      <c r="B376"/>
    </row>
    <row r="377" spans="1:2" x14ac:dyDescent="0.25">
      <c r="A377"/>
      <c r="B377"/>
    </row>
    <row r="378" spans="1:2" x14ac:dyDescent="0.25">
      <c r="A378"/>
      <c r="B378"/>
    </row>
    <row r="379" spans="1:2" x14ac:dyDescent="0.25">
      <c r="A379"/>
      <c r="B379"/>
    </row>
    <row r="380" spans="1:2" x14ac:dyDescent="0.25">
      <c r="A380"/>
      <c r="B380"/>
    </row>
    <row r="381" spans="1:2" x14ac:dyDescent="0.25">
      <c r="A381"/>
      <c r="B381"/>
    </row>
    <row r="382" spans="1:2" x14ac:dyDescent="0.25">
      <c r="A382"/>
      <c r="B382"/>
    </row>
    <row r="383" spans="1:2" x14ac:dyDescent="0.25">
      <c r="A383"/>
      <c r="B383"/>
    </row>
    <row r="384" spans="1:2" x14ac:dyDescent="0.25">
      <c r="A384"/>
      <c r="B384"/>
    </row>
    <row r="385" spans="1:2" x14ac:dyDescent="0.25">
      <c r="A385"/>
      <c r="B385"/>
    </row>
    <row r="386" spans="1:2" x14ac:dyDescent="0.25">
      <c r="A386"/>
      <c r="B386"/>
    </row>
    <row r="387" spans="1:2" x14ac:dyDescent="0.25">
      <c r="A387"/>
      <c r="B387"/>
    </row>
    <row r="388" spans="1:2" x14ac:dyDescent="0.25">
      <c r="A388"/>
      <c r="B388"/>
    </row>
    <row r="389" spans="1:2" x14ac:dyDescent="0.25">
      <c r="A389"/>
      <c r="B389"/>
    </row>
    <row r="390" spans="1:2" x14ac:dyDescent="0.25">
      <c r="A390"/>
      <c r="B390"/>
    </row>
    <row r="391" spans="1:2" x14ac:dyDescent="0.25">
      <c r="A391"/>
      <c r="B391"/>
    </row>
    <row r="392" spans="1:2" x14ac:dyDescent="0.25">
      <c r="A392"/>
      <c r="B392"/>
    </row>
    <row r="393" spans="1:2" x14ac:dyDescent="0.25">
      <c r="A393"/>
      <c r="B393"/>
    </row>
    <row r="394" spans="1:2" x14ac:dyDescent="0.25">
      <c r="A394"/>
      <c r="B394"/>
    </row>
    <row r="395" spans="1:2" x14ac:dyDescent="0.25">
      <c r="A395"/>
      <c r="B395"/>
    </row>
    <row r="396" spans="1:2" x14ac:dyDescent="0.25">
      <c r="A396"/>
      <c r="B396"/>
    </row>
    <row r="397" spans="1:2" x14ac:dyDescent="0.25">
      <c r="A397"/>
      <c r="B397"/>
    </row>
    <row r="398" spans="1:2" x14ac:dyDescent="0.25">
      <c r="A398"/>
      <c r="B398"/>
    </row>
    <row r="399" spans="1:2" x14ac:dyDescent="0.25">
      <c r="A399"/>
      <c r="B399"/>
    </row>
    <row r="400" spans="1:2" x14ac:dyDescent="0.25">
      <c r="A400"/>
      <c r="B400"/>
    </row>
    <row r="401" spans="1:2" x14ac:dyDescent="0.25">
      <c r="A401"/>
      <c r="B401"/>
    </row>
    <row r="402" spans="1:2" x14ac:dyDescent="0.25">
      <c r="A402"/>
      <c r="B402"/>
    </row>
    <row r="403" spans="1:2" x14ac:dyDescent="0.25">
      <c r="A403"/>
      <c r="B403"/>
    </row>
    <row r="404" spans="1:2" x14ac:dyDescent="0.25">
      <c r="A404"/>
      <c r="B404"/>
    </row>
    <row r="405" spans="1:2" x14ac:dyDescent="0.25">
      <c r="A405"/>
      <c r="B405"/>
    </row>
    <row r="406" spans="1:2" x14ac:dyDescent="0.25">
      <c r="A406"/>
      <c r="B406"/>
    </row>
    <row r="407" spans="1:2" x14ac:dyDescent="0.25">
      <c r="A407"/>
      <c r="B407"/>
    </row>
    <row r="408" spans="1:2" x14ac:dyDescent="0.25">
      <c r="A408"/>
      <c r="B408"/>
    </row>
    <row r="409" spans="1:2" x14ac:dyDescent="0.25">
      <c r="A409"/>
      <c r="B409"/>
    </row>
    <row r="410" spans="1:2" x14ac:dyDescent="0.25">
      <c r="A410"/>
      <c r="B410"/>
    </row>
    <row r="411" spans="1:2" x14ac:dyDescent="0.25">
      <c r="A411"/>
      <c r="B411"/>
    </row>
    <row r="412" spans="1:2" x14ac:dyDescent="0.25">
      <c r="A412"/>
      <c r="B412"/>
    </row>
    <row r="413" spans="1:2" x14ac:dyDescent="0.25">
      <c r="A413"/>
      <c r="B413"/>
    </row>
    <row r="414" spans="1:2" x14ac:dyDescent="0.25">
      <c r="A414"/>
      <c r="B414"/>
    </row>
    <row r="415" spans="1:2" x14ac:dyDescent="0.25">
      <c r="A415"/>
      <c r="B415"/>
    </row>
    <row r="416" spans="1:2" x14ac:dyDescent="0.25">
      <c r="A416"/>
      <c r="B416"/>
    </row>
    <row r="417" spans="1:2" x14ac:dyDescent="0.25">
      <c r="A417"/>
      <c r="B417"/>
    </row>
    <row r="418" spans="1:2" x14ac:dyDescent="0.25">
      <c r="A418"/>
      <c r="B418"/>
    </row>
    <row r="419" spans="1:2" x14ac:dyDescent="0.25">
      <c r="A419"/>
      <c r="B419"/>
    </row>
    <row r="420" spans="1:2" x14ac:dyDescent="0.25">
      <c r="A420"/>
      <c r="B420"/>
    </row>
    <row r="421" spans="1:2" x14ac:dyDescent="0.25">
      <c r="A421"/>
      <c r="B421"/>
    </row>
    <row r="422" spans="1:2" x14ac:dyDescent="0.25">
      <c r="A422"/>
      <c r="B422"/>
    </row>
    <row r="423" spans="1:2" x14ac:dyDescent="0.25">
      <c r="A423"/>
      <c r="B423"/>
    </row>
    <row r="424" spans="1:2" x14ac:dyDescent="0.25">
      <c r="A424"/>
      <c r="B424"/>
    </row>
    <row r="425" spans="1:2" x14ac:dyDescent="0.25">
      <c r="A425"/>
      <c r="B425"/>
    </row>
    <row r="426" spans="1:2" x14ac:dyDescent="0.25">
      <c r="A426"/>
      <c r="B426"/>
    </row>
    <row r="427" spans="1:2" x14ac:dyDescent="0.25">
      <c r="A427"/>
      <c r="B427"/>
    </row>
    <row r="428" spans="1:2" x14ac:dyDescent="0.25">
      <c r="A428"/>
      <c r="B428"/>
    </row>
    <row r="429" spans="1:2" x14ac:dyDescent="0.25">
      <c r="A429"/>
      <c r="B429"/>
    </row>
    <row r="430" spans="1:2" x14ac:dyDescent="0.25">
      <c r="A430"/>
      <c r="B430"/>
    </row>
    <row r="431" spans="1:2" x14ac:dyDescent="0.25">
      <c r="A431"/>
      <c r="B431"/>
    </row>
    <row r="432" spans="1:2" x14ac:dyDescent="0.25">
      <c r="A432"/>
      <c r="B432"/>
    </row>
    <row r="433" spans="1:2" x14ac:dyDescent="0.25">
      <c r="A433"/>
      <c r="B433"/>
    </row>
    <row r="434" spans="1:2" x14ac:dyDescent="0.25">
      <c r="A434"/>
      <c r="B434"/>
    </row>
    <row r="435" spans="1:2" x14ac:dyDescent="0.25">
      <c r="A435"/>
      <c r="B435"/>
    </row>
    <row r="436" spans="1:2" x14ac:dyDescent="0.25">
      <c r="A436"/>
      <c r="B436"/>
    </row>
    <row r="437" spans="1:2" x14ac:dyDescent="0.25">
      <c r="A437"/>
      <c r="B437"/>
    </row>
    <row r="438" spans="1:2" x14ac:dyDescent="0.25">
      <c r="A438"/>
      <c r="B438"/>
    </row>
    <row r="439" spans="1:2" x14ac:dyDescent="0.25">
      <c r="A439"/>
      <c r="B439"/>
    </row>
    <row r="440" spans="1:2" x14ac:dyDescent="0.25">
      <c r="A440"/>
      <c r="B440"/>
    </row>
    <row r="441" spans="1:2" x14ac:dyDescent="0.25">
      <c r="A441"/>
      <c r="B441"/>
    </row>
    <row r="442" spans="1:2" x14ac:dyDescent="0.25">
      <c r="A442"/>
      <c r="B442"/>
    </row>
    <row r="443" spans="1:2" x14ac:dyDescent="0.25">
      <c r="A443"/>
      <c r="B443"/>
    </row>
    <row r="444" spans="1:2" x14ac:dyDescent="0.25">
      <c r="A444"/>
      <c r="B444"/>
    </row>
    <row r="445" spans="1:2" x14ac:dyDescent="0.25">
      <c r="A445"/>
      <c r="B445"/>
    </row>
    <row r="446" spans="1:2" x14ac:dyDescent="0.25">
      <c r="A446"/>
      <c r="B446"/>
    </row>
    <row r="447" spans="1:2" x14ac:dyDescent="0.25">
      <c r="A447"/>
      <c r="B447"/>
    </row>
    <row r="448" spans="1:2" x14ac:dyDescent="0.25">
      <c r="A448"/>
      <c r="B448"/>
    </row>
    <row r="449" spans="1:2" x14ac:dyDescent="0.25">
      <c r="A449"/>
      <c r="B449"/>
    </row>
    <row r="450" spans="1:2" x14ac:dyDescent="0.25">
      <c r="A450"/>
      <c r="B450"/>
    </row>
    <row r="451" spans="1:2" x14ac:dyDescent="0.25">
      <c r="A451"/>
      <c r="B451"/>
    </row>
    <row r="452" spans="1:2" x14ac:dyDescent="0.25">
      <c r="A452"/>
      <c r="B452"/>
    </row>
    <row r="453" spans="1:2" x14ac:dyDescent="0.25">
      <c r="A453"/>
      <c r="B453"/>
    </row>
    <row r="454" spans="1:2" x14ac:dyDescent="0.25">
      <c r="A454"/>
      <c r="B454"/>
    </row>
    <row r="455" spans="1:2" x14ac:dyDescent="0.25">
      <c r="A455"/>
      <c r="B455"/>
    </row>
    <row r="456" spans="1:2" x14ac:dyDescent="0.25">
      <c r="A456"/>
      <c r="B456"/>
    </row>
    <row r="457" spans="1:2" x14ac:dyDescent="0.25">
      <c r="A457"/>
      <c r="B457"/>
    </row>
    <row r="458" spans="1:2" x14ac:dyDescent="0.25">
      <c r="A458"/>
      <c r="B458"/>
    </row>
    <row r="459" spans="1:2" x14ac:dyDescent="0.25">
      <c r="A459"/>
      <c r="B459"/>
    </row>
    <row r="460" spans="1:2" x14ac:dyDescent="0.25">
      <c r="A460"/>
      <c r="B460"/>
    </row>
    <row r="461" spans="1:2" x14ac:dyDescent="0.25">
      <c r="A461"/>
      <c r="B461"/>
    </row>
    <row r="462" spans="1:2" x14ac:dyDescent="0.25">
      <c r="A462"/>
      <c r="B462"/>
    </row>
    <row r="463" spans="1:2" x14ac:dyDescent="0.25">
      <c r="A463"/>
      <c r="B463"/>
    </row>
    <row r="464" spans="1:2" x14ac:dyDescent="0.25">
      <c r="A464"/>
      <c r="B464"/>
    </row>
    <row r="465" spans="1:2" x14ac:dyDescent="0.25">
      <c r="A465"/>
      <c r="B465"/>
    </row>
    <row r="466" spans="1:2" x14ac:dyDescent="0.25">
      <c r="A466"/>
      <c r="B466"/>
    </row>
    <row r="467" spans="1:2" x14ac:dyDescent="0.25">
      <c r="A467"/>
      <c r="B467"/>
    </row>
    <row r="468" spans="1:2" x14ac:dyDescent="0.25">
      <c r="A468"/>
      <c r="B468"/>
    </row>
    <row r="469" spans="1:2" x14ac:dyDescent="0.25">
      <c r="A469"/>
      <c r="B469"/>
    </row>
    <row r="470" spans="1:2" x14ac:dyDescent="0.25">
      <c r="A470"/>
      <c r="B470"/>
    </row>
    <row r="471" spans="1:2" x14ac:dyDescent="0.25">
      <c r="A471"/>
      <c r="B471"/>
    </row>
    <row r="472" spans="1:2" x14ac:dyDescent="0.25">
      <c r="A472"/>
      <c r="B472"/>
    </row>
    <row r="473" spans="1:2" x14ac:dyDescent="0.25">
      <c r="A473"/>
      <c r="B473"/>
    </row>
    <row r="474" spans="1:2" x14ac:dyDescent="0.25">
      <c r="A474"/>
      <c r="B474"/>
    </row>
    <row r="475" spans="1:2" x14ac:dyDescent="0.25">
      <c r="A475"/>
      <c r="B475"/>
    </row>
    <row r="476" spans="1:2" x14ac:dyDescent="0.25">
      <c r="A476"/>
      <c r="B476"/>
    </row>
    <row r="477" spans="1:2" x14ac:dyDescent="0.25">
      <c r="A477"/>
      <c r="B477"/>
    </row>
    <row r="478" spans="1:2" x14ac:dyDescent="0.25">
      <c r="A478"/>
      <c r="B478"/>
    </row>
    <row r="479" spans="1:2" x14ac:dyDescent="0.25">
      <c r="A479"/>
      <c r="B479"/>
    </row>
    <row r="480" spans="1:2" x14ac:dyDescent="0.25">
      <c r="A480"/>
      <c r="B480"/>
    </row>
    <row r="481" spans="1:2" x14ac:dyDescent="0.25">
      <c r="A481"/>
      <c r="B481"/>
    </row>
    <row r="482" spans="1:2" x14ac:dyDescent="0.25">
      <c r="A482"/>
      <c r="B482"/>
    </row>
    <row r="483" spans="1:2" x14ac:dyDescent="0.25">
      <c r="A483"/>
      <c r="B483"/>
    </row>
    <row r="484" spans="1:2" x14ac:dyDescent="0.25">
      <c r="A484"/>
      <c r="B484"/>
    </row>
    <row r="485" spans="1:2" x14ac:dyDescent="0.25">
      <c r="A485"/>
      <c r="B485"/>
    </row>
    <row r="486" spans="1:2" x14ac:dyDescent="0.25">
      <c r="A486"/>
      <c r="B486"/>
    </row>
    <row r="487" spans="1:2" x14ac:dyDescent="0.25">
      <c r="A487"/>
      <c r="B487"/>
    </row>
    <row r="488" spans="1:2" x14ac:dyDescent="0.25">
      <c r="A488"/>
      <c r="B488"/>
    </row>
    <row r="489" spans="1:2" x14ac:dyDescent="0.25">
      <c r="A489"/>
      <c r="B489"/>
    </row>
    <row r="490" spans="1:2" x14ac:dyDescent="0.25">
      <c r="A490"/>
      <c r="B490"/>
    </row>
    <row r="491" spans="1:2" x14ac:dyDescent="0.25">
      <c r="A491"/>
      <c r="B491"/>
    </row>
    <row r="492" spans="1:2" x14ac:dyDescent="0.25">
      <c r="A492"/>
      <c r="B492"/>
    </row>
    <row r="493" spans="1:2" x14ac:dyDescent="0.25">
      <c r="A493"/>
      <c r="B493"/>
    </row>
    <row r="494" spans="1:2" x14ac:dyDescent="0.25">
      <c r="A494"/>
      <c r="B494"/>
    </row>
    <row r="495" spans="1:2" x14ac:dyDescent="0.25">
      <c r="A495"/>
      <c r="B495"/>
    </row>
    <row r="496" spans="1:2" x14ac:dyDescent="0.25">
      <c r="A496"/>
      <c r="B496"/>
    </row>
    <row r="497" spans="1:2" x14ac:dyDescent="0.25">
      <c r="A497"/>
      <c r="B497"/>
    </row>
    <row r="498" spans="1:2" x14ac:dyDescent="0.25">
      <c r="A498"/>
      <c r="B498"/>
    </row>
    <row r="499" spans="1:2" x14ac:dyDescent="0.25">
      <c r="A499"/>
      <c r="B499"/>
    </row>
    <row r="500" spans="1:2" x14ac:dyDescent="0.25">
      <c r="A500"/>
      <c r="B500"/>
    </row>
    <row r="501" spans="1:2" x14ac:dyDescent="0.25">
      <c r="A501"/>
      <c r="B501"/>
    </row>
    <row r="502" spans="1:2" x14ac:dyDescent="0.25">
      <c r="A502"/>
      <c r="B502"/>
    </row>
    <row r="503" spans="1:2" x14ac:dyDescent="0.25">
      <c r="A503"/>
      <c r="B503"/>
    </row>
    <row r="504" spans="1:2" x14ac:dyDescent="0.25">
      <c r="A504"/>
      <c r="B504"/>
    </row>
    <row r="505" spans="1:2" x14ac:dyDescent="0.25">
      <c r="A505"/>
      <c r="B505"/>
    </row>
    <row r="506" spans="1:2" x14ac:dyDescent="0.25">
      <c r="A506"/>
      <c r="B506"/>
    </row>
    <row r="507" spans="1:2" x14ac:dyDescent="0.25">
      <c r="A507"/>
      <c r="B507"/>
    </row>
    <row r="508" spans="1:2" x14ac:dyDescent="0.25">
      <c r="A508"/>
      <c r="B508"/>
    </row>
    <row r="509" spans="1:2" x14ac:dyDescent="0.25">
      <c r="A509"/>
      <c r="B509"/>
    </row>
    <row r="510" spans="1:2" x14ac:dyDescent="0.25">
      <c r="A510"/>
      <c r="B510"/>
    </row>
    <row r="511" spans="1:2" x14ac:dyDescent="0.25">
      <c r="A511"/>
      <c r="B511"/>
    </row>
    <row r="512" spans="1:2" x14ac:dyDescent="0.25">
      <c r="A512"/>
      <c r="B512"/>
    </row>
    <row r="513" spans="1:2" x14ac:dyDescent="0.25">
      <c r="A513"/>
      <c r="B513"/>
    </row>
    <row r="514" spans="1:2" x14ac:dyDescent="0.25">
      <c r="A514"/>
      <c r="B514"/>
    </row>
    <row r="515" spans="1:2" x14ac:dyDescent="0.25">
      <c r="A515"/>
      <c r="B515"/>
    </row>
    <row r="516" spans="1:2" x14ac:dyDescent="0.25">
      <c r="A516"/>
      <c r="B516"/>
    </row>
    <row r="517" spans="1:2" x14ac:dyDescent="0.25">
      <c r="A517"/>
      <c r="B517"/>
    </row>
    <row r="518" spans="1:2" x14ac:dyDescent="0.25">
      <c r="A518"/>
      <c r="B518"/>
    </row>
    <row r="519" spans="1:2" x14ac:dyDescent="0.25">
      <c r="A519"/>
      <c r="B519"/>
    </row>
    <row r="520" spans="1:2" x14ac:dyDescent="0.25">
      <c r="A520"/>
      <c r="B520"/>
    </row>
    <row r="521" spans="1:2" x14ac:dyDescent="0.25">
      <c r="A521"/>
      <c r="B521"/>
    </row>
    <row r="522" spans="1:2" x14ac:dyDescent="0.25">
      <c r="A522"/>
      <c r="B522"/>
    </row>
    <row r="523" spans="1:2" x14ac:dyDescent="0.25">
      <c r="A523"/>
      <c r="B523"/>
    </row>
    <row r="524" spans="1:2" x14ac:dyDescent="0.25">
      <c r="A524"/>
      <c r="B524"/>
    </row>
    <row r="525" spans="1:2" x14ac:dyDescent="0.25">
      <c r="A525"/>
      <c r="B525"/>
    </row>
    <row r="526" spans="1:2" x14ac:dyDescent="0.25">
      <c r="A526"/>
      <c r="B526"/>
    </row>
    <row r="527" spans="1:2" x14ac:dyDescent="0.25">
      <c r="A527"/>
      <c r="B527"/>
    </row>
    <row r="528" spans="1:2" x14ac:dyDescent="0.25">
      <c r="A528"/>
      <c r="B528"/>
    </row>
    <row r="529" spans="1:2" x14ac:dyDescent="0.25">
      <c r="A529"/>
      <c r="B529"/>
    </row>
    <row r="530" spans="1:2" x14ac:dyDescent="0.25">
      <c r="A530"/>
      <c r="B530"/>
    </row>
    <row r="531" spans="1:2" x14ac:dyDescent="0.25">
      <c r="A531"/>
      <c r="B531"/>
    </row>
    <row r="532" spans="1:2" x14ac:dyDescent="0.25">
      <c r="A532"/>
      <c r="B532"/>
    </row>
    <row r="533" spans="1:2" x14ac:dyDescent="0.25">
      <c r="A533"/>
      <c r="B533"/>
    </row>
    <row r="534" spans="1:2" x14ac:dyDescent="0.25">
      <c r="A534"/>
      <c r="B534"/>
    </row>
    <row r="535" spans="1:2" x14ac:dyDescent="0.25">
      <c r="A535"/>
      <c r="B535"/>
    </row>
    <row r="536" spans="1:2" x14ac:dyDescent="0.25">
      <c r="A536"/>
      <c r="B536"/>
    </row>
    <row r="537" spans="1:2" x14ac:dyDescent="0.25">
      <c r="A537"/>
      <c r="B537"/>
    </row>
    <row r="538" spans="1:2" x14ac:dyDescent="0.25">
      <c r="A538"/>
      <c r="B538"/>
    </row>
    <row r="539" spans="1:2" x14ac:dyDescent="0.25">
      <c r="A539"/>
      <c r="B539"/>
    </row>
    <row r="540" spans="1:2" x14ac:dyDescent="0.25">
      <c r="A540"/>
      <c r="B540"/>
    </row>
    <row r="541" spans="1:2" x14ac:dyDescent="0.25">
      <c r="A541"/>
      <c r="B541"/>
    </row>
    <row r="542" spans="1:2" x14ac:dyDescent="0.25">
      <c r="A542"/>
      <c r="B542"/>
    </row>
    <row r="543" spans="1:2" x14ac:dyDescent="0.25">
      <c r="A543"/>
      <c r="B543"/>
    </row>
    <row r="544" spans="1:2" x14ac:dyDescent="0.25">
      <c r="A544"/>
      <c r="B544"/>
    </row>
    <row r="545" spans="1:2" x14ac:dyDescent="0.25">
      <c r="A545"/>
      <c r="B545"/>
    </row>
    <row r="546" spans="1:2" x14ac:dyDescent="0.25">
      <c r="A546"/>
      <c r="B546"/>
    </row>
    <row r="547" spans="1:2" x14ac:dyDescent="0.25">
      <c r="A547"/>
      <c r="B547"/>
    </row>
    <row r="548" spans="1:2" x14ac:dyDescent="0.25">
      <c r="A548"/>
      <c r="B548"/>
    </row>
    <row r="549" spans="1:2" x14ac:dyDescent="0.25">
      <c r="A549"/>
      <c r="B549"/>
    </row>
    <row r="550" spans="1:2" x14ac:dyDescent="0.25">
      <c r="A550"/>
      <c r="B550"/>
    </row>
    <row r="551" spans="1:2" x14ac:dyDescent="0.25">
      <c r="A551"/>
      <c r="B551"/>
    </row>
    <row r="552" spans="1:2" x14ac:dyDescent="0.25">
      <c r="A552"/>
      <c r="B552"/>
    </row>
    <row r="553" spans="1:2" x14ac:dyDescent="0.25">
      <c r="A553"/>
      <c r="B553"/>
    </row>
    <row r="554" spans="1:2" x14ac:dyDescent="0.25">
      <c r="A554"/>
      <c r="B554"/>
    </row>
    <row r="555" spans="1:2" x14ac:dyDescent="0.25">
      <c r="A555"/>
      <c r="B555"/>
    </row>
    <row r="556" spans="1:2" x14ac:dyDescent="0.25">
      <c r="A556"/>
      <c r="B556"/>
    </row>
    <row r="557" spans="1:2" x14ac:dyDescent="0.25">
      <c r="A557"/>
      <c r="B557"/>
    </row>
    <row r="558" spans="1:2" x14ac:dyDescent="0.25">
      <c r="A558"/>
      <c r="B558"/>
    </row>
    <row r="559" spans="1:2" x14ac:dyDescent="0.25">
      <c r="A559"/>
      <c r="B559"/>
    </row>
    <row r="560" spans="1:2" x14ac:dyDescent="0.25">
      <c r="A560"/>
      <c r="B560"/>
    </row>
    <row r="561" spans="1:2" x14ac:dyDescent="0.25">
      <c r="A561"/>
      <c r="B561"/>
    </row>
    <row r="562" spans="1:2" x14ac:dyDescent="0.25">
      <c r="A562"/>
      <c r="B562"/>
    </row>
    <row r="563" spans="1:2" x14ac:dyDescent="0.25">
      <c r="A563"/>
      <c r="B563"/>
    </row>
    <row r="564" spans="1:2" x14ac:dyDescent="0.25">
      <c r="A564"/>
      <c r="B564"/>
    </row>
    <row r="565" spans="1:2" x14ac:dyDescent="0.25">
      <c r="A565"/>
      <c r="B565"/>
    </row>
    <row r="566" spans="1:2" x14ac:dyDescent="0.25">
      <c r="A566"/>
      <c r="B566"/>
    </row>
    <row r="567" spans="1:2" x14ac:dyDescent="0.25">
      <c r="A567"/>
      <c r="B567"/>
    </row>
    <row r="568" spans="1:2" x14ac:dyDescent="0.25">
      <c r="A568"/>
      <c r="B568"/>
    </row>
    <row r="569" spans="1:2" x14ac:dyDescent="0.25">
      <c r="A569"/>
      <c r="B569"/>
    </row>
    <row r="570" spans="1:2" x14ac:dyDescent="0.25">
      <c r="A570"/>
      <c r="B570"/>
    </row>
    <row r="571" spans="1:2" x14ac:dyDescent="0.25">
      <c r="A571"/>
      <c r="B571"/>
    </row>
    <row r="572" spans="1:2" x14ac:dyDescent="0.25">
      <c r="A572"/>
      <c r="B572"/>
    </row>
    <row r="573" spans="1:2" x14ac:dyDescent="0.25">
      <c r="A573"/>
      <c r="B573"/>
    </row>
    <row r="574" spans="1:2" x14ac:dyDescent="0.25">
      <c r="A574"/>
      <c r="B574"/>
    </row>
    <row r="575" spans="1:2" x14ac:dyDescent="0.25">
      <c r="A575"/>
      <c r="B575"/>
    </row>
    <row r="576" spans="1:2" x14ac:dyDescent="0.25">
      <c r="A576"/>
      <c r="B576"/>
    </row>
    <row r="577" spans="1:2" x14ac:dyDescent="0.25">
      <c r="A577"/>
      <c r="B577"/>
    </row>
    <row r="578" spans="1:2" x14ac:dyDescent="0.25">
      <c r="A578"/>
      <c r="B578"/>
    </row>
    <row r="579" spans="1:2" x14ac:dyDescent="0.25">
      <c r="A579"/>
      <c r="B579"/>
    </row>
    <row r="580" spans="1:2" x14ac:dyDescent="0.25">
      <c r="A580"/>
      <c r="B580"/>
    </row>
    <row r="581" spans="1:2" x14ac:dyDescent="0.25">
      <c r="A581"/>
      <c r="B581"/>
    </row>
    <row r="582" spans="1:2" x14ac:dyDescent="0.25">
      <c r="A582"/>
      <c r="B582"/>
    </row>
    <row r="583" spans="1:2" x14ac:dyDescent="0.25">
      <c r="A583"/>
      <c r="B583"/>
    </row>
    <row r="584" spans="1:2" x14ac:dyDescent="0.25">
      <c r="A584"/>
      <c r="B584"/>
    </row>
    <row r="585" spans="1:2" x14ac:dyDescent="0.25">
      <c r="A585"/>
      <c r="B585"/>
    </row>
    <row r="586" spans="1:2" x14ac:dyDescent="0.25">
      <c r="A586"/>
      <c r="B586"/>
    </row>
    <row r="587" spans="1:2" x14ac:dyDescent="0.25">
      <c r="A587"/>
      <c r="B587"/>
    </row>
    <row r="588" spans="1:2" x14ac:dyDescent="0.25">
      <c r="A588"/>
      <c r="B588"/>
    </row>
    <row r="589" spans="1:2" x14ac:dyDescent="0.25">
      <c r="A589"/>
      <c r="B589"/>
    </row>
    <row r="590" spans="1:2" x14ac:dyDescent="0.25">
      <c r="A590"/>
      <c r="B590"/>
    </row>
    <row r="591" spans="1:2" x14ac:dyDescent="0.25">
      <c r="A591"/>
      <c r="B591"/>
    </row>
    <row r="592" spans="1:2" x14ac:dyDescent="0.25">
      <c r="A592"/>
      <c r="B592"/>
    </row>
    <row r="593" spans="1:2" x14ac:dyDescent="0.25">
      <c r="A593"/>
      <c r="B593"/>
    </row>
    <row r="594" spans="1:2" x14ac:dyDescent="0.25">
      <c r="A594"/>
      <c r="B594"/>
    </row>
    <row r="595" spans="1:2" x14ac:dyDescent="0.25">
      <c r="A595"/>
      <c r="B595"/>
    </row>
    <row r="596" spans="1:2" x14ac:dyDescent="0.25">
      <c r="A596"/>
      <c r="B596"/>
    </row>
    <row r="597" spans="1:2" x14ac:dyDescent="0.25">
      <c r="A597"/>
      <c r="B597"/>
    </row>
    <row r="598" spans="1:2" x14ac:dyDescent="0.25">
      <c r="A598"/>
      <c r="B598"/>
    </row>
    <row r="599" spans="1:2" x14ac:dyDescent="0.25">
      <c r="A599"/>
      <c r="B599"/>
    </row>
    <row r="600" spans="1:2" x14ac:dyDescent="0.25">
      <c r="A600"/>
      <c r="B600"/>
    </row>
    <row r="601" spans="1:2" x14ac:dyDescent="0.25">
      <c r="A601"/>
      <c r="B601"/>
    </row>
    <row r="602" spans="1:2" x14ac:dyDescent="0.25">
      <c r="A602"/>
      <c r="B602"/>
    </row>
    <row r="603" spans="1:2" x14ac:dyDescent="0.25">
      <c r="A603"/>
      <c r="B603"/>
    </row>
    <row r="604" spans="1:2" x14ac:dyDescent="0.25">
      <c r="A604"/>
      <c r="B604"/>
    </row>
    <row r="605" spans="1:2" x14ac:dyDescent="0.25">
      <c r="A605"/>
      <c r="B605"/>
    </row>
    <row r="606" spans="1:2" x14ac:dyDescent="0.25">
      <c r="A606"/>
      <c r="B606"/>
    </row>
    <row r="607" spans="1:2" x14ac:dyDescent="0.25">
      <c r="A607"/>
      <c r="B607"/>
    </row>
    <row r="608" spans="1:2" x14ac:dyDescent="0.25">
      <c r="A608"/>
      <c r="B608"/>
    </row>
    <row r="609" spans="1:2" x14ac:dyDescent="0.25">
      <c r="A609"/>
      <c r="B609"/>
    </row>
    <row r="610" spans="1:2" x14ac:dyDescent="0.25">
      <c r="A610"/>
      <c r="B610"/>
    </row>
    <row r="611" spans="1:2" x14ac:dyDescent="0.25">
      <c r="A611"/>
      <c r="B611"/>
    </row>
    <row r="612" spans="1:2" x14ac:dyDescent="0.25">
      <c r="A612"/>
      <c r="B612"/>
    </row>
    <row r="613" spans="1:2" x14ac:dyDescent="0.25">
      <c r="A613"/>
      <c r="B613"/>
    </row>
    <row r="614" spans="1:2" x14ac:dyDescent="0.25">
      <c r="A614"/>
      <c r="B614"/>
    </row>
    <row r="615" spans="1:2" x14ac:dyDescent="0.25">
      <c r="A615"/>
      <c r="B615"/>
    </row>
    <row r="616" spans="1:2" x14ac:dyDescent="0.25">
      <c r="A616"/>
      <c r="B616"/>
    </row>
    <row r="617" spans="1:2" x14ac:dyDescent="0.25">
      <c r="A617"/>
      <c r="B617"/>
    </row>
    <row r="618" spans="1:2" x14ac:dyDescent="0.25">
      <c r="A618"/>
      <c r="B618"/>
    </row>
    <row r="619" spans="1:2" x14ac:dyDescent="0.25">
      <c r="A619"/>
      <c r="B619"/>
    </row>
    <row r="620" spans="1:2" x14ac:dyDescent="0.25">
      <c r="A620"/>
      <c r="B620"/>
    </row>
    <row r="621" spans="1:2" x14ac:dyDescent="0.25">
      <c r="A621"/>
      <c r="B621"/>
    </row>
    <row r="622" spans="1:2" x14ac:dyDescent="0.25">
      <c r="A622"/>
      <c r="B622"/>
    </row>
    <row r="623" spans="1:2" x14ac:dyDescent="0.25">
      <c r="A623"/>
      <c r="B623"/>
    </row>
    <row r="624" spans="1:2" x14ac:dyDescent="0.25">
      <c r="A624"/>
      <c r="B624"/>
    </row>
    <row r="625" spans="1:2" x14ac:dyDescent="0.25">
      <c r="A625"/>
      <c r="B625"/>
    </row>
    <row r="626" spans="1:2" x14ac:dyDescent="0.25">
      <c r="A626"/>
      <c r="B626"/>
    </row>
    <row r="627" spans="1:2" x14ac:dyDescent="0.25">
      <c r="A627"/>
      <c r="B627"/>
    </row>
    <row r="628" spans="1:2" x14ac:dyDescent="0.25">
      <c r="A628"/>
      <c r="B628"/>
    </row>
    <row r="629" spans="1:2" x14ac:dyDescent="0.25">
      <c r="A629"/>
      <c r="B629"/>
    </row>
    <row r="630" spans="1:2" x14ac:dyDescent="0.25">
      <c r="A630"/>
      <c r="B630"/>
    </row>
    <row r="631" spans="1:2" x14ac:dyDescent="0.25">
      <c r="A631"/>
      <c r="B631"/>
    </row>
    <row r="632" spans="1:2" x14ac:dyDescent="0.25">
      <c r="A632"/>
      <c r="B632"/>
    </row>
    <row r="633" spans="1:2" x14ac:dyDescent="0.25">
      <c r="A633"/>
      <c r="B633"/>
    </row>
    <row r="634" spans="1:2" x14ac:dyDescent="0.25">
      <c r="A634"/>
      <c r="B634"/>
    </row>
    <row r="635" spans="1:2" x14ac:dyDescent="0.25">
      <c r="A635"/>
      <c r="B635"/>
    </row>
    <row r="636" spans="1:2" x14ac:dyDescent="0.25">
      <c r="A636"/>
      <c r="B636"/>
    </row>
    <row r="637" spans="1:2" x14ac:dyDescent="0.25">
      <c r="A637"/>
      <c r="B637"/>
    </row>
    <row r="638" spans="1:2" x14ac:dyDescent="0.25">
      <c r="A638"/>
      <c r="B638"/>
    </row>
    <row r="639" spans="1:2" x14ac:dyDescent="0.25">
      <c r="A639"/>
      <c r="B639"/>
    </row>
    <row r="640" spans="1:2" x14ac:dyDescent="0.25">
      <c r="A640"/>
      <c r="B640"/>
    </row>
    <row r="641" spans="1:2" x14ac:dyDescent="0.25">
      <c r="A641"/>
      <c r="B641"/>
    </row>
    <row r="642" spans="1:2" x14ac:dyDescent="0.25">
      <c r="A642"/>
      <c r="B642"/>
    </row>
    <row r="643" spans="1:2" x14ac:dyDescent="0.25">
      <c r="A643"/>
      <c r="B643"/>
    </row>
    <row r="644" spans="1:2" x14ac:dyDescent="0.25">
      <c r="A644"/>
      <c r="B644"/>
    </row>
    <row r="645" spans="1:2" x14ac:dyDescent="0.25">
      <c r="A645"/>
      <c r="B645"/>
    </row>
    <row r="646" spans="1:2" x14ac:dyDescent="0.25">
      <c r="A646"/>
      <c r="B646"/>
    </row>
    <row r="647" spans="1:2" x14ac:dyDescent="0.25">
      <c r="A647"/>
      <c r="B647"/>
    </row>
    <row r="648" spans="1:2" x14ac:dyDescent="0.25">
      <c r="A648"/>
      <c r="B648"/>
    </row>
    <row r="649" spans="1:2" x14ac:dyDescent="0.25">
      <c r="A649"/>
      <c r="B649"/>
    </row>
    <row r="650" spans="1:2" x14ac:dyDescent="0.25">
      <c r="A650"/>
      <c r="B650"/>
    </row>
    <row r="651" spans="1:2" x14ac:dyDescent="0.25">
      <c r="A651"/>
      <c r="B651"/>
    </row>
    <row r="652" spans="1:2" x14ac:dyDescent="0.25">
      <c r="A652"/>
      <c r="B652"/>
    </row>
    <row r="653" spans="1:2" x14ac:dyDescent="0.25">
      <c r="A653"/>
      <c r="B653"/>
    </row>
    <row r="654" spans="1:2" x14ac:dyDescent="0.25">
      <c r="A654"/>
      <c r="B654"/>
    </row>
    <row r="655" spans="1:2" x14ac:dyDescent="0.25">
      <c r="A655"/>
      <c r="B655"/>
    </row>
    <row r="656" spans="1:2" x14ac:dyDescent="0.25">
      <c r="A656"/>
      <c r="B656"/>
    </row>
    <row r="657" spans="1:2" x14ac:dyDescent="0.25">
      <c r="A657"/>
      <c r="B657"/>
    </row>
    <row r="658" spans="1:2" x14ac:dyDescent="0.25">
      <c r="A658"/>
      <c r="B658"/>
    </row>
    <row r="659" spans="1:2" x14ac:dyDescent="0.25">
      <c r="A659"/>
      <c r="B659"/>
    </row>
    <row r="660" spans="1:2" x14ac:dyDescent="0.25">
      <c r="A660"/>
      <c r="B660"/>
    </row>
    <row r="661" spans="1:2" x14ac:dyDescent="0.25">
      <c r="A661"/>
      <c r="B661"/>
    </row>
    <row r="662" spans="1:2" x14ac:dyDescent="0.25">
      <c r="A662"/>
      <c r="B662"/>
    </row>
    <row r="663" spans="1:2" x14ac:dyDescent="0.25">
      <c r="A663"/>
      <c r="B663"/>
    </row>
    <row r="664" spans="1:2" x14ac:dyDescent="0.25">
      <c r="A664"/>
      <c r="B664"/>
    </row>
    <row r="665" spans="1:2" x14ac:dyDescent="0.25">
      <c r="A665"/>
      <c r="B665"/>
    </row>
    <row r="666" spans="1:2" x14ac:dyDescent="0.25">
      <c r="A666"/>
      <c r="B666"/>
    </row>
    <row r="667" spans="1:2" x14ac:dyDescent="0.25">
      <c r="A667"/>
      <c r="B667"/>
    </row>
    <row r="668" spans="1:2" x14ac:dyDescent="0.25">
      <c r="A668"/>
      <c r="B668"/>
    </row>
    <row r="669" spans="1:2" x14ac:dyDescent="0.25">
      <c r="A669"/>
      <c r="B669"/>
    </row>
    <row r="670" spans="1:2" x14ac:dyDescent="0.25">
      <c r="A670"/>
      <c r="B670"/>
    </row>
    <row r="671" spans="1:2" x14ac:dyDescent="0.25">
      <c r="A671"/>
      <c r="B671"/>
    </row>
    <row r="672" spans="1:2" x14ac:dyDescent="0.25">
      <c r="A672"/>
      <c r="B672"/>
    </row>
    <row r="673" spans="1:2" x14ac:dyDescent="0.25">
      <c r="A673"/>
      <c r="B673"/>
    </row>
    <row r="674" spans="1:2" x14ac:dyDescent="0.25">
      <c r="A674"/>
      <c r="B674"/>
    </row>
    <row r="675" spans="1:2" x14ac:dyDescent="0.25">
      <c r="A675"/>
      <c r="B675"/>
    </row>
    <row r="676" spans="1:2" x14ac:dyDescent="0.25">
      <c r="A676"/>
      <c r="B676"/>
    </row>
    <row r="677" spans="1:2" x14ac:dyDescent="0.25">
      <c r="A677"/>
      <c r="B677"/>
    </row>
    <row r="678" spans="1:2" x14ac:dyDescent="0.25">
      <c r="A678"/>
      <c r="B678"/>
    </row>
    <row r="679" spans="1:2" x14ac:dyDescent="0.25">
      <c r="A679"/>
      <c r="B679"/>
    </row>
    <row r="680" spans="1:2" x14ac:dyDescent="0.25">
      <c r="A680"/>
      <c r="B680"/>
    </row>
    <row r="681" spans="1:2" x14ac:dyDescent="0.25">
      <c r="A681"/>
      <c r="B681"/>
    </row>
    <row r="682" spans="1:2" x14ac:dyDescent="0.25">
      <c r="A682"/>
      <c r="B682"/>
    </row>
    <row r="683" spans="1:2" x14ac:dyDescent="0.25">
      <c r="A683"/>
      <c r="B683"/>
    </row>
    <row r="684" spans="1:2" x14ac:dyDescent="0.25">
      <c r="A684"/>
      <c r="B684"/>
    </row>
    <row r="685" spans="1:2" x14ac:dyDescent="0.25">
      <c r="A685"/>
      <c r="B685"/>
    </row>
    <row r="686" spans="1:2" x14ac:dyDescent="0.25">
      <c r="A686"/>
      <c r="B686"/>
    </row>
    <row r="687" spans="1:2" x14ac:dyDescent="0.25">
      <c r="A687"/>
      <c r="B687"/>
    </row>
    <row r="688" spans="1:2" x14ac:dyDescent="0.25">
      <c r="A688"/>
      <c r="B688"/>
    </row>
    <row r="689" spans="1:2" x14ac:dyDescent="0.25">
      <c r="A689"/>
      <c r="B689"/>
    </row>
    <row r="690" spans="1:2" x14ac:dyDescent="0.25">
      <c r="A690"/>
      <c r="B690"/>
    </row>
    <row r="691" spans="1:2" x14ac:dyDescent="0.25">
      <c r="A691"/>
      <c r="B691"/>
    </row>
    <row r="692" spans="1:2" x14ac:dyDescent="0.25">
      <c r="A692"/>
      <c r="B692"/>
    </row>
    <row r="693" spans="1:2" x14ac:dyDescent="0.25">
      <c r="A693"/>
      <c r="B693"/>
    </row>
    <row r="694" spans="1:2" x14ac:dyDescent="0.25">
      <c r="A694"/>
      <c r="B694"/>
    </row>
    <row r="695" spans="1:2" x14ac:dyDescent="0.25">
      <c r="A695"/>
      <c r="B695"/>
    </row>
    <row r="696" spans="1:2" x14ac:dyDescent="0.25">
      <c r="A696"/>
      <c r="B696"/>
    </row>
    <row r="697" spans="1:2" x14ac:dyDescent="0.25">
      <c r="A697"/>
      <c r="B697"/>
    </row>
    <row r="698" spans="1:2" x14ac:dyDescent="0.25">
      <c r="A698"/>
      <c r="B698"/>
    </row>
    <row r="699" spans="1:2" x14ac:dyDescent="0.25">
      <c r="A699"/>
      <c r="B699"/>
    </row>
    <row r="700" spans="1:2" x14ac:dyDescent="0.25">
      <c r="A700"/>
      <c r="B700"/>
    </row>
    <row r="701" spans="1:2" x14ac:dyDescent="0.25">
      <c r="A701"/>
      <c r="B701"/>
    </row>
    <row r="702" spans="1:2" x14ac:dyDescent="0.25">
      <c r="A702"/>
      <c r="B702"/>
    </row>
    <row r="703" spans="1:2" x14ac:dyDescent="0.25">
      <c r="A703"/>
      <c r="B703"/>
    </row>
    <row r="704" spans="1:2" x14ac:dyDescent="0.25">
      <c r="A704"/>
      <c r="B704"/>
    </row>
    <row r="705" spans="1:2" x14ac:dyDescent="0.25">
      <c r="A705"/>
      <c r="B705"/>
    </row>
    <row r="706" spans="1:2" x14ac:dyDescent="0.25">
      <c r="A706"/>
      <c r="B706"/>
    </row>
    <row r="707" spans="1:2" x14ac:dyDescent="0.25">
      <c r="A707"/>
      <c r="B707"/>
    </row>
    <row r="708" spans="1:2" x14ac:dyDescent="0.25">
      <c r="A708"/>
      <c r="B708"/>
    </row>
    <row r="709" spans="1:2" x14ac:dyDescent="0.25">
      <c r="A709"/>
      <c r="B709"/>
    </row>
    <row r="710" spans="1:2" x14ac:dyDescent="0.25">
      <c r="A710"/>
      <c r="B710"/>
    </row>
    <row r="711" spans="1:2" x14ac:dyDescent="0.25">
      <c r="A711"/>
      <c r="B711"/>
    </row>
    <row r="712" spans="1:2" x14ac:dyDescent="0.25">
      <c r="A712"/>
      <c r="B712"/>
    </row>
    <row r="713" spans="1:2" x14ac:dyDescent="0.25">
      <c r="A713"/>
      <c r="B713"/>
    </row>
    <row r="714" spans="1:2" x14ac:dyDescent="0.25">
      <c r="A714"/>
      <c r="B714"/>
    </row>
    <row r="715" spans="1:2" x14ac:dyDescent="0.25">
      <c r="A715"/>
      <c r="B715"/>
    </row>
    <row r="716" spans="1:2" x14ac:dyDescent="0.25">
      <c r="A716"/>
      <c r="B716"/>
    </row>
    <row r="717" spans="1:2" x14ac:dyDescent="0.25">
      <c r="A717"/>
      <c r="B717"/>
    </row>
    <row r="718" spans="1:2" x14ac:dyDescent="0.25">
      <c r="A718"/>
      <c r="B718"/>
    </row>
    <row r="719" spans="1:2" x14ac:dyDescent="0.25">
      <c r="A719"/>
      <c r="B719"/>
    </row>
    <row r="720" spans="1:2" x14ac:dyDescent="0.25">
      <c r="A720"/>
      <c r="B720"/>
    </row>
    <row r="721" spans="1:2" x14ac:dyDescent="0.25">
      <c r="A721"/>
      <c r="B721"/>
    </row>
    <row r="722" spans="1:2" x14ac:dyDescent="0.25">
      <c r="A722"/>
      <c r="B722"/>
    </row>
    <row r="723" spans="1:2" x14ac:dyDescent="0.25">
      <c r="A723"/>
      <c r="B723"/>
    </row>
    <row r="724" spans="1:2" x14ac:dyDescent="0.25">
      <c r="A724"/>
      <c r="B724"/>
    </row>
    <row r="725" spans="1:2" x14ac:dyDescent="0.25">
      <c r="A725"/>
      <c r="B725"/>
    </row>
    <row r="726" spans="1:2" x14ac:dyDescent="0.25">
      <c r="A726"/>
      <c r="B726"/>
    </row>
    <row r="727" spans="1:2" x14ac:dyDescent="0.25">
      <c r="A727"/>
      <c r="B727"/>
    </row>
    <row r="728" spans="1:2" x14ac:dyDescent="0.25">
      <c r="A728"/>
      <c r="B728"/>
    </row>
    <row r="729" spans="1:2" x14ac:dyDescent="0.25">
      <c r="A729"/>
      <c r="B729"/>
    </row>
    <row r="730" spans="1:2" x14ac:dyDescent="0.25">
      <c r="A730"/>
      <c r="B730"/>
    </row>
    <row r="731" spans="1:2" x14ac:dyDescent="0.25">
      <c r="A731"/>
      <c r="B731"/>
    </row>
    <row r="732" spans="1:2" x14ac:dyDescent="0.25">
      <c r="A732"/>
      <c r="B732"/>
    </row>
    <row r="733" spans="1:2" x14ac:dyDescent="0.25">
      <c r="A733"/>
      <c r="B733"/>
    </row>
    <row r="734" spans="1:2" x14ac:dyDescent="0.25">
      <c r="A734"/>
      <c r="B734"/>
    </row>
    <row r="735" spans="1:2" x14ac:dyDescent="0.25">
      <c r="A735"/>
      <c r="B735"/>
    </row>
    <row r="736" spans="1:2" x14ac:dyDescent="0.25">
      <c r="A736"/>
      <c r="B736"/>
    </row>
    <row r="737" spans="1:2" x14ac:dyDescent="0.25">
      <c r="A737"/>
      <c r="B737"/>
    </row>
    <row r="738" spans="1:2" x14ac:dyDescent="0.25">
      <c r="A738"/>
      <c r="B738"/>
    </row>
    <row r="739" spans="1:2" x14ac:dyDescent="0.25">
      <c r="A739"/>
      <c r="B739"/>
    </row>
    <row r="740" spans="1:2" x14ac:dyDescent="0.25">
      <c r="A740"/>
      <c r="B740"/>
    </row>
    <row r="741" spans="1:2" x14ac:dyDescent="0.25">
      <c r="A741"/>
      <c r="B741"/>
    </row>
    <row r="742" spans="1:2" x14ac:dyDescent="0.25">
      <c r="A742"/>
      <c r="B742"/>
    </row>
    <row r="743" spans="1:2" x14ac:dyDescent="0.25">
      <c r="A743"/>
      <c r="B743"/>
    </row>
    <row r="744" spans="1:2" x14ac:dyDescent="0.25">
      <c r="A744"/>
      <c r="B744"/>
    </row>
    <row r="745" spans="1:2" x14ac:dyDescent="0.25">
      <c r="A745"/>
      <c r="B745"/>
    </row>
    <row r="746" spans="1:2" x14ac:dyDescent="0.25">
      <c r="A746"/>
      <c r="B746"/>
    </row>
    <row r="747" spans="1:2" x14ac:dyDescent="0.25">
      <c r="A747"/>
      <c r="B747"/>
    </row>
    <row r="748" spans="1:2" x14ac:dyDescent="0.25">
      <c r="A748"/>
      <c r="B748"/>
    </row>
    <row r="749" spans="1:2" x14ac:dyDescent="0.25">
      <c r="A749"/>
      <c r="B749"/>
    </row>
    <row r="750" spans="1:2" x14ac:dyDescent="0.25">
      <c r="A750"/>
      <c r="B750"/>
    </row>
    <row r="751" spans="1:2" x14ac:dyDescent="0.25">
      <c r="A751"/>
      <c r="B751"/>
    </row>
    <row r="752" spans="1:2" x14ac:dyDescent="0.25">
      <c r="A752"/>
      <c r="B752"/>
    </row>
    <row r="753" spans="1:2" x14ac:dyDescent="0.25">
      <c r="A753"/>
      <c r="B753"/>
    </row>
    <row r="754" spans="1:2" x14ac:dyDescent="0.25">
      <c r="A754"/>
      <c r="B754"/>
    </row>
    <row r="755" spans="1:2" x14ac:dyDescent="0.25">
      <c r="A755"/>
      <c r="B755"/>
    </row>
    <row r="756" spans="1:2" x14ac:dyDescent="0.25">
      <c r="A756"/>
      <c r="B756"/>
    </row>
    <row r="757" spans="1:2" x14ac:dyDescent="0.25">
      <c r="A757"/>
      <c r="B757"/>
    </row>
    <row r="758" spans="1:2" x14ac:dyDescent="0.25">
      <c r="A758"/>
      <c r="B758"/>
    </row>
    <row r="759" spans="1:2" x14ac:dyDescent="0.25">
      <c r="A759"/>
      <c r="B759"/>
    </row>
    <row r="760" spans="1:2" x14ac:dyDescent="0.25">
      <c r="A760"/>
      <c r="B760"/>
    </row>
    <row r="761" spans="1:2" x14ac:dyDescent="0.25">
      <c r="A761"/>
      <c r="B761"/>
    </row>
    <row r="762" spans="1:2" x14ac:dyDescent="0.25">
      <c r="A762"/>
      <c r="B762"/>
    </row>
    <row r="763" spans="1:2" x14ac:dyDescent="0.25">
      <c r="A763"/>
      <c r="B763"/>
    </row>
    <row r="764" spans="1:2" x14ac:dyDescent="0.25">
      <c r="A764"/>
      <c r="B764"/>
    </row>
    <row r="765" spans="1:2" x14ac:dyDescent="0.25">
      <c r="A765"/>
      <c r="B765"/>
    </row>
    <row r="766" spans="1:2" x14ac:dyDescent="0.25">
      <c r="A766"/>
      <c r="B766"/>
    </row>
    <row r="767" spans="1:2" x14ac:dyDescent="0.25">
      <c r="A767"/>
      <c r="B767"/>
    </row>
    <row r="768" spans="1:2" x14ac:dyDescent="0.25">
      <c r="A768"/>
      <c r="B768"/>
    </row>
    <row r="769" spans="1:2" x14ac:dyDescent="0.25">
      <c r="A769"/>
      <c r="B769"/>
    </row>
    <row r="770" spans="1:2" x14ac:dyDescent="0.25">
      <c r="A770"/>
      <c r="B770"/>
    </row>
    <row r="771" spans="1:2" x14ac:dyDescent="0.25">
      <c r="A771"/>
      <c r="B771"/>
    </row>
    <row r="772" spans="1:2" x14ac:dyDescent="0.25">
      <c r="A772"/>
      <c r="B772"/>
    </row>
    <row r="773" spans="1:2" x14ac:dyDescent="0.25">
      <c r="A773"/>
      <c r="B773"/>
    </row>
    <row r="774" spans="1:2" x14ac:dyDescent="0.25">
      <c r="A774"/>
      <c r="B774"/>
    </row>
    <row r="775" spans="1:2" x14ac:dyDescent="0.25">
      <c r="A775"/>
      <c r="B775"/>
    </row>
    <row r="776" spans="1:2" x14ac:dyDescent="0.25">
      <c r="A776"/>
      <c r="B776"/>
    </row>
    <row r="777" spans="1:2" x14ac:dyDescent="0.25">
      <c r="A777"/>
      <c r="B777"/>
    </row>
    <row r="778" spans="1:2" x14ac:dyDescent="0.25">
      <c r="A778"/>
      <c r="B778"/>
    </row>
    <row r="779" spans="1:2" x14ac:dyDescent="0.25">
      <c r="A779"/>
      <c r="B779"/>
    </row>
    <row r="780" spans="1:2" x14ac:dyDescent="0.25">
      <c r="A780"/>
      <c r="B780"/>
    </row>
    <row r="781" spans="1:2" x14ac:dyDescent="0.25">
      <c r="A781"/>
      <c r="B781"/>
    </row>
    <row r="782" spans="1:2" x14ac:dyDescent="0.25">
      <c r="A782"/>
      <c r="B782"/>
    </row>
    <row r="783" spans="1:2" x14ac:dyDescent="0.25">
      <c r="A783"/>
      <c r="B783"/>
    </row>
    <row r="784" spans="1:2" x14ac:dyDescent="0.25">
      <c r="A784"/>
      <c r="B784"/>
    </row>
    <row r="785" spans="1:2" x14ac:dyDescent="0.25">
      <c r="A785"/>
      <c r="B785"/>
    </row>
    <row r="786" spans="1:2" x14ac:dyDescent="0.25">
      <c r="A786"/>
      <c r="B786"/>
    </row>
    <row r="787" spans="1:2" x14ac:dyDescent="0.25">
      <c r="A787"/>
      <c r="B787"/>
    </row>
    <row r="788" spans="1:2" x14ac:dyDescent="0.25">
      <c r="A788"/>
      <c r="B788"/>
    </row>
    <row r="789" spans="1:2" x14ac:dyDescent="0.25">
      <c r="A789"/>
      <c r="B789"/>
    </row>
    <row r="790" spans="1:2" x14ac:dyDescent="0.25">
      <c r="A790"/>
      <c r="B790"/>
    </row>
    <row r="791" spans="1:2" x14ac:dyDescent="0.25">
      <c r="A791"/>
      <c r="B791"/>
    </row>
    <row r="792" spans="1:2" x14ac:dyDescent="0.25">
      <c r="A792"/>
      <c r="B792"/>
    </row>
    <row r="793" spans="1:2" x14ac:dyDescent="0.25">
      <c r="A793"/>
      <c r="B793"/>
    </row>
    <row r="794" spans="1:2" x14ac:dyDescent="0.25">
      <c r="A794"/>
      <c r="B794"/>
    </row>
    <row r="795" spans="1:2" x14ac:dyDescent="0.25">
      <c r="A795"/>
      <c r="B795"/>
    </row>
    <row r="796" spans="1:2" x14ac:dyDescent="0.25">
      <c r="A796"/>
      <c r="B796"/>
    </row>
    <row r="797" spans="1:2" x14ac:dyDescent="0.25">
      <c r="A797"/>
      <c r="B797"/>
    </row>
    <row r="798" spans="1:2" x14ac:dyDescent="0.25">
      <c r="A798"/>
      <c r="B798"/>
    </row>
    <row r="799" spans="1:2" x14ac:dyDescent="0.25">
      <c r="A799"/>
      <c r="B799"/>
    </row>
    <row r="800" spans="1:2" x14ac:dyDescent="0.25">
      <c r="A800"/>
      <c r="B800"/>
    </row>
    <row r="801" spans="1:2" x14ac:dyDescent="0.25">
      <c r="A801"/>
      <c r="B801"/>
    </row>
    <row r="802" spans="1:2" x14ac:dyDescent="0.25">
      <c r="A802"/>
      <c r="B802"/>
    </row>
    <row r="803" spans="1:2" x14ac:dyDescent="0.25">
      <c r="A803"/>
      <c r="B803"/>
    </row>
    <row r="804" spans="1:2" x14ac:dyDescent="0.25">
      <c r="A804"/>
      <c r="B804"/>
    </row>
    <row r="805" spans="1:2" x14ac:dyDescent="0.25">
      <c r="A805"/>
      <c r="B805"/>
    </row>
    <row r="806" spans="1:2" x14ac:dyDescent="0.25">
      <c r="A806"/>
      <c r="B806"/>
    </row>
    <row r="807" spans="1:2" x14ac:dyDescent="0.25">
      <c r="A807"/>
      <c r="B807"/>
    </row>
    <row r="808" spans="1:2" x14ac:dyDescent="0.25">
      <c r="A808"/>
      <c r="B808"/>
    </row>
    <row r="809" spans="1:2" x14ac:dyDescent="0.25">
      <c r="A809"/>
      <c r="B809"/>
    </row>
    <row r="810" spans="1:2" x14ac:dyDescent="0.25">
      <c r="A810"/>
      <c r="B810"/>
    </row>
    <row r="811" spans="1:2" x14ac:dyDescent="0.25">
      <c r="A811"/>
      <c r="B811"/>
    </row>
    <row r="812" spans="1:2" x14ac:dyDescent="0.25">
      <c r="A812"/>
      <c r="B812"/>
    </row>
    <row r="813" spans="1:2" x14ac:dyDescent="0.25">
      <c r="A813"/>
      <c r="B813"/>
    </row>
    <row r="814" spans="1:2" x14ac:dyDescent="0.25">
      <c r="A814"/>
      <c r="B814"/>
    </row>
    <row r="815" spans="1:2" x14ac:dyDescent="0.25">
      <c r="A815"/>
      <c r="B815"/>
    </row>
    <row r="816" spans="1:2" x14ac:dyDescent="0.25">
      <c r="A816"/>
      <c r="B816"/>
    </row>
    <row r="817" spans="1:2" x14ac:dyDescent="0.25">
      <c r="A817"/>
      <c r="B817"/>
    </row>
    <row r="818" spans="1:2" x14ac:dyDescent="0.25">
      <c r="A818"/>
      <c r="B818"/>
    </row>
    <row r="819" spans="1:2" x14ac:dyDescent="0.25">
      <c r="A819"/>
      <c r="B819"/>
    </row>
    <row r="820" spans="1:2" x14ac:dyDescent="0.25">
      <c r="A820"/>
      <c r="B820"/>
    </row>
    <row r="821" spans="1:2" x14ac:dyDescent="0.25">
      <c r="A821"/>
      <c r="B821"/>
    </row>
    <row r="822" spans="1:2" x14ac:dyDescent="0.25">
      <c r="A822"/>
      <c r="B822"/>
    </row>
    <row r="823" spans="1:2" x14ac:dyDescent="0.25">
      <c r="A823"/>
      <c r="B823"/>
    </row>
    <row r="824" spans="1:2" x14ac:dyDescent="0.25">
      <c r="A824"/>
      <c r="B824"/>
    </row>
    <row r="825" spans="1:2" x14ac:dyDescent="0.25">
      <c r="A825"/>
      <c r="B825"/>
    </row>
    <row r="826" spans="1:2" x14ac:dyDescent="0.25">
      <c r="A826"/>
      <c r="B826"/>
    </row>
    <row r="827" spans="1:2" x14ac:dyDescent="0.25">
      <c r="A827"/>
      <c r="B827"/>
    </row>
    <row r="828" spans="1:2" x14ac:dyDescent="0.25">
      <c r="A828"/>
      <c r="B828"/>
    </row>
    <row r="829" spans="1:2" x14ac:dyDescent="0.25">
      <c r="A829"/>
      <c r="B829"/>
    </row>
    <row r="830" spans="1:2" x14ac:dyDescent="0.25">
      <c r="A830"/>
      <c r="B830"/>
    </row>
    <row r="831" spans="1:2" x14ac:dyDescent="0.25">
      <c r="A831"/>
      <c r="B831"/>
    </row>
    <row r="832" spans="1:2" x14ac:dyDescent="0.25">
      <c r="A832"/>
      <c r="B832"/>
    </row>
    <row r="833" spans="1:2" x14ac:dyDescent="0.25">
      <c r="A833"/>
      <c r="B833"/>
    </row>
    <row r="834" spans="1:2" x14ac:dyDescent="0.25">
      <c r="A834"/>
      <c r="B834"/>
    </row>
    <row r="835" spans="1:2" x14ac:dyDescent="0.25">
      <c r="A835"/>
      <c r="B835"/>
    </row>
    <row r="836" spans="1:2" x14ac:dyDescent="0.25">
      <c r="A836"/>
      <c r="B836"/>
    </row>
    <row r="837" spans="1:2" x14ac:dyDescent="0.25">
      <c r="A837"/>
      <c r="B837"/>
    </row>
    <row r="838" spans="1:2" x14ac:dyDescent="0.25">
      <c r="A838"/>
      <c r="B838"/>
    </row>
    <row r="839" spans="1:2" x14ac:dyDescent="0.25">
      <c r="A839"/>
      <c r="B839"/>
    </row>
    <row r="840" spans="1:2" x14ac:dyDescent="0.25">
      <c r="A840"/>
      <c r="B840"/>
    </row>
    <row r="841" spans="1:2" x14ac:dyDescent="0.25">
      <c r="A841"/>
      <c r="B841"/>
    </row>
    <row r="842" spans="1:2" x14ac:dyDescent="0.25">
      <c r="A842"/>
      <c r="B842"/>
    </row>
    <row r="843" spans="1:2" x14ac:dyDescent="0.25">
      <c r="A843"/>
      <c r="B843"/>
    </row>
    <row r="844" spans="1:2" x14ac:dyDescent="0.25">
      <c r="A844"/>
      <c r="B844"/>
    </row>
    <row r="845" spans="1:2" x14ac:dyDescent="0.25">
      <c r="A845"/>
      <c r="B845"/>
    </row>
    <row r="846" spans="1:2" x14ac:dyDescent="0.25">
      <c r="A846"/>
      <c r="B846"/>
    </row>
    <row r="847" spans="1:2" x14ac:dyDescent="0.25">
      <c r="A847"/>
      <c r="B847"/>
    </row>
    <row r="848" spans="1:2" x14ac:dyDescent="0.25">
      <c r="A848"/>
      <c r="B848"/>
    </row>
    <row r="849" spans="1:2" x14ac:dyDescent="0.25">
      <c r="A849"/>
      <c r="B849"/>
    </row>
    <row r="850" spans="1:2" x14ac:dyDescent="0.25">
      <c r="A850"/>
      <c r="B850"/>
    </row>
    <row r="851" spans="1:2" x14ac:dyDescent="0.25">
      <c r="A851"/>
      <c r="B851"/>
    </row>
    <row r="852" spans="1:2" x14ac:dyDescent="0.25">
      <c r="A852"/>
      <c r="B852"/>
    </row>
    <row r="853" spans="1:2" x14ac:dyDescent="0.25">
      <c r="A853"/>
      <c r="B853"/>
    </row>
    <row r="854" spans="1:2" x14ac:dyDescent="0.25">
      <c r="A854"/>
      <c r="B854"/>
    </row>
    <row r="855" spans="1:2" x14ac:dyDescent="0.25">
      <c r="A855"/>
      <c r="B855"/>
    </row>
    <row r="856" spans="1:2" x14ac:dyDescent="0.25">
      <c r="A856"/>
      <c r="B856"/>
    </row>
    <row r="857" spans="1:2" x14ac:dyDescent="0.25">
      <c r="A857"/>
      <c r="B857"/>
    </row>
    <row r="858" spans="1:2" x14ac:dyDescent="0.25">
      <c r="A858"/>
      <c r="B858"/>
    </row>
    <row r="859" spans="1:2" x14ac:dyDescent="0.25">
      <c r="A859"/>
      <c r="B859"/>
    </row>
    <row r="860" spans="1:2" x14ac:dyDescent="0.25">
      <c r="A860"/>
      <c r="B860"/>
    </row>
    <row r="861" spans="1:2" x14ac:dyDescent="0.25">
      <c r="A861"/>
      <c r="B861"/>
    </row>
    <row r="862" spans="1:2" x14ac:dyDescent="0.25">
      <c r="A862"/>
      <c r="B862"/>
    </row>
    <row r="863" spans="1:2" x14ac:dyDescent="0.25">
      <c r="A863"/>
      <c r="B863"/>
    </row>
    <row r="864" spans="1:2" x14ac:dyDescent="0.25">
      <c r="A864"/>
      <c r="B864"/>
    </row>
    <row r="865" spans="1:2" x14ac:dyDescent="0.25">
      <c r="A865"/>
      <c r="B865"/>
    </row>
    <row r="866" spans="1:2" x14ac:dyDescent="0.25">
      <c r="A866"/>
      <c r="B866"/>
    </row>
    <row r="867" spans="1:2" x14ac:dyDescent="0.25">
      <c r="A867"/>
      <c r="B867"/>
    </row>
    <row r="868" spans="1:2" x14ac:dyDescent="0.25">
      <c r="A868"/>
      <c r="B868"/>
    </row>
    <row r="869" spans="1:2" x14ac:dyDescent="0.25">
      <c r="A869"/>
      <c r="B869"/>
    </row>
    <row r="870" spans="1:2" x14ac:dyDescent="0.25">
      <c r="A870"/>
    </row>
    <row r="871" spans="1:2" x14ac:dyDescent="0.25">
      <c r="A871"/>
    </row>
    <row r="872" spans="1:2" x14ac:dyDescent="0.25">
      <c r="A872"/>
    </row>
    <row r="873" spans="1:2" x14ac:dyDescent="0.25">
      <c r="A873"/>
    </row>
    <row r="874" spans="1:2" x14ac:dyDescent="0.25">
      <c r="A874"/>
    </row>
    <row r="875" spans="1:2" x14ac:dyDescent="0.25">
      <c r="A875"/>
    </row>
    <row r="876" spans="1:2" x14ac:dyDescent="0.25">
      <c r="A876"/>
    </row>
    <row r="877" spans="1:2" x14ac:dyDescent="0.25">
      <c r="A877"/>
    </row>
    <row r="878" spans="1:2" x14ac:dyDescent="0.25">
      <c r="A878"/>
    </row>
    <row r="879" spans="1:2" x14ac:dyDescent="0.25">
      <c r="A879"/>
    </row>
    <row r="880" spans="1:2" x14ac:dyDescent="0.25">
      <c r="A880"/>
    </row>
    <row r="881" spans="1:1" x14ac:dyDescent="0.25">
      <c r="A881"/>
    </row>
    <row r="882" spans="1:1" x14ac:dyDescent="0.25">
      <c r="A882"/>
    </row>
    <row r="883" spans="1:1" x14ac:dyDescent="0.25">
      <c r="A883"/>
    </row>
    <row r="884" spans="1:1" x14ac:dyDescent="0.25">
      <c r="A884"/>
    </row>
    <row r="885" spans="1:1" x14ac:dyDescent="0.25">
      <c r="A885"/>
    </row>
    <row r="886" spans="1:1" x14ac:dyDescent="0.25">
      <c r="A886"/>
    </row>
    <row r="887" spans="1:1" x14ac:dyDescent="0.25">
      <c r="A887"/>
    </row>
    <row r="888" spans="1:1" x14ac:dyDescent="0.25">
      <c r="A888"/>
    </row>
    <row r="889" spans="1:1" x14ac:dyDescent="0.25">
      <c r="A889"/>
    </row>
    <row r="890" spans="1:1" x14ac:dyDescent="0.25">
      <c r="A890"/>
    </row>
    <row r="891" spans="1:1" x14ac:dyDescent="0.25">
      <c r="A891"/>
    </row>
    <row r="892" spans="1:1" x14ac:dyDescent="0.25">
      <c r="A892"/>
    </row>
    <row r="893" spans="1:1" x14ac:dyDescent="0.25">
      <c r="A893"/>
    </row>
    <row r="894" spans="1:1" x14ac:dyDescent="0.25">
      <c r="A894"/>
    </row>
    <row r="895" spans="1:1" x14ac:dyDescent="0.25">
      <c r="A895"/>
    </row>
    <row r="896" spans="1:1" x14ac:dyDescent="0.25">
      <c r="A896"/>
    </row>
    <row r="897" spans="1:1" x14ac:dyDescent="0.25">
      <c r="A897"/>
    </row>
    <row r="898" spans="1:1" x14ac:dyDescent="0.25">
      <c r="A898"/>
    </row>
    <row r="899" spans="1:1" x14ac:dyDescent="0.25">
      <c r="A899"/>
    </row>
    <row r="900" spans="1:1" x14ac:dyDescent="0.25">
      <c r="A900"/>
    </row>
    <row r="901" spans="1:1" x14ac:dyDescent="0.25">
      <c r="A901"/>
    </row>
    <row r="902" spans="1:1" x14ac:dyDescent="0.25">
      <c r="A902"/>
    </row>
    <row r="903" spans="1:1" x14ac:dyDescent="0.25">
      <c r="A903"/>
    </row>
    <row r="904" spans="1:1" x14ac:dyDescent="0.25">
      <c r="A904"/>
    </row>
    <row r="905" spans="1:1" x14ac:dyDescent="0.25">
      <c r="A905"/>
    </row>
    <row r="906" spans="1:1" x14ac:dyDescent="0.25">
      <c r="A906"/>
    </row>
    <row r="907" spans="1:1" x14ac:dyDescent="0.25">
      <c r="A907"/>
    </row>
    <row r="908" spans="1:1" x14ac:dyDescent="0.25">
      <c r="A908"/>
    </row>
    <row r="909" spans="1:1" x14ac:dyDescent="0.25">
      <c r="A909"/>
    </row>
    <row r="910" spans="1:1" x14ac:dyDescent="0.25">
      <c r="A910"/>
    </row>
    <row r="911" spans="1:1" x14ac:dyDescent="0.25">
      <c r="A911"/>
    </row>
    <row r="912" spans="1:1" x14ac:dyDescent="0.25">
      <c r="A912"/>
    </row>
    <row r="913" spans="1:1" x14ac:dyDescent="0.25">
      <c r="A913"/>
    </row>
    <row r="914" spans="1:1" x14ac:dyDescent="0.25">
      <c r="A914"/>
    </row>
    <row r="915" spans="1:1" x14ac:dyDescent="0.25">
      <c r="A915"/>
    </row>
    <row r="916" spans="1:1" x14ac:dyDescent="0.25">
      <c r="A916"/>
    </row>
    <row r="917" spans="1:1" x14ac:dyDescent="0.25">
      <c r="A917"/>
    </row>
    <row r="918" spans="1:1" x14ac:dyDescent="0.25">
      <c r="A918"/>
    </row>
    <row r="919" spans="1:1" x14ac:dyDescent="0.25">
      <c r="A919"/>
    </row>
    <row r="920" spans="1:1" x14ac:dyDescent="0.25">
      <c r="A920"/>
    </row>
    <row r="921" spans="1:1" x14ac:dyDescent="0.25">
      <c r="A921"/>
    </row>
    <row r="922" spans="1:1" x14ac:dyDescent="0.25">
      <c r="A922"/>
    </row>
    <row r="923" spans="1:1" x14ac:dyDescent="0.25">
      <c r="A923"/>
    </row>
    <row r="924" spans="1:1" x14ac:dyDescent="0.25">
      <c r="A924"/>
    </row>
    <row r="925" spans="1:1" x14ac:dyDescent="0.25">
      <c r="A925"/>
    </row>
    <row r="926" spans="1:1" x14ac:dyDescent="0.25">
      <c r="A926"/>
    </row>
    <row r="927" spans="1:1" x14ac:dyDescent="0.25">
      <c r="A927"/>
    </row>
    <row r="928" spans="1:1" x14ac:dyDescent="0.25">
      <c r="A928"/>
    </row>
    <row r="929" spans="1:1" x14ac:dyDescent="0.25">
      <c r="A929"/>
    </row>
    <row r="930" spans="1:1" x14ac:dyDescent="0.25">
      <c r="A930"/>
    </row>
    <row r="931" spans="1:1" x14ac:dyDescent="0.25">
      <c r="A931"/>
    </row>
    <row r="932" spans="1:1" x14ac:dyDescent="0.25">
      <c r="A932"/>
    </row>
    <row r="933" spans="1:1" x14ac:dyDescent="0.25">
      <c r="A933"/>
    </row>
    <row r="934" spans="1:1" x14ac:dyDescent="0.25">
      <c r="A934"/>
    </row>
    <row r="935" spans="1:1" x14ac:dyDescent="0.25">
      <c r="A935"/>
    </row>
    <row r="936" spans="1:1" x14ac:dyDescent="0.25">
      <c r="A936"/>
    </row>
    <row r="937" spans="1:1" x14ac:dyDescent="0.25">
      <c r="A937"/>
    </row>
    <row r="938" spans="1:1" x14ac:dyDescent="0.25">
      <c r="A938"/>
    </row>
    <row r="939" spans="1:1" x14ac:dyDescent="0.25">
      <c r="A939"/>
    </row>
    <row r="940" spans="1:1" x14ac:dyDescent="0.25">
      <c r="A940"/>
    </row>
    <row r="941" spans="1:1" x14ac:dyDescent="0.25">
      <c r="A941"/>
    </row>
    <row r="942" spans="1:1" x14ac:dyDescent="0.25">
      <c r="A942"/>
    </row>
    <row r="943" spans="1:1" x14ac:dyDescent="0.25">
      <c r="A943"/>
    </row>
    <row r="944" spans="1:1" x14ac:dyDescent="0.25">
      <c r="A944"/>
    </row>
    <row r="945" spans="1:1" x14ac:dyDescent="0.25">
      <c r="A945"/>
    </row>
    <row r="946" spans="1:1" x14ac:dyDescent="0.25">
      <c r="A946"/>
    </row>
    <row r="947" spans="1:1" x14ac:dyDescent="0.25">
      <c r="A947"/>
    </row>
    <row r="948" spans="1:1" x14ac:dyDescent="0.25">
      <c r="A948"/>
    </row>
    <row r="949" spans="1:1" x14ac:dyDescent="0.25">
      <c r="A949"/>
    </row>
    <row r="950" spans="1:1" x14ac:dyDescent="0.25">
      <c r="A950"/>
    </row>
    <row r="951" spans="1:1" x14ac:dyDescent="0.25">
      <c r="A951"/>
    </row>
    <row r="952" spans="1:1" x14ac:dyDescent="0.25">
      <c r="A952"/>
    </row>
    <row r="953" spans="1:1" x14ac:dyDescent="0.25">
      <c r="A953"/>
    </row>
    <row r="954" spans="1:1" x14ac:dyDescent="0.25">
      <c r="A954"/>
    </row>
    <row r="955" spans="1:1" x14ac:dyDescent="0.25">
      <c r="A955"/>
    </row>
    <row r="956" spans="1:1" x14ac:dyDescent="0.25">
      <c r="A956"/>
    </row>
    <row r="957" spans="1:1" x14ac:dyDescent="0.25">
      <c r="A957"/>
    </row>
    <row r="958" spans="1:1" x14ac:dyDescent="0.25">
      <c r="A958"/>
    </row>
    <row r="959" spans="1:1" x14ac:dyDescent="0.25">
      <c r="A959"/>
    </row>
    <row r="960" spans="1:1" x14ac:dyDescent="0.25">
      <c r="A960"/>
    </row>
    <row r="961" spans="1:1" x14ac:dyDescent="0.25">
      <c r="A961"/>
    </row>
    <row r="962" spans="1:1" x14ac:dyDescent="0.25">
      <c r="A962"/>
    </row>
    <row r="963" spans="1:1" x14ac:dyDescent="0.25">
      <c r="A963"/>
    </row>
    <row r="964" spans="1:1" x14ac:dyDescent="0.25">
      <c r="A964"/>
    </row>
    <row r="965" spans="1:1" x14ac:dyDescent="0.25">
      <c r="A965"/>
    </row>
    <row r="966" spans="1:1" x14ac:dyDescent="0.25">
      <c r="A966"/>
    </row>
    <row r="967" spans="1:1" x14ac:dyDescent="0.25">
      <c r="A967"/>
    </row>
    <row r="968" spans="1:1" x14ac:dyDescent="0.25">
      <c r="A968"/>
    </row>
    <row r="969" spans="1:1" x14ac:dyDescent="0.25">
      <c r="A969"/>
    </row>
    <row r="970" spans="1:1" x14ac:dyDescent="0.25">
      <c r="A970"/>
    </row>
    <row r="971" spans="1:1" x14ac:dyDescent="0.25">
      <c r="A971"/>
    </row>
    <row r="972" spans="1:1" x14ac:dyDescent="0.25">
      <c r="A972"/>
    </row>
    <row r="973" spans="1:1" x14ac:dyDescent="0.25">
      <c r="A973"/>
    </row>
    <row r="974" spans="1:1" x14ac:dyDescent="0.25">
      <c r="A974"/>
    </row>
    <row r="975" spans="1:1" x14ac:dyDescent="0.25">
      <c r="A975"/>
    </row>
    <row r="976" spans="1:1" x14ac:dyDescent="0.25">
      <c r="A976"/>
    </row>
    <row r="977" spans="1:1" x14ac:dyDescent="0.25">
      <c r="A977"/>
    </row>
    <row r="978" spans="1:1" x14ac:dyDescent="0.25">
      <c r="A978"/>
    </row>
    <row r="979" spans="1:1" x14ac:dyDescent="0.25">
      <c r="A979"/>
    </row>
    <row r="980" spans="1:1" x14ac:dyDescent="0.25">
      <c r="A980"/>
    </row>
    <row r="981" spans="1:1" x14ac:dyDescent="0.25">
      <c r="A981"/>
    </row>
    <row r="982" spans="1:1" x14ac:dyDescent="0.25">
      <c r="A982"/>
    </row>
    <row r="983" spans="1:1" x14ac:dyDescent="0.25">
      <c r="A983"/>
    </row>
    <row r="984" spans="1:1" x14ac:dyDescent="0.25">
      <c r="A984"/>
    </row>
    <row r="985" spans="1:1" x14ac:dyDescent="0.25">
      <c r="A985"/>
    </row>
    <row r="986" spans="1:1" x14ac:dyDescent="0.25">
      <c r="A986"/>
    </row>
    <row r="987" spans="1:1" x14ac:dyDescent="0.25">
      <c r="A987"/>
    </row>
    <row r="988" spans="1:1" x14ac:dyDescent="0.25">
      <c r="A988"/>
    </row>
    <row r="989" spans="1:1" x14ac:dyDescent="0.25">
      <c r="A989"/>
    </row>
    <row r="990" spans="1:1" x14ac:dyDescent="0.25">
      <c r="A990"/>
    </row>
    <row r="991" spans="1:1" x14ac:dyDescent="0.25">
      <c r="A991"/>
    </row>
    <row r="992" spans="1:1" x14ac:dyDescent="0.25">
      <c r="A992"/>
    </row>
    <row r="993" spans="1:1" x14ac:dyDescent="0.25">
      <c r="A993"/>
    </row>
    <row r="994" spans="1:1" x14ac:dyDescent="0.25">
      <c r="A994"/>
    </row>
    <row r="995" spans="1:1" x14ac:dyDescent="0.25">
      <c r="A995"/>
    </row>
    <row r="996" spans="1:1" x14ac:dyDescent="0.25">
      <c r="A996"/>
    </row>
    <row r="997" spans="1:1" x14ac:dyDescent="0.25">
      <c r="A997"/>
    </row>
    <row r="998" spans="1:1" x14ac:dyDescent="0.25">
      <c r="A998"/>
    </row>
    <row r="999" spans="1:1" x14ac:dyDescent="0.25">
      <c r="A999"/>
    </row>
    <row r="1000" spans="1:1" x14ac:dyDescent="0.25">
      <c r="A1000"/>
    </row>
    <row r="1001" spans="1:1" x14ac:dyDescent="0.25">
      <c r="A1001"/>
    </row>
    <row r="1002" spans="1:1" x14ac:dyDescent="0.25">
      <c r="A1002"/>
    </row>
    <row r="1003" spans="1:1" x14ac:dyDescent="0.25">
      <c r="A1003"/>
    </row>
    <row r="1004" spans="1:1" x14ac:dyDescent="0.25">
      <c r="A1004"/>
    </row>
    <row r="1005" spans="1:1" x14ac:dyDescent="0.25">
      <c r="A1005"/>
    </row>
    <row r="1006" spans="1:1" x14ac:dyDescent="0.25">
      <c r="A1006"/>
    </row>
    <row r="1007" spans="1:1" x14ac:dyDescent="0.25">
      <c r="A1007"/>
    </row>
    <row r="1008" spans="1:1" x14ac:dyDescent="0.25">
      <c r="A1008"/>
    </row>
    <row r="1009" spans="1:1" x14ac:dyDescent="0.25">
      <c r="A1009"/>
    </row>
    <row r="1010" spans="1:1" x14ac:dyDescent="0.25">
      <c r="A1010"/>
    </row>
    <row r="1011" spans="1:1" x14ac:dyDescent="0.25">
      <c r="A1011"/>
    </row>
    <row r="1012" spans="1:1" x14ac:dyDescent="0.25">
      <c r="A1012"/>
    </row>
    <row r="1013" spans="1:1" x14ac:dyDescent="0.25">
      <c r="A1013"/>
    </row>
    <row r="1014" spans="1:1" x14ac:dyDescent="0.25">
      <c r="A1014"/>
    </row>
    <row r="1015" spans="1:1" x14ac:dyDescent="0.25">
      <c r="A1015"/>
    </row>
    <row r="1016" spans="1:1" x14ac:dyDescent="0.25">
      <c r="A1016"/>
    </row>
    <row r="1017" spans="1:1" x14ac:dyDescent="0.25">
      <c r="A1017"/>
    </row>
    <row r="1018" spans="1:1" x14ac:dyDescent="0.25">
      <c r="A1018"/>
    </row>
    <row r="1019" spans="1:1" x14ac:dyDescent="0.25">
      <c r="A1019"/>
    </row>
    <row r="1020" spans="1:1" x14ac:dyDescent="0.25">
      <c r="A1020"/>
    </row>
    <row r="1021" spans="1:1" x14ac:dyDescent="0.25">
      <c r="A1021"/>
    </row>
    <row r="1022" spans="1:1" x14ac:dyDescent="0.25">
      <c r="A1022"/>
    </row>
    <row r="1023" spans="1:1" x14ac:dyDescent="0.25">
      <c r="A1023"/>
    </row>
    <row r="1024" spans="1:1" x14ac:dyDescent="0.25">
      <c r="A1024"/>
    </row>
    <row r="1025" spans="1:1" x14ac:dyDescent="0.25">
      <c r="A1025"/>
    </row>
    <row r="1026" spans="1:1" x14ac:dyDescent="0.25">
      <c r="A1026"/>
    </row>
    <row r="1027" spans="1:1" x14ac:dyDescent="0.25">
      <c r="A1027"/>
    </row>
    <row r="1028" spans="1:1" x14ac:dyDescent="0.25">
      <c r="A1028"/>
    </row>
    <row r="1029" spans="1:1" x14ac:dyDescent="0.25">
      <c r="A1029"/>
    </row>
    <row r="1030" spans="1:1" x14ac:dyDescent="0.25">
      <c r="A1030"/>
    </row>
    <row r="1031" spans="1:1" x14ac:dyDescent="0.25">
      <c r="A1031"/>
    </row>
    <row r="1032" spans="1:1" x14ac:dyDescent="0.25">
      <c r="A1032"/>
    </row>
    <row r="1033" spans="1:1" x14ac:dyDescent="0.25">
      <c r="A1033"/>
    </row>
    <row r="1034" spans="1:1" x14ac:dyDescent="0.25">
      <c r="A1034"/>
    </row>
    <row r="1035" spans="1:1" x14ac:dyDescent="0.25">
      <c r="A1035"/>
    </row>
    <row r="1036" spans="1:1" x14ac:dyDescent="0.25">
      <c r="A1036"/>
    </row>
    <row r="1037" spans="1:1" x14ac:dyDescent="0.25">
      <c r="A1037"/>
    </row>
    <row r="1038" spans="1:1" x14ac:dyDescent="0.25">
      <c r="A1038"/>
    </row>
    <row r="1039" spans="1:1" x14ac:dyDescent="0.25">
      <c r="A1039"/>
    </row>
    <row r="1040" spans="1:1" x14ac:dyDescent="0.25">
      <c r="A1040"/>
    </row>
    <row r="1041" spans="1:1" x14ac:dyDescent="0.25">
      <c r="A1041"/>
    </row>
    <row r="1042" spans="1:1" x14ac:dyDescent="0.25">
      <c r="A1042"/>
    </row>
    <row r="1043" spans="1:1" x14ac:dyDescent="0.25">
      <c r="A1043"/>
    </row>
    <row r="1044" spans="1:1" x14ac:dyDescent="0.25">
      <c r="A1044"/>
    </row>
    <row r="1045" spans="1:1" x14ac:dyDescent="0.25">
      <c r="A1045"/>
    </row>
    <row r="1046" spans="1:1" x14ac:dyDescent="0.25">
      <c r="A1046"/>
    </row>
    <row r="1047" spans="1:1" x14ac:dyDescent="0.25">
      <c r="A1047"/>
    </row>
    <row r="1048" spans="1:1" x14ac:dyDescent="0.25">
      <c r="A1048"/>
    </row>
    <row r="1049" spans="1:1" x14ac:dyDescent="0.25">
      <c r="A1049"/>
    </row>
    <row r="1050" spans="1:1" x14ac:dyDescent="0.25">
      <c r="A1050"/>
    </row>
    <row r="1051" spans="1:1" x14ac:dyDescent="0.25">
      <c r="A1051"/>
    </row>
    <row r="1052" spans="1:1" x14ac:dyDescent="0.25">
      <c r="A1052"/>
    </row>
    <row r="1053" spans="1:1" x14ac:dyDescent="0.25">
      <c r="A1053"/>
    </row>
    <row r="1054" spans="1:1" x14ac:dyDescent="0.25">
      <c r="A1054"/>
    </row>
    <row r="1055" spans="1:1" x14ac:dyDescent="0.25">
      <c r="A1055"/>
    </row>
    <row r="1056" spans="1:1" x14ac:dyDescent="0.25">
      <c r="A1056"/>
    </row>
    <row r="1057" spans="1:1" x14ac:dyDescent="0.25">
      <c r="A1057"/>
    </row>
    <row r="1058" spans="1:1" x14ac:dyDescent="0.25">
      <c r="A1058"/>
    </row>
    <row r="1059" spans="1:1" x14ac:dyDescent="0.25">
      <c r="A1059"/>
    </row>
    <row r="1060" spans="1:1" x14ac:dyDescent="0.25">
      <c r="A1060"/>
    </row>
    <row r="1061" spans="1:1" x14ac:dyDescent="0.25">
      <c r="A1061"/>
    </row>
    <row r="1062" spans="1:1" x14ac:dyDescent="0.25">
      <c r="A1062"/>
    </row>
    <row r="1063" spans="1:1" x14ac:dyDescent="0.25">
      <c r="A1063"/>
    </row>
    <row r="1064" spans="1:1" x14ac:dyDescent="0.25">
      <c r="A1064"/>
    </row>
    <row r="1065" spans="1:1" x14ac:dyDescent="0.25">
      <c r="A1065"/>
    </row>
    <row r="1066" spans="1:1" x14ac:dyDescent="0.25">
      <c r="A1066"/>
    </row>
    <row r="1067" spans="1:1" x14ac:dyDescent="0.25">
      <c r="A1067"/>
    </row>
    <row r="1068" spans="1:1" x14ac:dyDescent="0.25">
      <c r="A1068"/>
    </row>
    <row r="1069" spans="1:1" x14ac:dyDescent="0.25">
      <c r="A1069"/>
    </row>
    <row r="1070" spans="1:1" x14ac:dyDescent="0.25">
      <c r="A1070"/>
    </row>
    <row r="1071" spans="1:1" x14ac:dyDescent="0.25">
      <c r="A1071"/>
    </row>
    <row r="1072" spans="1:1" x14ac:dyDescent="0.25">
      <c r="A1072"/>
    </row>
    <row r="1073" spans="1:1" x14ac:dyDescent="0.25">
      <c r="A1073"/>
    </row>
    <row r="1074" spans="1:1" x14ac:dyDescent="0.25">
      <c r="A1074"/>
    </row>
    <row r="1075" spans="1:1" x14ac:dyDescent="0.25">
      <c r="A1075"/>
    </row>
    <row r="1076" spans="1:1" x14ac:dyDescent="0.25">
      <c r="A1076"/>
    </row>
    <row r="1077" spans="1:1" x14ac:dyDescent="0.25">
      <c r="A1077"/>
    </row>
    <row r="1078" spans="1:1" x14ac:dyDescent="0.25">
      <c r="A1078"/>
    </row>
    <row r="1079" spans="1:1" x14ac:dyDescent="0.25">
      <c r="A1079"/>
    </row>
    <row r="1080" spans="1:1" x14ac:dyDescent="0.25">
      <c r="A1080"/>
    </row>
    <row r="1081" spans="1:1" x14ac:dyDescent="0.25">
      <c r="A1081"/>
    </row>
    <row r="1082" spans="1:1" x14ac:dyDescent="0.25">
      <c r="A1082"/>
    </row>
    <row r="1083" spans="1:1" x14ac:dyDescent="0.25">
      <c r="A1083"/>
    </row>
    <row r="1084" spans="1:1" x14ac:dyDescent="0.25">
      <c r="A1084"/>
    </row>
    <row r="1085" spans="1:1" x14ac:dyDescent="0.25">
      <c r="A1085"/>
    </row>
    <row r="1086" spans="1:1" x14ac:dyDescent="0.25">
      <c r="A1086"/>
    </row>
    <row r="1087" spans="1:1" x14ac:dyDescent="0.25">
      <c r="A1087"/>
    </row>
    <row r="1088" spans="1:1" x14ac:dyDescent="0.25">
      <c r="A1088"/>
    </row>
    <row r="1089" spans="1:1" x14ac:dyDescent="0.25">
      <c r="A1089"/>
    </row>
    <row r="1090" spans="1:1" x14ac:dyDescent="0.25">
      <c r="A1090"/>
    </row>
    <row r="1091" spans="1:1" x14ac:dyDescent="0.25">
      <c r="A1091"/>
    </row>
    <row r="1092" spans="1:1" x14ac:dyDescent="0.25">
      <c r="A1092"/>
    </row>
    <row r="1093" spans="1:1" x14ac:dyDescent="0.25">
      <c r="A1093"/>
    </row>
    <row r="1094" spans="1:1" x14ac:dyDescent="0.25">
      <c r="A1094"/>
    </row>
    <row r="1095" spans="1:1" x14ac:dyDescent="0.25">
      <c r="A1095"/>
    </row>
    <row r="1096" spans="1:1" x14ac:dyDescent="0.25">
      <c r="A1096"/>
    </row>
    <row r="1097" spans="1:1" x14ac:dyDescent="0.25">
      <c r="A1097"/>
    </row>
    <row r="1098" spans="1:1" x14ac:dyDescent="0.25">
      <c r="A1098"/>
    </row>
    <row r="1099" spans="1:1" x14ac:dyDescent="0.25">
      <c r="A1099"/>
    </row>
    <row r="1100" spans="1:1" x14ac:dyDescent="0.25">
      <c r="A1100"/>
    </row>
    <row r="1101" spans="1:1" x14ac:dyDescent="0.25">
      <c r="A1101"/>
    </row>
    <row r="1102" spans="1:1" x14ac:dyDescent="0.25">
      <c r="A1102"/>
    </row>
    <row r="1103" spans="1:1" x14ac:dyDescent="0.25">
      <c r="A1103"/>
    </row>
    <row r="1104" spans="1:1" x14ac:dyDescent="0.25">
      <c r="A1104"/>
    </row>
    <row r="1105" spans="1:1" x14ac:dyDescent="0.25">
      <c r="A1105"/>
    </row>
    <row r="1106" spans="1:1" x14ac:dyDescent="0.25">
      <c r="A1106"/>
    </row>
    <row r="1107" spans="1:1" x14ac:dyDescent="0.25">
      <c r="A1107"/>
    </row>
    <row r="1108" spans="1:1" x14ac:dyDescent="0.25">
      <c r="A1108"/>
    </row>
    <row r="1109" spans="1:1" x14ac:dyDescent="0.25">
      <c r="A1109"/>
    </row>
    <row r="1110" spans="1:1" x14ac:dyDescent="0.25">
      <c r="A1110"/>
    </row>
    <row r="1111" spans="1:1" x14ac:dyDescent="0.25">
      <c r="A1111"/>
    </row>
    <row r="1112" spans="1:1" x14ac:dyDescent="0.25">
      <c r="A1112"/>
    </row>
    <row r="1113" spans="1:1" x14ac:dyDescent="0.25">
      <c r="A1113"/>
    </row>
    <row r="1114" spans="1:1" x14ac:dyDescent="0.25">
      <c r="A1114"/>
    </row>
    <row r="1115" spans="1:1" x14ac:dyDescent="0.25">
      <c r="A1115"/>
    </row>
    <row r="1116" spans="1:1" x14ac:dyDescent="0.25">
      <c r="A1116"/>
    </row>
    <row r="1117" spans="1:1" x14ac:dyDescent="0.25">
      <c r="A1117"/>
    </row>
    <row r="1118" spans="1:1" x14ac:dyDescent="0.25">
      <c r="A1118"/>
    </row>
    <row r="1119" spans="1:1" x14ac:dyDescent="0.25">
      <c r="A1119"/>
    </row>
    <row r="1120" spans="1:1" x14ac:dyDescent="0.25">
      <c r="A1120"/>
    </row>
    <row r="1121" spans="1:1" x14ac:dyDescent="0.25">
      <c r="A1121"/>
    </row>
    <row r="1122" spans="1:1" x14ac:dyDescent="0.25">
      <c r="A1122"/>
    </row>
    <row r="1123" spans="1:1" x14ac:dyDescent="0.25">
      <c r="A1123"/>
    </row>
    <row r="1124" spans="1:1" x14ac:dyDescent="0.25">
      <c r="A1124"/>
    </row>
    <row r="1125" spans="1:1" x14ac:dyDescent="0.25">
      <c r="A1125"/>
    </row>
    <row r="1126" spans="1:1" x14ac:dyDescent="0.25">
      <c r="A1126"/>
    </row>
    <row r="1127" spans="1:1" x14ac:dyDescent="0.25">
      <c r="A1127"/>
    </row>
    <row r="1128" spans="1:1" x14ac:dyDescent="0.25">
      <c r="A1128"/>
    </row>
    <row r="1129" spans="1:1" x14ac:dyDescent="0.25">
      <c r="A1129"/>
    </row>
    <row r="1130" spans="1:1" x14ac:dyDescent="0.25">
      <c r="A1130"/>
    </row>
    <row r="1131" spans="1:1" x14ac:dyDescent="0.25">
      <c r="A1131"/>
    </row>
    <row r="1132" spans="1:1" x14ac:dyDescent="0.25">
      <c r="A1132"/>
    </row>
    <row r="1133" spans="1:1" x14ac:dyDescent="0.25">
      <c r="A1133"/>
    </row>
    <row r="1134" spans="1:1" x14ac:dyDescent="0.25">
      <c r="A1134"/>
    </row>
    <row r="1135" spans="1:1" x14ac:dyDescent="0.25">
      <c r="A1135"/>
    </row>
    <row r="1136" spans="1:1" x14ac:dyDescent="0.25">
      <c r="A1136"/>
    </row>
    <row r="1137" spans="1:1" x14ac:dyDescent="0.25">
      <c r="A1137"/>
    </row>
    <row r="1138" spans="1:1" x14ac:dyDescent="0.25">
      <c r="A1138"/>
    </row>
    <row r="1139" spans="1:1" x14ac:dyDescent="0.25">
      <c r="A1139"/>
    </row>
    <row r="1140" spans="1:1" x14ac:dyDescent="0.25">
      <c r="A1140"/>
    </row>
    <row r="1141" spans="1:1" x14ac:dyDescent="0.25">
      <c r="A1141"/>
    </row>
    <row r="1142" spans="1:1" x14ac:dyDescent="0.25">
      <c r="A1142"/>
    </row>
    <row r="1143" spans="1:1" x14ac:dyDescent="0.25">
      <c r="A1143"/>
    </row>
    <row r="1144" spans="1:1" x14ac:dyDescent="0.25">
      <c r="A1144"/>
    </row>
    <row r="1145" spans="1:1" x14ac:dyDescent="0.25">
      <c r="A1145"/>
    </row>
    <row r="1146" spans="1:1" x14ac:dyDescent="0.25">
      <c r="A1146"/>
    </row>
    <row r="1147" spans="1:1" x14ac:dyDescent="0.25">
      <c r="A1147"/>
    </row>
    <row r="1148" spans="1:1" x14ac:dyDescent="0.25">
      <c r="A1148"/>
    </row>
    <row r="1149" spans="1:1" x14ac:dyDescent="0.25">
      <c r="A1149"/>
    </row>
    <row r="1150" spans="1:1" x14ac:dyDescent="0.25">
      <c r="A1150"/>
    </row>
    <row r="1151" spans="1:1" x14ac:dyDescent="0.25">
      <c r="A1151"/>
    </row>
    <row r="1152" spans="1:1" x14ac:dyDescent="0.25">
      <c r="A1152"/>
    </row>
    <row r="1153" spans="1:1" x14ac:dyDescent="0.25">
      <c r="A1153"/>
    </row>
    <row r="1154" spans="1:1" x14ac:dyDescent="0.25">
      <c r="A1154"/>
    </row>
    <row r="1155" spans="1:1" x14ac:dyDescent="0.25">
      <c r="A1155"/>
    </row>
    <row r="1156" spans="1:1" x14ac:dyDescent="0.25">
      <c r="A1156"/>
    </row>
    <row r="1157" spans="1:1" x14ac:dyDescent="0.25">
      <c r="A1157"/>
    </row>
    <row r="1158" spans="1:1" x14ac:dyDescent="0.25">
      <c r="A1158"/>
    </row>
    <row r="1159" spans="1:1" x14ac:dyDescent="0.25">
      <c r="A1159"/>
    </row>
    <row r="1160" spans="1:1" x14ac:dyDescent="0.25">
      <c r="A1160"/>
    </row>
    <row r="1161" spans="1:1" x14ac:dyDescent="0.25">
      <c r="A1161"/>
    </row>
    <row r="1162" spans="1:1" x14ac:dyDescent="0.25">
      <c r="A1162"/>
    </row>
    <row r="1163" spans="1:1" x14ac:dyDescent="0.25">
      <c r="A1163"/>
    </row>
    <row r="1164" spans="1:1" x14ac:dyDescent="0.25">
      <c r="A1164"/>
    </row>
    <row r="1165" spans="1:1" x14ac:dyDescent="0.25">
      <c r="A1165"/>
    </row>
    <row r="1166" spans="1:1" x14ac:dyDescent="0.25">
      <c r="A1166"/>
    </row>
    <row r="1167" spans="1:1" x14ac:dyDescent="0.25">
      <c r="A1167"/>
    </row>
    <row r="1168" spans="1:1" x14ac:dyDescent="0.25">
      <c r="A1168"/>
    </row>
    <row r="1169" spans="1:1" x14ac:dyDescent="0.25">
      <c r="A1169"/>
    </row>
    <row r="1170" spans="1:1" x14ac:dyDescent="0.25">
      <c r="A1170"/>
    </row>
    <row r="1171" spans="1:1" x14ac:dyDescent="0.25">
      <c r="A1171"/>
    </row>
    <row r="1172" spans="1:1" x14ac:dyDescent="0.25">
      <c r="A1172"/>
    </row>
    <row r="1173" spans="1:1" x14ac:dyDescent="0.25">
      <c r="A1173"/>
    </row>
    <row r="1174" spans="1:1" x14ac:dyDescent="0.25">
      <c r="A1174"/>
    </row>
    <row r="1175" spans="1:1" x14ac:dyDescent="0.25">
      <c r="A1175"/>
    </row>
    <row r="1176" spans="1:1" x14ac:dyDescent="0.25">
      <c r="A1176"/>
    </row>
    <row r="1177" spans="1:1" x14ac:dyDescent="0.25">
      <c r="A1177"/>
    </row>
    <row r="1178" spans="1:1" x14ac:dyDescent="0.25">
      <c r="A1178"/>
    </row>
    <row r="1179" spans="1:1" x14ac:dyDescent="0.25">
      <c r="A1179"/>
    </row>
    <row r="1180" spans="1:1" x14ac:dyDescent="0.25">
      <c r="A1180"/>
    </row>
    <row r="1181" spans="1:1" x14ac:dyDescent="0.25">
      <c r="A1181"/>
    </row>
    <row r="1182" spans="1:1" x14ac:dyDescent="0.25">
      <c r="A1182"/>
    </row>
    <row r="1183" spans="1:1" x14ac:dyDescent="0.25">
      <c r="A1183"/>
    </row>
    <row r="1184" spans="1:1" x14ac:dyDescent="0.25">
      <c r="A1184"/>
    </row>
    <row r="1185" spans="1:1" x14ac:dyDescent="0.25">
      <c r="A1185"/>
    </row>
    <row r="1186" spans="1:1" x14ac:dyDescent="0.25">
      <c r="A1186"/>
    </row>
    <row r="1187" spans="1:1" x14ac:dyDescent="0.25">
      <c r="A1187"/>
    </row>
    <row r="1188" spans="1:1" x14ac:dyDescent="0.25">
      <c r="A1188"/>
    </row>
    <row r="1189" spans="1:1" x14ac:dyDescent="0.25">
      <c r="A1189"/>
    </row>
    <row r="1190" spans="1:1" x14ac:dyDescent="0.25">
      <c r="A1190"/>
    </row>
    <row r="1191" spans="1:1" x14ac:dyDescent="0.25">
      <c r="A1191"/>
    </row>
    <row r="1192" spans="1:1" x14ac:dyDescent="0.25">
      <c r="A1192"/>
    </row>
    <row r="1193" spans="1:1" x14ac:dyDescent="0.25">
      <c r="A1193"/>
    </row>
    <row r="1194" spans="1:1" x14ac:dyDescent="0.25">
      <c r="A1194"/>
    </row>
    <row r="1195" spans="1:1" x14ac:dyDescent="0.25">
      <c r="A1195"/>
    </row>
    <row r="1196" spans="1:1" x14ac:dyDescent="0.25">
      <c r="A1196"/>
    </row>
    <row r="1197" spans="1:1" x14ac:dyDescent="0.25">
      <c r="A1197"/>
    </row>
    <row r="1198" spans="1:1" x14ac:dyDescent="0.25">
      <c r="A1198"/>
    </row>
    <row r="1199" spans="1:1" x14ac:dyDescent="0.25">
      <c r="A1199"/>
    </row>
    <row r="1200" spans="1:1" x14ac:dyDescent="0.25">
      <c r="A1200"/>
    </row>
    <row r="1201" spans="1:1" x14ac:dyDescent="0.25">
      <c r="A1201"/>
    </row>
    <row r="1202" spans="1:1" x14ac:dyDescent="0.25">
      <c r="A1202"/>
    </row>
    <row r="1203" spans="1:1" x14ac:dyDescent="0.25">
      <c r="A1203"/>
    </row>
    <row r="1204" spans="1:1" x14ac:dyDescent="0.25">
      <c r="A1204"/>
    </row>
    <row r="1205" spans="1:1" x14ac:dyDescent="0.25">
      <c r="A1205"/>
    </row>
    <row r="1206" spans="1:1" x14ac:dyDescent="0.25">
      <c r="A1206"/>
    </row>
    <row r="1207" spans="1:1" x14ac:dyDescent="0.25">
      <c r="A1207"/>
    </row>
    <row r="1208" spans="1:1" x14ac:dyDescent="0.25">
      <c r="A1208"/>
    </row>
    <row r="1209" spans="1:1" x14ac:dyDescent="0.25">
      <c r="A1209"/>
    </row>
    <row r="1210" spans="1:1" x14ac:dyDescent="0.25">
      <c r="A1210"/>
    </row>
    <row r="1211" spans="1:1" x14ac:dyDescent="0.25">
      <c r="A1211"/>
    </row>
    <row r="1212" spans="1:1" x14ac:dyDescent="0.25">
      <c r="A1212"/>
    </row>
    <row r="1213" spans="1:1" x14ac:dyDescent="0.25">
      <c r="A1213"/>
    </row>
    <row r="1214" spans="1:1" x14ac:dyDescent="0.25">
      <c r="A1214"/>
    </row>
    <row r="1215" spans="1:1" x14ac:dyDescent="0.25">
      <c r="A1215"/>
    </row>
    <row r="1216" spans="1:1" x14ac:dyDescent="0.25">
      <c r="A1216"/>
    </row>
    <row r="1217" spans="1:1" x14ac:dyDescent="0.25">
      <c r="A1217"/>
    </row>
    <row r="1218" spans="1:1" x14ac:dyDescent="0.25">
      <c r="A1218"/>
    </row>
    <row r="1219" spans="1:1" x14ac:dyDescent="0.25">
      <c r="A1219"/>
    </row>
    <row r="1220" spans="1:1" x14ac:dyDescent="0.25">
      <c r="A1220"/>
    </row>
    <row r="1221" spans="1:1" x14ac:dyDescent="0.25">
      <c r="A1221"/>
    </row>
    <row r="1222" spans="1:1" x14ac:dyDescent="0.25">
      <c r="A1222"/>
    </row>
    <row r="1223" spans="1:1" x14ac:dyDescent="0.25">
      <c r="A1223"/>
    </row>
    <row r="1224" spans="1:1" x14ac:dyDescent="0.25">
      <c r="A1224"/>
    </row>
    <row r="1225" spans="1:1" x14ac:dyDescent="0.25">
      <c r="A1225"/>
    </row>
    <row r="1226" spans="1:1" x14ac:dyDescent="0.25">
      <c r="A1226"/>
    </row>
    <row r="1227" spans="1:1" x14ac:dyDescent="0.25">
      <c r="A1227"/>
    </row>
    <row r="1228" spans="1:1" x14ac:dyDescent="0.25">
      <c r="A1228"/>
    </row>
    <row r="1229" spans="1:1" x14ac:dyDescent="0.25">
      <c r="A1229"/>
    </row>
    <row r="1230" spans="1:1" x14ac:dyDescent="0.25">
      <c r="A1230"/>
    </row>
    <row r="1231" spans="1:1" x14ac:dyDescent="0.25">
      <c r="A1231"/>
    </row>
    <row r="1232" spans="1:1" x14ac:dyDescent="0.25">
      <c r="A1232"/>
    </row>
    <row r="1233" spans="1:1" x14ac:dyDescent="0.25">
      <c r="A1233"/>
    </row>
    <row r="1234" spans="1:1" x14ac:dyDescent="0.25">
      <c r="A1234"/>
    </row>
    <row r="1235" spans="1:1" x14ac:dyDescent="0.25">
      <c r="A1235"/>
    </row>
    <row r="1236" spans="1:1" x14ac:dyDescent="0.25">
      <c r="A1236"/>
    </row>
    <row r="1237" spans="1:1" x14ac:dyDescent="0.25">
      <c r="A1237"/>
    </row>
    <row r="1238" spans="1:1" x14ac:dyDescent="0.25">
      <c r="A1238"/>
    </row>
    <row r="1239" spans="1:1" x14ac:dyDescent="0.25">
      <c r="A1239"/>
    </row>
    <row r="1240" spans="1:1" x14ac:dyDescent="0.25">
      <c r="A1240"/>
    </row>
    <row r="1241" spans="1:1" x14ac:dyDescent="0.25">
      <c r="A1241"/>
    </row>
    <row r="1242" spans="1:1" x14ac:dyDescent="0.25">
      <c r="A1242"/>
    </row>
    <row r="1243" spans="1:1" x14ac:dyDescent="0.25">
      <c r="A1243"/>
    </row>
    <row r="1244" spans="1:1" x14ac:dyDescent="0.25">
      <c r="A1244"/>
    </row>
    <row r="1245" spans="1:1" x14ac:dyDescent="0.25">
      <c r="A1245"/>
    </row>
    <row r="1246" spans="1:1" x14ac:dyDescent="0.25">
      <c r="A1246"/>
    </row>
    <row r="1247" spans="1:1" x14ac:dyDescent="0.25">
      <c r="A1247"/>
    </row>
    <row r="1248" spans="1:1" x14ac:dyDescent="0.25">
      <c r="A1248"/>
    </row>
    <row r="1249" spans="1:1" x14ac:dyDescent="0.25">
      <c r="A1249"/>
    </row>
    <row r="1250" spans="1:1" x14ac:dyDescent="0.25">
      <c r="A1250"/>
    </row>
    <row r="1251" spans="1:1" x14ac:dyDescent="0.25">
      <c r="A1251"/>
    </row>
    <row r="1252" spans="1:1" x14ac:dyDescent="0.25">
      <c r="A1252"/>
    </row>
    <row r="1253" spans="1:1" x14ac:dyDescent="0.25">
      <c r="A1253"/>
    </row>
    <row r="1254" spans="1:1" x14ac:dyDescent="0.25">
      <c r="A1254"/>
    </row>
    <row r="1255" spans="1:1" x14ac:dyDescent="0.25">
      <c r="A1255"/>
    </row>
    <row r="1256" spans="1:1" x14ac:dyDescent="0.25">
      <c r="A1256"/>
    </row>
    <row r="1257" spans="1:1" x14ac:dyDescent="0.25">
      <c r="A1257"/>
    </row>
    <row r="1258" spans="1:1" x14ac:dyDescent="0.25">
      <c r="A1258"/>
    </row>
    <row r="1259" spans="1:1" x14ac:dyDescent="0.25">
      <c r="A1259"/>
    </row>
    <row r="1260" spans="1:1" x14ac:dyDescent="0.25">
      <c r="A1260"/>
    </row>
    <row r="1261" spans="1:1" x14ac:dyDescent="0.25">
      <c r="A1261"/>
    </row>
    <row r="1262" spans="1:1" x14ac:dyDescent="0.25">
      <c r="A1262"/>
    </row>
    <row r="1263" spans="1:1" x14ac:dyDescent="0.25">
      <c r="A1263"/>
    </row>
    <row r="1264" spans="1:1" x14ac:dyDescent="0.25">
      <c r="A1264"/>
    </row>
    <row r="1265" spans="1:1" x14ac:dyDescent="0.25">
      <c r="A1265"/>
    </row>
    <row r="1266" spans="1:1" x14ac:dyDescent="0.25">
      <c r="A1266"/>
    </row>
    <row r="1267" spans="1:1" x14ac:dyDescent="0.25">
      <c r="A1267"/>
    </row>
    <row r="1268" spans="1:1" x14ac:dyDescent="0.25">
      <c r="A1268"/>
    </row>
    <row r="1269" spans="1:1" x14ac:dyDescent="0.25">
      <c r="A1269"/>
    </row>
    <row r="1270" spans="1:1" x14ac:dyDescent="0.25">
      <c r="A1270"/>
    </row>
    <row r="1271" spans="1:1" x14ac:dyDescent="0.25">
      <c r="A1271"/>
    </row>
    <row r="1272" spans="1:1" x14ac:dyDescent="0.25">
      <c r="A1272"/>
    </row>
    <row r="1273" spans="1:1" x14ac:dyDescent="0.25">
      <c r="A1273"/>
    </row>
    <row r="1274" spans="1:1" x14ac:dyDescent="0.25">
      <c r="A1274"/>
    </row>
    <row r="1275" spans="1:1" x14ac:dyDescent="0.25">
      <c r="A1275"/>
    </row>
    <row r="1276" spans="1:1" x14ac:dyDescent="0.25">
      <c r="A1276"/>
    </row>
    <row r="1277" spans="1:1" x14ac:dyDescent="0.25">
      <c r="A1277"/>
    </row>
    <row r="1278" spans="1:1" x14ac:dyDescent="0.25">
      <c r="A1278"/>
    </row>
    <row r="1279" spans="1:1" x14ac:dyDescent="0.25">
      <c r="A1279"/>
    </row>
    <row r="1280" spans="1:1" x14ac:dyDescent="0.25">
      <c r="A1280"/>
    </row>
    <row r="1281" spans="1:1" x14ac:dyDescent="0.25">
      <c r="A1281"/>
    </row>
    <row r="1282" spans="1:1" x14ac:dyDescent="0.25">
      <c r="A1282"/>
    </row>
    <row r="1283" spans="1:1" x14ac:dyDescent="0.25">
      <c r="A1283"/>
    </row>
    <row r="1284" spans="1:1" x14ac:dyDescent="0.25">
      <c r="A1284"/>
    </row>
    <row r="1285" spans="1:1" x14ac:dyDescent="0.25">
      <c r="A1285"/>
    </row>
    <row r="1286" spans="1:1" x14ac:dyDescent="0.25">
      <c r="A1286"/>
    </row>
    <row r="1287" spans="1:1" x14ac:dyDescent="0.25">
      <c r="A1287"/>
    </row>
    <row r="1288" spans="1:1" x14ac:dyDescent="0.25">
      <c r="A1288"/>
    </row>
    <row r="1289" spans="1:1" x14ac:dyDescent="0.25">
      <c r="A1289"/>
    </row>
    <row r="1290" spans="1:1" x14ac:dyDescent="0.25">
      <c r="A1290"/>
    </row>
    <row r="1291" spans="1:1" x14ac:dyDescent="0.25">
      <c r="A1291"/>
    </row>
    <row r="1292" spans="1:1" x14ac:dyDescent="0.25">
      <c r="A1292"/>
    </row>
    <row r="1293" spans="1:1" x14ac:dyDescent="0.25">
      <c r="A1293"/>
    </row>
    <row r="1294" spans="1:1" x14ac:dyDescent="0.25">
      <c r="A1294"/>
    </row>
    <row r="1295" spans="1:1" x14ac:dyDescent="0.25">
      <c r="A1295"/>
    </row>
    <row r="1296" spans="1:1" x14ac:dyDescent="0.25">
      <c r="A1296"/>
    </row>
    <row r="1297" spans="1:1" x14ac:dyDescent="0.25">
      <c r="A1297"/>
    </row>
    <row r="1298" spans="1:1" x14ac:dyDescent="0.25">
      <c r="A1298"/>
    </row>
    <row r="1299" spans="1:1" x14ac:dyDescent="0.25">
      <c r="A1299"/>
    </row>
    <row r="1300" spans="1:1" x14ac:dyDescent="0.25">
      <c r="A1300"/>
    </row>
    <row r="1301" spans="1:1" x14ac:dyDescent="0.25">
      <c r="A1301"/>
    </row>
    <row r="1302" spans="1:1" x14ac:dyDescent="0.25">
      <c r="A1302"/>
    </row>
    <row r="1303" spans="1:1" x14ac:dyDescent="0.25">
      <c r="A1303"/>
    </row>
    <row r="1304" spans="1:1" x14ac:dyDescent="0.25">
      <c r="A1304"/>
    </row>
    <row r="1305" spans="1:1" x14ac:dyDescent="0.25">
      <c r="A1305"/>
    </row>
    <row r="1306" spans="1:1" x14ac:dyDescent="0.25">
      <c r="A1306"/>
    </row>
    <row r="1307" spans="1:1" x14ac:dyDescent="0.25">
      <c r="A1307"/>
    </row>
    <row r="1308" spans="1:1" x14ac:dyDescent="0.25">
      <c r="A1308"/>
    </row>
    <row r="1309" spans="1:1" x14ac:dyDescent="0.25">
      <c r="A1309"/>
    </row>
    <row r="1310" spans="1:1" x14ac:dyDescent="0.25">
      <c r="A1310"/>
    </row>
    <row r="1311" spans="1:1" x14ac:dyDescent="0.25">
      <c r="A1311"/>
    </row>
    <row r="1312" spans="1:1" x14ac:dyDescent="0.25">
      <c r="A1312"/>
    </row>
    <row r="1313" spans="1:1" x14ac:dyDescent="0.25">
      <c r="A1313"/>
    </row>
    <row r="1314" spans="1:1" x14ac:dyDescent="0.25">
      <c r="A1314"/>
    </row>
    <row r="1315" spans="1:1" x14ac:dyDescent="0.25">
      <c r="A1315"/>
    </row>
    <row r="1316" spans="1:1" x14ac:dyDescent="0.25">
      <c r="A1316"/>
    </row>
    <row r="1317" spans="1:1" x14ac:dyDescent="0.25">
      <c r="A1317"/>
    </row>
    <row r="1318" spans="1:1" x14ac:dyDescent="0.25">
      <c r="A1318"/>
    </row>
    <row r="1319" spans="1:1" x14ac:dyDescent="0.25">
      <c r="A1319"/>
    </row>
    <row r="1320" spans="1:1" x14ac:dyDescent="0.25">
      <c r="A1320"/>
    </row>
    <row r="1321" spans="1:1" x14ac:dyDescent="0.25">
      <c r="A1321"/>
    </row>
    <row r="1322" spans="1:1" x14ac:dyDescent="0.25">
      <c r="A1322"/>
    </row>
    <row r="1323" spans="1:1" x14ac:dyDescent="0.25">
      <c r="A1323"/>
    </row>
    <row r="1324" spans="1:1" x14ac:dyDescent="0.25">
      <c r="A1324"/>
    </row>
    <row r="1325" spans="1:1" x14ac:dyDescent="0.25">
      <c r="A1325"/>
    </row>
    <row r="1326" spans="1:1" x14ac:dyDescent="0.25">
      <c r="A1326"/>
    </row>
    <row r="1327" spans="1:1" x14ac:dyDescent="0.25">
      <c r="A1327"/>
    </row>
    <row r="1328" spans="1:1" x14ac:dyDescent="0.25">
      <c r="A1328"/>
    </row>
    <row r="1329" spans="1:1" x14ac:dyDescent="0.25">
      <c r="A1329"/>
    </row>
    <row r="1330" spans="1:1" x14ac:dyDescent="0.25">
      <c r="A1330"/>
    </row>
    <row r="1331" spans="1:1" x14ac:dyDescent="0.25">
      <c r="A1331"/>
    </row>
    <row r="1332" spans="1:1" x14ac:dyDescent="0.25">
      <c r="A1332"/>
    </row>
    <row r="1333" spans="1:1" x14ac:dyDescent="0.25">
      <c r="A1333"/>
    </row>
    <row r="1334" spans="1:1" x14ac:dyDescent="0.25">
      <c r="A1334"/>
    </row>
    <row r="1335" spans="1:1" x14ac:dyDescent="0.25">
      <c r="A1335"/>
    </row>
    <row r="1336" spans="1:1" x14ac:dyDescent="0.25">
      <c r="A1336"/>
    </row>
    <row r="1337" spans="1:1" x14ac:dyDescent="0.25">
      <c r="A1337"/>
    </row>
    <row r="1338" spans="1:1" x14ac:dyDescent="0.25">
      <c r="A1338"/>
    </row>
    <row r="1339" spans="1:1" x14ac:dyDescent="0.25">
      <c r="A1339"/>
    </row>
    <row r="1340" spans="1:1" x14ac:dyDescent="0.25">
      <c r="A1340"/>
    </row>
    <row r="1341" spans="1:1" x14ac:dyDescent="0.25">
      <c r="A1341"/>
    </row>
    <row r="1342" spans="1:1" x14ac:dyDescent="0.25">
      <c r="A1342"/>
    </row>
    <row r="1343" spans="1:1" x14ac:dyDescent="0.25">
      <c r="A1343"/>
    </row>
    <row r="1344" spans="1:1" x14ac:dyDescent="0.25">
      <c r="A1344"/>
    </row>
    <row r="1345" spans="1:1" x14ac:dyDescent="0.25">
      <c r="A1345"/>
    </row>
    <row r="1346" spans="1:1" x14ac:dyDescent="0.25">
      <c r="A1346"/>
    </row>
    <row r="1347" spans="1:1" x14ac:dyDescent="0.25">
      <c r="A1347"/>
    </row>
    <row r="1348" spans="1:1" x14ac:dyDescent="0.25">
      <c r="A1348"/>
    </row>
    <row r="1349" spans="1:1" x14ac:dyDescent="0.25">
      <c r="A1349"/>
    </row>
    <row r="1350" spans="1:1" x14ac:dyDescent="0.25">
      <c r="A1350"/>
    </row>
    <row r="1351" spans="1:1" x14ac:dyDescent="0.25">
      <c r="A1351"/>
    </row>
    <row r="1352" spans="1:1" x14ac:dyDescent="0.25">
      <c r="A1352"/>
    </row>
    <row r="1353" spans="1:1" x14ac:dyDescent="0.25">
      <c r="A1353"/>
    </row>
    <row r="1354" spans="1:1" x14ac:dyDescent="0.25">
      <c r="A1354"/>
    </row>
    <row r="1355" spans="1:1" x14ac:dyDescent="0.25">
      <c r="A1355"/>
    </row>
    <row r="1356" spans="1:1" x14ac:dyDescent="0.25">
      <c r="A1356"/>
    </row>
    <row r="1357" spans="1:1" x14ac:dyDescent="0.25">
      <c r="A1357"/>
    </row>
    <row r="1358" spans="1:1" x14ac:dyDescent="0.25">
      <c r="A1358"/>
    </row>
    <row r="1359" spans="1:1" x14ac:dyDescent="0.25">
      <c r="A1359"/>
    </row>
    <row r="1360" spans="1:1" x14ac:dyDescent="0.25">
      <c r="A1360"/>
    </row>
    <row r="1361" spans="1:1" x14ac:dyDescent="0.25">
      <c r="A1361"/>
    </row>
    <row r="1362" spans="1:1" x14ac:dyDescent="0.25">
      <c r="A1362"/>
    </row>
    <row r="1363" spans="1:1" x14ac:dyDescent="0.25">
      <c r="A1363"/>
    </row>
    <row r="1364" spans="1:1" x14ac:dyDescent="0.25">
      <c r="A1364"/>
    </row>
    <row r="1365" spans="1:1" x14ac:dyDescent="0.25">
      <c r="A1365"/>
    </row>
    <row r="1366" spans="1:1" x14ac:dyDescent="0.25">
      <c r="A1366"/>
    </row>
    <row r="1367" spans="1:1" x14ac:dyDescent="0.25">
      <c r="A1367"/>
    </row>
    <row r="1368" spans="1:1" x14ac:dyDescent="0.25">
      <c r="A1368"/>
    </row>
    <row r="1369" spans="1:1" x14ac:dyDescent="0.25">
      <c r="A1369"/>
    </row>
    <row r="1370" spans="1:1" x14ac:dyDescent="0.25">
      <c r="A1370"/>
    </row>
    <row r="1371" spans="1:1" x14ac:dyDescent="0.25">
      <c r="A1371"/>
    </row>
    <row r="1372" spans="1:1" x14ac:dyDescent="0.25">
      <c r="A1372"/>
    </row>
    <row r="1373" spans="1:1" x14ac:dyDescent="0.25">
      <c r="A1373"/>
    </row>
    <row r="1374" spans="1:1" x14ac:dyDescent="0.25">
      <c r="A1374"/>
    </row>
    <row r="1375" spans="1:1" x14ac:dyDescent="0.25">
      <c r="A1375"/>
    </row>
    <row r="1376" spans="1:1" x14ac:dyDescent="0.25">
      <c r="A1376"/>
    </row>
    <row r="1377" spans="1:1" x14ac:dyDescent="0.25">
      <c r="A1377"/>
    </row>
    <row r="1378" spans="1:1" x14ac:dyDescent="0.25">
      <c r="A1378"/>
    </row>
    <row r="1379" spans="1:1" x14ac:dyDescent="0.25">
      <c r="A1379"/>
    </row>
    <row r="1380" spans="1:1" x14ac:dyDescent="0.25">
      <c r="A1380"/>
    </row>
    <row r="1381" spans="1:1" x14ac:dyDescent="0.25">
      <c r="A1381"/>
    </row>
    <row r="1382" spans="1:1" x14ac:dyDescent="0.25">
      <c r="A1382"/>
    </row>
    <row r="1383" spans="1:1" x14ac:dyDescent="0.25">
      <c r="A1383"/>
    </row>
    <row r="1384" spans="1:1" x14ac:dyDescent="0.25">
      <c r="A1384"/>
    </row>
    <row r="1385" spans="1:1" x14ac:dyDescent="0.25">
      <c r="A1385"/>
    </row>
    <row r="1386" spans="1:1" x14ac:dyDescent="0.25">
      <c r="A1386"/>
    </row>
    <row r="1387" spans="1:1" x14ac:dyDescent="0.25">
      <c r="A1387"/>
    </row>
    <row r="1388" spans="1:1" x14ac:dyDescent="0.25">
      <c r="A1388"/>
    </row>
    <row r="1389" spans="1:1" x14ac:dyDescent="0.25">
      <c r="A1389"/>
    </row>
    <row r="1390" spans="1:1" x14ac:dyDescent="0.25">
      <c r="A1390"/>
    </row>
    <row r="1391" spans="1:1" x14ac:dyDescent="0.25">
      <c r="A1391"/>
    </row>
    <row r="1392" spans="1:1" x14ac:dyDescent="0.25">
      <c r="A1392"/>
    </row>
    <row r="1393" spans="1:1" x14ac:dyDescent="0.25">
      <c r="A1393"/>
    </row>
    <row r="1394" spans="1:1" x14ac:dyDescent="0.25">
      <c r="A1394"/>
    </row>
    <row r="1395" spans="1:1" x14ac:dyDescent="0.25">
      <c r="A1395"/>
    </row>
    <row r="1396" spans="1:1" x14ac:dyDescent="0.25">
      <c r="A1396"/>
    </row>
    <row r="1397" spans="1:1" x14ac:dyDescent="0.25">
      <c r="A1397"/>
    </row>
    <row r="1398" spans="1:1" x14ac:dyDescent="0.25">
      <c r="A1398"/>
    </row>
    <row r="1399" spans="1:1" x14ac:dyDescent="0.25">
      <c r="A1399"/>
    </row>
    <row r="1400" spans="1:1" x14ac:dyDescent="0.25">
      <c r="A1400"/>
    </row>
    <row r="1401" spans="1:1" x14ac:dyDescent="0.25">
      <c r="A1401"/>
    </row>
    <row r="1402" spans="1:1" x14ac:dyDescent="0.25">
      <c r="A1402"/>
    </row>
    <row r="1403" spans="1:1" x14ac:dyDescent="0.25">
      <c r="A1403"/>
    </row>
    <row r="1404" spans="1:1" x14ac:dyDescent="0.25">
      <c r="A1404"/>
    </row>
    <row r="1405" spans="1:1" x14ac:dyDescent="0.25">
      <c r="A1405"/>
    </row>
    <row r="1406" spans="1:1" x14ac:dyDescent="0.25">
      <c r="A1406"/>
    </row>
    <row r="1407" spans="1:1" x14ac:dyDescent="0.25">
      <c r="A1407"/>
    </row>
    <row r="1408" spans="1:1" x14ac:dyDescent="0.25">
      <c r="A1408"/>
    </row>
    <row r="1409" spans="1:1" x14ac:dyDescent="0.25">
      <c r="A1409"/>
    </row>
    <row r="1410" spans="1:1" x14ac:dyDescent="0.25">
      <c r="A1410"/>
    </row>
    <row r="1411" spans="1:1" x14ac:dyDescent="0.25">
      <c r="A1411"/>
    </row>
    <row r="1412" spans="1:1" x14ac:dyDescent="0.25">
      <c r="A1412"/>
    </row>
    <row r="1413" spans="1:1" x14ac:dyDescent="0.25">
      <c r="A1413"/>
    </row>
    <row r="1414" spans="1:1" x14ac:dyDescent="0.25">
      <c r="A1414"/>
    </row>
    <row r="1415" spans="1:1" x14ac:dyDescent="0.25">
      <c r="A1415"/>
    </row>
    <row r="1416" spans="1:1" x14ac:dyDescent="0.25">
      <c r="A1416"/>
    </row>
    <row r="1417" spans="1:1" x14ac:dyDescent="0.25">
      <c r="A1417"/>
    </row>
    <row r="1418" spans="1:1" x14ac:dyDescent="0.25">
      <c r="A1418"/>
    </row>
    <row r="1419" spans="1:1" x14ac:dyDescent="0.25">
      <c r="A1419"/>
    </row>
    <row r="1420" spans="1:1" x14ac:dyDescent="0.25">
      <c r="A1420"/>
    </row>
    <row r="1421" spans="1:1" x14ac:dyDescent="0.25">
      <c r="A1421"/>
    </row>
    <row r="1422" spans="1:1" x14ac:dyDescent="0.25">
      <c r="A1422"/>
    </row>
    <row r="1423" spans="1:1" x14ac:dyDescent="0.25">
      <c r="A1423"/>
    </row>
    <row r="1424" spans="1:1" x14ac:dyDescent="0.25">
      <c r="A1424"/>
    </row>
    <row r="1425" spans="1:1" x14ac:dyDescent="0.25">
      <c r="A1425"/>
    </row>
    <row r="1426" spans="1:1" x14ac:dyDescent="0.25">
      <c r="A1426"/>
    </row>
    <row r="1427" spans="1:1" x14ac:dyDescent="0.25">
      <c r="A1427"/>
    </row>
    <row r="1428" spans="1:1" x14ac:dyDescent="0.25">
      <c r="A1428"/>
    </row>
    <row r="1429" spans="1:1" x14ac:dyDescent="0.25">
      <c r="A1429"/>
    </row>
    <row r="1430" spans="1:1" x14ac:dyDescent="0.25">
      <c r="A1430"/>
    </row>
    <row r="1431" spans="1:1" x14ac:dyDescent="0.25">
      <c r="A1431"/>
    </row>
    <row r="1432" spans="1:1" x14ac:dyDescent="0.25">
      <c r="A1432"/>
    </row>
    <row r="1433" spans="1:1" x14ac:dyDescent="0.25">
      <c r="A1433"/>
    </row>
    <row r="1434" spans="1:1" x14ac:dyDescent="0.25">
      <c r="A1434"/>
    </row>
    <row r="1435" spans="1:1" x14ac:dyDescent="0.25">
      <c r="A1435"/>
    </row>
    <row r="1436" spans="1:1" x14ac:dyDescent="0.25">
      <c r="A1436"/>
    </row>
    <row r="1437" spans="1:1" x14ac:dyDescent="0.25">
      <c r="A1437"/>
    </row>
    <row r="1438" spans="1:1" x14ac:dyDescent="0.25">
      <c r="A1438"/>
    </row>
    <row r="1439" spans="1:1" x14ac:dyDescent="0.25">
      <c r="A1439"/>
    </row>
    <row r="1440" spans="1:1" x14ac:dyDescent="0.25">
      <c r="A1440"/>
    </row>
    <row r="1441" spans="1:1" x14ac:dyDescent="0.25">
      <c r="A1441"/>
    </row>
    <row r="1442" spans="1:1" x14ac:dyDescent="0.25">
      <c r="A1442"/>
    </row>
    <row r="1443" spans="1:1" x14ac:dyDescent="0.25">
      <c r="A1443"/>
    </row>
    <row r="1444" spans="1:1" x14ac:dyDescent="0.25">
      <c r="A1444"/>
    </row>
    <row r="1445" spans="1:1" x14ac:dyDescent="0.25">
      <c r="A1445"/>
    </row>
    <row r="1446" spans="1:1" x14ac:dyDescent="0.25">
      <c r="A1446"/>
    </row>
    <row r="1447" spans="1:1" x14ac:dyDescent="0.25">
      <c r="A1447"/>
    </row>
    <row r="1448" spans="1:1" x14ac:dyDescent="0.25">
      <c r="A1448"/>
    </row>
    <row r="1449" spans="1:1" x14ac:dyDescent="0.25">
      <c r="A1449"/>
    </row>
    <row r="1450" spans="1:1" x14ac:dyDescent="0.25">
      <c r="A1450"/>
    </row>
    <row r="1451" spans="1:1" x14ac:dyDescent="0.25">
      <c r="A1451"/>
    </row>
    <row r="1452" spans="1:1" x14ac:dyDescent="0.25">
      <c r="A1452"/>
    </row>
    <row r="1453" spans="1:1" x14ac:dyDescent="0.25">
      <c r="A1453"/>
    </row>
    <row r="1454" spans="1:1" x14ac:dyDescent="0.25">
      <c r="A1454"/>
    </row>
    <row r="1455" spans="1:1" x14ac:dyDescent="0.25">
      <c r="A1455"/>
    </row>
    <row r="1456" spans="1:1" x14ac:dyDescent="0.25">
      <c r="A1456"/>
    </row>
    <row r="1457" spans="1:1" x14ac:dyDescent="0.25">
      <c r="A1457"/>
    </row>
    <row r="1458" spans="1:1" x14ac:dyDescent="0.25">
      <c r="A1458"/>
    </row>
    <row r="1459" spans="1:1" x14ac:dyDescent="0.25">
      <c r="A1459"/>
    </row>
    <row r="1460" spans="1:1" x14ac:dyDescent="0.25">
      <c r="A1460"/>
    </row>
    <row r="1461" spans="1:1" x14ac:dyDescent="0.25">
      <c r="A1461"/>
    </row>
    <row r="1462" spans="1:1" x14ac:dyDescent="0.25">
      <c r="A1462"/>
    </row>
    <row r="1463" spans="1:1" x14ac:dyDescent="0.25">
      <c r="A1463"/>
    </row>
    <row r="1464" spans="1:1" x14ac:dyDescent="0.25">
      <c r="A1464"/>
    </row>
    <row r="1465" spans="1:1" x14ac:dyDescent="0.25">
      <c r="A1465"/>
    </row>
    <row r="1466" spans="1:1" x14ac:dyDescent="0.25">
      <c r="A1466"/>
    </row>
    <row r="1467" spans="1:1" x14ac:dyDescent="0.25">
      <c r="A1467"/>
    </row>
    <row r="1468" spans="1:1" x14ac:dyDescent="0.25">
      <c r="A1468"/>
    </row>
    <row r="1469" spans="1:1" x14ac:dyDescent="0.25">
      <c r="A1469"/>
    </row>
    <row r="1470" spans="1:1" x14ac:dyDescent="0.25">
      <c r="A1470"/>
    </row>
    <row r="1471" spans="1:1" x14ac:dyDescent="0.25">
      <c r="A1471"/>
    </row>
    <row r="1472" spans="1:1" x14ac:dyDescent="0.25">
      <c r="A1472"/>
    </row>
    <row r="1473" spans="1:1" x14ac:dyDescent="0.25">
      <c r="A1473"/>
    </row>
    <row r="1474" spans="1:1" x14ac:dyDescent="0.25">
      <c r="A1474"/>
    </row>
    <row r="1475" spans="1:1" x14ac:dyDescent="0.25">
      <c r="A1475"/>
    </row>
    <row r="1476" spans="1:1" x14ac:dyDescent="0.25">
      <c r="A1476"/>
    </row>
    <row r="1477" spans="1:1" x14ac:dyDescent="0.25">
      <c r="A1477"/>
    </row>
    <row r="1478" spans="1:1" x14ac:dyDescent="0.25">
      <c r="A1478"/>
    </row>
    <row r="1479" spans="1:1" x14ac:dyDescent="0.25">
      <c r="A1479"/>
    </row>
    <row r="1480" spans="1:1" x14ac:dyDescent="0.25">
      <c r="A1480"/>
    </row>
    <row r="1481" spans="1:1" x14ac:dyDescent="0.25">
      <c r="A1481"/>
    </row>
    <row r="1482" spans="1:1" x14ac:dyDescent="0.25">
      <c r="A1482"/>
    </row>
    <row r="1483" spans="1:1" x14ac:dyDescent="0.25">
      <c r="A1483"/>
    </row>
    <row r="1484" spans="1:1" x14ac:dyDescent="0.25">
      <c r="A1484"/>
    </row>
    <row r="1485" spans="1:1" x14ac:dyDescent="0.25">
      <c r="A1485"/>
    </row>
    <row r="1486" spans="1:1" x14ac:dyDescent="0.25">
      <c r="A1486"/>
    </row>
    <row r="1487" spans="1:1" x14ac:dyDescent="0.25">
      <c r="A1487"/>
    </row>
    <row r="1488" spans="1:1" x14ac:dyDescent="0.25">
      <c r="A1488"/>
    </row>
    <row r="1489" spans="1:1" x14ac:dyDescent="0.25">
      <c r="A1489"/>
    </row>
    <row r="1490" spans="1:1" x14ac:dyDescent="0.25">
      <c r="A1490"/>
    </row>
    <row r="1491" spans="1:1" x14ac:dyDescent="0.25">
      <c r="A1491"/>
    </row>
    <row r="1492" spans="1:1" x14ac:dyDescent="0.25">
      <c r="A1492"/>
    </row>
    <row r="1493" spans="1:1" x14ac:dyDescent="0.25">
      <c r="A1493"/>
    </row>
    <row r="1494" spans="1:1" x14ac:dyDescent="0.25">
      <c r="A1494"/>
    </row>
    <row r="1495" spans="1:1" x14ac:dyDescent="0.25">
      <c r="A1495"/>
    </row>
    <row r="1496" spans="1:1" x14ac:dyDescent="0.25">
      <c r="A1496"/>
    </row>
    <row r="1497" spans="1:1" x14ac:dyDescent="0.25">
      <c r="A1497"/>
    </row>
    <row r="1498" spans="1:1" x14ac:dyDescent="0.25">
      <c r="A1498"/>
    </row>
    <row r="1499" spans="1:1" x14ac:dyDescent="0.25">
      <c r="A1499"/>
    </row>
    <row r="1500" spans="1:1" x14ac:dyDescent="0.25">
      <c r="A1500"/>
    </row>
    <row r="1501" spans="1:1" x14ac:dyDescent="0.25">
      <c r="A1501"/>
    </row>
    <row r="1502" spans="1:1" x14ac:dyDescent="0.25">
      <c r="A1502"/>
    </row>
    <row r="1503" spans="1:1" x14ac:dyDescent="0.25">
      <c r="A1503"/>
    </row>
    <row r="1504" spans="1:1" x14ac:dyDescent="0.25">
      <c r="A1504"/>
    </row>
    <row r="1505" spans="1:1" x14ac:dyDescent="0.25">
      <c r="A1505"/>
    </row>
    <row r="1506" spans="1:1" x14ac:dyDescent="0.25">
      <c r="A1506"/>
    </row>
    <row r="1507" spans="1:1" x14ac:dyDescent="0.25">
      <c r="A1507"/>
    </row>
    <row r="1508" spans="1:1" x14ac:dyDescent="0.25">
      <c r="A1508"/>
    </row>
    <row r="1509" spans="1:1" x14ac:dyDescent="0.25">
      <c r="A1509"/>
    </row>
    <row r="1510" spans="1:1" x14ac:dyDescent="0.25">
      <c r="A1510"/>
    </row>
    <row r="1511" spans="1:1" x14ac:dyDescent="0.25">
      <c r="A1511"/>
    </row>
    <row r="1512" spans="1:1" x14ac:dyDescent="0.25">
      <c r="A1512"/>
    </row>
    <row r="1513" spans="1:1" x14ac:dyDescent="0.25">
      <c r="A1513"/>
    </row>
    <row r="1514" spans="1:1" x14ac:dyDescent="0.25">
      <c r="A1514"/>
    </row>
    <row r="1515" spans="1:1" x14ac:dyDescent="0.25">
      <c r="A1515"/>
    </row>
    <row r="1516" spans="1:1" x14ac:dyDescent="0.25">
      <c r="A1516"/>
    </row>
    <row r="1517" spans="1:1" x14ac:dyDescent="0.25">
      <c r="A1517"/>
    </row>
    <row r="1518" spans="1:1" x14ac:dyDescent="0.25">
      <c r="A1518"/>
    </row>
    <row r="1519" spans="1:1" x14ac:dyDescent="0.25">
      <c r="A1519"/>
    </row>
    <row r="1520" spans="1:1" x14ac:dyDescent="0.25">
      <c r="A1520"/>
    </row>
    <row r="1521" spans="1:1" x14ac:dyDescent="0.25">
      <c r="A1521"/>
    </row>
    <row r="1522" spans="1:1" x14ac:dyDescent="0.25">
      <c r="A1522"/>
    </row>
    <row r="1523" spans="1:1" x14ac:dyDescent="0.25">
      <c r="A1523"/>
    </row>
    <row r="1524" spans="1:1" x14ac:dyDescent="0.25">
      <c r="A1524"/>
    </row>
    <row r="1525" spans="1:1" x14ac:dyDescent="0.25">
      <c r="A1525"/>
    </row>
    <row r="1526" spans="1:1" x14ac:dyDescent="0.25">
      <c r="A1526"/>
    </row>
    <row r="1527" spans="1:1" x14ac:dyDescent="0.25">
      <c r="A1527"/>
    </row>
    <row r="1528" spans="1:1" x14ac:dyDescent="0.25">
      <c r="A1528"/>
    </row>
    <row r="1529" spans="1:1" x14ac:dyDescent="0.25">
      <c r="A1529"/>
    </row>
    <row r="1530" spans="1:1" x14ac:dyDescent="0.25">
      <c r="A1530"/>
    </row>
    <row r="1531" spans="1:1" x14ac:dyDescent="0.25">
      <c r="A1531"/>
    </row>
    <row r="1532" spans="1:1" x14ac:dyDescent="0.25">
      <c r="A1532"/>
    </row>
    <row r="1533" spans="1:1" x14ac:dyDescent="0.25">
      <c r="A1533"/>
    </row>
    <row r="1534" spans="1:1" x14ac:dyDescent="0.25">
      <c r="A1534"/>
    </row>
    <row r="1535" spans="1:1" x14ac:dyDescent="0.25">
      <c r="A1535"/>
    </row>
    <row r="1536" spans="1:1" x14ac:dyDescent="0.25">
      <c r="A1536"/>
    </row>
    <row r="1537" spans="1:1" x14ac:dyDescent="0.25">
      <c r="A1537"/>
    </row>
    <row r="1538" spans="1:1" x14ac:dyDescent="0.25">
      <c r="A1538"/>
    </row>
    <row r="1539" spans="1:1" x14ac:dyDescent="0.25">
      <c r="A1539"/>
    </row>
    <row r="1540" spans="1:1" x14ac:dyDescent="0.25">
      <c r="A1540"/>
    </row>
    <row r="1541" spans="1:1" x14ac:dyDescent="0.25">
      <c r="A1541"/>
    </row>
    <row r="1542" spans="1:1" x14ac:dyDescent="0.25">
      <c r="A1542"/>
    </row>
    <row r="1543" spans="1:1" x14ac:dyDescent="0.25">
      <c r="A1543"/>
    </row>
    <row r="1544" spans="1:1" x14ac:dyDescent="0.25">
      <c r="A1544"/>
    </row>
    <row r="1545" spans="1:1" x14ac:dyDescent="0.25">
      <c r="A1545"/>
    </row>
    <row r="1546" spans="1:1" x14ac:dyDescent="0.25">
      <c r="A1546"/>
    </row>
    <row r="1547" spans="1:1" x14ac:dyDescent="0.25">
      <c r="A1547"/>
    </row>
    <row r="1548" spans="1:1" x14ac:dyDescent="0.25">
      <c r="A1548"/>
    </row>
    <row r="1549" spans="1:1" x14ac:dyDescent="0.25">
      <c r="A1549"/>
    </row>
    <row r="1550" spans="1:1" x14ac:dyDescent="0.25">
      <c r="A1550"/>
    </row>
    <row r="1551" spans="1:1" x14ac:dyDescent="0.25">
      <c r="A1551"/>
    </row>
    <row r="1552" spans="1:1" x14ac:dyDescent="0.25">
      <c r="A1552"/>
    </row>
    <row r="1553" spans="1:1" x14ac:dyDescent="0.25">
      <c r="A1553"/>
    </row>
    <row r="1554" spans="1:1" x14ac:dyDescent="0.25">
      <c r="A1554"/>
    </row>
    <row r="1555" spans="1:1" x14ac:dyDescent="0.25">
      <c r="A1555"/>
    </row>
    <row r="1556" spans="1:1" x14ac:dyDescent="0.25">
      <c r="A1556"/>
    </row>
    <row r="1557" spans="1:1" x14ac:dyDescent="0.25">
      <c r="A1557"/>
    </row>
    <row r="1558" spans="1:1" x14ac:dyDescent="0.25">
      <c r="A1558"/>
    </row>
    <row r="1559" spans="1:1" x14ac:dyDescent="0.25">
      <c r="A1559"/>
    </row>
    <row r="1560" spans="1:1" x14ac:dyDescent="0.25">
      <c r="A1560"/>
    </row>
    <row r="1561" spans="1:1" x14ac:dyDescent="0.25">
      <c r="A1561"/>
    </row>
    <row r="1562" spans="1:1" x14ac:dyDescent="0.25">
      <c r="A1562"/>
    </row>
    <row r="1563" spans="1:1" x14ac:dyDescent="0.25">
      <c r="A1563"/>
    </row>
    <row r="1564" spans="1:1" x14ac:dyDescent="0.25">
      <c r="A1564"/>
    </row>
    <row r="1565" spans="1:1" x14ac:dyDescent="0.25">
      <c r="A1565"/>
    </row>
    <row r="1566" spans="1:1" x14ac:dyDescent="0.25">
      <c r="A1566"/>
    </row>
    <row r="1567" spans="1:1" x14ac:dyDescent="0.25">
      <c r="A1567"/>
    </row>
    <row r="1568" spans="1:1" x14ac:dyDescent="0.25">
      <c r="A1568"/>
    </row>
    <row r="1569" spans="1:1" x14ac:dyDescent="0.25">
      <c r="A1569"/>
    </row>
    <row r="1570" spans="1:1" x14ac:dyDescent="0.25">
      <c r="A1570"/>
    </row>
    <row r="1571" spans="1:1" x14ac:dyDescent="0.25">
      <c r="A1571"/>
    </row>
    <row r="1572" spans="1:1" x14ac:dyDescent="0.25">
      <c r="A1572"/>
    </row>
    <row r="1573" spans="1:1" x14ac:dyDescent="0.25">
      <c r="A1573"/>
    </row>
    <row r="1574" spans="1:1" x14ac:dyDescent="0.25">
      <c r="A1574"/>
    </row>
    <row r="1575" spans="1:1" x14ac:dyDescent="0.25">
      <c r="A1575"/>
    </row>
    <row r="1576" spans="1:1" x14ac:dyDescent="0.25">
      <c r="A1576"/>
    </row>
    <row r="1577" spans="1:1" x14ac:dyDescent="0.25">
      <c r="A1577"/>
    </row>
    <row r="1578" spans="1:1" x14ac:dyDescent="0.25">
      <c r="A1578"/>
    </row>
    <row r="1579" spans="1:1" x14ac:dyDescent="0.25">
      <c r="A1579"/>
    </row>
    <row r="1580" spans="1:1" x14ac:dyDescent="0.25">
      <c r="A1580"/>
    </row>
    <row r="1581" spans="1:1" x14ac:dyDescent="0.25">
      <c r="A1581"/>
    </row>
    <row r="1582" spans="1:1" x14ac:dyDescent="0.25">
      <c r="A1582"/>
    </row>
    <row r="1583" spans="1:1" x14ac:dyDescent="0.25">
      <c r="A1583"/>
    </row>
    <row r="1584" spans="1:1" x14ac:dyDescent="0.25">
      <c r="A1584"/>
    </row>
    <row r="1585" spans="1:1" x14ac:dyDescent="0.25">
      <c r="A1585"/>
    </row>
    <row r="1586" spans="1:1" x14ac:dyDescent="0.25">
      <c r="A1586"/>
    </row>
    <row r="1587" spans="1:1" x14ac:dyDescent="0.25">
      <c r="A1587"/>
    </row>
    <row r="1588" spans="1:1" x14ac:dyDescent="0.25">
      <c r="A1588"/>
    </row>
    <row r="1589" spans="1:1" x14ac:dyDescent="0.25">
      <c r="A1589"/>
    </row>
    <row r="1590" spans="1:1" x14ac:dyDescent="0.25">
      <c r="A1590"/>
    </row>
    <row r="1591" spans="1:1" x14ac:dyDescent="0.25">
      <c r="A1591"/>
    </row>
    <row r="1592" spans="1:1" x14ac:dyDescent="0.25">
      <c r="A1592"/>
    </row>
    <row r="1593" spans="1:1" x14ac:dyDescent="0.25">
      <c r="A1593"/>
    </row>
    <row r="1594" spans="1:1" x14ac:dyDescent="0.25">
      <c r="A1594"/>
    </row>
    <row r="1595" spans="1:1" x14ac:dyDescent="0.25">
      <c r="A1595"/>
    </row>
    <row r="1596" spans="1:1" x14ac:dyDescent="0.25">
      <c r="A1596"/>
    </row>
    <row r="1597" spans="1:1" x14ac:dyDescent="0.25">
      <c r="A1597"/>
    </row>
    <row r="1598" spans="1:1" x14ac:dyDescent="0.25">
      <c r="A1598"/>
    </row>
    <row r="1599" spans="1:1" x14ac:dyDescent="0.25">
      <c r="A1599"/>
    </row>
    <row r="1600" spans="1:1" x14ac:dyDescent="0.25">
      <c r="A1600"/>
    </row>
    <row r="1601" spans="1:1" x14ac:dyDescent="0.25">
      <c r="A1601"/>
    </row>
    <row r="1602" spans="1:1" x14ac:dyDescent="0.25">
      <c r="A1602"/>
    </row>
    <row r="1603" spans="1:1" x14ac:dyDescent="0.25">
      <c r="A1603"/>
    </row>
    <row r="1604" spans="1:1" x14ac:dyDescent="0.25">
      <c r="A1604"/>
    </row>
    <row r="1605" spans="1:1" x14ac:dyDescent="0.25">
      <c r="A1605"/>
    </row>
    <row r="1606" spans="1:1" x14ac:dyDescent="0.25">
      <c r="A1606"/>
    </row>
    <row r="1607" spans="1:1" x14ac:dyDescent="0.25">
      <c r="A1607"/>
    </row>
    <row r="1608" spans="1:1" x14ac:dyDescent="0.25">
      <c r="A1608"/>
    </row>
    <row r="1609" spans="1:1" x14ac:dyDescent="0.25">
      <c r="A1609"/>
    </row>
    <row r="1610" spans="1:1" x14ac:dyDescent="0.25">
      <c r="A1610"/>
    </row>
    <row r="1611" spans="1:1" x14ac:dyDescent="0.25">
      <c r="A1611"/>
    </row>
    <row r="1612" spans="1:1" x14ac:dyDescent="0.25">
      <c r="A1612"/>
    </row>
    <row r="1613" spans="1:1" x14ac:dyDescent="0.25">
      <c r="A1613"/>
    </row>
    <row r="1614" spans="1:1" x14ac:dyDescent="0.25">
      <c r="A1614"/>
    </row>
    <row r="1615" spans="1:1" x14ac:dyDescent="0.25">
      <c r="A1615"/>
    </row>
    <row r="1616" spans="1:1" x14ac:dyDescent="0.25">
      <c r="A1616"/>
    </row>
    <row r="1617" spans="1:1" x14ac:dyDescent="0.25">
      <c r="A1617"/>
    </row>
    <row r="1618" spans="1:1" x14ac:dyDescent="0.25">
      <c r="A1618"/>
    </row>
    <row r="1619" spans="1:1" x14ac:dyDescent="0.25">
      <c r="A1619"/>
    </row>
    <row r="1620" spans="1:1" x14ac:dyDescent="0.25">
      <c r="A1620"/>
    </row>
    <row r="1621" spans="1:1" x14ac:dyDescent="0.25">
      <c r="A1621"/>
    </row>
    <row r="1622" spans="1:1" x14ac:dyDescent="0.25">
      <c r="A1622"/>
    </row>
    <row r="1623" spans="1:1" x14ac:dyDescent="0.25">
      <c r="A1623"/>
    </row>
    <row r="1624" spans="1:1" x14ac:dyDescent="0.25">
      <c r="A1624"/>
    </row>
    <row r="1625" spans="1:1" x14ac:dyDescent="0.25">
      <c r="A1625"/>
    </row>
    <row r="1626" spans="1:1" x14ac:dyDescent="0.25">
      <c r="A1626"/>
    </row>
    <row r="1627" spans="1:1" x14ac:dyDescent="0.25">
      <c r="A1627"/>
    </row>
    <row r="1628" spans="1:1" x14ac:dyDescent="0.25">
      <c r="A1628"/>
    </row>
    <row r="1629" spans="1:1" x14ac:dyDescent="0.25">
      <c r="A1629"/>
    </row>
    <row r="1630" spans="1:1" x14ac:dyDescent="0.25">
      <c r="A1630"/>
    </row>
    <row r="1631" spans="1:1" x14ac:dyDescent="0.25">
      <c r="A1631"/>
    </row>
    <row r="1632" spans="1:1" x14ac:dyDescent="0.25">
      <c r="A1632"/>
    </row>
    <row r="1633" spans="1:1" x14ac:dyDescent="0.25">
      <c r="A1633"/>
    </row>
    <row r="1634" spans="1:1" x14ac:dyDescent="0.25">
      <c r="A1634"/>
    </row>
    <row r="1635" spans="1:1" x14ac:dyDescent="0.25">
      <c r="A1635"/>
    </row>
    <row r="1636" spans="1:1" x14ac:dyDescent="0.25">
      <c r="A1636"/>
    </row>
    <row r="1637" spans="1:1" x14ac:dyDescent="0.25">
      <c r="A1637"/>
    </row>
    <row r="1638" spans="1:1" x14ac:dyDescent="0.25">
      <c r="A1638"/>
    </row>
    <row r="1639" spans="1:1" x14ac:dyDescent="0.25">
      <c r="A1639"/>
    </row>
    <row r="1640" spans="1:1" x14ac:dyDescent="0.25">
      <c r="A1640"/>
    </row>
    <row r="1641" spans="1:1" x14ac:dyDescent="0.25">
      <c r="A1641"/>
    </row>
    <row r="1642" spans="1:1" x14ac:dyDescent="0.25">
      <c r="A1642"/>
    </row>
    <row r="1643" spans="1:1" x14ac:dyDescent="0.25">
      <c r="A1643"/>
    </row>
    <row r="1644" spans="1:1" x14ac:dyDescent="0.25">
      <c r="A1644"/>
    </row>
    <row r="1645" spans="1:1" x14ac:dyDescent="0.25">
      <c r="A1645"/>
    </row>
    <row r="1646" spans="1:1" x14ac:dyDescent="0.25">
      <c r="A1646"/>
    </row>
    <row r="1647" spans="1:1" x14ac:dyDescent="0.25">
      <c r="A1647"/>
    </row>
    <row r="1648" spans="1:1" x14ac:dyDescent="0.25">
      <c r="A1648"/>
    </row>
    <row r="1649" spans="1:1" x14ac:dyDescent="0.25">
      <c r="A1649"/>
    </row>
    <row r="1650" spans="1:1" x14ac:dyDescent="0.25">
      <c r="A1650"/>
    </row>
    <row r="1651" spans="1:1" x14ac:dyDescent="0.25">
      <c r="A1651"/>
    </row>
    <row r="1652" spans="1:1" x14ac:dyDescent="0.25">
      <c r="A1652"/>
    </row>
    <row r="1653" spans="1:1" x14ac:dyDescent="0.25">
      <c r="A1653"/>
    </row>
    <row r="1654" spans="1:1" x14ac:dyDescent="0.25">
      <c r="A1654"/>
    </row>
    <row r="1655" spans="1:1" x14ac:dyDescent="0.25">
      <c r="A1655"/>
    </row>
    <row r="1656" spans="1:1" x14ac:dyDescent="0.25">
      <c r="A1656"/>
    </row>
    <row r="1657" spans="1:1" x14ac:dyDescent="0.25">
      <c r="A1657"/>
    </row>
    <row r="1658" spans="1:1" x14ac:dyDescent="0.25">
      <c r="A1658"/>
    </row>
    <row r="1659" spans="1:1" x14ac:dyDescent="0.25">
      <c r="A1659"/>
    </row>
    <row r="1660" spans="1:1" x14ac:dyDescent="0.25">
      <c r="A1660"/>
    </row>
    <row r="1661" spans="1:1" x14ac:dyDescent="0.25">
      <c r="A1661"/>
    </row>
    <row r="1662" spans="1:1" x14ac:dyDescent="0.25">
      <c r="A1662"/>
    </row>
    <row r="1663" spans="1:1" x14ac:dyDescent="0.25">
      <c r="A1663"/>
    </row>
    <row r="1664" spans="1:1" x14ac:dyDescent="0.25">
      <c r="A1664"/>
    </row>
    <row r="1665" spans="1:1" x14ac:dyDescent="0.25">
      <c r="A1665"/>
    </row>
    <row r="1666" spans="1:1" x14ac:dyDescent="0.25">
      <c r="A1666"/>
    </row>
    <row r="1667" spans="1:1" x14ac:dyDescent="0.25">
      <c r="A1667"/>
    </row>
    <row r="1668" spans="1:1" x14ac:dyDescent="0.25">
      <c r="A1668"/>
    </row>
    <row r="1669" spans="1:1" x14ac:dyDescent="0.25">
      <c r="A1669"/>
    </row>
    <row r="1670" spans="1:1" x14ac:dyDescent="0.25">
      <c r="A1670"/>
    </row>
    <row r="1671" spans="1:1" x14ac:dyDescent="0.25">
      <c r="A1671"/>
    </row>
    <row r="1672" spans="1:1" x14ac:dyDescent="0.25">
      <c r="A1672"/>
    </row>
    <row r="1673" spans="1:1" x14ac:dyDescent="0.25">
      <c r="A1673"/>
    </row>
    <row r="1674" spans="1:1" x14ac:dyDescent="0.25">
      <c r="A1674"/>
    </row>
    <row r="1675" spans="1:1" x14ac:dyDescent="0.25">
      <c r="A1675"/>
    </row>
    <row r="1676" spans="1:1" x14ac:dyDescent="0.25">
      <c r="A1676"/>
    </row>
    <row r="1677" spans="1:1" x14ac:dyDescent="0.25">
      <c r="A1677"/>
    </row>
    <row r="1678" spans="1:1" x14ac:dyDescent="0.25">
      <c r="A1678"/>
    </row>
    <row r="1679" spans="1:1" x14ac:dyDescent="0.25">
      <c r="A1679"/>
    </row>
    <row r="1680" spans="1:1" x14ac:dyDescent="0.25">
      <c r="A1680"/>
    </row>
    <row r="1681" spans="1:1" x14ac:dyDescent="0.25">
      <c r="A1681"/>
    </row>
    <row r="1682" spans="1:1" x14ac:dyDescent="0.25">
      <c r="A1682"/>
    </row>
    <row r="1683" spans="1:1" x14ac:dyDescent="0.25">
      <c r="A1683"/>
    </row>
    <row r="1684" spans="1:1" x14ac:dyDescent="0.25">
      <c r="A1684"/>
    </row>
    <row r="1685" spans="1:1" x14ac:dyDescent="0.25">
      <c r="A1685"/>
    </row>
    <row r="1686" spans="1:1" x14ac:dyDescent="0.25">
      <c r="A1686"/>
    </row>
    <row r="1687" spans="1:1" x14ac:dyDescent="0.25">
      <c r="A1687"/>
    </row>
    <row r="1688" spans="1:1" x14ac:dyDescent="0.25">
      <c r="A1688"/>
    </row>
    <row r="1689" spans="1:1" x14ac:dyDescent="0.25">
      <c r="A1689"/>
    </row>
    <row r="1690" spans="1:1" x14ac:dyDescent="0.25">
      <c r="A1690"/>
    </row>
    <row r="1691" spans="1:1" x14ac:dyDescent="0.25">
      <c r="A1691"/>
    </row>
    <row r="1692" spans="1:1" x14ac:dyDescent="0.25">
      <c r="A1692"/>
    </row>
    <row r="1693" spans="1:1" x14ac:dyDescent="0.25">
      <c r="A1693"/>
    </row>
    <row r="1694" spans="1:1" x14ac:dyDescent="0.25">
      <c r="A1694"/>
    </row>
    <row r="1695" spans="1:1" x14ac:dyDescent="0.25">
      <c r="A1695"/>
    </row>
    <row r="1696" spans="1:1" x14ac:dyDescent="0.25">
      <c r="A1696"/>
    </row>
    <row r="1697" spans="1:1" x14ac:dyDescent="0.25">
      <c r="A1697"/>
    </row>
    <row r="1698" spans="1:1" x14ac:dyDescent="0.25">
      <c r="A1698"/>
    </row>
    <row r="1699" spans="1:1" x14ac:dyDescent="0.25">
      <c r="A1699"/>
    </row>
    <row r="1700" spans="1:1" x14ac:dyDescent="0.25">
      <c r="A1700"/>
    </row>
    <row r="1701" spans="1:1" x14ac:dyDescent="0.25">
      <c r="A1701"/>
    </row>
    <row r="1702" spans="1:1" x14ac:dyDescent="0.25">
      <c r="A1702"/>
    </row>
    <row r="1703" spans="1:1" x14ac:dyDescent="0.25">
      <c r="A1703"/>
    </row>
    <row r="1704" spans="1:1" x14ac:dyDescent="0.25">
      <c r="A1704"/>
    </row>
    <row r="1705" spans="1:1" x14ac:dyDescent="0.25">
      <c r="A1705"/>
    </row>
    <row r="1706" spans="1:1" x14ac:dyDescent="0.25">
      <c r="A1706"/>
    </row>
    <row r="1707" spans="1:1" x14ac:dyDescent="0.25">
      <c r="A1707"/>
    </row>
    <row r="1708" spans="1:1" x14ac:dyDescent="0.25">
      <c r="A1708"/>
    </row>
    <row r="1709" spans="1:1" x14ac:dyDescent="0.25">
      <c r="A1709"/>
    </row>
    <row r="1710" spans="1:1" x14ac:dyDescent="0.25">
      <c r="A1710"/>
    </row>
    <row r="1711" spans="1:1" x14ac:dyDescent="0.25">
      <c r="A1711"/>
    </row>
    <row r="1712" spans="1:1" x14ac:dyDescent="0.25">
      <c r="A1712"/>
    </row>
    <row r="1713" spans="1:1" x14ac:dyDescent="0.25">
      <c r="A1713"/>
    </row>
    <row r="1714" spans="1:1" x14ac:dyDescent="0.25">
      <c r="A1714"/>
    </row>
    <row r="1715" spans="1:1" x14ac:dyDescent="0.25">
      <c r="A1715"/>
    </row>
    <row r="1716" spans="1:1" x14ac:dyDescent="0.25">
      <c r="A1716"/>
    </row>
    <row r="1717" spans="1:1" x14ac:dyDescent="0.25">
      <c r="A1717"/>
    </row>
    <row r="1718" spans="1:1" x14ac:dyDescent="0.25">
      <c r="A1718"/>
    </row>
    <row r="1719" spans="1:1" x14ac:dyDescent="0.25">
      <c r="A1719"/>
    </row>
    <row r="1720" spans="1:1" x14ac:dyDescent="0.25">
      <c r="A1720"/>
    </row>
    <row r="1721" spans="1:1" x14ac:dyDescent="0.25">
      <c r="A1721"/>
    </row>
    <row r="1722" spans="1:1" x14ac:dyDescent="0.25">
      <c r="A1722"/>
    </row>
    <row r="1723" spans="1:1" x14ac:dyDescent="0.25">
      <c r="A1723"/>
    </row>
    <row r="1724" spans="1:1" x14ac:dyDescent="0.25">
      <c r="A1724"/>
    </row>
    <row r="1725" spans="1:1" x14ac:dyDescent="0.25">
      <c r="A1725"/>
    </row>
    <row r="1726" spans="1:1" x14ac:dyDescent="0.25">
      <c r="A1726"/>
    </row>
  </sheetData>
  <pageMargins left="0.7" right="0.7" top="0.75" bottom="0.75" header="0.3" footer="0.3"/>
  <pageSetup scale="48" fitToHeight="0" orientation="landscape" r:id="rId2"/>
  <drawing r:id="rId3"/>
  <extLst>
    <ext xmlns:x14="http://schemas.microsoft.com/office/spreadsheetml/2009/9/main" uri="{A8765BA9-456A-4dab-B4F3-ACF838C121DE}">
      <x14:slicerList>
        <x14:slicer r:id="rId4"/>
      </x14:slicerList>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1">
    <tabColor rgb="FF92D050"/>
    <pageSetUpPr fitToPage="1"/>
  </sheetPr>
  <dimension ref="A2:G5907"/>
  <sheetViews>
    <sheetView showGridLines="0" tabSelected="1" topLeftCell="A4" zoomScale="110" zoomScaleNormal="110" workbookViewId="0">
      <selection activeCell="C41" sqref="A1:XFD1048576"/>
    </sheetView>
  </sheetViews>
  <sheetFormatPr defaultRowHeight="15" x14ac:dyDescent="0.25"/>
  <cols>
    <col min="1" max="1" width="51" style="2" customWidth="1"/>
    <col min="2" max="2" width="12.42578125" style="2" bestFit="1" customWidth="1"/>
    <col min="3" max="3" width="15.5703125" bestFit="1" customWidth="1"/>
    <col min="4" max="4" width="18.42578125" customWidth="1"/>
    <col min="5" max="5" width="12.42578125" bestFit="1" customWidth="1"/>
    <col min="6" max="6" width="13.42578125" customWidth="1"/>
    <col min="7" max="7" width="17.7109375" customWidth="1"/>
    <col min="8" max="8" width="13.42578125" customWidth="1"/>
    <col min="9" max="9" width="11.140625" customWidth="1"/>
    <col min="10" max="11" width="11.140625" bestFit="1" customWidth="1"/>
    <col min="12" max="16" width="10.140625" bestFit="1" customWidth="1"/>
    <col min="17" max="17" width="11.28515625" bestFit="1" customWidth="1"/>
    <col min="18" max="19" width="11.140625" bestFit="1" customWidth="1"/>
    <col min="20" max="22" width="12.7109375" bestFit="1" customWidth="1"/>
    <col min="23" max="23" width="8.42578125" bestFit="1" customWidth="1"/>
    <col min="24" max="24" width="9.42578125" bestFit="1" customWidth="1"/>
    <col min="25" max="26" width="8.42578125" bestFit="1" customWidth="1"/>
    <col min="28" max="28" width="11.28515625" bestFit="1" customWidth="1"/>
  </cols>
  <sheetData>
    <row r="2" spans="1:7" x14ac:dyDescent="0.25">
      <c r="A2" s="35"/>
      <c r="B2" s="35"/>
      <c r="G2" s="78" t="s">
        <v>325</v>
      </c>
    </row>
    <row r="3" spans="1:7" s="15" customFormat="1" ht="45" x14ac:dyDescent="0.25">
      <c r="A3" s="33" t="s">
        <v>1113</v>
      </c>
      <c r="B3" s="91">
        <v>44896</v>
      </c>
      <c r="C3" s="64" t="str" vm="1476">
        <f>CUBEMEMBER("ThisWorkbookDataModel","[Calendar].[Квартал].&amp;[2023-03-31T00:00:00]")</f>
        <v>3/31/2023</v>
      </c>
      <c r="D3" s="64" t="str" vm="1475">
        <f>CUBEMEMBER("ThisWorkbookDataModel","[Calendar].[Квартал].&amp;[2023-06-30T00:00:00]")</f>
        <v>6/30/2023</v>
      </c>
      <c r="E3" s="64" t="str" vm="1477">
        <f>CUBEMEMBER("ThisWorkbookDataModel","[Calendar].[Квартал].&amp;[2023-09-30T00:00:00]")</f>
        <v>9/30/2023</v>
      </c>
      <c r="F3" s="64" t="str" vm="1478">
        <f>CUBEMEMBER("ThisWorkbookDataModel","[Calendar].[Квартал].&amp;[2023-12-31T00:00:00]")</f>
        <v>12/31/2023</v>
      </c>
      <c r="G3" s="65" t="s">
        <v>188</v>
      </c>
    </row>
    <row r="4" spans="1:7" s="15" customFormat="1" x14ac:dyDescent="0.25">
      <c r="A4" s="34" t="s">
        <v>177</v>
      </c>
      <c r="B4" s="75"/>
      <c r="C4" s="289"/>
      <c r="D4" s="39"/>
      <c r="E4" s="39"/>
      <c r="F4" s="39"/>
      <c r="G4" s="42"/>
    </row>
    <row r="5" spans="1:7" x14ac:dyDescent="0.25">
      <c r="A5" s="43" t="str" vm="122">
        <f>CUBEMEMBER("ThisWorkbookDataModel",{"[fActualAndBudget].[StavkaKategorija].&amp;[1.1. Парични средства]"})</f>
        <v>1.1. Парични средства</v>
      </c>
      <c r="B5" s="82">
        <f>SUMIF(БС!$A$11:$A$41,$A5,БС!$C$11:$C$41)</f>
        <v>194365031</v>
      </c>
      <c r="C5" s="82">
        <f>SUMIF(БС!$A$11:$A$41,$A5,БС!$F$11:$F$41)</f>
        <v>302451193</v>
      </c>
      <c r="D5" s="82">
        <f>SUMIF(БС!$A$11:$A$41,$A5,БС!$I$11:$I$41)</f>
        <v>269340056</v>
      </c>
      <c r="E5" s="82">
        <f>SUMIF(БС!$A$11:$A$41,$A5,БС!$L$11:$L$41)</f>
        <v>204246458</v>
      </c>
      <c r="F5" s="82">
        <f>SUMIF(БС!$A$11:$A$41,$A5,БС!$O$11:$O$41)</f>
        <v>152956073</v>
      </c>
      <c r="G5" s="27">
        <f t="shared" ref="G5:G11" si="0">F5/$F$11</f>
        <v>0.1838955380834065</v>
      </c>
    </row>
    <row r="6" spans="1:7" x14ac:dyDescent="0.25">
      <c r="A6" s="43" t="str" vm="123">
        <f>CUBEMEMBER("ThisWorkbookDataModel",{"[fActualAndBudget].[StavkaKategorija].&amp;[1.2. Побарувања]"})</f>
        <v>1.2. Побарувања</v>
      </c>
      <c r="B6" s="82">
        <f>SUMIF(БС!$A$11:$A$41,$A6,БС!$C$11:$C$41)</f>
        <v>2848420</v>
      </c>
      <c r="C6" s="82">
        <f>SUMIF(БС!$A$11:$A$41,$A6,БС!$F$11:$F$41)</f>
        <v>2848420</v>
      </c>
      <c r="D6" s="82">
        <f>SUMIF(БС!$A$11:$A$41,$A6,БС!$I$11:$I$41)</f>
        <v>2848420</v>
      </c>
      <c r="E6" s="82">
        <f>SUMIF(БС!$A$11:$A$41,$A6,БС!$L$11:$L$41)</f>
        <v>2848420</v>
      </c>
      <c r="F6" s="82">
        <f>SUMIF(БС!$A$11:$A$41,$A6,БС!$O$11:$O$41)</f>
        <v>2848420</v>
      </c>
      <c r="G6" s="27">
        <f t="shared" si="0"/>
        <v>3.4245892844512083E-3</v>
      </c>
    </row>
    <row r="7" spans="1:7" s="8" customFormat="1" x14ac:dyDescent="0.25">
      <c r="A7" s="43" t="str" vm="124">
        <f>CUBEMEMBER("ThisWorkbookDataModel",{"[fActualAndBudget].[StavkaKategorija].&amp;[1.3. Залихи]"})</f>
        <v>1.3. Залихи</v>
      </c>
      <c r="B7" s="82">
        <f>SUMIF(БС!$A$11:$A$41,$A7,БС!$C$11:$C$41)</f>
        <v>1484627</v>
      </c>
      <c r="C7" s="82">
        <f>SUMIF(БС!$A$11:$A$41,$A7,БС!$F$11:$F$41)</f>
        <v>1484627</v>
      </c>
      <c r="D7" s="82">
        <f>SUMIF(БС!$A$11:$A$41,$A7,БС!$I$11:$I$41)</f>
        <v>1484627</v>
      </c>
      <c r="E7" s="82">
        <f>SUMIF(БС!$A$11:$A$41,$A7,БС!$L$11:$L$41)</f>
        <v>1484627</v>
      </c>
      <c r="F7" s="82">
        <f>SUMIF(БС!$A$11:$A$41,$A7,БС!$O$11:$O$41)</f>
        <v>1484627</v>
      </c>
      <c r="G7" s="27">
        <f t="shared" si="0"/>
        <v>1.7849325996892817E-3</v>
      </c>
    </row>
    <row r="8" spans="1:7" s="8" customFormat="1" x14ac:dyDescent="0.25">
      <c r="A8" s="50" t="s">
        <v>178</v>
      </c>
      <c r="B8" s="86">
        <f>SUM(B5:B7)</f>
        <v>198698078</v>
      </c>
      <c r="C8" s="86">
        <f>SUM(C5:C7)</f>
        <v>306784240</v>
      </c>
      <c r="D8" s="86">
        <f>SUM(D5:D7)</f>
        <v>273673103</v>
      </c>
      <c r="E8" s="86">
        <f>SUM(E5:E7)</f>
        <v>208579505</v>
      </c>
      <c r="F8" s="86">
        <f>SUM(F5:F7)</f>
        <v>157289120</v>
      </c>
      <c r="G8" s="31">
        <f t="shared" si="0"/>
        <v>0.18910505996754698</v>
      </c>
    </row>
    <row r="9" spans="1:7" s="8" customFormat="1" x14ac:dyDescent="0.25">
      <c r="A9" s="43" t="str" vm="128">
        <f>CUBEMEMBER("ThisWorkbookDataModel",{"[fActualAndBudget].[StavkaKategorija].&amp;[1.7. Материјални средства и вложувања во недвижности]"})</f>
        <v>1.7. Материјални средства и вложувања во недвижности</v>
      </c>
      <c r="B9" s="82">
        <f>SUMIF(БС!$A$11:$A$41,$A9,БС!$C$11:$C$41)</f>
        <v>569122796</v>
      </c>
      <c r="C9" s="82">
        <f>SUMIF(БС!$A$11:$A$41,$A9,БС!$F$11:$F$41)</f>
        <v>577942859</v>
      </c>
      <c r="D9" s="82">
        <f>SUMIF(БС!$A$11:$A$41,$A9,БС!$I$11:$I$41)</f>
        <v>568915774</v>
      </c>
      <c r="E9" s="82">
        <f>SUMIF(БС!$A$11:$A$41,$A9,БС!$L$11:$L$41)</f>
        <v>570163773</v>
      </c>
      <c r="F9" s="82">
        <f>SUMIF(БС!$A$11:$A$41,$A9,БС!$O$11:$O$41)</f>
        <v>574772085</v>
      </c>
      <c r="G9" s="27">
        <f t="shared" si="0"/>
        <v>0.69103514344537631</v>
      </c>
    </row>
    <row r="10" spans="1:7" s="8" customFormat="1" x14ac:dyDescent="0.25">
      <c r="A10" s="43" t="str" vm="127">
        <f>CUBEMEMBER("ThisWorkbookDataModel",{"[fActualAndBudget].[StavkaKategorija].&amp;[1.9. Нематеријални средства]"})</f>
        <v>1.9. Нематеријални средства</v>
      </c>
      <c r="B10" s="82">
        <f>SUMIF(БС!$A$11:$A$41,$A10,БС!$C$11:$C$41)</f>
        <v>48652912</v>
      </c>
      <c r="C10" s="82">
        <f>SUMIF(БС!$A$11:$A$41,$A10,БС!$F$11:$F$41)</f>
        <v>52035825</v>
      </c>
      <c r="D10" s="82">
        <f>SUMIF(БС!$A$11:$A$41,$A10,БС!$I$11:$I$41)</f>
        <v>59040561</v>
      </c>
      <c r="E10" s="82">
        <f>SUMIF(БС!$A$11:$A$41,$A10,БС!$L$11:$L$41)</f>
        <v>70142422</v>
      </c>
      <c r="F10" s="82">
        <f>SUMIF(БС!$A$11:$A$41,$A10,БС!$O$11:$O$41)</f>
        <v>99694011</v>
      </c>
      <c r="G10" s="27">
        <f t="shared" si="0"/>
        <v>0.11985979658707664</v>
      </c>
    </row>
    <row r="11" spans="1:7" s="8" customFormat="1" x14ac:dyDescent="0.25">
      <c r="A11" s="50" t="s">
        <v>179</v>
      </c>
      <c r="B11" s="86">
        <f>SUM(B8:B10)</f>
        <v>816473786</v>
      </c>
      <c r="C11" s="86">
        <f>SUM(C8:C10)</f>
        <v>936762924</v>
      </c>
      <c r="D11" s="86">
        <f>SUM(D8:D10)</f>
        <v>901629438</v>
      </c>
      <c r="E11" s="86">
        <f>SUM(E8:E10)</f>
        <v>848885700</v>
      </c>
      <c r="F11" s="86">
        <f>SUM(F8:F10)</f>
        <v>831755216</v>
      </c>
      <c r="G11" s="31">
        <f t="shared" si="0"/>
        <v>1</v>
      </c>
    </row>
    <row r="12" spans="1:7" s="8" customFormat="1" x14ac:dyDescent="0.25">
      <c r="A12" s="52" t="str" vm="135">
        <f>CUBEMEMBER("ThisWorkbookDataModel",{"[fActualAndBudget].[StavkaKategorija].&amp;[1.13. Вонбилансна актива]"})</f>
        <v>1.13. Вонбилансна актива</v>
      </c>
      <c r="B12" s="90">
        <f>SUMIF(БС!$A$11:$A$41,$A12,БС!$C$11:$C$41)</f>
        <v>0</v>
      </c>
      <c r="C12" s="90">
        <f>SUMIF(БС!$A$11:$A$41,$A12,БС!$F$11:$F$41)</f>
        <v>0</v>
      </c>
      <c r="D12" s="90">
        <f>SUMIF(БС!$A$11:$A$41,$A12,БС!$I$11:$I$41)</f>
        <v>0</v>
      </c>
      <c r="E12" s="90">
        <f>SUMIF(БС!$A$11:$A$41,$A12,БС!$L$11:$L$41)</f>
        <v>0</v>
      </c>
      <c r="F12" s="90">
        <f>SUMIF(БС!$A$11:$A$41,$A12,БС!$O$11:$O$41)</f>
        <v>0</v>
      </c>
      <c r="G12" s="53"/>
    </row>
    <row r="13" spans="1:7" s="8" customFormat="1" hidden="1" x14ac:dyDescent="0.25">
      <c r="A13" s="7"/>
      <c r="B13" s="145"/>
      <c r="C13" s="145"/>
      <c r="D13" s="145"/>
      <c r="E13" s="145"/>
      <c r="F13" s="145"/>
    </row>
    <row r="14" spans="1:7" s="8" customFormat="1" hidden="1" x14ac:dyDescent="0.25">
      <c r="A14" s="7"/>
      <c r="B14" s="7"/>
      <c r="C14" s="14"/>
      <c r="D14" s="14"/>
      <c r="E14" s="14"/>
      <c r="F14" s="14"/>
      <c r="G14" s="78"/>
    </row>
    <row r="15" spans="1:7" s="8" customFormat="1" ht="45" x14ac:dyDescent="0.25">
      <c r="A15" s="54" t="s">
        <v>180</v>
      </c>
      <c r="B15" s="91">
        <f>B3</f>
        <v>44896</v>
      </c>
      <c r="C15" s="37" t="str" vm="1476">
        <f>CUBEMEMBER("ThisWorkbookDataModel","[Calendar].[Квартал].&amp;[2023-03-31T00:00:00]")</f>
        <v>3/31/2023</v>
      </c>
      <c r="D15" s="37" t="str" vm="1475">
        <f>CUBEMEMBER("ThisWorkbookDataModel","[Calendar].[Квартал].&amp;[2023-06-30T00:00:00]")</f>
        <v>6/30/2023</v>
      </c>
      <c r="E15" s="37" t="str" vm="1477">
        <f>CUBEMEMBER("ThisWorkbookDataModel","[Calendar].[Квартал].&amp;[2023-09-30T00:00:00]")</f>
        <v>9/30/2023</v>
      </c>
      <c r="F15" s="37" t="str" vm="1478">
        <f>CUBEMEMBER("ThisWorkbookDataModel","[Calendar].[Квартал].&amp;[2023-12-31T00:00:00]")</f>
        <v>12/31/2023</v>
      </c>
      <c r="G15" s="65" t="s">
        <v>188</v>
      </c>
    </row>
    <row r="16" spans="1:7" x14ac:dyDescent="0.25">
      <c r="A16" s="43" t="str" vm="133">
        <f>CUBEMEMBER("ThisWorkbookDataModel",{"[fActualAndBudget].[StavkaKategorija].&amp;[1.14. Краткорочни обврски]"})</f>
        <v>1.14. Краткорочни обврски</v>
      </c>
      <c r="B16" s="82">
        <f>SUMIF(БС!$A$11:$A$41,$A16,БС!$C$11:$C$41)</f>
        <v>0</v>
      </c>
      <c r="C16" s="82">
        <f>SUMIF(БС!$A$11:$A$41,$A16,БС!$F$11:$F$41)</f>
        <v>0</v>
      </c>
      <c r="D16" s="82">
        <f>SUMIF(БС!$A$11:$A$41,$A16,БС!$I$11:$I$41)</f>
        <v>0</v>
      </c>
      <c r="E16" s="82">
        <f>SUMIF(БС!$A$11:$A$41,$A16,БС!$L$11:$L$41)</f>
        <v>0</v>
      </c>
      <c r="F16" s="82">
        <f>SUMIF(БС!$A$11:$A$41,$A16,БС!$O$11:$O$41)</f>
        <v>19012130</v>
      </c>
      <c r="G16" s="27">
        <f>F16/$F$29</f>
        <v>2.2857842829566336E-2</v>
      </c>
    </row>
    <row r="17" spans="1:7" x14ac:dyDescent="0.25">
      <c r="A17" s="43" t="str" vm="131">
        <f>CUBEMEMBER("ThisWorkbookDataModel",{"[fActualAndBudget].[StavkaKategorija].&amp;[1.15. Одложено плаќање на трошоци и приходи (ПВР)]"})</f>
        <v>1.15. Одложено плаќање на трошоци и приходи (ПВР)</v>
      </c>
      <c r="B17" s="82">
        <f>SUMIF(БС!$A$11:$A$41,$A17,БС!$C$11:$C$41)</f>
        <v>93908685</v>
      </c>
      <c r="C17" s="82">
        <f>SUMIF(БС!$A$11:$A$41,$A17,БС!$F$11:$F$41)</f>
        <v>92729742</v>
      </c>
      <c r="D17" s="82">
        <f>SUMIF(БС!$A$11:$A$41,$A17,БС!$I$11:$I$41)</f>
        <v>91550799</v>
      </c>
      <c r="E17" s="82">
        <f>SUMIF(БС!$A$11:$A$41,$A17,БС!$L$11:$L$41)</f>
        <v>90371856</v>
      </c>
      <c r="F17" s="82">
        <f>SUMIF(БС!$A$11:$A$41,$A17,БС!$O$11:$O$41)</f>
        <v>88799163</v>
      </c>
      <c r="G17" s="27">
        <f t="shared" ref="G17:G29" si="1">F17/$F$29</f>
        <v>0.10676117359028381</v>
      </c>
    </row>
    <row r="18" spans="1:7" x14ac:dyDescent="0.25">
      <c r="A18" s="50" t="s">
        <v>181</v>
      </c>
      <c r="B18" s="86">
        <f>SUM(B16:B17)</f>
        <v>93908685</v>
      </c>
      <c r="C18" s="86">
        <f>SUM(C16:C17)</f>
        <v>92729742</v>
      </c>
      <c r="D18" s="86">
        <f>SUM(D16:D17)</f>
        <v>91550799</v>
      </c>
      <c r="E18" s="86">
        <f>SUM(E16:E17)</f>
        <v>90371856</v>
      </c>
      <c r="F18" s="86">
        <f>SUM(F16:F17)</f>
        <v>107811293</v>
      </c>
      <c r="G18" s="31">
        <f t="shared" si="1"/>
        <v>0.12961901641985013</v>
      </c>
    </row>
    <row r="19" spans="1:7" x14ac:dyDescent="0.25">
      <c r="A19" s="43" t="str" vm="130">
        <f>CUBEMEMBER("ThisWorkbookDataModel",{"[fActualAndBudget].[StavkaKategorija].&amp;[1.17. Долгорочни обврски]"})</f>
        <v>1.17. Долгорочни обврски</v>
      </c>
      <c r="B19" s="82">
        <f>SUMIF(БС!$A$11:$A$41,$A19,БС!$C$11:$C$41)</f>
        <v>86277800</v>
      </c>
      <c r="C19" s="82">
        <f>SUMIF(БС!$A$11:$A$41,$A19,БС!$F$11:$F$41)</f>
        <v>86277800</v>
      </c>
      <c r="D19" s="82">
        <f>SUMIF(БС!$A$11:$A$41,$A19,БС!$I$11:$I$41)</f>
        <v>86277800</v>
      </c>
      <c r="E19" s="82">
        <f>SUMIF(БС!$A$11:$A$41,$A19,БС!$L$11:$L$41)</f>
        <v>86277800</v>
      </c>
      <c r="F19" s="82">
        <f>SUMIF(БС!$A$11:$A$41,$A19,БС!$O$11:$O$41)</f>
        <v>86277800</v>
      </c>
      <c r="G19" s="27">
        <f t="shared" si="1"/>
        <v>0.10372979734941633</v>
      </c>
    </row>
    <row r="20" spans="1:7" hidden="1" x14ac:dyDescent="0.25">
      <c r="A20" s="43" t="e">
        <f>CUBEMEMBER("ThisWorkbookDataModel",{"[fActualAndBudget].[StavkaKategorija].&amp;[1.18. Други долгорочни обврски и резервирања за ризици и трошоци]"})</f>
        <v>#N/A</v>
      </c>
      <c r="B20" s="82">
        <f>SUMIF(БС!$A$11:$A$41,$A20,БС!$C$11:$C$41)</f>
        <v>0</v>
      </c>
      <c r="C20" s="82">
        <f>SUMIF(БС!$A$11:$A$41,$A20,БС!$F$11:$F$41)</f>
        <v>0</v>
      </c>
      <c r="D20" s="82">
        <f>SUMIF(БС!$A$11:$A$41,$A20,БС!$I$11:$I$41)</f>
        <v>0</v>
      </c>
      <c r="E20" s="82">
        <f>SUMIF(БС!$A$11:$A$41,$A20,БС!$L$11:$L$41)</f>
        <v>0</v>
      </c>
      <c r="F20" s="82">
        <f>SUMIF(БС!$A$11:$A$41,$A20,БС!$O$11:$O$41)</f>
        <v>0</v>
      </c>
      <c r="G20" s="27">
        <f t="shared" si="1"/>
        <v>0</v>
      </c>
    </row>
    <row r="21" spans="1:7" x14ac:dyDescent="0.25">
      <c r="A21" s="50" t="s">
        <v>182</v>
      </c>
      <c r="B21" s="86">
        <f>SUM(B19:B20)</f>
        <v>86277800</v>
      </c>
      <c r="C21" s="86">
        <f>SUM(C19:C20)</f>
        <v>86277800</v>
      </c>
      <c r="D21" s="86">
        <f>SUM(D19:D20)</f>
        <v>86277800</v>
      </c>
      <c r="E21" s="86">
        <f>SUM(E19:E20)</f>
        <v>86277800</v>
      </c>
      <c r="F21" s="86">
        <f>SUM(F19:F20)</f>
        <v>86277800</v>
      </c>
      <c r="G21" s="31">
        <f t="shared" si="1"/>
        <v>0.10372979734941633</v>
      </c>
    </row>
    <row r="22" spans="1:7" x14ac:dyDescent="0.25">
      <c r="A22" s="50" t="s">
        <v>183</v>
      </c>
      <c r="B22" s="86">
        <f>SUM(B21,B18)</f>
        <v>180186485</v>
      </c>
      <c r="C22" s="86">
        <f>SUM(C21,C18)</f>
        <v>179007542</v>
      </c>
      <c r="D22" s="86">
        <f>SUM(D21,D18)</f>
        <v>177828599</v>
      </c>
      <c r="E22" s="86">
        <f>SUM(E21,E18)</f>
        <v>176649656</v>
      </c>
      <c r="F22" s="86">
        <f>SUM(F21,F18)</f>
        <v>194089093</v>
      </c>
      <c r="G22" s="31">
        <f t="shared" si="1"/>
        <v>0.23334881376926647</v>
      </c>
    </row>
    <row r="23" spans="1:7" x14ac:dyDescent="0.25">
      <c r="A23" s="43" t="str" vm="126">
        <f>CUBEMEMBER("ThisWorkbookDataModel",{"[fActualAndBudget].[StavkaKategorija].&amp;[1.21. Капитал]"})</f>
        <v>1.21. Капитал</v>
      </c>
      <c r="B23" s="82">
        <f>SUMIF(БС!$A$11:$A$41,$A23,БС!$C$11:$C$41)</f>
        <v>126859046</v>
      </c>
      <c r="C23" s="82">
        <f>SUMIF(БС!$A$11:$A$41,$A23,БС!$F$11:$F$41)</f>
        <v>126859046</v>
      </c>
      <c r="D23" s="82">
        <f>SUMIF(БС!$A$11:$A$41,$A23,БС!$I$11:$I$41)</f>
        <v>126859046</v>
      </c>
      <c r="E23" s="82">
        <f>SUMIF(БС!$A$11:$A$41,$A23,БС!$L$11:$L$41)</f>
        <v>126859046</v>
      </c>
      <c r="F23" s="82">
        <f>SUMIF(БС!$A$11:$A$41,$A23,БС!$O$11:$O$41)</f>
        <v>126859046</v>
      </c>
      <c r="G23" s="27">
        <f t="shared" si="1"/>
        <v>0.15251968795588533</v>
      </c>
    </row>
    <row r="24" spans="1:7" x14ac:dyDescent="0.25">
      <c r="A24" s="43" t="str" vm="125">
        <f>CUBEMEMBER("ThisWorkbookDataModel",{"[fActualAndBudget].[StavkaKategorija].&amp;[1.22. Акумулирана добивка]"})</f>
        <v>1.22. Акумулирана добивка</v>
      </c>
      <c r="B24" s="82">
        <f>SUMIF(БС!$A$11:$A$41,$A24,БС!$C$11:$C$41)</f>
        <v>292646501</v>
      </c>
      <c r="C24" s="82">
        <f>SUMIF(БС!$A$11:$A$41,$A24,БС!$F$11:$F$41)</f>
        <v>346450276</v>
      </c>
      <c r="D24" s="82">
        <f>SUMIF(БС!$A$11:$A$41,$A24,БС!$I$11:$I$41)</f>
        <v>346450276</v>
      </c>
      <c r="E24" s="82">
        <f>SUMIF(БС!$A$11:$A$41,$A24,БС!$L$11:$L$41)</f>
        <v>346450276</v>
      </c>
      <c r="F24" s="82">
        <f>SUMIF(БС!$A$11:$A$41,$A24,БС!$O$11:$O$41)</f>
        <v>346450276</v>
      </c>
      <c r="G24" s="27">
        <f t="shared" si="1"/>
        <v>0.41652912940674602</v>
      </c>
    </row>
    <row r="25" spans="1:7" hidden="1" x14ac:dyDescent="0.25">
      <c r="A25" s="43" t="str" vm="132">
        <f>CUBEMEMBER("ThisWorkbookDataModel",{"[fActualAndBudget].[StavkaKategorija].&amp;[1.23. Резерви]"})</f>
        <v>1.23. Резерви</v>
      </c>
      <c r="B25" s="82">
        <f>SUMIF(БС!$A$11:$A$41,$A25,БС!$C$11:$C$41)</f>
        <v>162977979</v>
      </c>
      <c r="C25" s="82">
        <f>SUMIF(БС!$A$11:$A$41,$A25,БС!$F$11:$F$41)</f>
        <v>162977979</v>
      </c>
      <c r="D25" s="82">
        <f>SUMIF(БС!$A$11:$A$41,$A25,БС!$I$11:$I$41)</f>
        <v>162977979</v>
      </c>
      <c r="E25" s="82">
        <f>SUMIF(БС!$A$11:$A$41,$A25,БС!$L$11:$L$41)</f>
        <v>162977979</v>
      </c>
      <c r="F25" s="82">
        <f>SUMIF(БС!$A$11:$A$41,$A25,БС!$O$11:$O$41)</f>
        <v>162977979</v>
      </c>
      <c r="G25" s="27">
        <f t="shared" si="1"/>
        <v>0.19594464316530358</v>
      </c>
    </row>
    <row r="26" spans="1:7" hidden="1" x14ac:dyDescent="0.25">
      <c r="A26" s="43" t="e">
        <f>CUBEMEMBER("ThisWorkbookDataModel",{"[fActualAndBudget].[StavkaKategorija].&amp;[1.24. Ревалоризациони резерви]"})</f>
        <v>#N/A</v>
      </c>
      <c r="B26" s="82">
        <f>SUMIF(БС!$A$11:$A$41,$A26,БС!$C$11:$C$41)</f>
        <v>0</v>
      </c>
      <c r="C26" s="82">
        <f>SUMIF(БС!$A$11:$A$41,$A26,БС!$F$11:$F$41)</f>
        <v>0</v>
      </c>
      <c r="D26" s="82">
        <f>SUMIF(БС!$A$11:$A$41,$A26,БС!$I$11:$I$41)</f>
        <v>0</v>
      </c>
      <c r="E26" s="82">
        <f>SUMIF(БС!$A$11:$A$41,$A26,БС!$L$11:$L$41)</f>
        <v>0</v>
      </c>
      <c r="F26" s="82">
        <f>SUMIF(БС!$A$11:$A$41,$A26,БС!$O$11:$O$41)</f>
        <v>0</v>
      </c>
      <c r="G26" s="27">
        <f t="shared" si="1"/>
        <v>0</v>
      </c>
    </row>
    <row r="27" spans="1:7" x14ac:dyDescent="0.25">
      <c r="A27" s="43" t="str" vm="134">
        <f>CUBEMEMBER("ThisWorkbookDataModel",{"[fActualAndBudget].[StavkaKategorija].&amp;[1.25. Добивка / Загуба за деловната година]"})</f>
        <v>1.25. Добивка / Загуба за деловната година</v>
      </c>
      <c r="B27" s="82">
        <f>SUMIF(БС!$A$11:$A$41,$A27,БС!$C$11:$C$41)</f>
        <v>53803775</v>
      </c>
      <c r="C27" s="82">
        <f>SUMIF(БС!$A$11:$A$41,$A27,БС!$F$11:$F$41)</f>
        <v>121468081</v>
      </c>
      <c r="D27" s="82">
        <f>SUMIF(БС!$A$11:$A$41,$A27,БС!$I$11:$I$41)</f>
        <v>87513538</v>
      </c>
      <c r="E27" s="82">
        <f>SUMIF(БС!$A$11:$A$41,$A27,БС!$L$11:$L$41)</f>
        <v>35948743</v>
      </c>
      <c r="F27" s="82">
        <f>SUMIF(БС!$A$11:$A$41,$A27,БС!$O$11:$O$41)</f>
        <v>1378822</v>
      </c>
      <c r="G27" s="27">
        <f t="shared" si="1"/>
        <v>1.6577257027985985E-3</v>
      </c>
    </row>
    <row r="28" spans="1:7" x14ac:dyDescent="0.25">
      <c r="A28" s="50" t="s">
        <v>184</v>
      </c>
      <c r="B28" s="86">
        <f>SUM(B23:B27)</f>
        <v>636287301</v>
      </c>
      <c r="C28" s="86">
        <f>SUM(C23:C27)</f>
        <v>757755382</v>
      </c>
      <c r="D28" s="86">
        <f>SUM(D23:D27)</f>
        <v>723800839</v>
      </c>
      <c r="E28" s="86">
        <f>SUM(E23:E27)</f>
        <v>672236044</v>
      </c>
      <c r="F28" s="86">
        <f>SUM(F23:F27)</f>
        <v>637666123</v>
      </c>
      <c r="G28" s="31">
        <f t="shared" si="1"/>
        <v>0.76665118623073358</v>
      </c>
    </row>
    <row r="29" spans="1:7" x14ac:dyDescent="0.25">
      <c r="A29" s="50" t="s">
        <v>185</v>
      </c>
      <c r="B29" s="86">
        <f>SUM(B22,B28)</f>
        <v>816473786</v>
      </c>
      <c r="C29" s="86">
        <f>SUM(C22,C28)</f>
        <v>936762924</v>
      </c>
      <c r="D29" s="86">
        <f>SUM(D22,D28)</f>
        <v>901629438</v>
      </c>
      <c r="E29" s="86">
        <f>SUM(E22,E28)</f>
        <v>848885700</v>
      </c>
      <c r="F29" s="86">
        <f>SUM(F22,F28)</f>
        <v>831755216</v>
      </c>
      <c r="G29" s="31">
        <f t="shared" si="1"/>
        <v>1</v>
      </c>
    </row>
    <row r="30" spans="1:7" x14ac:dyDescent="0.25">
      <c r="A30" s="43" t="str" vm="129">
        <f>CUBEMEMBER("ThisWorkbookDataModel",{"[fActualAndBudget].[StavkaKategorija].&amp;[1.28. Вонбилансна пасива]"})</f>
        <v>1.28. Вонбилансна пасива</v>
      </c>
      <c r="B30" s="90">
        <f>SUMIF(БС!$A$11:$A$41,$A30,БС!$C$11:$C$41)</f>
        <v>0</v>
      </c>
      <c r="C30" s="90">
        <f>SUMIF(БС!$A$11:$A$41,$A30,БС!$F$11:$F$41)</f>
        <v>0</v>
      </c>
      <c r="D30" s="90">
        <f>SUMIF(БС!$A$11:$A$41,$A30,БС!$I$11:$I$41)</f>
        <v>0</v>
      </c>
      <c r="E30" s="90">
        <f>SUMIF(БС!$A$11:$A$41,$A30,БС!$L$11:$L$41)</f>
        <v>0</v>
      </c>
      <c r="F30" s="90">
        <f>SUMIF(БС!$A$11:$A$41,$A30,БС!$O$11:$O$41)</f>
        <v>0</v>
      </c>
      <c r="G30" s="66"/>
    </row>
    <row r="31" spans="1:7" hidden="1" x14ac:dyDescent="0.25">
      <c r="A31"/>
      <c r="B31" s="92">
        <f>B29-B11</f>
        <v>0</v>
      </c>
      <c r="C31" s="145">
        <f>C29-C11</f>
        <v>0</v>
      </c>
      <c r="D31" s="145">
        <f>D29-D11</f>
        <v>0</v>
      </c>
      <c r="E31" s="145">
        <f>E29-E11</f>
        <v>0</v>
      </c>
      <c r="F31" s="145">
        <f>F29-F11</f>
        <v>0</v>
      </c>
    </row>
    <row r="32" spans="1:7" x14ac:dyDescent="0.25">
      <c r="A32"/>
      <c r="B32"/>
    </row>
    <row r="33" spans="1:7" x14ac:dyDescent="0.25">
      <c r="A33"/>
      <c r="B33"/>
    </row>
    <row r="34" spans="1:7" x14ac:dyDescent="0.25">
      <c r="A34" t="str" vm="9">
        <f>CUBEMEMBER("ThisWorkbookDataModel","[Measures].[Sum of Износ]")</f>
        <v>Sum of Износ</v>
      </c>
      <c r="B34"/>
      <c r="G34" s="78" t="s">
        <v>325</v>
      </c>
    </row>
    <row r="35" spans="1:7" ht="39.75" customHeight="1" x14ac:dyDescent="0.25">
      <c r="A35" s="352" t="s">
        <v>1114</v>
      </c>
      <c r="B35" s="77" t="str" vm="140">
        <f>CUBEMEMBER("ThisWorkbookDataModel","[Calendar].[Година].&amp;[2021]")</f>
        <v>2021</v>
      </c>
      <c r="C35" s="77" t="str" vm="184">
        <f>CUBEMEMBER("ThisWorkbookDataModel","[Calendar].[Година].&amp;[2022]")</f>
        <v>2022</v>
      </c>
      <c r="D35" s="354" t="s">
        <v>249</v>
      </c>
      <c r="E35" s="77" t="str" vm="1479">
        <f>CUBEMEMBER("ThisWorkbookDataModel","[Calendar].[Година].&amp;[2023]")</f>
        <v>2023</v>
      </c>
      <c r="F35" s="354" t="s">
        <v>247</v>
      </c>
      <c r="G35" s="356" t="s">
        <v>1115</v>
      </c>
    </row>
    <row r="36" spans="1:7" ht="34.5" customHeight="1" x14ac:dyDescent="0.25">
      <c r="A36" s="353"/>
      <c r="B36" s="295" t="str" vm="4">
        <f>CUBEMEMBER("ThisWorkbookDataModel","[fActualAndBudget].[ReportType].&amp;[Остварено]")</f>
        <v>Остварено</v>
      </c>
      <c r="C36" s="295" t="s">
        <v>248</v>
      </c>
      <c r="D36" s="355"/>
      <c r="E36" s="296" t="str" vm="5">
        <f>CUBEMEMBER("ThisWorkbookDataModel","[fActualAndBudget].[ReportType].&amp;[План]")</f>
        <v>План</v>
      </c>
      <c r="F36" s="355"/>
      <c r="G36" s="357"/>
    </row>
    <row r="37" spans="1:7" x14ac:dyDescent="0.25">
      <c r="A37" s="34" t="s">
        <v>177</v>
      </c>
      <c r="B37" s="44"/>
      <c r="C37" s="44"/>
      <c r="D37" s="290"/>
      <c r="E37" s="44"/>
      <c r="F37" s="290"/>
      <c r="G37" s="291"/>
    </row>
    <row r="38" spans="1:7" x14ac:dyDescent="0.25">
      <c r="A38" s="43" t="str" vm="122">
        <f>CUBEMEMBER("ThisWorkbookDataModel",{"[fActualAndBudget].[StavkaKategorija].&amp;[1.1. Парични средства]"})</f>
        <v>1.1. Парични средства</v>
      </c>
      <c r="B38" s="44" vm="891">
        <f>БС!B12</f>
        <v>119915511</v>
      </c>
      <c r="C38" s="44">
        <f>БС!C12</f>
        <v>194365031</v>
      </c>
      <c r="D38" s="290">
        <f t="shared" ref="D38:D62" si="2">IF(ISERROR(IF(B38=0,0,C38/B38-1)),0,IF(B38=0,0,C38/B38-1))</f>
        <v>0.62084979148360553</v>
      </c>
      <c r="E38" s="44">
        <f>БС!O12</f>
        <v>152956073</v>
      </c>
      <c r="F38" s="26">
        <f t="shared" ref="F38:F45" si="3">IF(ISERROR(IF(C38=0,0,E38/C38-1)),0,IF(C38=0,0,E38/C38-1))</f>
        <v>-0.21304736652963052</v>
      </c>
      <c r="G38" s="27">
        <f>E38/$E$44</f>
        <v>0.1838955380834065</v>
      </c>
    </row>
    <row r="39" spans="1:7" x14ac:dyDescent="0.25">
      <c r="A39" s="43" t="str" vm="123">
        <f>CUBEMEMBER("ThisWorkbookDataModel",{"[fActualAndBudget].[StavkaKategorija].&amp;[1.2. Побарувања]"})</f>
        <v>1.2. Побарувања</v>
      </c>
      <c r="B39" s="44" vm="912">
        <f>БС!B13</f>
        <v>2805920</v>
      </c>
      <c r="C39" s="44">
        <f>БС!C13</f>
        <v>2848420</v>
      </c>
      <c r="D39" s="290">
        <f t="shared" si="2"/>
        <v>1.5146547299994317E-2</v>
      </c>
      <c r="E39" s="44">
        <f>БС!O13</f>
        <v>2848420</v>
      </c>
      <c r="F39" s="290">
        <f t="shared" si="3"/>
        <v>0</v>
      </c>
      <c r="G39" s="291">
        <f t="shared" ref="G39:G44" si="4">E39/$E$44</f>
        <v>3.4245892844512083E-3</v>
      </c>
    </row>
    <row r="40" spans="1:7" x14ac:dyDescent="0.25">
      <c r="A40" s="43" t="str" vm="124">
        <f>CUBEMEMBER("ThisWorkbookDataModel",{"[fActualAndBudget].[StavkaKategorija].&amp;[1.3. Залихи]"})</f>
        <v>1.3. Залихи</v>
      </c>
      <c r="B40" s="44" vm="890">
        <f>БС!B14</f>
        <v>943451</v>
      </c>
      <c r="C40" s="44">
        <f>БС!C14</f>
        <v>1484627</v>
      </c>
      <c r="D40" s="290">
        <f t="shared" si="2"/>
        <v>0.57361325601435587</v>
      </c>
      <c r="E40" s="44">
        <f>БС!O14</f>
        <v>1484627</v>
      </c>
      <c r="F40" s="290">
        <f t="shared" si="3"/>
        <v>0</v>
      </c>
      <c r="G40" s="291">
        <f t="shared" si="4"/>
        <v>1.7849325996892817E-3</v>
      </c>
    </row>
    <row r="41" spans="1:7" x14ac:dyDescent="0.25">
      <c r="A41" s="50" t="s">
        <v>178</v>
      </c>
      <c r="B41" s="29">
        <f>SUM(B38:B40)</f>
        <v>123664882</v>
      </c>
      <c r="C41" s="29">
        <f>SUM(C38:C40)</f>
        <v>198698078</v>
      </c>
      <c r="D41" s="290">
        <f t="shared" si="2"/>
        <v>0.60674619007844122</v>
      </c>
      <c r="E41" s="29">
        <f>SUM(E38:E40)</f>
        <v>157289120</v>
      </c>
      <c r="F41" s="30">
        <f t="shared" si="3"/>
        <v>-0.20840140184949352</v>
      </c>
      <c r="G41" s="31">
        <f t="shared" si="4"/>
        <v>0.18910505996754698</v>
      </c>
    </row>
    <row r="42" spans="1:7" x14ac:dyDescent="0.25">
      <c r="A42" s="43" t="str" vm="128">
        <f>CUBEMEMBER("ThisWorkbookDataModel",{"[fActualAndBudget].[StavkaKategorija].&amp;[1.7. Материјални средства и вложувања во недвижности]"})</f>
        <v>1.7. Материјални средства и вложувања во недвижности</v>
      </c>
      <c r="B42" s="44" vm="916">
        <f>БС!B18</f>
        <v>594729260</v>
      </c>
      <c r="C42" s="44">
        <f>БС!C18</f>
        <v>569122796</v>
      </c>
      <c r="D42" s="290">
        <f t="shared" si="2"/>
        <v>-4.3055665362756845E-2</v>
      </c>
      <c r="E42" s="44">
        <f>БС!O18</f>
        <v>574772085</v>
      </c>
      <c r="F42" s="290">
        <f t="shared" si="3"/>
        <v>9.9263094708299526E-3</v>
      </c>
      <c r="G42" s="291">
        <f t="shared" si="4"/>
        <v>0.69103514344537631</v>
      </c>
    </row>
    <row r="43" spans="1:7" x14ac:dyDescent="0.25">
      <c r="A43" s="43" t="str" vm="127">
        <f>CUBEMEMBER("ThisWorkbookDataModel",{"[fActualAndBudget].[StavkaKategorija].&amp;[1.9. Нематеријални средства]"})</f>
        <v>1.9. Нематеријални средства</v>
      </c>
      <c r="B43" s="44" vm="888">
        <f>БС!B20</f>
        <v>59182121</v>
      </c>
      <c r="C43" s="44">
        <f>БС!C20</f>
        <v>48652912</v>
      </c>
      <c r="D43" s="290">
        <f t="shared" si="2"/>
        <v>-0.17791199135968783</v>
      </c>
      <c r="E43" s="44">
        <f>БС!O20</f>
        <v>99694011</v>
      </c>
      <c r="F43" s="290">
        <f t="shared" si="3"/>
        <v>1.0490862088583723</v>
      </c>
      <c r="G43" s="291">
        <f t="shared" si="4"/>
        <v>0.11985979658707664</v>
      </c>
    </row>
    <row r="44" spans="1:7" x14ac:dyDescent="0.25">
      <c r="A44" s="50" t="s">
        <v>179</v>
      </c>
      <c r="B44" s="29">
        <f>SUM(B41:B43)</f>
        <v>777576263</v>
      </c>
      <c r="C44" s="29">
        <f>SUM(C41:C43)</f>
        <v>816473786</v>
      </c>
      <c r="D44" s="290">
        <f t="shared" si="2"/>
        <v>5.0024061755599147E-2</v>
      </c>
      <c r="E44" s="29">
        <f>SUM(E41:E43)</f>
        <v>831755216</v>
      </c>
      <c r="F44" s="30">
        <f t="shared" si="3"/>
        <v>1.8716375543256003E-2</v>
      </c>
      <c r="G44" s="31">
        <f t="shared" si="4"/>
        <v>1</v>
      </c>
    </row>
    <row r="45" spans="1:7" x14ac:dyDescent="0.25">
      <c r="A45" s="52" t="str" vm="135">
        <f>CUBEMEMBER("ThisWorkbookDataModel",{"[fActualAndBudget].[StavkaKategorija].&amp;[1.13. Вонбилансна актива]"})</f>
        <v>1.13. Вонбилансна актива</v>
      </c>
      <c r="B45" s="292" vm="897">
        <f>БС!B24</f>
        <v>0</v>
      </c>
      <c r="C45" s="292" vm="897">
        <f>БС!C24</f>
        <v>0</v>
      </c>
      <c r="D45" s="293">
        <f t="shared" si="2"/>
        <v>0</v>
      </c>
      <c r="E45" s="292" vm="897">
        <f>БС!O24</f>
        <v>0</v>
      </c>
      <c r="F45" s="293">
        <f t="shared" si="3"/>
        <v>0</v>
      </c>
      <c r="G45" s="294">
        <f>E45/E44</f>
        <v>0</v>
      </c>
    </row>
    <row r="46" spans="1:7" hidden="1" x14ac:dyDescent="0.25">
      <c r="A46" s="7"/>
      <c r="B46" s="163"/>
      <c r="C46" s="163"/>
      <c r="D46" s="164"/>
      <c r="E46" s="163"/>
      <c r="F46" s="164"/>
      <c r="G46" s="164"/>
    </row>
    <row r="47" spans="1:7" x14ac:dyDescent="0.25">
      <c r="A47" s="54" t="s">
        <v>180</v>
      </c>
      <c r="B47" s="165"/>
      <c r="C47" s="165"/>
      <c r="D47" s="166"/>
      <c r="E47" s="165"/>
      <c r="F47" s="167"/>
      <c r="G47" s="168"/>
    </row>
    <row r="48" spans="1:7" x14ac:dyDescent="0.25">
      <c r="A48" s="43" t="str" vm="133">
        <f>CUBEMEMBER("ThisWorkbookDataModel",{"[fActualAndBudget].[StavkaKategorija].&amp;[1.14. Краткорочни обврски]"})</f>
        <v>1.14. Краткорочни обврски</v>
      </c>
      <c r="B48" s="121" vm="894">
        <f>БС!B27</f>
        <v>10171911</v>
      </c>
      <c r="C48" s="121">
        <f>БС!C27</f>
        <v>0</v>
      </c>
      <c r="D48" s="118">
        <f t="shared" si="2"/>
        <v>-1</v>
      </c>
      <c r="E48" s="121">
        <f>БС!O27</f>
        <v>19012130</v>
      </c>
      <c r="F48" s="114">
        <f t="shared" ref="F48:F62" si="5">IF(ISERROR(IF(C48=0,0,E48/C48-1)),0,IF(C48=0,0,E48/C48-1))</f>
        <v>0</v>
      </c>
      <c r="G48" s="103">
        <f>E48/$E$61</f>
        <v>2.2857842829566336E-2</v>
      </c>
    </row>
    <row r="49" spans="1:7" x14ac:dyDescent="0.25">
      <c r="A49" s="43" t="str" vm="131">
        <f>CUBEMEMBER("ThisWorkbookDataModel",{"[fActualAndBudget].[StavkaKategorija].&amp;[1.15. Одложено плаќање на трошоци и приходи (ПВР)]"})</f>
        <v>1.15. Одложено плаќање на трошоци и приходи (ПВР)</v>
      </c>
      <c r="B49" s="121" vm="915">
        <f>БС!B28</f>
        <v>98643026</v>
      </c>
      <c r="C49" s="121">
        <f>БС!C28</f>
        <v>93908685</v>
      </c>
      <c r="D49" s="118">
        <f t="shared" si="2"/>
        <v>-4.7994685402290904E-2</v>
      </c>
      <c r="E49" s="121">
        <f>БС!O28</f>
        <v>88799163</v>
      </c>
      <c r="F49" s="114">
        <f t="shared" si="5"/>
        <v>-5.4409472350720245E-2</v>
      </c>
      <c r="G49" s="103">
        <f t="shared" ref="G49:G61" si="6">E49/$E$61</f>
        <v>0.10676117359028381</v>
      </c>
    </row>
    <row r="50" spans="1:7" x14ac:dyDescent="0.25">
      <c r="A50" s="50" t="s">
        <v>181</v>
      </c>
      <c r="B50" s="159">
        <f>SUM(B48:B49)</f>
        <v>108814937</v>
      </c>
      <c r="C50" s="159">
        <f>SUM(C48:C49)</f>
        <v>93908685</v>
      </c>
      <c r="D50" s="172">
        <f t="shared" si="2"/>
        <v>-0.13698718586769021</v>
      </c>
      <c r="E50" s="159">
        <f>SUM(E48:E49)</f>
        <v>107811293</v>
      </c>
      <c r="F50" s="116">
        <f t="shared" si="5"/>
        <v>0.14804390030591952</v>
      </c>
      <c r="G50" s="21">
        <f t="shared" si="6"/>
        <v>0.12961901641985013</v>
      </c>
    </row>
    <row r="51" spans="1:7" x14ac:dyDescent="0.25">
      <c r="A51" s="43" t="str" vm="130">
        <f>CUBEMEMBER("ThisWorkbookDataModel",{"[fActualAndBudget].[StavkaKategorija].&amp;[1.17. Долгорочни обврски]"})</f>
        <v>1.17. Долгорочни обврски</v>
      </c>
      <c r="B51" s="121" vm="884">
        <f>БС!B30</f>
        <v>86277800</v>
      </c>
      <c r="C51" s="121">
        <f>БС!C30</f>
        <v>86277800</v>
      </c>
      <c r="D51" s="114">
        <f t="shared" si="2"/>
        <v>0</v>
      </c>
      <c r="E51" s="121">
        <f>БС!O30</f>
        <v>86277800</v>
      </c>
      <c r="F51" s="114">
        <f t="shared" si="5"/>
        <v>0</v>
      </c>
      <c r="G51" s="103">
        <f t="shared" si="6"/>
        <v>0.10372979734941633</v>
      </c>
    </row>
    <row r="52" spans="1:7" hidden="1" x14ac:dyDescent="0.25">
      <c r="A52" s="43" t="e">
        <f>CUBEMEMBER("ThisWorkbookDataModel",{"[fActualAndBudget].[StavkaKategorija].&amp;[1.18. Други долгорочни обврски и резервирања за ризици и трошоци]"})</f>
        <v>#N/A</v>
      </c>
      <c r="B52" s="121"/>
      <c r="C52" s="121"/>
      <c r="D52" s="115">
        <f t="shared" si="2"/>
        <v>0</v>
      </c>
      <c r="E52" s="121"/>
      <c r="F52" s="115">
        <f t="shared" si="5"/>
        <v>0</v>
      </c>
      <c r="G52" s="18">
        <f t="shared" si="6"/>
        <v>0</v>
      </c>
    </row>
    <row r="53" spans="1:7" x14ac:dyDescent="0.25">
      <c r="A53" s="50" t="s">
        <v>182</v>
      </c>
      <c r="B53" s="159">
        <f>SUM(B51:B52)</f>
        <v>86277800</v>
      </c>
      <c r="C53" s="159">
        <f>SUM(C51:C52)</f>
        <v>86277800</v>
      </c>
      <c r="D53" s="116">
        <f t="shared" si="2"/>
        <v>0</v>
      </c>
      <c r="E53" s="159">
        <f>SUM(E51:E52)</f>
        <v>86277800</v>
      </c>
      <c r="F53" s="116">
        <f t="shared" si="5"/>
        <v>0</v>
      </c>
      <c r="G53" s="21">
        <f t="shared" si="6"/>
        <v>0.10372979734941633</v>
      </c>
    </row>
    <row r="54" spans="1:7" x14ac:dyDescent="0.25">
      <c r="A54" s="50" t="s">
        <v>183</v>
      </c>
      <c r="B54" s="159">
        <f>SUM(B53,B50)</f>
        <v>195092737</v>
      </c>
      <c r="C54" s="159">
        <f>SUM(C53,C50)</f>
        <v>180186485</v>
      </c>
      <c r="D54" s="116">
        <f t="shared" si="2"/>
        <v>-7.6405981223175878E-2</v>
      </c>
      <c r="E54" s="159">
        <f>SUM(E53,E50)</f>
        <v>194089093</v>
      </c>
      <c r="F54" s="116">
        <f t="shared" si="5"/>
        <v>7.7156774549434148E-2</v>
      </c>
      <c r="G54" s="21">
        <f t="shared" si="6"/>
        <v>0.23334881376926647</v>
      </c>
    </row>
    <row r="55" spans="1:7" x14ac:dyDescent="0.25">
      <c r="A55" s="43" t="str" vm="126">
        <f>CUBEMEMBER("ThisWorkbookDataModel",{"[fActualAndBudget].[StavkaKategorija].&amp;[1.21. Капитал]"})</f>
        <v>1.21. Капитал</v>
      </c>
      <c r="B55" s="121" vm="921">
        <f>БС!B34</f>
        <v>126859046</v>
      </c>
      <c r="C55" s="121">
        <f>БС!C34</f>
        <v>126859046</v>
      </c>
      <c r="D55" s="115">
        <f t="shared" si="2"/>
        <v>0</v>
      </c>
      <c r="E55" s="121">
        <f>БС!O34</f>
        <v>126859046</v>
      </c>
      <c r="F55" s="115">
        <f t="shared" si="5"/>
        <v>0</v>
      </c>
      <c r="G55" s="18">
        <f t="shared" si="6"/>
        <v>0.15251968795588533</v>
      </c>
    </row>
    <row r="56" spans="1:7" x14ac:dyDescent="0.25">
      <c r="A56" s="43" t="str" vm="125">
        <f>CUBEMEMBER("ThisWorkbookDataModel",{"[fActualAndBudget].[StavkaKategorija].&amp;[1.22. Акумулирана добивка]"})</f>
        <v>1.22. Акумулирана добивка</v>
      </c>
      <c r="B56" s="121">
        <f>БС!B35</f>
        <v>249674519</v>
      </c>
      <c r="C56" s="121">
        <f>БС!C35</f>
        <v>292646501</v>
      </c>
      <c r="D56" s="115">
        <f t="shared" si="2"/>
        <v>0.17211200474967181</v>
      </c>
      <c r="E56" s="121">
        <f>БС!O35</f>
        <v>346450276</v>
      </c>
      <c r="F56" s="115">
        <f t="shared" si="5"/>
        <v>0.18385244592416972</v>
      </c>
      <c r="G56" s="18">
        <f t="shared" si="6"/>
        <v>0.41652912940674602</v>
      </c>
    </row>
    <row r="57" spans="1:7" x14ac:dyDescent="0.25">
      <c r="A57" s="43" t="str" vm="132">
        <f>CUBEMEMBER("ThisWorkbookDataModel",{"[fActualAndBudget].[StavkaKategorija].&amp;[1.23. Резерви]"})</f>
        <v>1.23. Резерви</v>
      </c>
      <c r="B57" s="102" vm="877">
        <f>БС!B36</f>
        <v>162977979</v>
      </c>
      <c r="C57" s="102">
        <f>БС!C36</f>
        <v>162977979</v>
      </c>
      <c r="D57" s="114">
        <f t="shared" si="2"/>
        <v>0</v>
      </c>
      <c r="E57" s="102">
        <f>БС!O36</f>
        <v>162977979</v>
      </c>
      <c r="F57" s="114">
        <f t="shared" si="5"/>
        <v>0</v>
      </c>
      <c r="G57" s="171">
        <f t="shared" si="6"/>
        <v>0.19594464316530358</v>
      </c>
    </row>
    <row r="58" spans="1:7" hidden="1" x14ac:dyDescent="0.25">
      <c r="A58" s="43" t="e">
        <f>CUBEMEMBER("ThisWorkbookDataModel",{"[fActualAndBudget].[StavkaKategorija].&amp;[1.24. Ревалоризациони резерви]"})</f>
        <v>#N/A</v>
      </c>
      <c r="B58" s="121"/>
      <c r="C58" s="121"/>
      <c r="D58" s="114">
        <f t="shared" si="2"/>
        <v>0</v>
      </c>
      <c r="E58" s="121"/>
      <c r="F58" s="114">
        <f t="shared" si="5"/>
        <v>0</v>
      </c>
      <c r="G58" s="103">
        <f t="shared" si="6"/>
        <v>0</v>
      </c>
    </row>
    <row r="59" spans="1:7" x14ac:dyDescent="0.25">
      <c r="A59" s="43" t="str" vm="134">
        <f>CUBEMEMBER("ThisWorkbookDataModel",{"[fActualAndBudget].[StavkaKategorija].&amp;[1.25. Добивка / Загуба за деловната година]"})</f>
        <v>1.25. Добивка / Загуба за деловната година</v>
      </c>
      <c r="B59" s="121">
        <f>БС!B38</f>
        <v>42971982</v>
      </c>
      <c r="C59" s="121">
        <f>БС!C38</f>
        <v>53803775</v>
      </c>
      <c r="D59" s="114">
        <f t="shared" si="2"/>
        <v>0.25206640457030827</v>
      </c>
      <c r="E59" s="121">
        <f>БС!O38</f>
        <v>1378822</v>
      </c>
      <c r="F59" s="114">
        <f t="shared" si="5"/>
        <v>-0.97437313645743262</v>
      </c>
      <c r="G59" s="103">
        <f t="shared" si="6"/>
        <v>1.6577257027985985E-3</v>
      </c>
    </row>
    <row r="60" spans="1:7" x14ac:dyDescent="0.25">
      <c r="A60" s="50" t="s">
        <v>184</v>
      </c>
      <c r="B60" s="159">
        <f>SUM(B55:B59)</f>
        <v>582483526</v>
      </c>
      <c r="C60" s="159">
        <f>SUM(C55:C59)</f>
        <v>636287301</v>
      </c>
      <c r="D60" s="116">
        <f t="shared" si="2"/>
        <v>9.2369608063387565E-2</v>
      </c>
      <c r="E60" s="159">
        <f>SUM(E55:E59)</f>
        <v>637666123</v>
      </c>
      <c r="F60" s="116">
        <f t="shared" si="5"/>
        <v>2.1669802270656291E-3</v>
      </c>
      <c r="G60" s="21">
        <f t="shared" si="6"/>
        <v>0.76665118623073358</v>
      </c>
    </row>
    <row r="61" spans="1:7" x14ac:dyDescent="0.25">
      <c r="A61" s="50" t="s">
        <v>185</v>
      </c>
      <c r="B61" s="159">
        <f>SUM(B50,B53,B60)</f>
        <v>777576263</v>
      </c>
      <c r="C61" s="159">
        <f>SUM(C50,C53,C60)</f>
        <v>816473786</v>
      </c>
      <c r="D61" s="116">
        <f t="shared" si="2"/>
        <v>5.0024061755599147E-2</v>
      </c>
      <c r="E61" s="159">
        <f>SUM(E50,E53,E60)</f>
        <v>831755216</v>
      </c>
      <c r="F61" s="116">
        <f t="shared" si="5"/>
        <v>1.8716375543256003E-2</v>
      </c>
      <c r="G61" s="21">
        <f t="shared" si="6"/>
        <v>1</v>
      </c>
    </row>
    <row r="62" spans="1:7" x14ac:dyDescent="0.25">
      <c r="A62" s="52" t="str" vm="129">
        <f>CUBEMEMBER("ThisWorkbookDataModel",{"[fActualAndBudget].[StavkaKategorija].&amp;[1.28. Вонбилансна пасива]"})</f>
        <v>1.28. Вонбилансна пасива</v>
      </c>
      <c r="B62" s="160" vm="228">
        <f>БС!B41</f>
        <v>0</v>
      </c>
      <c r="C62" s="160" t="str" vm="917">
        <f>БС!C41</f>
        <v/>
      </c>
      <c r="D62" s="161">
        <f t="shared" si="2"/>
        <v>0</v>
      </c>
      <c r="E62" s="160" t="str" vm="917">
        <f>БС!O41</f>
        <v/>
      </c>
      <c r="F62" s="161">
        <f t="shared" si="5"/>
        <v>0</v>
      </c>
      <c r="G62" s="162"/>
    </row>
    <row r="63" spans="1:7" x14ac:dyDescent="0.25">
      <c r="A63"/>
      <c r="B63"/>
    </row>
    <row r="64" spans="1:7" x14ac:dyDescent="0.25">
      <c r="A64"/>
      <c r="B64" s="1">
        <f>B44-B61</f>
        <v>0</v>
      </c>
      <c r="C64" s="1">
        <f>C44-C61</f>
        <v>0</v>
      </c>
      <c r="D64" s="1"/>
      <c r="E64" s="1">
        <f>E44-E61</f>
        <v>0</v>
      </c>
      <c r="F64" s="1"/>
      <c r="G64" s="1">
        <f>G44-G61</f>
        <v>0</v>
      </c>
    </row>
    <row r="65" spans="1:3" x14ac:dyDescent="0.25">
      <c r="A65"/>
      <c r="B65"/>
      <c r="C65" s="1"/>
    </row>
    <row r="66" spans="1:3" x14ac:dyDescent="0.25">
      <c r="A66"/>
      <c r="B66" s="1"/>
    </row>
    <row r="67" spans="1:3" x14ac:dyDescent="0.25">
      <c r="A67"/>
      <c r="B67"/>
      <c r="C67" s="1"/>
    </row>
    <row r="68" spans="1:3" x14ac:dyDescent="0.25">
      <c r="A68"/>
      <c r="B68"/>
      <c r="C68" s="1"/>
    </row>
    <row r="69" spans="1:3" x14ac:dyDescent="0.25">
      <c r="A69"/>
      <c r="B69"/>
    </row>
    <row r="70" spans="1:3" x14ac:dyDescent="0.25">
      <c r="A70"/>
      <c r="B70"/>
    </row>
    <row r="71" spans="1:3" x14ac:dyDescent="0.25">
      <c r="A71"/>
      <c r="B71"/>
    </row>
    <row r="72" spans="1:3" x14ac:dyDescent="0.25">
      <c r="A72"/>
      <c r="B72"/>
    </row>
    <row r="73" spans="1:3" x14ac:dyDescent="0.25">
      <c r="A73"/>
      <c r="B73"/>
    </row>
    <row r="74" spans="1:3" x14ac:dyDescent="0.25">
      <c r="A74"/>
      <c r="B74"/>
    </row>
    <row r="75" spans="1:3" x14ac:dyDescent="0.25">
      <c r="A75"/>
      <c r="B75"/>
    </row>
    <row r="76" spans="1:3" x14ac:dyDescent="0.25">
      <c r="A76"/>
      <c r="B76"/>
    </row>
    <row r="77" spans="1:3" x14ac:dyDescent="0.25">
      <c r="A77"/>
      <c r="B77"/>
    </row>
    <row r="78" spans="1:3" x14ac:dyDescent="0.25">
      <c r="A78"/>
      <c r="B78"/>
    </row>
    <row r="79" spans="1:3" x14ac:dyDescent="0.25">
      <c r="A79"/>
      <c r="B79"/>
    </row>
    <row r="80" spans="1:3" x14ac:dyDescent="0.25">
      <c r="A80"/>
      <c r="B80"/>
    </row>
    <row r="81" spans="1:2" x14ac:dyDescent="0.25">
      <c r="A81"/>
      <c r="B81"/>
    </row>
    <row r="82" spans="1:2" x14ac:dyDescent="0.25">
      <c r="A82"/>
      <c r="B82"/>
    </row>
    <row r="83" spans="1:2" x14ac:dyDescent="0.25">
      <c r="A83"/>
      <c r="B83"/>
    </row>
    <row r="84" spans="1:2" x14ac:dyDescent="0.25">
      <c r="A84"/>
      <c r="B84"/>
    </row>
    <row r="85" spans="1:2" x14ac:dyDescent="0.25">
      <c r="A85"/>
      <c r="B85"/>
    </row>
    <row r="86" spans="1:2" x14ac:dyDescent="0.25">
      <c r="A86"/>
      <c r="B86"/>
    </row>
    <row r="87" spans="1:2" x14ac:dyDescent="0.25">
      <c r="A87"/>
      <c r="B87"/>
    </row>
    <row r="88" spans="1:2" x14ac:dyDescent="0.25">
      <c r="A88"/>
      <c r="B88"/>
    </row>
    <row r="89" spans="1:2" x14ac:dyDescent="0.25">
      <c r="A89"/>
      <c r="B89"/>
    </row>
    <row r="90" spans="1:2" x14ac:dyDescent="0.25">
      <c r="A90"/>
      <c r="B90"/>
    </row>
    <row r="91" spans="1:2" x14ac:dyDescent="0.25">
      <c r="A91"/>
      <c r="B91"/>
    </row>
    <row r="92" spans="1:2" x14ac:dyDescent="0.25">
      <c r="A92"/>
      <c r="B92"/>
    </row>
    <row r="93" spans="1:2" x14ac:dyDescent="0.25">
      <c r="A93"/>
      <c r="B93"/>
    </row>
    <row r="94" spans="1:2" x14ac:dyDescent="0.25">
      <c r="A94"/>
      <c r="B94"/>
    </row>
    <row r="95" spans="1:2" x14ac:dyDescent="0.25">
      <c r="A95"/>
      <c r="B95"/>
    </row>
    <row r="96" spans="1:2" x14ac:dyDescent="0.25">
      <c r="A96"/>
      <c r="B96"/>
    </row>
    <row r="97" spans="1:2" x14ac:dyDescent="0.25">
      <c r="A97"/>
      <c r="B97"/>
    </row>
    <row r="98" spans="1:2" x14ac:dyDescent="0.25">
      <c r="A98"/>
      <c r="B98"/>
    </row>
    <row r="99" spans="1:2" x14ac:dyDescent="0.25">
      <c r="A99"/>
      <c r="B99"/>
    </row>
    <row r="100" spans="1:2" x14ac:dyDescent="0.25">
      <c r="A100"/>
      <c r="B100"/>
    </row>
    <row r="101" spans="1:2" x14ac:dyDescent="0.25">
      <c r="A101"/>
      <c r="B101"/>
    </row>
    <row r="102" spans="1:2" x14ac:dyDescent="0.25">
      <c r="A102"/>
      <c r="B102"/>
    </row>
    <row r="103" spans="1:2" x14ac:dyDescent="0.25">
      <c r="A103"/>
      <c r="B103"/>
    </row>
    <row r="104" spans="1:2" x14ac:dyDescent="0.25">
      <c r="A104"/>
      <c r="B104"/>
    </row>
    <row r="105" spans="1:2" x14ac:dyDescent="0.25">
      <c r="A105"/>
      <c r="B105"/>
    </row>
    <row r="106" spans="1:2" x14ac:dyDescent="0.25">
      <c r="A106"/>
      <c r="B106"/>
    </row>
    <row r="107" spans="1:2" x14ac:dyDescent="0.25">
      <c r="A107"/>
      <c r="B107"/>
    </row>
    <row r="108" spans="1:2" x14ac:dyDescent="0.25">
      <c r="A108"/>
      <c r="B108"/>
    </row>
    <row r="109" spans="1:2" x14ac:dyDescent="0.25">
      <c r="A109"/>
      <c r="B109"/>
    </row>
    <row r="110" spans="1:2" x14ac:dyDescent="0.25">
      <c r="A110"/>
      <c r="B110"/>
    </row>
    <row r="111" spans="1:2" x14ac:dyDescent="0.25">
      <c r="A111"/>
      <c r="B111"/>
    </row>
    <row r="112" spans="1:2" x14ac:dyDescent="0.25">
      <c r="A112"/>
      <c r="B112"/>
    </row>
    <row r="113" spans="1:2" x14ac:dyDescent="0.25">
      <c r="A113"/>
      <c r="B113"/>
    </row>
    <row r="114" spans="1:2" x14ac:dyDescent="0.25">
      <c r="A114"/>
      <c r="B114"/>
    </row>
    <row r="115" spans="1:2" x14ac:dyDescent="0.25">
      <c r="A115"/>
      <c r="B115"/>
    </row>
    <row r="116" spans="1:2" x14ac:dyDescent="0.25">
      <c r="A116"/>
      <c r="B116"/>
    </row>
    <row r="117" spans="1:2" x14ac:dyDescent="0.25">
      <c r="A117"/>
      <c r="B117"/>
    </row>
    <row r="118" spans="1:2" x14ac:dyDescent="0.25">
      <c r="A118"/>
      <c r="B118"/>
    </row>
    <row r="119" spans="1:2" x14ac:dyDescent="0.25">
      <c r="A119"/>
      <c r="B119"/>
    </row>
    <row r="120" spans="1:2" x14ac:dyDescent="0.25">
      <c r="A120"/>
      <c r="B120"/>
    </row>
    <row r="121" spans="1:2" x14ac:dyDescent="0.25">
      <c r="A121"/>
      <c r="B121"/>
    </row>
    <row r="122" spans="1:2" x14ac:dyDescent="0.25">
      <c r="A122"/>
      <c r="B122"/>
    </row>
    <row r="123" spans="1:2" x14ac:dyDescent="0.25">
      <c r="A123"/>
      <c r="B123"/>
    </row>
    <row r="124" spans="1:2" x14ac:dyDescent="0.25">
      <c r="A124"/>
      <c r="B124"/>
    </row>
    <row r="125" spans="1:2" x14ac:dyDescent="0.25">
      <c r="A125"/>
      <c r="B125"/>
    </row>
    <row r="126" spans="1:2" x14ac:dyDescent="0.25">
      <c r="A126"/>
      <c r="B126"/>
    </row>
    <row r="127" spans="1:2" x14ac:dyDescent="0.25">
      <c r="A127"/>
      <c r="B127"/>
    </row>
    <row r="128" spans="1:2" x14ac:dyDescent="0.25">
      <c r="A128"/>
      <c r="B128"/>
    </row>
    <row r="129" spans="1:2" x14ac:dyDescent="0.25">
      <c r="A129"/>
      <c r="B129"/>
    </row>
    <row r="130" spans="1:2" x14ac:dyDescent="0.25">
      <c r="A130"/>
      <c r="B130"/>
    </row>
    <row r="131" spans="1:2" x14ac:dyDescent="0.25">
      <c r="A131"/>
      <c r="B131"/>
    </row>
    <row r="132" spans="1:2" x14ac:dyDescent="0.25">
      <c r="A132"/>
      <c r="B132"/>
    </row>
    <row r="133" spans="1:2" x14ac:dyDescent="0.25">
      <c r="A133"/>
      <c r="B133"/>
    </row>
    <row r="134" spans="1:2" x14ac:dyDescent="0.25">
      <c r="A134"/>
      <c r="B134"/>
    </row>
    <row r="135" spans="1:2" x14ac:dyDescent="0.25">
      <c r="A135"/>
      <c r="B135"/>
    </row>
    <row r="136" spans="1:2" x14ac:dyDescent="0.25">
      <c r="A136"/>
      <c r="B136"/>
    </row>
    <row r="137" spans="1:2" x14ac:dyDescent="0.25">
      <c r="A137"/>
      <c r="B137"/>
    </row>
    <row r="138" spans="1:2" x14ac:dyDescent="0.25">
      <c r="A138"/>
      <c r="B138"/>
    </row>
    <row r="139" spans="1:2" x14ac:dyDescent="0.25">
      <c r="A139"/>
      <c r="B139"/>
    </row>
    <row r="140" spans="1:2" x14ac:dyDescent="0.25">
      <c r="A140"/>
      <c r="B140"/>
    </row>
    <row r="141" spans="1:2" x14ac:dyDescent="0.25">
      <c r="A141"/>
      <c r="B141"/>
    </row>
    <row r="142" spans="1:2" x14ac:dyDescent="0.25">
      <c r="A142"/>
      <c r="B142"/>
    </row>
    <row r="143" spans="1:2" x14ac:dyDescent="0.25">
      <c r="A143"/>
      <c r="B143"/>
    </row>
    <row r="144" spans="1:2" x14ac:dyDescent="0.25">
      <c r="A144"/>
      <c r="B144"/>
    </row>
    <row r="145" spans="1:2" x14ac:dyDescent="0.25">
      <c r="A145"/>
      <c r="B145"/>
    </row>
    <row r="146" spans="1:2" x14ac:dyDescent="0.25">
      <c r="A146"/>
      <c r="B146"/>
    </row>
    <row r="147" spans="1:2" x14ac:dyDescent="0.25">
      <c r="A147"/>
      <c r="B147"/>
    </row>
    <row r="148" spans="1:2" x14ac:dyDescent="0.25">
      <c r="A148"/>
      <c r="B148"/>
    </row>
    <row r="149" spans="1:2" x14ac:dyDescent="0.25">
      <c r="A149"/>
      <c r="B149"/>
    </row>
    <row r="150" spans="1:2" x14ac:dyDescent="0.25">
      <c r="A150"/>
      <c r="B150"/>
    </row>
    <row r="151" spans="1:2" x14ac:dyDescent="0.25">
      <c r="A151"/>
      <c r="B151"/>
    </row>
    <row r="152" spans="1:2" x14ac:dyDescent="0.25">
      <c r="A152"/>
      <c r="B152"/>
    </row>
    <row r="153" spans="1:2" x14ac:dyDescent="0.25">
      <c r="A153"/>
      <c r="B153"/>
    </row>
    <row r="154" spans="1:2" x14ac:dyDescent="0.25">
      <c r="A154"/>
      <c r="B154"/>
    </row>
    <row r="155" spans="1:2" x14ac:dyDescent="0.25">
      <c r="A155"/>
      <c r="B155"/>
    </row>
    <row r="156" spans="1:2" x14ac:dyDescent="0.25">
      <c r="A156"/>
      <c r="B156"/>
    </row>
    <row r="157" spans="1:2" x14ac:dyDescent="0.25">
      <c r="A157"/>
      <c r="B157"/>
    </row>
    <row r="158" spans="1:2" x14ac:dyDescent="0.25">
      <c r="A158"/>
      <c r="B158"/>
    </row>
    <row r="159" spans="1:2" x14ac:dyDescent="0.25">
      <c r="A159"/>
      <c r="B159"/>
    </row>
    <row r="160" spans="1:2" x14ac:dyDescent="0.25">
      <c r="A160"/>
      <c r="B160"/>
    </row>
    <row r="161" spans="1:2" x14ac:dyDescent="0.25">
      <c r="A161"/>
      <c r="B161"/>
    </row>
    <row r="162" spans="1:2" x14ac:dyDescent="0.25">
      <c r="A162"/>
      <c r="B162"/>
    </row>
    <row r="163" spans="1:2" x14ac:dyDescent="0.25">
      <c r="A163"/>
      <c r="B163"/>
    </row>
    <row r="164" spans="1:2" x14ac:dyDescent="0.25">
      <c r="A164"/>
      <c r="B164"/>
    </row>
    <row r="165" spans="1:2" x14ac:dyDescent="0.25">
      <c r="A165"/>
      <c r="B165"/>
    </row>
    <row r="166" spans="1:2" x14ac:dyDescent="0.25">
      <c r="A166"/>
      <c r="B166"/>
    </row>
    <row r="167" spans="1:2" x14ac:dyDescent="0.25">
      <c r="A167"/>
      <c r="B167"/>
    </row>
    <row r="168" spans="1:2" x14ac:dyDescent="0.25">
      <c r="A168"/>
      <c r="B168"/>
    </row>
    <row r="169" spans="1:2" x14ac:dyDescent="0.25">
      <c r="A169"/>
      <c r="B169"/>
    </row>
    <row r="170" spans="1:2" x14ac:dyDescent="0.25">
      <c r="A170"/>
      <c r="B170"/>
    </row>
    <row r="171" spans="1:2" x14ac:dyDescent="0.25">
      <c r="A171"/>
      <c r="B171"/>
    </row>
    <row r="172" spans="1:2" x14ac:dyDescent="0.25">
      <c r="A172"/>
      <c r="B172"/>
    </row>
    <row r="173" spans="1:2" x14ac:dyDescent="0.25">
      <c r="A173"/>
      <c r="B173"/>
    </row>
    <row r="174" spans="1:2" x14ac:dyDescent="0.25">
      <c r="A174"/>
      <c r="B174"/>
    </row>
    <row r="175" spans="1:2" x14ac:dyDescent="0.25">
      <c r="A175"/>
      <c r="B175"/>
    </row>
    <row r="176" spans="1:2" x14ac:dyDescent="0.25">
      <c r="A176"/>
      <c r="B176"/>
    </row>
    <row r="177" spans="1:2" x14ac:dyDescent="0.25">
      <c r="A177"/>
      <c r="B177"/>
    </row>
    <row r="178" spans="1:2" x14ac:dyDescent="0.25">
      <c r="A178"/>
      <c r="B178"/>
    </row>
    <row r="179" spans="1:2" x14ac:dyDescent="0.25">
      <c r="A179"/>
      <c r="B179"/>
    </row>
    <row r="180" spans="1:2" x14ac:dyDescent="0.25">
      <c r="A180"/>
      <c r="B180"/>
    </row>
    <row r="181" spans="1:2" x14ac:dyDescent="0.25">
      <c r="A181"/>
      <c r="B181"/>
    </row>
    <row r="182" spans="1:2" x14ac:dyDescent="0.25">
      <c r="A182"/>
      <c r="B182"/>
    </row>
    <row r="183" spans="1:2" x14ac:dyDescent="0.25">
      <c r="A183"/>
      <c r="B183"/>
    </row>
    <row r="184" spans="1:2" x14ac:dyDescent="0.25">
      <c r="A184"/>
      <c r="B184"/>
    </row>
    <row r="185" spans="1:2" x14ac:dyDescent="0.25">
      <c r="A185"/>
      <c r="B185"/>
    </row>
    <row r="186" spans="1:2" x14ac:dyDescent="0.25">
      <c r="A186"/>
      <c r="B186"/>
    </row>
    <row r="187" spans="1:2" x14ac:dyDescent="0.25">
      <c r="A187"/>
      <c r="B187"/>
    </row>
    <row r="188" spans="1:2" x14ac:dyDescent="0.25">
      <c r="A188"/>
      <c r="B188"/>
    </row>
    <row r="189" spans="1:2" x14ac:dyDescent="0.25">
      <c r="A189"/>
      <c r="B189"/>
    </row>
    <row r="190" spans="1:2" x14ac:dyDescent="0.25">
      <c r="A190"/>
      <c r="B190"/>
    </row>
    <row r="191" spans="1:2" x14ac:dyDescent="0.25">
      <c r="A191"/>
      <c r="B191"/>
    </row>
    <row r="192" spans="1:2" x14ac:dyDescent="0.25">
      <c r="A192"/>
      <c r="B192"/>
    </row>
    <row r="193" spans="1:2" x14ac:dyDescent="0.25">
      <c r="A193"/>
      <c r="B193"/>
    </row>
    <row r="194" spans="1:2" x14ac:dyDescent="0.25">
      <c r="A194"/>
      <c r="B194"/>
    </row>
    <row r="195" spans="1:2" x14ac:dyDescent="0.25">
      <c r="A195"/>
      <c r="B195"/>
    </row>
    <row r="196" spans="1:2" x14ac:dyDescent="0.25">
      <c r="A196"/>
      <c r="B196"/>
    </row>
    <row r="197" spans="1:2" x14ac:dyDescent="0.25">
      <c r="A197"/>
      <c r="B197"/>
    </row>
    <row r="198" spans="1:2" x14ac:dyDescent="0.25">
      <c r="A198"/>
      <c r="B198"/>
    </row>
    <row r="199" spans="1:2" x14ac:dyDescent="0.25">
      <c r="A199"/>
      <c r="B199"/>
    </row>
    <row r="200" spans="1:2" x14ac:dyDescent="0.25">
      <c r="A200"/>
      <c r="B200"/>
    </row>
    <row r="201" spans="1:2" x14ac:dyDescent="0.25">
      <c r="A201"/>
      <c r="B201"/>
    </row>
    <row r="202" spans="1:2" x14ac:dyDescent="0.25">
      <c r="A202"/>
      <c r="B202"/>
    </row>
    <row r="203" spans="1:2" x14ac:dyDescent="0.25">
      <c r="A203"/>
      <c r="B203"/>
    </row>
    <row r="204" spans="1:2" x14ac:dyDescent="0.25">
      <c r="A204"/>
      <c r="B204"/>
    </row>
    <row r="205" spans="1:2" x14ac:dyDescent="0.25">
      <c r="A205"/>
      <c r="B205"/>
    </row>
    <row r="206" spans="1:2" x14ac:dyDescent="0.25">
      <c r="A206"/>
      <c r="B206"/>
    </row>
    <row r="207" spans="1:2" x14ac:dyDescent="0.25">
      <c r="A207"/>
      <c r="B207"/>
    </row>
    <row r="208" spans="1:2" x14ac:dyDescent="0.25">
      <c r="A208"/>
      <c r="B208"/>
    </row>
    <row r="209" spans="1:2" x14ac:dyDescent="0.25">
      <c r="A209"/>
      <c r="B209"/>
    </row>
    <row r="210" spans="1:2" x14ac:dyDescent="0.25">
      <c r="A210"/>
      <c r="B210"/>
    </row>
    <row r="211" spans="1:2" x14ac:dyDescent="0.25">
      <c r="A211"/>
      <c r="B211"/>
    </row>
    <row r="212" spans="1:2" x14ac:dyDescent="0.25">
      <c r="A212"/>
      <c r="B212"/>
    </row>
    <row r="213" spans="1:2" x14ac:dyDescent="0.25">
      <c r="A213"/>
      <c r="B213"/>
    </row>
    <row r="214" spans="1:2" x14ac:dyDescent="0.25">
      <c r="A214"/>
      <c r="B214"/>
    </row>
    <row r="215" spans="1:2" x14ac:dyDescent="0.25">
      <c r="A215"/>
      <c r="B215"/>
    </row>
    <row r="216" spans="1:2" x14ac:dyDescent="0.25">
      <c r="A216"/>
      <c r="B216"/>
    </row>
    <row r="217" spans="1:2" x14ac:dyDescent="0.25">
      <c r="A217"/>
      <c r="B217"/>
    </row>
    <row r="218" spans="1:2" x14ac:dyDescent="0.25">
      <c r="A218"/>
      <c r="B218"/>
    </row>
    <row r="219" spans="1:2" x14ac:dyDescent="0.25">
      <c r="A219"/>
      <c r="B219"/>
    </row>
    <row r="220" spans="1:2" x14ac:dyDescent="0.25">
      <c r="A220"/>
      <c r="B220"/>
    </row>
    <row r="221" spans="1:2" x14ac:dyDescent="0.25">
      <c r="A221"/>
      <c r="B221"/>
    </row>
    <row r="222" spans="1:2" x14ac:dyDescent="0.25">
      <c r="A222"/>
      <c r="B222"/>
    </row>
    <row r="223" spans="1:2" x14ac:dyDescent="0.25">
      <c r="A223"/>
      <c r="B223"/>
    </row>
    <row r="224" spans="1:2" x14ac:dyDescent="0.25">
      <c r="A224"/>
      <c r="B224"/>
    </row>
    <row r="225" spans="1:2" x14ac:dyDescent="0.25">
      <c r="A225"/>
      <c r="B225"/>
    </row>
    <row r="226" spans="1:2" x14ac:dyDescent="0.25">
      <c r="A226"/>
      <c r="B226"/>
    </row>
    <row r="227" spans="1:2" x14ac:dyDescent="0.25">
      <c r="A227"/>
      <c r="B227"/>
    </row>
    <row r="228" spans="1:2" x14ac:dyDescent="0.25">
      <c r="A228"/>
      <c r="B228"/>
    </row>
    <row r="229" spans="1:2" x14ac:dyDescent="0.25">
      <c r="A229"/>
      <c r="B229"/>
    </row>
    <row r="230" spans="1:2" x14ac:dyDescent="0.25">
      <c r="A230"/>
      <c r="B230"/>
    </row>
    <row r="231" spans="1:2" x14ac:dyDescent="0.25">
      <c r="A231"/>
      <c r="B231"/>
    </row>
    <row r="232" spans="1:2" x14ac:dyDescent="0.25">
      <c r="A232"/>
      <c r="B232"/>
    </row>
    <row r="233" spans="1:2" x14ac:dyDescent="0.25">
      <c r="A233"/>
      <c r="B233"/>
    </row>
    <row r="234" spans="1:2" x14ac:dyDescent="0.25">
      <c r="A234"/>
      <c r="B234"/>
    </row>
    <row r="235" spans="1:2" x14ac:dyDescent="0.25">
      <c r="A235"/>
      <c r="B235"/>
    </row>
    <row r="236" spans="1:2" x14ac:dyDescent="0.25">
      <c r="A236"/>
      <c r="B236"/>
    </row>
    <row r="237" spans="1:2" x14ac:dyDescent="0.25">
      <c r="A237"/>
      <c r="B237"/>
    </row>
    <row r="238" spans="1:2" x14ac:dyDescent="0.25">
      <c r="A238"/>
      <c r="B238"/>
    </row>
    <row r="239" spans="1:2" x14ac:dyDescent="0.25">
      <c r="A239"/>
      <c r="B239"/>
    </row>
    <row r="240" spans="1:2" x14ac:dyDescent="0.25">
      <c r="A240"/>
      <c r="B240"/>
    </row>
    <row r="241" spans="1:2" x14ac:dyDescent="0.25">
      <c r="A241"/>
      <c r="B241"/>
    </row>
    <row r="242" spans="1:2" x14ac:dyDescent="0.25">
      <c r="A242"/>
      <c r="B242"/>
    </row>
    <row r="243" spans="1:2" x14ac:dyDescent="0.25">
      <c r="A243"/>
      <c r="B243"/>
    </row>
    <row r="244" spans="1:2" x14ac:dyDescent="0.25">
      <c r="A244"/>
      <c r="B244"/>
    </row>
    <row r="245" spans="1:2" x14ac:dyDescent="0.25">
      <c r="A245"/>
      <c r="B245"/>
    </row>
    <row r="246" spans="1:2" x14ac:dyDescent="0.25">
      <c r="A246"/>
      <c r="B246"/>
    </row>
    <row r="247" spans="1:2" x14ac:dyDescent="0.25">
      <c r="A247"/>
      <c r="B247"/>
    </row>
    <row r="248" spans="1:2" x14ac:dyDescent="0.25">
      <c r="A248"/>
      <c r="B248"/>
    </row>
    <row r="249" spans="1:2" x14ac:dyDescent="0.25">
      <c r="A249"/>
      <c r="B249"/>
    </row>
    <row r="250" spans="1:2" x14ac:dyDescent="0.25">
      <c r="A250"/>
      <c r="B250"/>
    </row>
    <row r="251" spans="1:2" x14ac:dyDescent="0.25">
      <c r="A251"/>
      <c r="B251"/>
    </row>
    <row r="252" spans="1:2" x14ac:dyDescent="0.25">
      <c r="A252"/>
      <c r="B252"/>
    </row>
    <row r="253" spans="1:2" x14ac:dyDescent="0.25">
      <c r="A253"/>
      <c r="B253"/>
    </row>
    <row r="254" spans="1:2" x14ac:dyDescent="0.25">
      <c r="A254"/>
      <c r="B254"/>
    </row>
    <row r="255" spans="1:2" x14ac:dyDescent="0.25">
      <c r="A255"/>
      <c r="B255"/>
    </row>
    <row r="256" spans="1:2" x14ac:dyDescent="0.25">
      <c r="A256"/>
      <c r="B256"/>
    </row>
    <row r="257" spans="1:2" x14ac:dyDescent="0.25">
      <c r="A257"/>
      <c r="B257"/>
    </row>
    <row r="258" spans="1:2" x14ac:dyDescent="0.25">
      <c r="A258"/>
      <c r="B258"/>
    </row>
    <row r="259" spans="1:2" x14ac:dyDescent="0.25">
      <c r="A259"/>
      <c r="B259"/>
    </row>
    <row r="260" spans="1:2" x14ac:dyDescent="0.25">
      <c r="A260"/>
      <c r="B260"/>
    </row>
    <row r="261" spans="1:2" x14ac:dyDescent="0.25">
      <c r="A261"/>
      <c r="B261"/>
    </row>
    <row r="262" spans="1:2" x14ac:dyDescent="0.25">
      <c r="A262"/>
      <c r="B262"/>
    </row>
    <row r="263" spans="1:2" x14ac:dyDescent="0.25">
      <c r="A263"/>
      <c r="B263"/>
    </row>
    <row r="264" spans="1:2" x14ac:dyDescent="0.25">
      <c r="A264"/>
      <c r="B264"/>
    </row>
    <row r="265" spans="1:2" x14ac:dyDescent="0.25">
      <c r="A265"/>
      <c r="B265"/>
    </row>
    <row r="266" spans="1:2" x14ac:dyDescent="0.25">
      <c r="A266"/>
      <c r="B266"/>
    </row>
    <row r="267" spans="1:2" x14ac:dyDescent="0.25">
      <c r="A267"/>
      <c r="B267"/>
    </row>
    <row r="268" spans="1:2" x14ac:dyDescent="0.25">
      <c r="A268"/>
      <c r="B268"/>
    </row>
    <row r="269" spans="1:2" x14ac:dyDescent="0.25">
      <c r="A269"/>
      <c r="B269"/>
    </row>
    <row r="270" spans="1:2" x14ac:dyDescent="0.25">
      <c r="A270"/>
      <c r="B270"/>
    </row>
    <row r="271" spans="1:2" x14ac:dyDescent="0.25">
      <c r="A271"/>
      <c r="B271"/>
    </row>
    <row r="272" spans="1:2" x14ac:dyDescent="0.25">
      <c r="A272"/>
      <c r="B272"/>
    </row>
    <row r="273" spans="1:2" x14ac:dyDescent="0.25">
      <c r="A273"/>
      <c r="B273"/>
    </row>
    <row r="274" spans="1:2" x14ac:dyDescent="0.25">
      <c r="A274"/>
      <c r="B274"/>
    </row>
    <row r="275" spans="1:2" x14ac:dyDescent="0.25">
      <c r="A275"/>
      <c r="B275"/>
    </row>
    <row r="276" spans="1:2" x14ac:dyDescent="0.25">
      <c r="A276"/>
      <c r="B276"/>
    </row>
    <row r="277" spans="1:2" x14ac:dyDescent="0.25">
      <c r="A277"/>
      <c r="B277"/>
    </row>
    <row r="278" spans="1:2" x14ac:dyDescent="0.25">
      <c r="A278"/>
      <c r="B278"/>
    </row>
    <row r="279" spans="1:2" x14ac:dyDescent="0.25">
      <c r="A279"/>
      <c r="B279"/>
    </row>
    <row r="280" spans="1:2" x14ac:dyDescent="0.25">
      <c r="A280"/>
      <c r="B280"/>
    </row>
    <row r="281" spans="1:2" x14ac:dyDescent="0.25">
      <c r="A281"/>
      <c r="B281"/>
    </row>
    <row r="282" spans="1:2" x14ac:dyDescent="0.25">
      <c r="A282"/>
      <c r="B282"/>
    </row>
    <row r="283" spans="1:2" x14ac:dyDescent="0.25">
      <c r="A283"/>
      <c r="B283"/>
    </row>
    <row r="284" spans="1:2" x14ac:dyDescent="0.25">
      <c r="A284"/>
      <c r="B284"/>
    </row>
    <row r="285" spans="1:2" x14ac:dyDescent="0.25">
      <c r="A285"/>
      <c r="B285"/>
    </row>
    <row r="286" spans="1:2" x14ac:dyDescent="0.25">
      <c r="A286"/>
      <c r="B286"/>
    </row>
    <row r="287" spans="1:2" x14ac:dyDescent="0.25">
      <c r="A287"/>
      <c r="B287"/>
    </row>
    <row r="288" spans="1:2" x14ac:dyDescent="0.25">
      <c r="A288"/>
      <c r="B288"/>
    </row>
    <row r="289" spans="1:2" x14ac:dyDescent="0.25">
      <c r="A289"/>
      <c r="B289"/>
    </row>
    <row r="290" spans="1:2" x14ac:dyDescent="0.25">
      <c r="A290"/>
      <c r="B290"/>
    </row>
    <row r="291" spans="1:2" x14ac:dyDescent="0.25">
      <c r="A291"/>
      <c r="B291"/>
    </row>
    <row r="292" spans="1:2" x14ac:dyDescent="0.25">
      <c r="A292"/>
      <c r="B292"/>
    </row>
    <row r="293" spans="1:2" x14ac:dyDescent="0.25">
      <c r="A293"/>
      <c r="B293"/>
    </row>
    <row r="294" spans="1:2" x14ac:dyDescent="0.25">
      <c r="A294"/>
      <c r="B294"/>
    </row>
    <row r="295" spans="1:2" x14ac:dyDescent="0.25">
      <c r="A295"/>
      <c r="B295"/>
    </row>
    <row r="296" spans="1:2" x14ac:dyDescent="0.25">
      <c r="A296"/>
      <c r="B296"/>
    </row>
    <row r="297" spans="1:2" x14ac:dyDescent="0.25">
      <c r="A297"/>
      <c r="B297"/>
    </row>
    <row r="298" spans="1:2" x14ac:dyDescent="0.25">
      <c r="A298"/>
      <c r="B298"/>
    </row>
    <row r="299" spans="1:2" x14ac:dyDescent="0.25">
      <c r="A299"/>
      <c r="B299"/>
    </row>
    <row r="300" spans="1:2" x14ac:dyDescent="0.25">
      <c r="A300"/>
      <c r="B300"/>
    </row>
    <row r="301" spans="1:2" x14ac:dyDescent="0.25">
      <c r="A301"/>
      <c r="B301"/>
    </row>
    <row r="302" spans="1:2" x14ac:dyDescent="0.25">
      <c r="A302"/>
      <c r="B302"/>
    </row>
    <row r="303" spans="1:2" x14ac:dyDescent="0.25">
      <c r="A303"/>
      <c r="B303"/>
    </row>
    <row r="304" spans="1:2" x14ac:dyDescent="0.25">
      <c r="A304"/>
      <c r="B304"/>
    </row>
    <row r="305" spans="1:2" x14ac:dyDescent="0.25">
      <c r="A305"/>
      <c r="B305"/>
    </row>
    <row r="306" spans="1:2" x14ac:dyDescent="0.25">
      <c r="A306"/>
      <c r="B306"/>
    </row>
    <row r="307" spans="1:2" x14ac:dyDescent="0.25">
      <c r="A307"/>
      <c r="B307"/>
    </row>
    <row r="308" spans="1:2" x14ac:dyDescent="0.25">
      <c r="A308"/>
      <c r="B308"/>
    </row>
    <row r="309" spans="1:2" x14ac:dyDescent="0.25">
      <c r="A309"/>
      <c r="B309"/>
    </row>
    <row r="310" spans="1:2" x14ac:dyDescent="0.25">
      <c r="A310"/>
      <c r="B310"/>
    </row>
    <row r="311" spans="1:2" x14ac:dyDescent="0.25">
      <c r="A311"/>
      <c r="B311"/>
    </row>
    <row r="312" spans="1:2" x14ac:dyDescent="0.25">
      <c r="A312"/>
      <c r="B312"/>
    </row>
    <row r="313" spans="1:2" x14ac:dyDescent="0.25">
      <c r="A313"/>
      <c r="B313"/>
    </row>
    <row r="314" spans="1:2" x14ac:dyDescent="0.25">
      <c r="A314"/>
      <c r="B314"/>
    </row>
    <row r="315" spans="1:2" x14ac:dyDescent="0.25">
      <c r="A315"/>
      <c r="B315"/>
    </row>
    <row r="316" spans="1:2" x14ac:dyDescent="0.25">
      <c r="A316"/>
      <c r="B316"/>
    </row>
    <row r="317" spans="1:2" x14ac:dyDescent="0.25">
      <c r="A317"/>
      <c r="B317"/>
    </row>
    <row r="318" spans="1:2" x14ac:dyDescent="0.25">
      <c r="A318"/>
      <c r="B318"/>
    </row>
    <row r="319" spans="1:2" x14ac:dyDescent="0.25">
      <c r="A319"/>
      <c r="B319"/>
    </row>
    <row r="320" spans="1:2" x14ac:dyDescent="0.25">
      <c r="A320"/>
      <c r="B320"/>
    </row>
    <row r="321" spans="1:2" x14ac:dyDescent="0.25">
      <c r="A321"/>
      <c r="B321"/>
    </row>
    <row r="322" spans="1:2" x14ac:dyDescent="0.25">
      <c r="A322"/>
      <c r="B322"/>
    </row>
    <row r="323" spans="1:2" x14ac:dyDescent="0.25">
      <c r="A323"/>
      <c r="B323"/>
    </row>
    <row r="324" spans="1:2" x14ac:dyDescent="0.25">
      <c r="A324"/>
      <c r="B324"/>
    </row>
    <row r="325" spans="1:2" x14ac:dyDescent="0.25">
      <c r="A325"/>
      <c r="B325"/>
    </row>
    <row r="326" spans="1:2" x14ac:dyDescent="0.25">
      <c r="A326"/>
      <c r="B326"/>
    </row>
    <row r="327" spans="1:2" x14ac:dyDescent="0.25">
      <c r="A327"/>
      <c r="B327"/>
    </row>
    <row r="328" spans="1:2" x14ac:dyDescent="0.25">
      <c r="A328"/>
      <c r="B328"/>
    </row>
    <row r="329" spans="1:2" x14ac:dyDescent="0.25">
      <c r="A329"/>
      <c r="B329"/>
    </row>
    <row r="330" spans="1:2" x14ac:dyDescent="0.25">
      <c r="A330"/>
      <c r="B330"/>
    </row>
    <row r="331" spans="1:2" x14ac:dyDescent="0.25">
      <c r="A331"/>
      <c r="B331"/>
    </row>
    <row r="332" spans="1:2" x14ac:dyDescent="0.25">
      <c r="A332"/>
      <c r="B332"/>
    </row>
    <row r="333" spans="1:2" x14ac:dyDescent="0.25">
      <c r="A333"/>
      <c r="B333"/>
    </row>
    <row r="334" spans="1:2" x14ac:dyDescent="0.25">
      <c r="A334"/>
      <c r="B334"/>
    </row>
    <row r="335" spans="1:2" x14ac:dyDescent="0.25">
      <c r="A335"/>
      <c r="B335"/>
    </row>
    <row r="336" spans="1:2" x14ac:dyDescent="0.25">
      <c r="A336"/>
      <c r="B336"/>
    </row>
    <row r="337" spans="1:2" x14ac:dyDescent="0.25">
      <c r="A337"/>
      <c r="B337"/>
    </row>
    <row r="338" spans="1:2" x14ac:dyDescent="0.25">
      <c r="A338"/>
      <c r="B338"/>
    </row>
    <row r="339" spans="1:2" x14ac:dyDescent="0.25">
      <c r="A339"/>
      <c r="B339"/>
    </row>
    <row r="340" spans="1:2" x14ac:dyDescent="0.25">
      <c r="A340"/>
      <c r="B340"/>
    </row>
    <row r="341" spans="1:2" x14ac:dyDescent="0.25">
      <c r="A341"/>
      <c r="B341"/>
    </row>
    <row r="342" spans="1:2" x14ac:dyDescent="0.25">
      <c r="A342"/>
      <c r="B342"/>
    </row>
    <row r="343" spans="1:2" x14ac:dyDescent="0.25">
      <c r="A343"/>
      <c r="B343"/>
    </row>
    <row r="344" spans="1:2" x14ac:dyDescent="0.25">
      <c r="A344"/>
      <c r="B344"/>
    </row>
    <row r="345" spans="1:2" x14ac:dyDescent="0.25">
      <c r="A345"/>
      <c r="B345"/>
    </row>
    <row r="346" spans="1:2" x14ac:dyDescent="0.25">
      <c r="A346"/>
      <c r="B346"/>
    </row>
    <row r="347" spans="1:2" x14ac:dyDescent="0.25">
      <c r="A347"/>
      <c r="B347"/>
    </row>
    <row r="348" spans="1:2" x14ac:dyDescent="0.25">
      <c r="A348"/>
      <c r="B348"/>
    </row>
    <row r="349" spans="1:2" x14ac:dyDescent="0.25">
      <c r="A349"/>
      <c r="B349"/>
    </row>
    <row r="350" spans="1:2" x14ac:dyDescent="0.25">
      <c r="A350"/>
      <c r="B350"/>
    </row>
    <row r="351" spans="1:2" x14ac:dyDescent="0.25">
      <c r="A351"/>
      <c r="B351"/>
    </row>
    <row r="352" spans="1:2" x14ac:dyDescent="0.25">
      <c r="A352"/>
      <c r="B352"/>
    </row>
    <row r="353" spans="1:2" x14ac:dyDescent="0.25">
      <c r="A353"/>
      <c r="B353"/>
    </row>
    <row r="354" spans="1:2" x14ac:dyDescent="0.25">
      <c r="A354"/>
      <c r="B354"/>
    </row>
    <row r="355" spans="1:2" x14ac:dyDescent="0.25">
      <c r="A355"/>
      <c r="B355"/>
    </row>
    <row r="356" spans="1:2" x14ac:dyDescent="0.25">
      <c r="A356"/>
      <c r="B356"/>
    </row>
    <row r="357" spans="1:2" x14ac:dyDescent="0.25">
      <c r="A357"/>
      <c r="B357"/>
    </row>
    <row r="358" spans="1:2" x14ac:dyDescent="0.25">
      <c r="A358"/>
      <c r="B358"/>
    </row>
    <row r="359" spans="1:2" x14ac:dyDescent="0.25">
      <c r="A359"/>
      <c r="B359"/>
    </row>
    <row r="360" spans="1:2" x14ac:dyDescent="0.25">
      <c r="A360"/>
      <c r="B360"/>
    </row>
    <row r="361" spans="1:2" x14ac:dyDescent="0.25">
      <c r="A361"/>
      <c r="B361"/>
    </row>
    <row r="362" spans="1:2" x14ac:dyDescent="0.25">
      <c r="A362"/>
      <c r="B362"/>
    </row>
    <row r="363" spans="1:2" x14ac:dyDescent="0.25">
      <c r="A363"/>
      <c r="B363"/>
    </row>
    <row r="364" spans="1:2" x14ac:dyDescent="0.25">
      <c r="A364"/>
      <c r="B364"/>
    </row>
    <row r="365" spans="1:2" x14ac:dyDescent="0.25">
      <c r="A365"/>
      <c r="B365"/>
    </row>
    <row r="366" spans="1:2" x14ac:dyDescent="0.25">
      <c r="A366"/>
      <c r="B366"/>
    </row>
    <row r="367" spans="1:2" x14ac:dyDescent="0.25">
      <c r="A367"/>
      <c r="B367"/>
    </row>
    <row r="368" spans="1:2" x14ac:dyDescent="0.25">
      <c r="A368"/>
      <c r="B368"/>
    </row>
    <row r="369" spans="1:2" x14ac:dyDescent="0.25">
      <c r="A369"/>
      <c r="B369"/>
    </row>
    <row r="370" spans="1:2" x14ac:dyDescent="0.25">
      <c r="A370"/>
      <c r="B370"/>
    </row>
    <row r="371" spans="1:2" x14ac:dyDescent="0.25">
      <c r="A371"/>
      <c r="B371"/>
    </row>
    <row r="372" spans="1:2" x14ac:dyDescent="0.25">
      <c r="A372"/>
      <c r="B372"/>
    </row>
    <row r="373" spans="1:2" x14ac:dyDescent="0.25">
      <c r="A373"/>
      <c r="B373"/>
    </row>
    <row r="374" spans="1:2" x14ac:dyDescent="0.25">
      <c r="A374"/>
      <c r="B374"/>
    </row>
    <row r="375" spans="1:2" x14ac:dyDescent="0.25">
      <c r="A375"/>
      <c r="B375"/>
    </row>
    <row r="376" spans="1:2" x14ac:dyDescent="0.25">
      <c r="A376"/>
      <c r="B376"/>
    </row>
    <row r="377" spans="1:2" x14ac:dyDescent="0.25">
      <c r="A377"/>
      <c r="B377"/>
    </row>
    <row r="378" spans="1:2" x14ac:dyDescent="0.25">
      <c r="A378"/>
      <c r="B378"/>
    </row>
    <row r="379" spans="1:2" x14ac:dyDescent="0.25">
      <c r="A379"/>
      <c r="B379"/>
    </row>
    <row r="380" spans="1:2" x14ac:dyDescent="0.25">
      <c r="A380"/>
      <c r="B380"/>
    </row>
    <row r="381" spans="1:2" x14ac:dyDescent="0.25">
      <c r="A381"/>
      <c r="B381"/>
    </row>
    <row r="382" spans="1:2" x14ac:dyDescent="0.25">
      <c r="A382"/>
      <c r="B382"/>
    </row>
    <row r="383" spans="1:2" x14ac:dyDescent="0.25">
      <c r="A383"/>
      <c r="B383"/>
    </row>
    <row r="384" spans="1:2" x14ac:dyDescent="0.25">
      <c r="A384"/>
      <c r="B384"/>
    </row>
    <row r="385" spans="1:2" x14ac:dyDescent="0.25">
      <c r="A385"/>
      <c r="B385"/>
    </row>
    <row r="386" spans="1:2" x14ac:dyDescent="0.25">
      <c r="A386"/>
      <c r="B386"/>
    </row>
    <row r="387" spans="1:2" x14ac:dyDescent="0.25">
      <c r="A387"/>
      <c r="B387"/>
    </row>
    <row r="388" spans="1:2" x14ac:dyDescent="0.25">
      <c r="A388"/>
      <c r="B388"/>
    </row>
    <row r="389" spans="1:2" x14ac:dyDescent="0.25">
      <c r="A389"/>
      <c r="B389"/>
    </row>
    <row r="390" spans="1:2" x14ac:dyDescent="0.25">
      <c r="A390"/>
      <c r="B390"/>
    </row>
    <row r="391" spans="1:2" x14ac:dyDescent="0.25">
      <c r="A391"/>
      <c r="B391"/>
    </row>
    <row r="392" spans="1:2" x14ac:dyDescent="0.25">
      <c r="A392"/>
      <c r="B392"/>
    </row>
    <row r="393" spans="1:2" x14ac:dyDescent="0.25">
      <c r="A393"/>
      <c r="B393"/>
    </row>
    <row r="394" spans="1:2" x14ac:dyDescent="0.25">
      <c r="A394"/>
      <c r="B394"/>
    </row>
    <row r="395" spans="1:2" x14ac:dyDescent="0.25">
      <c r="A395"/>
      <c r="B395"/>
    </row>
    <row r="396" spans="1:2" x14ac:dyDescent="0.25">
      <c r="A396"/>
      <c r="B396"/>
    </row>
    <row r="397" spans="1:2" x14ac:dyDescent="0.25">
      <c r="A397"/>
      <c r="B397"/>
    </row>
    <row r="398" spans="1:2" x14ac:dyDescent="0.25">
      <c r="A398"/>
      <c r="B398"/>
    </row>
    <row r="399" spans="1:2" x14ac:dyDescent="0.25">
      <c r="A399"/>
      <c r="B399"/>
    </row>
    <row r="400" spans="1:2" x14ac:dyDescent="0.25">
      <c r="A400"/>
      <c r="B400"/>
    </row>
    <row r="401" spans="1:2" x14ac:dyDescent="0.25">
      <c r="A401"/>
      <c r="B401"/>
    </row>
    <row r="402" spans="1:2" x14ac:dyDescent="0.25">
      <c r="A402"/>
      <c r="B402"/>
    </row>
    <row r="403" spans="1:2" x14ac:dyDescent="0.25">
      <c r="A403"/>
      <c r="B403"/>
    </row>
    <row r="404" spans="1:2" x14ac:dyDescent="0.25">
      <c r="A404"/>
      <c r="B404"/>
    </row>
    <row r="405" spans="1:2" x14ac:dyDescent="0.25">
      <c r="A405"/>
      <c r="B405"/>
    </row>
    <row r="406" spans="1:2" x14ac:dyDescent="0.25">
      <c r="A406"/>
      <c r="B406"/>
    </row>
    <row r="407" spans="1:2" x14ac:dyDescent="0.25">
      <c r="A407"/>
      <c r="B407"/>
    </row>
    <row r="408" spans="1:2" x14ac:dyDescent="0.25">
      <c r="A408"/>
      <c r="B408"/>
    </row>
    <row r="409" spans="1:2" x14ac:dyDescent="0.25">
      <c r="A409"/>
      <c r="B409"/>
    </row>
    <row r="410" spans="1:2" x14ac:dyDescent="0.25">
      <c r="A410"/>
      <c r="B410"/>
    </row>
    <row r="411" spans="1:2" x14ac:dyDescent="0.25">
      <c r="A411"/>
      <c r="B411"/>
    </row>
    <row r="412" spans="1:2" x14ac:dyDescent="0.25">
      <c r="A412"/>
      <c r="B412"/>
    </row>
    <row r="413" spans="1:2" x14ac:dyDescent="0.25">
      <c r="A413"/>
      <c r="B413"/>
    </row>
    <row r="414" spans="1:2" x14ac:dyDescent="0.25">
      <c r="A414"/>
      <c r="B414"/>
    </row>
    <row r="415" spans="1:2" x14ac:dyDescent="0.25">
      <c r="A415"/>
      <c r="B415"/>
    </row>
    <row r="416" spans="1:2" x14ac:dyDescent="0.25">
      <c r="A416"/>
      <c r="B416"/>
    </row>
    <row r="417" spans="1:2" x14ac:dyDescent="0.25">
      <c r="A417"/>
      <c r="B417"/>
    </row>
    <row r="418" spans="1:2" x14ac:dyDescent="0.25">
      <c r="A418"/>
      <c r="B418"/>
    </row>
    <row r="419" spans="1:2" x14ac:dyDescent="0.25">
      <c r="A419"/>
      <c r="B419"/>
    </row>
    <row r="420" spans="1:2" x14ac:dyDescent="0.25">
      <c r="A420"/>
      <c r="B420"/>
    </row>
    <row r="421" spans="1:2" x14ac:dyDescent="0.25">
      <c r="A421"/>
      <c r="B421"/>
    </row>
    <row r="422" spans="1:2" x14ac:dyDescent="0.25">
      <c r="A422"/>
      <c r="B422"/>
    </row>
    <row r="423" spans="1:2" x14ac:dyDescent="0.25">
      <c r="A423"/>
      <c r="B423"/>
    </row>
    <row r="424" spans="1:2" x14ac:dyDescent="0.25">
      <c r="A424"/>
      <c r="B424"/>
    </row>
    <row r="425" spans="1:2" x14ac:dyDescent="0.25">
      <c r="A425"/>
      <c r="B425"/>
    </row>
    <row r="426" spans="1:2" x14ac:dyDescent="0.25">
      <c r="A426"/>
      <c r="B426"/>
    </row>
    <row r="427" spans="1:2" x14ac:dyDescent="0.25">
      <c r="A427"/>
      <c r="B427"/>
    </row>
    <row r="428" spans="1:2" x14ac:dyDescent="0.25">
      <c r="A428"/>
      <c r="B428"/>
    </row>
    <row r="429" spans="1:2" x14ac:dyDescent="0.25">
      <c r="A429"/>
      <c r="B429"/>
    </row>
    <row r="430" spans="1:2" x14ac:dyDescent="0.25">
      <c r="A430"/>
      <c r="B430"/>
    </row>
    <row r="431" spans="1:2" x14ac:dyDescent="0.25">
      <c r="A431"/>
      <c r="B431"/>
    </row>
    <row r="432" spans="1:2" x14ac:dyDescent="0.25">
      <c r="A432"/>
      <c r="B432"/>
    </row>
    <row r="433" spans="1:2" x14ac:dyDescent="0.25">
      <c r="A433"/>
      <c r="B433"/>
    </row>
    <row r="434" spans="1:2" x14ac:dyDescent="0.25">
      <c r="A434"/>
      <c r="B434"/>
    </row>
    <row r="435" spans="1:2" x14ac:dyDescent="0.25">
      <c r="A435"/>
      <c r="B435"/>
    </row>
    <row r="436" spans="1:2" x14ac:dyDescent="0.25">
      <c r="A436"/>
      <c r="B436"/>
    </row>
    <row r="437" spans="1:2" x14ac:dyDescent="0.25">
      <c r="A437"/>
      <c r="B437"/>
    </row>
    <row r="438" spans="1:2" x14ac:dyDescent="0.25">
      <c r="A438"/>
      <c r="B438"/>
    </row>
    <row r="439" spans="1:2" x14ac:dyDescent="0.25">
      <c r="A439"/>
      <c r="B439"/>
    </row>
    <row r="440" spans="1:2" x14ac:dyDescent="0.25">
      <c r="A440"/>
      <c r="B440"/>
    </row>
    <row r="441" spans="1:2" x14ac:dyDescent="0.25">
      <c r="A441"/>
      <c r="B441"/>
    </row>
    <row r="442" spans="1:2" x14ac:dyDescent="0.25">
      <c r="A442"/>
      <c r="B442"/>
    </row>
    <row r="443" spans="1:2" x14ac:dyDescent="0.25">
      <c r="A443"/>
      <c r="B443"/>
    </row>
    <row r="444" spans="1:2" x14ac:dyDescent="0.25">
      <c r="A444"/>
      <c r="B444"/>
    </row>
    <row r="445" spans="1:2" x14ac:dyDescent="0.25">
      <c r="A445"/>
      <c r="B445"/>
    </row>
    <row r="446" spans="1:2" x14ac:dyDescent="0.25">
      <c r="A446"/>
      <c r="B446"/>
    </row>
    <row r="447" spans="1:2" x14ac:dyDescent="0.25">
      <c r="A447"/>
      <c r="B447"/>
    </row>
    <row r="448" spans="1:2" x14ac:dyDescent="0.25">
      <c r="A448"/>
      <c r="B448"/>
    </row>
    <row r="449" spans="1:2" x14ac:dyDescent="0.25">
      <c r="A449"/>
      <c r="B449"/>
    </row>
    <row r="450" spans="1:2" x14ac:dyDescent="0.25">
      <c r="A450"/>
      <c r="B450"/>
    </row>
    <row r="451" spans="1:2" x14ac:dyDescent="0.25">
      <c r="A451"/>
      <c r="B451"/>
    </row>
    <row r="452" spans="1:2" x14ac:dyDescent="0.25">
      <c r="A452"/>
      <c r="B452"/>
    </row>
    <row r="453" spans="1:2" x14ac:dyDescent="0.25">
      <c r="A453"/>
      <c r="B453"/>
    </row>
    <row r="454" spans="1:2" x14ac:dyDescent="0.25">
      <c r="A454"/>
      <c r="B454"/>
    </row>
    <row r="455" spans="1:2" x14ac:dyDescent="0.25">
      <c r="A455"/>
      <c r="B455"/>
    </row>
    <row r="456" spans="1:2" x14ac:dyDescent="0.25">
      <c r="A456"/>
      <c r="B456"/>
    </row>
    <row r="457" spans="1:2" x14ac:dyDescent="0.25">
      <c r="A457"/>
      <c r="B457"/>
    </row>
    <row r="458" spans="1:2" x14ac:dyDescent="0.25">
      <c r="A458"/>
      <c r="B458"/>
    </row>
    <row r="459" spans="1:2" x14ac:dyDescent="0.25">
      <c r="A459"/>
      <c r="B459"/>
    </row>
    <row r="460" spans="1:2" x14ac:dyDescent="0.25">
      <c r="A460"/>
      <c r="B460"/>
    </row>
    <row r="461" spans="1:2" x14ac:dyDescent="0.25">
      <c r="A461"/>
      <c r="B461"/>
    </row>
    <row r="462" spans="1:2" x14ac:dyDescent="0.25">
      <c r="A462"/>
      <c r="B462"/>
    </row>
    <row r="463" spans="1:2" x14ac:dyDescent="0.25">
      <c r="A463"/>
      <c r="B463"/>
    </row>
    <row r="464" spans="1:2" x14ac:dyDescent="0.25">
      <c r="A464"/>
      <c r="B464"/>
    </row>
    <row r="465" spans="1:2" x14ac:dyDescent="0.25">
      <c r="A465"/>
      <c r="B465"/>
    </row>
    <row r="466" spans="1:2" x14ac:dyDescent="0.25">
      <c r="A466"/>
      <c r="B466"/>
    </row>
    <row r="467" spans="1:2" x14ac:dyDescent="0.25">
      <c r="A467"/>
      <c r="B467"/>
    </row>
    <row r="468" spans="1:2" x14ac:dyDescent="0.25">
      <c r="A468"/>
      <c r="B468"/>
    </row>
    <row r="469" spans="1:2" x14ac:dyDescent="0.25">
      <c r="A469"/>
      <c r="B469"/>
    </row>
    <row r="470" spans="1:2" x14ac:dyDescent="0.25">
      <c r="A470"/>
      <c r="B470"/>
    </row>
    <row r="471" spans="1:2" x14ac:dyDescent="0.25">
      <c r="A471"/>
      <c r="B471"/>
    </row>
    <row r="472" spans="1:2" x14ac:dyDescent="0.25">
      <c r="A472"/>
      <c r="B472"/>
    </row>
    <row r="473" spans="1:2" x14ac:dyDescent="0.25">
      <c r="A473"/>
      <c r="B473"/>
    </row>
    <row r="474" spans="1:2" x14ac:dyDescent="0.25">
      <c r="A474"/>
      <c r="B474"/>
    </row>
    <row r="475" spans="1:2" x14ac:dyDescent="0.25">
      <c r="A475"/>
      <c r="B475"/>
    </row>
    <row r="476" spans="1:2" x14ac:dyDescent="0.25">
      <c r="A476"/>
      <c r="B476"/>
    </row>
    <row r="477" spans="1:2" x14ac:dyDescent="0.25">
      <c r="A477"/>
      <c r="B477"/>
    </row>
    <row r="478" spans="1:2" x14ac:dyDescent="0.25">
      <c r="A478"/>
      <c r="B478"/>
    </row>
    <row r="479" spans="1:2" x14ac:dyDescent="0.25">
      <c r="A479"/>
      <c r="B479"/>
    </row>
    <row r="480" spans="1:2" x14ac:dyDescent="0.25">
      <c r="A480"/>
      <c r="B480"/>
    </row>
    <row r="481" spans="1:2" x14ac:dyDescent="0.25">
      <c r="A481"/>
      <c r="B481"/>
    </row>
    <row r="482" spans="1:2" x14ac:dyDescent="0.25">
      <c r="A482"/>
      <c r="B482"/>
    </row>
    <row r="483" spans="1:2" x14ac:dyDescent="0.25">
      <c r="A483"/>
      <c r="B483"/>
    </row>
    <row r="484" spans="1:2" x14ac:dyDescent="0.25">
      <c r="A484"/>
      <c r="B484"/>
    </row>
    <row r="485" spans="1:2" x14ac:dyDescent="0.25">
      <c r="A485"/>
      <c r="B485"/>
    </row>
    <row r="486" spans="1:2" x14ac:dyDescent="0.25">
      <c r="A486"/>
      <c r="B486"/>
    </row>
    <row r="487" spans="1:2" x14ac:dyDescent="0.25">
      <c r="A487"/>
      <c r="B487"/>
    </row>
    <row r="488" spans="1:2" x14ac:dyDescent="0.25">
      <c r="A488"/>
      <c r="B488"/>
    </row>
    <row r="489" spans="1:2" x14ac:dyDescent="0.25">
      <c r="A489"/>
      <c r="B489"/>
    </row>
    <row r="490" spans="1:2" x14ac:dyDescent="0.25">
      <c r="A490"/>
      <c r="B490"/>
    </row>
    <row r="491" spans="1:2" x14ac:dyDescent="0.25">
      <c r="A491"/>
      <c r="B491"/>
    </row>
    <row r="492" spans="1:2" x14ac:dyDescent="0.25">
      <c r="A492"/>
      <c r="B492"/>
    </row>
    <row r="493" spans="1:2" x14ac:dyDescent="0.25">
      <c r="A493"/>
      <c r="B493"/>
    </row>
    <row r="494" spans="1:2" x14ac:dyDescent="0.25">
      <c r="A494"/>
      <c r="B494"/>
    </row>
    <row r="495" spans="1:2" x14ac:dyDescent="0.25">
      <c r="A495"/>
      <c r="B495"/>
    </row>
    <row r="496" spans="1:2" x14ac:dyDescent="0.25">
      <c r="A496"/>
      <c r="B496"/>
    </row>
    <row r="497" spans="1:2" x14ac:dyDescent="0.25">
      <c r="A497"/>
      <c r="B497"/>
    </row>
    <row r="498" spans="1:2" x14ac:dyDescent="0.25">
      <c r="A498"/>
      <c r="B498"/>
    </row>
    <row r="499" spans="1:2" x14ac:dyDescent="0.25">
      <c r="A499"/>
      <c r="B499"/>
    </row>
    <row r="500" spans="1:2" x14ac:dyDescent="0.25">
      <c r="A500"/>
      <c r="B500"/>
    </row>
    <row r="501" spans="1:2" x14ac:dyDescent="0.25">
      <c r="A501"/>
      <c r="B501"/>
    </row>
    <row r="502" spans="1:2" x14ac:dyDescent="0.25">
      <c r="A502"/>
      <c r="B502"/>
    </row>
    <row r="503" spans="1:2" x14ac:dyDescent="0.25">
      <c r="A503"/>
      <c r="B503"/>
    </row>
    <row r="504" spans="1:2" x14ac:dyDescent="0.25">
      <c r="A504"/>
      <c r="B504"/>
    </row>
    <row r="505" spans="1:2" x14ac:dyDescent="0.25">
      <c r="A505"/>
      <c r="B505"/>
    </row>
    <row r="506" spans="1:2" x14ac:dyDescent="0.25">
      <c r="A506"/>
      <c r="B506"/>
    </row>
    <row r="507" spans="1:2" x14ac:dyDescent="0.25">
      <c r="A507"/>
      <c r="B507"/>
    </row>
    <row r="508" spans="1:2" x14ac:dyDescent="0.25">
      <c r="A508"/>
      <c r="B508"/>
    </row>
    <row r="509" spans="1:2" x14ac:dyDescent="0.25">
      <c r="A509"/>
      <c r="B509"/>
    </row>
    <row r="510" spans="1:2" x14ac:dyDescent="0.25">
      <c r="A510"/>
      <c r="B510"/>
    </row>
    <row r="511" spans="1:2" x14ac:dyDescent="0.25">
      <c r="A511"/>
      <c r="B511"/>
    </row>
    <row r="512" spans="1:2" x14ac:dyDescent="0.25">
      <c r="A512"/>
      <c r="B512"/>
    </row>
    <row r="513" spans="1:2" x14ac:dyDescent="0.25">
      <c r="A513"/>
      <c r="B513"/>
    </row>
    <row r="514" spans="1:2" x14ac:dyDescent="0.25">
      <c r="A514"/>
      <c r="B514"/>
    </row>
    <row r="515" spans="1:2" x14ac:dyDescent="0.25">
      <c r="A515"/>
      <c r="B515"/>
    </row>
    <row r="516" spans="1:2" x14ac:dyDescent="0.25">
      <c r="A516"/>
      <c r="B516"/>
    </row>
    <row r="517" spans="1:2" x14ac:dyDescent="0.25">
      <c r="A517"/>
      <c r="B517"/>
    </row>
    <row r="518" spans="1:2" x14ac:dyDescent="0.25">
      <c r="A518"/>
      <c r="B518"/>
    </row>
    <row r="519" spans="1:2" x14ac:dyDescent="0.25">
      <c r="A519"/>
      <c r="B519"/>
    </row>
    <row r="520" spans="1:2" x14ac:dyDescent="0.25">
      <c r="A520"/>
      <c r="B520"/>
    </row>
    <row r="521" spans="1:2" x14ac:dyDescent="0.25">
      <c r="A521"/>
      <c r="B521"/>
    </row>
    <row r="522" spans="1:2" x14ac:dyDescent="0.25">
      <c r="A522"/>
      <c r="B522"/>
    </row>
    <row r="523" spans="1:2" x14ac:dyDescent="0.25">
      <c r="A523"/>
      <c r="B523"/>
    </row>
    <row r="524" spans="1:2" x14ac:dyDescent="0.25">
      <c r="A524"/>
      <c r="B524"/>
    </row>
    <row r="525" spans="1:2" x14ac:dyDescent="0.25">
      <c r="A525"/>
      <c r="B525"/>
    </row>
    <row r="526" spans="1:2" x14ac:dyDescent="0.25">
      <c r="A526"/>
      <c r="B526"/>
    </row>
    <row r="527" spans="1:2" x14ac:dyDescent="0.25">
      <c r="A527"/>
      <c r="B527"/>
    </row>
    <row r="528" spans="1:2" x14ac:dyDescent="0.25">
      <c r="A528"/>
      <c r="B528"/>
    </row>
    <row r="529" spans="1:2" x14ac:dyDescent="0.25">
      <c r="A529"/>
      <c r="B529"/>
    </row>
    <row r="530" spans="1:2" x14ac:dyDescent="0.25">
      <c r="A530"/>
      <c r="B530"/>
    </row>
    <row r="531" spans="1:2" x14ac:dyDescent="0.25">
      <c r="A531"/>
      <c r="B531"/>
    </row>
    <row r="532" spans="1:2" x14ac:dyDescent="0.25">
      <c r="A532"/>
      <c r="B532"/>
    </row>
    <row r="533" spans="1:2" x14ac:dyDescent="0.25">
      <c r="A533"/>
      <c r="B533"/>
    </row>
    <row r="534" spans="1:2" x14ac:dyDescent="0.25">
      <c r="A534"/>
      <c r="B534"/>
    </row>
    <row r="535" spans="1:2" x14ac:dyDescent="0.25">
      <c r="A535"/>
      <c r="B535"/>
    </row>
    <row r="536" spans="1:2" x14ac:dyDescent="0.25">
      <c r="A536"/>
      <c r="B536"/>
    </row>
    <row r="537" spans="1:2" x14ac:dyDescent="0.25">
      <c r="A537"/>
      <c r="B537"/>
    </row>
    <row r="538" spans="1:2" x14ac:dyDescent="0.25">
      <c r="A538"/>
      <c r="B538"/>
    </row>
    <row r="539" spans="1:2" x14ac:dyDescent="0.25">
      <c r="A539"/>
      <c r="B539"/>
    </row>
    <row r="540" spans="1:2" x14ac:dyDescent="0.25">
      <c r="A540"/>
      <c r="B540"/>
    </row>
    <row r="541" spans="1:2" x14ac:dyDescent="0.25">
      <c r="A541"/>
      <c r="B541"/>
    </row>
    <row r="542" spans="1:2" x14ac:dyDescent="0.25">
      <c r="A542"/>
      <c r="B542"/>
    </row>
    <row r="543" spans="1:2" x14ac:dyDescent="0.25">
      <c r="A543"/>
      <c r="B543"/>
    </row>
    <row r="544" spans="1:2" x14ac:dyDescent="0.25">
      <c r="A544"/>
      <c r="B544"/>
    </row>
    <row r="545" spans="1:2" x14ac:dyDescent="0.25">
      <c r="A545"/>
      <c r="B545"/>
    </row>
    <row r="546" spans="1:2" x14ac:dyDescent="0.25">
      <c r="A546"/>
      <c r="B546"/>
    </row>
    <row r="547" spans="1:2" x14ac:dyDescent="0.25">
      <c r="A547"/>
      <c r="B547"/>
    </row>
    <row r="548" spans="1:2" x14ac:dyDescent="0.25">
      <c r="A548"/>
      <c r="B548"/>
    </row>
    <row r="549" spans="1:2" x14ac:dyDescent="0.25">
      <c r="A549"/>
      <c r="B549"/>
    </row>
    <row r="550" spans="1:2" x14ac:dyDescent="0.25">
      <c r="A550"/>
      <c r="B550"/>
    </row>
    <row r="551" spans="1:2" x14ac:dyDescent="0.25">
      <c r="A551"/>
      <c r="B551"/>
    </row>
    <row r="552" spans="1:2" x14ac:dyDescent="0.25">
      <c r="A552"/>
      <c r="B552"/>
    </row>
    <row r="553" spans="1:2" x14ac:dyDescent="0.25">
      <c r="A553"/>
      <c r="B553"/>
    </row>
    <row r="554" spans="1:2" x14ac:dyDescent="0.25">
      <c r="A554"/>
      <c r="B554"/>
    </row>
    <row r="555" spans="1:2" x14ac:dyDescent="0.25">
      <c r="A555"/>
      <c r="B555"/>
    </row>
    <row r="556" spans="1:2" x14ac:dyDescent="0.25">
      <c r="A556"/>
      <c r="B556"/>
    </row>
    <row r="557" spans="1:2" x14ac:dyDescent="0.25">
      <c r="A557"/>
      <c r="B557"/>
    </row>
    <row r="558" spans="1:2" x14ac:dyDescent="0.25">
      <c r="A558"/>
      <c r="B558"/>
    </row>
    <row r="559" spans="1:2" x14ac:dyDescent="0.25">
      <c r="A559"/>
      <c r="B559"/>
    </row>
    <row r="560" spans="1:2" x14ac:dyDescent="0.25">
      <c r="A560"/>
      <c r="B560"/>
    </row>
    <row r="561" spans="1:2" x14ac:dyDescent="0.25">
      <c r="A561"/>
      <c r="B561"/>
    </row>
    <row r="562" spans="1:2" x14ac:dyDescent="0.25">
      <c r="A562"/>
      <c r="B562"/>
    </row>
    <row r="563" spans="1:2" x14ac:dyDescent="0.25">
      <c r="A563"/>
      <c r="B563"/>
    </row>
    <row r="564" spans="1:2" x14ac:dyDescent="0.25">
      <c r="A564"/>
      <c r="B564"/>
    </row>
    <row r="565" spans="1:2" x14ac:dyDescent="0.25">
      <c r="A565"/>
      <c r="B565"/>
    </row>
    <row r="566" spans="1:2" x14ac:dyDescent="0.25">
      <c r="A566"/>
      <c r="B566"/>
    </row>
    <row r="567" spans="1:2" x14ac:dyDescent="0.25">
      <c r="A567"/>
      <c r="B567"/>
    </row>
    <row r="568" spans="1:2" x14ac:dyDescent="0.25">
      <c r="A568"/>
      <c r="B568"/>
    </row>
    <row r="569" spans="1:2" x14ac:dyDescent="0.25">
      <c r="A569"/>
      <c r="B569"/>
    </row>
    <row r="570" spans="1:2" x14ac:dyDescent="0.25">
      <c r="A570"/>
      <c r="B570"/>
    </row>
    <row r="571" spans="1:2" x14ac:dyDescent="0.25">
      <c r="A571"/>
      <c r="B571"/>
    </row>
    <row r="572" spans="1:2" x14ac:dyDescent="0.25">
      <c r="A572"/>
      <c r="B572"/>
    </row>
    <row r="573" spans="1:2" x14ac:dyDescent="0.25">
      <c r="A573"/>
      <c r="B573"/>
    </row>
    <row r="574" spans="1:2" x14ac:dyDescent="0.25">
      <c r="A574"/>
      <c r="B574"/>
    </row>
    <row r="575" spans="1:2" x14ac:dyDescent="0.25">
      <c r="A575"/>
      <c r="B575"/>
    </row>
    <row r="576" spans="1:2" x14ac:dyDescent="0.25">
      <c r="A576"/>
      <c r="B576"/>
    </row>
    <row r="577" spans="1:2" x14ac:dyDescent="0.25">
      <c r="A577"/>
      <c r="B577"/>
    </row>
    <row r="578" spans="1:2" x14ac:dyDescent="0.25">
      <c r="A578"/>
      <c r="B578"/>
    </row>
    <row r="579" spans="1:2" x14ac:dyDescent="0.25">
      <c r="A579"/>
      <c r="B579"/>
    </row>
    <row r="580" spans="1:2" x14ac:dyDescent="0.25">
      <c r="A580"/>
      <c r="B580"/>
    </row>
    <row r="581" spans="1:2" x14ac:dyDescent="0.25">
      <c r="A581"/>
      <c r="B581"/>
    </row>
    <row r="582" spans="1:2" x14ac:dyDescent="0.25">
      <c r="A582"/>
      <c r="B582"/>
    </row>
    <row r="583" spans="1:2" x14ac:dyDescent="0.25">
      <c r="A583"/>
      <c r="B583"/>
    </row>
    <row r="584" spans="1:2" x14ac:dyDescent="0.25">
      <c r="A584"/>
      <c r="B584"/>
    </row>
    <row r="585" spans="1:2" x14ac:dyDescent="0.25">
      <c r="A585"/>
      <c r="B585"/>
    </row>
    <row r="586" spans="1:2" x14ac:dyDescent="0.25">
      <c r="A586"/>
      <c r="B586"/>
    </row>
    <row r="587" spans="1:2" x14ac:dyDescent="0.25">
      <c r="A587"/>
      <c r="B587"/>
    </row>
    <row r="588" spans="1:2" x14ac:dyDescent="0.25">
      <c r="A588"/>
      <c r="B588"/>
    </row>
    <row r="589" spans="1:2" x14ac:dyDescent="0.25">
      <c r="A589"/>
      <c r="B589"/>
    </row>
    <row r="590" spans="1:2" x14ac:dyDescent="0.25">
      <c r="A590"/>
      <c r="B590"/>
    </row>
    <row r="591" spans="1:2" x14ac:dyDescent="0.25">
      <c r="A591"/>
      <c r="B591"/>
    </row>
    <row r="592" spans="1:2" x14ac:dyDescent="0.25">
      <c r="A592"/>
      <c r="B592"/>
    </row>
    <row r="593" spans="1:2" x14ac:dyDescent="0.25">
      <c r="A593"/>
      <c r="B593"/>
    </row>
    <row r="594" spans="1:2" x14ac:dyDescent="0.25">
      <c r="A594"/>
      <c r="B594"/>
    </row>
    <row r="595" spans="1:2" x14ac:dyDescent="0.25">
      <c r="A595"/>
      <c r="B595"/>
    </row>
    <row r="596" spans="1:2" x14ac:dyDescent="0.25">
      <c r="A596"/>
      <c r="B596"/>
    </row>
    <row r="597" spans="1:2" x14ac:dyDescent="0.25">
      <c r="A597"/>
      <c r="B597"/>
    </row>
    <row r="598" spans="1:2" x14ac:dyDescent="0.25">
      <c r="A598"/>
      <c r="B598"/>
    </row>
    <row r="599" spans="1:2" x14ac:dyDescent="0.25">
      <c r="A599"/>
      <c r="B599"/>
    </row>
    <row r="600" spans="1:2" x14ac:dyDescent="0.25">
      <c r="A600"/>
      <c r="B600"/>
    </row>
    <row r="601" spans="1:2" x14ac:dyDescent="0.25">
      <c r="A601"/>
      <c r="B601"/>
    </row>
    <row r="602" spans="1:2" x14ac:dyDescent="0.25">
      <c r="A602"/>
      <c r="B602"/>
    </row>
    <row r="603" spans="1:2" x14ac:dyDescent="0.25">
      <c r="A603"/>
      <c r="B603"/>
    </row>
    <row r="604" spans="1:2" x14ac:dyDescent="0.25">
      <c r="A604"/>
      <c r="B604"/>
    </row>
    <row r="605" spans="1:2" x14ac:dyDescent="0.25">
      <c r="A605"/>
      <c r="B605"/>
    </row>
    <row r="606" spans="1:2" x14ac:dyDescent="0.25">
      <c r="A606"/>
      <c r="B606"/>
    </row>
    <row r="607" spans="1:2" x14ac:dyDescent="0.25">
      <c r="A607"/>
      <c r="B607"/>
    </row>
    <row r="608" spans="1:2" x14ac:dyDescent="0.25">
      <c r="A608"/>
      <c r="B608"/>
    </row>
    <row r="609" spans="1:2" x14ac:dyDescent="0.25">
      <c r="A609"/>
      <c r="B609"/>
    </row>
    <row r="610" spans="1:2" x14ac:dyDescent="0.25">
      <c r="A610"/>
      <c r="B610"/>
    </row>
    <row r="611" spans="1:2" x14ac:dyDescent="0.25">
      <c r="A611"/>
      <c r="B611"/>
    </row>
    <row r="612" spans="1:2" x14ac:dyDescent="0.25">
      <c r="A612"/>
      <c r="B612"/>
    </row>
    <row r="613" spans="1:2" x14ac:dyDescent="0.25">
      <c r="A613"/>
      <c r="B613"/>
    </row>
    <row r="614" spans="1:2" x14ac:dyDescent="0.25">
      <c r="A614"/>
      <c r="B614"/>
    </row>
    <row r="615" spans="1:2" x14ac:dyDescent="0.25">
      <c r="A615"/>
      <c r="B615"/>
    </row>
    <row r="616" spans="1:2" x14ac:dyDescent="0.25">
      <c r="A616"/>
      <c r="B616"/>
    </row>
    <row r="617" spans="1:2" x14ac:dyDescent="0.25">
      <c r="A617"/>
      <c r="B617"/>
    </row>
    <row r="618" spans="1:2" x14ac:dyDescent="0.25">
      <c r="A618"/>
      <c r="B618"/>
    </row>
    <row r="619" spans="1:2" x14ac:dyDescent="0.25">
      <c r="A619"/>
      <c r="B619"/>
    </row>
    <row r="620" spans="1:2" x14ac:dyDescent="0.25">
      <c r="A620"/>
      <c r="B620"/>
    </row>
    <row r="621" spans="1:2" x14ac:dyDescent="0.25">
      <c r="A621"/>
      <c r="B621"/>
    </row>
    <row r="622" spans="1:2" x14ac:dyDescent="0.25">
      <c r="A622"/>
      <c r="B622"/>
    </row>
    <row r="623" spans="1:2" x14ac:dyDescent="0.25">
      <c r="A623"/>
      <c r="B623"/>
    </row>
    <row r="624" spans="1:2" x14ac:dyDescent="0.25">
      <c r="A624"/>
      <c r="B624"/>
    </row>
    <row r="625" spans="1:2" x14ac:dyDescent="0.25">
      <c r="A625"/>
      <c r="B625"/>
    </row>
    <row r="626" spans="1:2" x14ac:dyDescent="0.25">
      <c r="A626"/>
      <c r="B626"/>
    </row>
    <row r="627" spans="1:2" x14ac:dyDescent="0.25">
      <c r="A627"/>
      <c r="B627"/>
    </row>
    <row r="628" spans="1:2" x14ac:dyDescent="0.25">
      <c r="A628"/>
      <c r="B628"/>
    </row>
    <row r="629" spans="1:2" x14ac:dyDescent="0.25">
      <c r="A629"/>
      <c r="B629"/>
    </row>
    <row r="630" spans="1:2" x14ac:dyDescent="0.25">
      <c r="A630"/>
      <c r="B630"/>
    </row>
    <row r="631" spans="1:2" x14ac:dyDescent="0.25">
      <c r="A631"/>
      <c r="B631"/>
    </row>
    <row r="632" spans="1:2" x14ac:dyDescent="0.25">
      <c r="A632"/>
      <c r="B632"/>
    </row>
    <row r="633" spans="1:2" x14ac:dyDescent="0.25">
      <c r="A633"/>
      <c r="B633"/>
    </row>
    <row r="634" spans="1:2" x14ac:dyDescent="0.25">
      <c r="A634"/>
      <c r="B634"/>
    </row>
    <row r="635" spans="1:2" x14ac:dyDescent="0.25">
      <c r="A635"/>
      <c r="B635"/>
    </row>
    <row r="636" spans="1:2" x14ac:dyDescent="0.25">
      <c r="A636"/>
      <c r="B636"/>
    </row>
    <row r="637" spans="1:2" x14ac:dyDescent="0.25">
      <c r="A637"/>
      <c r="B637"/>
    </row>
    <row r="638" spans="1:2" x14ac:dyDescent="0.25">
      <c r="A638"/>
      <c r="B638"/>
    </row>
    <row r="639" spans="1:2" x14ac:dyDescent="0.25">
      <c r="A639"/>
      <c r="B639"/>
    </row>
    <row r="640" spans="1:2" x14ac:dyDescent="0.25">
      <c r="A640"/>
      <c r="B640"/>
    </row>
    <row r="641" spans="1:2" x14ac:dyDescent="0.25">
      <c r="A641"/>
      <c r="B641"/>
    </row>
    <row r="642" spans="1:2" x14ac:dyDescent="0.25">
      <c r="A642"/>
      <c r="B642"/>
    </row>
    <row r="643" spans="1:2" x14ac:dyDescent="0.25">
      <c r="A643"/>
      <c r="B643"/>
    </row>
    <row r="644" spans="1:2" x14ac:dyDescent="0.25">
      <c r="A644"/>
      <c r="B644"/>
    </row>
    <row r="645" spans="1:2" x14ac:dyDescent="0.25">
      <c r="A645"/>
      <c r="B645"/>
    </row>
    <row r="646" spans="1:2" x14ac:dyDescent="0.25">
      <c r="A646"/>
      <c r="B646"/>
    </row>
    <row r="647" spans="1:2" x14ac:dyDescent="0.25">
      <c r="A647"/>
      <c r="B647"/>
    </row>
    <row r="648" spans="1:2" x14ac:dyDescent="0.25">
      <c r="A648"/>
      <c r="B648"/>
    </row>
    <row r="649" spans="1:2" x14ac:dyDescent="0.25">
      <c r="A649"/>
      <c r="B649"/>
    </row>
    <row r="650" spans="1:2" x14ac:dyDescent="0.25">
      <c r="A650"/>
      <c r="B650"/>
    </row>
    <row r="651" spans="1:2" x14ac:dyDescent="0.25">
      <c r="A651"/>
      <c r="B651"/>
    </row>
    <row r="652" spans="1:2" x14ac:dyDescent="0.25">
      <c r="A652"/>
      <c r="B652"/>
    </row>
    <row r="653" spans="1:2" x14ac:dyDescent="0.25">
      <c r="A653"/>
      <c r="B653"/>
    </row>
    <row r="654" spans="1:2" x14ac:dyDescent="0.25">
      <c r="A654"/>
      <c r="B654"/>
    </row>
    <row r="655" spans="1:2" x14ac:dyDescent="0.25">
      <c r="A655"/>
      <c r="B655"/>
    </row>
    <row r="656" spans="1:2" x14ac:dyDescent="0.25">
      <c r="A656"/>
      <c r="B656"/>
    </row>
    <row r="657" spans="1:2" x14ac:dyDescent="0.25">
      <c r="A657"/>
      <c r="B657"/>
    </row>
    <row r="658" spans="1:2" x14ac:dyDescent="0.25">
      <c r="A658"/>
      <c r="B658"/>
    </row>
    <row r="659" spans="1:2" x14ac:dyDescent="0.25">
      <c r="A659"/>
      <c r="B659"/>
    </row>
    <row r="660" spans="1:2" x14ac:dyDescent="0.25">
      <c r="A660"/>
      <c r="B660"/>
    </row>
    <row r="661" spans="1:2" x14ac:dyDescent="0.25">
      <c r="A661"/>
      <c r="B661"/>
    </row>
    <row r="662" spans="1:2" x14ac:dyDescent="0.25">
      <c r="A662"/>
      <c r="B662"/>
    </row>
    <row r="663" spans="1:2" x14ac:dyDescent="0.25">
      <c r="A663"/>
      <c r="B663"/>
    </row>
    <row r="664" spans="1:2" x14ac:dyDescent="0.25">
      <c r="A664"/>
      <c r="B664"/>
    </row>
    <row r="665" spans="1:2" x14ac:dyDescent="0.25">
      <c r="A665"/>
      <c r="B665"/>
    </row>
    <row r="666" spans="1:2" x14ac:dyDescent="0.25">
      <c r="A666"/>
      <c r="B666"/>
    </row>
    <row r="667" spans="1:2" x14ac:dyDescent="0.25">
      <c r="A667"/>
      <c r="B667"/>
    </row>
    <row r="668" spans="1:2" x14ac:dyDescent="0.25">
      <c r="A668"/>
      <c r="B668"/>
    </row>
    <row r="669" spans="1:2" x14ac:dyDescent="0.25">
      <c r="A669"/>
      <c r="B669"/>
    </row>
    <row r="670" spans="1:2" x14ac:dyDescent="0.25">
      <c r="A670"/>
      <c r="B670"/>
    </row>
    <row r="671" spans="1:2" x14ac:dyDescent="0.25">
      <c r="A671"/>
      <c r="B671"/>
    </row>
    <row r="672" spans="1:2" x14ac:dyDescent="0.25">
      <c r="A672"/>
      <c r="B672"/>
    </row>
    <row r="673" spans="1:2" x14ac:dyDescent="0.25">
      <c r="A673"/>
      <c r="B673"/>
    </row>
    <row r="674" spans="1:2" x14ac:dyDescent="0.25">
      <c r="A674"/>
      <c r="B674"/>
    </row>
    <row r="675" spans="1:2" x14ac:dyDescent="0.25">
      <c r="A675"/>
      <c r="B675"/>
    </row>
    <row r="676" spans="1:2" x14ac:dyDescent="0.25">
      <c r="A676"/>
      <c r="B676"/>
    </row>
    <row r="677" spans="1:2" x14ac:dyDescent="0.25">
      <c r="A677"/>
      <c r="B677"/>
    </row>
    <row r="678" spans="1:2" x14ac:dyDescent="0.25">
      <c r="A678"/>
      <c r="B678"/>
    </row>
    <row r="679" spans="1:2" x14ac:dyDescent="0.25">
      <c r="A679"/>
      <c r="B679"/>
    </row>
    <row r="680" spans="1:2" x14ac:dyDescent="0.25">
      <c r="A680"/>
      <c r="B680"/>
    </row>
    <row r="681" spans="1:2" x14ac:dyDescent="0.25">
      <c r="A681"/>
      <c r="B681"/>
    </row>
    <row r="682" spans="1:2" x14ac:dyDescent="0.25">
      <c r="A682"/>
      <c r="B682"/>
    </row>
    <row r="683" spans="1:2" x14ac:dyDescent="0.25">
      <c r="A683"/>
      <c r="B683"/>
    </row>
    <row r="684" spans="1:2" x14ac:dyDescent="0.25">
      <c r="A684"/>
      <c r="B684"/>
    </row>
    <row r="685" spans="1:2" x14ac:dyDescent="0.25">
      <c r="A685"/>
      <c r="B685"/>
    </row>
    <row r="686" spans="1:2" x14ac:dyDescent="0.25">
      <c r="A686"/>
      <c r="B686"/>
    </row>
    <row r="687" spans="1:2" x14ac:dyDescent="0.25">
      <c r="A687"/>
      <c r="B687"/>
    </row>
    <row r="688" spans="1:2" x14ac:dyDescent="0.25">
      <c r="A688"/>
      <c r="B688"/>
    </row>
    <row r="689" spans="1:2" x14ac:dyDescent="0.25">
      <c r="A689"/>
      <c r="B689"/>
    </row>
    <row r="690" spans="1:2" x14ac:dyDescent="0.25">
      <c r="A690"/>
      <c r="B690"/>
    </row>
    <row r="691" spans="1:2" x14ac:dyDescent="0.25">
      <c r="A691"/>
      <c r="B691"/>
    </row>
    <row r="692" spans="1:2" x14ac:dyDescent="0.25">
      <c r="A692"/>
      <c r="B692"/>
    </row>
    <row r="693" spans="1:2" x14ac:dyDescent="0.25">
      <c r="A693"/>
      <c r="B693"/>
    </row>
    <row r="694" spans="1:2" x14ac:dyDescent="0.25">
      <c r="A694"/>
      <c r="B694"/>
    </row>
    <row r="695" spans="1:2" x14ac:dyDescent="0.25">
      <c r="A695"/>
      <c r="B695"/>
    </row>
    <row r="696" spans="1:2" x14ac:dyDescent="0.25">
      <c r="A696"/>
      <c r="B696"/>
    </row>
    <row r="697" spans="1:2" x14ac:dyDescent="0.25">
      <c r="A697"/>
      <c r="B697"/>
    </row>
    <row r="698" spans="1:2" x14ac:dyDescent="0.25">
      <c r="A698"/>
      <c r="B698"/>
    </row>
    <row r="699" spans="1:2" x14ac:dyDescent="0.25">
      <c r="A699"/>
      <c r="B699"/>
    </row>
    <row r="700" spans="1:2" x14ac:dyDescent="0.25">
      <c r="A700"/>
      <c r="B700"/>
    </row>
    <row r="701" spans="1:2" x14ac:dyDescent="0.25">
      <c r="A701"/>
      <c r="B701"/>
    </row>
    <row r="702" spans="1:2" x14ac:dyDescent="0.25">
      <c r="A702"/>
      <c r="B702"/>
    </row>
    <row r="703" spans="1:2" x14ac:dyDescent="0.25">
      <c r="A703"/>
      <c r="B703"/>
    </row>
    <row r="704" spans="1:2" x14ac:dyDescent="0.25">
      <c r="A704"/>
      <c r="B704"/>
    </row>
    <row r="705" spans="1:2" x14ac:dyDescent="0.25">
      <c r="A705"/>
      <c r="B705"/>
    </row>
    <row r="706" spans="1:2" x14ac:dyDescent="0.25">
      <c r="A706"/>
      <c r="B706"/>
    </row>
    <row r="707" spans="1:2" x14ac:dyDescent="0.25">
      <c r="A707"/>
      <c r="B707"/>
    </row>
    <row r="708" spans="1:2" x14ac:dyDescent="0.25">
      <c r="A708"/>
      <c r="B708"/>
    </row>
    <row r="709" spans="1:2" x14ac:dyDescent="0.25">
      <c r="A709"/>
      <c r="B709"/>
    </row>
    <row r="710" spans="1:2" x14ac:dyDescent="0.25">
      <c r="A710"/>
      <c r="B710"/>
    </row>
    <row r="711" spans="1:2" x14ac:dyDescent="0.25">
      <c r="A711"/>
      <c r="B711"/>
    </row>
    <row r="712" spans="1:2" x14ac:dyDescent="0.25">
      <c r="A712"/>
      <c r="B712"/>
    </row>
    <row r="713" spans="1:2" x14ac:dyDescent="0.25">
      <c r="A713"/>
      <c r="B713"/>
    </row>
    <row r="714" spans="1:2" x14ac:dyDescent="0.25">
      <c r="A714"/>
      <c r="B714"/>
    </row>
    <row r="715" spans="1:2" x14ac:dyDescent="0.25">
      <c r="A715"/>
      <c r="B715"/>
    </row>
    <row r="716" spans="1:2" x14ac:dyDescent="0.25">
      <c r="A716"/>
      <c r="B716"/>
    </row>
    <row r="717" spans="1:2" x14ac:dyDescent="0.25">
      <c r="A717"/>
      <c r="B717"/>
    </row>
    <row r="718" spans="1:2" x14ac:dyDescent="0.25">
      <c r="A718"/>
      <c r="B718"/>
    </row>
    <row r="719" spans="1:2" x14ac:dyDescent="0.25">
      <c r="A719"/>
      <c r="B719"/>
    </row>
    <row r="720" spans="1:2" x14ac:dyDescent="0.25">
      <c r="A720"/>
      <c r="B720"/>
    </row>
    <row r="721" spans="1:2" x14ac:dyDescent="0.25">
      <c r="A721"/>
      <c r="B721"/>
    </row>
    <row r="722" spans="1:2" x14ac:dyDescent="0.25">
      <c r="A722"/>
      <c r="B722"/>
    </row>
    <row r="723" spans="1:2" x14ac:dyDescent="0.25">
      <c r="A723"/>
      <c r="B723"/>
    </row>
    <row r="724" spans="1:2" x14ac:dyDescent="0.25">
      <c r="A724"/>
      <c r="B724"/>
    </row>
    <row r="725" spans="1:2" x14ac:dyDescent="0.25">
      <c r="A725"/>
      <c r="B725"/>
    </row>
    <row r="726" spans="1:2" x14ac:dyDescent="0.25">
      <c r="A726"/>
      <c r="B726"/>
    </row>
    <row r="727" spans="1:2" x14ac:dyDescent="0.25">
      <c r="A727"/>
      <c r="B727"/>
    </row>
    <row r="728" spans="1:2" x14ac:dyDescent="0.25">
      <c r="A728"/>
      <c r="B728"/>
    </row>
    <row r="729" spans="1:2" x14ac:dyDescent="0.25">
      <c r="A729"/>
      <c r="B729"/>
    </row>
    <row r="730" spans="1:2" x14ac:dyDescent="0.25">
      <c r="A730"/>
      <c r="B730"/>
    </row>
    <row r="731" spans="1:2" x14ac:dyDescent="0.25">
      <c r="A731"/>
      <c r="B731"/>
    </row>
    <row r="732" spans="1:2" x14ac:dyDescent="0.25">
      <c r="A732"/>
      <c r="B732"/>
    </row>
    <row r="733" spans="1:2" x14ac:dyDescent="0.25">
      <c r="A733"/>
      <c r="B733"/>
    </row>
    <row r="734" spans="1:2" x14ac:dyDescent="0.25">
      <c r="A734"/>
      <c r="B734"/>
    </row>
    <row r="735" spans="1:2" x14ac:dyDescent="0.25">
      <c r="A735"/>
      <c r="B735"/>
    </row>
    <row r="736" spans="1:2" x14ac:dyDescent="0.25">
      <c r="A736"/>
      <c r="B736"/>
    </row>
    <row r="737" spans="1:2" x14ac:dyDescent="0.25">
      <c r="A737"/>
      <c r="B737"/>
    </row>
    <row r="738" spans="1:2" x14ac:dyDescent="0.25">
      <c r="A738"/>
      <c r="B738"/>
    </row>
    <row r="739" spans="1:2" x14ac:dyDescent="0.25">
      <c r="A739"/>
      <c r="B739"/>
    </row>
    <row r="740" spans="1:2" x14ac:dyDescent="0.25">
      <c r="A740"/>
      <c r="B740"/>
    </row>
    <row r="741" spans="1:2" x14ac:dyDescent="0.25">
      <c r="A741"/>
      <c r="B741"/>
    </row>
    <row r="742" spans="1:2" x14ac:dyDescent="0.25">
      <c r="A742"/>
      <c r="B742"/>
    </row>
    <row r="743" spans="1:2" x14ac:dyDescent="0.25">
      <c r="A743"/>
      <c r="B743"/>
    </row>
    <row r="744" spans="1:2" x14ac:dyDescent="0.25">
      <c r="A744"/>
      <c r="B744"/>
    </row>
    <row r="745" spans="1:2" x14ac:dyDescent="0.25">
      <c r="A745"/>
      <c r="B745"/>
    </row>
    <row r="746" spans="1:2" x14ac:dyDescent="0.25">
      <c r="A746"/>
      <c r="B746"/>
    </row>
    <row r="747" spans="1:2" x14ac:dyDescent="0.25">
      <c r="A747"/>
      <c r="B747"/>
    </row>
    <row r="748" spans="1:2" x14ac:dyDescent="0.25">
      <c r="A748"/>
      <c r="B748"/>
    </row>
    <row r="749" spans="1:2" x14ac:dyDescent="0.25">
      <c r="A749"/>
      <c r="B749"/>
    </row>
    <row r="750" spans="1:2" x14ac:dyDescent="0.25">
      <c r="A750"/>
      <c r="B750"/>
    </row>
    <row r="751" spans="1:2" x14ac:dyDescent="0.25">
      <c r="A751"/>
      <c r="B751"/>
    </row>
    <row r="752" spans="1:2" x14ac:dyDescent="0.25">
      <c r="A752"/>
      <c r="B752"/>
    </row>
    <row r="753" spans="1:2" x14ac:dyDescent="0.25">
      <c r="A753"/>
      <c r="B753"/>
    </row>
    <row r="754" spans="1:2" x14ac:dyDescent="0.25">
      <c r="A754"/>
      <c r="B754"/>
    </row>
    <row r="755" spans="1:2" x14ac:dyDescent="0.25">
      <c r="A755"/>
      <c r="B755"/>
    </row>
    <row r="756" spans="1:2" x14ac:dyDescent="0.25">
      <c r="A756"/>
      <c r="B756"/>
    </row>
    <row r="757" spans="1:2" x14ac:dyDescent="0.25">
      <c r="A757"/>
      <c r="B757"/>
    </row>
    <row r="758" spans="1:2" x14ac:dyDescent="0.25">
      <c r="A758"/>
      <c r="B758"/>
    </row>
    <row r="759" spans="1:2" x14ac:dyDescent="0.25">
      <c r="A759"/>
      <c r="B759"/>
    </row>
    <row r="760" spans="1:2" x14ac:dyDescent="0.25">
      <c r="A760"/>
      <c r="B760"/>
    </row>
    <row r="761" spans="1:2" x14ac:dyDescent="0.25">
      <c r="A761"/>
      <c r="B761"/>
    </row>
    <row r="762" spans="1:2" x14ac:dyDescent="0.25">
      <c r="A762"/>
      <c r="B762"/>
    </row>
    <row r="763" spans="1:2" x14ac:dyDescent="0.25">
      <c r="A763"/>
      <c r="B763"/>
    </row>
    <row r="764" spans="1:2" x14ac:dyDescent="0.25">
      <c r="A764"/>
      <c r="B764"/>
    </row>
    <row r="765" spans="1:2" x14ac:dyDescent="0.25">
      <c r="A765"/>
      <c r="B765"/>
    </row>
    <row r="766" spans="1:2" x14ac:dyDescent="0.25">
      <c r="A766"/>
      <c r="B766"/>
    </row>
    <row r="767" spans="1:2" x14ac:dyDescent="0.25">
      <c r="A767"/>
      <c r="B767"/>
    </row>
    <row r="768" spans="1:2" x14ac:dyDescent="0.25">
      <c r="A768"/>
      <c r="B768"/>
    </row>
    <row r="769" spans="1:2" x14ac:dyDescent="0.25">
      <c r="A769"/>
      <c r="B769"/>
    </row>
    <row r="770" spans="1:2" x14ac:dyDescent="0.25">
      <c r="A770"/>
      <c r="B770"/>
    </row>
    <row r="771" spans="1:2" x14ac:dyDescent="0.25">
      <c r="A771"/>
      <c r="B771"/>
    </row>
    <row r="772" spans="1:2" x14ac:dyDescent="0.25">
      <c r="A772"/>
      <c r="B772"/>
    </row>
    <row r="773" spans="1:2" x14ac:dyDescent="0.25">
      <c r="A773"/>
      <c r="B773"/>
    </row>
    <row r="774" spans="1:2" x14ac:dyDescent="0.25">
      <c r="A774"/>
      <c r="B774"/>
    </row>
    <row r="775" spans="1:2" x14ac:dyDescent="0.25">
      <c r="A775"/>
      <c r="B775"/>
    </row>
    <row r="776" spans="1:2" x14ac:dyDescent="0.25">
      <c r="A776"/>
      <c r="B776"/>
    </row>
    <row r="777" spans="1:2" x14ac:dyDescent="0.25">
      <c r="A777"/>
      <c r="B777"/>
    </row>
    <row r="778" spans="1:2" x14ac:dyDescent="0.25">
      <c r="A778"/>
      <c r="B778"/>
    </row>
    <row r="779" spans="1:2" x14ac:dyDescent="0.25">
      <c r="A779"/>
      <c r="B779"/>
    </row>
    <row r="780" spans="1:2" x14ac:dyDescent="0.25">
      <c r="A780"/>
      <c r="B780"/>
    </row>
    <row r="781" spans="1:2" x14ac:dyDescent="0.25">
      <c r="A781"/>
      <c r="B781"/>
    </row>
    <row r="782" spans="1:2" x14ac:dyDescent="0.25">
      <c r="A782"/>
      <c r="B782"/>
    </row>
    <row r="783" spans="1:2" x14ac:dyDescent="0.25">
      <c r="A783"/>
      <c r="B783"/>
    </row>
    <row r="784" spans="1:2" x14ac:dyDescent="0.25">
      <c r="A784"/>
      <c r="B784"/>
    </row>
    <row r="785" spans="1:2" x14ac:dyDescent="0.25">
      <c r="A785"/>
      <c r="B785"/>
    </row>
    <row r="786" spans="1:2" x14ac:dyDescent="0.25">
      <c r="A786"/>
      <c r="B786"/>
    </row>
    <row r="787" spans="1:2" x14ac:dyDescent="0.25">
      <c r="A787"/>
      <c r="B787"/>
    </row>
    <row r="788" spans="1:2" x14ac:dyDescent="0.25">
      <c r="A788"/>
      <c r="B788"/>
    </row>
    <row r="789" spans="1:2" x14ac:dyDescent="0.25">
      <c r="A789"/>
      <c r="B789"/>
    </row>
    <row r="790" spans="1:2" x14ac:dyDescent="0.25">
      <c r="A790"/>
      <c r="B790"/>
    </row>
    <row r="791" spans="1:2" x14ac:dyDescent="0.25">
      <c r="A791"/>
      <c r="B791"/>
    </row>
    <row r="792" spans="1:2" x14ac:dyDescent="0.25">
      <c r="A792"/>
      <c r="B792"/>
    </row>
    <row r="793" spans="1:2" x14ac:dyDescent="0.25">
      <c r="A793"/>
      <c r="B793"/>
    </row>
    <row r="794" spans="1:2" x14ac:dyDescent="0.25">
      <c r="A794"/>
      <c r="B794"/>
    </row>
    <row r="795" spans="1:2" x14ac:dyDescent="0.25">
      <c r="A795"/>
      <c r="B795"/>
    </row>
    <row r="796" spans="1:2" x14ac:dyDescent="0.25">
      <c r="A796"/>
      <c r="B796"/>
    </row>
    <row r="797" spans="1:2" x14ac:dyDescent="0.25">
      <c r="A797"/>
      <c r="B797"/>
    </row>
    <row r="798" spans="1:2" x14ac:dyDescent="0.25">
      <c r="A798"/>
      <c r="B798"/>
    </row>
    <row r="799" spans="1:2" x14ac:dyDescent="0.25">
      <c r="A799"/>
      <c r="B799"/>
    </row>
    <row r="800" spans="1:2" x14ac:dyDescent="0.25">
      <c r="A800"/>
      <c r="B800"/>
    </row>
    <row r="801" spans="1:2" x14ac:dyDescent="0.25">
      <c r="A801"/>
      <c r="B801"/>
    </row>
    <row r="802" spans="1:2" x14ac:dyDescent="0.25">
      <c r="A802"/>
      <c r="B802"/>
    </row>
    <row r="803" spans="1:2" x14ac:dyDescent="0.25">
      <c r="A803"/>
      <c r="B803"/>
    </row>
    <row r="804" spans="1:2" x14ac:dyDescent="0.25">
      <c r="A804"/>
      <c r="B804"/>
    </row>
    <row r="805" spans="1:2" x14ac:dyDescent="0.25">
      <c r="A805"/>
      <c r="B805"/>
    </row>
    <row r="806" spans="1:2" x14ac:dyDescent="0.25">
      <c r="A806"/>
      <c r="B806"/>
    </row>
    <row r="807" spans="1:2" x14ac:dyDescent="0.25">
      <c r="A807"/>
      <c r="B807"/>
    </row>
    <row r="808" spans="1:2" x14ac:dyDescent="0.25">
      <c r="A808"/>
      <c r="B808"/>
    </row>
    <row r="809" spans="1:2" x14ac:dyDescent="0.25">
      <c r="A809"/>
      <c r="B809"/>
    </row>
    <row r="810" spans="1:2" x14ac:dyDescent="0.25">
      <c r="A810"/>
      <c r="B810"/>
    </row>
    <row r="811" spans="1:2" x14ac:dyDescent="0.25">
      <c r="A811"/>
      <c r="B811"/>
    </row>
    <row r="812" spans="1:2" x14ac:dyDescent="0.25">
      <c r="A812"/>
      <c r="B812"/>
    </row>
    <row r="813" spans="1:2" x14ac:dyDescent="0.25">
      <c r="A813"/>
      <c r="B813"/>
    </row>
    <row r="814" spans="1:2" x14ac:dyDescent="0.25">
      <c r="A814"/>
      <c r="B814"/>
    </row>
    <row r="815" spans="1:2" x14ac:dyDescent="0.25">
      <c r="A815"/>
      <c r="B815"/>
    </row>
    <row r="816" spans="1:2" x14ac:dyDescent="0.25">
      <c r="A816"/>
      <c r="B816"/>
    </row>
    <row r="817" spans="1:2" x14ac:dyDescent="0.25">
      <c r="A817"/>
      <c r="B817"/>
    </row>
    <row r="818" spans="1:2" x14ac:dyDescent="0.25">
      <c r="A818"/>
      <c r="B818"/>
    </row>
    <row r="819" spans="1:2" x14ac:dyDescent="0.25">
      <c r="A819"/>
      <c r="B819"/>
    </row>
    <row r="820" spans="1:2" x14ac:dyDescent="0.25">
      <c r="A820"/>
      <c r="B820"/>
    </row>
    <row r="821" spans="1:2" x14ac:dyDescent="0.25">
      <c r="A821"/>
      <c r="B821"/>
    </row>
    <row r="822" spans="1:2" x14ac:dyDescent="0.25">
      <c r="A822"/>
      <c r="B822"/>
    </row>
    <row r="823" spans="1:2" x14ac:dyDescent="0.25">
      <c r="A823"/>
      <c r="B823"/>
    </row>
    <row r="824" spans="1:2" x14ac:dyDescent="0.25">
      <c r="A824"/>
      <c r="B824"/>
    </row>
    <row r="825" spans="1:2" x14ac:dyDescent="0.25">
      <c r="A825"/>
      <c r="B825"/>
    </row>
    <row r="826" spans="1:2" x14ac:dyDescent="0.25">
      <c r="A826"/>
      <c r="B826"/>
    </row>
    <row r="827" spans="1:2" x14ac:dyDescent="0.25">
      <c r="A827"/>
      <c r="B827"/>
    </row>
    <row r="828" spans="1:2" x14ac:dyDescent="0.25">
      <c r="A828"/>
      <c r="B828"/>
    </row>
    <row r="829" spans="1:2" x14ac:dyDescent="0.25">
      <c r="A829"/>
      <c r="B829"/>
    </row>
    <row r="830" spans="1:2" x14ac:dyDescent="0.25">
      <c r="A830"/>
      <c r="B830"/>
    </row>
    <row r="831" spans="1:2" x14ac:dyDescent="0.25">
      <c r="A831"/>
      <c r="B831"/>
    </row>
    <row r="832" spans="1:2" x14ac:dyDescent="0.25">
      <c r="A832"/>
      <c r="B832"/>
    </row>
    <row r="833" spans="1:2" x14ac:dyDescent="0.25">
      <c r="A833"/>
      <c r="B833"/>
    </row>
    <row r="834" spans="1:2" x14ac:dyDescent="0.25">
      <c r="A834"/>
      <c r="B834"/>
    </row>
    <row r="835" spans="1:2" x14ac:dyDescent="0.25">
      <c r="A835"/>
      <c r="B835"/>
    </row>
    <row r="836" spans="1:2" x14ac:dyDescent="0.25">
      <c r="A836"/>
      <c r="B836"/>
    </row>
    <row r="837" spans="1:2" x14ac:dyDescent="0.25">
      <c r="A837"/>
      <c r="B837"/>
    </row>
    <row r="838" spans="1:2" x14ac:dyDescent="0.25">
      <c r="A838"/>
      <c r="B838"/>
    </row>
    <row r="839" spans="1:2" x14ac:dyDescent="0.25">
      <c r="A839"/>
      <c r="B839"/>
    </row>
    <row r="840" spans="1:2" x14ac:dyDescent="0.25">
      <c r="A840"/>
      <c r="B840"/>
    </row>
    <row r="841" spans="1:2" x14ac:dyDescent="0.25">
      <c r="A841"/>
      <c r="B841"/>
    </row>
    <row r="842" spans="1:2" x14ac:dyDescent="0.25">
      <c r="A842"/>
      <c r="B842"/>
    </row>
    <row r="843" spans="1:2" x14ac:dyDescent="0.25">
      <c r="A843"/>
      <c r="B843"/>
    </row>
    <row r="844" spans="1:2" x14ac:dyDescent="0.25">
      <c r="A844"/>
      <c r="B844"/>
    </row>
    <row r="845" spans="1:2" x14ac:dyDescent="0.25">
      <c r="A845"/>
      <c r="B845"/>
    </row>
    <row r="846" spans="1:2" x14ac:dyDescent="0.25">
      <c r="A846"/>
      <c r="B846"/>
    </row>
    <row r="847" spans="1:2" x14ac:dyDescent="0.25">
      <c r="A847"/>
      <c r="B847"/>
    </row>
    <row r="848" spans="1:2" x14ac:dyDescent="0.25">
      <c r="A848"/>
      <c r="B848"/>
    </row>
    <row r="849" spans="1:2" x14ac:dyDescent="0.25">
      <c r="A849"/>
      <c r="B849"/>
    </row>
    <row r="850" spans="1:2" x14ac:dyDescent="0.25">
      <c r="A850"/>
      <c r="B850"/>
    </row>
    <row r="851" spans="1:2" x14ac:dyDescent="0.25">
      <c r="A851"/>
      <c r="B851"/>
    </row>
    <row r="852" spans="1:2" x14ac:dyDescent="0.25">
      <c r="A852"/>
      <c r="B852"/>
    </row>
    <row r="853" spans="1:2" x14ac:dyDescent="0.25">
      <c r="A853"/>
      <c r="B853"/>
    </row>
    <row r="854" spans="1:2" x14ac:dyDescent="0.25">
      <c r="A854"/>
      <c r="B854"/>
    </row>
    <row r="855" spans="1:2" x14ac:dyDescent="0.25">
      <c r="A855"/>
      <c r="B855"/>
    </row>
    <row r="856" spans="1:2" x14ac:dyDescent="0.25">
      <c r="A856"/>
      <c r="B856"/>
    </row>
    <row r="857" spans="1:2" x14ac:dyDescent="0.25">
      <c r="A857"/>
      <c r="B857"/>
    </row>
    <row r="858" spans="1:2" x14ac:dyDescent="0.25">
      <c r="A858"/>
      <c r="B858"/>
    </row>
    <row r="859" spans="1:2" x14ac:dyDescent="0.25">
      <c r="A859"/>
      <c r="B859"/>
    </row>
    <row r="860" spans="1:2" x14ac:dyDescent="0.25">
      <c r="A860"/>
      <c r="B860"/>
    </row>
    <row r="861" spans="1:2" x14ac:dyDescent="0.25">
      <c r="A861"/>
      <c r="B861"/>
    </row>
    <row r="862" spans="1:2" x14ac:dyDescent="0.25">
      <c r="A862"/>
      <c r="B862"/>
    </row>
    <row r="863" spans="1:2" x14ac:dyDescent="0.25">
      <c r="A863"/>
      <c r="B863"/>
    </row>
    <row r="864" spans="1:2" x14ac:dyDescent="0.25">
      <c r="A864"/>
      <c r="B864"/>
    </row>
    <row r="865" spans="1:2" x14ac:dyDescent="0.25">
      <c r="A865"/>
      <c r="B865"/>
    </row>
    <row r="866" spans="1:2" x14ac:dyDescent="0.25">
      <c r="A866"/>
      <c r="B866"/>
    </row>
    <row r="867" spans="1:2" x14ac:dyDescent="0.25">
      <c r="A867"/>
      <c r="B867"/>
    </row>
    <row r="868" spans="1:2" x14ac:dyDescent="0.25">
      <c r="A868"/>
      <c r="B868"/>
    </row>
    <row r="869" spans="1:2" x14ac:dyDescent="0.25">
      <c r="A869"/>
      <c r="B869"/>
    </row>
    <row r="870" spans="1:2" x14ac:dyDescent="0.25">
      <c r="A870"/>
      <c r="B870"/>
    </row>
    <row r="871" spans="1:2" x14ac:dyDescent="0.25">
      <c r="A871"/>
      <c r="B871"/>
    </row>
    <row r="872" spans="1:2" x14ac:dyDescent="0.25">
      <c r="A872"/>
      <c r="B872"/>
    </row>
    <row r="873" spans="1:2" x14ac:dyDescent="0.25">
      <c r="A873"/>
      <c r="B873"/>
    </row>
    <row r="874" spans="1:2" x14ac:dyDescent="0.25">
      <c r="A874"/>
      <c r="B874"/>
    </row>
    <row r="875" spans="1:2" x14ac:dyDescent="0.25">
      <c r="A875"/>
      <c r="B875"/>
    </row>
    <row r="876" spans="1:2" x14ac:dyDescent="0.25">
      <c r="A876"/>
      <c r="B876"/>
    </row>
    <row r="877" spans="1:2" x14ac:dyDescent="0.25">
      <c r="A877"/>
      <c r="B877"/>
    </row>
    <row r="878" spans="1:2" x14ac:dyDescent="0.25">
      <c r="A878"/>
      <c r="B878"/>
    </row>
    <row r="879" spans="1:2" x14ac:dyDescent="0.25">
      <c r="A879"/>
      <c r="B879"/>
    </row>
    <row r="880" spans="1:2" x14ac:dyDescent="0.25">
      <c r="A880"/>
      <c r="B880"/>
    </row>
    <row r="881" spans="1:2" x14ac:dyDescent="0.25">
      <c r="A881"/>
      <c r="B881"/>
    </row>
    <row r="882" spans="1:2" x14ac:dyDescent="0.25">
      <c r="A882"/>
      <c r="B882"/>
    </row>
    <row r="883" spans="1:2" x14ac:dyDescent="0.25">
      <c r="A883"/>
      <c r="B883"/>
    </row>
    <row r="884" spans="1:2" x14ac:dyDescent="0.25">
      <c r="A884"/>
      <c r="B884"/>
    </row>
    <row r="885" spans="1:2" x14ac:dyDescent="0.25">
      <c r="A885"/>
      <c r="B885"/>
    </row>
    <row r="886" spans="1:2" x14ac:dyDescent="0.25">
      <c r="A886"/>
      <c r="B886"/>
    </row>
    <row r="887" spans="1:2" x14ac:dyDescent="0.25">
      <c r="A887"/>
      <c r="B887"/>
    </row>
    <row r="888" spans="1:2" x14ac:dyDescent="0.25">
      <c r="A888"/>
      <c r="B888"/>
    </row>
    <row r="889" spans="1:2" x14ac:dyDescent="0.25">
      <c r="A889"/>
      <c r="B889"/>
    </row>
    <row r="890" spans="1:2" x14ac:dyDescent="0.25">
      <c r="A890"/>
      <c r="B890"/>
    </row>
    <row r="891" spans="1:2" x14ac:dyDescent="0.25">
      <c r="A891"/>
      <c r="B891"/>
    </row>
    <row r="892" spans="1:2" x14ac:dyDescent="0.25">
      <c r="A892"/>
      <c r="B892"/>
    </row>
    <row r="893" spans="1:2" x14ac:dyDescent="0.25">
      <c r="A893"/>
      <c r="B893"/>
    </row>
    <row r="894" spans="1:2" x14ac:dyDescent="0.25">
      <c r="A894"/>
      <c r="B894"/>
    </row>
    <row r="895" spans="1:2" x14ac:dyDescent="0.25">
      <c r="A895"/>
      <c r="B895"/>
    </row>
    <row r="896" spans="1:2" x14ac:dyDescent="0.25">
      <c r="A896"/>
      <c r="B896"/>
    </row>
    <row r="897" spans="1:2" x14ac:dyDescent="0.25">
      <c r="A897"/>
      <c r="B897"/>
    </row>
    <row r="898" spans="1:2" x14ac:dyDescent="0.25">
      <c r="A898"/>
      <c r="B898"/>
    </row>
    <row r="899" spans="1:2" x14ac:dyDescent="0.25">
      <c r="A899"/>
      <c r="B899"/>
    </row>
    <row r="900" spans="1:2" x14ac:dyDescent="0.25">
      <c r="A900"/>
      <c r="B900"/>
    </row>
    <row r="901" spans="1:2" x14ac:dyDescent="0.25">
      <c r="A901"/>
      <c r="B901"/>
    </row>
    <row r="902" spans="1:2" x14ac:dyDescent="0.25">
      <c r="A902"/>
      <c r="B902"/>
    </row>
    <row r="903" spans="1:2" x14ac:dyDescent="0.25">
      <c r="A903"/>
      <c r="B903"/>
    </row>
    <row r="904" spans="1:2" x14ac:dyDescent="0.25">
      <c r="A904"/>
      <c r="B904"/>
    </row>
    <row r="905" spans="1:2" x14ac:dyDescent="0.25">
      <c r="A905"/>
      <c r="B905"/>
    </row>
    <row r="906" spans="1:2" x14ac:dyDescent="0.25">
      <c r="A906"/>
      <c r="B906"/>
    </row>
    <row r="907" spans="1:2" x14ac:dyDescent="0.25">
      <c r="A907"/>
      <c r="B907"/>
    </row>
    <row r="908" spans="1:2" x14ac:dyDescent="0.25">
      <c r="A908"/>
      <c r="B908"/>
    </row>
    <row r="909" spans="1:2" x14ac:dyDescent="0.25">
      <c r="A909"/>
      <c r="B909"/>
    </row>
    <row r="910" spans="1:2" x14ac:dyDescent="0.25">
      <c r="A910"/>
      <c r="B910"/>
    </row>
    <row r="911" spans="1:2" x14ac:dyDescent="0.25">
      <c r="A911"/>
      <c r="B911"/>
    </row>
    <row r="912" spans="1:2" x14ac:dyDescent="0.25">
      <c r="A912"/>
      <c r="B912"/>
    </row>
    <row r="913" spans="1:2" x14ac:dyDescent="0.25">
      <c r="A913"/>
      <c r="B913"/>
    </row>
    <row r="914" spans="1:2" x14ac:dyDescent="0.25">
      <c r="A914"/>
      <c r="B914"/>
    </row>
    <row r="915" spans="1:2" x14ac:dyDescent="0.25">
      <c r="A915"/>
      <c r="B915"/>
    </row>
    <row r="916" spans="1:2" x14ac:dyDescent="0.25">
      <c r="A916"/>
      <c r="B916"/>
    </row>
    <row r="917" spans="1:2" x14ac:dyDescent="0.25">
      <c r="A917"/>
      <c r="B917"/>
    </row>
    <row r="918" spans="1:2" x14ac:dyDescent="0.25">
      <c r="A918"/>
      <c r="B918"/>
    </row>
    <row r="919" spans="1:2" x14ac:dyDescent="0.25">
      <c r="A919"/>
      <c r="B919"/>
    </row>
    <row r="920" spans="1:2" x14ac:dyDescent="0.25">
      <c r="A920"/>
      <c r="B920"/>
    </row>
    <row r="921" spans="1:2" x14ac:dyDescent="0.25">
      <c r="A921"/>
      <c r="B921"/>
    </row>
    <row r="922" spans="1:2" x14ac:dyDescent="0.25">
      <c r="A922"/>
      <c r="B922"/>
    </row>
    <row r="923" spans="1:2" x14ac:dyDescent="0.25">
      <c r="A923"/>
      <c r="B923"/>
    </row>
    <row r="924" spans="1:2" x14ac:dyDescent="0.25">
      <c r="A924"/>
      <c r="B924"/>
    </row>
    <row r="925" spans="1:2" x14ac:dyDescent="0.25">
      <c r="A925"/>
      <c r="B925"/>
    </row>
    <row r="926" spans="1:2" x14ac:dyDescent="0.25">
      <c r="A926"/>
      <c r="B926"/>
    </row>
    <row r="927" spans="1:2" x14ac:dyDescent="0.25">
      <c r="A927"/>
      <c r="B927"/>
    </row>
    <row r="928" spans="1:2" x14ac:dyDescent="0.25">
      <c r="A928"/>
      <c r="B928"/>
    </row>
    <row r="929" spans="1:2" x14ac:dyDescent="0.25">
      <c r="A929"/>
      <c r="B929"/>
    </row>
    <row r="930" spans="1:2" x14ac:dyDescent="0.25">
      <c r="A930"/>
      <c r="B930"/>
    </row>
    <row r="931" spans="1:2" x14ac:dyDescent="0.25">
      <c r="A931"/>
      <c r="B931"/>
    </row>
    <row r="932" spans="1:2" x14ac:dyDescent="0.25">
      <c r="A932"/>
      <c r="B932"/>
    </row>
    <row r="933" spans="1:2" x14ac:dyDescent="0.25">
      <c r="A933"/>
      <c r="B933"/>
    </row>
    <row r="934" spans="1:2" x14ac:dyDescent="0.25">
      <c r="A934"/>
      <c r="B934"/>
    </row>
    <row r="935" spans="1:2" x14ac:dyDescent="0.25">
      <c r="A935"/>
      <c r="B935"/>
    </row>
    <row r="936" spans="1:2" x14ac:dyDescent="0.25">
      <c r="A936"/>
      <c r="B936"/>
    </row>
    <row r="937" spans="1:2" x14ac:dyDescent="0.25">
      <c r="A937"/>
      <c r="B937"/>
    </row>
    <row r="938" spans="1:2" x14ac:dyDescent="0.25">
      <c r="A938"/>
      <c r="B938"/>
    </row>
    <row r="939" spans="1:2" x14ac:dyDescent="0.25">
      <c r="A939"/>
      <c r="B939"/>
    </row>
    <row r="940" spans="1:2" x14ac:dyDescent="0.25">
      <c r="A940"/>
      <c r="B940"/>
    </row>
    <row r="941" spans="1:2" x14ac:dyDescent="0.25">
      <c r="A941"/>
      <c r="B941"/>
    </row>
    <row r="942" spans="1:2" x14ac:dyDescent="0.25">
      <c r="A942"/>
      <c r="B942"/>
    </row>
    <row r="943" spans="1:2" x14ac:dyDescent="0.25">
      <c r="A943"/>
      <c r="B943"/>
    </row>
    <row r="944" spans="1:2" x14ac:dyDescent="0.25">
      <c r="A944"/>
      <c r="B944"/>
    </row>
    <row r="945" spans="1:2" x14ac:dyDescent="0.25">
      <c r="A945"/>
      <c r="B945"/>
    </row>
    <row r="946" spans="1:2" x14ac:dyDescent="0.25">
      <c r="A946"/>
      <c r="B946"/>
    </row>
    <row r="947" spans="1:2" x14ac:dyDescent="0.25">
      <c r="A947"/>
      <c r="B947"/>
    </row>
    <row r="948" spans="1:2" x14ac:dyDescent="0.25">
      <c r="A948"/>
      <c r="B948"/>
    </row>
    <row r="949" spans="1:2" x14ac:dyDescent="0.25">
      <c r="A949"/>
      <c r="B949"/>
    </row>
    <row r="950" spans="1:2" x14ac:dyDescent="0.25">
      <c r="A950"/>
      <c r="B950"/>
    </row>
    <row r="951" spans="1:2" x14ac:dyDescent="0.25">
      <c r="A951"/>
      <c r="B951"/>
    </row>
    <row r="952" spans="1:2" x14ac:dyDescent="0.25">
      <c r="A952"/>
      <c r="B952"/>
    </row>
    <row r="953" spans="1:2" x14ac:dyDescent="0.25">
      <c r="A953"/>
      <c r="B953"/>
    </row>
    <row r="954" spans="1:2" x14ac:dyDescent="0.25">
      <c r="A954"/>
      <c r="B954"/>
    </row>
    <row r="955" spans="1:2" x14ac:dyDescent="0.25">
      <c r="A955"/>
      <c r="B955"/>
    </row>
    <row r="956" spans="1:2" x14ac:dyDescent="0.25">
      <c r="A956"/>
      <c r="B956"/>
    </row>
    <row r="957" spans="1:2" x14ac:dyDescent="0.25">
      <c r="A957"/>
      <c r="B957"/>
    </row>
    <row r="958" spans="1:2" x14ac:dyDescent="0.25">
      <c r="A958"/>
      <c r="B958"/>
    </row>
    <row r="959" spans="1:2" x14ac:dyDescent="0.25">
      <c r="A959"/>
      <c r="B959"/>
    </row>
    <row r="960" spans="1:2" x14ac:dyDescent="0.25">
      <c r="A960"/>
      <c r="B960"/>
    </row>
    <row r="961" spans="1:2" x14ac:dyDescent="0.25">
      <c r="A961"/>
      <c r="B961"/>
    </row>
    <row r="962" spans="1:2" x14ac:dyDescent="0.25">
      <c r="A962"/>
      <c r="B962"/>
    </row>
    <row r="963" spans="1:2" x14ac:dyDescent="0.25">
      <c r="A963"/>
      <c r="B963"/>
    </row>
    <row r="964" spans="1:2" x14ac:dyDescent="0.25">
      <c r="A964"/>
      <c r="B964"/>
    </row>
    <row r="965" spans="1:2" x14ac:dyDescent="0.25">
      <c r="A965"/>
      <c r="B965"/>
    </row>
    <row r="966" spans="1:2" x14ac:dyDescent="0.25">
      <c r="A966"/>
      <c r="B966"/>
    </row>
    <row r="967" spans="1:2" x14ac:dyDescent="0.25">
      <c r="A967"/>
      <c r="B967"/>
    </row>
    <row r="968" spans="1:2" x14ac:dyDescent="0.25">
      <c r="A968"/>
      <c r="B968"/>
    </row>
    <row r="969" spans="1:2" x14ac:dyDescent="0.25">
      <c r="A969"/>
      <c r="B969"/>
    </row>
    <row r="970" spans="1:2" x14ac:dyDescent="0.25">
      <c r="A970"/>
      <c r="B970"/>
    </row>
    <row r="971" spans="1:2" x14ac:dyDescent="0.25">
      <c r="A971"/>
      <c r="B971"/>
    </row>
    <row r="972" spans="1:2" x14ac:dyDescent="0.25">
      <c r="A972"/>
      <c r="B972"/>
    </row>
    <row r="973" spans="1:2" x14ac:dyDescent="0.25">
      <c r="A973"/>
      <c r="B973"/>
    </row>
    <row r="974" spans="1:2" x14ac:dyDescent="0.25">
      <c r="A974"/>
      <c r="B974"/>
    </row>
    <row r="975" spans="1:2" x14ac:dyDescent="0.25">
      <c r="A975"/>
      <c r="B975"/>
    </row>
    <row r="976" spans="1:2" x14ac:dyDescent="0.25">
      <c r="A976"/>
      <c r="B976"/>
    </row>
    <row r="977" spans="1:2" x14ac:dyDescent="0.25">
      <c r="A977"/>
      <c r="B977"/>
    </row>
    <row r="978" spans="1:2" x14ac:dyDescent="0.25">
      <c r="A978"/>
      <c r="B978"/>
    </row>
    <row r="979" spans="1:2" x14ac:dyDescent="0.25">
      <c r="A979"/>
      <c r="B979"/>
    </row>
    <row r="980" spans="1:2" x14ac:dyDescent="0.25">
      <c r="A980"/>
      <c r="B980"/>
    </row>
    <row r="981" spans="1:2" x14ac:dyDescent="0.25">
      <c r="A981"/>
      <c r="B981"/>
    </row>
    <row r="982" spans="1:2" x14ac:dyDescent="0.25">
      <c r="A982"/>
      <c r="B982"/>
    </row>
    <row r="983" spans="1:2" x14ac:dyDescent="0.25">
      <c r="A983"/>
      <c r="B983"/>
    </row>
    <row r="984" spans="1:2" x14ac:dyDescent="0.25">
      <c r="A984"/>
      <c r="B984"/>
    </row>
    <row r="985" spans="1:2" x14ac:dyDescent="0.25">
      <c r="A985"/>
      <c r="B985"/>
    </row>
    <row r="986" spans="1:2" x14ac:dyDescent="0.25">
      <c r="A986"/>
      <c r="B986"/>
    </row>
    <row r="987" spans="1:2" x14ac:dyDescent="0.25">
      <c r="A987"/>
      <c r="B987"/>
    </row>
    <row r="988" spans="1:2" x14ac:dyDescent="0.25">
      <c r="A988"/>
      <c r="B988"/>
    </row>
    <row r="989" spans="1:2" x14ac:dyDescent="0.25">
      <c r="A989"/>
      <c r="B989"/>
    </row>
    <row r="990" spans="1:2" x14ac:dyDescent="0.25">
      <c r="A990"/>
      <c r="B990"/>
    </row>
    <row r="991" spans="1:2" x14ac:dyDescent="0.25">
      <c r="A991"/>
      <c r="B991"/>
    </row>
    <row r="992" spans="1:2" x14ac:dyDescent="0.25">
      <c r="A992"/>
      <c r="B992"/>
    </row>
    <row r="993" spans="1:2" x14ac:dyDescent="0.25">
      <c r="A993"/>
      <c r="B993"/>
    </row>
    <row r="994" spans="1:2" x14ac:dyDescent="0.25">
      <c r="A994"/>
      <c r="B994"/>
    </row>
    <row r="995" spans="1:2" x14ac:dyDescent="0.25">
      <c r="A995"/>
      <c r="B995"/>
    </row>
    <row r="996" spans="1:2" x14ac:dyDescent="0.25">
      <c r="A996"/>
      <c r="B996"/>
    </row>
    <row r="997" spans="1:2" x14ac:dyDescent="0.25">
      <c r="A997"/>
      <c r="B997"/>
    </row>
    <row r="998" spans="1:2" x14ac:dyDescent="0.25">
      <c r="A998"/>
      <c r="B998"/>
    </row>
    <row r="999" spans="1:2" x14ac:dyDescent="0.25">
      <c r="A999"/>
      <c r="B999"/>
    </row>
    <row r="1000" spans="1:2" x14ac:dyDescent="0.25">
      <c r="A1000"/>
      <c r="B1000"/>
    </row>
    <row r="1001" spans="1:2" x14ac:dyDescent="0.25">
      <c r="A1001"/>
      <c r="B1001"/>
    </row>
    <row r="1002" spans="1:2" x14ac:dyDescent="0.25">
      <c r="A1002"/>
      <c r="B1002"/>
    </row>
    <row r="1003" spans="1:2" x14ac:dyDescent="0.25">
      <c r="A1003"/>
      <c r="B1003"/>
    </row>
    <row r="1004" spans="1:2" x14ac:dyDescent="0.25">
      <c r="A1004"/>
      <c r="B1004"/>
    </row>
    <row r="1005" spans="1:2" x14ac:dyDescent="0.25">
      <c r="A1005"/>
      <c r="B1005"/>
    </row>
    <row r="1006" spans="1:2" x14ac:dyDescent="0.25">
      <c r="A1006"/>
      <c r="B1006"/>
    </row>
    <row r="1007" spans="1:2" x14ac:dyDescent="0.25">
      <c r="A1007"/>
      <c r="B1007"/>
    </row>
    <row r="1008" spans="1:2" x14ac:dyDescent="0.25">
      <c r="A1008"/>
      <c r="B1008"/>
    </row>
    <row r="1009" spans="1:2" x14ac:dyDescent="0.25">
      <c r="A1009"/>
      <c r="B1009"/>
    </row>
    <row r="1010" spans="1:2" x14ac:dyDescent="0.25">
      <c r="A1010"/>
      <c r="B1010"/>
    </row>
    <row r="1011" spans="1:2" x14ac:dyDescent="0.25">
      <c r="A1011"/>
      <c r="B1011"/>
    </row>
    <row r="1012" spans="1:2" x14ac:dyDescent="0.25">
      <c r="A1012"/>
      <c r="B1012"/>
    </row>
    <row r="1013" spans="1:2" x14ac:dyDescent="0.25">
      <c r="A1013"/>
      <c r="B1013"/>
    </row>
    <row r="1014" spans="1:2" x14ac:dyDescent="0.25">
      <c r="A1014"/>
      <c r="B1014"/>
    </row>
    <row r="1015" spans="1:2" x14ac:dyDescent="0.25">
      <c r="A1015"/>
      <c r="B1015"/>
    </row>
    <row r="1016" spans="1:2" x14ac:dyDescent="0.25">
      <c r="A1016"/>
      <c r="B1016"/>
    </row>
    <row r="1017" spans="1:2" x14ac:dyDescent="0.25">
      <c r="A1017"/>
      <c r="B1017"/>
    </row>
    <row r="1018" spans="1:2" x14ac:dyDescent="0.25">
      <c r="A1018"/>
      <c r="B1018"/>
    </row>
    <row r="1019" spans="1:2" x14ac:dyDescent="0.25">
      <c r="A1019"/>
      <c r="B1019"/>
    </row>
    <row r="1020" spans="1:2" x14ac:dyDescent="0.25">
      <c r="A1020"/>
      <c r="B1020"/>
    </row>
    <row r="1021" spans="1:2" x14ac:dyDescent="0.25">
      <c r="A1021"/>
      <c r="B1021"/>
    </row>
    <row r="1022" spans="1:2" x14ac:dyDescent="0.25">
      <c r="A1022"/>
      <c r="B1022"/>
    </row>
    <row r="1023" spans="1:2" x14ac:dyDescent="0.25">
      <c r="A1023"/>
      <c r="B1023"/>
    </row>
    <row r="1024" spans="1:2" x14ac:dyDescent="0.25">
      <c r="A1024"/>
      <c r="B1024"/>
    </row>
    <row r="1025" spans="1:2" x14ac:dyDescent="0.25">
      <c r="A1025"/>
      <c r="B1025"/>
    </row>
    <row r="1026" spans="1:2" x14ac:dyDescent="0.25">
      <c r="A1026"/>
      <c r="B1026"/>
    </row>
    <row r="1027" spans="1:2" x14ac:dyDescent="0.25">
      <c r="A1027"/>
      <c r="B1027"/>
    </row>
    <row r="1028" spans="1:2" x14ac:dyDescent="0.25">
      <c r="A1028"/>
      <c r="B1028"/>
    </row>
    <row r="1029" spans="1:2" x14ac:dyDescent="0.25">
      <c r="A1029"/>
      <c r="B1029"/>
    </row>
    <row r="1030" spans="1:2" x14ac:dyDescent="0.25">
      <c r="A1030"/>
      <c r="B1030"/>
    </row>
    <row r="1031" spans="1:2" x14ac:dyDescent="0.25">
      <c r="A1031"/>
      <c r="B1031"/>
    </row>
    <row r="1032" spans="1:2" x14ac:dyDescent="0.25">
      <c r="A1032"/>
      <c r="B1032"/>
    </row>
    <row r="1033" spans="1:2" x14ac:dyDescent="0.25">
      <c r="A1033"/>
      <c r="B1033"/>
    </row>
    <row r="1034" spans="1:2" x14ac:dyDescent="0.25">
      <c r="A1034"/>
      <c r="B1034"/>
    </row>
    <row r="1035" spans="1:2" x14ac:dyDescent="0.25">
      <c r="A1035"/>
      <c r="B1035"/>
    </row>
    <row r="1036" spans="1:2" x14ac:dyDescent="0.25">
      <c r="A1036"/>
      <c r="B1036"/>
    </row>
    <row r="1037" spans="1:2" x14ac:dyDescent="0.25">
      <c r="A1037"/>
      <c r="B1037"/>
    </row>
    <row r="1038" spans="1:2" x14ac:dyDescent="0.25">
      <c r="A1038"/>
      <c r="B1038"/>
    </row>
    <row r="1039" spans="1:2" x14ac:dyDescent="0.25">
      <c r="A1039"/>
      <c r="B1039"/>
    </row>
    <row r="1040" spans="1:2" x14ac:dyDescent="0.25">
      <c r="A1040"/>
      <c r="B1040"/>
    </row>
    <row r="1041" spans="1:2" x14ac:dyDescent="0.25">
      <c r="A1041"/>
      <c r="B1041"/>
    </row>
    <row r="1042" spans="1:2" x14ac:dyDescent="0.25">
      <c r="A1042"/>
      <c r="B1042"/>
    </row>
    <row r="1043" spans="1:2" x14ac:dyDescent="0.25">
      <c r="A1043"/>
      <c r="B1043"/>
    </row>
    <row r="1044" spans="1:2" x14ac:dyDescent="0.25">
      <c r="A1044"/>
      <c r="B1044"/>
    </row>
    <row r="1045" spans="1:2" x14ac:dyDescent="0.25">
      <c r="A1045"/>
      <c r="B1045"/>
    </row>
    <row r="1046" spans="1:2" x14ac:dyDescent="0.25">
      <c r="A1046"/>
      <c r="B1046"/>
    </row>
    <row r="1047" spans="1:2" x14ac:dyDescent="0.25">
      <c r="A1047"/>
      <c r="B1047"/>
    </row>
    <row r="1048" spans="1:2" x14ac:dyDescent="0.25">
      <c r="A1048"/>
      <c r="B1048"/>
    </row>
    <row r="1049" spans="1:2" x14ac:dyDescent="0.25">
      <c r="A1049"/>
      <c r="B1049"/>
    </row>
    <row r="1050" spans="1:2" x14ac:dyDescent="0.25">
      <c r="A1050"/>
      <c r="B1050"/>
    </row>
    <row r="1051" spans="1:2" x14ac:dyDescent="0.25">
      <c r="A1051"/>
      <c r="B1051"/>
    </row>
    <row r="1052" spans="1:2" x14ac:dyDescent="0.25">
      <c r="A1052"/>
      <c r="B1052"/>
    </row>
    <row r="1053" spans="1:2" x14ac:dyDescent="0.25">
      <c r="A1053"/>
      <c r="B1053"/>
    </row>
    <row r="1054" spans="1:2" x14ac:dyDescent="0.25">
      <c r="A1054"/>
      <c r="B1054"/>
    </row>
    <row r="1055" spans="1:2" x14ac:dyDescent="0.25">
      <c r="A1055"/>
      <c r="B1055"/>
    </row>
    <row r="1056" spans="1:2" x14ac:dyDescent="0.25">
      <c r="A1056"/>
      <c r="B1056"/>
    </row>
    <row r="1057" spans="1:2" x14ac:dyDescent="0.25">
      <c r="A1057"/>
      <c r="B1057"/>
    </row>
    <row r="1058" spans="1:2" x14ac:dyDescent="0.25">
      <c r="A1058"/>
      <c r="B1058"/>
    </row>
    <row r="1059" spans="1:2" x14ac:dyDescent="0.25">
      <c r="A1059"/>
      <c r="B1059"/>
    </row>
    <row r="1060" spans="1:2" x14ac:dyDescent="0.25">
      <c r="A1060"/>
      <c r="B1060"/>
    </row>
    <row r="1061" spans="1:2" x14ac:dyDescent="0.25">
      <c r="A1061"/>
      <c r="B1061"/>
    </row>
    <row r="1062" spans="1:2" x14ac:dyDescent="0.25">
      <c r="A1062"/>
      <c r="B1062"/>
    </row>
    <row r="1063" spans="1:2" x14ac:dyDescent="0.25">
      <c r="A1063"/>
      <c r="B1063"/>
    </row>
    <row r="1064" spans="1:2" x14ac:dyDescent="0.25">
      <c r="A1064"/>
      <c r="B1064"/>
    </row>
    <row r="1065" spans="1:2" x14ac:dyDescent="0.25">
      <c r="A1065"/>
      <c r="B1065"/>
    </row>
    <row r="1066" spans="1:2" x14ac:dyDescent="0.25">
      <c r="A1066"/>
      <c r="B1066"/>
    </row>
    <row r="1067" spans="1:2" x14ac:dyDescent="0.25">
      <c r="A1067"/>
      <c r="B1067"/>
    </row>
    <row r="1068" spans="1:2" x14ac:dyDescent="0.25">
      <c r="A1068"/>
      <c r="B1068"/>
    </row>
    <row r="1069" spans="1:2" x14ac:dyDescent="0.25">
      <c r="A1069"/>
      <c r="B1069"/>
    </row>
    <row r="1070" spans="1:2" x14ac:dyDescent="0.25">
      <c r="A1070"/>
      <c r="B1070"/>
    </row>
    <row r="1071" spans="1:2" x14ac:dyDescent="0.25">
      <c r="A1071"/>
      <c r="B1071"/>
    </row>
    <row r="1072" spans="1:2" x14ac:dyDescent="0.25">
      <c r="A1072"/>
      <c r="B1072"/>
    </row>
    <row r="1073" spans="1:2" x14ac:dyDescent="0.25">
      <c r="A1073"/>
      <c r="B1073"/>
    </row>
    <row r="1074" spans="1:2" x14ac:dyDescent="0.25">
      <c r="A1074"/>
      <c r="B1074"/>
    </row>
    <row r="1075" spans="1:2" x14ac:dyDescent="0.25">
      <c r="A1075"/>
      <c r="B1075"/>
    </row>
    <row r="1076" spans="1:2" x14ac:dyDescent="0.25">
      <c r="A1076"/>
      <c r="B1076"/>
    </row>
    <row r="1077" spans="1:2" x14ac:dyDescent="0.25">
      <c r="A1077"/>
      <c r="B1077"/>
    </row>
    <row r="1078" spans="1:2" x14ac:dyDescent="0.25">
      <c r="A1078"/>
      <c r="B1078"/>
    </row>
    <row r="1079" spans="1:2" x14ac:dyDescent="0.25">
      <c r="A1079"/>
      <c r="B1079"/>
    </row>
    <row r="1080" spans="1:2" x14ac:dyDescent="0.25">
      <c r="A1080"/>
      <c r="B1080"/>
    </row>
    <row r="1081" spans="1:2" x14ac:dyDescent="0.25">
      <c r="A1081"/>
      <c r="B1081"/>
    </row>
    <row r="1082" spans="1:2" x14ac:dyDescent="0.25">
      <c r="A1082"/>
      <c r="B1082"/>
    </row>
    <row r="1083" spans="1:2" x14ac:dyDescent="0.25">
      <c r="A1083"/>
      <c r="B1083"/>
    </row>
    <row r="1084" spans="1:2" x14ac:dyDescent="0.25">
      <c r="A1084"/>
      <c r="B1084"/>
    </row>
    <row r="1085" spans="1:2" x14ac:dyDescent="0.25">
      <c r="A1085"/>
      <c r="B1085"/>
    </row>
    <row r="1086" spans="1:2" x14ac:dyDescent="0.25">
      <c r="A1086"/>
      <c r="B1086"/>
    </row>
    <row r="1087" spans="1:2" x14ac:dyDescent="0.25">
      <c r="A1087"/>
      <c r="B1087"/>
    </row>
    <row r="1088" spans="1:2" x14ac:dyDescent="0.25">
      <c r="A1088"/>
      <c r="B1088"/>
    </row>
    <row r="1089" spans="1:2" x14ac:dyDescent="0.25">
      <c r="A1089"/>
      <c r="B1089"/>
    </row>
    <row r="1090" spans="1:2" x14ac:dyDescent="0.25">
      <c r="A1090"/>
      <c r="B1090"/>
    </row>
    <row r="1091" spans="1:2" x14ac:dyDescent="0.25">
      <c r="A1091"/>
      <c r="B1091"/>
    </row>
    <row r="1092" spans="1:2" x14ac:dyDescent="0.25">
      <c r="A1092"/>
      <c r="B1092"/>
    </row>
    <row r="1093" spans="1:2" x14ac:dyDescent="0.25">
      <c r="A1093"/>
      <c r="B1093"/>
    </row>
    <row r="1094" spans="1:2" x14ac:dyDescent="0.25">
      <c r="A1094"/>
      <c r="B1094"/>
    </row>
    <row r="1095" spans="1:2" x14ac:dyDescent="0.25">
      <c r="A1095"/>
      <c r="B1095"/>
    </row>
    <row r="1096" spans="1:2" x14ac:dyDescent="0.25">
      <c r="A1096"/>
      <c r="B1096"/>
    </row>
    <row r="1097" spans="1:2" x14ac:dyDescent="0.25">
      <c r="A1097"/>
      <c r="B1097"/>
    </row>
    <row r="1098" spans="1:2" x14ac:dyDescent="0.25">
      <c r="A1098"/>
      <c r="B1098"/>
    </row>
    <row r="1099" spans="1:2" x14ac:dyDescent="0.25">
      <c r="A1099"/>
      <c r="B1099"/>
    </row>
    <row r="1100" spans="1:2" x14ac:dyDescent="0.25">
      <c r="A1100"/>
      <c r="B1100"/>
    </row>
    <row r="1101" spans="1:2" x14ac:dyDescent="0.25">
      <c r="A1101"/>
      <c r="B1101"/>
    </row>
    <row r="1102" spans="1:2" x14ac:dyDescent="0.25">
      <c r="A1102"/>
      <c r="B1102"/>
    </row>
    <row r="1103" spans="1:2" x14ac:dyDescent="0.25">
      <c r="A1103"/>
      <c r="B1103"/>
    </row>
    <row r="1104" spans="1:2" x14ac:dyDescent="0.25">
      <c r="A1104"/>
      <c r="B1104"/>
    </row>
    <row r="1105" spans="1:2" x14ac:dyDescent="0.25">
      <c r="A1105"/>
      <c r="B1105"/>
    </row>
    <row r="1106" spans="1:2" x14ac:dyDescent="0.25">
      <c r="A1106"/>
      <c r="B1106"/>
    </row>
    <row r="1107" spans="1:2" x14ac:dyDescent="0.25">
      <c r="A1107"/>
      <c r="B1107"/>
    </row>
    <row r="1108" spans="1:2" x14ac:dyDescent="0.25">
      <c r="A1108"/>
      <c r="B1108"/>
    </row>
    <row r="1109" spans="1:2" x14ac:dyDescent="0.25">
      <c r="A1109"/>
      <c r="B1109"/>
    </row>
    <row r="1110" spans="1:2" x14ac:dyDescent="0.25">
      <c r="A1110"/>
      <c r="B1110"/>
    </row>
    <row r="1111" spans="1:2" x14ac:dyDescent="0.25">
      <c r="A1111"/>
      <c r="B1111"/>
    </row>
    <row r="1112" spans="1:2" x14ac:dyDescent="0.25">
      <c r="A1112"/>
      <c r="B1112"/>
    </row>
    <row r="1113" spans="1:2" x14ac:dyDescent="0.25">
      <c r="A1113"/>
      <c r="B1113"/>
    </row>
    <row r="1114" spans="1:2" x14ac:dyDescent="0.25">
      <c r="A1114"/>
      <c r="B1114"/>
    </row>
    <row r="1115" spans="1:2" x14ac:dyDescent="0.25">
      <c r="A1115"/>
      <c r="B1115"/>
    </row>
    <row r="1116" spans="1:2" x14ac:dyDescent="0.25">
      <c r="A1116"/>
      <c r="B1116"/>
    </row>
    <row r="1117" spans="1:2" x14ac:dyDescent="0.25">
      <c r="A1117"/>
      <c r="B1117"/>
    </row>
    <row r="1118" spans="1:2" x14ac:dyDescent="0.25">
      <c r="A1118"/>
      <c r="B1118"/>
    </row>
    <row r="1119" spans="1:2" x14ac:dyDescent="0.25">
      <c r="A1119"/>
      <c r="B1119"/>
    </row>
    <row r="1120" spans="1:2" x14ac:dyDescent="0.25">
      <c r="A1120"/>
      <c r="B1120"/>
    </row>
    <row r="1121" spans="1:2" x14ac:dyDescent="0.25">
      <c r="A1121"/>
      <c r="B1121"/>
    </row>
    <row r="1122" spans="1:2" x14ac:dyDescent="0.25">
      <c r="A1122"/>
      <c r="B1122"/>
    </row>
    <row r="1123" spans="1:2" x14ac:dyDescent="0.25">
      <c r="A1123"/>
      <c r="B1123"/>
    </row>
    <row r="1124" spans="1:2" x14ac:dyDescent="0.25">
      <c r="A1124"/>
      <c r="B1124"/>
    </row>
    <row r="1125" spans="1:2" x14ac:dyDescent="0.25">
      <c r="A1125"/>
      <c r="B1125"/>
    </row>
    <row r="1126" spans="1:2" x14ac:dyDescent="0.25">
      <c r="A1126"/>
      <c r="B1126"/>
    </row>
    <row r="1127" spans="1:2" x14ac:dyDescent="0.25">
      <c r="A1127"/>
      <c r="B1127"/>
    </row>
    <row r="1128" spans="1:2" x14ac:dyDescent="0.25">
      <c r="A1128"/>
      <c r="B1128"/>
    </row>
    <row r="1129" spans="1:2" x14ac:dyDescent="0.25">
      <c r="A1129"/>
      <c r="B1129"/>
    </row>
    <row r="1130" spans="1:2" x14ac:dyDescent="0.25">
      <c r="A1130"/>
      <c r="B1130"/>
    </row>
    <row r="1131" spans="1:2" x14ac:dyDescent="0.25">
      <c r="A1131"/>
      <c r="B1131"/>
    </row>
    <row r="1132" spans="1:2" x14ac:dyDescent="0.25">
      <c r="A1132"/>
      <c r="B1132"/>
    </row>
    <row r="1133" spans="1:2" x14ac:dyDescent="0.25">
      <c r="A1133"/>
      <c r="B1133"/>
    </row>
    <row r="1134" spans="1:2" x14ac:dyDescent="0.25">
      <c r="A1134"/>
      <c r="B1134"/>
    </row>
    <row r="1135" spans="1:2" x14ac:dyDescent="0.25">
      <c r="A1135"/>
      <c r="B1135"/>
    </row>
    <row r="1136" spans="1:2" x14ac:dyDescent="0.25">
      <c r="A1136"/>
      <c r="B1136"/>
    </row>
    <row r="1137" spans="1:2" x14ac:dyDescent="0.25">
      <c r="A1137"/>
      <c r="B1137"/>
    </row>
    <row r="1138" spans="1:2" x14ac:dyDescent="0.25">
      <c r="A1138"/>
      <c r="B1138"/>
    </row>
    <row r="1139" spans="1:2" x14ac:dyDescent="0.25">
      <c r="A1139"/>
      <c r="B1139"/>
    </row>
    <row r="1140" spans="1:2" x14ac:dyDescent="0.25">
      <c r="A1140"/>
      <c r="B1140"/>
    </row>
    <row r="1141" spans="1:2" x14ac:dyDescent="0.25">
      <c r="A1141"/>
      <c r="B1141"/>
    </row>
    <row r="1142" spans="1:2" x14ac:dyDescent="0.25">
      <c r="A1142"/>
      <c r="B1142"/>
    </row>
    <row r="1143" spans="1:2" x14ac:dyDescent="0.25">
      <c r="A1143"/>
      <c r="B1143"/>
    </row>
    <row r="1144" spans="1:2" x14ac:dyDescent="0.25">
      <c r="A1144"/>
      <c r="B1144"/>
    </row>
    <row r="1145" spans="1:2" x14ac:dyDescent="0.25">
      <c r="A1145"/>
      <c r="B1145"/>
    </row>
    <row r="1146" spans="1:2" x14ac:dyDescent="0.25">
      <c r="A1146"/>
      <c r="B1146"/>
    </row>
    <row r="1147" spans="1:2" x14ac:dyDescent="0.25">
      <c r="A1147"/>
      <c r="B1147"/>
    </row>
    <row r="1148" spans="1:2" x14ac:dyDescent="0.25">
      <c r="A1148"/>
      <c r="B1148"/>
    </row>
    <row r="1149" spans="1:2" x14ac:dyDescent="0.25">
      <c r="A1149"/>
      <c r="B1149"/>
    </row>
    <row r="1150" spans="1:2" x14ac:dyDescent="0.25">
      <c r="A1150"/>
      <c r="B1150"/>
    </row>
    <row r="1151" spans="1:2" x14ac:dyDescent="0.25">
      <c r="A1151"/>
      <c r="B1151"/>
    </row>
    <row r="1152" spans="1:2" x14ac:dyDescent="0.25">
      <c r="A1152"/>
      <c r="B1152"/>
    </row>
    <row r="1153" spans="1:2" x14ac:dyDescent="0.25">
      <c r="A1153"/>
      <c r="B1153"/>
    </row>
    <row r="1154" spans="1:2" x14ac:dyDescent="0.25">
      <c r="A1154"/>
      <c r="B1154"/>
    </row>
    <row r="1155" spans="1:2" x14ac:dyDescent="0.25">
      <c r="A1155"/>
      <c r="B1155"/>
    </row>
    <row r="1156" spans="1:2" x14ac:dyDescent="0.25">
      <c r="A1156"/>
      <c r="B1156"/>
    </row>
    <row r="1157" spans="1:2" x14ac:dyDescent="0.25">
      <c r="A1157"/>
      <c r="B1157"/>
    </row>
    <row r="1158" spans="1:2" x14ac:dyDescent="0.25">
      <c r="A1158"/>
      <c r="B1158"/>
    </row>
    <row r="1159" spans="1:2" x14ac:dyDescent="0.25">
      <c r="A1159"/>
      <c r="B1159"/>
    </row>
    <row r="1160" spans="1:2" x14ac:dyDescent="0.25">
      <c r="A1160"/>
      <c r="B1160"/>
    </row>
    <row r="1161" spans="1:2" x14ac:dyDescent="0.25">
      <c r="A1161"/>
      <c r="B1161"/>
    </row>
    <row r="1162" spans="1:2" x14ac:dyDescent="0.25">
      <c r="A1162"/>
      <c r="B1162"/>
    </row>
    <row r="1163" spans="1:2" x14ac:dyDescent="0.25">
      <c r="A1163"/>
      <c r="B1163"/>
    </row>
    <row r="1164" spans="1:2" x14ac:dyDescent="0.25">
      <c r="A1164"/>
      <c r="B1164"/>
    </row>
    <row r="1165" spans="1:2" x14ac:dyDescent="0.25">
      <c r="A1165"/>
      <c r="B1165"/>
    </row>
    <row r="1166" spans="1:2" x14ac:dyDescent="0.25">
      <c r="A1166"/>
      <c r="B1166"/>
    </row>
    <row r="1167" spans="1:2" x14ac:dyDescent="0.25">
      <c r="A1167"/>
      <c r="B1167"/>
    </row>
    <row r="1168" spans="1:2" x14ac:dyDescent="0.25">
      <c r="A1168"/>
      <c r="B1168"/>
    </row>
    <row r="1169" spans="1:2" x14ac:dyDescent="0.25">
      <c r="A1169"/>
      <c r="B1169"/>
    </row>
    <row r="1170" spans="1:2" x14ac:dyDescent="0.25">
      <c r="A1170"/>
      <c r="B1170"/>
    </row>
    <row r="1171" spans="1:2" x14ac:dyDescent="0.25">
      <c r="A1171"/>
      <c r="B1171"/>
    </row>
    <row r="1172" spans="1:2" x14ac:dyDescent="0.25">
      <c r="A1172"/>
      <c r="B1172"/>
    </row>
    <row r="1173" spans="1:2" x14ac:dyDescent="0.25">
      <c r="A1173"/>
      <c r="B1173"/>
    </row>
    <row r="1174" spans="1:2" x14ac:dyDescent="0.25">
      <c r="A1174"/>
      <c r="B1174"/>
    </row>
    <row r="1175" spans="1:2" x14ac:dyDescent="0.25">
      <c r="A1175"/>
      <c r="B1175"/>
    </row>
    <row r="1176" spans="1:2" x14ac:dyDescent="0.25">
      <c r="A1176"/>
      <c r="B1176"/>
    </row>
    <row r="1177" spans="1:2" x14ac:dyDescent="0.25">
      <c r="A1177"/>
      <c r="B1177"/>
    </row>
    <row r="1178" spans="1:2" x14ac:dyDescent="0.25">
      <c r="A1178"/>
      <c r="B1178"/>
    </row>
    <row r="1179" spans="1:2" x14ac:dyDescent="0.25">
      <c r="A1179"/>
      <c r="B1179"/>
    </row>
    <row r="1180" spans="1:2" x14ac:dyDescent="0.25">
      <c r="A1180"/>
      <c r="B1180"/>
    </row>
    <row r="1181" spans="1:2" x14ac:dyDescent="0.25">
      <c r="A1181"/>
      <c r="B1181"/>
    </row>
    <row r="1182" spans="1:2" x14ac:dyDescent="0.25">
      <c r="A1182"/>
      <c r="B1182"/>
    </row>
    <row r="1183" spans="1:2" x14ac:dyDescent="0.25">
      <c r="A1183"/>
      <c r="B1183"/>
    </row>
    <row r="1184" spans="1:2" x14ac:dyDescent="0.25">
      <c r="A1184"/>
      <c r="B1184"/>
    </row>
    <row r="1185" spans="1:2" x14ac:dyDescent="0.25">
      <c r="A1185"/>
      <c r="B1185"/>
    </row>
    <row r="1186" spans="1:2" x14ac:dyDescent="0.25">
      <c r="A1186"/>
      <c r="B1186"/>
    </row>
    <row r="1187" spans="1:2" x14ac:dyDescent="0.25">
      <c r="A1187"/>
      <c r="B1187"/>
    </row>
    <row r="1188" spans="1:2" x14ac:dyDescent="0.25">
      <c r="A1188"/>
      <c r="B1188"/>
    </row>
    <row r="1189" spans="1:2" x14ac:dyDescent="0.25">
      <c r="A1189"/>
      <c r="B1189"/>
    </row>
    <row r="1190" spans="1:2" x14ac:dyDescent="0.25">
      <c r="A1190"/>
      <c r="B1190"/>
    </row>
    <row r="1191" spans="1:2" x14ac:dyDescent="0.25">
      <c r="A1191"/>
      <c r="B1191"/>
    </row>
    <row r="1192" spans="1:2" x14ac:dyDescent="0.25">
      <c r="A1192"/>
      <c r="B1192"/>
    </row>
    <row r="1193" spans="1:2" x14ac:dyDescent="0.25">
      <c r="A1193"/>
      <c r="B1193"/>
    </row>
    <row r="1194" spans="1:2" x14ac:dyDescent="0.25">
      <c r="A1194"/>
      <c r="B1194"/>
    </row>
    <row r="1195" spans="1:2" x14ac:dyDescent="0.25">
      <c r="A1195"/>
      <c r="B1195"/>
    </row>
    <row r="1196" spans="1:2" x14ac:dyDescent="0.25">
      <c r="A1196"/>
      <c r="B1196"/>
    </row>
    <row r="1197" spans="1:2" x14ac:dyDescent="0.25">
      <c r="A1197"/>
      <c r="B1197"/>
    </row>
    <row r="1198" spans="1:2" x14ac:dyDescent="0.25">
      <c r="A1198"/>
      <c r="B1198"/>
    </row>
    <row r="1199" spans="1:2" x14ac:dyDescent="0.25">
      <c r="A1199"/>
      <c r="B1199"/>
    </row>
    <row r="1200" spans="1:2" x14ac:dyDescent="0.25">
      <c r="A1200"/>
      <c r="B1200"/>
    </row>
    <row r="1201" spans="1:2" x14ac:dyDescent="0.25">
      <c r="A1201"/>
      <c r="B1201"/>
    </row>
    <row r="1202" spans="1:2" x14ac:dyDescent="0.25">
      <c r="A1202"/>
      <c r="B1202"/>
    </row>
    <row r="1203" spans="1:2" x14ac:dyDescent="0.25">
      <c r="A1203"/>
      <c r="B1203"/>
    </row>
    <row r="1204" spans="1:2" x14ac:dyDescent="0.25">
      <c r="A1204"/>
      <c r="B1204"/>
    </row>
    <row r="1205" spans="1:2" x14ac:dyDescent="0.25">
      <c r="A1205"/>
      <c r="B1205"/>
    </row>
    <row r="1206" spans="1:2" x14ac:dyDescent="0.25">
      <c r="A1206"/>
      <c r="B1206"/>
    </row>
    <row r="1207" spans="1:2" x14ac:dyDescent="0.25">
      <c r="A1207"/>
      <c r="B1207"/>
    </row>
    <row r="1208" spans="1:2" x14ac:dyDescent="0.25">
      <c r="A1208"/>
      <c r="B1208"/>
    </row>
    <row r="1209" spans="1:2" x14ac:dyDescent="0.25">
      <c r="A1209"/>
      <c r="B1209"/>
    </row>
    <row r="1210" spans="1:2" x14ac:dyDescent="0.25">
      <c r="A1210"/>
      <c r="B1210"/>
    </row>
    <row r="1211" spans="1:2" x14ac:dyDescent="0.25">
      <c r="A1211"/>
      <c r="B1211"/>
    </row>
    <row r="1212" spans="1:2" x14ac:dyDescent="0.25">
      <c r="A1212"/>
      <c r="B1212"/>
    </row>
    <row r="1213" spans="1:2" x14ac:dyDescent="0.25">
      <c r="A1213"/>
      <c r="B1213"/>
    </row>
    <row r="1214" spans="1:2" x14ac:dyDescent="0.25">
      <c r="A1214"/>
      <c r="B1214"/>
    </row>
    <row r="1215" spans="1:2" x14ac:dyDescent="0.25">
      <c r="A1215"/>
      <c r="B1215"/>
    </row>
    <row r="1216" spans="1:2" x14ac:dyDescent="0.25">
      <c r="A1216"/>
      <c r="B1216"/>
    </row>
    <row r="1217" spans="1:2" x14ac:dyDescent="0.25">
      <c r="A1217"/>
      <c r="B1217"/>
    </row>
    <row r="1218" spans="1:2" x14ac:dyDescent="0.25">
      <c r="A1218"/>
      <c r="B1218"/>
    </row>
    <row r="1219" spans="1:2" x14ac:dyDescent="0.25">
      <c r="A1219"/>
      <c r="B1219"/>
    </row>
    <row r="1220" spans="1:2" x14ac:dyDescent="0.25">
      <c r="A1220"/>
      <c r="B1220"/>
    </row>
    <row r="1221" spans="1:2" x14ac:dyDescent="0.25">
      <c r="A1221"/>
      <c r="B1221"/>
    </row>
    <row r="1222" spans="1:2" x14ac:dyDescent="0.25">
      <c r="A1222"/>
      <c r="B1222"/>
    </row>
    <row r="1223" spans="1:2" x14ac:dyDescent="0.25">
      <c r="A1223"/>
      <c r="B1223"/>
    </row>
    <row r="1224" spans="1:2" x14ac:dyDescent="0.25">
      <c r="A1224"/>
      <c r="B1224"/>
    </row>
    <row r="1225" spans="1:2" x14ac:dyDescent="0.25">
      <c r="A1225"/>
      <c r="B1225"/>
    </row>
    <row r="1226" spans="1:2" x14ac:dyDescent="0.25">
      <c r="A1226"/>
      <c r="B1226"/>
    </row>
    <row r="1227" spans="1:2" x14ac:dyDescent="0.25">
      <c r="A1227"/>
      <c r="B1227"/>
    </row>
    <row r="1228" spans="1:2" x14ac:dyDescent="0.25">
      <c r="A1228"/>
      <c r="B1228"/>
    </row>
    <row r="1229" spans="1:2" x14ac:dyDescent="0.25">
      <c r="A1229"/>
      <c r="B1229"/>
    </row>
    <row r="1230" spans="1:2" x14ac:dyDescent="0.25">
      <c r="A1230"/>
      <c r="B1230"/>
    </row>
    <row r="1231" spans="1:2" x14ac:dyDescent="0.25">
      <c r="A1231"/>
      <c r="B1231"/>
    </row>
    <row r="1232" spans="1:2" x14ac:dyDescent="0.25">
      <c r="A1232"/>
      <c r="B1232"/>
    </row>
    <row r="1233" spans="1:2" x14ac:dyDescent="0.25">
      <c r="A1233"/>
      <c r="B1233"/>
    </row>
    <row r="1234" spans="1:2" x14ac:dyDescent="0.25">
      <c r="A1234"/>
      <c r="B1234"/>
    </row>
    <row r="1235" spans="1:2" x14ac:dyDescent="0.25">
      <c r="A1235"/>
      <c r="B1235"/>
    </row>
    <row r="1236" spans="1:2" x14ac:dyDescent="0.25">
      <c r="A1236"/>
      <c r="B1236"/>
    </row>
    <row r="1237" spans="1:2" x14ac:dyDescent="0.25">
      <c r="A1237"/>
      <c r="B1237"/>
    </row>
    <row r="1238" spans="1:2" x14ac:dyDescent="0.25">
      <c r="A1238"/>
      <c r="B1238"/>
    </row>
    <row r="1239" spans="1:2" x14ac:dyDescent="0.25">
      <c r="A1239"/>
      <c r="B1239"/>
    </row>
    <row r="1240" spans="1:2" x14ac:dyDescent="0.25">
      <c r="A1240"/>
      <c r="B1240"/>
    </row>
    <row r="1241" spans="1:2" x14ac:dyDescent="0.25">
      <c r="A1241"/>
      <c r="B1241"/>
    </row>
    <row r="1242" spans="1:2" x14ac:dyDescent="0.25">
      <c r="A1242"/>
      <c r="B1242"/>
    </row>
    <row r="1243" spans="1:2" x14ac:dyDescent="0.25">
      <c r="A1243"/>
      <c r="B1243"/>
    </row>
    <row r="1244" spans="1:2" x14ac:dyDescent="0.25">
      <c r="A1244"/>
      <c r="B1244"/>
    </row>
    <row r="1245" spans="1:2" x14ac:dyDescent="0.25">
      <c r="A1245"/>
      <c r="B1245"/>
    </row>
    <row r="1246" spans="1:2" x14ac:dyDescent="0.25">
      <c r="A1246"/>
      <c r="B1246"/>
    </row>
    <row r="1247" spans="1:2" x14ac:dyDescent="0.25">
      <c r="A1247"/>
      <c r="B1247"/>
    </row>
    <row r="1248" spans="1:2" x14ac:dyDescent="0.25">
      <c r="A1248"/>
      <c r="B1248"/>
    </row>
    <row r="1249" spans="1:2" x14ac:dyDescent="0.25">
      <c r="A1249"/>
      <c r="B1249"/>
    </row>
    <row r="1250" spans="1:2" x14ac:dyDescent="0.25">
      <c r="A1250"/>
      <c r="B1250"/>
    </row>
    <row r="1251" spans="1:2" x14ac:dyDescent="0.25">
      <c r="A1251"/>
      <c r="B1251"/>
    </row>
    <row r="1252" spans="1:2" x14ac:dyDescent="0.25">
      <c r="A1252"/>
      <c r="B1252"/>
    </row>
    <row r="1253" spans="1:2" x14ac:dyDescent="0.25">
      <c r="A1253"/>
      <c r="B1253"/>
    </row>
    <row r="1254" spans="1:2" x14ac:dyDescent="0.25">
      <c r="A1254"/>
      <c r="B1254"/>
    </row>
    <row r="1255" spans="1:2" x14ac:dyDescent="0.25">
      <c r="A1255"/>
      <c r="B1255"/>
    </row>
    <row r="1256" spans="1:2" x14ac:dyDescent="0.25">
      <c r="A1256"/>
      <c r="B1256"/>
    </row>
    <row r="1257" spans="1:2" x14ac:dyDescent="0.25">
      <c r="A1257"/>
      <c r="B1257"/>
    </row>
    <row r="1258" spans="1:2" x14ac:dyDescent="0.25">
      <c r="A1258"/>
      <c r="B1258"/>
    </row>
    <row r="1259" spans="1:2" x14ac:dyDescent="0.25">
      <c r="A1259"/>
      <c r="B1259"/>
    </row>
    <row r="1260" spans="1:2" x14ac:dyDescent="0.25">
      <c r="A1260"/>
      <c r="B1260"/>
    </row>
    <row r="1261" spans="1:2" x14ac:dyDescent="0.25">
      <c r="A1261"/>
      <c r="B1261"/>
    </row>
    <row r="1262" spans="1:2" x14ac:dyDescent="0.25">
      <c r="A1262"/>
      <c r="B1262"/>
    </row>
    <row r="1263" spans="1:2" x14ac:dyDescent="0.25">
      <c r="A1263"/>
      <c r="B1263"/>
    </row>
    <row r="1264" spans="1:2" x14ac:dyDescent="0.25">
      <c r="A1264"/>
      <c r="B1264"/>
    </row>
    <row r="1265" spans="1:2" x14ac:dyDescent="0.25">
      <c r="A1265"/>
      <c r="B1265"/>
    </row>
    <row r="1266" spans="1:2" x14ac:dyDescent="0.25">
      <c r="A1266"/>
      <c r="B1266"/>
    </row>
    <row r="1267" spans="1:2" x14ac:dyDescent="0.25">
      <c r="A1267"/>
      <c r="B1267"/>
    </row>
    <row r="1268" spans="1:2" x14ac:dyDescent="0.25">
      <c r="A1268"/>
      <c r="B1268"/>
    </row>
    <row r="1269" spans="1:2" x14ac:dyDescent="0.25">
      <c r="A1269"/>
      <c r="B1269"/>
    </row>
    <row r="1270" spans="1:2" x14ac:dyDescent="0.25">
      <c r="A1270"/>
      <c r="B1270"/>
    </row>
    <row r="1271" spans="1:2" x14ac:dyDescent="0.25">
      <c r="A1271"/>
      <c r="B1271"/>
    </row>
    <row r="1272" spans="1:2" x14ac:dyDescent="0.25">
      <c r="A1272"/>
      <c r="B1272"/>
    </row>
    <row r="1273" spans="1:2" x14ac:dyDescent="0.25">
      <c r="A1273"/>
      <c r="B1273"/>
    </row>
    <row r="1274" spans="1:2" x14ac:dyDescent="0.25">
      <c r="A1274"/>
      <c r="B1274"/>
    </row>
    <row r="1275" spans="1:2" x14ac:dyDescent="0.25">
      <c r="A1275"/>
      <c r="B1275"/>
    </row>
    <row r="1276" spans="1:2" x14ac:dyDescent="0.25">
      <c r="A1276"/>
      <c r="B1276"/>
    </row>
    <row r="1277" spans="1:2" x14ac:dyDescent="0.25">
      <c r="A1277"/>
      <c r="B1277"/>
    </row>
    <row r="1278" spans="1:2" x14ac:dyDescent="0.25">
      <c r="A1278"/>
      <c r="B1278"/>
    </row>
    <row r="1279" spans="1:2" x14ac:dyDescent="0.25">
      <c r="A1279"/>
      <c r="B1279"/>
    </row>
    <row r="1280" spans="1:2" x14ac:dyDescent="0.25">
      <c r="A1280"/>
      <c r="B1280"/>
    </row>
    <row r="1281" spans="1:2" x14ac:dyDescent="0.25">
      <c r="A1281"/>
      <c r="B1281"/>
    </row>
    <row r="1282" spans="1:2" x14ac:dyDescent="0.25">
      <c r="A1282"/>
      <c r="B1282"/>
    </row>
    <row r="1283" spans="1:2" x14ac:dyDescent="0.25">
      <c r="A1283"/>
      <c r="B1283"/>
    </row>
    <row r="1284" spans="1:2" x14ac:dyDescent="0.25">
      <c r="A1284"/>
      <c r="B1284"/>
    </row>
    <row r="1285" spans="1:2" x14ac:dyDescent="0.25">
      <c r="A1285"/>
      <c r="B1285"/>
    </row>
    <row r="1286" spans="1:2" x14ac:dyDescent="0.25">
      <c r="A1286"/>
      <c r="B1286"/>
    </row>
    <row r="1287" spans="1:2" x14ac:dyDescent="0.25">
      <c r="A1287"/>
      <c r="B1287"/>
    </row>
    <row r="1288" spans="1:2" x14ac:dyDescent="0.25">
      <c r="A1288"/>
      <c r="B1288"/>
    </row>
    <row r="1289" spans="1:2" x14ac:dyDescent="0.25">
      <c r="A1289"/>
      <c r="B1289"/>
    </row>
    <row r="1290" spans="1:2" x14ac:dyDescent="0.25">
      <c r="A1290"/>
      <c r="B1290"/>
    </row>
    <row r="1291" spans="1:2" x14ac:dyDescent="0.25">
      <c r="A1291"/>
      <c r="B1291"/>
    </row>
    <row r="1292" spans="1:2" x14ac:dyDescent="0.25">
      <c r="A1292"/>
      <c r="B1292"/>
    </row>
    <row r="1293" spans="1:2" x14ac:dyDescent="0.25">
      <c r="A1293"/>
      <c r="B1293"/>
    </row>
    <row r="1294" spans="1:2" x14ac:dyDescent="0.25">
      <c r="A1294"/>
      <c r="B1294"/>
    </row>
    <row r="1295" spans="1:2" x14ac:dyDescent="0.25">
      <c r="A1295"/>
      <c r="B1295"/>
    </row>
    <row r="1296" spans="1:2" x14ac:dyDescent="0.25">
      <c r="A1296"/>
      <c r="B1296"/>
    </row>
    <row r="1297" spans="1:2" x14ac:dyDescent="0.25">
      <c r="A1297"/>
      <c r="B1297"/>
    </row>
    <row r="1298" spans="1:2" x14ac:dyDescent="0.25">
      <c r="A1298"/>
      <c r="B1298"/>
    </row>
    <row r="1299" spans="1:2" x14ac:dyDescent="0.25">
      <c r="A1299"/>
      <c r="B1299"/>
    </row>
    <row r="1300" spans="1:2" x14ac:dyDescent="0.25">
      <c r="A1300"/>
      <c r="B1300"/>
    </row>
    <row r="1301" spans="1:2" x14ac:dyDescent="0.25">
      <c r="A1301"/>
      <c r="B1301"/>
    </row>
    <row r="1302" spans="1:2" x14ac:dyDescent="0.25">
      <c r="A1302"/>
      <c r="B1302"/>
    </row>
    <row r="1303" spans="1:2" x14ac:dyDescent="0.25">
      <c r="A1303"/>
      <c r="B1303"/>
    </row>
    <row r="1304" spans="1:2" x14ac:dyDescent="0.25">
      <c r="A1304"/>
      <c r="B1304"/>
    </row>
    <row r="1305" spans="1:2" x14ac:dyDescent="0.25">
      <c r="A1305"/>
      <c r="B1305"/>
    </row>
    <row r="1306" spans="1:2" x14ac:dyDescent="0.25">
      <c r="A1306"/>
      <c r="B1306"/>
    </row>
    <row r="1307" spans="1:2" x14ac:dyDescent="0.25">
      <c r="A1307"/>
      <c r="B1307"/>
    </row>
    <row r="1308" spans="1:2" x14ac:dyDescent="0.25">
      <c r="A1308"/>
      <c r="B1308"/>
    </row>
    <row r="1309" spans="1:2" x14ac:dyDescent="0.25">
      <c r="A1309"/>
      <c r="B1309"/>
    </row>
    <row r="1310" spans="1:2" x14ac:dyDescent="0.25">
      <c r="A1310"/>
      <c r="B1310"/>
    </row>
    <row r="1311" spans="1:2" x14ac:dyDescent="0.25">
      <c r="A1311"/>
      <c r="B1311"/>
    </row>
    <row r="1312" spans="1:2" x14ac:dyDescent="0.25">
      <c r="A1312"/>
      <c r="B1312"/>
    </row>
    <row r="1313" spans="1:2" x14ac:dyDescent="0.25">
      <c r="A1313"/>
      <c r="B1313"/>
    </row>
    <row r="1314" spans="1:2" x14ac:dyDescent="0.25">
      <c r="A1314"/>
      <c r="B1314"/>
    </row>
    <row r="1315" spans="1:2" x14ac:dyDescent="0.25">
      <c r="A1315"/>
      <c r="B1315"/>
    </row>
    <row r="1316" spans="1:2" x14ac:dyDescent="0.25">
      <c r="A1316"/>
      <c r="B1316"/>
    </row>
    <row r="1317" spans="1:2" x14ac:dyDescent="0.25">
      <c r="A1317"/>
      <c r="B1317"/>
    </row>
    <row r="1318" spans="1:2" x14ac:dyDescent="0.25">
      <c r="A1318"/>
      <c r="B1318"/>
    </row>
    <row r="1319" spans="1:2" x14ac:dyDescent="0.25">
      <c r="A1319"/>
      <c r="B1319"/>
    </row>
    <row r="1320" spans="1:2" x14ac:dyDescent="0.25">
      <c r="A1320"/>
      <c r="B1320"/>
    </row>
    <row r="1321" spans="1:2" x14ac:dyDescent="0.25">
      <c r="A1321"/>
      <c r="B1321"/>
    </row>
    <row r="1322" spans="1:2" x14ac:dyDescent="0.25">
      <c r="A1322"/>
      <c r="B1322"/>
    </row>
    <row r="1323" spans="1:2" x14ac:dyDescent="0.25">
      <c r="A1323"/>
      <c r="B1323"/>
    </row>
    <row r="1324" spans="1:2" x14ac:dyDescent="0.25">
      <c r="A1324"/>
      <c r="B1324"/>
    </row>
    <row r="1325" spans="1:2" x14ac:dyDescent="0.25">
      <c r="A1325"/>
      <c r="B1325"/>
    </row>
    <row r="1326" spans="1:2" x14ac:dyDescent="0.25">
      <c r="A1326"/>
      <c r="B1326"/>
    </row>
    <row r="1327" spans="1:2" x14ac:dyDescent="0.25">
      <c r="A1327"/>
      <c r="B1327"/>
    </row>
    <row r="1328" spans="1:2" x14ac:dyDescent="0.25">
      <c r="A1328"/>
      <c r="B1328"/>
    </row>
    <row r="1329" spans="1:2" x14ac:dyDescent="0.25">
      <c r="A1329"/>
      <c r="B1329"/>
    </row>
    <row r="1330" spans="1:2" x14ac:dyDescent="0.25">
      <c r="A1330"/>
      <c r="B1330"/>
    </row>
    <row r="1331" spans="1:2" x14ac:dyDescent="0.25">
      <c r="A1331"/>
      <c r="B1331"/>
    </row>
    <row r="1332" spans="1:2" x14ac:dyDescent="0.25">
      <c r="A1332"/>
      <c r="B1332"/>
    </row>
    <row r="1333" spans="1:2" x14ac:dyDescent="0.25">
      <c r="A1333"/>
      <c r="B1333"/>
    </row>
    <row r="1334" spans="1:2" x14ac:dyDescent="0.25">
      <c r="A1334"/>
      <c r="B1334"/>
    </row>
    <row r="1335" spans="1:2" x14ac:dyDescent="0.25">
      <c r="A1335"/>
      <c r="B1335"/>
    </row>
    <row r="1336" spans="1:2" x14ac:dyDescent="0.25">
      <c r="A1336"/>
      <c r="B1336"/>
    </row>
    <row r="1337" spans="1:2" x14ac:dyDescent="0.25">
      <c r="A1337"/>
      <c r="B1337"/>
    </row>
    <row r="1338" spans="1:2" x14ac:dyDescent="0.25">
      <c r="A1338"/>
      <c r="B1338"/>
    </row>
    <row r="1339" spans="1:2" x14ac:dyDescent="0.25">
      <c r="A1339"/>
      <c r="B1339"/>
    </row>
    <row r="1340" spans="1:2" x14ac:dyDescent="0.25">
      <c r="A1340"/>
      <c r="B1340"/>
    </row>
    <row r="1341" spans="1:2" x14ac:dyDescent="0.25">
      <c r="A1341"/>
      <c r="B1341"/>
    </row>
    <row r="1342" spans="1:2" x14ac:dyDescent="0.25">
      <c r="A1342"/>
      <c r="B1342"/>
    </row>
    <row r="1343" spans="1:2" x14ac:dyDescent="0.25">
      <c r="A1343"/>
      <c r="B1343"/>
    </row>
    <row r="1344" spans="1:2" x14ac:dyDescent="0.25">
      <c r="A1344"/>
      <c r="B1344"/>
    </row>
    <row r="1345" spans="1:2" x14ac:dyDescent="0.25">
      <c r="A1345"/>
      <c r="B1345"/>
    </row>
    <row r="1346" spans="1:2" x14ac:dyDescent="0.25">
      <c r="A1346"/>
      <c r="B1346"/>
    </row>
    <row r="1347" spans="1:2" x14ac:dyDescent="0.25">
      <c r="A1347"/>
      <c r="B1347"/>
    </row>
    <row r="1348" spans="1:2" x14ac:dyDescent="0.25">
      <c r="A1348"/>
      <c r="B1348"/>
    </row>
    <row r="1349" spans="1:2" x14ac:dyDescent="0.25">
      <c r="A1349"/>
      <c r="B1349"/>
    </row>
    <row r="1350" spans="1:2" x14ac:dyDescent="0.25">
      <c r="A1350"/>
      <c r="B1350"/>
    </row>
    <row r="1351" spans="1:2" x14ac:dyDescent="0.25">
      <c r="A1351"/>
      <c r="B1351"/>
    </row>
    <row r="1352" spans="1:2" x14ac:dyDescent="0.25">
      <c r="A1352"/>
      <c r="B1352"/>
    </row>
    <row r="1353" spans="1:2" x14ac:dyDescent="0.25">
      <c r="A1353"/>
      <c r="B1353"/>
    </row>
    <row r="1354" spans="1:2" x14ac:dyDescent="0.25">
      <c r="A1354"/>
      <c r="B1354"/>
    </row>
    <row r="1355" spans="1:2" x14ac:dyDescent="0.25">
      <c r="A1355"/>
      <c r="B1355"/>
    </row>
    <row r="1356" spans="1:2" x14ac:dyDescent="0.25">
      <c r="A1356"/>
      <c r="B1356"/>
    </row>
    <row r="1357" spans="1:2" x14ac:dyDescent="0.25">
      <c r="A1357"/>
      <c r="B1357"/>
    </row>
    <row r="1358" spans="1:2" x14ac:dyDescent="0.25">
      <c r="A1358"/>
      <c r="B1358"/>
    </row>
    <row r="1359" spans="1:2" x14ac:dyDescent="0.25">
      <c r="A1359"/>
      <c r="B1359"/>
    </row>
    <row r="1360" spans="1:2" x14ac:dyDescent="0.25">
      <c r="A1360"/>
      <c r="B1360"/>
    </row>
    <row r="1361" spans="1:2" x14ac:dyDescent="0.25">
      <c r="A1361"/>
      <c r="B1361"/>
    </row>
    <row r="1362" spans="1:2" x14ac:dyDescent="0.25">
      <c r="A1362"/>
      <c r="B1362"/>
    </row>
    <row r="1363" spans="1:2" x14ac:dyDescent="0.25">
      <c r="A1363"/>
      <c r="B1363"/>
    </row>
    <row r="1364" spans="1:2" x14ac:dyDescent="0.25">
      <c r="A1364"/>
      <c r="B1364"/>
    </row>
    <row r="1365" spans="1:2" x14ac:dyDescent="0.25">
      <c r="A1365"/>
      <c r="B1365"/>
    </row>
    <row r="1366" spans="1:2" x14ac:dyDescent="0.25">
      <c r="A1366"/>
      <c r="B1366"/>
    </row>
    <row r="1367" spans="1:2" x14ac:dyDescent="0.25">
      <c r="A1367"/>
      <c r="B1367"/>
    </row>
    <row r="1368" spans="1:2" x14ac:dyDescent="0.25">
      <c r="A1368"/>
      <c r="B1368"/>
    </row>
    <row r="1369" spans="1:2" x14ac:dyDescent="0.25">
      <c r="A1369"/>
      <c r="B1369"/>
    </row>
    <row r="1370" spans="1:2" x14ac:dyDescent="0.25">
      <c r="A1370"/>
      <c r="B1370"/>
    </row>
    <row r="1371" spans="1:2" x14ac:dyDescent="0.25">
      <c r="A1371"/>
      <c r="B1371"/>
    </row>
    <row r="1372" spans="1:2" x14ac:dyDescent="0.25">
      <c r="A1372"/>
      <c r="B1372"/>
    </row>
    <row r="1373" spans="1:2" x14ac:dyDescent="0.25">
      <c r="A1373"/>
      <c r="B1373"/>
    </row>
    <row r="1374" spans="1:2" x14ac:dyDescent="0.25">
      <c r="A1374"/>
      <c r="B1374"/>
    </row>
    <row r="1375" spans="1:2" x14ac:dyDescent="0.25">
      <c r="A1375"/>
      <c r="B1375"/>
    </row>
    <row r="1376" spans="1:2" x14ac:dyDescent="0.25">
      <c r="A1376"/>
      <c r="B1376"/>
    </row>
    <row r="1377" spans="1:2" x14ac:dyDescent="0.25">
      <c r="A1377"/>
      <c r="B1377"/>
    </row>
    <row r="1378" spans="1:2" x14ac:dyDescent="0.25">
      <c r="A1378"/>
      <c r="B1378"/>
    </row>
    <row r="1379" spans="1:2" x14ac:dyDescent="0.25">
      <c r="A1379"/>
      <c r="B1379"/>
    </row>
    <row r="1380" spans="1:2" x14ac:dyDescent="0.25">
      <c r="A1380"/>
      <c r="B1380"/>
    </row>
    <row r="1381" spans="1:2" x14ac:dyDescent="0.25">
      <c r="A1381"/>
      <c r="B1381"/>
    </row>
    <row r="1382" spans="1:2" x14ac:dyDescent="0.25">
      <c r="A1382"/>
      <c r="B1382"/>
    </row>
    <row r="1383" spans="1:2" x14ac:dyDescent="0.25">
      <c r="A1383"/>
      <c r="B1383"/>
    </row>
    <row r="1384" spans="1:2" x14ac:dyDescent="0.25">
      <c r="A1384"/>
      <c r="B1384"/>
    </row>
    <row r="1385" spans="1:2" x14ac:dyDescent="0.25">
      <c r="A1385"/>
      <c r="B1385"/>
    </row>
    <row r="1386" spans="1:2" x14ac:dyDescent="0.25">
      <c r="A1386"/>
      <c r="B1386"/>
    </row>
    <row r="1387" spans="1:2" x14ac:dyDescent="0.25">
      <c r="A1387"/>
      <c r="B1387"/>
    </row>
    <row r="1388" spans="1:2" x14ac:dyDescent="0.25">
      <c r="A1388"/>
      <c r="B1388"/>
    </row>
    <row r="1389" spans="1:2" x14ac:dyDescent="0.25">
      <c r="A1389"/>
      <c r="B1389"/>
    </row>
    <row r="1390" spans="1:2" x14ac:dyDescent="0.25">
      <c r="A1390"/>
      <c r="B1390"/>
    </row>
    <row r="1391" spans="1:2" x14ac:dyDescent="0.25">
      <c r="A1391"/>
      <c r="B1391"/>
    </row>
    <row r="1392" spans="1:2" x14ac:dyDescent="0.25">
      <c r="A1392"/>
      <c r="B1392"/>
    </row>
    <row r="1393" spans="1:2" x14ac:dyDescent="0.25">
      <c r="A1393"/>
      <c r="B1393"/>
    </row>
    <row r="1394" spans="1:2" x14ac:dyDescent="0.25">
      <c r="A1394"/>
      <c r="B1394"/>
    </row>
    <row r="1395" spans="1:2" x14ac:dyDescent="0.25">
      <c r="A1395"/>
      <c r="B1395"/>
    </row>
    <row r="1396" spans="1:2" x14ac:dyDescent="0.25">
      <c r="A1396"/>
      <c r="B1396"/>
    </row>
    <row r="1397" spans="1:2" x14ac:dyDescent="0.25">
      <c r="A1397"/>
      <c r="B1397"/>
    </row>
    <row r="1398" spans="1:2" x14ac:dyDescent="0.25">
      <c r="A1398"/>
      <c r="B1398"/>
    </row>
    <row r="1399" spans="1:2" x14ac:dyDescent="0.25">
      <c r="A1399"/>
      <c r="B1399"/>
    </row>
    <row r="1400" spans="1:2" x14ac:dyDescent="0.25">
      <c r="A1400"/>
      <c r="B1400"/>
    </row>
    <row r="1401" spans="1:2" x14ac:dyDescent="0.25">
      <c r="A1401"/>
      <c r="B1401"/>
    </row>
    <row r="1402" spans="1:2" x14ac:dyDescent="0.25">
      <c r="A1402"/>
      <c r="B1402"/>
    </row>
    <row r="1403" spans="1:2" x14ac:dyDescent="0.25">
      <c r="A1403"/>
      <c r="B1403"/>
    </row>
    <row r="1404" spans="1:2" x14ac:dyDescent="0.25">
      <c r="A1404"/>
      <c r="B1404"/>
    </row>
    <row r="1405" spans="1:2" x14ac:dyDescent="0.25">
      <c r="A1405"/>
      <c r="B1405"/>
    </row>
    <row r="1406" spans="1:2" x14ac:dyDescent="0.25">
      <c r="A1406"/>
      <c r="B1406"/>
    </row>
    <row r="1407" spans="1:2" x14ac:dyDescent="0.25">
      <c r="A1407"/>
      <c r="B1407"/>
    </row>
    <row r="1408" spans="1:2" x14ac:dyDescent="0.25">
      <c r="A1408"/>
      <c r="B1408"/>
    </row>
    <row r="1409" spans="1:2" x14ac:dyDescent="0.25">
      <c r="A1409"/>
      <c r="B1409"/>
    </row>
    <row r="1410" spans="1:2" x14ac:dyDescent="0.25">
      <c r="A1410"/>
      <c r="B1410"/>
    </row>
    <row r="1411" spans="1:2" x14ac:dyDescent="0.25">
      <c r="A1411"/>
      <c r="B1411"/>
    </row>
    <row r="1412" spans="1:2" x14ac:dyDescent="0.25">
      <c r="A1412"/>
      <c r="B1412"/>
    </row>
    <row r="1413" spans="1:2" x14ac:dyDescent="0.25">
      <c r="A1413"/>
      <c r="B1413"/>
    </row>
    <row r="1414" spans="1:2" x14ac:dyDescent="0.25">
      <c r="A1414"/>
      <c r="B1414"/>
    </row>
    <row r="1415" spans="1:2" x14ac:dyDescent="0.25">
      <c r="A1415"/>
      <c r="B1415"/>
    </row>
    <row r="1416" spans="1:2" x14ac:dyDescent="0.25">
      <c r="A1416"/>
      <c r="B1416"/>
    </row>
    <row r="1417" spans="1:2" x14ac:dyDescent="0.25">
      <c r="A1417"/>
      <c r="B1417"/>
    </row>
    <row r="1418" spans="1:2" x14ac:dyDescent="0.25">
      <c r="A1418"/>
      <c r="B1418"/>
    </row>
    <row r="1419" spans="1:2" x14ac:dyDescent="0.25">
      <c r="A1419"/>
      <c r="B1419"/>
    </row>
    <row r="1420" spans="1:2" x14ac:dyDescent="0.25">
      <c r="A1420"/>
      <c r="B1420"/>
    </row>
    <row r="1421" spans="1:2" x14ac:dyDescent="0.25">
      <c r="A1421"/>
      <c r="B1421"/>
    </row>
    <row r="1422" spans="1:2" x14ac:dyDescent="0.25">
      <c r="A1422"/>
      <c r="B1422"/>
    </row>
    <row r="1423" spans="1:2" x14ac:dyDescent="0.25">
      <c r="A1423"/>
      <c r="B1423"/>
    </row>
    <row r="1424" spans="1:2" x14ac:dyDescent="0.25">
      <c r="A1424"/>
      <c r="B1424"/>
    </row>
    <row r="1425" spans="1:2" x14ac:dyDescent="0.25">
      <c r="A1425"/>
      <c r="B1425"/>
    </row>
    <row r="1426" spans="1:2" x14ac:dyDescent="0.25">
      <c r="A1426"/>
      <c r="B1426"/>
    </row>
    <row r="1427" spans="1:2" x14ac:dyDescent="0.25">
      <c r="A1427"/>
      <c r="B1427"/>
    </row>
    <row r="1428" spans="1:2" x14ac:dyDescent="0.25">
      <c r="A1428"/>
      <c r="B1428"/>
    </row>
    <row r="1429" spans="1:2" x14ac:dyDescent="0.25">
      <c r="A1429"/>
      <c r="B1429"/>
    </row>
    <row r="1430" spans="1:2" x14ac:dyDescent="0.25">
      <c r="A1430"/>
      <c r="B1430"/>
    </row>
    <row r="1431" spans="1:2" x14ac:dyDescent="0.25">
      <c r="A1431"/>
      <c r="B1431"/>
    </row>
    <row r="1432" spans="1:2" x14ac:dyDescent="0.25">
      <c r="A1432"/>
      <c r="B1432"/>
    </row>
    <row r="1433" spans="1:2" x14ac:dyDescent="0.25">
      <c r="A1433"/>
      <c r="B1433"/>
    </row>
    <row r="1434" spans="1:2" x14ac:dyDescent="0.25">
      <c r="A1434"/>
      <c r="B1434"/>
    </row>
    <row r="1435" spans="1:2" x14ac:dyDescent="0.25">
      <c r="A1435"/>
      <c r="B1435"/>
    </row>
    <row r="1436" spans="1:2" x14ac:dyDescent="0.25">
      <c r="A1436"/>
      <c r="B1436"/>
    </row>
    <row r="1437" spans="1:2" x14ac:dyDescent="0.25">
      <c r="A1437"/>
      <c r="B1437"/>
    </row>
    <row r="1438" spans="1:2" x14ac:dyDescent="0.25">
      <c r="A1438"/>
      <c r="B1438"/>
    </row>
    <row r="1439" spans="1:2" x14ac:dyDescent="0.25">
      <c r="A1439"/>
      <c r="B1439"/>
    </row>
    <row r="1440" spans="1:2" x14ac:dyDescent="0.25">
      <c r="A1440"/>
      <c r="B1440"/>
    </row>
    <row r="1441" spans="1:2" x14ac:dyDescent="0.25">
      <c r="A1441"/>
      <c r="B1441"/>
    </row>
    <row r="1442" spans="1:2" x14ac:dyDescent="0.25">
      <c r="A1442"/>
      <c r="B1442"/>
    </row>
    <row r="1443" spans="1:2" x14ac:dyDescent="0.25">
      <c r="A1443"/>
      <c r="B1443"/>
    </row>
    <row r="1444" spans="1:2" x14ac:dyDescent="0.25">
      <c r="A1444"/>
      <c r="B1444"/>
    </row>
    <row r="1445" spans="1:2" x14ac:dyDescent="0.25">
      <c r="A1445"/>
      <c r="B1445"/>
    </row>
    <row r="1446" spans="1:2" x14ac:dyDescent="0.25">
      <c r="A1446"/>
      <c r="B1446"/>
    </row>
    <row r="1447" spans="1:2" x14ac:dyDescent="0.25">
      <c r="A1447"/>
      <c r="B1447"/>
    </row>
    <row r="1448" spans="1:2" x14ac:dyDescent="0.25">
      <c r="A1448"/>
      <c r="B1448"/>
    </row>
    <row r="1449" spans="1:2" x14ac:dyDescent="0.25">
      <c r="A1449"/>
      <c r="B1449"/>
    </row>
    <row r="1450" spans="1:2" x14ac:dyDescent="0.25">
      <c r="A1450"/>
      <c r="B1450"/>
    </row>
    <row r="1451" spans="1:2" x14ac:dyDescent="0.25">
      <c r="A1451"/>
      <c r="B1451"/>
    </row>
    <row r="1452" spans="1:2" x14ac:dyDescent="0.25">
      <c r="A1452"/>
      <c r="B1452"/>
    </row>
    <row r="1453" spans="1:2" x14ac:dyDescent="0.25">
      <c r="A1453"/>
      <c r="B1453"/>
    </row>
    <row r="1454" spans="1:2" x14ac:dyDescent="0.25">
      <c r="A1454"/>
      <c r="B1454"/>
    </row>
    <row r="1455" spans="1:2" x14ac:dyDescent="0.25">
      <c r="A1455"/>
      <c r="B1455"/>
    </row>
    <row r="1456" spans="1:2" x14ac:dyDescent="0.25">
      <c r="A1456"/>
      <c r="B1456"/>
    </row>
    <row r="1457" spans="1:2" x14ac:dyDescent="0.25">
      <c r="A1457"/>
      <c r="B1457"/>
    </row>
    <row r="1458" spans="1:2" x14ac:dyDescent="0.25">
      <c r="A1458"/>
      <c r="B1458"/>
    </row>
    <row r="1459" spans="1:2" x14ac:dyDescent="0.25">
      <c r="A1459"/>
      <c r="B1459"/>
    </row>
    <row r="1460" spans="1:2" x14ac:dyDescent="0.25">
      <c r="A1460"/>
      <c r="B1460"/>
    </row>
    <row r="1461" spans="1:2" x14ac:dyDescent="0.25">
      <c r="A1461"/>
      <c r="B1461"/>
    </row>
    <row r="1462" spans="1:2" x14ac:dyDescent="0.25">
      <c r="A1462"/>
      <c r="B1462"/>
    </row>
    <row r="1463" spans="1:2" x14ac:dyDescent="0.25">
      <c r="A1463"/>
      <c r="B1463"/>
    </row>
    <row r="1464" spans="1:2" x14ac:dyDescent="0.25">
      <c r="A1464"/>
      <c r="B1464"/>
    </row>
    <row r="1465" spans="1:2" x14ac:dyDescent="0.25">
      <c r="A1465"/>
      <c r="B1465"/>
    </row>
    <row r="1466" spans="1:2" x14ac:dyDescent="0.25">
      <c r="A1466"/>
      <c r="B1466"/>
    </row>
    <row r="1467" spans="1:2" x14ac:dyDescent="0.25">
      <c r="A1467"/>
      <c r="B1467"/>
    </row>
    <row r="1468" spans="1:2" x14ac:dyDescent="0.25">
      <c r="A1468"/>
      <c r="B1468"/>
    </row>
    <row r="1469" spans="1:2" x14ac:dyDescent="0.25">
      <c r="A1469"/>
      <c r="B1469"/>
    </row>
    <row r="1470" spans="1:2" x14ac:dyDescent="0.25">
      <c r="A1470"/>
      <c r="B1470"/>
    </row>
    <row r="1471" spans="1:2" x14ac:dyDescent="0.25">
      <c r="A1471"/>
      <c r="B1471"/>
    </row>
    <row r="1472" spans="1:2" x14ac:dyDescent="0.25">
      <c r="A1472"/>
      <c r="B1472"/>
    </row>
    <row r="1473" spans="1:2" x14ac:dyDescent="0.25">
      <c r="A1473"/>
      <c r="B1473"/>
    </row>
    <row r="1474" spans="1:2" x14ac:dyDescent="0.25">
      <c r="A1474"/>
      <c r="B1474"/>
    </row>
    <row r="1475" spans="1:2" x14ac:dyDescent="0.25">
      <c r="A1475"/>
      <c r="B1475"/>
    </row>
    <row r="1476" spans="1:2" x14ac:dyDescent="0.25">
      <c r="A1476"/>
      <c r="B1476"/>
    </row>
    <row r="1477" spans="1:2" x14ac:dyDescent="0.25">
      <c r="A1477"/>
      <c r="B1477"/>
    </row>
    <row r="1478" spans="1:2" x14ac:dyDescent="0.25">
      <c r="A1478"/>
      <c r="B1478"/>
    </row>
    <row r="1479" spans="1:2" x14ac:dyDescent="0.25">
      <c r="A1479"/>
      <c r="B1479"/>
    </row>
    <row r="1480" spans="1:2" x14ac:dyDescent="0.25">
      <c r="A1480"/>
      <c r="B1480"/>
    </row>
    <row r="1481" spans="1:2" x14ac:dyDescent="0.25">
      <c r="A1481"/>
      <c r="B1481"/>
    </row>
    <row r="1482" spans="1:2" x14ac:dyDescent="0.25">
      <c r="A1482"/>
      <c r="B1482"/>
    </row>
    <row r="1483" spans="1:2" x14ac:dyDescent="0.25">
      <c r="A1483"/>
      <c r="B1483"/>
    </row>
    <row r="1484" spans="1:2" x14ac:dyDescent="0.25">
      <c r="A1484"/>
      <c r="B1484"/>
    </row>
    <row r="1485" spans="1:2" x14ac:dyDescent="0.25">
      <c r="A1485"/>
      <c r="B1485"/>
    </row>
    <row r="1486" spans="1:2" x14ac:dyDescent="0.25">
      <c r="A1486"/>
      <c r="B1486"/>
    </row>
    <row r="1487" spans="1:2" x14ac:dyDescent="0.25">
      <c r="A1487"/>
      <c r="B1487"/>
    </row>
    <row r="1488" spans="1:2" x14ac:dyDescent="0.25">
      <c r="A1488"/>
      <c r="B1488"/>
    </row>
    <row r="1489" spans="1:2" x14ac:dyDescent="0.25">
      <c r="A1489"/>
      <c r="B1489"/>
    </row>
    <row r="1490" spans="1:2" x14ac:dyDescent="0.25">
      <c r="A1490"/>
      <c r="B1490"/>
    </row>
    <row r="1491" spans="1:2" x14ac:dyDescent="0.25">
      <c r="A1491"/>
      <c r="B1491"/>
    </row>
    <row r="1492" spans="1:2" x14ac:dyDescent="0.25">
      <c r="A1492"/>
      <c r="B1492"/>
    </row>
    <row r="1493" spans="1:2" x14ac:dyDescent="0.25">
      <c r="A1493"/>
      <c r="B1493"/>
    </row>
    <row r="1494" spans="1:2" x14ac:dyDescent="0.25">
      <c r="A1494"/>
      <c r="B1494"/>
    </row>
    <row r="1495" spans="1:2" x14ac:dyDescent="0.25">
      <c r="A1495"/>
      <c r="B1495"/>
    </row>
    <row r="1496" spans="1:2" x14ac:dyDescent="0.25">
      <c r="A1496"/>
      <c r="B1496"/>
    </row>
    <row r="1497" spans="1:2" x14ac:dyDescent="0.25">
      <c r="A1497"/>
      <c r="B1497"/>
    </row>
    <row r="1498" spans="1:2" x14ac:dyDescent="0.25">
      <c r="A1498"/>
      <c r="B1498"/>
    </row>
    <row r="1499" spans="1:2" x14ac:dyDescent="0.25">
      <c r="A1499"/>
      <c r="B1499"/>
    </row>
    <row r="1500" spans="1:2" x14ac:dyDescent="0.25">
      <c r="A1500"/>
      <c r="B1500"/>
    </row>
    <row r="1501" spans="1:2" x14ac:dyDescent="0.25">
      <c r="A1501"/>
      <c r="B1501"/>
    </row>
    <row r="1502" spans="1:2" x14ac:dyDescent="0.25">
      <c r="A1502"/>
      <c r="B1502"/>
    </row>
    <row r="1503" spans="1:2" x14ac:dyDescent="0.25">
      <c r="A1503"/>
      <c r="B1503"/>
    </row>
    <row r="1504" spans="1:2" x14ac:dyDescent="0.25">
      <c r="A1504"/>
      <c r="B1504"/>
    </row>
    <row r="1505" spans="1:2" x14ac:dyDescent="0.25">
      <c r="A1505"/>
      <c r="B1505"/>
    </row>
    <row r="1506" spans="1:2" x14ac:dyDescent="0.25">
      <c r="A1506"/>
      <c r="B1506"/>
    </row>
    <row r="1507" spans="1:2" x14ac:dyDescent="0.25">
      <c r="A1507"/>
      <c r="B1507"/>
    </row>
    <row r="1508" spans="1:2" x14ac:dyDescent="0.25">
      <c r="A1508"/>
      <c r="B1508"/>
    </row>
    <row r="1509" spans="1:2" x14ac:dyDescent="0.25">
      <c r="A1509"/>
      <c r="B1509"/>
    </row>
    <row r="1510" spans="1:2" x14ac:dyDescent="0.25">
      <c r="A1510"/>
      <c r="B1510"/>
    </row>
    <row r="1511" spans="1:2" x14ac:dyDescent="0.25">
      <c r="A1511"/>
      <c r="B1511"/>
    </row>
    <row r="1512" spans="1:2" x14ac:dyDescent="0.25">
      <c r="A1512"/>
      <c r="B1512"/>
    </row>
    <row r="1513" spans="1:2" x14ac:dyDescent="0.25">
      <c r="A1513"/>
      <c r="B1513"/>
    </row>
    <row r="1514" spans="1:2" x14ac:dyDescent="0.25">
      <c r="A1514"/>
      <c r="B1514"/>
    </row>
    <row r="1515" spans="1:2" x14ac:dyDescent="0.25">
      <c r="A1515"/>
      <c r="B1515"/>
    </row>
    <row r="1516" spans="1:2" x14ac:dyDescent="0.25">
      <c r="A1516"/>
      <c r="B1516"/>
    </row>
    <row r="1517" spans="1:2" x14ac:dyDescent="0.25">
      <c r="A1517"/>
      <c r="B1517"/>
    </row>
    <row r="1518" spans="1:2" x14ac:dyDescent="0.25">
      <c r="A1518"/>
      <c r="B1518"/>
    </row>
    <row r="1519" spans="1:2" x14ac:dyDescent="0.25">
      <c r="A1519"/>
      <c r="B1519"/>
    </row>
    <row r="1520" spans="1:2" x14ac:dyDescent="0.25">
      <c r="A1520"/>
      <c r="B1520"/>
    </row>
    <row r="1521" spans="1:2" x14ac:dyDescent="0.25">
      <c r="A1521"/>
      <c r="B1521"/>
    </row>
    <row r="1522" spans="1:2" x14ac:dyDescent="0.25">
      <c r="A1522"/>
      <c r="B1522"/>
    </row>
    <row r="1523" spans="1:2" x14ac:dyDescent="0.25">
      <c r="A1523"/>
      <c r="B1523"/>
    </row>
    <row r="1524" spans="1:2" x14ac:dyDescent="0.25">
      <c r="A1524"/>
      <c r="B1524"/>
    </row>
    <row r="1525" spans="1:2" x14ac:dyDescent="0.25">
      <c r="A1525"/>
      <c r="B1525"/>
    </row>
    <row r="1526" spans="1:2" x14ac:dyDescent="0.25">
      <c r="A1526"/>
      <c r="B1526"/>
    </row>
    <row r="1527" spans="1:2" x14ac:dyDescent="0.25">
      <c r="A1527"/>
      <c r="B1527"/>
    </row>
    <row r="1528" spans="1:2" x14ac:dyDescent="0.25">
      <c r="A1528"/>
      <c r="B1528"/>
    </row>
    <row r="1529" spans="1:2" x14ac:dyDescent="0.25">
      <c r="A1529"/>
      <c r="B1529"/>
    </row>
    <row r="1530" spans="1:2" x14ac:dyDescent="0.25">
      <c r="A1530"/>
      <c r="B1530"/>
    </row>
    <row r="1531" spans="1:2" x14ac:dyDescent="0.25">
      <c r="A1531"/>
      <c r="B1531"/>
    </row>
    <row r="1532" spans="1:2" x14ac:dyDescent="0.25">
      <c r="A1532"/>
      <c r="B1532"/>
    </row>
    <row r="1533" spans="1:2" x14ac:dyDescent="0.25">
      <c r="A1533"/>
      <c r="B1533"/>
    </row>
    <row r="1534" spans="1:2" x14ac:dyDescent="0.25">
      <c r="A1534"/>
      <c r="B1534"/>
    </row>
    <row r="1535" spans="1:2" x14ac:dyDescent="0.25">
      <c r="A1535"/>
      <c r="B1535"/>
    </row>
    <row r="1536" spans="1:2" x14ac:dyDescent="0.25">
      <c r="A1536"/>
      <c r="B1536"/>
    </row>
    <row r="1537" spans="1:2" x14ac:dyDescent="0.25">
      <c r="A1537"/>
      <c r="B1537"/>
    </row>
    <row r="1538" spans="1:2" x14ac:dyDescent="0.25">
      <c r="A1538"/>
      <c r="B1538"/>
    </row>
    <row r="1539" spans="1:2" x14ac:dyDescent="0.25">
      <c r="A1539"/>
      <c r="B1539"/>
    </row>
    <row r="1540" spans="1:2" x14ac:dyDescent="0.25">
      <c r="A1540"/>
      <c r="B1540"/>
    </row>
    <row r="1541" spans="1:2" x14ac:dyDescent="0.25">
      <c r="A1541"/>
      <c r="B1541"/>
    </row>
    <row r="1542" spans="1:2" x14ac:dyDescent="0.25">
      <c r="A1542"/>
      <c r="B1542"/>
    </row>
    <row r="1543" spans="1:2" x14ac:dyDescent="0.25">
      <c r="A1543"/>
      <c r="B1543"/>
    </row>
    <row r="1544" spans="1:2" x14ac:dyDescent="0.25">
      <c r="A1544"/>
      <c r="B1544"/>
    </row>
    <row r="1545" spans="1:2" x14ac:dyDescent="0.25">
      <c r="A1545"/>
      <c r="B1545"/>
    </row>
    <row r="1546" spans="1:2" x14ac:dyDescent="0.25">
      <c r="A1546"/>
      <c r="B1546"/>
    </row>
    <row r="1547" spans="1:2" x14ac:dyDescent="0.25">
      <c r="A1547"/>
      <c r="B1547"/>
    </row>
    <row r="1548" spans="1:2" x14ac:dyDescent="0.25">
      <c r="A1548"/>
      <c r="B1548"/>
    </row>
    <row r="1549" spans="1:2" x14ac:dyDescent="0.25">
      <c r="A1549"/>
      <c r="B1549"/>
    </row>
    <row r="1550" spans="1:2" x14ac:dyDescent="0.25">
      <c r="A1550"/>
      <c r="B1550"/>
    </row>
    <row r="1551" spans="1:2" x14ac:dyDescent="0.25">
      <c r="A1551"/>
      <c r="B1551"/>
    </row>
    <row r="1552" spans="1:2" x14ac:dyDescent="0.25">
      <c r="A1552"/>
      <c r="B1552"/>
    </row>
    <row r="1553" spans="1:2" x14ac:dyDescent="0.25">
      <c r="A1553"/>
      <c r="B1553"/>
    </row>
    <row r="1554" spans="1:2" x14ac:dyDescent="0.25">
      <c r="A1554"/>
      <c r="B1554"/>
    </row>
    <row r="1555" spans="1:2" x14ac:dyDescent="0.25">
      <c r="A1555"/>
      <c r="B1555"/>
    </row>
    <row r="1556" spans="1:2" x14ac:dyDescent="0.25">
      <c r="A1556"/>
      <c r="B1556"/>
    </row>
    <row r="1557" spans="1:2" x14ac:dyDescent="0.25">
      <c r="A1557"/>
      <c r="B1557"/>
    </row>
    <row r="1558" spans="1:2" x14ac:dyDescent="0.25">
      <c r="A1558"/>
      <c r="B1558"/>
    </row>
    <row r="1559" spans="1:2" x14ac:dyDescent="0.25">
      <c r="A1559"/>
      <c r="B1559"/>
    </row>
    <row r="1560" spans="1:2" x14ac:dyDescent="0.25">
      <c r="A1560"/>
      <c r="B1560"/>
    </row>
    <row r="1561" spans="1:2" x14ac:dyDescent="0.25">
      <c r="A1561"/>
      <c r="B1561"/>
    </row>
    <row r="1562" spans="1:2" x14ac:dyDescent="0.25">
      <c r="A1562"/>
      <c r="B1562"/>
    </row>
    <row r="1563" spans="1:2" x14ac:dyDescent="0.25">
      <c r="A1563"/>
      <c r="B1563"/>
    </row>
    <row r="1564" spans="1:2" x14ac:dyDescent="0.25">
      <c r="A1564"/>
      <c r="B1564"/>
    </row>
    <row r="1565" spans="1:2" x14ac:dyDescent="0.25">
      <c r="A1565"/>
      <c r="B1565"/>
    </row>
    <row r="1566" spans="1:2" x14ac:dyDescent="0.25">
      <c r="A1566"/>
      <c r="B1566"/>
    </row>
    <row r="1567" spans="1:2" x14ac:dyDescent="0.25">
      <c r="A1567"/>
      <c r="B1567"/>
    </row>
    <row r="1568" spans="1:2" x14ac:dyDescent="0.25">
      <c r="A1568"/>
      <c r="B1568"/>
    </row>
    <row r="1569" spans="1:2" x14ac:dyDescent="0.25">
      <c r="A1569"/>
      <c r="B1569"/>
    </row>
    <row r="1570" spans="1:2" x14ac:dyDescent="0.25">
      <c r="A1570"/>
      <c r="B1570"/>
    </row>
    <row r="1571" spans="1:2" x14ac:dyDescent="0.25">
      <c r="A1571"/>
      <c r="B1571"/>
    </row>
    <row r="1572" spans="1:2" x14ac:dyDescent="0.25">
      <c r="A1572"/>
      <c r="B1572"/>
    </row>
    <row r="1573" spans="1:2" x14ac:dyDescent="0.25">
      <c r="A1573"/>
      <c r="B1573"/>
    </row>
    <row r="1574" spans="1:2" x14ac:dyDescent="0.25">
      <c r="A1574"/>
      <c r="B1574"/>
    </row>
    <row r="1575" spans="1:2" x14ac:dyDescent="0.25">
      <c r="A1575"/>
      <c r="B1575"/>
    </row>
    <row r="1576" spans="1:2" x14ac:dyDescent="0.25">
      <c r="A1576"/>
      <c r="B1576"/>
    </row>
    <row r="1577" spans="1:2" x14ac:dyDescent="0.25">
      <c r="A1577"/>
      <c r="B1577"/>
    </row>
    <row r="1578" spans="1:2" x14ac:dyDescent="0.25">
      <c r="A1578"/>
      <c r="B1578"/>
    </row>
    <row r="1579" spans="1:2" x14ac:dyDescent="0.25">
      <c r="A1579"/>
      <c r="B1579"/>
    </row>
    <row r="1580" spans="1:2" x14ac:dyDescent="0.25">
      <c r="A1580"/>
      <c r="B1580"/>
    </row>
    <row r="1581" spans="1:2" x14ac:dyDescent="0.25">
      <c r="A1581"/>
      <c r="B1581"/>
    </row>
    <row r="1582" spans="1:2" x14ac:dyDescent="0.25">
      <c r="A1582"/>
      <c r="B1582"/>
    </row>
    <row r="1583" spans="1:2" x14ac:dyDescent="0.25">
      <c r="A1583"/>
      <c r="B1583"/>
    </row>
    <row r="1584" spans="1:2" x14ac:dyDescent="0.25">
      <c r="A1584"/>
      <c r="B1584"/>
    </row>
    <row r="1585" spans="1:2" x14ac:dyDescent="0.25">
      <c r="A1585"/>
      <c r="B1585"/>
    </row>
    <row r="1586" spans="1:2" x14ac:dyDescent="0.25">
      <c r="A1586"/>
      <c r="B1586"/>
    </row>
    <row r="1587" spans="1:2" x14ac:dyDescent="0.25">
      <c r="A1587"/>
      <c r="B1587"/>
    </row>
    <row r="1588" spans="1:2" x14ac:dyDescent="0.25">
      <c r="A1588"/>
      <c r="B1588"/>
    </row>
    <row r="1589" spans="1:2" x14ac:dyDescent="0.25">
      <c r="A1589"/>
      <c r="B1589"/>
    </row>
    <row r="1590" spans="1:2" x14ac:dyDescent="0.25">
      <c r="A1590"/>
      <c r="B1590"/>
    </row>
    <row r="1591" spans="1:2" x14ac:dyDescent="0.25">
      <c r="A1591"/>
      <c r="B1591"/>
    </row>
    <row r="1592" spans="1:2" x14ac:dyDescent="0.25">
      <c r="A1592"/>
      <c r="B1592"/>
    </row>
    <row r="1593" spans="1:2" x14ac:dyDescent="0.25">
      <c r="A1593"/>
      <c r="B1593"/>
    </row>
    <row r="1594" spans="1:2" x14ac:dyDescent="0.25">
      <c r="A1594"/>
      <c r="B1594"/>
    </row>
    <row r="1595" spans="1:2" x14ac:dyDescent="0.25">
      <c r="A1595"/>
      <c r="B1595"/>
    </row>
    <row r="1596" spans="1:2" x14ac:dyDescent="0.25">
      <c r="A1596"/>
      <c r="B1596"/>
    </row>
    <row r="1597" spans="1:2" x14ac:dyDescent="0.25">
      <c r="A1597"/>
      <c r="B1597"/>
    </row>
    <row r="1598" spans="1:2" x14ac:dyDescent="0.25">
      <c r="A1598"/>
      <c r="B1598"/>
    </row>
    <row r="1599" spans="1:2" x14ac:dyDescent="0.25">
      <c r="A1599"/>
      <c r="B1599"/>
    </row>
    <row r="1600" spans="1:2" x14ac:dyDescent="0.25">
      <c r="A1600"/>
      <c r="B1600"/>
    </row>
    <row r="1601" spans="1:2" x14ac:dyDescent="0.25">
      <c r="A1601"/>
      <c r="B1601"/>
    </row>
    <row r="1602" spans="1:2" x14ac:dyDescent="0.25">
      <c r="A1602"/>
      <c r="B1602"/>
    </row>
    <row r="1603" spans="1:2" x14ac:dyDescent="0.25">
      <c r="A1603"/>
      <c r="B1603"/>
    </row>
    <row r="1604" spans="1:2" x14ac:dyDescent="0.25">
      <c r="A1604"/>
      <c r="B1604"/>
    </row>
    <row r="1605" spans="1:2" x14ac:dyDescent="0.25">
      <c r="A1605"/>
      <c r="B1605"/>
    </row>
    <row r="1606" spans="1:2" x14ac:dyDescent="0.25">
      <c r="A1606"/>
      <c r="B1606"/>
    </row>
    <row r="1607" spans="1:2" x14ac:dyDescent="0.25">
      <c r="A1607"/>
      <c r="B1607"/>
    </row>
    <row r="1608" spans="1:2" x14ac:dyDescent="0.25">
      <c r="A1608"/>
      <c r="B1608"/>
    </row>
    <row r="1609" spans="1:2" x14ac:dyDescent="0.25">
      <c r="A1609"/>
      <c r="B1609"/>
    </row>
    <row r="1610" spans="1:2" x14ac:dyDescent="0.25">
      <c r="A1610"/>
      <c r="B1610"/>
    </row>
    <row r="1611" spans="1:2" x14ac:dyDescent="0.25">
      <c r="A1611"/>
      <c r="B1611"/>
    </row>
    <row r="1612" spans="1:2" x14ac:dyDescent="0.25">
      <c r="A1612"/>
      <c r="B1612"/>
    </row>
    <row r="1613" spans="1:2" x14ac:dyDescent="0.25">
      <c r="A1613"/>
      <c r="B1613"/>
    </row>
    <row r="1614" spans="1:2" x14ac:dyDescent="0.25">
      <c r="A1614"/>
      <c r="B1614"/>
    </row>
    <row r="1615" spans="1:2" x14ac:dyDescent="0.25">
      <c r="A1615"/>
      <c r="B1615"/>
    </row>
    <row r="1616" spans="1:2" x14ac:dyDescent="0.25">
      <c r="A1616"/>
      <c r="B1616"/>
    </row>
    <row r="1617" spans="1:2" x14ac:dyDescent="0.25">
      <c r="A1617"/>
      <c r="B1617"/>
    </row>
    <row r="1618" spans="1:2" x14ac:dyDescent="0.25">
      <c r="A1618"/>
      <c r="B1618"/>
    </row>
    <row r="1619" spans="1:2" x14ac:dyDescent="0.25">
      <c r="A1619"/>
      <c r="B1619"/>
    </row>
    <row r="1620" spans="1:2" x14ac:dyDescent="0.25">
      <c r="A1620"/>
      <c r="B1620"/>
    </row>
    <row r="1621" spans="1:2" x14ac:dyDescent="0.25">
      <c r="A1621"/>
      <c r="B1621"/>
    </row>
    <row r="1622" spans="1:2" x14ac:dyDescent="0.25">
      <c r="A1622"/>
      <c r="B1622"/>
    </row>
    <row r="1623" spans="1:2" x14ac:dyDescent="0.25">
      <c r="A1623"/>
      <c r="B1623"/>
    </row>
    <row r="1624" spans="1:2" x14ac:dyDescent="0.25">
      <c r="A1624"/>
      <c r="B1624"/>
    </row>
    <row r="1625" spans="1:2" x14ac:dyDescent="0.25">
      <c r="A1625"/>
      <c r="B1625"/>
    </row>
    <row r="1626" spans="1:2" x14ac:dyDescent="0.25">
      <c r="A1626"/>
      <c r="B1626"/>
    </row>
    <row r="1627" spans="1:2" x14ac:dyDescent="0.25">
      <c r="A1627"/>
      <c r="B1627"/>
    </row>
    <row r="1628" spans="1:2" x14ac:dyDescent="0.25">
      <c r="A1628"/>
      <c r="B1628"/>
    </row>
    <row r="1629" spans="1:2" x14ac:dyDescent="0.25">
      <c r="A1629"/>
      <c r="B1629"/>
    </row>
    <row r="1630" spans="1:2" x14ac:dyDescent="0.25">
      <c r="A1630"/>
      <c r="B1630"/>
    </row>
    <row r="1631" spans="1:2" x14ac:dyDescent="0.25">
      <c r="A1631"/>
      <c r="B1631"/>
    </row>
    <row r="1632" spans="1:2" x14ac:dyDescent="0.25">
      <c r="A1632"/>
      <c r="B1632"/>
    </row>
    <row r="1633" spans="1:2" x14ac:dyDescent="0.25">
      <c r="A1633"/>
      <c r="B1633"/>
    </row>
    <row r="1634" spans="1:2" x14ac:dyDescent="0.25">
      <c r="A1634"/>
      <c r="B1634"/>
    </row>
    <row r="1635" spans="1:2" x14ac:dyDescent="0.25">
      <c r="A1635"/>
      <c r="B1635"/>
    </row>
    <row r="1636" spans="1:2" x14ac:dyDescent="0.25">
      <c r="A1636"/>
      <c r="B1636"/>
    </row>
    <row r="1637" spans="1:2" x14ac:dyDescent="0.25">
      <c r="A1637"/>
      <c r="B1637"/>
    </row>
    <row r="1638" spans="1:2" x14ac:dyDescent="0.25">
      <c r="A1638"/>
      <c r="B1638"/>
    </row>
    <row r="1639" spans="1:2" x14ac:dyDescent="0.25">
      <c r="A1639"/>
      <c r="B1639"/>
    </row>
    <row r="1640" spans="1:2" x14ac:dyDescent="0.25">
      <c r="A1640"/>
      <c r="B1640"/>
    </row>
    <row r="1641" spans="1:2" x14ac:dyDescent="0.25">
      <c r="A1641"/>
      <c r="B1641"/>
    </row>
    <row r="1642" spans="1:2" x14ac:dyDescent="0.25">
      <c r="A1642"/>
      <c r="B1642"/>
    </row>
    <row r="1643" spans="1:2" x14ac:dyDescent="0.25">
      <c r="A1643"/>
      <c r="B1643"/>
    </row>
    <row r="1644" spans="1:2" x14ac:dyDescent="0.25">
      <c r="A1644"/>
      <c r="B1644"/>
    </row>
    <row r="1645" spans="1:2" x14ac:dyDescent="0.25">
      <c r="A1645"/>
      <c r="B1645"/>
    </row>
    <row r="1646" spans="1:2" x14ac:dyDescent="0.25">
      <c r="A1646"/>
      <c r="B1646"/>
    </row>
    <row r="1647" spans="1:2" x14ac:dyDescent="0.25">
      <c r="A1647"/>
      <c r="B1647"/>
    </row>
    <row r="1648" spans="1:2" x14ac:dyDescent="0.25">
      <c r="A1648"/>
      <c r="B1648"/>
    </row>
    <row r="1649" spans="1:2" x14ac:dyDescent="0.25">
      <c r="A1649"/>
      <c r="B1649"/>
    </row>
    <row r="1650" spans="1:2" x14ac:dyDescent="0.25">
      <c r="A1650"/>
      <c r="B1650"/>
    </row>
    <row r="1651" spans="1:2" x14ac:dyDescent="0.25">
      <c r="A1651"/>
      <c r="B1651"/>
    </row>
    <row r="1652" spans="1:2" x14ac:dyDescent="0.25">
      <c r="A1652"/>
      <c r="B1652"/>
    </row>
    <row r="1653" spans="1:2" x14ac:dyDescent="0.25">
      <c r="A1653"/>
      <c r="B1653"/>
    </row>
    <row r="1654" spans="1:2" x14ac:dyDescent="0.25">
      <c r="A1654"/>
      <c r="B1654"/>
    </row>
    <row r="1655" spans="1:2" x14ac:dyDescent="0.25">
      <c r="A1655"/>
      <c r="B1655"/>
    </row>
    <row r="1656" spans="1:2" x14ac:dyDescent="0.25">
      <c r="A1656"/>
      <c r="B1656"/>
    </row>
    <row r="1657" spans="1:2" x14ac:dyDescent="0.25">
      <c r="A1657"/>
      <c r="B1657"/>
    </row>
    <row r="1658" spans="1:2" x14ac:dyDescent="0.25">
      <c r="A1658"/>
      <c r="B1658"/>
    </row>
    <row r="1659" spans="1:2" x14ac:dyDescent="0.25">
      <c r="A1659"/>
      <c r="B1659"/>
    </row>
    <row r="1660" spans="1:2" x14ac:dyDescent="0.25">
      <c r="A1660"/>
      <c r="B1660"/>
    </row>
    <row r="1661" spans="1:2" x14ac:dyDescent="0.25">
      <c r="A1661"/>
      <c r="B1661"/>
    </row>
    <row r="1662" spans="1:2" x14ac:dyDescent="0.25">
      <c r="A1662"/>
      <c r="B1662"/>
    </row>
    <row r="1663" spans="1:2" x14ac:dyDescent="0.25">
      <c r="A1663"/>
      <c r="B1663"/>
    </row>
    <row r="1664" spans="1:2" x14ac:dyDescent="0.25">
      <c r="A1664"/>
      <c r="B1664"/>
    </row>
    <row r="1665" spans="1:2" x14ac:dyDescent="0.25">
      <c r="A1665"/>
      <c r="B1665"/>
    </row>
    <row r="1666" spans="1:2" x14ac:dyDescent="0.25">
      <c r="A1666"/>
      <c r="B1666"/>
    </row>
    <row r="1667" spans="1:2" x14ac:dyDescent="0.25">
      <c r="A1667"/>
      <c r="B1667"/>
    </row>
    <row r="1668" spans="1:2" x14ac:dyDescent="0.25">
      <c r="A1668"/>
      <c r="B1668"/>
    </row>
    <row r="1669" spans="1:2" x14ac:dyDescent="0.25">
      <c r="A1669"/>
      <c r="B1669"/>
    </row>
    <row r="1670" spans="1:2" x14ac:dyDescent="0.25">
      <c r="A1670"/>
      <c r="B1670"/>
    </row>
    <row r="1671" spans="1:2" x14ac:dyDescent="0.25">
      <c r="A1671"/>
      <c r="B1671"/>
    </row>
    <row r="1672" spans="1:2" x14ac:dyDescent="0.25">
      <c r="A1672"/>
      <c r="B1672"/>
    </row>
    <row r="1673" spans="1:2" x14ac:dyDescent="0.25">
      <c r="A1673"/>
      <c r="B1673"/>
    </row>
    <row r="1674" spans="1:2" x14ac:dyDescent="0.25">
      <c r="A1674"/>
      <c r="B1674"/>
    </row>
    <row r="1675" spans="1:2" x14ac:dyDescent="0.25">
      <c r="A1675"/>
      <c r="B1675"/>
    </row>
    <row r="1676" spans="1:2" x14ac:dyDescent="0.25">
      <c r="A1676"/>
      <c r="B1676"/>
    </row>
    <row r="1677" spans="1:2" x14ac:dyDescent="0.25">
      <c r="A1677"/>
      <c r="B1677"/>
    </row>
    <row r="1678" spans="1:2" x14ac:dyDescent="0.25">
      <c r="A1678"/>
      <c r="B1678"/>
    </row>
    <row r="1679" spans="1:2" x14ac:dyDescent="0.25">
      <c r="A1679"/>
      <c r="B1679"/>
    </row>
    <row r="1680" spans="1:2" x14ac:dyDescent="0.25">
      <c r="A1680"/>
      <c r="B1680"/>
    </row>
    <row r="1681" spans="1:2" x14ac:dyDescent="0.25">
      <c r="A1681"/>
      <c r="B1681"/>
    </row>
    <row r="1682" spans="1:2" x14ac:dyDescent="0.25">
      <c r="A1682"/>
      <c r="B1682"/>
    </row>
    <row r="1683" spans="1:2" x14ac:dyDescent="0.25">
      <c r="A1683"/>
      <c r="B1683"/>
    </row>
    <row r="1684" spans="1:2" x14ac:dyDescent="0.25">
      <c r="A1684"/>
      <c r="B1684"/>
    </row>
    <row r="1685" spans="1:2" x14ac:dyDescent="0.25">
      <c r="A1685"/>
      <c r="B1685"/>
    </row>
    <row r="1686" spans="1:2" x14ac:dyDescent="0.25">
      <c r="A1686"/>
      <c r="B1686"/>
    </row>
    <row r="1687" spans="1:2" x14ac:dyDescent="0.25">
      <c r="A1687"/>
      <c r="B1687"/>
    </row>
    <row r="1688" spans="1:2" x14ac:dyDescent="0.25">
      <c r="A1688"/>
      <c r="B1688"/>
    </row>
    <row r="1689" spans="1:2" x14ac:dyDescent="0.25">
      <c r="A1689"/>
      <c r="B1689"/>
    </row>
    <row r="1690" spans="1:2" x14ac:dyDescent="0.25">
      <c r="A1690"/>
      <c r="B1690"/>
    </row>
    <row r="1691" spans="1:2" x14ac:dyDescent="0.25">
      <c r="A1691"/>
      <c r="B1691"/>
    </row>
    <row r="1692" spans="1:2" x14ac:dyDescent="0.25">
      <c r="A1692"/>
      <c r="B1692"/>
    </row>
    <row r="1693" spans="1:2" x14ac:dyDescent="0.25">
      <c r="A1693"/>
      <c r="B1693"/>
    </row>
    <row r="1694" spans="1:2" x14ac:dyDescent="0.25">
      <c r="A1694"/>
      <c r="B1694"/>
    </row>
    <row r="1695" spans="1:2" x14ac:dyDescent="0.25">
      <c r="A1695"/>
      <c r="B1695"/>
    </row>
    <row r="1696" spans="1:2" x14ac:dyDescent="0.25">
      <c r="A1696"/>
      <c r="B1696"/>
    </row>
    <row r="1697" spans="1:2" x14ac:dyDescent="0.25">
      <c r="A1697"/>
      <c r="B1697"/>
    </row>
    <row r="1698" spans="1:2" x14ac:dyDescent="0.25">
      <c r="A1698"/>
      <c r="B1698"/>
    </row>
    <row r="1699" spans="1:2" x14ac:dyDescent="0.25">
      <c r="A1699"/>
      <c r="B1699"/>
    </row>
    <row r="1700" spans="1:2" x14ac:dyDescent="0.25">
      <c r="A1700"/>
      <c r="B1700"/>
    </row>
    <row r="1701" spans="1:2" x14ac:dyDescent="0.25">
      <c r="A1701"/>
      <c r="B1701"/>
    </row>
    <row r="1702" spans="1:2" x14ac:dyDescent="0.25">
      <c r="A1702"/>
      <c r="B1702"/>
    </row>
    <row r="1703" spans="1:2" x14ac:dyDescent="0.25">
      <c r="A1703"/>
      <c r="B1703"/>
    </row>
    <row r="1704" spans="1:2" x14ac:dyDescent="0.25">
      <c r="A1704"/>
      <c r="B1704"/>
    </row>
    <row r="1705" spans="1:2" x14ac:dyDescent="0.25">
      <c r="A1705"/>
      <c r="B1705"/>
    </row>
    <row r="1706" spans="1:2" x14ac:dyDescent="0.25">
      <c r="A1706"/>
      <c r="B1706"/>
    </row>
    <row r="1707" spans="1:2" x14ac:dyDescent="0.25">
      <c r="A1707"/>
      <c r="B1707"/>
    </row>
    <row r="1708" spans="1:2" x14ac:dyDescent="0.25">
      <c r="A1708"/>
      <c r="B1708"/>
    </row>
    <row r="1709" spans="1:2" x14ac:dyDescent="0.25">
      <c r="A1709"/>
      <c r="B1709"/>
    </row>
    <row r="1710" spans="1:2" x14ac:dyDescent="0.25">
      <c r="A1710"/>
      <c r="B1710"/>
    </row>
    <row r="1711" spans="1:2" x14ac:dyDescent="0.25">
      <c r="A1711"/>
      <c r="B1711"/>
    </row>
    <row r="1712" spans="1:2" x14ac:dyDescent="0.25">
      <c r="A1712"/>
      <c r="B1712"/>
    </row>
    <row r="1713" spans="1:2" x14ac:dyDescent="0.25">
      <c r="A1713"/>
      <c r="B1713"/>
    </row>
    <row r="1714" spans="1:2" x14ac:dyDescent="0.25">
      <c r="A1714"/>
      <c r="B1714"/>
    </row>
    <row r="1715" spans="1:2" x14ac:dyDescent="0.25">
      <c r="A1715"/>
      <c r="B1715"/>
    </row>
    <row r="1716" spans="1:2" x14ac:dyDescent="0.25">
      <c r="A1716"/>
      <c r="B1716"/>
    </row>
    <row r="1717" spans="1:2" x14ac:dyDescent="0.25">
      <c r="A1717"/>
      <c r="B1717"/>
    </row>
    <row r="1718" spans="1:2" x14ac:dyDescent="0.25">
      <c r="A1718"/>
      <c r="B1718"/>
    </row>
    <row r="1719" spans="1:2" x14ac:dyDescent="0.25">
      <c r="A1719"/>
      <c r="B1719"/>
    </row>
    <row r="1720" spans="1:2" x14ac:dyDescent="0.25">
      <c r="A1720"/>
      <c r="B1720"/>
    </row>
    <row r="1721" spans="1:2" x14ac:dyDescent="0.25">
      <c r="A1721"/>
      <c r="B1721"/>
    </row>
    <row r="1722" spans="1:2" x14ac:dyDescent="0.25">
      <c r="A1722"/>
      <c r="B1722"/>
    </row>
    <row r="1723" spans="1:2" x14ac:dyDescent="0.25">
      <c r="A1723"/>
      <c r="B1723"/>
    </row>
    <row r="1724" spans="1:2" x14ac:dyDescent="0.25">
      <c r="A1724"/>
      <c r="B1724"/>
    </row>
    <row r="1725" spans="1:2" x14ac:dyDescent="0.25">
      <c r="A1725"/>
      <c r="B1725"/>
    </row>
    <row r="1726" spans="1:2" x14ac:dyDescent="0.25">
      <c r="A1726"/>
      <c r="B1726"/>
    </row>
    <row r="1727" spans="1:2" x14ac:dyDescent="0.25">
      <c r="A1727"/>
      <c r="B1727"/>
    </row>
    <row r="1728" spans="1:2" x14ac:dyDescent="0.25">
      <c r="A1728"/>
      <c r="B1728"/>
    </row>
    <row r="1729" spans="1:2" x14ac:dyDescent="0.25">
      <c r="A1729"/>
      <c r="B1729"/>
    </row>
    <row r="1730" spans="1:2" x14ac:dyDescent="0.25">
      <c r="A1730"/>
      <c r="B1730"/>
    </row>
    <row r="1731" spans="1:2" x14ac:dyDescent="0.25">
      <c r="A1731"/>
      <c r="B1731"/>
    </row>
    <row r="1732" spans="1:2" x14ac:dyDescent="0.25">
      <c r="A1732"/>
      <c r="B1732"/>
    </row>
    <row r="1733" spans="1:2" x14ac:dyDescent="0.25">
      <c r="A1733"/>
      <c r="B1733"/>
    </row>
    <row r="1734" spans="1:2" x14ac:dyDescent="0.25">
      <c r="A1734"/>
      <c r="B1734"/>
    </row>
    <row r="1735" spans="1:2" x14ac:dyDescent="0.25">
      <c r="A1735"/>
      <c r="B1735"/>
    </row>
    <row r="1736" spans="1:2" x14ac:dyDescent="0.25">
      <c r="A1736"/>
      <c r="B1736"/>
    </row>
    <row r="1737" spans="1:2" x14ac:dyDescent="0.25">
      <c r="A1737"/>
      <c r="B1737"/>
    </row>
    <row r="1738" spans="1:2" x14ac:dyDescent="0.25">
      <c r="A1738"/>
      <c r="B1738"/>
    </row>
    <row r="1739" spans="1:2" x14ac:dyDescent="0.25">
      <c r="A1739"/>
      <c r="B1739"/>
    </row>
    <row r="1740" spans="1:2" x14ac:dyDescent="0.25">
      <c r="A1740"/>
      <c r="B1740"/>
    </row>
    <row r="1741" spans="1:2" x14ac:dyDescent="0.25">
      <c r="A1741"/>
      <c r="B1741"/>
    </row>
    <row r="1742" spans="1:2" x14ac:dyDescent="0.25">
      <c r="A1742"/>
      <c r="B1742"/>
    </row>
    <row r="1743" spans="1:2" x14ac:dyDescent="0.25">
      <c r="A1743"/>
      <c r="B1743"/>
    </row>
    <row r="1744" spans="1:2" x14ac:dyDescent="0.25">
      <c r="A1744"/>
      <c r="B1744"/>
    </row>
    <row r="1745" spans="1:2" x14ac:dyDescent="0.25">
      <c r="A1745"/>
      <c r="B1745"/>
    </row>
    <row r="1746" spans="1:2" x14ac:dyDescent="0.25">
      <c r="A1746"/>
      <c r="B1746"/>
    </row>
    <row r="1747" spans="1:2" x14ac:dyDescent="0.25">
      <c r="A1747"/>
      <c r="B1747"/>
    </row>
    <row r="1748" spans="1:2" x14ac:dyDescent="0.25">
      <c r="A1748"/>
      <c r="B1748"/>
    </row>
    <row r="1749" spans="1:2" x14ac:dyDescent="0.25">
      <c r="A1749"/>
      <c r="B1749"/>
    </row>
    <row r="1750" spans="1:2" x14ac:dyDescent="0.25">
      <c r="A1750"/>
      <c r="B1750"/>
    </row>
    <row r="1751" spans="1:2" x14ac:dyDescent="0.25">
      <c r="A1751"/>
      <c r="B1751"/>
    </row>
    <row r="1752" spans="1:2" x14ac:dyDescent="0.25">
      <c r="A1752"/>
      <c r="B1752"/>
    </row>
    <row r="1753" spans="1:2" x14ac:dyDescent="0.25">
      <c r="A1753"/>
      <c r="B1753"/>
    </row>
    <row r="1754" spans="1:2" x14ac:dyDescent="0.25">
      <c r="A1754"/>
      <c r="B1754"/>
    </row>
    <row r="1755" spans="1:2" x14ac:dyDescent="0.25">
      <c r="A1755"/>
      <c r="B1755"/>
    </row>
    <row r="1756" spans="1:2" x14ac:dyDescent="0.25">
      <c r="A1756"/>
      <c r="B1756"/>
    </row>
    <row r="1757" spans="1:2" x14ac:dyDescent="0.25">
      <c r="A1757"/>
      <c r="B1757"/>
    </row>
    <row r="1758" spans="1:2" x14ac:dyDescent="0.25">
      <c r="A1758"/>
      <c r="B1758"/>
    </row>
    <row r="1759" spans="1:2" x14ac:dyDescent="0.25">
      <c r="A1759"/>
      <c r="B1759"/>
    </row>
    <row r="1760" spans="1:2" x14ac:dyDescent="0.25">
      <c r="A1760"/>
      <c r="B1760"/>
    </row>
    <row r="1761" spans="1:2" x14ac:dyDescent="0.25">
      <c r="A1761"/>
      <c r="B1761"/>
    </row>
    <row r="1762" spans="1:2" x14ac:dyDescent="0.25">
      <c r="A1762"/>
      <c r="B1762"/>
    </row>
    <row r="1763" spans="1:2" x14ac:dyDescent="0.25">
      <c r="A1763"/>
      <c r="B1763"/>
    </row>
    <row r="1764" spans="1:2" x14ac:dyDescent="0.25">
      <c r="A1764"/>
      <c r="B1764"/>
    </row>
    <row r="1765" spans="1:2" x14ac:dyDescent="0.25">
      <c r="A1765"/>
      <c r="B1765"/>
    </row>
    <row r="1766" spans="1:2" x14ac:dyDescent="0.25">
      <c r="A1766"/>
      <c r="B1766"/>
    </row>
    <row r="1767" spans="1:2" x14ac:dyDescent="0.25">
      <c r="A1767"/>
      <c r="B1767"/>
    </row>
    <row r="1768" spans="1:2" x14ac:dyDescent="0.25">
      <c r="A1768"/>
      <c r="B1768"/>
    </row>
    <row r="1769" spans="1:2" x14ac:dyDescent="0.25">
      <c r="A1769"/>
      <c r="B1769"/>
    </row>
    <row r="1770" spans="1:2" x14ac:dyDescent="0.25">
      <c r="A1770"/>
      <c r="B1770"/>
    </row>
    <row r="1771" spans="1:2" x14ac:dyDescent="0.25">
      <c r="A1771"/>
      <c r="B1771"/>
    </row>
    <row r="1772" spans="1:2" x14ac:dyDescent="0.25">
      <c r="A1772"/>
      <c r="B1772"/>
    </row>
    <row r="1773" spans="1:2" x14ac:dyDescent="0.25">
      <c r="A1773"/>
      <c r="B1773"/>
    </row>
    <row r="1774" spans="1:2" x14ac:dyDescent="0.25">
      <c r="A1774"/>
      <c r="B1774"/>
    </row>
    <row r="1775" spans="1:2" x14ac:dyDescent="0.25">
      <c r="A1775"/>
      <c r="B1775"/>
    </row>
    <row r="1776" spans="1:2" x14ac:dyDescent="0.25">
      <c r="A1776"/>
      <c r="B1776"/>
    </row>
    <row r="1777" spans="1:2" x14ac:dyDescent="0.25">
      <c r="A1777"/>
      <c r="B1777"/>
    </row>
    <row r="1778" spans="1:2" x14ac:dyDescent="0.25">
      <c r="A1778"/>
      <c r="B1778"/>
    </row>
    <row r="1779" spans="1:2" x14ac:dyDescent="0.25">
      <c r="A1779"/>
      <c r="B1779"/>
    </row>
    <row r="1780" spans="1:2" x14ac:dyDescent="0.25">
      <c r="A1780"/>
      <c r="B1780"/>
    </row>
    <row r="1781" spans="1:2" x14ac:dyDescent="0.25">
      <c r="A1781"/>
      <c r="B1781"/>
    </row>
    <row r="1782" spans="1:2" x14ac:dyDescent="0.25">
      <c r="A1782"/>
      <c r="B1782"/>
    </row>
    <row r="1783" spans="1:2" x14ac:dyDescent="0.25">
      <c r="A1783"/>
      <c r="B1783"/>
    </row>
    <row r="1784" spans="1:2" x14ac:dyDescent="0.25">
      <c r="A1784"/>
      <c r="B1784"/>
    </row>
    <row r="1785" spans="1:2" x14ac:dyDescent="0.25">
      <c r="A1785"/>
      <c r="B1785"/>
    </row>
    <row r="1786" spans="1:2" x14ac:dyDescent="0.25">
      <c r="A1786"/>
      <c r="B1786"/>
    </row>
    <row r="1787" spans="1:2" x14ac:dyDescent="0.25">
      <c r="A1787"/>
      <c r="B1787"/>
    </row>
    <row r="1788" spans="1:2" x14ac:dyDescent="0.25">
      <c r="A1788"/>
      <c r="B1788"/>
    </row>
    <row r="1789" spans="1:2" x14ac:dyDescent="0.25">
      <c r="A1789"/>
      <c r="B1789"/>
    </row>
    <row r="1790" spans="1:2" x14ac:dyDescent="0.25">
      <c r="A1790"/>
      <c r="B1790"/>
    </row>
    <row r="1791" spans="1:2" x14ac:dyDescent="0.25">
      <c r="A1791"/>
      <c r="B1791"/>
    </row>
    <row r="1792" spans="1:2" x14ac:dyDescent="0.25">
      <c r="A1792"/>
      <c r="B1792"/>
    </row>
    <row r="1793" spans="1:2" x14ac:dyDescent="0.25">
      <c r="A1793"/>
      <c r="B1793"/>
    </row>
    <row r="1794" spans="1:2" x14ac:dyDescent="0.25">
      <c r="A1794"/>
      <c r="B1794"/>
    </row>
    <row r="1795" spans="1:2" x14ac:dyDescent="0.25">
      <c r="A1795"/>
      <c r="B1795"/>
    </row>
    <row r="1796" spans="1:2" x14ac:dyDescent="0.25">
      <c r="A1796"/>
      <c r="B1796"/>
    </row>
    <row r="1797" spans="1:2" x14ac:dyDescent="0.25">
      <c r="A1797"/>
      <c r="B1797"/>
    </row>
    <row r="1798" spans="1:2" x14ac:dyDescent="0.25">
      <c r="A1798"/>
      <c r="B1798"/>
    </row>
    <row r="1799" spans="1:2" x14ac:dyDescent="0.25">
      <c r="A1799"/>
      <c r="B1799"/>
    </row>
    <row r="1800" spans="1:2" x14ac:dyDescent="0.25">
      <c r="A1800"/>
      <c r="B1800"/>
    </row>
    <row r="1801" spans="1:2" x14ac:dyDescent="0.25">
      <c r="A1801"/>
      <c r="B1801"/>
    </row>
    <row r="1802" spans="1:2" x14ac:dyDescent="0.25">
      <c r="A1802"/>
      <c r="B1802"/>
    </row>
    <row r="1803" spans="1:2" x14ac:dyDescent="0.25">
      <c r="A1803"/>
      <c r="B1803"/>
    </row>
    <row r="1804" spans="1:2" x14ac:dyDescent="0.25">
      <c r="A1804"/>
      <c r="B1804"/>
    </row>
    <row r="1805" spans="1:2" x14ac:dyDescent="0.25">
      <c r="A1805"/>
      <c r="B1805"/>
    </row>
    <row r="1806" spans="1:2" x14ac:dyDescent="0.25">
      <c r="A1806"/>
      <c r="B1806"/>
    </row>
    <row r="1807" spans="1:2" x14ac:dyDescent="0.25">
      <c r="A1807"/>
      <c r="B1807"/>
    </row>
    <row r="1808" spans="1:2" x14ac:dyDescent="0.25">
      <c r="A1808"/>
      <c r="B1808"/>
    </row>
    <row r="1809" spans="1:2" x14ac:dyDescent="0.25">
      <c r="A1809"/>
      <c r="B1809"/>
    </row>
    <row r="1810" spans="1:2" x14ac:dyDescent="0.25">
      <c r="A1810"/>
      <c r="B1810"/>
    </row>
    <row r="1811" spans="1:2" x14ac:dyDescent="0.25">
      <c r="A1811"/>
      <c r="B1811"/>
    </row>
    <row r="1812" spans="1:2" x14ac:dyDescent="0.25">
      <c r="A1812"/>
      <c r="B1812"/>
    </row>
    <row r="1813" spans="1:2" x14ac:dyDescent="0.25">
      <c r="A1813"/>
      <c r="B1813"/>
    </row>
    <row r="1814" spans="1:2" x14ac:dyDescent="0.25">
      <c r="A1814"/>
      <c r="B1814"/>
    </row>
    <row r="1815" spans="1:2" x14ac:dyDescent="0.25">
      <c r="A1815"/>
      <c r="B1815"/>
    </row>
    <row r="1816" spans="1:2" x14ac:dyDescent="0.25">
      <c r="A1816"/>
      <c r="B1816"/>
    </row>
    <row r="1817" spans="1:2" x14ac:dyDescent="0.25">
      <c r="A1817"/>
      <c r="B1817"/>
    </row>
    <row r="1818" spans="1:2" x14ac:dyDescent="0.25">
      <c r="A1818"/>
      <c r="B1818"/>
    </row>
    <row r="1819" spans="1:2" x14ac:dyDescent="0.25">
      <c r="A1819"/>
      <c r="B1819"/>
    </row>
    <row r="1820" spans="1:2" x14ac:dyDescent="0.25">
      <c r="A1820"/>
      <c r="B1820"/>
    </row>
    <row r="1821" spans="1:2" x14ac:dyDescent="0.25">
      <c r="A1821"/>
      <c r="B1821"/>
    </row>
    <row r="1822" spans="1:2" x14ac:dyDescent="0.25">
      <c r="A1822"/>
      <c r="B1822"/>
    </row>
    <row r="1823" spans="1:2" x14ac:dyDescent="0.25">
      <c r="A1823"/>
      <c r="B1823"/>
    </row>
    <row r="1824" spans="1:2" x14ac:dyDescent="0.25">
      <c r="A1824"/>
      <c r="B1824"/>
    </row>
    <row r="1825" spans="1:2" x14ac:dyDescent="0.25">
      <c r="A1825"/>
      <c r="B1825"/>
    </row>
    <row r="1826" spans="1:2" x14ac:dyDescent="0.25">
      <c r="A1826"/>
      <c r="B1826"/>
    </row>
    <row r="1827" spans="1:2" x14ac:dyDescent="0.25">
      <c r="A1827"/>
      <c r="B1827"/>
    </row>
    <row r="1828" spans="1:2" x14ac:dyDescent="0.25">
      <c r="A1828"/>
      <c r="B1828"/>
    </row>
    <row r="1829" spans="1:2" x14ac:dyDescent="0.25">
      <c r="A1829"/>
      <c r="B1829"/>
    </row>
    <row r="1830" spans="1:2" x14ac:dyDescent="0.25">
      <c r="A1830"/>
      <c r="B1830"/>
    </row>
    <row r="1831" spans="1:2" x14ac:dyDescent="0.25">
      <c r="A1831"/>
      <c r="B1831"/>
    </row>
    <row r="1832" spans="1:2" x14ac:dyDescent="0.25">
      <c r="A1832"/>
      <c r="B1832"/>
    </row>
    <row r="1833" spans="1:2" x14ac:dyDescent="0.25">
      <c r="A1833"/>
      <c r="B1833"/>
    </row>
    <row r="1834" spans="1:2" x14ac:dyDescent="0.25">
      <c r="A1834"/>
      <c r="B1834"/>
    </row>
    <row r="1835" spans="1:2" x14ac:dyDescent="0.25">
      <c r="A1835"/>
      <c r="B1835"/>
    </row>
    <row r="1836" spans="1:2" x14ac:dyDescent="0.25">
      <c r="A1836"/>
      <c r="B1836"/>
    </row>
    <row r="1837" spans="1:2" x14ac:dyDescent="0.25">
      <c r="A1837"/>
      <c r="B1837"/>
    </row>
    <row r="1838" spans="1:2" x14ac:dyDescent="0.25">
      <c r="A1838"/>
      <c r="B1838"/>
    </row>
    <row r="1839" spans="1:2" x14ac:dyDescent="0.25">
      <c r="A1839"/>
      <c r="B1839"/>
    </row>
    <row r="1840" spans="1:2" x14ac:dyDescent="0.25">
      <c r="A1840"/>
      <c r="B1840"/>
    </row>
    <row r="1841" spans="1:2" x14ac:dyDescent="0.25">
      <c r="A1841"/>
      <c r="B1841"/>
    </row>
    <row r="1842" spans="1:2" x14ac:dyDescent="0.25">
      <c r="A1842"/>
      <c r="B1842"/>
    </row>
    <row r="1843" spans="1:2" x14ac:dyDescent="0.25">
      <c r="A1843"/>
      <c r="B1843"/>
    </row>
    <row r="1844" spans="1:2" x14ac:dyDescent="0.25">
      <c r="A1844"/>
      <c r="B1844"/>
    </row>
    <row r="1845" spans="1:2" x14ac:dyDescent="0.25">
      <c r="A1845"/>
      <c r="B1845"/>
    </row>
    <row r="1846" spans="1:2" x14ac:dyDescent="0.25">
      <c r="A1846"/>
      <c r="B1846"/>
    </row>
    <row r="1847" spans="1:2" x14ac:dyDescent="0.25">
      <c r="A1847"/>
      <c r="B1847"/>
    </row>
    <row r="1848" spans="1:2" x14ac:dyDescent="0.25">
      <c r="A1848"/>
      <c r="B1848"/>
    </row>
    <row r="1849" spans="1:2" x14ac:dyDescent="0.25">
      <c r="A1849"/>
      <c r="B1849"/>
    </row>
    <row r="1850" spans="1:2" x14ac:dyDescent="0.25">
      <c r="A1850"/>
      <c r="B1850"/>
    </row>
    <row r="1851" spans="1:2" x14ac:dyDescent="0.25">
      <c r="A1851"/>
      <c r="B1851"/>
    </row>
    <row r="1852" spans="1:2" x14ac:dyDescent="0.25">
      <c r="A1852"/>
      <c r="B1852"/>
    </row>
    <row r="1853" spans="1:2" x14ac:dyDescent="0.25">
      <c r="A1853"/>
      <c r="B1853"/>
    </row>
    <row r="1854" spans="1:2" x14ac:dyDescent="0.25">
      <c r="A1854"/>
      <c r="B1854"/>
    </row>
    <row r="1855" spans="1:2" x14ac:dyDescent="0.25">
      <c r="A1855"/>
      <c r="B1855"/>
    </row>
    <row r="1856" spans="1:2" x14ac:dyDescent="0.25">
      <c r="A1856"/>
      <c r="B1856"/>
    </row>
    <row r="1857" spans="1:2" x14ac:dyDescent="0.25">
      <c r="A1857"/>
      <c r="B1857"/>
    </row>
    <row r="1858" spans="1:2" x14ac:dyDescent="0.25">
      <c r="A1858"/>
      <c r="B1858"/>
    </row>
    <row r="1859" spans="1:2" x14ac:dyDescent="0.25">
      <c r="A1859"/>
      <c r="B1859"/>
    </row>
    <row r="1860" spans="1:2" x14ac:dyDescent="0.25">
      <c r="A1860"/>
      <c r="B1860"/>
    </row>
    <row r="1861" spans="1:2" x14ac:dyDescent="0.25">
      <c r="A1861"/>
      <c r="B1861"/>
    </row>
    <row r="1862" spans="1:2" x14ac:dyDescent="0.25">
      <c r="A1862"/>
      <c r="B1862"/>
    </row>
    <row r="1863" spans="1:2" x14ac:dyDescent="0.25">
      <c r="A1863"/>
      <c r="B1863"/>
    </row>
    <row r="1864" spans="1:2" x14ac:dyDescent="0.25">
      <c r="A1864"/>
      <c r="B1864"/>
    </row>
    <row r="1865" spans="1:2" x14ac:dyDescent="0.25">
      <c r="A1865"/>
      <c r="B1865"/>
    </row>
    <row r="1866" spans="1:2" x14ac:dyDescent="0.25">
      <c r="A1866"/>
      <c r="B1866"/>
    </row>
    <row r="1867" spans="1:2" x14ac:dyDescent="0.25">
      <c r="A1867"/>
      <c r="B1867"/>
    </row>
    <row r="1868" spans="1:2" x14ac:dyDescent="0.25">
      <c r="A1868"/>
      <c r="B1868"/>
    </row>
    <row r="1869" spans="1:2" x14ac:dyDescent="0.25">
      <c r="A1869"/>
      <c r="B1869"/>
    </row>
    <row r="1870" spans="1:2" x14ac:dyDescent="0.25">
      <c r="A1870"/>
      <c r="B1870"/>
    </row>
    <row r="1871" spans="1:2" x14ac:dyDescent="0.25">
      <c r="A1871"/>
      <c r="B1871"/>
    </row>
    <row r="1872" spans="1:2" x14ac:dyDescent="0.25">
      <c r="A1872"/>
      <c r="B1872"/>
    </row>
    <row r="1873" spans="1:2" x14ac:dyDescent="0.25">
      <c r="A1873"/>
      <c r="B1873"/>
    </row>
    <row r="1874" spans="1:2" x14ac:dyDescent="0.25">
      <c r="A1874"/>
      <c r="B1874"/>
    </row>
    <row r="1875" spans="1:2" x14ac:dyDescent="0.25">
      <c r="A1875"/>
      <c r="B1875"/>
    </row>
    <row r="1876" spans="1:2" x14ac:dyDescent="0.25">
      <c r="A1876"/>
      <c r="B1876"/>
    </row>
    <row r="1877" spans="1:2" x14ac:dyDescent="0.25">
      <c r="A1877"/>
      <c r="B1877"/>
    </row>
    <row r="1878" spans="1:2" x14ac:dyDescent="0.25">
      <c r="A1878"/>
      <c r="B1878"/>
    </row>
    <row r="1879" spans="1:2" x14ac:dyDescent="0.25">
      <c r="A1879"/>
      <c r="B1879"/>
    </row>
    <row r="1880" spans="1:2" x14ac:dyDescent="0.25">
      <c r="A1880"/>
      <c r="B1880"/>
    </row>
    <row r="1881" spans="1:2" x14ac:dyDescent="0.25">
      <c r="A1881"/>
      <c r="B1881"/>
    </row>
    <row r="1882" spans="1:2" x14ac:dyDescent="0.25">
      <c r="A1882"/>
      <c r="B1882"/>
    </row>
    <row r="1883" spans="1:2" x14ac:dyDescent="0.25">
      <c r="A1883"/>
      <c r="B1883"/>
    </row>
    <row r="1884" spans="1:2" x14ac:dyDescent="0.25">
      <c r="A1884"/>
      <c r="B1884"/>
    </row>
    <row r="1885" spans="1:2" x14ac:dyDescent="0.25">
      <c r="A1885"/>
      <c r="B1885"/>
    </row>
    <row r="1886" spans="1:2" x14ac:dyDescent="0.25">
      <c r="A1886"/>
      <c r="B1886"/>
    </row>
    <row r="1887" spans="1:2" x14ac:dyDescent="0.25">
      <c r="A1887"/>
      <c r="B1887"/>
    </row>
    <row r="1888" spans="1:2" x14ac:dyDescent="0.25">
      <c r="A1888"/>
      <c r="B1888"/>
    </row>
    <row r="1889" spans="1:2" x14ac:dyDescent="0.25">
      <c r="A1889"/>
      <c r="B1889"/>
    </row>
    <row r="1890" spans="1:2" x14ac:dyDescent="0.25">
      <c r="A1890"/>
      <c r="B1890"/>
    </row>
    <row r="1891" spans="1:2" x14ac:dyDescent="0.25">
      <c r="A1891"/>
      <c r="B1891"/>
    </row>
    <row r="1892" spans="1:2" x14ac:dyDescent="0.25">
      <c r="A1892"/>
      <c r="B1892"/>
    </row>
    <row r="1893" spans="1:2" x14ac:dyDescent="0.25">
      <c r="A1893"/>
      <c r="B1893"/>
    </row>
    <row r="1894" spans="1:2" x14ac:dyDescent="0.25">
      <c r="A1894"/>
      <c r="B1894"/>
    </row>
    <row r="1895" spans="1:2" x14ac:dyDescent="0.25">
      <c r="A1895"/>
      <c r="B1895"/>
    </row>
    <row r="1896" spans="1:2" x14ac:dyDescent="0.25">
      <c r="A1896"/>
      <c r="B1896"/>
    </row>
    <row r="1897" spans="1:2" x14ac:dyDescent="0.25">
      <c r="A1897"/>
      <c r="B1897"/>
    </row>
    <row r="1898" spans="1:2" x14ac:dyDescent="0.25">
      <c r="A1898"/>
      <c r="B1898"/>
    </row>
    <row r="1899" spans="1:2" x14ac:dyDescent="0.25">
      <c r="A1899"/>
      <c r="B1899"/>
    </row>
    <row r="1900" spans="1:2" x14ac:dyDescent="0.25">
      <c r="A1900"/>
      <c r="B1900"/>
    </row>
    <row r="1901" spans="1:2" x14ac:dyDescent="0.25">
      <c r="A1901"/>
      <c r="B1901"/>
    </row>
    <row r="1902" spans="1:2" x14ac:dyDescent="0.25">
      <c r="A1902"/>
      <c r="B1902"/>
    </row>
    <row r="1903" spans="1:2" x14ac:dyDescent="0.25">
      <c r="A1903"/>
      <c r="B1903"/>
    </row>
    <row r="1904" spans="1:2" x14ac:dyDescent="0.25">
      <c r="A1904"/>
      <c r="B1904"/>
    </row>
    <row r="1905" spans="1:2" x14ac:dyDescent="0.25">
      <c r="A1905"/>
      <c r="B1905"/>
    </row>
    <row r="1906" spans="1:2" x14ac:dyDescent="0.25">
      <c r="A1906"/>
      <c r="B1906"/>
    </row>
    <row r="1907" spans="1:2" x14ac:dyDescent="0.25">
      <c r="A1907"/>
      <c r="B1907"/>
    </row>
    <row r="1908" spans="1:2" x14ac:dyDescent="0.25">
      <c r="A1908"/>
      <c r="B1908"/>
    </row>
    <row r="1909" spans="1:2" x14ac:dyDescent="0.25">
      <c r="A1909"/>
      <c r="B1909"/>
    </row>
    <row r="1910" spans="1:2" x14ac:dyDescent="0.25">
      <c r="A1910"/>
      <c r="B1910"/>
    </row>
    <row r="1911" spans="1:2" x14ac:dyDescent="0.25">
      <c r="A1911"/>
      <c r="B1911"/>
    </row>
    <row r="1912" spans="1:2" x14ac:dyDescent="0.25">
      <c r="A1912"/>
      <c r="B1912"/>
    </row>
    <row r="1913" spans="1:2" x14ac:dyDescent="0.25">
      <c r="A1913"/>
      <c r="B1913"/>
    </row>
    <row r="1914" spans="1:2" x14ac:dyDescent="0.25">
      <c r="A1914"/>
      <c r="B1914"/>
    </row>
    <row r="1915" spans="1:2" x14ac:dyDescent="0.25">
      <c r="A1915"/>
      <c r="B1915"/>
    </row>
    <row r="1916" spans="1:2" x14ac:dyDescent="0.25">
      <c r="A1916"/>
      <c r="B1916"/>
    </row>
    <row r="1917" spans="1:2" x14ac:dyDescent="0.25">
      <c r="A1917"/>
      <c r="B1917"/>
    </row>
    <row r="1918" spans="1:2" x14ac:dyDescent="0.25">
      <c r="A1918"/>
      <c r="B1918"/>
    </row>
    <row r="1919" spans="1:2" x14ac:dyDescent="0.25">
      <c r="A1919"/>
      <c r="B1919"/>
    </row>
    <row r="1920" spans="1:2" x14ac:dyDescent="0.25">
      <c r="A1920"/>
      <c r="B1920"/>
    </row>
    <row r="1921" spans="1:2" x14ac:dyDescent="0.25">
      <c r="A1921"/>
      <c r="B1921"/>
    </row>
    <row r="1922" spans="1:2" x14ac:dyDescent="0.25">
      <c r="A1922"/>
      <c r="B1922"/>
    </row>
    <row r="1923" spans="1:2" x14ac:dyDescent="0.25">
      <c r="A1923"/>
      <c r="B1923"/>
    </row>
    <row r="1924" spans="1:2" x14ac:dyDescent="0.25">
      <c r="A1924"/>
      <c r="B1924"/>
    </row>
    <row r="1925" spans="1:2" x14ac:dyDescent="0.25">
      <c r="A1925"/>
      <c r="B1925"/>
    </row>
    <row r="1926" spans="1:2" x14ac:dyDescent="0.25">
      <c r="A1926"/>
      <c r="B1926"/>
    </row>
    <row r="1927" spans="1:2" x14ac:dyDescent="0.25">
      <c r="A1927"/>
      <c r="B1927"/>
    </row>
    <row r="1928" spans="1:2" x14ac:dyDescent="0.25">
      <c r="A1928"/>
      <c r="B1928"/>
    </row>
    <row r="1929" spans="1:2" x14ac:dyDescent="0.25">
      <c r="A1929"/>
      <c r="B1929"/>
    </row>
    <row r="1930" spans="1:2" x14ac:dyDescent="0.25">
      <c r="A1930"/>
      <c r="B1930"/>
    </row>
    <row r="1931" spans="1:2" x14ac:dyDescent="0.25">
      <c r="A1931"/>
      <c r="B1931"/>
    </row>
    <row r="1932" spans="1:2" x14ac:dyDescent="0.25">
      <c r="A1932"/>
      <c r="B1932"/>
    </row>
    <row r="1933" spans="1:2" x14ac:dyDescent="0.25">
      <c r="A1933"/>
      <c r="B1933"/>
    </row>
    <row r="1934" spans="1:2" x14ac:dyDescent="0.25">
      <c r="A1934"/>
      <c r="B1934"/>
    </row>
    <row r="1935" spans="1:2" x14ac:dyDescent="0.25">
      <c r="A1935"/>
      <c r="B1935"/>
    </row>
    <row r="1936" spans="1:2" x14ac:dyDescent="0.25">
      <c r="A1936"/>
      <c r="B1936"/>
    </row>
    <row r="1937" spans="1:2" x14ac:dyDescent="0.25">
      <c r="A1937"/>
      <c r="B1937"/>
    </row>
    <row r="1938" spans="1:2" x14ac:dyDescent="0.25">
      <c r="A1938"/>
      <c r="B1938"/>
    </row>
    <row r="1939" spans="1:2" x14ac:dyDescent="0.25">
      <c r="A1939"/>
      <c r="B1939"/>
    </row>
    <row r="1940" spans="1:2" x14ac:dyDescent="0.25">
      <c r="A1940"/>
      <c r="B1940"/>
    </row>
    <row r="1941" spans="1:2" x14ac:dyDescent="0.25">
      <c r="A1941"/>
      <c r="B1941"/>
    </row>
    <row r="1942" spans="1:2" x14ac:dyDescent="0.25">
      <c r="A1942"/>
      <c r="B1942"/>
    </row>
    <row r="1943" spans="1:2" x14ac:dyDescent="0.25">
      <c r="A1943"/>
      <c r="B1943"/>
    </row>
    <row r="1944" spans="1:2" x14ac:dyDescent="0.25">
      <c r="A1944"/>
      <c r="B1944"/>
    </row>
    <row r="1945" spans="1:2" x14ac:dyDescent="0.25">
      <c r="A1945"/>
      <c r="B1945"/>
    </row>
    <row r="1946" spans="1:2" x14ac:dyDescent="0.25">
      <c r="A1946"/>
      <c r="B1946"/>
    </row>
    <row r="1947" spans="1:2" x14ac:dyDescent="0.25">
      <c r="A1947"/>
      <c r="B1947"/>
    </row>
    <row r="1948" spans="1:2" x14ac:dyDescent="0.25">
      <c r="A1948"/>
      <c r="B1948"/>
    </row>
    <row r="1949" spans="1:2" x14ac:dyDescent="0.25">
      <c r="A1949"/>
      <c r="B1949"/>
    </row>
    <row r="1950" spans="1:2" x14ac:dyDescent="0.25">
      <c r="A1950"/>
      <c r="B1950"/>
    </row>
    <row r="1951" spans="1:2" x14ac:dyDescent="0.25">
      <c r="A1951"/>
      <c r="B1951"/>
    </row>
    <row r="1952" spans="1:2" x14ac:dyDescent="0.25">
      <c r="A1952"/>
      <c r="B1952"/>
    </row>
    <row r="1953" spans="1:2" x14ac:dyDescent="0.25">
      <c r="A1953"/>
      <c r="B1953"/>
    </row>
    <row r="1954" spans="1:2" x14ac:dyDescent="0.25">
      <c r="A1954"/>
      <c r="B1954"/>
    </row>
    <row r="1955" spans="1:2" x14ac:dyDescent="0.25">
      <c r="A1955"/>
      <c r="B1955"/>
    </row>
    <row r="1956" spans="1:2" x14ac:dyDescent="0.25">
      <c r="A1956"/>
      <c r="B1956"/>
    </row>
    <row r="1957" spans="1:2" x14ac:dyDescent="0.25">
      <c r="A1957"/>
      <c r="B1957"/>
    </row>
    <row r="1958" spans="1:2" x14ac:dyDescent="0.25">
      <c r="A1958"/>
      <c r="B1958"/>
    </row>
    <row r="1959" spans="1:2" x14ac:dyDescent="0.25">
      <c r="A1959"/>
      <c r="B1959"/>
    </row>
    <row r="1960" spans="1:2" x14ac:dyDescent="0.25">
      <c r="A1960"/>
      <c r="B1960"/>
    </row>
    <row r="1961" spans="1:2" x14ac:dyDescent="0.25">
      <c r="A1961"/>
      <c r="B1961"/>
    </row>
    <row r="1962" spans="1:2" x14ac:dyDescent="0.25">
      <c r="A1962"/>
      <c r="B1962"/>
    </row>
    <row r="1963" spans="1:2" x14ac:dyDescent="0.25">
      <c r="A1963"/>
      <c r="B1963"/>
    </row>
    <row r="1964" spans="1:2" x14ac:dyDescent="0.25">
      <c r="A1964"/>
      <c r="B1964"/>
    </row>
    <row r="1965" spans="1:2" x14ac:dyDescent="0.25">
      <c r="A1965"/>
      <c r="B1965"/>
    </row>
    <row r="1966" spans="1:2" x14ac:dyDescent="0.25">
      <c r="A1966"/>
      <c r="B1966"/>
    </row>
    <row r="1967" spans="1:2" x14ac:dyDescent="0.25">
      <c r="A1967"/>
      <c r="B1967"/>
    </row>
    <row r="1968" spans="1:2" x14ac:dyDescent="0.25">
      <c r="A1968"/>
      <c r="B1968"/>
    </row>
    <row r="1969" spans="1:2" x14ac:dyDescent="0.25">
      <c r="A1969"/>
      <c r="B1969"/>
    </row>
    <row r="1970" spans="1:2" x14ac:dyDescent="0.25">
      <c r="A1970"/>
      <c r="B1970"/>
    </row>
    <row r="1971" spans="1:2" x14ac:dyDescent="0.25">
      <c r="A1971"/>
      <c r="B1971"/>
    </row>
    <row r="1972" spans="1:2" x14ac:dyDescent="0.25">
      <c r="A1972"/>
      <c r="B1972"/>
    </row>
    <row r="1973" spans="1:2" x14ac:dyDescent="0.25">
      <c r="A1973"/>
      <c r="B1973"/>
    </row>
    <row r="1974" spans="1:2" x14ac:dyDescent="0.25">
      <c r="A1974"/>
      <c r="B1974"/>
    </row>
    <row r="1975" spans="1:2" x14ac:dyDescent="0.25">
      <c r="A1975"/>
      <c r="B1975"/>
    </row>
    <row r="1976" spans="1:2" x14ac:dyDescent="0.25">
      <c r="A1976"/>
      <c r="B1976"/>
    </row>
    <row r="1977" spans="1:2" x14ac:dyDescent="0.25">
      <c r="A1977"/>
      <c r="B1977"/>
    </row>
    <row r="1978" spans="1:2" x14ac:dyDescent="0.25">
      <c r="A1978"/>
      <c r="B1978"/>
    </row>
    <row r="1979" spans="1:2" x14ac:dyDescent="0.25">
      <c r="A1979"/>
      <c r="B1979"/>
    </row>
    <row r="1980" spans="1:2" x14ac:dyDescent="0.25">
      <c r="A1980"/>
      <c r="B1980"/>
    </row>
    <row r="1981" spans="1:2" x14ac:dyDescent="0.25">
      <c r="A1981"/>
      <c r="B1981"/>
    </row>
    <row r="1982" spans="1:2" x14ac:dyDescent="0.25">
      <c r="A1982"/>
      <c r="B1982"/>
    </row>
    <row r="1983" spans="1:2" x14ac:dyDescent="0.25">
      <c r="A1983"/>
      <c r="B1983"/>
    </row>
    <row r="1984" spans="1:2" x14ac:dyDescent="0.25">
      <c r="A1984"/>
      <c r="B1984"/>
    </row>
    <row r="1985" spans="1:2" x14ac:dyDescent="0.25">
      <c r="A1985"/>
      <c r="B1985"/>
    </row>
    <row r="1986" spans="1:2" x14ac:dyDescent="0.25">
      <c r="A1986"/>
      <c r="B1986"/>
    </row>
    <row r="1987" spans="1:2" x14ac:dyDescent="0.25">
      <c r="A1987"/>
      <c r="B1987"/>
    </row>
    <row r="1988" spans="1:2" x14ac:dyDescent="0.25">
      <c r="A1988"/>
      <c r="B1988"/>
    </row>
    <row r="1989" spans="1:2" x14ac:dyDescent="0.25">
      <c r="A1989"/>
      <c r="B1989"/>
    </row>
    <row r="1990" spans="1:2" x14ac:dyDescent="0.25">
      <c r="A1990"/>
      <c r="B1990"/>
    </row>
    <row r="1991" spans="1:2" x14ac:dyDescent="0.25">
      <c r="A1991"/>
      <c r="B1991"/>
    </row>
    <row r="1992" spans="1:2" x14ac:dyDescent="0.25">
      <c r="A1992"/>
      <c r="B1992"/>
    </row>
    <row r="1993" spans="1:2" x14ac:dyDescent="0.25">
      <c r="A1993"/>
      <c r="B1993"/>
    </row>
    <row r="1994" spans="1:2" x14ac:dyDescent="0.25">
      <c r="A1994"/>
      <c r="B1994"/>
    </row>
    <row r="1995" spans="1:2" x14ac:dyDescent="0.25">
      <c r="A1995"/>
      <c r="B1995"/>
    </row>
    <row r="1996" spans="1:2" x14ac:dyDescent="0.25">
      <c r="A1996"/>
      <c r="B1996"/>
    </row>
    <row r="1997" spans="1:2" x14ac:dyDescent="0.25">
      <c r="A1997"/>
      <c r="B1997"/>
    </row>
    <row r="1998" spans="1:2" x14ac:dyDescent="0.25">
      <c r="A1998"/>
      <c r="B1998"/>
    </row>
    <row r="1999" spans="1:2" x14ac:dyDescent="0.25">
      <c r="A1999"/>
      <c r="B1999"/>
    </row>
    <row r="2000" spans="1:2" x14ac:dyDescent="0.25">
      <c r="A2000"/>
      <c r="B2000"/>
    </row>
    <row r="2001" spans="1:2" x14ac:dyDescent="0.25">
      <c r="A2001"/>
      <c r="B2001"/>
    </row>
    <row r="2002" spans="1:2" x14ac:dyDescent="0.25">
      <c r="A2002"/>
      <c r="B2002"/>
    </row>
    <row r="2003" spans="1:2" x14ac:dyDescent="0.25">
      <c r="A2003"/>
      <c r="B2003"/>
    </row>
    <row r="2004" spans="1:2" x14ac:dyDescent="0.25">
      <c r="A2004"/>
      <c r="B2004"/>
    </row>
    <row r="2005" spans="1:2" x14ac:dyDescent="0.25">
      <c r="A2005"/>
      <c r="B2005"/>
    </row>
    <row r="2006" spans="1:2" x14ac:dyDescent="0.25">
      <c r="A2006"/>
      <c r="B2006"/>
    </row>
    <row r="2007" spans="1:2" x14ac:dyDescent="0.25">
      <c r="A2007"/>
      <c r="B2007"/>
    </row>
    <row r="2008" spans="1:2" x14ac:dyDescent="0.25">
      <c r="A2008"/>
      <c r="B2008"/>
    </row>
    <row r="2009" spans="1:2" x14ac:dyDescent="0.25">
      <c r="A2009"/>
      <c r="B2009"/>
    </row>
    <row r="2010" spans="1:2" x14ac:dyDescent="0.25">
      <c r="A2010"/>
      <c r="B2010"/>
    </row>
    <row r="2011" spans="1:2" x14ac:dyDescent="0.25">
      <c r="A2011"/>
      <c r="B2011"/>
    </row>
    <row r="2012" spans="1:2" x14ac:dyDescent="0.25">
      <c r="A2012"/>
      <c r="B2012"/>
    </row>
    <row r="2013" spans="1:2" x14ac:dyDescent="0.25">
      <c r="A2013"/>
      <c r="B2013"/>
    </row>
    <row r="2014" spans="1:2" x14ac:dyDescent="0.25">
      <c r="A2014"/>
      <c r="B2014"/>
    </row>
    <row r="2015" spans="1:2" x14ac:dyDescent="0.25">
      <c r="A2015"/>
      <c r="B2015"/>
    </row>
    <row r="2016" spans="1:2" x14ac:dyDescent="0.25">
      <c r="A2016"/>
      <c r="B2016"/>
    </row>
    <row r="2017" spans="1:2" x14ac:dyDescent="0.25">
      <c r="A2017"/>
      <c r="B2017"/>
    </row>
    <row r="2018" spans="1:2" x14ac:dyDescent="0.25">
      <c r="A2018"/>
      <c r="B2018"/>
    </row>
    <row r="2019" spans="1:2" x14ac:dyDescent="0.25">
      <c r="A2019"/>
      <c r="B2019"/>
    </row>
    <row r="2020" spans="1:2" x14ac:dyDescent="0.25">
      <c r="A2020"/>
      <c r="B2020"/>
    </row>
    <row r="2021" spans="1:2" x14ac:dyDescent="0.25">
      <c r="A2021"/>
      <c r="B2021"/>
    </row>
    <row r="2022" spans="1:2" x14ac:dyDescent="0.25">
      <c r="A2022"/>
      <c r="B2022"/>
    </row>
    <row r="2023" spans="1:2" x14ac:dyDescent="0.25">
      <c r="A2023"/>
      <c r="B2023"/>
    </row>
    <row r="2024" spans="1:2" x14ac:dyDescent="0.25">
      <c r="A2024"/>
      <c r="B2024"/>
    </row>
    <row r="2025" spans="1:2" x14ac:dyDescent="0.25">
      <c r="A2025"/>
      <c r="B2025"/>
    </row>
    <row r="2026" spans="1:2" x14ac:dyDescent="0.25">
      <c r="A2026"/>
      <c r="B2026"/>
    </row>
    <row r="2027" spans="1:2" x14ac:dyDescent="0.25">
      <c r="A2027"/>
      <c r="B2027"/>
    </row>
    <row r="2028" spans="1:2" x14ac:dyDescent="0.25">
      <c r="A2028"/>
      <c r="B2028"/>
    </row>
    <row r="2029" spans="1:2" x14ac:dyDescent="0.25">
      <c r="A2029"/>
      <c r="B2029"/>
    </row>
    <row r="2030" spans="1:2" x14ac:dyDescent="0.25">
      <c r="A2030"/>
      <c r="B2030"/>
    </row>
    <row r="2031" spans="1:2" x14ac:dyDescent="0.25">
      <c r="A2031"/>
      <c r="B2031"/>
    </row>
    <row r="2032" spans="1:2" x14ac:dyDescent="0.25">
      <c r="A2032"/>
      <c r="B2032"/>
    </row>
    <row r="2033" spans="1:2" x14ac:dyDescent="0.25">
      <c r="A2033"/>
      <c r="B2033"/>
    </row>
    <row r="2034" spans="1:2" x14ac:dyDescent="0.25">
      <c r="A2034"/>
      <c r="B2034"/>
    </row>
    <row r="2035" spans="1:2" x14ac:dyDescent="0.25">
      <c r="A2035"/>
      <c r="B2035"/>
    </row>
    <row r="2036" spans="1:2" x14ac:dyDescent="0.25">
      <c r="A2036"/>
      <c r="B2036"/>
    </row>
    <row r="2037" spans="1:2" x14ac:dyDescent="0.25">
      <c r="A2037"/>
      <c r="B2037"/>
    </row>
    <row r="2038" spans="1:2" x14ac:dyDescent="0.25">
      <c r="A2038"/>
      <c r="B2038"/>
    </row>
    <row r="2039" spans="1:2" x14ac:dyDescent="0.25">
      <c r="A2039"/>
      <c r="B2039"/>
    </row>
    <row r="2040" spans="1:2" x14ac:dyDescent="0.25">
      <c r="A2040"/>
      <c r="B2040"/>
    </row>
    <row r="2041" spans="1:2" x14ac:dyDescent="0.25">
      <c r="A2041"/>
      <c r="B2041"/>
    </row>
    <row r="2042" spans="1:2" x14ac:dyDescent="0.25">
      <c r="A2042"/>
      <c r="B2042"/>
    </row>
    <row r="2043" spans="1:2" x14ac:dyDescent="0.25">
      <c r="A2043"/>
      <c r="B2043"/>
    </row>
    <row r="2044" spans="1:2" x14ac:dyDescent="0.25">
      <c r="A2044"/>
      <c r="B2044"/>
    </row>
    <row r="2045" spans="1:2" x14ac:dyDescent="0.25">
      <c r="A2045"/>
      <c r="B2045"/>
    </row>
    <row r="2046" spans="1:2" x14ac:dyDescent="0.25">
      <c r="A2046"/>
      <c r="B2046"/>
    </row>
    <row r="2047" spans="1:2" x14ac:dyDescent="0.25">
      <c r="A2047"/>
      <c r="B2047"/>
    </row>
    <row r="2048" spans="1:2" x14ac:dyDescent="0.25">
      <c r="A2048"/>
      <c r="B2048"/>
    </row>
    <row r="2049" spans="1:2" x14ac:dyDescent="0.25">
      <c r="A2049"/>
      <c r="B2049"/>
    </row>
    <row r="2050" spans="1:2" x14ac:dyDescent="0.25">
      <c r="A2050"/>
      <c r="B2050"/>
    </row>
    <row r="2051" spans="1:2" x14ac:dyDescent="0.25">
      <c r="A2051"/>
      <c r="B2051"/>
    </row>
    <row r="2052" spans="1:2" x14ac:dyDescent="0.25">
      <c r="A2052"/>
      <c r="B2052"/>
    </row>
    <row r="2053" spans="1:2" x14ac:dyDescent="0.25">
      <c r="A2053"/>
      <c r="B2053"/>
    </row>
    <row r="2054" spans="1:2" x14ac:dyDescent="0.25">
      <c r="A2054"/>
      <c r="B2054"/>
    </row>
    <row r="2055" spans="1:2" x14ac:dyDescent="0.25">
      <c r="A2055"/>
      <c r="B2055"/>
    </row>
    <row r="2056" spans="1:2" x14ac:dyDescent="0.25">
      <c r="A2056"/>
      <c r="B2056"/>
    </row>
    <row r="2057" spans="1:2" x14ac:dyDescent="0.25">
      <c r="A2057"/>
      <c r="B2057"/>
    </row>
    <row r="2058" spans="1:2" x14ac:dyDescent="0.25">
      <c r="A2058"/>
      <c r="B2058"/>
    </row>
    <row r="2059" spans="1:2" x14ac:dyDescent="0.25">
      <c r="A2059"/>
      <c r="B2059"/>
    </row>
    <row r="2060" spans="1:2" x14ac:dyDescent="0.25">
      <c r="A2060"/>
      <c r="B2060"/>
    </row>
    <row r="2061" spans="1:2" x14ac:dyDescent="0.25">
      <c r="A2061"/>
      <c r="B2061"/>
    </row>
    <row r="2062" spans="1:2" x14ac:dyDescent="0.25">
      <c r="A2062"/>
      <c r="B2062"/>
    </row>
    <row r="2063" spans="1:2" x14ac:dyDescent="0.25">
      <c r="A2063"/>
      <c r="B2063"/>
    </row>
    <row r="2064" spans="1:2" x14ac:dyDescent="0.25">
      <c r="A2064"/>
      <c r="B2064"/>
    </row>
    <row r="2065" spans="1:2" x14ac:dyDescent="0.25">
      <c r="A2065"/>
      <c r="B2065"/>
    </row>
    <row r="2066" spans="1:2" x14ac:dyDescent="0.25">
      <c r="A2066"/>
      <c r="B2066"/>
    </row>
    <row r="2067" spans="1:2" x14ac:dyDescent="0.25">
      <c r="A2067"/>
      <c r="B2067"/>
    </row>
    <row r="2068" spans="1:2" x14ac:dyDescent="0.25">
      <c r="A2068"/>
      <c r="B2068"/>
    </row>
    <row r="2069" spans="1:2" x14ac:dyDescent="0.25">
      <c r="A2069"/>
      <c r="B2069"/>
    </row>
    <row r="2070" spans="1:2" x14ac:dyDescent="0.25">
      <c r="A2070"/>
      <c r="B2070"/>
    </row>
    <row r="2071" spans="1:2" x14ac:dyDescent="0.25">
      <c r="A2071"/>
      <c r="B2071"/>
    </row>
    <row r="2072" spans="1:2" x14ac:dyDescent="0.25">
      <c r="A2072"/>
      <c r="B2072"/>
    </row>
    <row r="2073" spans="1:2" x14ac:dyDescent="0.25">
      <c r="A2073"/>
      <c r="B2073"/>
    </row>
    <row r="2074" spans="1:2" x14ac:dyDescent="0.25">
      <c r="A2074"/>
      <c r="B2074"/>
    </row>
    <row r="2075" spans="1:2" x14ac:dyDescent="0.25">
      <c r="A2075"/>
      <c r="B2075"/>
    </row>
    <row r="2076" spans="1:2" x14ac:dyDescent="0.25">
      <c r="A2076"/>
      <c r="B2076"/>
    </row>
    <row r="2077" spans="1:2" x14ac:dyDescent="0.25">
      <c r="A2077"/>
      <c r="B2077"/>
    </row>
    <row r="2078" spans="1:2" x14ac:dyDescent="0.25">
      <c r="A2078"/>
      <c r="B2078"/>
    </row>
    <row r="2079" spans="1:2" x14ac:dyDescent="0.25">
      <c r="A2079"/>
      <c r="B2079"/>
    </row>
    <row r="2080" spans="1:2" x14ac:dyDescent="0.25">
      <c r="A2080"/>
      <c r="B2080"/>
    </row>
    <row r="2081" spans="1:2" x14ac:dyDescent="0.25">
      <c r="A2081"/>
      <c r="B2081"/>
    </row>
    <row r="2082" spans="1:2" x14ac:dyDescent="0.25">
      <c r="A2082"/>
      <c r="B2082"/>
    </row>
    <row r="2083" spans="1:2" x14ac:dyDescent="0.25">
      <c r="A2083"/>
      <c r="B2083"/>
    </row>
    <row r="2084" spans="1:2" x14ac:dyDescent="0.25">
      <c r="A2084"/>
      <c r="B2084"/>
    </row>
    <row r="2085" spans="1:2" x14ac:dyDescent="0.25">
      <c r="A2085"/>
      <c r="B2085"/>
    </row>
    <row r="2086" spans="1:2" x14ac:dyDescent="0.25">
      <c r="A2086"/>
      <c r="B2086"/>
    </row>
    <row r="2087" spans="1:2" x14ac:dyDescent="0.25">
      <c r="A2087"/>
      <c r="B2087"/>
    </row>
    <row r="2088" spans="1:2" x14ac:dyDescent="0.25">
      <c r="A2088"/>
      <c r="B2088"/>
    </row>
    <row r="2089" spans="1:2" x14ac:dyDescent="0.25">
      <c r="A2089"/>
      <c r="B2089"/>
    </row>
    <row r="2090" spans="1:2" x14ac:dyDescent="0.25">
      <c r="A2090"/>
      <c r="B2090"/>
    </row>
    <row r="2091" spans="1:2" x14ac:dyDescent="0.25">
      <c r="A2091"/>
      <c r="B2091"/>
    </row>
    <row r="2092" spans="1:2" x14ac:dyDescent="0.25">
      <c r="A2092"/>
      <c r="B2092"/>
    </row>
    <row r="2093" spans="1:2" x14ac:dyDescent="0.25">
      <c r="A2093"/>
      <c r="B2093"/>
    </row>
    <row r="2094" spans="1:2" x14ac:dyDescent="0.25">
      <c r="A2094"/>
      <c r="B2094"/>
    </row>
    <row r="2095" spans="1:2" x14ac:dyDescent="0.25">
      <c r="A2095"/>
      <c r="B2095"/>
    </row>
    <row r="2096" spans="1:2" x14ac:dyDescent="0.25">
      <c r="A2096"/>
      <c r="B2096"/>
    </row>
    <row r="2097" spans="1:2" x14ac:dyDescent="0.25">
      <c r="A2097"/>
      <c r="B2097"/>
    </row>
    <row r="2098" spans="1:2" x14ac:dyDescent="0.25">
      <c r="A2098"/>
      <c r="B2098"/>
    </row>
    <row r="2099" spans="1:2" x14ac:dyDescent="0.25">
      <c r="A2099"/>
      <c r="B2099"/>
    </row>
    <row r="2100" spans="1:2" x14ac:dyDescent="0.25">
      <c r="A2100"/>
      <c r="B2100"/>
    </row>
    <row r="2101" spans="1:2" x14ac:dyDescent="0.25">
      <c r="A2101"/>
      <c r="B2101"/>
    </row>
    <row r="2102" spans="1:2" x14ac:dyDescent="0.25">
      <c r="A2102"/>
      <c r="B2102"/>
    </row>
    <row r="2103" spans="1:2" x14ac:dyDescent="0.25">
      <c r="A2103"/>
      <c r="B2103"/>
    </row>
    <row r="2104" spans="1:2" x14ac:dyDescent="0.25">
      <c r="A2104"/>
      <c r="B2104"/>
    </row>
    <row r="2105" spans="1:2" x14ac:dyDescent="0.25">
      <c r="A2105"/>
      <c r="B2105"/>
    </row>
    <row r="2106" spans="1:2" x14ac:dyDescent="0.25">
      <c r="A2106"/>
      <c r="B2106"/>
    </row>
    <row r="2107" spans="1:2" x14ac:dyDescent="0.25">
      <c r="A2107"/>
      <c r="B2107"/>
    </row>
    <row r="2108" spans="1:2" x14ac:dyDescent="0.25">
      <c r="A2108"/>
      <c r="B2108"/>
    </row>
    <row r="2109" spans="1:2" x14ac:dyDescent="0.25">
      <c r="A2109"/>
      <c r="B2109"/>
    </row>
    <row r="2110" spans="1:2" x14ac:dyDescent="0.25">
      <c r="A2110"/>
      <c r="B2110"/>
    </row>
    <row r="2111" spans="1:2" x14ac:dyDescent="0.25">
      <c r="A2111"/>
      <c r="B2111"/>
    </row>
    <row r="2112" spans="1:2" x14ac:dyDescent="0.25">
      <c r="A2112"/>
      <c r="B2112"/>
    </row>
    <row r="2113" spans="1:2" x14ac:dyDescent="0.25">
      <c r="A2113"/>
      <c r="B2113"/>
    </row>
    <row r="2114" spans="1:2" x14ac:dyDescent="0.25">
      <c r="A2114"/>
      <c r="B2114"/>
    </row>
    <row r="2115" spans="1:2" x14ac:dyDescent="0.25">
      <c r="A2115"/>
      <c r="B2115"/>
    </row>
    <row r="2116" spans="1:2" x14ac:dyDescent="0.25">
      <c r="A2116"/>
      <c r="B2116"/>
    </row>
    <row r="2117" spans="1:2" x14ac:dyDescent="0.25">
      <c r="A2117"/>
      <c r="B2117"/>
    </row>
    <row r="2118" spans="1:2" x14ac:dyDescent="0.25">
      <c r="A2118"/>
      <c r="B2118"/>
    </row>
    <row r="2119" spans="1:2" x14ac:dyDescent="0.25">
      <c r="A2119"/>
      <c r="B2119"/>
    </row>
    <row r="2120" spans="1:2" x14ac:dyDescent="0.25">
      <c r="A2120"/>
      <c r="B2120"/>
    </row>
    <row r="2121" spans="1:2" x14ac:dyDescent="0.25">
      <c r="A2121"/>
      <c r="B2121"/>
    </row>
    <row r="2122" spans="1:2" x14ac:dyDescent="0.25">
      <c r="A2122"/>
      <c r="B2122"/>
    </row>
    <row r="2123" spans="1:2" x14ac:dyDescent="0.25">
      <c r="A2123"/>
      <c r="B2123"/>
    </row>
    <row r="2124" spans="1:2" x14ac:dyDescent="0.25">
      <c r="A2124"/>
      <c r="B2124"/>
    </row>
    <row r="2125" spans="1:2" x14ac:dyDescent="0.25">
      <c r="A2125"/>
      <c r="B2125"/>
    </row>
    <row r="2126" spans="1:2" x14ac:dyDescent="0.25">
      <c r="A2126"/>
      <c r="B2126"/>
    </row>
    <row r="2127" spans="1:2" x14ac:dyDescent="0.25">
      <c r="A2127"/>
      <c r="B2127"/>
    </row>
    <row r="2128" spans="1:2" x14ac:dyDescent="0.25">
      <c r="A2128"/>
      <c r="B2128"/>
    </row>
    <row r="2129" spans="1:2" x14ac:dyDescent="0.25">
      <c r="A2129"/>
      <c r="B2129"/>
    </row>
    <row r="2130" spans="1:2" x14ac:dyDescent="0.25">
      <c r="A2130"/>
      <c r="B2130"/>
    </row>
    <row r="2131" spans="1:2" x14ac:dyDescent="0.25">
      <c r="A2131"/>
      <c r="B2131"/>
    </row>
    <row r="2132" spans="1:2" x14ac:dyDescent="0.25">
      <c r="A2132"/>
      <c r="B2132"/>
    </row>
    <row r="2133" spans="1:2" x14ac:dyDescent="0.25">
      <c r="A2133"/>
      <c r="B2133"/>
    </row>
    <row r="2134" spans="1:2" x14ac:dyDescent="0.25">
      <c r="A2134"/>
      <c r="B2134"/>
    </row>
    <row r="2135" spans="1:2" x14ac:dyDescent="0.25">
      <c r="A2135"/>
      <c r="B2135"/>
    </row>
    <row r="2136" spans="1:2" x14ac:dyDescent="0.25">
      <c r="A2136"/>
      <c r="B2136"/>
    </row>
    <row r="2137" spans="1:2" x14ac:dyDescent="0.25">
      <c r="A2137"/>
      <c r="B2137"/>
    </row>
    <row r="2138" spans="1:2" x14ac:dyDescent="0.25">
      <c r="A2138"/>
      <c r="B2138"/>
    </row>
    <row r="2139" spans="1:2" x14ac:dyDescent="0.25">
      <c r="A2139"/>
      <c r="B2139"/>
    </row>
    <row r="2140" spans="1:2" x14ac:dyDescent="0.25">
      <c r="A2140"/>
      <c r="B2140"/>
    </row>
    <row r="2141" spans="1:2" x14ac:dyDescent="0.25">
      <c r="A2141"/>
      <c r="B2141"/>
    </row>
    <row r="2142" spans="1:2" x14ac:dyDescent="0.25">
      <c r="A2142"/>
      <c r="B2142"/>
    </row>
    <row r="2143" spans="1:2" x14ac:dyDescent="0.25">
      <c r="A2143"/>
      <c r="B2143"/>
    </row>
    <row r="2144" spans="1:2" x14ac:dyDescent="0.25">
      <c r="A2144"/>
      <c r="B2144"/>
    </row>
    <row r="2145" spans="1:2" x14ac:dyDescent="0.25">
      <c r="A2145"/>
      <c r="B2145"/>
    </row>
    <row r="2146" spans="1:2" x14ac:dyDescent="0.25">
      <c r="A2146"/>
      <c r="B2146"/>
    </row>
    <row r="2147" spans="1:2" x14ac:dyDescent="0.25">
      <c r="A2147"/>
      <c r="B2147"/>
    </row>
    <row r="2148" spans="1:2" x14ac:dyDescent="0.25">
      <c r="A2148"/>
      <c r="B2148"/>
    </row>
    <row r="2149" spans="1:2" x14ac:dyDescent="0.25">
      <c r="A2149"/>
      <c r="B2149"/>
    </row>
    <row r="2150" spans="1:2" x14ac:dyDescent="0.25">
      <c r="A2150"/>
      <c r="B2150"/>
    </row>
    <row r="2151" spans="1:2" x14ac:dyDescent="0.25">
      <c r="A2151"/>
      <c r="B2151"/>
    </row>
    <row r="2152" spans="1:2" x14ac:dyDescent="0.25">
      <c r="A2152"/>
      <c r="B2152"/>
    </row>
    <row r="2153" spans="1:2" x14ac:dyDescent="0.25">
      <c r="A2153"/>
      <c r="B2153"/>
    </row>
    <row r="2154" spans="1:2" x14ac:dyDescent="0.25">
      <c r="A2154"/>
      <c r="B2154"/>
    </row>
    <row r="2155" spans="1:2" x14ac:dyDescent="0.25">
      <c r="A2155"/>
      <c r="B2155"/>
    </row>
    <row r="2156" spans="1:2" x14ac:dyDescent="0.25">
      <c r="A2156"/>
      <c r="B2156"/>
    </row>
    <row r="2157" spans="1:2" x14ac:dyDescent="0.25">
      <c r="A2157"/>
      <c r="B2157"/>
    </row>
    <row r="2158" spans="1:2" x14ac:dyDescent="0.25">
      <c r="A2158"/>
      <c r="B2158"/>
    </row>
    <row r="2159" spans="1:2" x14ac:dyDescent="0.25">
      <c r="A2159"/>
      <c r="B2159"/>
    </row>
    <row r="2160" spans="1:2" x14ac:dyDescent="0.25">
      <c r="A2160"/>
      <c r="B2160"/>
    </row>
    <row r="2161" spans="1:2" x14ac:dyDescent="0.25">
      <c r="A2161"/>
      <c r="B2161"/>
    </row>
    <row r="2162" spans="1:2" x14ac:dyDescent="0.25">
      <c r="A2162"/>
      <c r="B2162"/>
    </row>
    <row r="2163" spans="1:2" x14ac:dyDescent="0.25">
      <c r="A2163"/>
      <c r="B2163"/>
    </row>
    <row r="2164" spans="1:2" x14ac:dyDescent="0.25">
      <c r="A2164"/>
      <c r="B2164"/>
    </row>
    <row r="2165" spans="1:2" x14ac:dyDescent="0.25">
      <c r="A2165"/>
      <c r="B2165"/>
    </row>
    <row r="2166" spans="1:2" x14ac:dyDescent="0.25">
      <c r="A2166"/>
      <c r="B2166"/>
    </row>
    <row r="2167" spans="1:2" x14ac:dyDescent="0.25">
      <c r="A2167"/>
      <c r="B2167"/>
    </row>
    <row r="2168" spans="1:2" x14ac:dyDescent="0.25">
      <c r="A2168"/>
      <c r="B2168"/>
    </row>
    <row r="2169" spans="1:2" x14ac:dyDescent="0.25">
      <c r="A2169"/>
      <c r="B2169"/>
    </row>
    <row r="2170" spans="1:2" x14ac:dyDescent="0.25">
      <c r="A2170"/>
      <c r="B2170"/>
    </row>
    <row r="2171" spans="1:2" x14ac:dyDescent="0.25">
      <c r="A2171"/>
      <c r="B2171"/>
    </row>
    <row r="2172" spans="1:2" x14ac:dyDescent="0.25">
      <c r="A2172"/>
      <c r="B2172"/>
    </row>
    <row r="2173" spans="1:2" x14ac:dyDescent="0.25">
      <c r="A2173"/>
      <c r="B2173"/>
    </row>
    <row r="2174" spans="1:2" x14ac:dyDescent="0.25">
      <c r="A2174"/>
      <c r="B2174"/>
    </row>
    <row r="2175" spans="1:2" x14ac:dyDescent="0.25">
      <c r="A2175"/>
      <c r="B2175"/>
    </row>
    <row r="2176" spans="1:2" x14ac:dyDescent="0.25">
      <c r="A2176"/>
      <c r="B2176"/>
    </row>
    <row r="2177" spans="1:2" x14ac:dyDescent="0.25">
      <c r="A2177"/>
      <c r="B2177"/>
    </row>
    <row r="2178" spans="1:2" x14ac:dyDescent="0.25">
      <c r="A2178"/>
      <c r="B2178"/>
    </row>
    <row r="2179" spans="1:2" x14ac:dyDescent="0.25">
      <c r="A2179"/>
      <c r="B2179"/>
    </row>
    <row r="2180" spans="1:2" x14ac:dyDescent="0.25">
      <c r="A2180"/>
      <c r="B2180"/>
    </row>
    <row r="2181" spans="1:2" x14ac:dyDescent="0.25">
      <c r="A2181"/>
      <c r="B2181"/>
    </row>
    <row r="2182" spans="1:2" x14ac:dyDescent="0.25">
      <c r="A2182"/>
      <c r="B2182"/>
    </row>
    <row r="2183" spans="1:2" x14ac:dyDescent="0.25">
      <c r="A2183"/>
      <c r="B2183"/>
    </row>
    <row r="2184" spans="1:2" x14ac:dyDescent="0.25">
      <c r="A2184"/>
      <c r="B2184"/>
    </row>
    <row r="2185" spans="1:2" x14ac:dyDescent="0.25">
      <c r="A2185"/>
      <c r="B2185"/>
    </row>
    <row r="2186" spans="1:2" x14ac:dyDescent="0.25">
      <c r="A2186"/>
      <c r="B2186"/>
    </row>
    <row r="2187" spans="1:2" x14ac:dyDescent="0.25">
      <c r="A2187"/>
      <c r="B2187"/>
    </row>
    <row r="2188" spans="1:2" x14ac:dyDescent="0.25">
      <c r="A2188"/>
      <c r="B2188"/>
    </row>
    <row r="2189" spans="1:2" x14ac:dyDescent="0.25">
      <c r="A2189"/>
      <c r="B2189"/>
    </row>
    <row r="2190" spans="1:2" x14ac:dyDescent="0.25">
      <c r="A2190"/>
      <c r="B2190"/>
    </row>
    <row r="2191" spans="1:2" x14ac:dyDescent="0.25">
      <c r="A2191"/>
      <c r="B2191"/>
    </row>
    <row r="2192" spans="1:2" x14ac:dyDescent="0.25">
      <c r="A2192"/>
      <c r="B2192"/>
    </row>
    <row r="2193" spans="1:2" x14ac:dyDescent="0.25">
      <c r="A2193"/>
      <c r="B2193"/>
    </row>
    <row r="2194" spans="1:2" x14ac:dyDescent="0.25">
      <c r="A2194"/>
      <c r="B2194"/>
    </row>
    <row r="2195" spans="1:2" x14ac:dyDescent="0.25">
      <c r="A2195"/>
      <c r="B2195"/>
    </row>
    <row r="2196" spans="1:2" x14ac:dyDescent="0.25">
      <c r="A2196"/>
      <c r="B2196"/>
    </row>
    <row r="2197" spans="1:2" x14ac:dyDescent="0.25">
      <c r="A2197"/>
      <c r="B2197"/>
    </row>
    <row r="2198" spans="1:2" x14ac:dyDescent="0.25">
      <c r="A2198"/>
      <c r="B2198"/>
    </row>
    <row r="2199" spans="1:2" x14ac:dyDescent="0.25">
      <c r="A2199"/>
      <c r="B2199"/>
    </row>
    <row r="2200" spans="1:2" x14ac:dyDescent="0.25">
      <c r="A2200"/>
      <c r="B2200"/>
    </row>
    <row r="2201" spans="1:2" x14ac:dyDescent="0.25">
      <c r="A2201"/>
      <c r="B2201"/>
    </row>
    <row r="2202" spans="1:2" x14ac:dyDescent="0.25">
      <c r="A2202"/>
      <c r="B2202"/>
    </row>
    <row r="2203" spans="1:2" x14ac:dyDescent="0.25">
      <c r="A2203"/>
      <c r="B2203"/>
    </row>
    <row r="2204" spans="1:2" x14ac:dyDescent="0.25">
      <c r="A2204"/>
      <c r="B2204"/>
    </row>
    <row r="2205" spans="1:2" x14ac:dyDescent="0.25">
      <c r="A2205"/>
      <c r="B2205"/>
    </row>
    <row r="2206" spans="1:2" x14ac:dyDescent="0.25">
      <c r="A2206"/>
      <c r="B2206"/>
    </row>
    <row r="2207" spans="1:2" x14ac:dyDescent="0.25">
      <c r="A2207"/>
      <c r="B2207"/>
    </row>
    <row r="2208" spans="1:2" x14ac:dyDescent="0.25">
      <c r="A2208"/>
      <c r="B2208"/>
    </row>
    <row r="2209" spans="1:2" x14ac:dyDescent="0.25">
      <c r="A2209"/>
      <c r="B2209"/>
    </row>
    <row r="2210" spans="1:2" x14ac:dyDescent="0.25">
      <c r="A2210"/>
      <c r="B2210"/>
    </row>
    <row r="2211" spans="1:2" x14ac:dyDescent="0.25">
      <c r="A2211"/>
      <c r="B2211"/>
    </row>
    <row r="2212" spans="1:2" x14ac:dyDescent="0.25">
      <c r="A2212"/>
      <c r="B2212"/>
    </row>
    <row r="2213" spans="1:2" x14ac:dyDescent="0.25">
      <c r="A2213"/>
      <c r="B2213"/>
    </row>
    <row r="2214" spans="1:2" x14ac:dyDescent="0.25">
      <c r="A2214"/>
      <c r="B2214"/>
    </row>
    <row r="2215" spans="1:2" x14ac:dyDescent="0.25">
      <c r="A2215"/>
      <c r="B2215"/>
    </row>
    <row r="2216" spans="1:2" x14ac:dyDescent="0.25">
      <c r="A2216"/>
      <c r="B2216"/>
    </row>
    <row r="2217" spans="1:2" x14ac:dyDescent="0.25">
      <c r="A2217"/>
      <c r="B2217"/>
    </row>
    <row r="2218" spans="1:2" x14ac:dyDescent="0.25">
      <c r="A2218"/>
      <c r="B2218"/>
    </row>
    <row r="2219" spans="1:2" x14ac:dyDescent="0.25">
      <c r="A2219"/>
      <c r="B2219"/>
    </row>
    <row r="2220" spans="1:2" x14ac:dyDescent="0.25">
      <c r="A2220"/>
      <c r="B2220"/>
    </row>
    <row r="2221" spans="1:2" x14ac:dyDescent="0.25">
      <c r="A2221"/>
      <c r="B2221"/>
    </row>
    <row r="2222" spans="1:2" x14ac:dyDescent="0.25">
      <c r="A2222"/>
      <c r="B2222"/>
    </row>
    <row r="2223" spans="1:2" x14ac:dyDescent="0.25">
      <c r="A2223"/>
      <c r="B2223"/>
    </row>
    <row r="2224" spans="1:2" x14ac:dyDescent="0.25">
      <c r="A2224"/>
      <c r="B2224"/>
    </row>
    <row r="2225" spans="1:2" x14ac:dyDescent="0.25">
      <c r="A2225"/>
      <c r="B2225"/>
    </row>
    <row r="2226" spans="1:2" x14ac:dyDescent="0.25">
      <c r="A2226"/>
      <c r="B2226"/>
    </row>
    <row r="2227" spans="1:2" x14ac:dyDescent="0.25">
      <c r="A2227"/>
      <c r="B2227"/>
    </row>
    <row r="2228" spans="1:2" x14ac:dyDescent="0.25">
      <c r="A2228"/>
      <c r="B2228"/>
    </row>
    <row r="2229" spans="1:2" x14ac:dyDescent="0.25">
      <c r="A2229"/>
      <c r="B2229"/>
    </row>
    <row r="2230" spans="1:2" x14ac:dyDescent="0.25">
      <c r="A2230"/>
      <c r="B2230"/>
    </row>
    <row r="2231" spans="1:2" x14ac:dyDescent="0.25">
      <c r="A2231"/>
      <c r="B2231"/>
    </row>
    <row r="2232" spans="1:2" x14ac:dyDescent="0.25">
      <c r="A2232"/>
      <c r="B2232"/>
    </row>
    <row r="2233" spans="1:2" x14ac:dyDescent="0.25">
      <c r="A2233"/>
      <c r="B2233"/>
    </row>
    <row r="2234" spans="1:2" x14ac:dyDescent="0.25">
      <c r="A2234"/>
      <c r="B2234"/>
    </row>
    <row r="2235" spans="1:2" x14ac:dyDescent="0.25">
      <c r="A2235"/>
      <c r="B2235"/>
    </row>
    <row r="2236" spans="1:2" x14ac:dyDescent="0.25">
      <c r="A2236"/>
      <c r="B2236"/>
    </row>
    <row r="2237" spans="1:2" x14ac:dyDescent="0.25">
      <c r="A2237"/>
      <c r="B2237"/>
    </row>
    <row r="2238" spans="1:2" x14ac:dyDescent="0.25">
      <c r="A2238"/>
      <c r="B2238"/>
    </row>
    <row r="2239" spans="1:2" x14ac:dyDescent="0.25">
      <c r="A2239"/>
      <c r="B2239"/>
    </row>
    <row r="2240" spans="1:2" x14ac:dyDescent="0.25">
      <c r="A2240"/>
      <c r="B2240"/>
    </row>
    <row r="2241" spans="1:2" x14ac:dyDescent="0.25">
      <c r="A2241"/>
      <c r="B2241"/>
    </row>
    <row r="2242" spans="1:2" x14ac:dyDescent="0.25">
      <c r="A2242"/>
      <c r="B2242"/>
    </row>
    <row r="2243" spans="1:2" x14ac:dyDescent="0.25">
      <c r="A2243"/>
      <c r="B2243"/>
    </row>
    <row r="2244" spans="1:2" x14ac:dyDescent="0.25">
      <c r="A2244"/>
      <c r="B2244"/>
    </row>
    <row r="2245" spans="1:2" x14ac:dyDescent="0.25">
      <c r="A2245"/>
      <c r="B2245"/>
    </row>
    <row r="2246" spans="1:2" x14ac:dyDescent="0.25">
      <c r="A2246"/>
      <c r="B2246"/>
    </row>
    <row r="2247" spans="1:2" x14ac:dyDescent="0.25">
      <c r="A2247"/>
      <c r="B2247"/>
    </row>
    <row r="2248" spans="1:2" x14ac:dyDescent="0.25">
      <c r="A2248"/>
      <c r="B2248"/>
    </row>
    <row r="2249" spans="1:2" x14ac:dyDescent="0.25">
      <c r="A2249"/>
      <c r="B2249"/>
    </row>
    <row r="2250" spans="1:2" x14ac:dyDescent="0.25">
      <c r="A2250"/>
      <c r="B2250"/>
    </row>
    <row r="2251" spans="1:2" x14ac:dyDescent="0.25">
      <c r="A2251"/>
      <c r="B2251"/>
    </row>
    <row r="2252" spans="1:2" x14ac:dyDescent="0.25">
      <c r="A2252"/>
      <c r="B2252"/>
    </row>
    <row r="2253" spans="1:2" x14ac:dyDescent="0.25">
      <c r="A2253"/>
      <c r="B2253"/>
    </row>
    <row r="2254" spans="1:2" x14ac:dyDescent="0.25">
      <c r="A2254"/>
      <c r="B2254"/>
    </row>
    <row r="2255" spans="1:2" x14ac:dyDescent="0.25">
      <c r="A2255"/>
      <c r="B2255"/>
    </row>
    <row r="2256" spans="1:2" x14ac:dyDescent="0.25">
      <c r="A2256"/>
      <c r="B2256"/>
    </row>
    <row r="2257" spans="1:2" x14ac:dyDescent="0.25">
      <c r="A2257"/>
      <c r="B2257"/>
    </row>
    <row r="2258" spans="1:2" x14ac:dyDescent="0.25">
      <c r="A2258"/>
      <c r="B2258"/>
    </row>
    <row r="2259" spans="1:2" x14ac:dyDescent="0.25">
      <c r="A2259"/>
      <c r="B2259"/>
    </row>
    <row r="2260" spans="1:2" x14ac:dyDescent="0.25">
      <c r="A2260"/>
      <c r="B2260"/>
    </row>
    <row r="2261" spans="1:2" x14ac:dyDescent="0.25">
      <c r="A2261"/>
      <c r="B2261"/>
    </row>
    <row r="2262" spans="1:2" x14ac:dyDescent="0.25">
      <c r="A2262"/>
      <c r="B2262"/>
    </row>
    <row r="2263" spans="1:2" x14ac:dyDescent="0.25">
      <c r="A2263"/>
      <c r="B2263"/>
    </row>
    <row r="2264" spans="1:2" x14ac:dyDescent="0.25">
      <c r="A2264"/>
      <c r="B2264"/>
    </row>
    <row r="2265" spans="1:2" x14ac:dyDescent="0.25">
      <c r="A2265"/>
      <c r="B2265"/>
    </row>
    <row r="2266" spans="1:2" x14ac:dyDescent="0.25">
      <c r="A2266"/>
      <c r="B2266"/>
    </row>
    <row r="2267" spans="1:2" x14ac:dyDescent="0.25">
      <c r="A2267"/>
      <c r="B2267"/>
    </row>
    <row r="2268" spans="1:2" x14ac:dyDescent="0.25">
      <c r="A2268"/>
      <c r="B2268"/>
    </row>
    <row r="2269" spans="1:2" x14ac:dyDescent="0.25">
      <c r="A2269"/>
      <c r="B2269"/>
    </row>
    <row r="2270" spans="1:2" x14ac:dyDescent="0.25">
      <c r="A2270"/>
      <c r="B2270"/>
    </row>
    <row r="2271" spans="1:2" x14ac:dyDescent="0.25">
      <c r="A2271"/>
      <c r="B2271"/>
    </row>
    <row r="2272" spans="1:2" x14ac:dyDescent="0.25">
      <c r="A2272"/>
      <c r="B2272"/>
    </row>
    <row r="2273" spans="1:2" x14ac:dyDescent="0.25">
      <c r="A2273"/>
      <c r="B2273"/>
    </row>
    <row r="2274" spans="1:2" x14ac:dyDescent="0.25">
      <c r="A2274"/>
      <c r="B2274"/>
    </row>
    <row r="2275" spans="1:2" x14ac:dyDescent="0.25">
      <c r="A2275"/>
      <c r="B2275"/>
    </row>
    <row r="2276" spans="1:2" x14ac:dyDescent="0.25">
      <c r="A2276"/>
      <c r="B2276"/>
    </row>
    <row r="2277" spans="1:2" x14ac:dyDescent="0.25">
      <c r="A2277"/>
      <c r="B2277"/>
    </row>
    <row r="2278" spans="1:2" x14ac:dyDescent="0.25">
      <c r="A2278"/>
      <c r="B2278"/>
    </row>
    <row r="2279" spans="1:2" x14ac:dyDescent="0.25">
      <c r="A2279"/>
      <c r="B2279"/>
    </row>
    <row r="2280" spans="1:2" x14ac:dyDescent="0.25">
      <c r="A2280"/>
      <c r="B2280"/>
    </row>
    <row r="2281" spans="1:2" x14ac:dyDescent="0.25">
      <c r="A2281"/>
      <c r="B2281"/>
    </row>
    <row r="2282" spans="1:2" x14ac:dyDescent="0.25">
      <c r="A2282"/>
      <c r="B2282"/>
    </row>
    <row r="2283" spans="1:2" x14ac:dyDescent="0.25">
      <c r="A2283"/>
      <c r="B2283"/>
    </row>
    <row r="2284" spans="1:2" x14ac:dyDescent="0.25">
      <c r="A2284"/>
      <c r="B2284"/>
    </row>
    <row r="2285" spans="1:2" x14ac:dyDescent="0.25">
      <c r="A2285"/>
      <c r="B2285"/>
    </row>
    <row r="2286" spans="1:2" x14ac:dyDescent="0.25">
      <c r="A2286"/>
      <c r="B2286"/>
    </row>
    <row r="2287" spans="1:2" x14ac:dyDescent="0.25">
      <c r="A2287"/>
      <c r="B2287"/>
    </row>
    <row r="2288" spans="1:2" x14ac:dyDescent="0.25">
      <c r="A2288"/>
      <c r="B2288"/>
    </row>
    <row r="2289" spans="1:2" x14ac:dyDescent="0.25">
      <c r="A2289"/>
      <c r="B2289"/>
    </row>
    <row r="2290" spans="1:2" x14ac:dyDescent="0.25">
      <c r="A2290"/>
      <c r="B2290"/>
    </row>
    <row r="2291" spans="1:2" x14ac:dyDescent="0.25">
      <c r="A2291"/>
      <c r="B2291"/>
    </row>
    <row r="2292" spans="1:2" x14ac:dyDescent="0.25">
      <c r="A2292"/>
      <c r="B2292"/>
    </row>
    <row r="2293" spans="1:2" x14ac:dyDescent="0.25">
      <c r="A2293"/>
      <c r="B2293"/>
    </row>
    <row r="2294" spans="1:2" x14ac:dyDescent="0.25">
      <c r="A2294"/>
      <c r="B2294"/>
    </row>
    <row r="2295" spans="1:2" x14ac:dyDescent="0.25">
      <c r="A2295"/>
      <c r="B2295"/>
    </row>
    <row r="2296" spans="1:2" x14ac:dyDescent="0.25">
      <c r="A2296"/>
      <c r="B2296"/>
    </row>
    <row r="2297" spans="1:2" x14ac:dyDescent="0.25">
      <c r="A2297"/>
      <c r="B2297"/>
    </row>
    <row r="2298" spans="1:2" x14ac:dyDescent="0.25">
      <c r="A2298"/>
      <c r="B2298"/>
    </row>
    <row r="2299" spans="1:2" x14ac:dyDescent="0.25">
      <c r="A2299"/>
      <c r="B2299"/>
    </row>
    <row r="2300" spans="1:2" x14ac:dyDescent="0.25">
      <c r="A2300"/>
      <c r="B2300"/>
    </row>
    <row r="2301" spans="1:2" x14ac:dyDescent="0.25">
      <c r="A2301"/>
      <c r="B2301"/>
    </row>
    <row r="2302" spans="1:2" x14ac:dyDescent="0.25">
      <c r="A2302"/>
      <c r="B2302"/>
    </row>
    <row r="2303" spans="1:2" x14ac:dyDescent="0.25">
      <c r="A2303"/>
      <c r="B2303"/>
    </row>
    <row r="2304" spans="1:2" x14ac:dyDescent="0.25">
      <c r="A2304"/>
      <c r="B2304"/>
    </row>
    <row r="2305" spans="1:2" x14ac:dyDescent="0.25">
      <c r="A2305"/>
      <c r="B2305"/>
    </row>
    <row r="2306" spans="1:2" x14ac:dyDescent="0.25">
      <c r="A2306"/>
      <c r="B2306"/>
    </row>
    <row r="2307" spans="1:2" x14ac:dyDescent="0.25">
      <c r="A2307"/>
      <c r="B2307"/>
    </row>
    <row r="2308" spans="1:2" x14ac:dyDescent="0.25">
      <c r="A2308"/>
      <c r="B2308"/>
    </row>
    <row r="2309" spans="1:2" x14ac:dyDescent="0.25">
      <c r="A2309"/>
      <c r="B2309"/>
    </row>
    <row r="2310" spans="1:2" x14ac:dyDescent="0.25">
      <c r="A2310"/>
      <c r="B2310"/>
    </row>
    <row r="2311" spans="1:2" x14ac:dyDescent="0.25">
      <c r="A2311"/>
      <c r="B2311"/>
    </row>
    <row r="2312" spans="1:2" x14ac:dyDescent="0.25">
      <c r="A2312"/>
      <c r="B2312"/>
    </row>
    <row r="2313" spans="1:2" x14ac:dyDescent="0.25">
      <c r="A2313"/>
      <c r="B2313"/>
    </row>
    <row r="2314" spans="1:2" x14ac:dyDescent="0.25">
      <c r="A2314"/>
      <c r="B2314"/>
    </row>
    <row r="2315" spans="1:2" x14ac:dyDescent="0.25">
      <c r="A2315"/>
      <c r="B2315"/>
    </row>
    <row r="2316" spans="1:2" x14ac:dyDescent="0.25">
      <c r="A2316"/>
      <c r="B2316"/>
    </row>
    <row r="2317" spans="1:2" x14ac:dyDescent="0.25">
      <c r="A2317"/>
      <c r="B2317"/>
    </row>
    <row r="2318" spans="1:2" x14ac:dyDescent="0.25">
      <c r="A2318"/>
      <c r="B2318"/>
    </row>
    <row r="2319" spans="1:2" x14ac:dyDescent="0.25">
      <c r="A2319"/>
      <c r="B2319"/>
    </row>
    <row r="2320" spans="1:2" x14ac:dyDescent="0.25">
      <c r="A2320"/>
      <c r="B2320"/>
    </row>
    <row r="2321" spans="1:2" x14ac:dyDescent="0.25">
      <c r="A2321"/>
      <c r="B2321"/>
    </row>
    <row r="2322" spans="1:2" x14ac:dyDescent="0.25">
      <c r="A2322"/>
      <c r="B2322"/>
    </row>
    <row r="2323" spans="1:2" x14ac:dyDescent="0.25">
      <c r="A2323"/>
      <c r="B2323"/>
    </row>
    <row r="2324" spans="1:2" x14ac:dyDescent="0.25">
      <c r="A2324"/>
      <c r="B2324"/>
    </row>
    <row r="2325" spans="1:2" x14ac:dyDescent="0.25">
      <c r="A2325"/>
      <c r="B2325"/>
    </row>
    <row r="2326" spans="1:2" x14ac:dyDescent="0.25">
      <c r="A2326"/>
      <c r="B2326"/>
    </row>
    <row r="2327" spans="1:2" x14ac:dyDescent="0.25">
      <c r="A2327"/>
      <c r="B2327"/>
    </row>
    <row r="2328" spans="1:2" x14ac:dyDescent="0.25">
      <c r="A2328"/>
      <c r="B2328"/>
    </row>
    <row r="2329" spans="1:2" x14ac:dyDescent="0.25">
      <c r="A2329"/>
      <c r="B2329"/>
    </row>
    <row r="2330" spans="1:2" x14ac:dyDescent="0.25">
      <c r="A2330"/>
      <c r="B2330"/>
    </row>
    <row r="2331" spans="1:2" x14ac:dyDescent="0.25">
      <c r="A2331"/>
      <c r="B2331"/>
    </row>
    <row r="2332" spans="1:2" x14ac:dyDescent="0.25">
      <c r="A2332"/>
      <c r="B2332"/>
    </row>
    <row r="2333" spans="1:2" x14ac:dyDescent="0.25">
      <c r="A2333"/>
      <c r="B2333"/>
    </row>
    <row r="2334" spans="1:2" x14ac:dyDescent="0.25">
      <c r="A2334"/>
      <c r="B2334"/>
    </row>
    <row r="2335" spans="1:2" x14ac:dyDescent="0.25">
      <c r="A2335"/>
      <c r="B2335"/>
    </row>
    <row r="2336" spans="1:2" x14ac:dyDescent="0.25">
      <c r="A2336"/>
      <c r="B2336"/>
    </row>
    <row r="2337" spans="1:2" x14ac:dyDescent="0.25">
      <c r="A2337"/>
      <c r="B2337"/>
    </row>
    <row r="2338" spans="1:2" x14ac:dyDescent="0.25">
      <c r="A2338"/>
      <c r="B2338"/>
    </row>
    <row r="2339" spans="1:2" x14ac:dyDescent="0.25">
      <c r="A2339"/>
      <c r="B2339"/>
    </row>
    <row r="2340" spans="1:2" x14ac:dyDescent="0.25">
      <c r="A2340"/>
      <c r="B2340"/>
    </row>
    <row r="2341" spans="1:2" x14ac:dyDescent="0.25">
      <c r="A2341"/>
      <c r="B2341"/>
    </row>
    <row r="2342" spans="1:2" x14ac:dyDescent="0.25">
      <c r="A2342"/>
      <c r="B2342"/>
    </row>
    <row r="2343" spans="1:2" x14ac:dyDescent="0.25">
      <c r="A2343"/>
      <c r="B2343"/>
    </row>
    <row r="2344" spans="1:2" x14ac:dyDescent="0.25">
      <c r="A2344"/>
      <c r="B2344"/>
    </row>
    <row r="2345" spans="1:2" x14ac:dyDescent="0.25">
      <c r="A2345"/>
      <c r="B2345"/>
    </row>
    <row r="2346" spans="1:2" x14ac:dyDescent="0.25">
      <c r="A2346"/>
      <c r="B2346"/>
    </row>
    <row r="2347" spans="1:2" x14ac:dyDescent="0.25">
      <c r="A2347"/>
      <c r="B2347"/>
    </row>
    <row r="2348" spans="1:2" x14ac:dyDescent="0.25">
      <c r="A2348"/>
      <c r="B2348"/>
    </row>
    <row r="2349" spans="1:2" x14ac:dyDescent="0.25">
      <c r="A2349"/>
      <c r="B2349"/>
    </row>
    <row r="2350" spans="1:2" x14ac:dyDescent="0.25">
      <c r="A2350"/>
      <c r="B2350"/>
    </row>
    <row r="2351" spans="1:2" x14ac:dyDescent="0.25">
      <c r="A2351"/>
      <c r="B2351"/>
    </row>
    <row r="2352" spans="1:2" x14ac:dyDescent="0.25">
      <c r="A2352"/>
      <c r="B2352"/>
    </row>
    <row r="2353" spans="1:2" x14ac:dyDescent="0.25">
      <c r="A2353"/>
      <c r="B2353"/>
    </row>
    <row r="2354" spans="1:2" x14ac:dyDescent="0.25">
      <c r="A2354"/>
      <c r="B2354"/>
    </row>
    <row r="2355" spans="1:2" x14ac:dyDescent="0.25">
      <c r="A2355"/>
      <c r="B2355"/>
    </row>
    <row r="2356" spans="1:2" x14ac:dyDescent="0.25">
      <c r="A2356"/>
      <c r="B2356"/>
    </row>
    <row r="2357" spans="1:2" x14ac:dyDescent="0.25">
      <c r="A2357"/>
      <c r="B2357"/>
    </row>
    <row r="2358" spans="1:2" x14ac:dyDescent="0.25">
      <c r="A2358"/>
      <c r="B2358"/>
    </row>
    <row r="2359" spans="1:2" x14ac:dyDescent="0.25">
      <c r="A2359"/>
      <c r="B2359"/>
    </row>
    <row r="2360" spans="1:2" x14ac:dyDescent="0.25">
      <c r="A2360"/>
      <c r="B2360"/>
    </row>
    <row r="2361" spans="1:2" x14ac:dyDescent="0.25">
      <c r="A2361"/>
      <c r="B2361"/>
    </row>
    <row r="2362" spans="1:2" x14ac:dyDescent="0.25">
      <c r="A2362"/>
      <c r="B2362"/>
    </row>
    <row r="2363" spans="1:2" x14ac:dyDescent="0.25">
      <c r="A2363"/>
      <c r="B2363"/>
    </row>
    <row r="2364" spans="1:2" x14ac:dyDescent="0.25">
      <c r="A2364"/>
      <c r="B2364"/>
    </row>
    <row r="2365" spans="1:2" x14ac:dyDescent="0.25">
      <c r="A2365"/>
      <c r="B2365"/>
    </row>
    <row r="2366" spans="1:2" x14ac:dyDescent="0.25">
      <c r="A2366"/>
      <c r="B2366"/>
    </row>
    <row r="2367" spans="1:2" x14ac:dyDescent="0.25">
      <c r="A2367"/>
      <c r="B2367"/>
    </row>
    <row r="2368" spans="1:2" x14ac:dyDescent="0.25">
      <c r="A2368"/>
      <c r="B2368"/>
    </row>
    <row r="2369" spans="1:2" x14ac:dyDescent="0.25">
      <c r="A2369"/>
      <c r="B2369"/>
    </row>
    <row r="2370" spans="1:2" x14ac:dyDescent="0.25">
      <c r="A2370"/>
      <c r="B2370"/>
    </row>
    <row r="2371" spans="1:2" x14ac:dyDescent="0.25">
      <c r="A2371"/>
      <c r="B2371"/>
    </row>
    <row r="2372" spans="1:2" x14ac:dyDescent="0.25">
      <c r="A2372"/>
      <c r="B2372"/>
    </row>
    <row r="2373" spans="1:2" x14ac:dyDescent="0.25">
      <c r="A2373"/>
      <c r="B2373"/>
    </row>
    <row r="2374" spans="1:2" x14ac:dyDescent="0.25">
      <c r="A2374"/>
      <c r="B2374"/>
    </row>
    <row r="2375" spans="1:2" x14ac:dyDescent="0.25">
      <c r="A2375"/>
      <c r="B2375"/>
    </row>
    <row r="2376" spans="1:2" x14ac:dyDescent="0.25">
      <c r="A2376"/>
      <c r="B2376"/>
    </row>
    <row r="2377" spans="1:2" x14ac:dyDescent="0.25">
      <c r="A2377"/>
      <c r="B2377"/>
    </row>
    <row r="2378" spans="1:2" x14ac:dyDescent="0.25">
      <c r="A2378"/>
      <c r="B2378"/>
    </row>
    <row r="2379" spans="1:2" x14ac:dyDescent="0.25">
      <c r="A2379"/>
      <c r="B2379"/>
    </row>
    <row r="2380" spans="1:2" x14ac:dyDescent="0.25">
      <c r="A2380"/>
      <c r="B2380"/>
    </row>
    <row r="2381" spans="1:2" x14ac:dyDescent="0.25">
      <c r="A2381"/>
      <c r="B2381"/>
    </row>
    <row r="2382" spans="1:2" x14ac:dyDescent="0.25">
      <c r="A2382"/>
      <c r="B2382"/>
    </row>
    <row r="2383" spans="1:2" x14ac:dyDescent="0.25">
      <c r="A2383"/>
      <c r="B2383"/>
    </row>
    <row r="2384" spans="1:2" x14ac:dyDescent="0.25">
      <c r="A2384"/>
      <c r="B2384"/>
    </row>
    <row r="2385" spans="1:2" x14ac:dyDescent="0.25">
      <c r="A2385"/>
      <c r="B2385"/>
    </row>
    <row r="2386" spans="1:2" x14ac:dyDescent="0.25">
      <c r="A2386"/>
      <c r="B2386"/>
    </row>
    <row r="2387" spans="1:2" x14ac:dyDescent="0.25">
      <c r="A2387"/>
      <c r="B2387"/>
    </row>
    <row r="2388" spans="1:2" x14ac:dyDescent="0.25">
      <c r="A2388"/>
      <c r="B2388"/>
    </row>
    <row r="2389" spans="1:2" x14ac:dyDescent="0.25">
      <c r="A2389"/>
      <c r="B2389"/>
    </row>
    <row r="2390" spans="1:2" x14ac:dyDescent="0.25">
      <c r="A2390"/>
      <c r="B2390"/>
    </row>
    <row r="2391" spans="1:2" x14ac:dyDescent="0.25">
      <c r="A2391"/>
      <c r="B2391"/>
    </row>
    <row r="2392" spans="1:2" x14ac:dyDescent="0.25">
      <c r="A2392"/>
      <c r="B2392"/>
    </row>
    <row r="2393" spans="1:2" x14ac:dyDescent="0.25">
      <c r="A2393"/>
      <c r="B2393"/>
    </row>
    <row r="2394" spans="1:2" x14ac:dyDescent="0.25">
      <c r="A2394"/>
      <c r="B2394"/>
    </row>
    <row r="2395" spans="1:2" x14ac:dyDescent="0.25">
      <c r="A2395"/>
      <c r="B2395"/>
    </row>
    <row r="2396" spans="1:2" x14ac:dyDescent="0.25">
      <c r="A2396"/>
      <c r="B2396"/>
    </row>
    <row r="2397" spans="1:2" x14ac:dyDescent="0.25">
      <c r="A2397"/>
      <c r="B2397"/>
    </row>
    <row r="2398" spans="1:2" x14ac:dyDescent="0.25">
      <c r="A2398"/>
      <c r="B2398"/>
    </row>
    <row r="2399" spans="1:2" x14ac:dyDescent="0.25">
      <c r="A2399"/>
      <c r="B2399"/>
    </row>
    <row r="2400" spans="1:2" x14ac:dyDescent="0.25">
      <c r="A2400"/>
      <c r="B2400"/>
    </row>
    <row r="2401" spans="1:2" x14ac:dyDescent="0.25">
      <c r="A2401"/>
      <c r="B2401"/>
    </row>
    <row r="2402" spans="1:2" x14ac:dyDescent="0.25">
      <c r="A2402"/>
      <c r="B2402"/>
    </row>
    <row r="2403" spans="1:2" x14ac:dyDescent="0.25">
      <c r="A2403"/>
      <c r="B2403"/>
    </row>
    <row r="2404" spans="1:2" x14ac:dyDescent="0.25">
      <c r="A2404"/>
      <c r="B2404"/>
    </row>
    <row r="2405" spans="1:2" x14ac:dyDescent="0.25">
      <c r="A2405"/>
      <c r="B2405"/>
    </row>
    <row r="2406" spans="1:2" x14ac:dyDescent="0.25">
      <c r="A2406"/>
      <c r="B2406"/>
    </row>
    <row r="2407" spans="1:2" x14ac:dyDescent="0.25">
      <c r="A2407"/>
      <c r="B2407"/>
    </row>
    <row r="2408" spans="1:2" x14ac:dyDescent="0.25">
      <c r="A2408"/>
      <c r="B2408"/>
    </row>
    <row r="2409" spans="1:2" x14ac:dyDescent="0.25">
      <c r="A2409"/>
      <c r="B2409"/>
    </row>
    <row r="2410" spans="1:2" x14ac:dyDescent="0.25">
      <c r="A2410"/>
      <c r="B2410"/>
    </row>
    <row r="2411" spans="1:2" x14ac:dyDescent="0.25">
      <c r="A2411"/>
      <c r="B2411"/>
    </row>
    <row r="2412" spans="1:2" x14ac:dyDescent="0.25">
      <c r="A2412"/>
      <c r="B2412"/>
    </row>
    <row r="2413" spans="1:2" x14ac:dyDescent="0.25">
      <c r="A2413"/>
      <c r="B2413"/>
    </row>
    <row r="2414" spans="1:2" x14ac:dyDescent="0.25">
      <c r="A2414"/>
      <c r="B2414"/>
    </row>
    <row r="2415" spans="1:2" x14ac:dyDescent="0.25">
      <c r="A2415"/>
      <c r="B2415"/>
    </row>
    <row r="2416" spans="1:2" x14ac:dyDescent="0.25">
      <c r="A2416"/>
      <c r="B2416"/>
    </row>
    <row r="2417" spans="1:2" x14ac:dyDescent="0.25">
      <c r="A2417"/>
      <c r="B2417"/>
    </row>
    <row r="2418" spans="1:2" x14ac:dyDescent="0.25">
      <c r="A2418"/>
      <c r="B2418"/>
    </row>
    <row r="2419" spans="1:2" x14ac:dyDescent="0.25">
      <c r="A2419"/>
      <c r="B2419"/>
    </row>
    <row r="2420" spans="1:2" x14ac:dyDescent="0.25">
      <c r="A2420"/>
      <c r="B2420"/>
    </row>
    <row r="2421" spans="1:2" x14ac:dyDescent="0.25">
      <c r="A2421"/>
      <c r="B2421"/>
    </row>
    <row r="2422" spans="1:2" x14ac:dyDescent="0.25">
      <c r="A2422"/>
      <c r="B2422"/>
    </row>
    <row r="2423" spans="1:2" x14ac:dyDescent="0.25">
      <c r="A2423"/>
      <c r="B2423"/>
    </row>
    <row r="2424" spans="1:2" x14ac:dyDescent="0.25">
      <c r="A2424"/>
      <c r="B2424"/>
    </row>
    <row r="2425" spans="1:2" x14ac:dyDescent="0.25">
      <c r="A2425"/>
      <c r="B2425"/>
    </row>
    <row r="2426" spans="1:2" x14ac:dyDescent="0.25">
      <c r="A2426"/>
      <c r="B2426"/>
    </row>
    <row r="2427" spans="1:2" x14ac:dyDescent="0.25">
      <c r="A2427"/>
      <c r="B2427"/>
    </row>
    <row r="2428" spans="1:2" x14ac:dyDescent="0.25">
      <c r="A2428"/>
      <c r="B2428"/>
    </row>
    <row r="2429" spans="1:2" x14ac:dyDescent="0.25">
      <c r="A2429"/>
      <c r="B2429"/>
    </row>
    <row r="2430" spans="1:2" x14ac:dyDescent="0.25">
      <c r="A2430"/>
      <c r="B2430"/>
    </row>
    <row r="2431" spans="1:2" x14ac:dyDescent="0.25">
      <c r="A2431"/>
      <c r="B2431"/>
    </row>
    <row r="2432" spans="1:2" x14ac:dyDescent="0.25">
      <c r="A2432"/>
      <c r="B2432"/>
    </row>
    <row r="2433" spans="1:2" x14ac:dyDescent="0.25">
      <c r="A2433"/>
      <c r="B2433"/>
    </row>
    <row r="2434" spans="1:2" x14ac:dyDescent="0.25">
      <c r="A2434"/>
      <c r="B2434"/>
    </row>
    <row r="2435" spans="1:2" x14ac:dyDescent="0.25">
      <c r="A2435"/>
      <c r="B2435"/>
    </row>
    <row r="2436" spans="1:2" x14ac:dyDescent="0.25">
      <c r="A2436"/>
      <c r="B2436"/>
    </row>
    <row r="2437" spans="1:2" x14ac:dyDescent="0.25">
      <c r="A2437"/>
      <c r="B2437"/>
    </row>
    <row r="2438" spans="1:2" x14ac:dyDescent="0.25">
      <c r="A2438"/>
      <c r="B2438"/>
    </row>
    <row r="2439" spans="1:2" x14ac:dyDescent="0.25">
      <c r="A2439"/>
      <c r="B2439"/>
    </row>
    <row r="2440" spans="1:2" x14ac:dyDescent="0.25">
      <c r="A2440"/>
      <c r="B2440"/>
    </row>
    <row r="2441" spans="1:2" x14ac:dyDescent="0.25">
      <c r="A2441"/>
      <c r="B2441"/>
    </row>
    <row r="2442" spans="1:2" x14ac:dyDescent="0.25">
      <c r="A2442"/>
      <c r="B2442"/>
    </row>
    <row r="2443" spans="1:2" x14ac:dyDescent="0.25">
      <c r="A2443"/>
      <c r="B2443"/>
    </row>
    <row r="2444" spans="1:2" x14ac:dyDescent="0.25">
      <c r="A2444"/>
      <c r="B2444"/>
    </row>
    <row r="2445" spans="1:2" x14ac:dyDescent="0.25">
      <c r="A2445"/>
      <c r="B2445"/>
    </row>
    <row r="2446" spans="1:2" x14ac:dyDescent="0.25">
      <c r="A2446"/>
      <c r="B2446"/>
    </row>
    <row r="2447" spans="1:2" x14ac:dyDescent="0.25">
      <c r="A2447"/>
      <c r="B2447"/>
    </row>
    <row r="2448" spans="1:2" x14ac:dyDescent="0.25">
      <c r="A2448"/>
      <c r="B2448"/>
    </row>
    <row r="2449" spans="1:2" x14ac:dyDescent="0.25">
      <c r="A2449"/>
      <c r="B2449"/>
    </row>
    <row r="2450" spans="1:2" x14ac:dyDescent="0.25">
      <c r="A2450"/>
      <c r="B2450"/>
    </row>
    <row r="2451" spans="1:2" x14ac:dyDescent="0.25">
      <c r="A2451"/>
      <c r="B2451"/>
    </row>
    <row r="2452" spans="1:2" x14ac:dyDescent="0.25">
      <c r="A2452"/>
      <c r="B2452"/>
    </row>
    <row r="2453" spans="1:2" x14ac:dyDescent="0.25">
      <c r="A2453"/>
      <c r="B2453"/>
    </row>
    <row r="2454" spans="1:2" x14ac:dyDescent="0.25">
      <c r="A2454"/>
      <c r="B2454"/>
    </row>
    <row r="2455" spans="1:2" x14ac:dyDescent="0.25">
      <c r="A2455"/>
      <c r="B2455"/>
    </row>
    <row r="2456" spans="1:2" x14ac:dyDescent="0.25">
      <c r="A2456"/>
      <c r="B2456"/>
    </row>
    <row r="2457" spans="1:2" x14ac:dyDescent="0.25">
      <c r="A2457"/>
      <c r="B2457"/>
    </row>
    <row r="2458" spans="1:2" x14ac:dyDescent="0.25">
      <c r="A2458"/>
      <c r="B2458"/>
    </row>
    <row r="2459" spans="1:2" x14ac:dyDescent="0.25">
      <c r="A2459"/>
      <c r="B2459"/>
    </row>
    <row r="2460" spans="1:2" x14ac:dyDescent="0.25">
      <c r="A2460"/>
      <c r="B2460"/>
    </row>
    <row r="2461" spans="1:2" x14ac:dyDescent="0.25">
      <c r="A2461"/>
      <c r="B2461"/>
    </row>
    <row r="2462" spans="1:2" x14ac:dyDescent="0.25">
      <c r="A2462"/>
      <c r="B2462"/>
    </row>
    <row r="2463" spans="1:2" x14ac:dyDescent="0.25">
      <c r="A2463"/>
      <c r="B2463"/>
    </row>
    <row r="2464" spans="1:2" x14ac:dyDescent="0.25">
      <c r="A2464"/>
      <c r="B2464"/>
    </row>
    <row r="2465" spans="1:2" x14ac:dyDescent="0.25">
      <c r="A2465"/>
      <c r="B2465"/>
    </row>
    <row r="2466" spans="1:2" x14ac:dyDescent="0.25">
      <c r="A2466"/>
      <c r="B2466"/>
    </row>
    <row r="2467" spans="1:2" x14ac:dyDescent="0.25">
      <c r="A2467"/>
      <c r="B2467"/>
    </row>
    <row r="2468" spans="1:2" x14ac:dyDescent="0.25">
      <c r="A2468"/>
      <c r="B2468"/>
    </row>
    <row r="2469" spans="1:2" x14ac:dyDescent="0.25">
      <c r="A2469"/>
      <c r="B2469"/>
    </row>
    <row r="2470" spans="1:2" x14ac:dyDescent="0.25">
      <c r="A2470"/>
      <c r="B2470"/>
    </row>
    <row r="2471" spans="1:2" x14ac:dyDescent="0.25">
      <c r="A2471"/>
      <c r="B2471"/>
    </row>
    <row r="2472" spans="1:2" x14ac:dyDescent="0.25">
      <c r="A2472"/>
      <c r="B2472"/>
    </row>
    <row r="2473" spans="1:2" x14ac:dyDescent="0.25">
      <c r="A2473"/>
      <c r="B2473"/>
    </row>
    <row r="2474" spans="1:2" x14ac:dyDescent="0.25">
      <c r="A2474"/>
      <c r="B2474"/>
    </row>
    <row r="2475" spans="1:2" x14ac:dyDescent="0.25">
      <c r="A2475"/>
      <c r="B2475"/>
    </row>
    <row r="2476" spans="1:2" x14ac:dyDescent="0.25">
      <c r="A2476"/>
      <c r="B2476"/>
    </row>
    <row r="2477" spans="1:2" x14ac:dyDescent="0.25">
      <c r="A2477"/>
      <c r="B2477"/>
    </row>
    <row r="2478" spans="1:2" x14ac:dyDescent="0.25">
      <c r="A2478"/>
      <c r="B2478"/>
    </row>
    <row r="2479" spans="1:2" x14ac:dyDescent="0.25">
      <c r="A2479"/>
      <c r="B2479"/>
    </row>
    <row r="2480" spans="1:2" x14ac:dyDescent="0.25">
      <c r="A2480"/>
      <c r="B2480"/>
    </row>
    <row r="2481" spans="1:2" x14ac:dyDescent="0.25">
      <c r="A2481"/>
      <c r="B2481"/>
    </row>
    <row r="2482" spans="1:2" x14ac:dyDescent="0.25">
      <c r="A2482"/>
      <c r="B2482"/>
    </row>
    <row r="2483" spans="1:2" x14ac:dyDescent="0.25">
      <c r="A2483"/>
      <c r="B2483"/>
    </row>
    <row r="2484" spans="1:2" x14ac:dyDescent="0.25">
      <c r="A2484"/>
      <c r="B2484"/>
    </row>
    <row r="2485" spans="1:2" x14ac:dyDescent="0.25">
      <c r="A2485"/>
      <c r="B2485"/>
    </row>
    <row r="2486" spans="1:2" x14ac:dyDescent="0.25">
      <c r="A2486"/>
      <c r="B2486"/>
    </row>
    <row r="2487" spans="1:2" x14ac:dyDescent="0.25">
      <c r="A2487"/>
      <c r="B2487"/>
    </row>
    <row r="2488" spans="1:2" x14ac:dyDescent="0.25">
      <c r="A2488"/>
      <c r="B2488"/>
    </row>
    <row r="2489" spans="1:2" x14ac:dyDescent="0.25">
      <c r="A2489"/>
      <c r="B2489"/>
    </row>
    <row r="2490" spans="1:2" x14ac:dyDescent="0.25">
      <c r="A2490"/>
      <c r="B2490"/>
    </row>
    <row r="2491" spans="1:2" x14ac:dyDescent="0.25">
      <c r="A2491"/>
      <c r="B2491"/>
    </row>
    <row r="2492" spans="1:2" x14ac:dyDescent="0.25">
      <c r="A2492"/>
      <c r="B2492"/>
    </row>
    <row r="2493" spans="1:2" x14ac:dyDescent="0.25">
      <c r="A2493"/>
      <c r="B2493"/>
    </row>
    <row r="2494" spans="1:2" x14ac:dyDescent="0.25">
      <c r="A2494"/>
      <c r="B2494"/>
    </row>
    <row r="2495" spans="1:2" x14ac:dyDescent="0.25">
      <c r="A2495"/>
      <c r="B2495"/>
    </row>
    <row r="2496" spans="1:2" x14ac:dyDescent="0.25">
      <c r="A2496"/>
      <c r="B2496"/>
    </row>
    <row r="2497" spans="1:2" x14ac:dyDescent="0.25">
      <c r="A2497"/>
      <c r="B2497"/>
    </row>
    <row r="2498" spans="1:2" x14ac:dyDescent="0.25">
      <c r="A2498"/>
      <c r="B2498"/>
    </row>
    <row r="2499" spans="1:2" x14ac:dyDescent="0.25">
      <c r="A2499"/>
      <c r="B2499"/>
    </row>
    <row r="2500" spans="1:2" x14ac:dyDescent="0.25">
      <c r="A2500"/>
      <c r="B2500"/>
    </row>
    <row r="2501" spans="1:2" x14ac:dyDescent="0.25">
      <c r="A2501"/>
      <c r="B2501"/>
    </row>
    <row r="2502" spans="1:2" x14ac:dyDescent="0.25">
      <c r="A2502"/>
      <c r="B2502"/>
    </row>
    <row r="2503" spans="1:2" x14ac:dyDescent="0.25">
      <c r="A2503"/>
      <c r="B2503"/>
    </row>
    <row r="2504" spans="1:2" x14ac:dyDescent="0.25">
      <c r="A2504"/>
      <c r="B2504"/>
    </row>
    <row r="2505" spans="1:2" x14ac:dyDescent="0.25">
      <c r="A2505"/>
      <c r="B2505"/>
    </row>
    <row r="2506" spans="1:2" x14ac:dyDescent="0.25">
      <c r="A2506"/>
      <c r="B2506"/>
    </row>
    <row r="2507" spans="1:2" x14ac:dyDescent="0.25">
      <c r="A2507"/>
      <c r="B2507"/>
    </row>
    <row r="2508" spans="1:2" x14ac:dyDescent="0.25">
      <c r="A2508"/>
      <c r="B2508"/>
    </row>
    <row r="2509" spans="1:2" x14ac:dyDescent="0.25">
      <c r="A2509"/>
      <c r="B2509"/>
    </row>
    <row r="2510" spans="1:2" x14ac:dyDescent="0.25">
      <c r="A2510"/>
      <c r="B2510"/>
    </row>
    <row r="2511" spans="1:2" x14ac:dyDescent="0.25">
      <c r="A2511"/>
      <c r="B2511"/>
    </row>
    <row r="2512" spans="1:2" x14ac:dyDescent="0.25">
      <c r="A2512"/>
      <c r="B2512"/>
    </row>
    <row r="2513" spans="1:2" x14ac:dyDescent="0.25">
      <c r="A2513"/>
      <c r="B2513"/>
    </row>
    <row r="2514" spans="1:2" x14ac:dyDescent="0.25">
      <c r="A2514"/>
      <c r="B2514"/>
    </row>
    <row r="2515" spans="1:2" x14ac:dyDescent="0.25">
      <c r="A2515"/>
      <c r="B2515"/>
    </row>
    <row r="2516" spans="1:2" x14ac:dyDescent="0.25">
      <c r="A2516"/>
      <c r="B2516"/>
    </row>
    <row r="2517" spans="1:2" x14ac:dyDescent="0.25">
      <c r="A2517"/>
      <c r="B2517"/>
    </row>
    <row r="2518" spans="1:2" x14ac:dyDescent="0.25">
      <c r="A2518"/>
      <c r="B2518"/>
    </row>
    <row r="2519" spans="1:2" x14ac:dyDescent="0.25">
      <c r="A2519"/>
      <c r="B2519"/>
    </row>
    <row r="2520" spans="1:2" x14ac:dyDescent="0.25">
      <c r="A2520"/>
      <c r="B2520"/>
    </row>
    <row r="2521" spans="1:2" x14ac:dyDescent="0.25">
      <c r="A2521"/>
      <c r="B2521"/>
    </row>
    <row r="2522" spans="1:2" x14ac:dyDescent="0.25">
      <c r="A2522"/>
      <c r="B2522"/>
    </row>
    <row r="2523" spans="1:2" x14ac:dyDescent="0.25">
      <c r="A2523"/>
      <c r="B2523"/>
    </row>
    <row r="2524" spans="1:2" x14ac:dyDescent="0.25">
      <c r="A2524"/>
      <c r="B2524"/>
    </row>
    <row r="2525" spans="1:2" x14ac:dyDescent="0.25">
      <c r="A2525"/>
      <c r="B2525"/>
    </row>
    <row r="2526" spans="1:2" x14ac:dyDescent="0.25">
      <c r="A2526"/>
      <c r="B2526"/>
    </row>
    <row r="2527" spans="1:2" x14ac:dyDescent="0.25">
      <c r="A2527"/>
      <c r="B2527"/>
    </row>
    <row r="2528" spans="1:2" x14ac:dyDescent="0.25">
      <c r="A2528"/>
      <c r="B2528"/>
    </row>
    <row r="2529" spans="1:2" x14ac:dyDescent="0.25">
      <c r="A2529"/>
      <c r="B2529"/>
    </row>
    <row r="2530" spans="1:2" x14ac:dyDescent="0.25">
      <c r="A2530"/>
      <c r="B2530"/>
    </row>
    <row r="2531" spans="1:2" x14ac:dyDescent="0.25">
      <c r="A2531"/>
      <c r="B2531"/>
    </row>
    <row r="2532" spans="1:2" x14ac:dyDescent="0.25">
      <c r="A2532"/>
      <c r="B2532"/>
    </row>
    <row r="2533" spans="1:2" x14ac:dyDescent="0.25">
      <c r="A2533"/>
      <c r="B2533"/>
    </row>
    <row r="2534" spans="1:2" x14ac:dyDescent="0.25">
      <c r="A2534"/>
      <c r="B2534"/>
    </row>
    <row r="2535" spans="1:2" x14ac:dyDescent="0.25">
      <c r="A2535"/>
      <c r="B2535"/>
    </row>
    <row r="2536" spans="1:2" x14ac:dyDescent="0.25">
      <c r="A2536"/>
      <c r="B2536"/>
    </row>
    <row r="2537" spans="1:2" x14ac:dyDescent="0.25">
      <c r="A2537"/>
      <c r="B2537"/>
    </row>
    <row r="2538" spans="1:2" x14ac:dyDescent="0.25">
      <c r="A2538"/>
      <c r="B2538"/>
    </row>
    <row r="2539" spans="1:2" x14ac:dyDescent="0.25">
      <c r="A2539"/>
      <c r="B2539"/>
    </row>
    <row r="2540" spans="1:2" x14ac:dyDescent="0.25">
      <c r="A2540"/>
      <c r="B2540"/>
    </row>
    <row r="2541" spans="1:2" x14ac:dyDescent="0.25">
      <c r="A2541"/>
      <c r="B2541"/>
    </row>
    <row r="2542" spans="1:2" x14ac:dyDescent="0.25">
      <c r="A2542"/>
      <c r="B2542"/>
    </row>
    <row r="2543" spans="1:2" x14ac:dyDescent="0.25">
      <c r="A2543"/>
      <c r="B2543"/>
    </row>
    <row r="2544" spans="1:2" x14ac:dyDescent="0.25">
      <c r="A2544"/>
      <c r="B2544"/>
    </row>
    <row r="2545" spans="1:2" x14ac:dyDescent="0.25">
      <c r="A2545"/>
      <c r="B2545"/>
    </row>
    <row r="2546" spans="1:2" x14ac:dyDescent="0.25">
      <c r="A2546"/>
      <c r="B2546"/>
    </row>
    <row r="2547" spans="1:2" x14ac:dyDescent="0.25">
      <c r="A2547"/>
      <c r="B2547"/>
    </row>
    <row r="2548" spans="1:2" x14ac:dyDescent="0.25">
      <c r="A2548"/>
      <c r="B2548"/>
    </row>
    <row r="2549" spans="1:2" x14ac:dyDescent="0.25">
      <c r="A2549"/>
      <c r="B2549"/>
    </row>
    <row r="2550" spans="1:2" x14ac:dyDescent="0.25">
      <c r="A2550"/>
      <c r="B2550"/>
    </row>
    <row r="2551" spans="1:2" x14ac:dyDescent="0.25">
      <c r="A2551"/>
      <c r="B2551"/>
    </row>
    <row r="2552" spans="1:2" x14ac:dyDescent="0.25">
      <c r="A2552"/>
      <c r="B2552"/>
    </row>
    <row r="2553" spans="1:2" x14ac:dyDescent="0.25">
      <c r="A2553"/>
      <c r="B2553"/>
    </row>
    <row r="2554" spans="1:2" x14ac:dyDescent="0.25">
      <c r="A2554"/>
      <c r="B2554"/>
    </row>
    <row r="2555" spans="1:2" x14ac:dyDescent="0.25">
      <c r="A2555"/>
      <c r="B2555"/>
    </row>
    <row r="2556" spans="1:2" x14ac:dyDescent="0.25">
      <c r="A2556"/>
      <c r="B2556"/>
    </row>
    <row r="2557" spans="1:2" x14ac:dyDescent="0.25">
      <c r="A2557"/>
      <c r="B2557"/>
    </row>
    <row r="2558" spans="1:2" x14ac:dyDescent="0.25">
      <c r="A2558"/>
      <c r="B2558"/>
    </row>
    <row r="2559" spans="1:2" x14ac:dyDescent="0.25">
      <c r="A2559"/>
      <c r="B2559"/>
    </row>
    <row r="2560" spans="1:2" x14ac:dyDescent="0.25">
      <c r="A2560"/>
      <c r="B2560"/>
    </row>
    <row r="2561" spans="1:2" x14ac:dyDescent="0.25">
      <c r="A2561"/>
      <c r="B2561"/>
    </row>
    <row r="2562" spans="1:2" x14ac:dyDescent="0.25">
      <c r="A2562"/>
      <c r="B2562"/>
    </row>
    <row r="2563" spans="1:2" x14ac:dyDescent="0.25">
      <c r="A2563"/>
      <c r="B2563"/>
    </row>
    <row r="2564" spans="1:2" x14ac:dyDescent="0.25">
      <c r="A2564"/>
      <c r="B2564"/>
    </row>
    <row r="2565" spans="1:2" x14ac:dyDescent="0.25">
      <c r="A2565"/>
      <c r="B2565"/>
    </row>
    <row r="2566" spans="1:2" x14ac:dyDescent="0.25">
      <c r="A2566"/>
      <c r="B2566"/>
    </row>
    <row r="2567" spans="1:2" x14ac:dyDescent="0.25">
      <c r="A2567"/>
      <c r="B2567"/>
    </row>
    <row r="2568" spans="1:2" x14ac:dyDescent="0.25">
      <c r="A2568"/>
      <c r="B2568"/>
    </row>
    <row r="2569" spans="1:2" x14ac:dyDescent="0.25">
      <c r="A2569"/>
      <c r="B2569"/>
    </row>
    <row r="2570" spans="1:2" x14ac:dyDescent="0.25">
      <c r="A2570"/>
      <c r="B2570"/>
    </row>
    <row r="2571" spans="1:2" x14ac:dyDescent="0.25">
      <c r="A2571"/>
      <c r="B2571"/>
    </row>
    <row r="2572" spans="1:2" x14ac:dyDescent="0.25">
      <c r="A2572"/>
      <c r="B2572"/>
    </row>
    <row r="2573" spans="1:2" x14ac:dyDescent="0.25">
      <c r="A2573"/>
      <c r="B2573"/>
    </row>
    <row r="2574" spans="1:2" x14ac:dyDescent="0.25">
      <c r="A2574"/>
      <c r="B2574"/>
    </row>
    <row r="2575" spans="1:2" x14ac:dyDescent="0.25">
      <c r="A2575"/>
      <c r="B2575"/>
    </row>
    <row r="2576" spans="1:2" x14ac:dyDescent="0.25">
      <c r="A2576"/>
      <c r="B2576"/>
    </row>
    <row r="2577" spans="1:2" x14ac:dyDescent="0.25">
      <c r="A2577"/>
      <c r="B2577"/>
    </row>
    <row r="2578" spans="1:2" x14ac:dyDescent="0.25">
      <c r="A2578"/>
      <c r="B2578"/>
    </row>
    <row r="2579" spans="1:2" x14ac:dyDescent="0.25">
      <c r="A2579"/>
      <c r="B2579"/>
    </row>
    <row r="2580" spans="1:2" x14ac:dyDescent="0.25">
      <c r="A2580"/>
      <c r="B2580"/>
    </row>
    <row r="2581" spans="1:2" x14ac:dyDescent="0.25">
      <c r="A2581"/>
      <c r="B2581"/>
    </row>
    <row r="2582" spans="1:2" x14ac:dyDescent="0.25">
      <c r="A2582"/>
      <c r="B2582"/>
    </row>
    <row r="2583" spans="1:2" x14ac:dyDescent="0.25">
      <c r="A2583"/>
      <c r="B2583"/>
    </row>
    <row r="2584" spans="1:2" x14ac:dyDescent="0.25">
      <c r="A2584"/>
      <c r="B2584"/>
    </row>
    <row r="2585" spans="1:2" x14ac:dyDescent="0.25">
      <c r="A2585"/>
      <c r="B2585"/>
    </row>
    <row r="2586" spans="1:2" x14ac:dyDescent="0.25">
      <c r="A2586"/>
      <c r="B2586"/>
    </row>
    <row r="2587" spans="1:2" x14ac:dyDescent="0.25">
      <c r="A2587"/>
      <c r="B2587"/>
    </row>
    <row r="2588" spans="1:2" x14ac:dyDescent="0.25">
      <c r="A2588"/>
      <c r="B2588"/>
    </row>
    <row r="2589" spans="1:2" x14ac:dyDescent="0.25">
      <c r="A2589"/>
      <c r="B2589"/>
    </row>
    <row r="2590" spans="1:2" x14ac:dyDescent="0.25">
      <c r="A2590"/>
      <c r="B2590"/>
    </row>
    <row r="2591" spans="1:2" x14ac:dyDescent="0.25">
      <c r="A2591"/>
      <c r="B2591"/>
    </row>
    <row r="2592" spans="1:2" x14ac:dyDescent="0.25">
      <c r="A2592"/>
      <c r="B2592"/>
    </row>
    <row r="2593" spans="1:2" x14ac:dyDescent="0.25">
      <c r="A2593"/>
      <c r="B2593"/>
    </row>
    <row r="2594" spans="1:2" x14ac:dyDescent="0.25">
      <c r="A2594"/>
      <c r="B2594"/>
    </row>
    <row r="2595" spans="1:2" x14ac:dyDescent="0.25">
      <c r="A2595"/>
      <c r="B2595"/>
    </row>
    <row r="2596" spans="1:2" x14ac:dyDescent="0.25">
      <c r="A2596"/>
      <c r="B2596"/>
    </row>
    <row r="2597" spans="1:2" x14ac:dyDescent="0.25">
      <c r="A2597"/>
      <c r="B2597"/>
    </row>
    <row r="2598" spans="1:2" x14ac:dyDescent="0.25">
      <c r="A2598"/>
      <c r="B2598"/>
    </row>
    <row r="2599" spans="1:2" x14ac:dyDescent="0.25">
      <c r="A2599"/>
      <c r="B2599"/>
    </row>
    <row r="2600" spans="1:2" x14ac:dyDescent="0.25">
      <c r="A2600"/>
      <c r="B2600"/>
    </row>
    <row r="2601" spans="1:2" x14ac:dyDescent="0.25">
      <c r="A2601"/>
      <c r="B2601"/>
    </row>
    <row r="2602" spans="1:2" x14ac:dyDescent="0.25">
      <c r="A2602"/>
      <c r="B2602"/>
    </row>
    <row r="2603" spans="1:2" x14ac:dyDescent="0.25">
      <c r="A2603"/>
      <c r="B2603"/>
    </row>
    <row r="2604" spans="1:2" x14ac:dyDescent="0.25">
      <c r="A2604"/>
      <c r="B2604"/>
    </row>
    <row r="2605" spans="1:2" x14ac:dyDescent="0.25">
      <c r="A2605"/>
      <c r="B2605"/>
    </row>
    <row r="2606" spans="1:2" x14ac:dyDescent="0.25">
      <c r="A2606"/>
      <c r="B2606"/>
    </row>
    <row r="2607" spans="1:2" x14ac:dyDescent="0.25">
      <c r="A2607"/>
      <c r="B2607"/>
    </row>
    <row r="2608" spans="1:2" x14ac:dyDescent="0.25">
      <c r="A2608"/>
      <c r="B2608"/>
    </row>
    <row r="2609" spans="1:2" x14ac:dyDescent="0.25">
      <c r="A2609"/>
      <c r="B2609"/>
    </row>
    <row r="2610" spans="1:2" x14ac:dyDescent="0.25">
      <c r="A2610"/>
      <c r="B2610"/>
    </row>
    <row r="2611" spans="1:2" x14ac:dyDescent="0.25">
      <c r="A2611"/>
      <c r="B2611"/>
    </row>
    <row r="2612" spans="1:2" x14ac:dyDescent="0.25">
      <c r="A2612"/>
      <c r="B2612"/>
    </row>
    <row r="2613" spans="1:2" x14ac:dyDescent="0.25">
      <c r="A2613"/>
      <c r="B2613"/>
    </row>
    <row r="2614" spans="1:2" x14ac:dyDescent="0.25">
      <c r="A2614"/>
      <c r="B2614"/>
    </row>
    <row r="2615" spans="1:2" x14ac:dyDescent="0.25">
      <c r="A2615"/>
      <c r="B2615"/>
    </row>
    <row r="2616" spans="1:2" x14ac:dyDescent="0.25">
      <c r="A2616"/>
      <c r="B2616"/>
    </row>
    <row r="2617" spans="1:2" x14ac:dyDescent="0.25">
      <c r="A2617"/>
      <c r="B2617"/>
    </row>
    <row r="2618" spans="1:2" x14ac:dyDescent="0.25">
      <c r="A2618"/>
      <c r="B2618"/>
    </row>
    <row r="2619" spans="1:2" x14ac:dyDescent="0.25">
      <c r="A2619"/>
      <c r="B2619"/>
    </row>
    <row r="2620" spans="1:2" x14ac:dyDescent="0.25">
      <c r="A2620"/>
      <c r="B2620"/>
    </row>
    <row r="2621" spans="1:2" x14ac:dyDescent="0.25">
      <c r="A2621"/>
      <c r="B2621"/>
    </row>
    <row r="2622" spans="1:2" x14ac:dyDescent="0.25">
      <c r="A2622"/>
      <c r="B2622"/>
    </row>
    <row r="2623" spans="1:2" x14ac:dyDescent="0.25">
      <c r="A2623"/>
      <c r="B2623"/>
    </row>
    <row r="2624" spans="1:2" x14ac:dyDescent="0.25">
      <c r="A2624"/>
      <c r="B2624"/>
    </row>
    <row r="2625" spans="1:2" x14ac:dyDescent="0.25">
      <c r="A2625"/>
      <c r="B2625"/>
    </row>
    <row r="2626" spans="1:2" x14ac:dyDescent="0.25">
      <c r="A2626"/>
      <c r="B2626"/>
    </row>
    <row r="2627" spans="1:2" x14ac:dyDescent="0.25">
      <c r="A2627"/>
      <c r="B2627"/>
    </row>
    <row r="2628" spans="1:2" x14ac:dyDescent="0.25">
      <c r="A2628"/>
      <c r="B2628"/>
    </row>
    <row r="2629" spans="1:2" x14ac:dyDescent="0.25">
      <c r="A2629"/>
      <c r="B2629"/>
    </row>
    <row r="2630" spans="1:2" x14ac:dyDescent="0.25">
      <c r="A2630"/>
      <c r="B2630"/>
    </row>
    <row r="2631" spans="1:2" x14ac:dyDescent="0.25">
      <c r="A2631"/>
      <c r="B2631"/>
    </row>
    <row r="2632" spans="1:2" x14ac:dyDescent="0.25">
      <c r="A2632"/>
      <c r="B2632"/>
    </row>
    <row r="2633" spans="1:2" x14ac:dyDescent="0.25">
      <c r="A2633"/>
      <c r="B2633"/>
    </row>
    <row r="2634" spans="1:2" x14ac:dyDescent="0.25">
      <c r="A2634"/>
      <c r="B2634"/>
    </row>
    <row r="2635" spans="1:2" x14ac:dyDescent="0.25">
      <c r="A2635"/>
      <c r="B2635"/>
    </row>
    <row r="2636" spans="1:2" x14ac:dyDescent="0.25">
      <c r="A2636"/>
      <c r="B2636"/>
    </row>
    <row r="2637" spans="1:2" x14ac:dyDescent="0.25">
      <c r="A2637"/>
      <c r="B2637"/>
    </row>
    <row r="2638" spans="1:2" x14ac:dyDescent="0.25">
      <c r="A2638"/>
      <c r="B2638"/>
    </row>
    <row r="2639" spans="1:2" x14ac:dyDescent="0.25">
      <c r="A2639"/>
      <c r="B2639"/>
    </row>
    <row r="2640" spans="1:2" x14ac:dyDescent="0.25">
      <c r="A2640"/>
      <c r="B2640"/>
    </row>
    <row r="2641" spans="1:2" x14ac:dyDescent="0.25">
      <c r="A2641"/>
      <c r="B2641"/>
    </row>
    <row r="2642" spans="1:2" x14ac:dyDescent="0.25">
      <c r="A2642"/>
      <c r="B2642"/>
    </row>
    <row r="2643" spans="1:2" x14ac:dyDescent="0.25">
      <c r="A2643"/>
      <c r="B2643"/>
    </row>
    <row r="2644" spans="1:2" x14ac:dyDescent="0.25">
      <c r="A2644"/>
      <c r="B2644"/>
    </row>
    <row r="2645" spans="1:2" x14ac:dyDescent="0.25">
      <c r="A2645"/>
      <c r="B2645"/>
    </row>
    <row r="2646" spans="1:2" x14ac:dyDescent="0.25">
      <c r="A2646"/>
      <c r="B2646"/>
    </row>
    <row r="2647" spans="1:2" x14ac:dyDescent="0.25">
      <c r="A2647"/>
      <c r="B2647"/>
    </row>
    <row r="2648" spans="1:2" x14ac:dyDescent="0.25">
      <c r="A2648"/>
      <c r="B2648"/>
    </row>
    <row r="2649" spans="1:2" x14ac:dyDescent="0.25">
      <c r="A2649"/>
      <c r="B2649"/>
    </row>
    <row r="2650" spans="1:2" x14ac:dyDescent="0.25">
      <c r="A2650"/>
      <c r="B2650"/>
    </row>
    <row r="2651" spans="1:2" x14ac:dyDescent="0.25">
      <c r="A2651"/>
      <c r="B2651"/>
    </row>
    <row r="2652" spans="1:2" x14ac:dyDescent="0.25">
      <c r="A2652"/>
      <c r="B2652"/>
    </row>
    <row r="2653" spans="1:2" x14ac:dyDescent="0.25">
      <c r="A2653"/>
      <c r="B2653"/>
    </row>
    <row r="2654" spans="1:2" x14ac:dyDescent="0.25">
      <c r="A2654"/>
      <c r="B2654"/>
    </row>
    <row r="2655" spans="1:2" x14ac:dyDescent="0.25">
      <c r="A2655"/>
      <c r="B2655"/>
    </row>
    <row r="2656" spans="1:2" x14ac:dyDescent="0.25">
      <c r="A2656"/>
      <c r="B2656"/>
    </row>
    <row r="2657" spans="1:2" x14ac:dyDescent="0.25">
      <c r="A2657"/>
      <c r="B2657"/>
    </row>
    <row r="2658" spans="1:2" x14ac:dyDescent="0.25">
      <c r="A2658"/>
      <c r="B2658"/>
    </row>
    <row r="2659" spans="1:2" x14ac:dyDescent="0.25">
      <c r="A2659"/>
      <c r="B2659"/>
    </row>
    <row r="2660" spans="1:2" x14ac:dyDescent="0.25">
      <c r="A2660"/>
      <c r="B2660"/>
    </row>
    <row r="2661" spans="1:2" x14ac:dyDescent="0.25">
      <c r="A2661"/>
      <c r="B2661"/>
    </row>
    <row r="2662" spans="1:2" x14ac:dyDescent="0.25">
      <c r="A2662"/>
      <c r="B2662"/>
    </row>
    <row r="2663" spans="1:2" x14ac:dyDescent="0.25">
      <c r="A2663"/>
      <c r="B2663"/>
    </row>
    <row r="2664" spans="1:2" x14ac:dyDescent="0.25">
      <c r="A2664"/>
      <c r="B2664"/>
    </row>
    <row r="2665" spans="1:2" x14ac:dyDescent="0.25">
      <c r="A2665"/>
      <c r="B2665"/>
    </row>
    <row r="2666" spans="1:2" x14ac:dyDescent="0.25">
      <c r="A2666"/>
      <c r="B2666"/>
    </row>
    <row r="2667" spans="1:2" x14ac:dyDescent="0.25">
      <c r="A2667"/>
      <c r="B2667"/>
    </row>
    <row r="2668" spans="1:2" x14ac:dyDescent="0.25">
      <c r="A2668"/>
      <c r="B2668"/>
    </row>
    <row r="2669" spans="1:2" x14ac:dyDescent="0.25">
      <c r="A2669"/>
      <c r="B2669"/>
    </row>
    <row r="2670" spans="1:2" x14ac:dyDescent="0.25">
      <c r="A2670"/>
      <c r="B2670"/>
    </row>
    <row r="2671" spans="1:2" x14ac:dyDescent="0.25">
      <c r="A2671"/>
      <c r="B2671"/>
    </row>
    <row r="2672" spans="1:2" x14ac:dyDescent="0.25">
      <c r="A2672"/>
      <c r="B2672"/>
    </row>
    <row r="2673" spans="1:2" x14ac:dyDescent="0.25">
      <c r="A2673"/>
      <c r="B2673"/>
    </row>
    <row r="2674" spans="1:2" x14ac:dyDescent="0.25">
      <c r="A2674"/>
      <c r="B2674"/>
    </row>
    <row r="2675" spans="1:2" x14ac:dyDescent="0.25">
      <c r="A2675"/>
      <c r="B2675"/>
    </row>
    <row r="2676" spans="1:2" x14ac:dyDescent="0.25">
      <c r="A2676"/>
      <c r="B2676"/>
    </row>
    <row r="2677" spans="1:2" x14ac:dyDescent="0.25">
      <c r="A2677"/>
      <c r="B2677"/>
    </row>
    <row r="2678" spans="1:2" x14ac:dyDescent="0.25">
      <c r="A2678"/>
      <c r="B2678"/>
    </row>
    <row r="2679" spans="1:2" x14ac:dyDescent="0.25">
      <c r="A2679"/>
      <c r="B2679"/>
    </row>
    <row r="2680" spans="1:2" x14ac:dyDescent="0.25">
      <c r="A2680"/>
      <c r="B2680"/>
    </row>
    <row r="2681" spans="1:2" x14ac:dyDescent="0.25">
      <c r="A2681"/>
      <c r="B2681"/>
    </row>
    <row r="2682" spans="1:2" x14ac:dyDescent="0.25">
      <c r="A2682"/>
      <c r="B2682"/>
    </row>
    <row r="2683" spans="1:2" x14ac:dyDescent="0.25">
      <c r="A2683"/>
      <c r="B2683"/>
    </row>
    <row r="2684" spans="1:2" x14ac:dyDescent="0.25">
      <c r="A2684"/>
      <c r="B2684"/>
    </row>
    <row r="2685" spans="1:2" x14ac:dyDescent="0.25">
      <c r="A2685"/>
      <c r="B2685"/>
    </row>
    <row r="2686" spans="1:2" x14ac:dyDescent="0.25">
      <c r="A2686"/>
      <c r="B2686"/>
    </row>
    <row r="2687" spans="1:2" x14ac:dyDescent="0.25">
      <c r="A2687"/>
      <c r="B2687"/>
    </row>
    <row r="2688" spans="1:2" x14ac:dyDescent="0.25">
      <c r="A2688"/>
      <c r="B2688"/>
    </row>
    <row r="2689" spans="1:2" x14ac:dyDescent="0.25">
      <c r="A2689"/>
      <c r="B2689"/>
    </row>
    <row r="2690" spans="1:2" x14ac:dyDescent="0.25">
      <c r="A2690"/>
      <c r="B2690"/>
    </row>
    <row r="2691" spans="1:2" x14ac:dyDescent="0.25">
      <c r="A2691"/>
      <c r="B2691"/>
    </row>
    <row r="2692" spans="1:2" x14ac:dyDescent="0.25">
      <c r="A2692"/>
      <c r="B2692"/>
    </row>
    <row r="2693" spans="1:2" x14ac:dyDescent="0.25">
      <c r="A2693"/>
      <c r="B2693"/>
    </row>
    <row r="2694" spans="1:2" x14ac:dyDescent="0.25">
      <c r="A2694"/>
      <c r="B2694"/>
    </row>
    <row r="2695" spans="1:2" x14ac:dyDescent="0.25">
      <c r="A2695"/>
      <c r="B2695"/>
    </row>
    <row r="2696" spans="1:2" x14ac:dyDescent="0.25">
      <c r="A2696"/>
      <c r="B2696"/>
    </row>
    <row r="2697" spans="1:2" x14ac:dyDescent="0.25">
      <c r="A2697"/>
      <c r="B2697"/>
    </row>
    <row r="2698" spans="1:2" x14ac:dyDescent="0.25">
      <c r="A2698"/>
      <c r="B2698"/>
    </row>
    <row r="2699" spans="1:2" x14ac:dyDescent="0.25">
      <c r="A2699"/>
      <c r="B2699"/>
    </row>
    <row r="2700" spans="1:2" x14ac:dyDescent="0.25">
      <c r="A2700"/>
      <c r="B2700"/>
    </row>
    <row r="2701" spans="1:2" x14ac:dyDescent="0.25">
      <c r="A2701"/>
      <c r="B2701"/>
    </row>
    <row r="2702" spans="1:2" x14ac:dyDescent="0.25">
      <c r="A2702"/>
      <c r="B2702"/>
    </row>
    <row r="2703" spans="1:2" x14ac:dyDescent="0.25">
      <c r="A2703"/>
      <c r="B2703"/>
    </row>
    <row r="2704" spans="1:2" x14ac:dyDescent="0.25">
      <c r="A2704"/>
      <c r="B2704"/>
    </row>
    <row r="2705" spans="1:2" x14ac:dyDescent="0.25">
      <c r="A2705"/>
      <c r="B2705"/>
    </row>
    <row r="2706" spans="1:2" x14ac:dyDescent="0.25">
      <c r="A2706"/>
      <c r="B2706"/>
    </row>
    <row r="2707" spans="1:2" x14ac:dyDescent="0.25">
      <c r="A2707"/>
      <c r="B2707"/>
    </row>
    <row r="2708" spans="1:2" x14ac:dyDescent="0.25">
      <c r="A2708"/>
      <c r="B2708"/>
    </row>
    <row r="2709" spans="1:2" x14ac:dyDescent="0.25">
      <c r="A2709"/>
      <c r="B2709"/>
    </row>
    <row r="2710" spans="1:2" x14ac:dyDescent="0.25">
      <c r="A2710"/>
      <c r="B2710"/>
    </row>
    <row r="2711" spans="1:2" x14ac:dyDescent="0.25">
      <c r="A2711"/>
      <c r="B2711"/>
    </row>
    <row r="2712" spans="1:2" x14ac:dyDescent="0.25">
      <c r="A2712"/>
      <c r="B2712"/>
    </row>
    <row r="2713" spans="1:2" x14ac:dyDescent="0.25">
      <c r="A2713"/>
      <c r="B2713"/>
    </row>
    <row r="2714" spans="1:2" x14ac:dyDescent="0.25">
      <c r="A2714"/>
      <c r="B2714"/>
    </row>
    <row r="2715" spans="1:2" x14ac:dyDescent="0.25">
      <c r="A2715"/>
      <c r="B2715"/>
    </row>
    <row r="2716" spans="1:2" x14ac:dyDescent="0.25">
      <c r="A2716"/>
      <c r="B2716"/>
    </row>
    <row r="2717" spans="1:2" x14ac:dyDescent="0.25">
      <c r="A2717"/>
      <c r="B2717"/>
    </row>
    <row r="2718" spans="1:2" x14ac:dyDescent="0.25">
      <c r="A2718"/>
      <c r="B2718"/>
    </row>
    <row r="2719" spans="1:2" x14ac:dyDescent="0.25">
      <c r="A2719"/>
      <c r="B2719"/>
    </row>
    <row r="2720" spans="1:2" x14ac:dyDescent="0.25">
      <c r="A2720"/>
      <c r="B2720"/>
    </row>
    <row r="2721" spans="1:2" x14ac:dyDescent="0.25">
      <c r="A2721"/>
      <c r="B2721"/>
    </row>
    <row r="2722" spans="1:2" x14ac:dyDescent="0.25">
      <c r="A2722"/>
      <c r="B2722"/>
    </row>
    <row r="2723" spans="1:2" x14ac:dyDescent="0.25">
      <c r="A2723"/>
      <c r="B2723"/>
    </row>
    <row r="2724" spans="1:2" x14ac:dyDescent="0.25">
      <c r="A2724"/>
      <c r="B2724"/>
    </row>
    <row r="2725" spans="1:2" x14ac:dyDescent="0.25">
      <c r="A2725"/>
      <c r="B2725"/>
    </row>
    <row r="2726" spans="1:2" x14ac:dyDescent="0.25">
      <c r="A2726"/>
      <c r="B2726"/>
    </row>
    <row r="2727" spans="1:2" x14ac:dyDescent="0.25">
      <c r="A2727"/>
      <c r="B2727"/>
    </row>
    <row r="2728" spans="1:2" x14ac:dyDescent="0.25">
      <c r="A2728"/>
      <c r="B2728"/>
    </row>
    <row r="2729" spans="1:2" x14ac:dyDescent="0.25">
      <c r="A2729"/>
      <c r="B2729"/>
    </row>
    <row r="2730" spans="1:2" x14ac:dyDescent="0.25">
      <c r="A2730"/>
      <c r="B2730"/>
    </row>
    <row r="2731" spans="1:2" x14ac:dyDescent="0.25">
      <c r="A2731"/>
      <c r="B2731"/>
    </row>
    <row r="2732" spans="1:2" x14ac:dyDescent="0.25">
      <c r="A2732"/>
      <c r="B2732"/>
    </row>
    <row r="2733" spans="1:2" x14ac:dyDescent="0.25">
      <c r="A2733"/>
      <c r="B2733"/>
    </row>
    <row r="2734" spans="1:2" x14ac:dyDescent="0.25">
      <c r="A2734"/>
      <c r="B2734"/>
    </row>
    <row r="2735" spans="1:2" x14ac:dyDescent="0.25">
      <c r="A2735"/>
      <c r="B2735"/>
    </row>
    <row r="2736" spans="1:2" x14ac:dyDescent="0.25">
      <c r="A2736"/>
      <c r="B2736"/>
    </row>
    <row r="2737" spans="1:2" x14ac:dyDescent="0.25">
      <c r="A2737"/>
      <c r="B2737"/>
    </row>
    <row r="2738" spans="1:2" x14ac:dyDescent="0.25">
      <c r="A2738"/>
      <c r="B2738"/>
    </row>
    <row r="2739" spans="1:2" x14ac:dyDescent="0.25">
      <c r="A2739"/>
      <c r="B2739"/>
    </row>
    <row r="2740" spans="1:2" x14ac:dyDescent="0.25">
      <c r="A2740"/>
      <c r="B2740"/>
    </row>
    <row r="2741" spans="1:2" x14ac:dyDescent="0.25">
      <c r="A2741"/>
      <c r="B2741"/>
    </row>
    <row r="2742" spans="1:2" x14ac:dyDescent="0.25">
      <c r="A2742"/>
      <c r="B2742"/>
    </row>
    <row r="2743" spans="1:2" x14ac:dyDescent="0.25">
      <c r="A2743"/>
      <c r="B2743"/>
    </row>
    <row r="2744" spans="1:2" x14ac:dyDescent="0.25">
      <c r="A2744"/>
      <c r="B2744"/>
    </row>
    <row r="2745" spans="1:2" x14ac:dyDescent="0.25">
      <c r="A2745"/>
      <c r="B2745"/>
    </row>
    <row r="2746" spans="1:2" x14ac:dyDescent="0.25">
      <c r="A2746"/>
      <c r="B2746"/>
    </row>
    <row r="2747" spans="1:2" x14ac:dyDescent="0.25">
      <c r="A2747"/>
      <c r="B2747"/>
    </row>
    <row r="2748" spans="1:2" x14ac:dyDescent="0.25">
      <c r="A2748"/>
      <c r="B2748"/>
    </row>
    <row r="2749" spans="1:2" x14ac:dyDescent="0.25">
      <c r="A2749"/>
      <c r="B2749"/>
    </row>
    <row r="2750" spans="1:2" x14ac:dyDescent="0.25">
      <c r="A2750"/>
      <c r="B2750"/>
    </row>
    <row r="2751" spans="1:2" x14ac:dyDescent="0.25">
      <c r="A2751"/>
      <c r="B2751"/>
    </row>
    <row r="2752" spans="1:2" x14ac:dyDescent="0.25">
      <c r="A2752"/>
      <c r="B2752"/>
    </row>
    <row r="2753" spans="1:2" x14ac:dyDescent="0.25">
      <c r="A2753"/>
      <c r="B2753"/>
    </row>
    <row r="2754" spans="1:2" x14ac:dyDescent="0.25">
      <c r="A2754"/>
      <c r="B2754"/>
    </row>
    <row r="2755" spans="1:2" x14ac:dyDescent="0.25">
      <c r="A2755"/>
      <c r="B2755"/>
    </row>
    <row r="2756" spans="1:2" x14ac:dyDescent="0.25">
      <c r="A2756"/>
      <c r="B2756"/>
    </row>
    <row r="2757" spans="1:2" x14ac:dyDescent="0.25">
      <c r="A2757"/>
      <c r="B2757"/>
    </row>
    <row r="2758" spans="1:2" x14ac:dyDescent="0.25">
      <c r="A2758"/>
      <c r="B2758"/>
    </row>
    <row r="2759" spans="1:2" x14ac:dyDescent="0.25">
      <c r="A2759"/>
      <c r="B2759"/>
    </row>
    <row r="2760" spans="1:2" x14ac:dyDescent="0.25">
      <c r="A2760"/>
      <c r="B2760"/>
    </row>
    <row r="2761" spans="1:2" x14ac:dyDescent="0.25">
      <c r="A2761"/>
      <c r="B2761"/>
    </row>
    <row r="2762" spans="1:2" x14ac:dyDescent="0.25">
      <c r="A2762"/>
      <c r="B2762"/>
    </row>
    <row r="2763" spans="1:2" x14ac:dyDescent="0.25">
      <c r="A2763"/>
      <c r="B2763"/>
    </row>
    <row r="2764" spans="1:2" x14ac:dyDescent="0.25">
      <c r="A2764"/>
      <c r="B2764"/>
    </row>
    <row r="2765" spans="1:2" x14ac:dyDescent="0.25">
      <c r="A2765"/>
      <c r="B2765"/>
    </row>
    <row r="2766" spans="1:2" x14ac:dyDescent="0.25">
      <c r="A2766"/>
      <c r="B2766"/>
    </row>
    <row r="2767" spans="1:2" x14ac:dyDescent="0.25">
      <c r="A2767"/>
      <c r="B2767"/>
    </row>
    <row r="2768" spans="1:2" x14ac:dyDescent="0.25">
      <c r="A2768"/>
      <c r="B2768"/>
    </row>
    <row r="2769" spans="1:2" x14ac:dyDescent="0.25">
      <c r="A2769"/>
      <c r="B2769"/>
    </row>
    <row r="2770" spans="1:2" x14ac:dyDescent="0.25">
      <c r="A2770"/>
      <c r="B2770"/>
    </row>
    <row r="2771" spans="1:2" x14ac:dyDescent="0.25">
      <c r="A2771"/>
      <c r="B2771"/>
    </row>
    <row r="2772" spans="1:2" x14ac:dyDescent="0.25">
      <c r="A2772"/>
      <c r="B2772"/>
    </row>
    <row r="2773" spans="1:2" x14ac:dyDescent="0.25">
      <c r="A2773"/>
      <c r="B2773"/>
    </row>
    <row r="2774" spans="1:2" x14ac:dyDescent="0.25">
      <c r="A2774"/>
      <c r="B2774"/>
    </row>
    <row r="2775" spans="1:2" x14ac:dyDescent="0.25">
      <c r="A2775"/>
      <c r="B2775"/>
    </row>
    <row r="2776" spans="1:2" x14ac:dyDescent="0.25">
      <c r="A2776"/>
      <c r="B2776"/>
    </row>
    <row r="2777" spans="1:2" x14ac:dyDescent="0.25">
      <c r="A2777"/>
      <c r="B2777"/>
    </row>
    <row r="2778" spans="1:2" x14ac:dyDescent="0.25">
      <c r="A2778"/>
      <c r="B2778"/>
    </row>
    <row r="2779" spans="1:2" x14ac:dyDescent="0.25">
      <c r="A2779"/>
      <c r="B2779"/>
    </row>
    <row r="2780" spans="1:2" x14ac:dyDescent="0.25">
      <c r="A2780"/>
      <c r="B2780"/>
    </row>
    <row r="2781" spans="1:2" x14ac:dyDescent="0.25">
      <c r="A2781"/>
      <c r="B2781"/>
    </row>
    <row r="2782" spans="1:2" x14ac:dyDescent="0.25">
      <c r="A2782"/>
      <c r="B2782"/>
    </row>
    <row r="2783" spans="1:2" x14ac:dyDescent="0.25">
      <c r="A2783"/>
      <c r="B2783"/>
    </row>
    <row r="2784" spans="1:2" x14ac:dyDescent="0.25">
      <c r="A2784"/>
      <c r="B2784"/>
    </row>
    <row r="2785" spans="1:2" x14ac:dyDescent="0.25">
      <c r="A2785"/>
      <c r="B2785"/>
    </row>
    <row r="2786" spans="1:2" x14ac:dyDescent="0.25">
      <c r="A2786"/>
      <c r="B2786"/>
    </row>
    <row r="2787" spans="1:2" x14ac:dyDescent="0.25">
      <c r="A2787"/>
      <c r="B2787"/>
    </row>
    <row r="2788" spans="1:2" x14ac:dyDescent="0.25">
      <c r="A2788"/>
      <c r="B2788"/>
    </row>
    <row r="2789" spans="1:2" x14ac:dyDescent="0.25">
      <c r="A2789"/>
      <c r="B2789"/>
    </row>
    <row r="2790" spans="1:2" x14ac:dyDescent="0.25">
      <c r="A2790"/>
      <c r="B2790"/>
    </row>
    <row r="2791" spans="1:2" x14ac:dyDescent="0.25">
      <c r="A2791"/>
      <c r="B2791"/>
    </row>
    <row r="2792" spans="1:2" x14ac:dyDescent="0.25">
      <c r="A2792"/>
      <c r="B2792"/>
    </row>
    <row r="2793" spans="1:2" x14ac:dyDescent="0.25">
      <c r="A2793"/>
      <c r="B2793"/>
    </row>
    <row r="2794" spans="1:2" x14ac:dyDescent="0.25">
      <c r="A2794"/>
      <c r="B2794"/>
    </row>
    <row r="2795" spans="1:2" x14ac:dyDescent="0.25">
      <c r="A2795"/>
      <c r="B2795"/>
    </row>
    <row r="2796" spans="1:2" x14ac:dyDescent="0.25">
      <c r="A2796"/>
      <c r="B2796"/>
    </row>
    <row r="2797" spans="1:2" x14ac:dyDescent="0.25">
      <c r="A2797"/>
      <c r="B2797"/>
    </row>
    <row r="2798" spans="1:2" x14ac:dyDescent="0.25">
      <c r="A2798"/>
      <c r="B2798"/>
    </row>
    <row r="2799" spans="1:2" x14ac:dyDescent="0.25">
      <c r="A2799"/>
      <c r="B2799"/>
    </row>
    <row r="2800" spans="1:2" x14ac:dyDescent="0.25">
      <c r="A2800"/>
      <c r="B2800"/>
    </row>
    <row r="2801" spans="1:2" x14ac:dyDescent="0.25">
      <c r="A2801"/>
      <c r="B2801"/>
    </row>
    <row r="2802" spans="1:2" x14ac:dyDescent="0.25">
      <c r="A2802"/>
      <c r="B2802"/>
    </row>
    <row r="2803" spans="1:2" x14ac:dyDescent="0.25">
      <c r="A2803"/>
      <c r="B2803"/>
    </row>
    <row r="2804" spans="1:2" x14ac:dyDescent="0.25">
      <c r="A2804"/>
      <c r="B2804"/>
    </row>
    <row r="2805" spans="1:2" x14ac:dyDescent="0.25">
      <c r="A2805"/>
      <c r="B2805"/>
    </row>
    <row r="2806" spans="1:2" x14ac:dyDescent="0.25">
      <c r="A2806"/>
      <c r="B2806"/>
    </row>
    <row r="2807" spans="1:2" x14ac:dyDescent="0.25">
      <c r="A2807"/>
      <c r="B2807"/>
    </row>
    <row r="2808" spans="1:2" x14ac:dyDescent="0.25">
      <c r="A2808"/>
      <c r="B2808"/>
    </row>
    <row r="2809" spans="1:2" x14ac:dyDescent="0.25">
      <c r="A2809"/>
      <c r="B2809"/>
    </row>
    <row r="2810" spans="1:2" x14ac:dyDescent="0.25">
      <c r="A2810"/>
      <c r="B2810"/>
    </row>
    <row r="2811" spans="1:2" x14ac:dyDescent="0.25">
      <c r="A2811"/>
      <c r="B2811"/>
    </row>
    <row r="2812" spans="1:2" x14ac:dyDescent="0.25">
      <c r="A2812"/>
      <c r="B2812"/>
    </row>
    <row r="2813" spans="1:2" x14ac:dyDescent="0.25">
      <c r="A2813"/>
      <c r="B2813"/>
    </row>
    <row r="2814" spans="1:2" x14ac:dyDescent="0.25">
      <c r="A2814"/>
      <c r="B2814"/>
    </row>
    <row r="2815" spans="1:2" x14ac:dyDescent="0.25">
      <c r="A2815"/>
      <c r="B2815"/>
    </row>
    <row r="2816" spans="1:2" x14ac:dyDescent="0.25">
      <c r="A2816"/>
      <c r="B2816"/>
    </row>
    <row r="2817" spans="1:2" x14ac:dyDescent="0.25">
      <c r="A2817"/>
      <c r="B2817"/>
    </row>
    <row r="2818" spans="1:2" x14ac:dyDescent="0.25">
      <c r="A2818"/>
      <c r="B2818"/>
    </row>
    <row r="2819" spans="1:2" x14ac:dyDescent="0.25">
      <c r="A2819"/>
      <c r="B2819"/>
    </row>
    <row r="2820" spans="1:2" x14ac:dyDescent="0.25">
      <c r="A2820"/>
      <c r="B2820"/>
    </row>
    <row r="2821" spans="1:2" x14ac:dyDescent="0.25">
      <c r="A2821"/>
      <c r="B2821"/>
    </row>
    <row r="2822" spans="1:2" x14ac:dyDescent="0.25">
      <c r="A2822"/>
      <c r="B2822"/>
    </row>
    <row r="2823" spans="1:2" x14ac:dyDescent="0.25">
      <c r="A2823"/>
      <c r="B2823"/>
    </row>
    <row r="2824" spans="1:2" x14ac:dyDescent="0.25">
      <c r="A2824"/>
      <c r="B2824"/>
    </row>
    <row r="2825" spans="1:2" x14ac:dyDescent="0.25">
      <c r="A2825"/>
      <c r="B2825"/>
    </row>
    <row r="2826" spans="1:2" x14ac:dyDescent="0.25">
      <c r="A2826"/>
      <c r="B2826"/>
    </row>
    <row r="2827" spans="1:2" x14ac:dyDescent="0.25">
      <c r="A2827"/>
      <c r="B2827"/>
    </row>
    <row r="2828" spans="1:2" x14ac:dyDescent="0.25">
      <c r="A2828"/>
      <c r="B2828"/>
    </row>
    <row r="2829" spans="1:2" x14ac:dyDescent="0.25">
      <c r="A2829"/>
      <c r="B2829"/>
    </row>
    <row r="2830" spans="1:2" x14ac:dyDescent="0.25">
      <c r="A2830"/>
      <c r="B2830"/>
    </row>
    <row r="2831" spans="1:2" x14ac:dyDescent="0.25">
      <c r="A2831"/>
      <c r="B2831"/>
    </row>
    <row r="2832" spans="1:2" x14ac:dyDescent="0.25">
      <c r="A2832"/>
      <c r="B2832"/>
    </row>
    <row r="2833" spans="1:2" x14ac:dyDescent="0.25">
      <c r="A2833"/>
      <c r="B2833"/>
    </row>
    <row r="2834" spans="1:2" x14ac:dyDescent="0.25">
      <c r="A2834"/>
      <c r="B2834"/>
    </row>
    <row r="2835" spans="1:2" x14ac:dyDescent="0.25">
      <c r="A2835"/>
      <c r="B2835"/>
    </row>
    <row r="2836" spans="1:2" x14ac:dyDescent="0.25">
      <c r="A2836"/>
      <c r="B2836"/>
    </row>
    <row r="2837" spans="1:2" x14ac:dyDescent="0.25">
      <c r="A2837"/>
      <c r="B2837"/>
    </row>
    <row r="2838" spans="1:2" x14ac:dyDescent="0.25">
      <c r="A2838"/>
      <c r="B2838"/>
    </row>
    <row r="2839" spans="1:2" x14ac:dyDescent="0.25">
      <c r="A2839"/>
      <c r="B2839"/>
    </row>
    <row r="2840" spans="1:2" x14ac:dyDescent="0.25">
      <c r="A2840"/>
      <c r="B2840"/>
    </row>
    <row r="2841" spans="1:2" x14ac:dyDescent="0.25">
      <c r="A2841"/>
      <c r="B2841"/>
    </row>
    <row r="2842" spans="1:2" x14ac:dyDescent="0.25">
      <c r="A2842"/>
      <c r="B2842"/>
    </row>
    <row r="2843" spans="1:2" x14ac:dyDescent="0.25">
      <c r="A2843"/>
      <c r="B2843"/>
    </row>
    <row r="2844" spans="1:2" x14ac:dyDescent="0.25">
      <c r="A2844"/>
      <c r="B2844"/>
    </row>
    <row r="2845" spans="1:2" x14ac:dyDescent="0.25">
      <c r="A2845"/>
      <c r="B2845"/>
    </row>
    <row r="2846" spans="1:2" x14ac:dyDescent="0.25">
      <c r="A2846"/>
      <c r="B2846"/>
    </row>
    <row r="2847" spans="1:2" x14ac:dyDescent="0.25">
      <c r="A2847"/>
      <c r="B2847"/>
    </row>
    <row r="2848" spans="1:2" x14ac:dyDescent="0.25">
      <c r="A2848"/>
      <c r="B2848"/>
    </row>
    <row r="2849" spans="1:2" x14ac:dyDescent="0.25">
      <c r="A2849"/>
      <c r="B2849"/>
    </row>
    <row r="2850" spans="1:2" x14ac:dyDescent="0.25">
      <c r="A2850"/>
      <c r="B2850"/>
    </row>
    <row r="2851" spans="1:2" x14ac:dyDescent="0.25">
      <c r="A2851"/>
      <c r="B2851"/>
    </row>
    <row r="2852" spans="1:2" x14ac:dyDescent="0.25">
      <c r="A2852"/>
      <c r="B2852"/>
    </row>
    <row r="2853" spans="1:2" x14ac:dyDescent="0.25">
      <c r="A2853"/>
      <c r="B2853"/>
    </row>
    <row r="2854" spans="1:2" x14ac:dyDescent="0.25">
      <c r="A2854"/>
      <c r="B2854"/>
    </row>
    <row r="2855" spans="1:2" x14ac:dyDescent="0.25">
      <c r="A2855"/>
      <c r="B2855"/>
    </row>
    <row r="2856" spans="1:2" x14ac:dyDescent="0.25">
      <c r="A2856"/>
      <c r="B2856"/>
    </row>
    <row r="2857" spans="1:2" x14ac:dyDescent="0.25">
      <c r="A2857"/>
      <c r="B2857"/>
    </row>
    <row r="2858" spans="1:2" x14ac:dyDescent="0.25">
      <c r="A2858"/>
      <c r="B2858"/>
    </row>
    <row r="2859" spans="1:2" x14ac:dyDescent="0.25">
      <c r="A2859"/>
      <c r="B2859"/>
    </row>
    <row r="2860" spans="1:2" x14ac:dyDescent="0.25">
      <c r="A2860"/>
      <c r="B2860"/>
    </row>
    <row r="2861" spans="1:2" x14ac:dyDescent="0.25">
      <c r="A2861"/>
      <c r="B2861"/>
    </row>
    <row r="2862" spans="1:2" x14ac:dyDescent="0.25">
      <c r="A2862"/>
      <c r="B2862"/>
    </row>
    <row r="2863" spans="1:2" x14ac:dyDescent="0.25">
      <c r="A2863"/>
      <c r="B2863"/>
    </row>
    <row r="2864" spans="1:2" x14ac:dyDescent="0.25">
      <c r="A2864"/>
      <c r="B2864"/>
    </row>
    <row r="2865" spans="1:2" x14ac:dyDescent="0.25">
      <c r="A2865"/>
      <c r="B2865"/>
    </row>
    <row r="2866" spans="1:2" x14ac:dyDescent="0.25">
      <c r="A2866"/>
      <c r="B2866"/>
    </row>
    <row r="2867" spans="1:2" x14ac:dyDescent="0.25">
      <c r="A2867"/>
      <c r="B2867"/>
    </row>
    <row r="2868" spans="1:2" x14ac:dyDescent="0.25">
      <c r="A2868"/>
      <c r="B2868"/>
    </row>
    <row r="2869" spans="1:2" x14ac:dyDescent="0.25">
      <c r="A2869"/>
      <c r="B2869"/>
    </row>
    <row r="2870" spans="1:2" x14ac:dyDescent="0.25">
      <c r="A2870"/>
      <c r="B2870"/>
    </row>
    <row r="2871" spans="1:2" x14ac:dyDescent="0.25">
      <c r="A2871"/>
      <c r="B2871"/>
    </row>
    <row r="2872" spans="1:2" x14ac:dyDescent="0.25">
      <c r="A2872"/>
      <c r="B2872"/>
    </row>
    <row r="2873" spans="1:2" x14ac:dyDescent="0.25">
      <c r="A2873"/>
      <c r="B2873"/>
    </row>
    <row r="2874" spans="1:2" x14ac:dyDescent="0.25">
      <c r="A2874"/>
      <c r="B2874"/>
    </row>
    <row r="2875" spans="1:2" x14ac:dyDescent="0.25">
      <c r="A2875"/>
      <c r="B2875"/>
    </row>
    <row r="2876" spans="1:2" x14ac:dyDescent="0.25">
      <c r="A2876"/>
      <c r="B2876"/>
    </row>
    <row r="2877" spans="1:2" x14ac:dyDescent="0.25">
      <c r="A2877"/>
      <c r="B2877"/>
    </row>
    <row r="2878" spans="1:2" x14ac:dyDescent="0.25">
      <c r="A2878"/>
      <c r="B2878"/>
    </row>
    <row r="2879" spans="1:2" x14ac:dyDescent="0.25">
      <c r="A2879"/>
      <c r="B2879"/>
    </row>
    <row r="2880" spans="1:2" x14ac:dyDescent="0.25">
      <c r="A2880"/>
      <c r="B2880"/>
    </row>
    <row r="2881" spans="1:2" x14ac:dyDescent="0.25">
      <c r="A2881"/>
      <c r="B2881"/>
    </row>
    <row r="2882" spans="1:2" x14ac:dyDescent="0.25">
      <c r="A2882"/>
      <c r="B2882"/>
    </row>
    <row r="2883" spans="1:2" x14ac:dyDescent="0.25">
      <c r="A2883"/>
      <c r="B2883"/>
    </row>
    <row r="2884" spans="1:2" x14ac:dyDescent="0.25">
      <c r="A2884"/>
      <c r="B2884"/>
    </row>
    <row r="2885" spans="1:2" x14ac:dyDescent="0.25">
      <c r="A2885"/>
      <c r="B2885"/>
    </row>
    <row r="2886" spans="1:2" x14ac:dyDescent="0.25">
      <c r="A2886"/>
      <c r="B2886"/>
    </row>
    <row r="2887" spans="1:2" x14ac:dyDescent="0.25">
      <c r="A2887"/>
      <c r="B2887"/>
    </row>
    <row r="2888" spans="1:2" x14ac:dyDescent="0.25">
      <c r="A2888"/>
      <c r="B2888"/>
    </row>
    <row r="2889" spans="1:2" x14ac:dyDescent="0.25">
      <c r="A2889"/>
      <c r="B2889"/>
    </row>
    <row r="2890" spans="1:2" x14ac:dyDescent="0.25">
      <c r="A2890"/>
      <c r="B2890"/>
    </row>
    <row r="2891" spans="1:2" x14ac:dyDescent="0.25">
      <c r="A2891"/>
      <c r="B2891"/>
    </row>
    <row r="2892" spans="1:2" x14ac:dyDescent="0.25">
      <c r="A2892"/>
      <c r="B2892"/>
    </row>
    <row r="2893" spans="1:2" x14ac:dyDescent="0.25">
      <c r="A2893"/>
      <c r="B2893"/>
    </row>
    <row r="2894" spans="1:2" x14ac:dyDescent="0.25">
      <c r="A2894"/>
      <c r="B2894"/>
    </row>
    <row r="2895" spans="1:2" x14ac:dyDescent="0.25">
      <c r="A2895"/>
      <c r="B2895"/>
    </row>
    <row r="2896" spans="1:2" x14ac:dyDescent="0.25">
      <c r="A2896"/>
      <c r="B2896"/>
    </row>
    <row r="2897" spans="1:2" x14ac:dyDescent="0.25">
      <c r="A2897"/>
      <c r="B2897"/>
    </row>
    <row r="2898" spans="1:2" x14ac:dyDescent="0.25">
      <c r="A2898"/>
      <c r="B2898"/>
    </row>
    <row r="2899" spans="1:2" x14ac:dyDescent="0.25">
      <c r="A2899"/>
      <c r="B2899"/>
    </row>
    <row r="2900" spans="1:2" x14ac:dyDescent="0.25">
      <c r="A2900"/>
      <c r="B2900"/>
    </row>
    <row r="2901" spans="1:2" x14ac:dyDescent="0.25">
      <c r="A2901"/>
      <c r="B2901"/>
    </row>
    <row r="2902" spans="1:2" x14ac:dyDescent="0.25">
      <c r="A2902"/>
      <c r="B2902"/>
    </row>
    <row r="2903" spans="1:2" x14ac:dyDescent="0.25">
      <c r="A2903"/>
      <c r="B2903"/>
    </row>
    <row r="2904" spans="1:2" x14ac:dyDescent="0.25">
      <c r="A2904"/>
      <c r="B2904"/>
    </row>
    <row r="2905" spans="1:2" x14ac:dyDescent="0.25">
      <c r="A2905"/>
      <c r="B2905"/>
    </row>
    <row r="2906" spans="1:2" x14ac:dyDescent="0.25">
      <c r="A2906"/>
      <c r="B2906"/>
    </row>
    <row r="2907" spans="1:2" x14ac:dyDescent="0.25">
      <c r="A2907"/>
      <c r="B2907"/>
    </row>
    <row r="2908" spans="1:2" x14ac:dyDescent="0.25">
      <c r="A2908"/>
      <c r="B2908"/>
    </row>
    <row r="2909" spans="1:2" x14ac:dyDescent="0.25">
      <c r="A2909"/>
      <c r="B2909"/>
    </row>
    <row r="2910" spans="1:2" x14ac:dyDescent="0.25">
      <c r="A2910"/>
      <c r="B2910"/>
    </row>
    <row r="2911" spans="1:2" x14ac:dyDescent="0.25">
      <c r="A2911"/>
      <c r="B2911"/>
    </row>
    <row r="2912" spans="1:2" x14ac:dyDescent="0.25">
      <c r="A2912"/>
      <c r="B2912"/>
    </row>
    <row r="2913" spans="1:2" x14ac:dyDescent="0.25">
      <c r="A2913"/>
      <c r="B2913"/>
    </row>
    <row r="2914" spans="1:2" x14ac:dyDescent="0.25">
      <c r="A2914"/>
      <c r="B2914"/>
    </row>
    <row r="2915" spans="1:2" x14ac:dyDescent="0.25">
      <c r="A2915"/>
      <c r="B2915"/>
    </row>
    <row r="2916" spans="1:2" x14ac:dyDescent="0.25">
      <c r="A2916"/>
      <c r="B2916"/>
    </row>
    <row r="2917" spans="1:2" x14ac:dyDescent="0.25">
      <c r="A2917"/>
      <c r="B2917"/>
    </row>
    <row r="2918" spans="1:2" x14ac:dyDescent="0.25">
      <c r="A2918"/>
      <c r="B2918"/>
    </row>
    <row r="2919" spans="1:2" x14ac:dyDescent="0.25">
      <c r="A2919"/>
      <c r="B2919"/>
    </row>
    <row r="2920" spans="1:2" x14ac:dyDescent="0.25">
      <c r="A2920"/>
      <c r="B2920"/>
    </row>
    <row r="2921" spans="1:2" x14ac:dyDescent="0.25">
      <c r="A2921"/>
      <c r="B2921"/>
    </row>
    <row r="2922" spans="1:2" x14ac:dyDescent="0.25">
      <c r="A2922"/>
      <c r="B2922"/>
    </row>
    <row r="2923" spans="1:2" x14ac:dyDescent="0.25">
      <c r="A2923"/>
      <c r="B2923"/>
    </row>
    <row r="2924" spans="1:2" x14ac:dyDescent="0.25">
      <c r="A2924"/>
      <c r="B2924"/>
    </row>
    <row r="2925" spans="1:2" x14ac:dyDescent="0.25">
      <c r="A2925"/>
      <c r="B2925"/>
    </row>
    <row r="2926" spans="1:2" x14ac:dyDescent="0.25">
      <c r="A2926"/>
      <c r="B2926"/>
    </row>
    <row r="2927" spans="1:2" x14ac:dyDescent="0.25">
      <c r="A2927"/>
      <c r="B2927"/>
    </row>
    <row r="2928" spans="1:2" x14ac:dyDescent="0.25">
      <c r="A2928"/>
      <c r="B2928"/>
    </row>
    <row r="2929" spans="1:2" x14ac:dyDescent="0.25">
      <c r="A2929"/>
      <c r="B2929"/>
    </row>
    <row r="2930" spans="1:2" x14ac:dyDescent="0.25">
      <c r="A2930"/>
      <c r="B2930"/>
    </row>
    <row r="2931" spans="1:2" x14ac:dyDescent="0.25">
      <c r="A2931"/>
      <c r="B2931"/>
    </row>
    <row r="2932" spans="1:2" x14ac:dyDescent="0.25">
      <c r="A2932"/>
      <c r="B2932"/>
    </row>
    <row r="2933" spans="1:2" x14ac:dyDescent="0.25">
      <c r="A2933"/>
      <c r="B2933"/>
    </row>
    <row r="2934" spans="1:2" x14ac:dyDescent="0.25">
      <c r="A2934"/>
      <c r="B2934"/>
    </row>
    <row r="2935" spans="1:2" x14ac:dyDescent="0.25">
      <c r="A2935"/>
      <c r="B2935"/>
    </row>
    <row r="2936" spans="1:2" x14ac:dyDescent="0.25">
      <c r="A2936"/>
      <c r="B2936"/>
    </row>
    <row r="2937" spans="1:2" x14ac:dyDescent="0.25">
      <c r="A2937"/>
      <c r="B2937"/>
    </row>
    <row r="2938" spans="1:2" x14ac:dyDescent="0.25">
      <c r="A2938"/>
      <c r="B2938"/>
    </row>
    <row r="2939" spans="1:2" x14ac:dyDescent="0.25">
      <c r="A2939"/>
      <c r="B2939"/>
    </row>
    <row r="2940" spans="1:2" x14ac:dyDescent="0.25">
      <c r="A2940"/>
      <c r="B2940"/>
    </row>
    <row r="2941" spans="1:2" x14ac:dyDescent="0.25">
      <c r="A2941"/>
      <c r="B2941"/>
    </row>
    <row r="2942" spans="1:2" x14ac:dyDescent="0.25">
      <c r="A2942"/>
      <c r="B2942"/>
    </row>
    <row r="2943" spans="1:2" x14ac:dyDescent="0.25">
      <c r="A2943"/>
      <c r="B2943"/>
    </row>
    <row r="2944" spans="1:2" x14ac:dyDescent="0.25">
      <c r="A2944"/>
      <c r="B2944"/>
    </row>
    <row r="2945" spans="1:2" x14ac:dyDescent="0.25">
      <c r="A2945"/>
      <c r="B2945"/>
    </row>
    <row r="2946" spans="1:2" x14ac:dyDescent="0.25">
      <c r="A2946"/>
      <c r="B2946"/>
    </row>
    <row r="2947" spans="1:2" x14ac:dyDescent="0.25">
      <c r="A2947"/>
      <c r="B2947"/>
    </row>
    <row r="2948" spans="1:2" x14ac:dyDescent="0.25">
      <c r="A2948"/>
      <c r="B2948"/>
    </row>
    <row r="2949" spans="1:2" x14ac:dyDescent="0.25">
      <c r="A2949"/>
      <c r="B2949"/>
    </row>
    <row r="2950" spans="1:2" x14ac:dyDescent="0.25">
      <c r="A2950"/>
      <c r="B2950"/>
    </row>
    <row r="2951" spans="1:2" x14ac:dyDescent="0.25">
      <c r="A2951"/>
      <c r="B2951"/>
    </row>
    <row r="2952" spans="1:2" x14ac:dyDescent="0.25">
      <c r="A2952"/>
      <c r="B2952"/>
    </row>
    <row r="2953" spans="1:2" x14ac:dyDescent="0.25">
      <c r="A2953"/>
      <c r="B2953"/>
    </row>
    <row r="2954" spans="1:2" x14ac:dyDescent="0.25">
      <c r="A2954"/>
      <c r="B2954"/>
    </row>
    <row r="2955" spans="1:2" x14ac:dyDescent="0.25">
      <c r="A2955"/>
      <c r="B2955"/>
    </row>
    <row r="2956" spans="1:2" x14ac:dyDescent="0.25">
      <c r="A2956"/>
      <c r="B2956"/>
    </row>
    <row r="2957" spans="1:2" x14ac:dyDescent="0.25">
      <c r="A2957"/>
      <c r="B2957"/>
    </row>
    <row r="2958" spans="1:2" x14ac:dyDescent="0.25">
      <c r="A2958"/>
      <c r="B2958"/>
    </row>
    <row r="2959" spans="1:2" x14ac:dyDescent="0.25">
      <c r="A2959"/>
      <c r="B2959"/>
    </row>
    <row r="2960" spans="1:2" x14ac:dyDescent="0.25">
      <c r="A2960"/>
      <c r="B2960"/>
    </row>
    <row r="2961" spans="1:2" x14ac:dyDescent="0.25">
      <c r="A2961"/>
      <c r="B2961"/>
    </row>
    <row r="2962" spans="1:2" x14ac:dyDescent="0.25">
      <c r="A2962"/>
      <c r="B2962"/>
    </row>
    <row r="2963" spans="1:2" x14ac:dyDescent="0.25">
      <c r="A2963"/>
      <c r="B2963"/>
    </row>
    <row r="2964" spans="1:2" x14ac:dyDescent="0.25">
      <c r="A2964"/>
      <c r="B2964"/>
    </row>
    <row r="2965" spans="1:2" x14ac:dyDescent="0.25">
      <c r="A2965"/>
      <c r="B2965"/>
    </row>
    <row r="2966" spans="1:2" x14ac:dyDescent="0.25">
      <c r="A2966"/>
      <c r="B2966"/>
    </row>
    <row r="2967" spans="1:2" x14ac:dyDescent="0.25">
      <c r="A2967"/>
      <c r="B2967"/>
    </row>
    <row r="2968" spans="1:2" x14ac:dyDescent="0.25">
      <c r="A2968"/>
      <c r="B2968"/>
    </row>
    <row r="2969" spans="1:2" x14ac:dyDescent="0.25">
      <c r="A2969"/>
      <c r="B2969"/>
    </row>
    <row r="2970" spans="1:2" x14ac:dyDescent="0.25">
      <c r="A2970"/>
      <c r="B2970"/>
    </row>
    <row r="2971" spans="1:2" x14ac:dyDescent="0.25">
      <c r="A2971"/>
      <c r="B2971"/>
    </row>
    <row r="2972" spans="1:2" x14ac:dyDescent="0.25">
      <c r="A2972"/>
      <c r="B2972"/>
    </row>
    <row r="2973" spans="1:2" x14ac:dyDescent="0.25">
      <c r="A2973"/>
      <c r="B2973"/>
    </row>
    <row r="2974" spans="1:2" x14ac:dyDescent="0.25">
      <c r="A2974"/>
      <c r="B2974"/>
    </row>
    <row r="2975" spans="1:2" x14ac:dyDescent="0.25">
      <c r="A2975"/>
      <c r="B2975"/>
    </row>
    <row r="2976" spans="1:2" x14ac:dyDescent="0.25">
      <c r="A2976"/>
      <c r="B2976"/>
    </row>
    <row r="2977" spans="1:2" x14ac:dyDescent="0.25">
      <c r="A2977"/>
      <c r="B2977"/>
    </row>
    <row r="2978" spans="1:2" x14ac:dyDescent="0.25">
      <c r="A2978"/>
      <c r="B2978"/>
    </row>
    <row r="2979" spans="1:2" x14ac:dyDescent="0.25">
      <c r="A2979"/>
      <c r="B2979"/>
    </row>
    <row r="2980" spans="1:2" x14ac:dyDescent="0.25">
      <c r="A2980"/>
      <c r="B2980"/>
    </row>
    <row r="2981" spans="1:2" x14ac:dyDescent="0.25">
      <c r="A2981"/>
      <c r="B2981"/>
    </row>
    <row r="2982" spans="1:2" x14ac:dyDescent="0.25">
      <c r="A2982"/>
      <c r="B2982"/>
    </row>
    <row r="2983" spans="1:2" x14ac:dyDescent="0.25">
      <c r="A2983"/>
      <c r="B2983"/>
    </row>
    <row r="2984" spans="1:2" x14ac:dyDescent="0.25">
      <c r="A2984"/>
      <c r="B2984"/>
    </row>
    <row r="2985" spans="1:2" x14ac:dyDescent="0.25">
      <c r="A2985"/>
      <c r="B2985"/>
    </row>
    <row r="2986" spans="1:2" x14ac:dyDescent="0.25">
      <c r="A2986"/>
      <c r="B2986"/>
    </row>
    <row r="2987" spans="1:2" x14ac:dyDescent="0.25">
      <c r="A2987"/>
      <c r="B2987"/>
    </row>
    <row r="2988" spans="1:2" x14ac:dyDescent="0.25">
      <c r="A2988"/>
      <c r="B2988"/>
    </row>
    <row r="2989" spans="1:2" x14ac:dyDescent="0.25">
      <c r="A2989"/>
      <c r="B2989"/>
    </row>
    <row r="2990" spans="1:2" x14ac:dyDescent="0.25">
      <c r="A2990"/>
      <c r="B2990"/>
    </row>
    <row r="2991" spans="1:2" x14ac:dyDescent="0.25">
      <c r="A2991"/>
      <c r="B2991"/>
    </row>
    <row r="2992" spans="1:2" x14ac:dyDescent="0.25">
      <c r="A2992"/>
      <c r="B2992"/>
    </row>
    <row r="2993" spans="1:2" x14ac:dyDescent="0.25">
      <c r="A2993"/>
      <c r="B2993"/>
    </row>
    <row r="2994" spans="1:2" x14ac:dyDescent="0.25">
      <c r="A2994"/>
      <c r="B2994"/>
    </row>
    <row r="2995" spans="1:2" x14ac:dyDescent="0.25">
      <c r="A2995"/>
      <c r="B2995"/>
    </row>
    <row r="2996" spans="1:2" x14ac:dyDescent="0.25">
      <c r="A2996"/>
      <c r="B2996"/>
    </row>
    <row r="2997" spans="1:2" x14ac:dyDescent="0.25">
      <c r="A2997"/>
      <c r="B2997"/>
    </row>
    <row r="2998" spans="1:2" x14ac:dyDescent="0.25">
      <c r="A2998"/>
      <c r="B2998"/>
    </row>
    <row r="2999" spans="1:2" x14ac:dyDescent="0.25">
      <c r="A2999"/>
      <c r="B2999"/>
    </row>
    <row r="3000" spans="1:2" x14ac:dyDescent="0.25">
      <c r="A3000"/>
      <c r="B3000"/>
    </row>
    <row r="3001" spans="1:2" x14ac:dyDescent="0.25">
      <c r="A3001"/>
      <c r="B3001"/>
    </row>
    <row r="3002" spans="1:2" x14ac:dyDescent="0.25">
      <c r="A3002"/>
      <c r="B3002"/>
    </row>
    <row r="3003" spans="1:2" x14ac:dyDescent="0.25">
      <c r="A3003"/>
      <c r="B3003"/>
    </row>
    <row r="3004" spans="1:2" x14ac:dyDescent="0.25">
      <c r="A3004"/>
      <c r="B3004"/>
    </row>
    <row r="3005" spans="1:2" x14ac:dyDescent="0.25">
      <c r="A3005"/>
      <c r="B3005"/>
    </row>
    <row r="3006" spans="1:2" x14ac:dyDescent="0.25">
      <c r="A3006"/>
      <c r="B3006"/>
    </row>
    <row r="3007" spans="1:2" x14ac:dyDescent="0.25">
      <c r="A3007"/>
      <c r="B3007"/>
    </row>
    <row r="3008" spans="1:2" x14ac:dyDescent="0.25">
      <c r="A3008"/>
      <c r="B3008"/>
    </row>
    <row r="3009" spans="1:2" x14ac:dyDescent="0.25">
      <c r="A3009"/>
      <c r="B3009"/>
    </row>
    <row r="3010" spans="1:2" x14ac:dyDescent="0.25">
      <c r="A3010"/>
      <c r="B3010"/>
    </row>
    <row r="3011" spans="1:2" x14ac:dyDescent="0.25">
      <c r="A3011"/>
      <c r="B3011"/>
    </row>
    <row r="3012" spans="1:2" x14ac:dyDescent="0.25">
      <c r="A3012"/>
      <c r="B3012"/>
    </row>
    <row r="3013" spans="1:2" x14ac:dyDescent="0.25">
      <c r="A3013"/>
      <c r="B3013"/>
    </row>
    <row r="3014" spans="1:2" x14ac:dyDescent="0.25">
      <c r="A3014"/>
      <c r="B3014"/>
    </row>
    <row r="3015" spans="1:2" x14ac:dyDescent="0.25">
      <c r="A3015"/>
      <c r="B3015"/>
    </row>
    <row r="3016" spans="1:2" x14ac:dyDescent="0.25">
      <c r="A3016"/>
      <c r="B3016"/>
    </row>
    <row r="3017" spans="1:2" x14ac:dyDescent="0.25">
      <c r="A3017"/>
      <c r="B3017"/>
    </row>
    <row r="3018" spans="1:2" x14ac:dyDescent="0.25">
      <c r="A3018"/>
      <c r="B3018"/>
    </row>
    <row r="3019" spans="1:2" x14ac:dyDescent="0.25">
      <c r="A3019"/>
      <c r="B3019"/>
    </row>
    <row r="3020" spans="1:2" x14ac:dyDescent="0.25">
      <c r="A3020"/>
      <c r="B3020"/>
    </row>
    <row r="3021" spans="1:2" x14ac:dyDescent="0.25">
      <c r="A3021"/>
      <c r="B3021"/>
    </row>
    <row r="3022" spans="1:2" x14ac:dyDescent="0.25">
      <c r="A3022"/>
      <c r="B3022"/>
    </row>
    <row r="3023" spans="1:2" x14ac:dyDescent="0.25">
      <c r="A3023"/>
      <c r="B3023"/>
    </row>
    <row r="3024" spans="1:2" x14ac:dyDescent="0.25">
      <c r="A3024"/>
      <c r="B3024"/>
    </row>
    <row r="3025" spans="1:2" x14ac:dyDescent="0.25">
      <c r="A3025"/>
      <c r="B3025"/>
    </row>
    <row r="3026" spans="1:2" x14ac:dyDescent="0.25">
      <c r="A3026"/>
      <c r="B3026"/>
    </row>
    <row r="3027" spans="1:2" x14ac:dyDescent="0.25">
      <c r="A3027"/>
      <c r="B3027"/>
    </row>
    <row r="3028" spans="1:2" x14ac:dyDescent="0.25">
      <c r="A3028"/>
      <c r="B3028"/>
    </row>
    <row r="3029" spans="1:2" x14ac:dyDescent="0.25">
      <c r="A3029"/>
      <c r="B3029"/>
    </row>
    <row r="3030" spans="1:2" x14ac:dyDescent="0.25">
      <c r="A3030"/>
      <c r="B3030"/>
    </row>
    <row r="3031" spans="1:2" x14ac:dyDescent="0.25">
      <c r="A3031"/>
      <c r="B3031"/>
    </row>
    <row r="3032" spans="1:2" x14ac:dyDescent="0.25">
      <c r="A3032"/>
      <c r="B3032"/>
    </row>
    <row r="3033" spans="1:2" x14ac:dyDescent="0.25">
      <c r="A3033"/>
      <c r="B3033"/>
    </row>
    <row r="3034" spans="1:2" x14ac:dyDescent="0.25">
      <c r="A3034"/>
      <c r="B3034"/>
    </row>
    <row r="3035" spans="1:2" x14ac:dyDescent="0.25">
      <c r="A3035"/>
      <c r="B3035"/>
    </row>
    <row r="3036" spans="1:2" x14ac:dyDescent="0.25">
      <c r="A3036"/>
      <c r="B3036"/>
    </row>
    <row r="3037" spans="1:2" x14ac:dyDescent="0.25">
      <c r="A3037"/>
      <c r="B3037"/>
    </row>
    <row r="3038" spans="1:2" x14ac:dyDescent="0.25">
      <c r="A3038"/>
      <c r="B3038"/>
    </row>
    <row r="3039" spans="1:2" x14ac:dyDescent="0.25">
      <c r="A3039"/>
      <c r="B3039"/>
    </row>
    <row r="3040" spans="1:2" x14ac:dyDescent="0.25">
      <c r="A3040"/>
      <c r="B3040"/>
    </row>
    <row r="3041" spans="1:2" x14ac:dyDescent="0.25">
      <c r="A3041"/>
      <c r="B3041"/>
    </row>
    <row r="3042" spans="1:2" x14ac:dyDescent="0.25">
      <c r="A3042"/>
      <c r="B3042"/>
    </row>
    <row r="3043" spans="1:2" x14ac:dyDescent="0.25">
      <c r="A3043"/>
      <c r="B3043"/>
    </row>
    <row r="3044" spans="1:2" x14ac:dyDescent="0.25">
      <c r="A3044"/>
      <c r="B3044"/>
    </row>
    <row r="3045" spans="1:2" x14ac:dyDescent="0.25">
      <c r="A3045"/>
      <c r="B3045"/>
    </row>
    <row r="3046" spans="1:2" x14ac:dyDescent="0.25">
      <c r="A3046"/>
      <c r="B3046"/>
    </row>
    <row r="3047" spans="1:2" x14ac:dyDescent="0.25">
      <c r="A3047"/>
      <c r="B3047"/>
    </row>
    <row r="3048" spans="1:2" x14ac:dyDescent="0.25">
      <c r="A3048"/>
      <c r="B3048"/>
    </row>
    <row r="3049" spans="1:2" x14ac:dyDescent="0.25">
      <c r="A3049"/>
      <c r="B3049"/>
    </row>
    <row r="3050" spans="1:2" x14ac:dyDescent="0.25">
      <c r="A3050"/>
      <c r="B3050"/>
    </row>
    <row r="3051" spans="1:2" x14ac:dyDescent="0.25">
      <c r="A3051"/>
      <c r="B3051"/>
    </row>
    <row r="3052" spans="1:2" x14ac:dyDescent="0.25">
      <c r="A3052"/>
      <c r="B3052"/>
    </row>
    <row r="3053" spans="1:2" x14ac:dyDescent="0.25">
      <c r="A3053"/>
      <c r="B3053"/>
    </row>
    <row r="3054" spans="1:2" x14ac:dyDescent="0.25">
      <c r="A3054"/>
      <c r="B3054"/>
    </row>
    <row r="3055" spans="1:2" x14ac:dyDescent="0.25">
      <c r="A3055"/>
      <c r="B3055"/>
    </row>
    <row r="3056" spans="1:2" x14ac:dyDescent="0.25">
      <c r="A3056"/>
      <c r="B3056"/>
    </row>
    <row r="3057" spans="1:2" x14ac:dyDescent="0.25">
      <c r="A3057"/>
      <c r="B3057"/>
    </row>
    <row r="3058" spans="1:2" x14ac:dyDescent="0.25">
      <c r="A3058"/>
      <c r="B3058"/>
    </row>
    <row r="3059" spans="1:2" x14ac:dyDescent="0.25">
      <c r="A3059"/>
      <c r="B3059"/>
    </row>
    <row r="3060" spans="1:2" x14ac:dyDescent="0.25">
      <c r="A3060"/>
      <c r="B3060"/>
    </row>
    <row r="3061" spans="1:2" x14ac:dyDescent="0.25">
      <c r="A3061"/>
      <c r="B3061"/>
    </row>
    <row r="3062" spans="1:2" x14ac:dyDescent="0.25">
      <c r="A3062"/>
      <c r="B3062"/>
    </row>
    <row r="3063" spans="1:2" x14ac:dyDescent="0.25">
      <c r="A3063"/>
      <c r="B3063"/>
    </row>
    <row r="3064" spans="1:2" x14ac:dyDescent="0.25">
      <c r="A3064"/>
      <c r="B3064"/>
    </row>
    <row r="3065" spans="1:2" x14ac:dyDescent="0.25">
      <c r="A3065"/>
      <c r="B3065"/>
    </row>
    <row r="3066" spans="1:2" x14ac:dyDescent="0.25">
      <c r="A3066"/>
      <c r="B3066"/>
    </row>
    <row r="3067" spans="1:2" x14ac:dyDescent="0.25">
      <c r="A3067"/>
      <c r="B3067"/>
    </row>
    <row r="3068" spans="1:2" x14ac:dyDescent="0.25">
      <c r="A3068"/>
      <c r="B3068"/>
    </row>
    <row r="3069" spans="1:2" x14ac:dyDescent="0.25">
      <c r="A3069"/>
      <c r="B3069"/>
    </row>
    <row r="3070" spans="1:2" x14ac:dyDescent="0.25">
      <c r="A3070"/>
      <c r="B3070"/>
    </row>
    <row r="3071" spans="1:2" x14ac:dyDescent="0.25">
      <c r="A3071"/>
      <c r="B3071"/>
    </row>
    <row r="3072" spans="1:2" x14ac:dyDescent="0.25">
      <c r="A3072"/>
      <c r="B3072"/>
    </row>
    <row r="3073" spans="1:2" x14ac:dyDescent="0.25">
      <c r="A3073"/>
      <c r="B3073"/>
    </row>
    <row r="3074" spans="1:2" x14ac:dyDescent="0.25">
      <c r="A3074"/>
      <c r="B3074"/>
    </row>
    <row r="3075" spans="1:2" x14ac:dyDescent="0.25">
      <c r="A3075"/>
      <c r="B3075"/>
    </row>
    <row r="3076" spans="1:2" x14ac:dyDescent="0.25">
      <c r="A3076"/>
      <c r="B3076"/>
    </row>
    <row r="3077" spans="1:2" x14ac:dyDescent="0.25">
      <c r="A3077"/>
      <c r="B3077"/>
    </row>
    <row r="3078" spans="1:2" x14ac:dyDescent="0.25">
      <c r="A3078"/>
      <c r="B3078"/>
    </row>
    <row r="3079" spans="1:2" x14ac:dyDescent="0.25">
      <c r="A3079"/>
      <c r="B3079"/>
    </row>
    <row r="3080" spans="1:2" x14ac:dyDescent="0.25">
      <c r="A3080"/>
      <c r="B3080"/>
    </row>
    <row r="3081" spans="1:2" x14ac:dyDescent="0.25">
      <c r="A3081"/>
      <c r="B3081"/>
    </row>
    <row r="3082" spans="1:2" x14ac:dyDescent="0.25">
      <c r="A3082"/>
      <c r="B3082"/>
    </row>
    <row r="3083" spans="1:2" x14ac:dyDescent="0.25">
      <c r="A3083"/>
      <c r="B3083"/>
    </row>
    <row r="3084" spans="1:2" x14ac:dyDescent="0.25">
      <c r="A3084"/>
      <c r="B3084"/>
    </row>
    <row r="3085" spans="1:2" x14ac:dyDescent="0.25">
      <c r="A3085"/>
      <c r="B3085"/>
    </row>
    <row r="3086" spans="1:2" x14ac:dyDescent="0.25">
      <c r="A3086"/>
      <c r="B3086"/>
    </row>
    <row r="3087" spans="1:2" x14ac:dyDescent="0.25">
      <c r="A3087"/>
      <c r="B3087"/>
    </row>
    <row r="3088" spans="1:2" x14ac:dyDescent="0.25">
      <c r="A3088"/>
      <c r="B3088"/>
    </row>
    <row r="3089" spans="1:2" x14ac:dyDescent="0.25">
      <c r="A3089"/>
      <c r="B3089"/>
    </row>
    <row r="3090" spans="1:2" x14ac:dyDescent="0.25">
      <c r="A3090"/>
      <c r="B3090"/>
    </row>
    <row r="3091" spans="1:2" x14ac:dyDescent="0.25">
      <c r="A3091"/>
      <c r="B3091"/>
    </row>
    <row r="3092" spans="1:2" x14ac:dyDescent="0.25">
      <c r="A3092"/>
      <c r="B3092"/>
    </row>
    <row r="3093" spans="1:2" x14ac:dyDescent="0.25">
      <c r="A3093"/>
      <c r="B3093"/>
    </row>
    <row r="3094" spans="1:2" x14ac:dyDescent="0.25">
      <c r="A3094"/>
      <c r="B3094"/>
    </row>
    <row r="3095" spans="1:2" x14ac:dyDescent="0.25">
      <c r="A3095"/>
      <c r="B3095"/>
    </row>
    <row r="3096" spans="1:2" x14ac:dyDescent="0.25">
      <c r="A3096"/>
      <c r="B3096"/>
    </row>
    <row r="3097" spans="1:2" x14ac:dyDescent="0.25">
      <c r="A3097"/>
      <c r="B3097"/>
    </row>
    <row r="3098" spans="1:2" x14ac:dyDescent="0.25">
      <c r="A3098"/>
      <c r="B3098"/>
    </row>
    <row r="3099" spans="1:2" x14ac:dyDescent="0.25">
      <c r="A3099"/>
      <c r="B3099"/>
    </row>
    <row r="3100" spans="1:2" x14ac:dyDescent="0.25">
      <c r="A3100"/>
      <c r="B3100"/>
    </row>
    <row r="3101" spans="1:2" x14ac:dyDescent="0.25">
      <c r="A3101"/>
      <c r="B3101"/>
    </row>
    <row r="3102" spans="1:2" x14ac:dyDescent="0.25">
      <c r="A3102"/>
      <c r="B3102"/>
    </row>
    <row r="3103" spans="1:2" x14ac:dyDescent="0.25">
      <c r="A3103"/>
      <c r="B3103"/>
    </row>
    <row r="3104" spans="1:2" x14ac:dyDescent="0.25">
      <c r="A3104"/>
      <c r="B3104"/>
    </row>
    <row r="3105" spans="1:2" x14ac:dyDescent="0.25">
      <c r="A3105"/>
      <c r="B3105"/>
    </row>
    <row r="3106" spans="1:2" x14ac:dyDescent="0.25">
      <c r="A3106"/>
      <c r="B3106"/>
    </row>
    <row r="3107" spans="1:2" x14ac:dyDescent="0.25">
      <c r="A3107"/>
      <c r="B3107"/>
    </row>
    <row r="3108" spans="1:2" x14ac:dyDescent="0.25">
      <c r="A3108"/>
      <c r="B3108"/>
    </row>
    <row r="3109" spans="1:2" x14ac:dyDescent="0.25">
      <c r="A3109"/>
      <c r="B3109"/>
    </row>
    <row r="3110" spans="1:2" x14ac:dyDescent="0.25">
      <c r="A3110"/>
      <c r="B3110"/>
    </row>
    <row r="3111" spans="1:2" x14ac:dyDescent="0.25">
      <c r="A3111"/>
      <c r="B3111"/>
    </row>
    <row r="3112" spans="1:2" x14ac:dyDescent="0.25">
      <c r="A3112"/>
      <c r="B3112"/>
    </row>
    <row r="3113" spans="1:2" x14ac:dyDescent="0.25">
      <c r="A3113"/>
      <c r="B3113"/>
    </row>
    <row r="3114" spans="1:2" x14ac:dyDescent="0.25">
      <c r="A3114"/>
      <c r="B3114"/>
    </row>
    <row r="3115" spans="1:2" x14ac:dyDescent="0.25">
      <c r="A3115"/>
      <c r="B3115"/>
    </row>
    <row r="3116" spans="1:2" x14ac:dyDescent="0.25">
      <c r="A3116"/>
      <c r="B3116"/>
    </row>
    <row r="3117" spans="1:2" x14ac:dyDescent="0.25">
      <c r="A3117"/>
      <c r="B3117"/>
    </row>
    <row r="3118" spans="1:2" x14ac:dyDescent="0.25">
      <c r="A3118"/>
      <c r="B3118"/>
    </row>
    <row r="3119" spans="1:2" x14ac:dyDescent="0.25">
      <c r="A3119"/>
      <c r="B3119"/>
    </row>
    <row r="3120" spans="1:2" x14ac:dyDescent="0.25">
      <c r="A3120"/>
      <c r="B3120"/>
    </row>
    <row r="3121" spans="1:2" x14ac:dyDescent="0.25">
      <c r="A3121"/>
      <c r="B3121"/>
    </row>
    <row r="3122" spans="1:2" x14ac:dyDescent="0.25">
      <c r="A3122"/>
      <c r="B3122"/>
    </row>
    <row r="3123" spans="1:2" x14ac:dyDescent="0.25">
      <c r="A3123"/>
      <c r="B3123"/>
    </row>
    <row r="3124" spans="1:2" x14ac:dyDescent="0.25">
      <c r="A3124"/>
      <c r="B3124"/>
    </row>
    <row r="3125" spans="1:2" x14ac:dyDescent="0.25">
      <c r="A3125"/>
      <c r="B3125"/>
    </row>
    <row r="3126" spans="1:2" x14ac:dyDescent="0.25">
      <c r="A3126"/>
      <c r="B3126"/>
    </row>
    <row r="3127" spans="1:2" x14ac:dyDescent="0.25">
      <c r="A3127"/>
      <c r="B3127"/>
    </row>
    <row r="3128" spans="1:2" x14ac:dyDescent="0.25">
      <c r="A3128"/>
      <c r="B3128"/>
    </row>
    <row r="3129" spans="1:2" x14ac:dyDescent="0.25">
      <c r="A3129"/>
      <c r="B3129"/>
    </row>
    <row r="3130" spans="1:2" x14ac:dyDescent="0.25">
      <c r="A3130"/>
      <c r="B3130"/>
    </row>
    <row r="3131" spans="1:2" x14ac:dyDescent="0.25">
      <c r="A3131"/>
      <c r="B3131"/>
    </row>
    <row r="3132" spans="1:2" x14ac:dyDescent="0.25">
      <c r="A3132"/>
      <c r="B3132"/>
    </row>
    <row r="3133" spans="1:2" x14ac:dyDescent="0.25">
      <c r="A3133"/>
      <c r="B3133"/>
    </row>
    <row r="3134" spans="1:2" x14ac:dyDescent="0.25">
      <c r="A3134"/>
      <c r="B3134"/>
    </row>
    <row r="3135" spans="1:2" x14ac:dyDescent="0.25">
      <c r="A3135"/>
      <c r="B3135"/>
    </row>
    <row r="3136" spans="1:2" x14ac:dyDescent="0.25">
      <c r="A3136"/>
      <c r="B3136"/>
    </row>
    <row r="3137" spans="1:2" x14ac:dyDescent="0.25">
      <c r="A3137"/>
      <c r="B3137"/>
    </row>
    <row r="3138" spans="1:2" x14ac:dyDescent="0.25">
      <c r="A3138"/>
      <c r="B3138"/>
    </row>
    <row r="3139" spans="1:2" x14ac:dyDescent="0.25">
      <c r="A3139"/>
      <c r="B3139"/>
    </row>
    <row r="3140" spans="1:2" x14ac:dyDescent="0.25">
      <c r="A3140"/>
      <c r="B3140"/>
    </row>
    <row r="3141" spans="1:2" x14ac:dyDescent="0.25">
      <c r="A3141"/>
      <c r="B3141"/>
    </row>
    <row r="3142" spans="1:2" x14ac:dyDescent="0.25">
      <c r="A3142"/>
      <c r="B3142"/>
    </row>
    <row r="3143" spans="1:2" x14ac:dyDescent="0.25">
      <c r="A3143"/>
      <c r="B3143"/>
    </row>
    <row r="3144" spans="1:2" x14ac:dyDescent="0.25">
      <c r="A3144"/>
      <c r="B3144"/>
    </row>
    <row r="3145" spans="1:2" x14ac:dyDescent="0.25">
      <c r="A3145"/>
      <c r="B3145"/>
    </row>
    <row r="3146" spans="1:2" x14ac:dyDescent="0.25">
      <c r="A3146"/>
      <c r="B3146"/>
    </row>
    <row r="3147" spans="1:2" x14ac:dyDescent="0.25">
      <c r="A3147"/>
      <c r="B3147"/>
    </row>
    <row r="3148" spans="1:2" x14ac:dyDescent="0.25">
      <c r="A3148"/>
      <c r="B3148"/>
    </row>
    <row r="3149" spans="1:2" x14ac:dyDescent="0.25">
      <c r="A3149"/>
      <c r="B3149"/>
    </row>
    <row r="3150" spans="1:2" x14ac:dyDescent="0.25">
      <c r="A3150"/>
      <c r="B3150"/>
    </row>
    <row r="3151" spans="1:2" x14ac:dyDescent="0.25">
      <c r="A3151"/>
      <c r="B3151"/>
    </row>
    <row r="3152" spans="1:2" x14ac:dyDescent="0.25">
      <c r="A3152"/>
      <c r="B3152"/>
    </row>
    <row r="3153" spans="1:2" x14ac:dyDescent="0.25">
      <c r="A3153"/>
      <c r="B3153"/>
    </row>
    <row r="3154" spans="1:2" x14ac:dyDescent="0.25">
      <c r="A3154"/>
      <c r="B3154"/>
    </row>
    <row r="3155" spans="1:2" x14ac:dyDescent="0.25">
      <c r="A3155"/>
      <c r="B3155"/>
    </row>
    <row r="3156" spans="1:2" x14ac:dyDescent="0.25">
      <c r="A3156"/>
      <c r="B3156"/>
    </row>
    <row r="3157" spans="1:2" x14ac:dyDescent="0.25">
      <c r="A3157"/>
      <c r="B3157"/>
    </row>
    <row r="3158" spans="1:2" x14ac:dyDescent="0.25">
      <c r="A3158"/>
      <c r="B3158"/>
    </row>
    <row r="3159" spans="1:2" x14ac:dyDescent="0.25">
      <c r="A3159"/>
      <c r="B3159"/>
    </row>
    <row r="3160" spans="1:2" x14ac:dyDescent="0.25">
      <c r="A3160"/>
      <c r="B3160"/>
    </row>
    <row r="3161" spans="1:2" x14ac:dyDescent="0.25">
      <c r="A3161"/>
      <c r="B3161"/>
    </row>
    <row r="3162" spans="1:2" x14ac:dyDescent="0.25">
      <c r="A3162"/>
      <c r="B3162"/>
    </row>
    <row r="3163" spans="1:2" x14ac:dyDescent="0.25">
      <c r="A3163"/>
      <c r="B3163"/>
    </row>
    <row r="3164" spans="1:2" x14ac:dyDescent="0.25">
      <c r="A3164"/>
      <c r="B3164"/>
    </row>
    <row r="3165" spans="1:2" x14ac:dyDescent="0.25">
      <c r="A3165"/>
      <c r="B3165"/>
    </row>
    <row r="3166" spans="1:2" x14ac:dyDescent="0.25">
      <c r="A3166"/>
      <c r="B3166"/>
    </row>
    <row r="3167" spans="1:2" x14ac:dyDescent="0.25">
      <c r="A3167"/>
      <c r="B3167"/>
    </row>
    <row r="3168" spans="1:2" x14ac:dyDescent="0.25">
      <c r="A3168"/>
      <c r="B3168"/>
    </row>
    <row r="3169" spans="1:2" x14ac:dyDescent="0.25">
      <c r="A3169"/>
      <c r="B3169"/>
    </row>
    <row r="3170" spans="1:2" x14ac:dyDescent="0.25">
      <c r="A3170"/>
      <c r="B3170"/>
    </row>
    <row r="3171" spans="1:2" x14ac:dyDescent="0.25">
      <c r="A3171"/>
      <c r="B3171"/>
    </row>
    <row r="3172" spans="1:2" x14ac:dyDescent="0.25">
      <c r="A3172"/>
      <c r="B3172"/>
    </row>
    <row r="3173" spans="1:2" x14ac:dyDescent="0.25">
      <c r="A3173"/>
      <c r="B3173"/>
    </row>
    <row r="3174" spans="1:2" x14ac:dyDescent="0.25">
      <c r="A3174"/>
      <c r="B3174"/>
    </row>
    <row r="3175" spans="1:2" x14ac:dyDescent="0.25">
      <c r="A3175"/>
      <c r="B3175"/>
    </row>
    <row r="3176" spans="1:2" x14ac:dyDescent="0.25">
      <c r="A3176"/>
      <c r="B3176"/>
    </row>
    <row r="3177" spans="1:2" x14ac:dyDescent="0.25">
      <c r="A3177"/>
      <c r="B3177"/>
    </row>
    <row r="3178" spans="1:2" x14ac:dyDescent="0.25">
      <c r="A3178"/>
      <c r="B3178"/>
    </row>
    <row r="3179" spans="1:2" x14ac:dyDescent="0.25">
      <c r="A3179"/>
      <c r="B3179"/>
    </row>
    <row r="3180" spans="1:2" x14ac:dyDescent="0.25">
      <c r="A3180"/>
      <c r="B3180"/>
    </row>
    <row r="3181" spans="1:2" x14ac:dyDescent="0.25">
      <c r="A3181"/>
      <c r="B3181"/>
    </row>
    <row r="3182" spans="1:2" x14ac:dyDescent="0.25">
      <c r="A3182"/>
      <c r="B3182"/>
    </row>
    <row r="3183" spans="1:2" x14ac:dyDescent="0.25">
      <c r="A3183"/>
      <c r="B3183"/>
    </row>
    <row r="3184" spans="1:2" x14ac:dyDescent="0.25">
      <c r="A3184"/>
      <c r="B3184"/>
    </row>
    <row r="3185" spans="1:2" x14ac:dyDescent="0.25">
      <c r="A3185"/>
      <c r="B3185"/>
    </row>
    <row r="3186" spans="1:2" x14ac:dyDescent="0.25">
      <c r="A3186"/>
      <c r="B3186"/>
    </row>
    <row r="3187" spans="1:2" x14ac:dyDescent="0.25">
      <c r="A3187"/>
      <c r="B3187"/>
    </row>
    <row r="3188" spans="1:2" x14ac:dyDescent="0.25">
      <c r="A3188"/>
      <c r="B3188"/>
    </row>
    <row r="3189" spans="1:2" x14ac:dyDescent="0.25">
      <c r="A3189"/>
      <c r="B3189"/>
    </row>
    <row r="3190" spans="1:2" x14ac:dyDescent="0.25">
      <c r="A3190"/>
      <c r="B3190"/>
    </row>
    <row r="3191" spans="1:2" x14ac:dyDescent="0.25">
      <c r="A3191"/>
      <c r="B3191"/>
    </row>
    <row r="3192" spans="1:2" x14ac:dyDescent="0.25">
      <c r="A3192"/>
      <c r="B3192"/>
    </row>
    <row r="3193" spans="1:2" x14ac:dyDescent="0.25">
      <c r="A3193"/>
      <c r="B3193"/>
    </row>
    <row r="3194" spans="1:2" x14ac:dyDescent="0.25">
      <c r="A3194"/>
      <c r="B3194"/>
    </row>
    <row r="3195" spans="1:2" x14ac:dyDescent="0.25">
      <c r="A3195"/>
      <c r="B3195"/>
    </row>
    <row r="3196" spans="1:2" x14ac:dyDescent="0.25">
      <c r="A3196"/>
      <c r="B3196"/>
    </row>
    <row r="3197" spans="1:2" x14ac:dyDescent="0.25">
      <c r="A3197"/>
      <c r="B3197"/>
    </row>
    <row r="3198" spans="1:2" x14ac:dyDescent="0.25">
      <c r="A3198"/>
      <c r="B3198"/>
    </row>
    <row r="3199" spans="1:2" x14ac:dyDescent="0.25">
      <c r="A3199"/>
      <c r="B3199"/>
    </row>
    <row r="3200" spans="1:2" x14ac:dyDescent="0.25">
      <c r="A3200"/>
      <c r="B3200"/>
    </row>
    <row r="3201" spans="1:2" x14ac:dyDescent="0.25">
      <c r="A3201"/>
      <c r="B3201"/>
    </row>
    <row r="3202" spans="1:2" x14ac:dyDescent="0.25">
      <c r="A3202"/>
      <c r="B3202"/>
    </row>
    <row r="3203" spans="1:2" x14ac:dyDescent="0.25">
      <c r="A3203"/>
      <c r="B3203"/>
    </row>
    <row r="3204" spans="1:2" x14ac:dyDescent="0.25">
      <c r="A3204"/>
      <c r="B3204"/>
    </row>
    <row r="3205" spans="1:2" x14ac:dyDescent="0.25">
      <c r="A3205"/>
      <c r="B3205"/>
    </row>
    <row r="3206" spans="1:2" x14ac:dyDescent="0.25">
      <c r="A3206"/>
      <c r="B3206"/>
    </row>
    <row r="3207" spans="1:2" x14ac:dyDescent="0.25">
      <c r="A3207"/>
      <c r="B3207"/>
    </row>
    <row r="3208" spans="1:2" x14ac:dyDescent="0.25">
      <c r="A3208"/>
      <c r="B3208"/>
    </row>
    <row r="3209" spans="1:2" x14ac:dyDescent="0.25">
      <c r="A3209"/>
      <c r="B3209"/>
    </row>
    <row r="3210" spans="1:2" x14ac:dyDescent="0.25">
      <c r="A3210"/>
      <c r="B3210"/>
    </row>
    <row r="3211" spans="1:2" x14ac:dyDescent="0.25">
      <c r="A3211"/>
      <c r="B3211"/>
    </row>
    <row r="3212" spans="1:2" x14ac:dyDescent="0.25">
      <c r="A3212"/>
      <c r="B3212"/>
    </row>
    <row r="3213" spans="1:2" x14ac:dyDescent="0.25">
      <c r="A3213"/>
      <c r="B3213"/>
    </row>
    <row r="3214" spans="1:2" x14ac:dyDescent="0.25">
      <c r="A3214"/>
      <c r="B3214"/>
    </row>
    <row r="3215" spans="1:2" x14ac:dyDescent="0.25">
      <c r="A3215"/>
      <c r="B3215"/>
    </row>
    <row r="3216" spans="1:2" x14ac:dyDescent="0.25">
      <c r="A3216"/>
      <c r="B3216"/>
    </row>
    <row r="3217" spans="1:2" x14ac:dyDescent="0.25">
      <c r="A3217"/>
      <c r="B3217"/>
    </row>
    <row r="3218" spans="1:2" x14ac:dyDescent="0.25">
      <c r="A3218"/>
      <c r="B3218"/>
    </row>
    <row r="3219" spans="1:2" x14ac:dyDescent="0.25">
      <c r="A3219"/>
      <c r="B3219"/>
    </row>
    <row r="3220" spans="1:2" x14ac:dyDescent="0.25">
      <c r="A3220"/>
      <c r="B3220"/>
    </row>
    <row r="3221" spans="1:2" x14ac:dyDescent="0.25">
      <c r="A3221"/>
      <c r="B3221"/>
    </row>
    <row r="3222" spans="1:2" x14ac:dyDescent="0.25">
      <c r="A3222"/>
      <c r="B3222"/>
    </row>
    <row r="3223" spans="1:2" x14ac:dyDescent="0.25">
      <c r="A3223"/>
      <c r="B3223"/>
    </row>
    <row r="3224" spans="1:2" x14ac:dyDescent="0.25">
      <c r="A3224"/>
      <c r="B3224"/>
    </row>
    <row r="3225" spans="1:2" x14ac:dyDescent="0.25">
      <c r="A3225"/>
      <c r="B3225"/>
    </row>
    <row r="3226" spans="1:2" x14ac:dyDescent="0.25">
      <c r="A3226"/>
      <c r="B3226"/>
    </row>
    <row r="3227" spans="1:2" x14ac:dyDescent="0.25">
      <c r="A3227"/>
      <c r="B3227"/>
    </row>
    <row r="3228" spans="1:2" x14ac:dyDescent="0.25">
      <c r="A3228"/>
      <c r="B3228"/>
    </row>
    <row r="3229" spans="1:2" x14ac:dyDescent="0.25">
      <c r="A3229"/>
      <c r="B3229"/>
    </row>
    <row r="3230" spans="1:2" x14ac:dyDescent="0.25">
      <c r="A3230"/>
      <c r="B3230"/>
    </row>
    <row r="3231" spans="1:2" x14ac:dyDescent="0.25">
      <c r="A3231"/>
      <c r="B3231"/>
    </row>
    <row r="3232" spans="1:2" x14ac:dyDescent="0.25">
      <c r="A3232"/>
      <c r="B3232"/>
    </row>
    <row r="3233" spans="1:2" x14ac:dyDescent="0.25">
      <c r="A3233"/>
      <c r="B3233"/>
    </row>
    <row r="3234" spans="1:2" x14ac:dyDescent="0.25">
      <c r="A3234"/>
      <c r="B3234"/>
    </row>
    <row r="3235" spans="1:2" x14ac:dyDescent="0.25">
      <c r="A3235"/>
      <c r="B3235"/>
    </row>
    <row r="3236" spans="1:2" x14ac:dyDescent="0.25">
      <c r="A3236"/>
      <c r="B3236"/>
    </row>
    <row r="3237" spans="1:2" x14ac:dyDescent="0.25">
      <c r="A3237"/>
      <c r="B3237"/>
    </row>
    <row r="3238" spans="1:2" x14ac:dyDescent="0.25">
      <c r="A3238"/>
      <c r="B3238"/>
    </row>
    <row r="3239" spans="1:2" x14ac:dyDescent="0.25">
      <c r="A3239"/>
      <c r="B3239"/>
    </row>
    <row r="3240" spans="1:2" x14ac:dyDescent="0.25">
      <c r="A3240"/>
      <c r="B3240"/>
    </row>
    <row r="3241" spans="1:2" x14ac:dyDescent="0.25">
      <c r="A3241"/>
      <c r="B3241"/>
    </row>
    <row r="3242" spans="1:2" x14ac:dyDescent="0.25">
      <c r="A3242"/>
      <c r="B3242"/>
    </row>
    <row r="3243" spans="1:2" x14ac:dyDescent="0.25">
      <c r="A3243"/>
      <c r="B3243"/>
    </row>
    <row r="3244" spans="1:2" x14ac:dyDescent="0.25">
      <c r="A3244"/>
      <c r="B3244"/>
    </row>
    <row r="3245" spans="1:2" x14ac:dyDescent="0.25">
      <c r="A3245"/>
      <c r="B3245"/>
    </row>
    <row r="3246" spans="1:2" x14ac:dyDescent="0.25">
      <c r="A3246"/>
      <c r="B3246"/>
    </row>
    <row r="3247" spans="1:2" x14ac:dyDescent="0.25">
      <c r="A3247"/>
      <c r="B3247"/>
    </row>
    <row r="3248" spans="1:2" x14ac:dyDescent="0.25">
      <c r="A3248"/>
      <c r="B3248"/>
    </row>
    <row r="3249" spans="1:2" x14ac:dyDescent="0.25">
      <c r="A3249"/>
      <c r="B3249"/>
    </row>
    <row r="3250" spans="1:2" x14ac:dyDescent="0.25">
      <c r="A3250"/>
      <c r="B3250"/>
    </row>
    <row r="3251" spans="1:2" x14ac:dyDescent="0.25">
      <c r="A3251"/>
      <c r="B3251"/>
    </row>
    <row r="3252" spans="1:2" x14ac:dyDescent="0.25">
      <c r="A3252"/>
      <c r="B3252"/>
    </row>
    <row r="3253" spans="1:2" x14ac:dyDescent="0.25">
      <c r="A3253"/>
      <c r="B3253"/>
    </row>
    <row r="3254" spans="1:2" x14ac:dyDescent="0.25">
      <c r="A3254"/>
      <c r="B3254"/>
    </row>
    <row r="3255" spans="1:2" x14ac:dyDescent="0.25">
      <c r="A3255"/>
      <c r="B3255"/>
    </row>
    <row r="3256" spans="1:2" x14ac:dyDescent="0.25">
      <c r="A3256"/>
      <c r="B3256"/>
    </row>
    <row r="3257" spans="1:2" x14ac:dyDescent="0.25">
      <c r="A3257"/>
      <c r="B3257"/>
    </row>
    <row r="3258" spans="1:2" x14ac:dyDescent="0.25">
      <c r="A3258"/>
      <c r="B3258"/>
    </row>
    <row r="3259" spans="1:2" x14ac:dyDescent="0.25">
      <c r="A3259"/>
      <c r="B3259"/>
    </row>
    <row r="3260" spans="1:2" x14ac:dyDescent="0.25">
      <c r="A3260"/>
      <c r="B3260"/>
    </row>
    <row r="3261" spans="1:2" x14ac:dyDescent="0.25">
      <c r="A3261"/>
      <c r="B3261"/>
    </row>
    <row r="3262" spans="1:2" x14ac:dyDescent="0.25">
      <c r="A3262"/>
      <c r="B3262"/>
    </row>
    <row r="3263" spans="1:2" x14ac:dyDescent="0.25">
      <c r="A3263"/>
      <c r="B3263"/>
    </row>
    <row r="3264" spans="1:2" x14ac:dyDescent="0.25">
      <c r="A3264"/>
      <c r="B3264"/>
    </row>
    <row r="3265" spans="1:2" x14ac:dyDescent="0.25">
      <c r="A3265"/>
      <c r="B3265"/>
    </row>
    <row r="3266" spans="1:2" x14ac:dyDescent="0.25">
      <c r="A3266"/>
      <c r="B3266"/>
    </row>
    <row r="3267" spans="1:2" x14ac:dyDescent="0.25">
      <c r="A3267"/>
      <c r="B3267"/>
    </row>
    <row r="3268" spans="1:2" x14ac:dyDescent="0.25">
      <c r="A3268"/>
      <c r="B3268"/>
    </row>
    <row r="3269" spans="1:2" x14ac:dyDescent="0.25">
      <c r="A3269"/>
      <c r="B3269"/>
    </row>
    <row r="3270" spans="1:2" x14ac:dyDescent="0.25">
      <c r="A3270"/>
      <c r="B3270"/>
    </row>
    <row r="3271" spans="1:2" x14ac:dyDescent="0.25">
      <c r="A3271"/>
      <c r="B3271"/>
    </row>
    <row r="3272" spans="1:2" x14ac:dyDescent="0.25">
      <c r="A3272"/>
      <c r="B3272"/>
    </row>
    <row r="3273" spans="1:2" x14ac:dyDescent="0.25">
      <c r="A3273"/>
      <c r="B3273"/>
    </row>
    <row r="3274" spans="1:2" x14ac:dyDescent="0.25">
      <c r="A3274"/>
      <c r="B3274"/>
    </row>
    <row r="3275" spans="1:2" x14ac:dyDescent="0.25">
      <c r="A3275"/>
      <c r="B3275"/>
    </row>
    <row r="3276" spans="1:2" x14ac:dyDescent="0.25">
      <c r="A3276"/>
      <c r="B3276"/>
    </row>
    <row r="3277" spans="1:2" x14ac:dyDescent="0.25">
      <c r="A3277"/>
      <c r="B3277"/>
    </row>
    <row r="3278" spans="1:2" x14ac:dyDescent="0.25">
      <c r="A3278"/>
      <c r="B3278"/>
    </row>
    <row r="3279" spans="1:2" x14ac:dyDescent="0.25">
      <c r="A3279"/>
      <c r="B3279"/>
    </row>
    <row r="3280" spans="1:2" x14ac:dyDescent="0.25">
      <c r="A3280"/>
      <c r="B3280"/>
    </row>
    <row r="3281" spans="1:2" x14ac:dyDescent="0.25">
      <c r="A3281"/>
      <c r="B3281"/>
    </row>
    <row r="3282" spans="1:2" x14ac:dyDescent="0.25">
      <c r="A3282"/>
      <c r="B3282"/>
    </row>
    <row r="3283" spans="1:2" x14ac:dyDescent="0.25">
      <c r="A3283"/>
      <c r="B3283"/>
    </row>
    <row r="3284" spans="1:2" x14ac:dyDescent="0.25">
      <c r="A3284"/>
      <c r="B3284"/>
    </row>
    <row r="3285" spans="1:2" x14ac:dyDescent="0.25">
      <c r="A3285"/>
      <c r="B3285"/>
    </row>
    <row r="3286" spans="1:2" x14ac:dyDescent="0.25">
      <c r="A3286"/>
      <c r="B3286"/>
    </row>
    <row r="3287" spans="1:2" x14ac:dyDescent="0.25">
      <c r="A3287"/>
      <c r="B3287"/>
    </row>
    <row r="3288" spans="1:2" x14ac:dyDescent="0.25">
      <c r="A3288"/>
      <c r="B3288"/>
    </row>
    <row r="3289" spans="1:2" x14ac:dyDescent="0.25">
      <c r="A3289"/>
      <c r="B3289"/>
    </row>
    <row r="3290" spans="1:2" x14ac:dyDescent="0.25">
      <c r="A3290"/>
      <c r="B3290"/>
    </row>
    <row r="3291" spans="1:2" x14ac:dyDescent="0.25">
      <c r="A3291"/>
      <c r="B3291"/>
    </row>
    <row r="3292" spans="1:2" x14ac:dyDescent="0.25">
      <c r="A3292"/>
      <c r="B3292"/>
    </row>
    <row r="3293" spans="1:2" x14ac:dyDescent="0.25">
      <c r="A3293"/>
      <c r="B3293"/>
    </row>
    <row r="3294" spans="1:2" x14ac:dyDescent="0.25">
      <c r="A3294"/>
      <c r="B3294"/>
    </row>
    <row r="3295" spans="1:2" x14ac:dyDescent="0.25">
      <c r="A3295"/>
      <c r="B3295"/>
    </row>
    <row r="3296" spans="1:2" x14ac:dyDescent="0.25">
      <c r="A3296"/>
      <c r="B3296"/>
    </row>
    <row r="3297" spans="1:2" x14ac:dyDescent="0.25">
      <c r="A3297"/>
      <c r="B3297"/>
    </row>
    <row r="3298" spans="1:2" x14ac:dyDescent="0.25">
      <c r="A3298"/>
      <c r="B3298"/>
    </row>
    <row r="3299" spans="1:2" x14ac:dyDescent="0.25">
      <c r="A3299"/>
      <c r="B3299"/>
    </row>
    <row r="3300" spans="1:2" x14ac:dyDescent="0.25">
      <c r="A3300"/>
      <c r="B3300"/>
    </row>
    <row r="3301" spans="1:2" x14ac:dyDescent="0.25">
      <c r="A3301"/>
      <c r="B3301"/>
    </row>
    <row r="3302" spans="1:2" x14ac:dyDescent="0.25">
      <c r="A3302"/>
      <c r="B3302"/>
    </row>
    <row r="3303" spans="1:2" x14ac:dyDescent="0.25">
      <c r="A3303"/>
      <c r="B3303"/>
    </row>
    <row r="3304" spans="1:2" x14ac:dyDescent="0.25">
      <c r="A3304"/>
      <c r="B3304"/>
    </row>
    <row r="3305" spans="1:2" x14ac:dyDescent="0.25">
      <c r="A3305"/>
      <c r="B3305"/>
    </row>
    <row r="3306" spans="1:2" x14ac:dyDescent="0.25">
      <c r="A3306"/>
      <c r="B3306"/>
    </row>
    <row r="3307" spans="1:2" x14ac:dyDescent="0.25">
      <c r="A3307"/>
      <c r="B3307"/>
    </row>
    <row r="3308" spans="1:2" x14ac:dyDescent="0.25">
      <c r="A3308"/>
      <c r="B3308"/>
    </row>
    <row r="3309" spans="1:2" x14ac:dyDescent="0.25">
      <c r="A3309"/>
      <c r="B3309"/>
    </row>
    <row r="3310" spans="1:2" x14ac:dyDescent="0.25">
      <c r="A3310"/>
      <c r="B3310"/>
    </row>
    <row r="3311" spans="1:2" x14ac:dyDescent="0.25">
      <c r="A3311"/>
      <c r="B3311"/>
    </row>
    <row r="3312" spans="1:2" x14ac:dyDescent="0.25">
      <c r="A3312"/>
      <c r="B3312"/>
    </row>
    <row r="3313" spans="1:2" x14ac:dyDescent="0.25">
      <c r="A3313"/>
      <c r="B3313"/>
    </row>
    <row r="3314" spans="1:2" x14ac:dyDescent="0.25">
      <c r="A3314"/>
      <c r="B3314"/>
    </row>
    <row r="3315" spans="1:2" x14ac:dyDescent="0.25">
      <c r="A3315"/>
      <c r="B3315"/>
    </row>
    <row r="3316" spans="1:2" x14ac:dyDescent="0.25">
      <c r="A3316"/>
      <c r="B3316"/>
    </row>
    <row r="3317" spans="1:2" x14ac:dyDescent="0.25">
      <c r="A3317"/>
      <c r="B3317"/>
    </row>
    <row r="3318" spans="1:2" x14ac:dyDescent="0.25">
      <c r="A3318"/>
      <c r="B3318"/>
    </row>
    <row r="3319" spans="1:2" x14ac:dyDescent="0.25">
      <c r="A3319"/>
      <c r="B3319"/>
    </row>
    <row r="3320" spans="1:2" x14ac:dyDescent="0.25">
      <c r="A3320"/>
      <c r="B3320"/>
    </row>
    <row r="3321" spans="1:2" x14ac:dyDescent="0.25">
      <c r="A3321"/>
      <c r="B3321"/>
    </row>
    <row r="3322" spans="1:2" x14ac:dyDescent="0.25">
      <c r="A3322"/>
      <c r="B3322"/>
    </row>
    <row r="3323" spans="1:2" x14ac:dyDescent="0.25">
      <c r="A3323"/>
      <c r="B3323"/>
    </row>
    <row r="3324" spans="1:2" x14ac:dyDescent="0.25">
      <c r="A3324"/>
      <c r="B3324"/>
    </row>
    <row r="3325" spans="1:2" x14ac:dyDescent="0.25">
      <c r="A3325"/>
      <c r="B3325"/>
    </row>
    <row r="3326" spans="1:2" x14ac:dyDescent="0.25">
      <c r="A3326"/>
      <c r="B3326"/>
    </row>
    <row r="3327" spans="1:2" x14ac:dyDescent="0.25">
      <c r="A3327"/>
      <c r="B3327"/>
    </row>
    <row r="3328" spans="1:2" x14ac:dyDescent="0.25">
      <c r="A3328"/>
      <c r="B3328"/>
    </row>
    <row r="3329" spans="1:2" x14ac:dyDescent="0.25">
      <c r="A3329"/>
      <c r="B3329"/>
    </row>
    <row r="3330" spans="1:2" x14ac:dyDescent="0.25">
      <c r="A3330"/>
      <c r="B3330"/>
    </row>
    <row r="3331" spans="1:2" x14ac:dyDescent="0.25">
      <c r="A3331"/>
      <c r="B3331"/>
    </row>
    <row r="3332" spans="1:2" x14ac:dyDescent="0.25">
      <c r="A3332"/>
      <c r="B3332"/>
    </row>
    <row r="3333" spans="1:2" x14ac:dyDescent="0.25">
      <c r="A3333"/>
      <c r="B3333"/>
    </row>
    <row r="3334" spans="1:2" x14ac:dyDescent="0.25">
      <c r="A3334"/>
      <c r="B3334"/>
    </row>
    <row r="3335" spans="1:2" x14ac:dyDescent="0.25">
      <c r="A3335"/>
      <c r="B3335"/>
    </row>
    <row r="3336" spans="1:2" x14ac:dyDescent="0.25">
      <c r="A3336"/>
      <c r="B3336"/>
    </row>
    <row r="3337" spans="1:2" x14ac:dyDescent="0.25">
      <c r="A3337"/>
      <c r="B3337"/>
    </row>
    <row r="3338" spans="1:2" x14ac:dyDescent="0.25">
      <c r="A3338"/>
      <c r="B3338"/>
    </row>
    <row r="3339" spans="1:2" x14ac:dyDescent="0.25">
      <c r="A3339"/>
      <c r="B3339"/>
    </row>
    <row r="3340" spans="1:2" x14ac:dyDescent="0.25">
      <c r="A3340"/>
      <c r="B3340"/>
    </row>
    <row r="3341" spans="1:2" x14ac:dyDescent="0.25">
      <c r="A3341"/>
      <c r="B3341"/>
    </row>
    <row r="3342" spans="1:2" x14ac:dyDescent="0.25">
      <c r="A3342"/>
      <c r="B3342"/>
    </row>
    <row r="3343" spans="1:2" x14ac:dyDescent="0.25">
      <c r="A3343"/>
      <c r="B3343"/>
    </row>
    <row r="3344" spans="1:2" x14ac:dyDescent="0.25">
      <c r="A3344"/>
      <c r="B3344"/>
    </row>
    <row r="3345" spans="1:2" x14ac:dyDescent="0.25">
      <c r="A3345"/>
      <c r="B3345"/>
    </row>
    <row r="3346" spans="1:2" x14ac:dyDescent="0.25">
      <c r="A3346"/>
      <c r="B3346"/>
    </row>
    <row r="3347" spans="1:2" x14ac:dyDescent="0.25">
      <c r="A3347"/>
      <c r="B3347"/>
    </row>
    <row r="3348" spans="1:2" x14ac:dyDescent="0.25">
      <c r="A3348"/>
      <c r="B3348"/>
    </row>
    <row r="3349" spans="1:2" x14ac:dyDescent="0.25">
      <c r="A3349"/>
      <c r="B3349"/>
    </row>
    <row r="3350" spans="1:2" x14ac:dyDescent="0.25">
      <c r="A3350"/>
      <c r="B3350"/>
    </row>
    <row r="3351" spans="1:2" x14ac:dyDescent="0.25">
      <c r="A3351"/>
      <c r="B3351"/>
    </row>
    <row r="3352" spans="1:2" x14ac:dyDescent="0.25">
      <c r="A3352"/>
      <c r="B3352"/>
    </row>
    <row r="3353" spans="1:2" x14ac:dyDescent="0.25">
      <c r="A3353"/>
      <c r="B3353"/>
    </row>
    <row r="3354" spans="1:2" x14ac:dyDescent="0.25">
      <c r="A3354"/>
      <c r="B3354"/>
    </row>
    <row r="3355" spans="1:2" x14ac:dyDescent="0.25">
      <c r="A3355"/>
      <c r="B3355"/>
    </row>
    <row r="3356" spans="1:2" x14ac:dyDescent="0.25">
      <c r="A3356"/>
      <c r="B3356"/>
    </row>
    <row r="3357" spans="1:2" x14ac:dyDescent="0.25">
      <c r="A3357"/>
      <c r="B3357"/>
    </row>
    <row r="3358" spans="1:2" x14ac:dyDescent="0.25">
      <c r="A3358"/>
      <c r="B3358"/>
    </row>
    <row r="3359" spans="1:2" x14ac:dyDescent="0.25">
      <c r="A3359"/>
      <c r="B3359"/>
    </row>
    <row r="3360" spans="1:2" x14ac:dyDescent="0.25">
      <c r="A3360"/>
      <c r="B3360"/>
    </row>
    <row r="3361" spans="1:2" x14ac:dyDescent="0.25">
      <c r="A3361"/>
      <c r="B3361"/>
    </row>
    <row r="3362" spans="1:2" x14ac:dyDescent="0.25">
      <c r="A3362"/>
      <c r="B3362"/>
    </row>
    <row r="3363" spans="1:2" x14ac:dyDescent="0.25">
      <c r="A3363"/>
      <c r="B3363"/>
    </row>
    <row r="3364" spans="1:2" x14ac:dyDescent="0.25">
      <c r="A3364"/>
      <c r="B3364"/>
    </row>
    <row r="3365" spans="1:2" x14ac:dyDescent="0.25">
      <c r="A3365"/>
      <c r="B3365"/>
    </row>
    <row r="3366" spans="1:2" x14ac:dyDescent="0.25">
      <c r="A3366"/>
      <c r="B3366"/>
    </row>
    <row r="3367" spans="1:2" x14ac:dyDescent="0.25">
      <c r="A3367"/>
      <c r="B3367"/>
    </row>
    <row r="3368" spans="1:2" x14ac:dyDescent="0.25">
      <c r="A3368"/>
      <c r="B3368"/>
    </row>
    <row r="3369" spans="1:2" x14ac:dyDescent="0.25">
      <c r="A3369"/>
      <c r="B3369"/>
    </row>
    <row r="3370" spans="1:2" x14ac:dyDescent="0.25">
      <c r="A3370"/>
      <c r="B3370"/>
    </row>
    <row r="3371" spans="1:2" x14ac:dyDescent="0.25">
      <c r="A3371"/>
      <c r="B3371"/>
    </row>
    <row r="3372" spans="1:2" x14ac:dyDescent="0.25">
      <c r="A3372"/>
      <c r="B3372"/>
    </row>
    <row r="3373" spans="1:2" x14ac:dyDescent="0.25">
      <c r="A3373"/>
      <c r="B3373"/>
    </row>
    <row r="3374" spans="1:2" x14ac:dyDescent="0.25">
      <c r="A3374"/>
      <c r="B3374"/>
    </row>
    <row r="3375" spans="1:2" x14ac:dyDescent="0.25">
      <c r="A3375"/>
      <c r="B3375"/>
    </row>
    <row r="3376" spans="1:2" x14ac:dyDescent="0.25">
      <c r="A3376"/>
      <c r="B3376"/>
    </row>
    <row r="3377" spans="1:2" x14ac:dyDescent="0.25">
      <c r="A3377"/>
      <c r="B3377"/>
    </row>
    <row r="3378" spans="1:2" x14ac:dyDescent="0.25">
      <c r="A3378"/>
      <c r="B3378"/>
    </row>
    <row r="3379" spans="1:2" x14ac:dyDescent="0.25">
      <c r="A3379"/>
      <c r="B3379"/>
    </row>
    <row r="3380" spans="1:2" x14ac:dyDescent="0.25">
      <c r="A3380"/>
      <c r="B3380"/>
    </row>
    <row r="3381" spans="1:2" x14ac:dyDescent="0.25">
      <c r="A3381"/>
      <c r="B3381"/>
    </row>
    <row r="3382" spans="1:2" x14ac:dyDescent="0.25">
      <c r="A3382"/>
      <c r="B3382"/>
    </row>
    <row r="3383" spans="1:2" x14ac:dyDescent="0.25">
      <c r="A3383"/>
      <c r="B3383"/>
    </row>
    <row r="3384" spans="1:2" x14ac:dyDescent="0.25">
      <c r="A3384"/>
      <c r="B3384"/>
    </row>
    <row r="3385" spans="1:2" x14ac:dyDescent="0.25">
      <c r="A3385"/>
      <c r="B3385"/>
    </row>
    <row r="3386" spans="1:2" x14ac:dyDescent="0.25">
      <c r="A3386"/>
      <c r="B3386"/>
    </row>
    <row r="3387" spans="1:2" x14ac:dyDescent="0.25">
      <c r="A3387"/>
      <c r="B3387"/>
    </row>
    <row r="3388" spans="1:2" x14ac:dyDescent="0.25">
      <c r="A3388"/>
      <c r="B3388"/>
    </row>
    <row r="3389" spans="1:2" x14ac:dyDescent="0.25">
      <c r="A3389"/>
      <c r="B3389"/>
    </row>
    <row r="3390" spans="1:2" x14ac:dyDescent="0.25">
      <c r="A3390"/>
      <c r="B3390"/>
    </row>
    <row r="3391" spans="1:2" x14ac:dyDescent="0.25">
      <c r="A3391"/>
      <c r="B3391"/>
    </row>
    <row r="3392" spans="1:2" x14ac:dyDescent="0.25">
      <c r="A3392"/>
      <c r="B3392"/>
    </row>
    <row r="3393" spans="1:2" x14ac:dyDescent="0.25">
      <c r="A3393"/>
      <c r="B3393"/>
    </row>
    <row r="3394" spans="1:2" x14ac:dyDescent="0.25">
      <c r="A3394"/>
      <c r="B3394"/>
    </row>
    <row r="3395" spans="1:2" x14ac:dyDescent="0.25">
      <c r="A3395"/>
      <c r="B3395"/>
    </row>
    <row r="3396" spans="1:2" x14ac:dyDescent="0.25">
      <c r="A3396"/>
      <c r="B3396"/>
    </row>
    <row r="3397" spans="1:2" x14ac:dyDescent="0.25">
      <c r="A3397"/>
      <c r="B3397"/>
    </row>
    <row r="3398" spans="1:2" x14ac:dyDescent="0.25">
      <c r="A3398"/>
      <c r="B3398"/>
    </row>
    <row r="3399" spans="1:2" x14ac:dyDescent="0.25">
      <c r="A3399"/>
      <c r="B3399"/>
    </row>
    <row r="3400" spans="1:2" x14ac:dyDescent="0.25">
      <c r="A3400"/>
      <c r="B3400"/>
    </row>
    <row r="3401" spans="1:2" x14ac:dyDescent="0.25">
      <c r="A3401"/>
      <c r="B3401"/>
    </row>
    <row r="3402" spans="1:2" x14ac:dyDescent="0.25">
      <c r="A3402"/>
      <c r="B3402"/>
    </row>
    <row r="3403" spans="1:2" x14ac:dyDescent="0.25">
      <c r="A3403"/>
      <c r="B3403"/>
    </row>
    <row r="3404" spans="1:2" x14ac:dyDescent="0.25">
      <c r="A3404"/>
      <c r="B3404"/>
    </row>
    <row r="3405" spans="1:2" x14ac:dyDescent="0.25">
      <c r="A3405"/>
      <c r="B3405"/>
    </row>
    <row r="3406" spans="1:2" x14ac:dyDescent="0.25">
      <c r="A3406"/>
      <c r="B3406"/>
    </row>
    <row r="3407" spans="1:2" x14ac:dyDescent="0.25">
      <c r="A3407"/>
      <c r="B3407"/>
    </row>
    <row r="3408" spans="1:2" x14ac:dyDescent="0.25">
      <c r="A3408"/>
      <c r="B3408"/>
    </row>
    <row r="3409" spans="1:2" x14ac:dyDescent="0.25">
      <c r="A3409"/>
      <c r="B3409"/>
    </row>
    <row r="3410" spans="1:2" x14ac:dyDescent="0.25">
      <c r="A3410"/>
      <c r="B3410"/>
    </row>
    <row r="3411" spans="1:2" x14ac:dyDescent="0.25">
      <c r="A3411"/>
      <c r="B3411"/>
    </row>
    <row r="3412" spans="1:2" x14ac:dyDescent="0.25">
      <c r="A3412"/>
      <c r="B3412"/>
    </row>
    <row r="3413" spans="1:2" x14ac:dyDescent="0.25">
      <c r="A3413"/>
      <c r="B3413"/>
    </row>
    <row r="3414" spans="1:2" x14ac:dyDescent="0.25">
      <c r="A3414"/>
      <c r="B3414"/>
    </row>
    <row r="3415" spans="1:2" x14ac:dyDescent="0.25">
      <c r="A3415"/>
      <c r="B3415"/>
    </row>
    <row r="3416" spans="1:2" x14ac:dyDescent="0.25">
      <c r="A3416"/>
      <c r="B3416"/>
    </row>
    <row r="3417" spans="1:2" x14ac:dyDescent="0.25">
      <c r="A3417"/>
      <c r="B3417"/>
    </row>
    <row r="3418" spans="1:2" x14ac:dyDescent="0.25">
      <c r="A3418"/>
      <c r="B3418"/>
    </row>
    <row r="3419" spans="1:2" x14ac:dyDescent="0.25">
      <c r="A3419"/>
      <c r="B3419"/>
    </row>
    <row r="3420" spans="1:2" x14ac:dyDescent="0.25">
      <c r="A3420"/>
      <c r="B3420"/>
    </row>
    <row r="3421" spans="1:2" x14ac:dyDescent="0.25">
      <c r="A3421"/>
      <c r="B3421"/>
    </row>
    <row r="3422" spans="1:2" x14ac:dyDescent="0.25">
      <c r="A3422"/>
      <c r="B3422"/>
    </row>
    <row r="3423" spans="1:2" x14ac:dyDescent="0.25">
      <c r="A3423"/>
      <c r="B3423"/>
    </row>
    <row r="3424" spans="1:2" x14ac:dyDescent="0.25">
      <c r="A3424"/>
      <c r="B3424"/>
    </row>
    <row r="3425" spans="1:2" x14ac:dyDescent="0.25">
      <c r="A3425"/>
      <c r="B3425"/>
    </row>
    <row r="3426" spans="1:2" x14ac:dyDescent="0.25">
      <c r="A3426"/>
      <c r="B3426"/>
    </row>
    <row r="3427" spans="1:2" x14ac:dyDescent="0.25">
      <c r="A3427"/>
      <c r="B3427"/>
    </row>
    <row r="3428" spans="1:2" x14ac:dyDescent="0.25">
      <c r="A3428"/>
      <c r="B3428"/>
    </row>
    <row r="3429" spans="1:2" x14ac:dyDescent="0.25">
      <c r="A3429"/>
      <c r="B3429"/>
    </row>
    <row r="3430" spans="1:2" x14ac:dyDescent="0.25">
      <c r="A3430"/>
      <c r="B3430"/>
    </row>
    <row r="3431" spans="1:2" x14ac:dyDescent="0.25">
      <c r="A3431"/>
      <c r="B3431"/>
    </row>
    <row r="3432" spans="1:2" x14ac:dyDescent="0.25">
      <c r="A3432"/>
      <c r="B3432"/>
    </row>
    <row r="3433" spans="1:2" x14ac:dyDescent="0.25">
      <c r="A3433"/>
      <c r="B3433"/>
    </row>
    <row r="3434" spans="1:2" x14ac:dyDescent="0.25">
      <c r="A3434"/>
      <c r="B3434"/>
    </row>
    <row r="3435" spans="1:2" x14ac:dyDescent="0.25">
      <c r="A3435"/>
      <c r="B3435"/>
    </row>
    <row r="3436" spans="1:2" x14ac:dyDescent="0.25">
      <c r="A3436"/>
      <c r="B3436"/>
    </row>
    <row r="3437" spans="1:2" x14ac:dyDescent="0.25">
      <c r="A3437"/>
      <c r="B3437"/>
    </row>
    <row r="3438" spans="1:2" x14ac:dyDescent="0.25">
      <c r="A3438"/>
      <c r="B3438"/>
    </row>
    <row r="3439" spans="1:2" x14ac:dyDescent="0.25">
      <c r="A3439"/>
      <c r="B3439"/>
    </row>
    <row r="3440" spans="1:2" x14ac:dyDescent="0.25">
      <c r="A3440"/>
      <c r="B3440"/>
    </row>
    <row r="3441" spans="1:2" x14ac:dyDescent="0.25">
      <c r="A3441"/>
      <c r="B3441"/>
    </row>
    <row r="3442" spans="1:2" x14ac:dyDescent="0.25">
      <c r="A3442"/>
      <c r="B3442"/>
    </row>
    <row r="3443" spans="1:2" x14ac:dyDescent="0.25">
      <c r="A3443"/>
      <c r="B3443"/>
    </row>
    <row r="3444" spans="1:2" x14ac:dyDescent="0.25">
      <c r="A3444"/>
      <c r="B3444"/>
    </row>
    <row r="3445" spans="1:2" x14ac:dyDescent="0.25">
      <c r="A3445"/>
      <c r="B3445"/>
    </row>
    <row r="3446" spans="1:2" x14ac:dyDescent="0.25">
      <c r="A3446"/>
      <c r="B3446"/>
    </row>
    <row r="3447" spans="1:2" x14ac:dyDescent="0.25">
      <c r="A3447"/>
      <c r="B3447"/>
    </row>
    <row r="3448" spans="1:2" x14ac:dyDescent="0.25">
      <c r="A3448"/>
      <c r="B3448"/>
    </row>
    <row r="3449" spans="1:2" x14ac:dyDescent="0.25">
      <c r="A3449"/>
      <c r="B3449"/>
    </row>
    <row r="3450" spans="1:2" x14ac:dyDescent="0.25">
      <c r="A3450"/>
      <c r="B3450"/>
    </row>
    <row r="3451" spans="1:2" x14ac:dyDescent="0.25">
      <c r="A3451"/>
      <c r="B3451"/>
    </row>
    <row r="3452" spans="1:2" x14ac:dyDescent="0.25">
      <c r="A3452"/>
      <c r="B3452"/>
    </row>
    <row r="3453" spans="1:2" x14ac:dyDescent="0.25">
      <c r="A3453"/>
      <c r="B3453"/>
    </row>
    <row r="3454" spans="1:2" x14ac:dyDescent="0.25">
      <c r="A3454"/>
      <c r="B3454"/>
    </row>
    <row r="3455" spans="1:2" x14ac:dyDescent="0.25">
      <c r="A3455"/>
      <c r="B3455"/>
    </row>
    <row r="3456" spans="1:2" x14ac:dyDescent="0.25">
      <c r="A3456"/>
      <c r="B3456"/>
    </row>
    <row r="3457" spans="1:2" x14ac:dyDescent="0.25">
      <c r="A3457"/>
      <c r="B3457"/>
    </row>
    <row r="3458" spans="1:2" x14ac:dyDescent="0.25">
      <c r="A3458"/>
      <c r="B3458"/>
    </row>
    <row r="3459" spans="1:2" x14ac:dyDescent="0.25">
      <c r="A3459"/>
      <c r="B3459"/>
    </row>
    <row r="3460" spans="1:2" x14ac:dyDescent="0.25">
      <c r="A3460"/>
      <c r="B3460"/>
    </row>
    <row r="3461" spans="1:2" x14ac:dyDescent="0.25">
      <c r="A3461"/>
      <c r="B3461"/>
    </row>
    <row r="3462" spans="1:2" x14ac:dyDescent="0.25">
      <c r="A3462"/>
      <c r="B3462"/>
    </row>
    <row r="3463" spans="1:2" x14ac:dyDescent="0.25">
      <c r="A3463"/>
      <c r="B3463"/>
    </row>
    <row r="3464" spans="1:2" x14ac:dyDescent="0.25">
      <c r="A3464"/>
      <c r="B3464"/>
    </row>
    <row r="3465" spans="1:2" x14ac:dyDescent="0.25">
      <c r="A3465"/>
      <c r="B3465"/>
    </row>
    <row r="3466" spans="1:2" x14ac:dyDescent="0.25">
      <c r="A3466"/>
      <c r="B3466"/>
    </row>
    <row r="3467" spans="1:2" x14ac:dyDescent="0.25">
      <c r="A3467"/>
      <c r="B3467"/>
    </row>
    <row r="3468" spans="1:2" x14ac:dyDescent="0.25">
      <c r="A3468"/>
      <c r="B3468"/>
    </row>
    <row r="3469" spans="1:2" x14ac:dyDescent="0.25">
      <c r="A3469"/>
      <c r="B3469"/>
    </row>
    <row r="3470" spans="1:2" x14ac:dyDescent="0.25">
      <c r="A3470"/>
      <c r="B3470"/>
    </row>
    <row r="3471" spans="1:2" x14ac:dyDescent="0.25">
      <c r="A3471"/>
      <c r="B3471"/>
    </row>
    <row r="3472" spans="1:2" x14ac:dyDescent="0.25">
      <c r="A3472"/>
      <c r="B3472"/>
    </row>
    <row r="3473" spans="1:2" x14ac:dyDescent="0.25">
      <c r="A3473"/>
      <c r="B3473"/>
    </row>
    <row r="3474" spans="1:2" x14ac:dyDescent="0.25">
      <c r="A3474"/>
      <c r="B3474"/>
    </row>
    <row r="3475" spans="1:2" x14ac:dyDescent="0.25">
      <c r="A3475"/>
      <c r="B3475"/>
    </row>
    <row r="3476" spans="1:2" x14ac:dyDescent="0.25">
      <c r="A3476"/>
      <c r="B3476"/>
    </row>
    <row r="3477" spans="1:2" x14ac:dyDescent="0.25">
      <c r="A3477"/>
      <c r="B3477"/>
    </row>
    <row r="3478" spans="1:2" x14ac:dyDescent="0.25">
      <c r="A3478"/>
      <c r="B3478"/>
    </row>
    <row r="3479" spans="1:2" x14ac:dyDescent="0.25">
      <c r="A3479"/>
      <c r="B3479"/>
    </row>
    <row r="3480" spans="1:2" x14ac:dyDescent="0.25">
      <c r="A3480"/>
      <c r="B3480"/>
    </row>
    <row r="3481" spans="1:2" x14ac:dyDescent="0.25">
      <c r="A3481"/>
      <c r="B3481"/>
    </row>
    <row r="3482" spans="1:2" x14ac:dyDescent="0.25">
      <c r="A3482"/>
      <c r="B3482"/>
    </row>
    <row r="3483" spans="1:2" x14ac:dyDescent="0.25">
      <c r="A3483"/>
      <c r="B3483"/>
    </row>
    <row r="3484" spans="1:2" x14ac:dyDescent="0.25">
      <c r="A3484"/>
      <c r="B3484"/>
    </row>
    <row r="3485" spans="1:2" x14ac:dyDescent="0.25">
      <c r="A3485"/>
      <c r="B3485"/>
    </row>
    <row r="3486" spans="1:2" x14ac:dyDescent="0.25">
      <c r="A3486"/>
      <c r="B3486"/>
    </row>
    <row r="3487" spans="1:2" x14ac:dyDescent="0.25">
      <c r="A3487"/>
      <c r="B3487"/>
    </row>
    <row r="3488" spans="1:2" x14ac:dyDescent="0.25">
      <c r="A3488"/>
      <c r="B3488"/>
    </row>
    <row r="3489" spans="1:2" x14ac:dyDescent="0.25">
      <c r="A3489"/>
      <c r="B3489"/>
    </row>
    <row r="3490" spans="1:2" x14ac:dyDescent="0.25">
      <c r="A3490"/>
      <c r="B3490"/>
    </row>
    <row r="3491" spans="1:2" x14ac:dyDescent="0.25">
      <c r="A3491"/>
      <c r="B3491"/>
    </row>
    <row r="3492" spans="1:2" x14ac:dyDescent="0.25">
      <c r="A3492"/>
      <c r="B3492"/>
    </row>
    <row r="3493" spans="1:2" x14ac:dyDescent="0.25">
      <c r="A3493"/>
      <c r="B3493"/>
    </row>
    <row r="3494" spans="1:2" x14ac:dyDescent="0.25">
      <c r="A3494"/>
      <c r="B3494"/>
    </row>
    <row r="3495" spans="1:2" x14ac:dyDescent="0.25">
      <c r="A3495"/>
      <c r="B3495"/>
    </row>
    <row r="3496" spans="1:2" x14ac:dyDescent="0.25">
      <c r="A3496"/>
      <c r="B3496"/>
    </row>
    <row r="3497" spans="1:2" x14ac:dyDescent="0.25">
      <c r="A3497"/>
      <c r="B3497"/>
    </row>
    <row r="3498" spans="1:2" x14ac:dyDescent="0.25">
      <c r="A3498"/>
      <c r="B3498"/>
    </row>
    <row r="3499" spans="1:2" x14ac:dyDescent="0.25">
      <c r="A3499"/>
      <c r="B3499"/>
    </row>
    <row r="3500" spans="1:2" x14ac:dyDescent="0.25">
      <c r="A3500"/>
      <c r="B3500"/>
    </row>
    <row r="3501" spans="1:2" x14ac:dyDescent="0.25">
      <c r="A3501"/>
      <c r="B3501"/>
    </row>
    <row r="3502" spans="1:2" x14ac:dyDescent="0.25">
      <c r="A3502"/>
      <c r="B3502"/>
    </row>
    <row r="3503" spans="1:2" x14ac:dyDescent="0.25">
      <c r="A3503"/>
      <c r="B3503"/>
    </row>
    <row r="3504" spans="1:2" x14ac:dyDescent="0.25">
      <c r="A3504"/>
      <c r="B3504"/>
    </row>
    <row r="3505" spans="1:2" x14ac:dyDescent="0.25">
      <c r="A3505"/>
      <c r="B3505"/>
    </row>
    <row r="3506" spans="1:2" x14ac:dyDescent="0.25">
      <c r="A3506"/>
      <c r="B3506"/>
    </row>
    <row r="3507" spans="1:2" x14ac:dyDescent="0.25">
      <c r="A3507"/>
      <c r="B3507"/>
    </row>
    <row r="3508" spans="1:2" x14ac:dyDescent="0.25">
      <c r="A3508"/>
      <c r="B3508"/>
    </row>
    <row r="3509" spans="1:2" x14ac:dyDescent="0.25">
      <c r="A3509"/>
      <c r="B3509"/>
    </row>
    <row r="3510" spans="1:2" x14ac:dyDescent="0.25">
      <c r="A3510"/>
      <c r="B3510"/>
    </row>
    <row r="3511" spans="1:2" x14ac:dyDescent="0.25">
      <c r="A3511"/>
      <c r="B3511"/>
    </row>
    <row r="3512" spans="1:2" x14ac:dyDescent="0.25">
      <c r="A3512"/>
      <c r="B3512"/>
    </row>
    <row r="3513" spans="1:2" x14ac:dyDescent="0.25">
      <c r="A3513"/>
      <c r="B3513"/>
    </row>
    <row r="3514" spans="1:2" x14ac:dyDescent="0.25">
      <c r="A3514"/>
      <c r="B3514"/>
    </row>
    <row r="3515" spans="1:2" x14ac:dyDescent="0.25">
      <c r="A3515"/>
      <c r="B3515"/>
    </row>
    <row r="3516" spans="1:2" x14ac:dyDescent="0.25">
      <c r="A3516"/>
      <c r="B3516"/>
    </row>
    <row r="3517" spans="1:2" x14ac:dyDescent="0.25">
      <c r="A3517"/>
      <c r="B3517"/>
    </row>
    <row r="3518" spans="1:2" x14ac:dyDescent="0.25">
      <c r="A3518"/>
      <c r="B3518"/>
    </row>
    <row r="3519" spans="1:2" x14ac:dyDescent="0.25">
      <c r="A3519"/>
      <c r="B3519"/>
    </row>
    <row r="3520" spans="1:2" x14ac:dyDescent="0.25">
      <c r="A3520"/>
      <c r="B3520"/>
    </row>
    <row r="3521" spans="1:2" x14ac:dyDescent="0.25">
      <c r="A3521"/>
      <c r="B3521"/>
    </row>
    <row r="3522" spans="1:2" x14ac:dyDescent="0.25">
      <c r="A3522"/>
      <c r="B3522"/>
    </row>
    <row r="3523" spans="1:2" x14ac:dyDescent="0.25">
      <c r="A3523"/>
      <c r="B3523"/>
    </row>
    <row r="3524" spans="1:2" x14ac:dyDescent="0.25">
      <c r="A3524"/>
      <c r="B3524"/>
    </row>
    <row r="3525" spans="1:2" x14ac:dyDescent="0.25">
      <c r="A3525"/>
      <c r="B3525"/>
    </row>
    <row r="3526" spans="1:2" x14ac:dyDescent="0.25">
      <c r="A3526"/>
      <c r="B3526"/>
    </row>
    <row r="3527" spans="1:2" x14ac:dyDescent="0.25">
      <c r="A3527"/>
      <c r="B3527"/>
    </row>
    <row r="3528" spans="1:2" x14ac:dyDescent="0.25">
      <c r="A3528"/>
      <c r="B3528"/>
    </row>
    <row r="3529" spans="1:2" x14ac:dyDescent="0.25">
      <c r="A3529"/>
      <c r="B3529"/>
    </row>
    <row r="3530" spans="1:2" x14ac:dyDescent="0.25">
      <c r="A3530"/>
      <c r="B3530"/>
    </row>
    <row r="3531" spans="1:2" x14ac:dyDescent="0.25">
      <c r="A3531"/>
      <c r="B3531"/>
    </row>
    <row r="3532" spans="1:2" x14ac:dyDescent="0.25">
      <c r="A3532"/>
      <c r="B3532"/>
    </row>
    <row r="3533" spans="1:2" x14ac:dyDescent="0.25">
      <c r="A3533"/>
      <c r="B3533"/>
    </row>
    <row r="3534" spans="1:2" x14ac:dyDescent="0.25">
      <c r="A3534"/>
      <c r="B3534"/>
    </row>
    <row r="3535" spans="1:2" x14ac:dyDescent="0.25">
      <c r="A3535"/>
      <c r="B3535"/>
    </row>
    <row r="3536" spans="1:2" x14ac:dyDescent="0.25">
      <c r="A3536"/>
      <c r="B3536"/>
    </row>
    <row r="3537" spans="1:2" x14ac:dyDescent="0.25">
      <c r="A3537"/>
      <c r="B3537"/>
    </row>
    <row r="3538" spans="1:2" x14ac:dyDescent="0.25">
      <c r="A3538"/>
      <c r="B3538"/>
    </row>
    <row r="3539" spans="1:2" x14ac:dyDescent="0.25">
      <c r="A3539"/>
      <c r="B3539"/>
    </row>
    <row r="3540" spans="1:2" x14ac:dyDescent="0.25">
      <c r="A3540"/>
      <c r="B3540"/>
    </row>
    <row r="3541" spans="1:2" x14ac:dyDescent="0.25">
      <c r="A3541"/>
      <c r="B3541"/>
    </row>
    <row r="3542" spans="1:2" x14ac:dyDescent="0.25">
      <c r="A3542"/>
      <c r="B3542"/>
    </row>
    <row r="3543" spans="1:2" x14ac:dyDescent="0.25">
      <c r="A3543"/>
      <c r="B3543"/>
    </row>
    <row r="3544" spans="1:2" x14ac:dyDescent="0.25">
      <c r="A3544"/>
      <c r="B3544"/>
    </row>
    <row r="3545" spans="1:2" x14ac:dyDescent="0.25">
      <c r="A3545"/>
      <c r="B3545"/>
    </row>
    <row r="3546" spans="1:2" x14ac:dyDescent="0.25">
      <c r="A3546"/>
      <c r="B3546"/>
    </row>
    <row r="3547" spans="1:2" x14ac:dyDescent="0.25">
      <c r="A3547"/>
      <c r="B3547"/>
    </row>
    <row r="3548" spans="1:2" x14ac:dyDescent="0.25">
      <c r="A3548"/>
      <c r="B3548"/>
    </row>
    <row r="3549" spans="1:2" x14ac:dyDescent="0.25">
      <c r="A3549"/>
      <c r="B3549"/>
    </row>
    <row r="3550" spans="1:2" x14ac:dyDescent="0.25">
      <c r="A3550"/>
      <c r="B3550"/>
    </row>
    <row r="3551" spans="1:2" x14ac:dyDescent="0.25">
      <c r="A3551"/>
      <c r="B3551"/>
    </row>
    <row r="3552" spans="1:2" x14ac:dyDescent="0.25">
      <c r="A3552"/>
      <c r="B3552"/>
    </row>
    <row r="3553" spans="1:2" x14ac:dyDescent="0.25">
      <c r="A3553"/>
      <c r="B3553"/>
    </row>
    <row r="3554" spans="1:2" x14ac:dyDescent="0.25">
      <c r="A3554"/>
      <c r="B3554"/>
    </row>
    <row r="3555" spans="1:2" x14ac:dyDescent="0.25">
      <c r="A3555"/>
      <c r="B3555"/>
    </row>
    <row r="3556" spans="1:2" x14ac:dyDescent="0.25">
      <c r="A3556"/>
      <c r="B3556"/>
    </row>
    <row r="3557" spans="1:2" x14ac:dyDescent="0.25">
      <c r="A3557"/>
      <c r="B3557"/>
    </row>
    <row r="3558" spans="1:2" x14ac:dyDescent="0.25">
      <c r="A3558"/>
      <c r="B3558"/>
    </row>
    <row r="3559" spans="1:2" x14ac:dyDescent="0.25">
      <c r="A3559"/>
      <c r="B3559"/>
    </row>
    <row r="3560" spans="1:2" x14ac:dyDescent="0.25">
      <c r="A3560"/>
      <c r="B3560"/>
    </row>
    <row r="3561" spans="1:2" x14ac:dyDescent="0.25">
      <c r="A3561"/>
      <c r="B3561"/>
    </row>
    <row r="3562" spans="1:2" x14ac:dyDescent="0.25">
      <c r="A3562"/>
      <c r="B3562"/>
    </row>
    <row r="3563" spans="1:2" x14ac:dyDescent="0.25">
      <c r="A3563"/>
      <c r="B3563"/>
    </row>
    <row r="3564" spans="1:2" x14ac:dyDescent="0.25">
      <c r="A3564"/>
      <c r="B3564"/>
    </row>
    <row r="3565" spans="1:2" x14ac:dyDescent="0.25">
      <c r="A3565"/>
      <c r="B3565"/>
    </row>
    <row r="3566" spans="1:2" x14ac:dyDescent="0.25">
      <c r="A3566"/>
      <c r="B3566"/>
    </row>
    <row r="3567" spans="1:2" x14ac:dyDescent="0.25">
      <c r="A3567"/>
      <c r="B3567"/>
    </row>
    <row r="3568" spans="1:2" x14ac:dyDescent="0.25">
      <c r="A3568"/>
      <c r="B3568"/>
    </row>
    <row r="3569" spans="1:2" x14ac:dyDescent="0.25">
      <c r="A3569"/>
      <c r="B3569"/>
    </row>
    <row r="3570" spans="1:2" x14ac:dyDescent="0.25">
      <c r="A3570"/>
      <c r="B3570"/>
    </row>
    <row r="3571" spans="1:2" x14ac:dyDescent="0.25">
      <c r="A3571"/>
      <c r="B3571"/>
    </row>
    <row r="3572" spans="1:2" x14ac:dyDescent="0.25">
      <c r="A3572"/>
      <c r="B3572"/>
    </row>
    <row r="3573" spans="1:2" x14ac:dyDescent="0.25">
      <c r="A3573"/>
      <c r="B3573"/>
    </row>
    <row r="3574" spans="1:2" x14ac:dyDescent="0.25">
      <c r="A3574"/>
      <c r="B3574"/>
    </row>
    <row r="3575" spans="1:2" x14ac:dyDescent="0.25">
      <c r="A3575"/>
      <c r="B3575"/>
    </row>
    <row r="3576" spans="1:2" x14ac:dyDescent="0.25">
      <c r="A3576"/>
      <c r="B3576"/>
    </row>
    <row r="3577" spans="1:2" x14ac:dyDescent="0.25">
      <c r="A3577"/>
      <c r="B3577"/>
    </row>
    <row r="3578" spans="1:2" x14ac:dyDescent="0.25">
      <c r="A3578"/>
      <c r="B3578"/>
    </row>
    <row r="3579" spans="1:2" x14ac:dyDescent="0.25">
      <c r="A3579"/>
      <c r="B3579"/>
    </row>
    <row r="3580" spans="1:2" x14ac:dyDescent="0.25">
      <c r="A3580"/>
      <c r="B3580"/>
    </row>
    <row r="3581" spans="1:2" x14ac:dyDescent="0.25">
      <c r="A3581"/>
      <c r="B3581"/>
    </row>
    <row r="3582" spans="1:2" x14ac:dyDescent="0.25">
      <c r="A3582"/>
      <c r="B3582"/>
    </row>
    <row r="3583" spans="1:2" x14ac:dyDescent="0.25">
      <c r="A3583"/>
      <c r="B3583"/>
    </row>
    <row r="3584" spans="1:2" x14ac:dyDescent="0.25">
      <c r="A3584"/>
      <c r="B3584"/>
    </row>
    <row r="3585" spans="1:2" x14ac:dyDescent="0.25">
      <c r="A3585"/>
      <c r="B3585"/>
    </row>
    <row r="3586" spans="1:2" x14ac:dyDescent="0.25">
      <c r="A3586"/>
      <c r="B3586"/>
    </row>
    <row r="3587" spans="1:2" x14ac:dyDescent="0.25">
      <c r="A3587"/>
      <c r="B3587"/>
    </row>
    <row r="3588" spans="1:2" x14ac:dyDescent="0.25">
      <c r="A3588"/>
      <c r="B3588"/>
    </row>
    <row r="3589" spans="1:2" x14ac:dyDescent="0.25">
      <c r="A3589"/>
      <c r="B3589"/>
    </row>
    <row r="3590" spans="1:2" x14ac:dyDescent="0.25">
      <c r="A3590"/>
      <c r="B3590"/>
    </row>
    <row r="3591" spans="1:2" x14ac:dyDescent="0.25">
      <c r="A3591"/>
      <c r="B3591"/>
    </row>
    <row r="3592" spans="1:2" x14ac:dyDescent="0.25">
      <c r="A3592"/>
      <c r="B3592"/>
    </row>
    <row r="3593" spans="1:2" x14ac:dyDescent="0.25">
      <c r="A3593"/>
      <c r="B3593"/>
    </row>
    <row r="3594" spans="1:2" x14ac:dyDescent="0.25">
      <c r="A3594"/>
      <c r="B3594"/>
    </row>
    <row r="3595" spans="1:2" x14ac:dyDescent="0.25">
      <c r="A3595"/>
      <c r="B3595"/>
    </row>
    <row r="3596" spans="1:2" x14ac:dyDescent="0.25">
      <c r="A3596"/>
      <c r="B3596"/>
    </row>
    <row r="3597" spans="1:2" x14ac:dyDescent="0.25">
      <c r="A3597"/>
      <c r="B3597"/>
    </row>
    <row r="3598" spans="1:2" x14ac:dyDescent="0.25">
      <c r="A3598"/>
      <c r="B3598"/>
    </row>
    <row r="3599" spans="1:2" x14ac:dyDescent="0.25">
      <c r="A3599"/>
      <c r="B3599"/>
    </row>
    <row r="3600" spans="1:2" x14ac:dyDescent="0.25">
      <c r="A3600"/>
      <c r="B3600"/>
    </row>
    <row r="3601" spans="1:2" x14ac:dyDescent="0.25">
      <c r="A3601"/>
      <c r="B3601"/>
    </row>
    <row r="3602" spans="1:2" x14ac:dyDescent="0.25">
      <c r="A3602"/>
      <c r="B3602"/>
    </row>
    <row r="3603" spans="1:2" x14ac:dyDescent="0.25">
      <c r="A3603"/>
      <c r="B3603"/>
    </row>
    <row r="3604" spans="1:2" x14ac:dyDescent="0.25">
      <c r="A3604"/>
      <c r="B3604"/>
    </row>
    <row r="3605" spans="1:2" x14ac:dyDescent="0.25">
      <c r="A3605"/>
      <c r="B3605"/>
    </row>
    <row r="3606" spans="1:2" x14ac:dyDescent="0.25">
      <c r="A3606"/>
      <c r="B3606"/>
    </row>
    <row r="3607" spans="1:2" x14ac:dyDescent="0.25">
      <c r="A3607"/>
      <c r="B3607"/>
    </row>
    <row r="3608" spans="1:2" x14ac:dyDescent="0.25">
      <c r="A3608"/>
      <c r="B3608"/>
    </row>
    <row r="3609" spans="1:2" x14ac:dyDescent="0.25">
      <c r="A3609"/>
      <c r="B3609"/>
    </row>
    <row r="3610" spans="1:2" x14ac:dyDescent="0.25">
      <c r="A3610"/>
      <c r="B3610"/>
    </row>
    <row r="3611" spans="1:2" x14ac:dyDescent="0.25">
      <c r="A3611"/>
      <c r="B3611"/>
    </row>
    <row r="3612" spans="1:2" x14ac:dyDescent="0.25">
      <c r="A3612"/>
      <c r="B3612"/>
    </row>
    <row r="3613" spans="1:2" x14ac:dyDescent="0.25">
      <c r="A3613"/>
      <c r="B3613"/>
    </row>
    <row r="3614" spans="1:2" x14ac:dyDescent="0.25">
      <c r="A3614"/>
      <c r="B3614"/>
    </row>
    <row r="3615" spans="1:2" x14ac:dyDescent="0.25">
      <c r="A3615"/>
      <c r="B3615"/>
    </row>
    <row r="3616" spans="1:2" x14ac:dyDescent="0.25">
      <c r="A3616"/>
      <c r="B3616"/>
    </row>
    <row r="3617" spans="1:2" x14ac:dyDescent="0.25">
      <c r="A3617"/>
      <c r="B3617"/>
    </row>
    <row r="3618" spans="1:2" x14ac:dyDescent="0.25">
      <c r="A3618"/>
      <c r="B3618"/>
    </row>
    <row r="3619" spans="1:2" x14ac:dyDescent="0.25">
      <c r="A3619"/>
      <c r="B3619"/>
    </row>
    <row r="3620" spans="1:2" x14ac:dyDescent="0.25">
      <c r="A3620"/>
      <c r="B3620"/>
    </row>
    <row r="3621" spans="1:2" x14ac:dyDescent="0.25">
      <c r="A3621"/>
      <c r="B3621"/>
    </row>
    <row r="3622" spans="1:2" x14ac:dyDescent="0.25">
      <c r="A3622"/>
      <c r="B3622"/>
    </row>
    <row r="3623" spans="1:2" x14ac:dyDescent="0.25">
      <c r="A3623"/>
      <c r="B3623"/>
    </row>
    <row r="3624" spans="1:2" x14ac:dyDescent="0.25">
      <c r="A3624"/>
      <c r="B3624"/>
    </row>
    <row r="3625" spans="1:2" x14ac:dyDescent="0.25">
      <c r="A3625"/>
      <c r="B3625"/>
    </row>
    <row r="3626" spans="1:2" x14ac:dyDescent="0.25">
      <c r="A3626"/>
      <c r="B3626"/>
    </row>
    <row r="3627" spans="1:2" x14ac:dyDescent="0.25">
      <c r="A3627"/>
      <c r="B3627"/>
    </row>
    <row r="3628" spans="1:2" x14ac:dyDescent="0.25">
      <c r="A3628"/>
      <c r="B3628"/>
    </row>
    <row r="3629" spans="1:2" x14ac:dyDescent="0.25">
      <c r="A3629"/>
      <c r="B3629"/>
    </row>
    <row r="3630" spans="1:2" x14ac:dyDescent="0.25">
      <c r="A3630"/>
      <c r="B3630"/>
    </row>
    <row r="3631" spans="1:2" x14ac:dyDescent="0.25">
      <c r="A3631"/>
      <c r="B3631"/>
    </row>
    <row r="3632" spans="1:2" x14ac:dyDescent="0.25">
      <c r="A3632"/>
      <c r="B3632"/>
    </row>
    <row r="3633" spans="1:2" x14ac:dyDescent="0.25">
      <c r="A3633"/>
      <c r="B3633"/>
    </row>
    <row r="3634" spans="1:2" x14ac:dyDescent="0.25">
      <c r="A3634"/>
      <c r="B3634"/>
    </row>
    <row r="3635" spans="1:2" x14ac:dyDescent="0.25">
      <c r="A3635"/>
      <c r="B3635"/>
    </row>
    <row r="3636" spans="1:2" x14ac:dyDescent="0.25">
      <c r="A3636"/>
      <c r="B3636"/>
    </row>
    <row r="3637" spans="1:2" x14ac:dyDescent="0.25">
      <c r="A3637"/>
      <c r="B3637"/>
    </row>
    <row r="3638" spans="1:2" x14ac:dyDescent="0.25">
      <c r="A3638"/>
      <c r="B3638"/>
    </row>
    <row r="3639" spans="1:2" x14ac:dyDescent="0.25">
      <c r="A3639"/>
      <c r="B3639"/>
    </row>
    <row r="3640" spans="1:2" x14ac:dyDescent="0.25">
      <c r="A3640"/>
      <c r="B3640"/>
    </row>
    <row r="3641" spans="1:2" x14ac:dyDescent="0.25">
      <c r="A3641"/>
      <c r="B3641"/>
    </row>
    <row r="3642" spans="1:2" x14ac:dyDescent="0.25">
      <c r="A3642"/>
      <c r="B3642"/>
    </row>
    <row r="3643" spans="1:2" x14ac:dyDescent="0.25">
      <c r="A3643"/>
      <c r="B3643"/>
    </row>
    <row r="3644" spans="1:2" x14ac:dyDescent="0.25">
      <c r="A3644"/>
      <c r="B3644"/>
    </row>
    <row r="3645" spans="1:2" x14ac:dyDescent="0.25">
      <c r="A3645"/>
      <c r="B3645"/>
    </row>
    <row r="3646" spans="1:2" x14ac:dyDescent="0.25">
      <c r="A3646"/>
      <c r="B3646"/>
    </row>
    <row r="3647" spans="1:2" x14ac:dyDescent="0.25">
      <c r="A3647"/>
      <c r="B3647"/>
    </row>
    <row r="3648" spans="1:2" x14ac:dyDescent="0.25">
      <c r="A3648"/>
      <c r="B3648"/>
    </row>
    <row r="3649" spans="1:2" x14ac:dyDescent="0.25">
      <c r="A3649"/>
      <c r="B3649"/>
    </row>
    <row r="3650" spans="1:2" x14ac:dyDescent="0.25">
      <c r="A3650"/>
      <c r="B3650"/>
    </row>
    <row r="3651" spans="1:2" x14ac:dyDescent="0.25">
      <c r="A3651"/>
      <c r="B3651"/>
    </row>
    <row r="3652" spans="1:2" x14ac:dyDescent="0.25">
      <c r="A3652"/>
      <c r="B3652"/>
    </row>
    <row r="3653" spans="1:2" x14ac:dyDescent="0.25">
      <c r="A3653"/>
      <c r="B3653"/>
    </row>
    <row r="3654" spans="1:2" x14ac:dyDescent="0.25">
      <c r="A3654"/>
      <c r="B3654"/>
    </row>
    <row r="3655" spans="1:2" x14ac:dyDescent="0.25">
      <c r="A3655"/>
      <c r="B3655"/>
    </row>
    <row r="3656" spans="1:2" x14ac:dyDescent="0.25">
      <c r="A3656"/>
      <c r="B3656"/>
    </row>
    <row r="3657" spans="1:2" x14ac:dyDescent="0.25">
      <c r="A3657"/>
      <c r="B3657"/>
    </row>
    <row r="3658" spans="1:2" x14ac:dyDescent="0.25">
      <c r="A3658"/>
      <c r="B3658"/>
    </row>
    <row r="3659" spans="1:2" x14ac:dyDescent="0.25">
      <c r="A3659"/>
      <c r="B3659"/>
    </row>
    <row r="3660" spans="1:2" x14ac:dyDescent="0.25">
      <c r="A3660"/>
      <c r="B3660"/>
    </row>
    <row r="3661" spans="1:2" x14ac:dyDescent="0.25">
      <c r="A3661"/>
      <c r="B3661"/>
    </row>
    <row r="3662" spans="1:2" x14ac:dyDescent="0.25">
      <c r="A3662"/>
      <c r="B3662"/>
    </row>
    <row r="3663" spans="1:2" x14ac:dyDescent="0.25">
      <c r="A3663"/>
      <c r="B3663"/>
    </row>
    <row r="3664" spans="1:2" x14ac:dyDescent="0.25">
      <c r="A3664"/>
      <c r="B3664"/>
    </row>
    <row r="3665" spans="1:2" x14ac:dyDescent="0.25">
      <c r="A3665"/>
      <c r="B3665"/>
    </row>
    <row r="3666" spans="1:2" x14ac:dyDescent="0.25">
      <c r="A3666"/>
      <c r="B3666"/>
    </row>
    <row r="3667" spans="1:2" x14ac:dyDescent="0.25">
      <c r="A3667"/>
      <c r="B3667"/>
    </row>
    <row r="3668" spans="1:2" x14ac:dyDescent="0.25">
      <c r="A3668"/>
      <c r="B3668"/>
    </row>
    <row r="3669" spans="1:2" x14ac:dyDescent="0.25">
      <c r="A3669"/>
      <c r="B3669"/>
    </row>
    <row r="3670" spans="1:2" x14ac:dyDescent="0.25">
      <c r="A3670"/>
      <c r="B3670"/>
    </row>
    <row r="3671" spans="1:2" x14ac:dyDescent="0.25">
      <c r="A3671"/>
      <c r="B3671"/>
    </row>
    <row r="3672" spans="1:2" x14ac:dyDescent="0.25">
      <c r="A3672"/>
      <c r="B3672"/>
    </row>
    <row r="3673" spans="1:2" x14ac:dyDescent="0.25">
      <c r="A3673"/>
      <c r="B3673"/>
    </row>
    <row r="3674" spans="1:2" x14ac:dyDescent="0.25">
      <c r="A3674"/>
      <c r="B3674"/>
    </row>
    <row r="3675" spans="1:2" x14ac:dyDescent="0.25">
      <c r="A3675"/>
      <c r="B3675"/>
    </row>
    <row r="3676" spans="1:2" x14ac:dyDescent="0.25">
      <c r="A3676"/>
      <c r="B3676"/>
    </row>
    <row r="3677" spans="1:2" x14ac:dyDescent="0.25">
      <c r="A3677"/>
      <c r="B3677"/>
    </row>
    <row r="3678" spans="1:2" x14ac:dyDescent="0.25">
      <c r="A3678"/>
      <c r="B3678"/>
    </row>
    <row r="3679" spans="1:2" x14ac:dyDescent="0.25">
      <c r="A3679"/>
      <c r="B3679"/>
    </row>
    <row r="3680" spans="1:2" x14ac:dyDescent="0.25">
      <c r="A3680"/>
      <c r="B3680"/>
    </row>
    <row r="3681" spans="1:2" x14ac:dyDescent="0.25">
      <c r="A3681"/>
      <c r="B3681"/>
    </row>
    <row r="3682" spans="1:2" x14ac:dyDescent="0.25">
      <c r="A3682"/>
      <c r="B3682"/>
    </row>
    <row r="3683" spans="1:2" x14ac:dyDescent="0.25">
      <c r="A3683"/>
      <c r="B3683"/>
    </row>
    <row r="3684" spans="1:2" x14ac:dyDescent="0.25">
      <c r="A3684"/>
      <c r="B3684"/>
    </row>
    <row r="3685" spans="1:2" x14ac:dyDescent="0.25">
      <c r="A3685"/>
      <c r="B3685"/>
    </row>
    <row r="3686" spans="1:2" x14ac:dyDescent="0.25">
      <c r="A3686"/>
      <c r="B3686"/>
    </row>
    <row r="3687" spans="1:2" x14ac:dyDescent="0.25">
      <c r="A3687"/>
      <c r="B3687"/>
    </row>
    <row r="3688" spans="1:2" x14ac:dyDescent="0.25">
      <c r="A3688"/>
      <c r="B3688"/>
    </row>
    <row r="3689" spans="1:2" x14ac:dyDescent="0.25">
      <c r="A3689"/>
      <c r="B3689"/>
    </row>
    <row r="3690" spans="1:2" x14ac:dyDescent="0.25">
      <c r="A3690"/>
      <c r="B3690"/>
    </row>
    <row r="3691" spans="1:2" x14ac:dyDescent="0.25">
      <c r="A3691"/>
      <c r="B3691"/>
    </row>
    <row r="3692" spans="1:2" x14ac:dyDescent="0.25">
      <c r="A3692"/>
      <c r="B3692"/>
    </row>
    <row r="3693" spans="1:2" x14ac:dyDescent="0.25">
      <c r="A3693"/>
      <c r="B3693"/>
    </row>
    <row r="3694" spans="1:2" x14ac:dyDescent="0.25">
      <c r="A3694"/>
      <c r="B3694"/>
    </row>
    <row r="3695" spans="1:2" x14ac:dyDescent="0.25">
      <c r="A3695"/>
      <c r="B3695"/>
    </row>
    <row r="3696" spans="1:2" x14ac:dyDescent="0.25">
      <c r="A3696"/>
      <c r="B3696"/>
    </row>
    <row r="3697" spans="1:2" x14ac:dyDescent="0.25">
      <c r="A3697"/>
      <c r="B3697"/>
    </row>
    <row r="3698" spans="1:2" x14ac:dyDescent="0.25">
      <c r="A3698"/>
      <c r="B3698"/>
    </row>
    <row r="3699" spans="1:2" x14ac:dyDescent="0.25">
      <c r="A3699"/>
      <c r="B3699"/>
    </row>
    <row r="3700" spans="1:2" x14ac:dyDescent="0.25">
      <c r="A3700"/>
      <c r="B3700"/>
    </row>
    <row r="3701" spans="1:2" x14ac:dyDescent="0.25">
      <c r="A3701"/>
      <c r="B3701"/>
    </row>
    <row r="3702" spans="1:2" x14ac:dyDescent="0.25">
      <c r="A3702"/>
      <c r="B3702"/>
    </row>
    <row r="3703" spans="1:2" x14ac:dyDescent="0.25">
      <c r="A3703"/>
      <c r="B3703"/>
    </row>
    <row r="3704" spans="1:2" x14ac:dyDescent="0.25">
      <c r="A3704"/>
      <c r="B3704"/>
    </row>
    <row r="3705" spans="1:2" x14ac:dyDescent="0.25">
      <c r="A3705"/>
      <c r="B3705"/>
    </row>
    <row r="3706" spans="1:2" x14ac:dyDescent="0.25">
      <c r="A3706"/>
      <c r="B3706"/>
    </row>
    <row r="3707" spans="1:2" x14ac:dyDescent="0.25">
      <c r="A3707"/>
      <c r="B3707"/>
    </row>
    <row r="3708" spans="1:2" x14ac:dyDescent="0.25">
      <c r="A3708"/>
      <c r="B3708"/>
    </row>
    <row r="3709" spans="1:2" x14ac:dyDescent="0.25">
      <c r="A3709"/>
      <c r="B3709"/>
    </row>
    <row r="3710" spans="1:2" x14ac:dyDescent="0.25">
      <c r="A3710"/>
      <c r="B3710"/>
    </row>
    <row r="3711" spans="1:2" x14ac:dyDescent="0.25">
      <c r="A3711"/>
      <c r="B3711"/>
    </row>
    <row r="3712" spans="1:2" x14ac:dyDescent="0.25">
      <c r="A3712"/>
      <c r="B3712"/>
    </row>
    <row r="3713" spans="1:2" x14ac:dyDescent="0.25">
      <c r="A3713"/>
      <c r="B3713"/>
    </row>
    <row r="3714" spans="1:2" x14ac:dyDescent="0.25">
      <c r="A3714"/>
      <c r="B3714"/>
    </row>
    <row r="3715" spans="1:2" x14ac:dyDescent="0.25">
      <c r="A3715"/>
      <c r="B3715"/>
    </row>
    <row r="3716" spans="1:2" x14ac:dyDescent="0.25">
      <c r="A3716"/>
      <c r="B3716"/>
    </row>
    <row r="3717" spans="1:2" x14ac:dyDescent="0.25">
      <c r="A3717"/>
      <c r="B3717"/>
    </row>
    <row r="3718" spans="1:2" x14ac:dyDescent="0.25">
      <c r="A3718"/>
      <c r="B3718"/>
    </row>
    <row r="3719" spans="1:2" x14ac:dyDescent="0.25">
      <c r="A3719"/>
      <c r="B3719"/>
    </row>
    <row r="3720" spans="1:2" x14ac:dyDescent="0.25">
      <c r="A3720"/>
      <c r="B3720"/>
    </row>
    <row r="3721" spans="1:2" x14ac:dyDescent="0.25">
      <c r="A3721"/>
      <c r="B3721"/>
    </row>
    <row r="3722" spans="1:2" x14ac:dyDescent="0.25">
      <c r="A3722"/>
      <c r="B3722"/>
    </row>
    <row r="3723" spans="1:2" x14ac:dyDescent="0.25">
      <c r="A3723"/>
      <c r="B3723"/>
    </row>
    <row r="3724" spans="1:2" x14ac:dyDescent="0.25">
      <c r="A3724"/>
      <c r="B3724"/>
    </row>
    <row r="3725" spans="1:2" x14ac:dyDescent="0.25">
      <c r="A3725"/>
      <c r="B3725"/>
    </row>
    <row r="3726" spans="1:2" x14ac:dyDescent="0.25">
      <c r="A3726"/>
      <c r="B3726"/>
    </row>
    <row r="3727" spans="1:2" x14ac:dyDescent="0.25">
      <c r="A3727"/>
      <c r="B3727"/>
    </row>
    <row r="3728" spans="1:2" x14ac:dyDescent="0.25">
      <c r="A3728"/>
      <c r="B3728"/>
    </row>
    <row r="3729" spans="1:2" x14ac:dyDescent="0.25">
      <c r="A3729"/>
      <c r="B3729"/>
    </row>
    <row r="3730" spans="1:2" x14ac:dyDescent="0.25">
      <c r="A3730"/>
      <c r="B3730"/>
    </row>
    <row r="3731" spans="1:2" x14ac:dyDescent="0.25">
      <c r="A3731"/>
      <c r="B3731"/>
    </row>
    <row r="3732" spans="1:2" x14ac:dyDescent="0.25">
      <c r="A3732"/>
      <c r="B3732"/>
    </row>
    <row r="3733" spans="1:2" x14ac:dyDescent="0.25">
      <c r="A3733"/>
      <c r="B3733"/>
    </row>
    <row r="3734" spans="1:2" x14ac:dyDescent="0.25">
      <c r="A3734"/>
      <c r="B3734"/>
    </row>
    <row r="3735" spans="1:2" x14ac:dyDescent="0.25">
      <c r="A3735"/>
      <c r="B3735"/>
    </row>
    <row r="3736" spans="1:2" x14ac:dyDescent="0.25">
      <c r="A3736"/>
      <c r="B3736"/>
    </row>
    <row r="3737" spans="1:2" x14ac:dyDescent="0.25">
      <c r="A3737"/>
      <c r="B3737"/>
    </row>
    <row r="3738" spans="1:2" x14ac:dyDescent="0.25">
      <c r="A3738"/>
      <c r="B3738"/>
    </row>
    <row r="3739" spans="1:2" x14ac:dyDescent="0.25">
      <c r="A3739"/>
      <c r="B3739"/>
    </row>
    <row r="3740" spans="1:2" x14ac:dyDescent="0.25">
      <c r="A3740"/>
      <c r="B3740"/>
    </row>
    <row r="3741" spans="1:2" x14ac:dyDescent="0.25">
      <c r="A3741"/>
      <c r="B3741"/>
    </row>
    <row r="3742" spans="1:2" x14ac:dyDescent="0.25">
      <c r="A3742"/>
      <c r="B3742"/>
    </row>
    <row r="3743" spans="1:2" x14ac:dyDescent="0.25">
      <c r="A3743"/>
      <c r="B3743"/>
    </row>
    <row r="3744" spans="1:2" x14ac:dyDescent="0.25">
      <c r="A3744"/>
      <c r="B3744"/>
    </row>
    <row r="3745" spans="1:2" x14ac:dyDescent="0.25">
      <c r="A3745"/>
      <c r="B3745"/>
    </row>
    <row r="3746" spans="1:2" x14ac:dyDescent="0.25">
      <c r="A3746"/>
      <c r="B3746"/>
    </row>
    <row r="3747" spans="1:2" x14ac:dyDescent="0.25">
      <c r="A3747"/>
      <c r="B3747"/>
    </row>
    <row r="3748" spans="1:2" x14ac:dyDescent="0.25">
      <c r="A3748"/>
      <c r="B3748"/>
    </row>
    <row r="3749" spans="1:2" x14ac:dyDescent="0.25">
      <c r="A3749"/>
      <c r="B3749"/>
    </row>
    <row r="3750" spans="1:2" x14ac:dyDescent="0.25">
      <c r="A3750"/>
      <c r="B3750"/>
    </row>
    <row r="3751" spans="1:2" x14ac:dyDescent="0.25">
      <c r="A3751"/>
      <c r="B3751"/>
    </row>
    <row r="3752" spans="1:2" x14ac:dyDescent="0.25">
      <c r="A3752"/>
      <c r="B3752"/>
    </row>
    <row r="3753" spans="1:2" x14ac:dyDescent="0.25">
      <c r="A3753"/>
      <c r="B3753"/>
    </row>
    <row r="3754" spans="1:2" x14ac:dyDescent="0.25">
      <c r="A3754"/>
      <c r="B3754"/>
    </row>
    <row r="3755" spans="1:2" x14ac:dyDescent="0.25">
      <c r="A3755"/>
      <c r="B3755"/>
    </row>
    <row r="3756" spans="1:2" x14ac:dyDescent="0.25">
      <c r="A3756"/>
      <c r="B3756"/>
    </row>
    <row r="3757" spans="1:2" x14ac:dyDescent="0.25">
      <c r="A3757"/>
      <c r="B3757"/>
    </row>
    <row r="3758" spans="1:2" x14ac:dyDescent="0.25">
      <c r="A3758"/>
      <c r="B3758"/>
    </row>
    <row r="3759" spans="1:2" x14ac:dyDescent="0.25">
      <c r="A3759"/>
      <c r="B3759"/>
    </row>
    <row r="3760" spans="1:2" x14ac:dyDescent="0.25">
      <c r="A3760"/>
      <c r="B3760"/>
    </row>
    <row r="3761" spans="1:2" x14ac:dyDescent="0.25">
      <c r="A3761"/>
      <c r="B3761"/>
    </row>
    <row r="3762" spans="1:2" x14ac:dyDescent="0.25">
      <c r="A3762"/>
      <c r="B3762"/>
    </row>
    <row r="3763" spans="1:2" x14ac:dyDescent="0.25">
      <c r="A3763"/>
      <c r="B3763"/>
    </row>
    <row r="3764" spans="1:2" x14ac:dyDescent="0.25">
      <c r="A3764"/>
      <c r="B3764"/>
    </row>
    <row r="3765" spans="1:2" x14ac:dyDescent="0.25">
      <c r="A3765"/>
      <c r="B3765"/>
    </row>
    <row r="3766" spans="1:2" x14ac:dyDescent="0.25">
      <c r="A3766"/>
      <c r="B3766"/>
    </row>
    <row r="3767" spans="1:2" x14ac:dyDescent="0.25">
      <c r="A3767"/>
      <c r="B3767"/>
    </row>
    <row r="3768" spans="1:2" x14ac:dyDescent="0.25">
      <c r="A3768"/>
      <c r="B3768"/>
    </row>
    <row r="3769" spans="1:2" x14ac:dyDescent="0.25">
      <c r="A3769"/>
      <c r="B3769"/>
    </row>
    <row r="3770" spans="1:2" x14ac:dyDescent="0.25">
      <c r="A3770"/>
      <c r="B3770"/>
    </row>
    <row r="3771" spans="1:2" x14ac:dyDescent="0.25">
      <c r="A3771"/>
      <c r="B3771"/>
    </row>
    <row r="3772" spans="1:2" x14ac:dyDescent="0.25">
      <c r="A3772"/>
      <c r="B3772"/>
    </row>
    <row r="3773" spans="1:2" x14ac:dyDescent="0.25">
      <c r="A3773"/>
      <c r="B3773"/>
    </row>
    <row r="3774" spans="1:2" x14ac:dyDescent="0.25">
      <c r="A3774"/>
      <c r="B3774"/>
    </row>
    <row r="3775" spans="1:2" x14ac:dyDescent="0.25">
      <c r="A3775"/>
      <c r="B3775"/>
    </row>
    <row r="3776" spans="1:2" x14ac:dyDescent="0.25">
      <c r="A3776"/>
      <c r="B3776"/>
    </row>
    <row r="3777" spans="1:2" x14ac:dyDescent="0.25">
      <c r="A3777"/>
      <c r="B3777"/>
    </row>
    <row r="3778" spans="1:2" x14ac:dyDescent="0.25">
      <c r="A3778"/>
      <c r="B3778"/>
    </row>
    <row r="3779" spans="1:2" x14ac:dyDescent="0.25">
      <c r="A3779"/>
      <c r="B3779"/>
    </row>
    <row r="3780" spans="1:2" x14ac:dyDescent="0.25">
      <c r="A3780"/>
      <c r="B3780"/>
    </row>
    <row r="3781" spans="1:2" x14ac:dyDescent="0.25">
      <c r="A3781"/>
      <c r="B3781"/>
    </row>
    <row r="3782" spans="1:2" x14ac:dyDescent="0.25">
      <c r="A3782"/>
      <c r="B3782"/>
    </row>
    <row r="3783" spans="1:2" x14ac:dyDescent="0.25">
      <c r="A3783"/>
      <c r="B3783"/>
    </row>
    <row r="3784" spans="1:2" x14ac:dyDescent="0.25">
      <c r="A3784"/>
      <c r="B3784"/>
    </row>
    <row r="3785" spans="1:2" x14ac:dyDescent="0.25">
      <c r="A3785"/>
      <c r="B3785"/>
    </row>
    <row r="3786" spans="1:2" x14ac:dyDescent="0.25">
      <c r="A3786"/>
      <c r="B3786"/>
    </row>
    <row r="3787" spans="1:2" x14ac:dyDescent="0.25">
      <c r="A3787"/>
      <c r="B3787"/>
    </row>
    <row r="3788" spans="1:2" x14ac:dyDescent="0.25">
      <c r="A3788"/>
      <c r="B3788"/>
    </row>
    <row r="3789" spans="1:2" x14ac:dyDescent="0.25">
      <c r="A3789"/>
      <c r="B3789"/>
    </row>
    <row r="3790" spans="1:2" x14ac:dyDescent="0.25">
      <c r="A3790"/>
      <c r="B3790"/>
    </row>
    <row r="3791" spans="1:2" x14ac:dyDescent="0.25">
      <c r="A3791"/>
      <c r="B3791"/>
    </row>
    <row r="3792" spans="1:2" x14ac:dyDescent="0.25">
      <c r="A3792"/>
      <c r="B3792"/>
    </row>
    <row r="3793" spans="1:2" x14ac:dyDescent="0.25">
      <c r="A3793"/>
      <c r="B3793"/>
    </row>
    <row r="3794" spans="1:2" x14ac:dyDescent="0.25">
      <c r="A3794"/>
      <c r="B3794"/>
    </row>
    <row r="3795" spans="1:2" x14ac:dyDescent="0.25">
      <c r="A3795"/>
      <c r="B3795"/>
    </row>
    <row r="3796" spans="1:2" x14ac:dyDescent="0.25">
      <c r="A3796"/>
      <c r="B3796"/>
    </row>
    <row r="3797" spans="1:2" x14ac:dyDescent="0.25">
      <c r="A3797"/>
      <c r="B3797"/>
    </row>
    <row r="3798" spans="1:2" x14ac:dyDescent="0.25">
      <c r="A3798"/>
      <c r="B3798"/>
    </row>
    <row r="3799" spans="1:2" x14ac:dyDescent="0.25">
      <c r="A3799"/>
      <c r="B3799"/>
    </row>
    <row r="3800" spans="1:2" x14ac:dyDescent="0.25">
      <c r="A3800"/>
      <c r="B3800"/>
    </row>
    <row r="3801" spans="1:2" x14ac:dyDescent="0.25">
      <c r="A3801"/>
      <c r="B3801"/>
    </row>
    <row r="3802" spans="1:2" x14ac:dyDescent="0.25">
      <c r="A3802"/>
      <c r="B3802"/>
    </row>
    <row r="3803" spans="1:2" x14ac:dyDescent="0.25">
      <c r="A3803"/>
      <c r="B3803"/>
    </row>
    <row r="3804" spans="1:2" x14ac:dyDescent="0.25">
      <c r="A3804"/>
      <c r="B3804"/>
    </row>
    <row r="3805" spans="1:2" x14ac:dyDescent="0.25">
      <c r="A3805"/>
      <c r="B3805"/>
    </row>
    <row r="3806" spans="1:2" x14ac:dyDescent="0.25">
      <c r="A3806"/>
      <c r="B3806"/>
    </row>
    <row r="3807" spans="1:2" x14ac:dyDescent="0.25">
      <c r="A3807"/>
      <c r="B3807"/>
    </row>
    <row r="3808" spans="1:2" x14ac:dyDescent="0.25">
      <c r="A3808"/>
      <c r="B3808"/>
    </row>
    <row r="3809" spans="1:2" x14ac:dyDescent="0.25">
      <c r="A3809"/>
      <c r="B3809"/>
    </row>
    <row r="3810" spans="1:2" x14ac:dyDescent="0.25">
      <c r="A3810"/>
      <c r="B3810"/>
    </row>
    <row r="3811" spans="1:2" x14ac:dyDescent="0.25">
      <c r="A3811"/>
      <c r="B3811"/>
    </row>
    <row r="3812" spans="1:2" x14ac:dyDescent="0.25">
      <c r="A3812"/>
      <c r="B3812"/>
    </row>
    <row r="3813" spans="1:2" x14ac:dyDescent="0.25">
      <c r="A3813"/>
      <c r="B3813"/>
    </row>
    <row r="3814" spans="1:2" x14ac:dyDescent="0.25">
      <c r="A3814"/>
      <c r="B3814"/>
    </row>
    <row r="3815" spans="1:2" x14ac:dyDescent="0.25">
      <c r="A3815"/>
      <c r="B3815"/>
    </row>
    <row r="3816" spans="1:2" x14ac:dyDescent="0.25">
      <c r="A3816"/>
      <c r="B3816"/>
    </row>
    <row r="3817" spans="1:2" x14ac:dyDescent="0.25">
      <c r="A3817"/>
      <c r="B3817"/>
    </row>
    <row r="3818" spans="1:2" x14ac:dyDescent="0.25">
      <c r="A3818"/>
      <c r="B3818"/>
    </row>
    <row r="3819" spans="1:2" x14ac:dyDescent="0.25">
      <c r="A3819"/>
      <c r="B3819"/>
    </row>
    <row r="3820" spans="1:2" x14ac:dyDescent="0.25">
      <c r="A3820"/>
      <c r="B3820"/>
    </row>
    <row r="3821" spans="1:2" x14ac:dyDescent="0.25">
      <c r="A3821"/>
      <c r="B3821"/>
    </row>
    <row r="3822" spans="1:2" x14ac:dyDescent="0.25">
      <c r="A3822"/>
      <c r="B3822"/>
    </row>
    <row r="3823" spans="1:2" x14ac:dyDescent="0.25">
      <c r="A3823"/>
      <c r="B3823"/>
    </row>
    <row r="3824" spans="1:2" x14ac:dyDescent="0.25">
      <c r="A3824"/>
      <c r="B3824"/>
    </row>
    <row r="3825" spans="1:2" x14ac:dyDescent="0.25">
      <c r="A3825"/>
      <c r="B3825"/>
    </row>
    <row r="3826" spans="1:2" x14ac:dyDescent="0.25">
      <c r="A3826"/>
      <c r="B3826"/>
    </row>
    <row r="3827" spans="1:2" x14ac:dyDescent="0.25">
      <c r="A3827"/>
      <c r="B3827"/>
    </row>
    <row r="3828" spans="1:2" x14ac:dyDescent="0.25">
      <c r="A3828"/>
      <c r="B3828"/>
    </row>
    <row r="3829" spans="1:2" x14ac:dyDescent="0.25">
      <c r="A3829"/>
      <c r="B3829"/>
    </row>
    <row r="3830" spans="1:2" x14ac:dyDescent="0.25">
      <c r="A3830"/>
      <c r="B3830"/>
    </row>
    <row r="3831" spans="1:2" x14ac:dyDescent="0.25">
      <c r="A3831"/>
      <c r="B3831"/>
    </row>
    <row r="3832" spans="1:2" x14ac:dyDescent="0.25">
      <c r="A3832"/>
      <c r="B3832"/>
    </row>
    <row r="3833" spans="1:2" x14ac:dyDescent="0.25">
      <c r="A3833"/>
      <c r="B3833"/>
    </row>
    <row r="3834" spans="1:2" x14ac:dyDescent="0.25">
      <c r="A3834"/>
      <c r="B3834"/>
    </row>
    <row r="3835" spans="1:2" x14ac:dyDescent="0.25">
      <c r="A3835"/>
      <c r="B3835"/>
    </row>
    <row r="3836" spans="1:2" x14ac:dyDescent="0.25">
      <c r="A3836"/>
      <c r="B3836"/>
    </row>
    <row r="3837" spans="1:2" x14ac:dyDescent="0.25">
      <c r="A3837"/>
      <c r="B3837"/>
    </row>
    <row r="3838" spans="1:2" x14ac:dyDescent="0.25">
      <c r="A3838"/>
      <c r="B3838"/>
    </row>
    <row r="3839" spans="1:2" x14ac:dyDescent="0.25">
      <c r="A3839"/>
      <c r="B3839"/>
    </row>
    <row r="3840" spans="1:2" x14ac:dyDescent="0.25">
      <c r="A3840"/>
      <c r="B3840"/>
    </row>
    <row r="3841" spans="1:2" x14ac:dyDescent="0.25">
      <c r="A3841"/>
      <c r="B3841"/>
    </row>
    <row r="3842" spans="1:2" x14ac:dyDescent="0.25">
      <c r="A3842"/>
      <c r="B3842"/>
    </row>
    <row r="3843" spans="1:2" x14ac:dyDescent="0.25">
      <c r="A3843"/>
      <c r="B3843"/>
    </row>
    <row r="3844" spans="1:2" x14ac:dyDescent="0.25">
      <c r="A3844"/>
      <c r="B3844"/>
    </row>
    <row r="3845" spans="1:2" x14ac:dyDescent="0.25">
      <c r="A3845"/>
      <c r="B3845"/>
    </row>
    <row r="3846" spans="1:2" x14ac:dyDescent="0.25">
      <c r="A3846"/>
      <c r="B3846"/>
    </row>
    <row r="3847" spans="1:2" x14ac:dyDescent="0.25">
      <c r="A3847"/>
      <c r="B3847"/>
    </row>
    <row r="3848" spans="1:2" x14ac:dyDescent="0.25">
      <c r="A3848"/>
      <c r="B3848"/>
    </row>
    <row r="3849" spans="1:2" x14ac:dyDescent="0.25">
      <c r="A3849"/>
      <c r="B3849"/>
    </row>
    <row r="3850" spans="1:2" x14ac:dyDescent="0.25">
      <c r="A3850"/>
      <c r="B3850"/>
    </row>
    <row r="3851" spans="1:2" x14ac:dyDescent="0.25">
      <c r="A3851"/>
      <c r="B3851"/>
    </row>
    <row r="3852" spans="1:2" x14ac:dyDescent="0.25">
      <c r="A3852"/>
      <c r="B3852"/>
    </row>
    <row r="3853" spans="1:2" x14ac:dyDescent="0.25">
      <c r="A3853"/>
      <c r="B3853"/>
    </row>
    <row r="3854" spans="1:2" x14ac:dyDescent="0.25">
      <c r="A3854"/>
      <c r="B3854"/>
    </row>
    <row r="3855" spans="1:2" x14ac:dyDescent="0.25">
      <c r="A3855"/>
      <c r="B3855"/>
    </row>
    <row r="3856" spans="1:2" x14ac:dyDescent="0.25">
      <c r="A3856"/>
      <c r="B3856"/>
    </row>
    <row r="3857" spans="1:2" x14ac:dyDescent="0.25">
      <c r="A3857"/>
      <c r="B3857"/>
    </row>
    <row r="3858" spans="1:2" x14ac:dyDescent="0.25">
      <c r="A3858"/>
      <c r="B3858"/>
    </row>
    <row r="3859" spans="1:2" x14ac:dyDescent="0.25">
      <c r="A3859"/>
      <c r="B3859"/>
    </row>
    <row r="3860" spans="1:2" x14ac:dyDescent="0.25">
      <c r="A3860"/>
      <c r="B3860"/>
    </row>
    <row r="3861" spans="1:2" x14ac:dyDescent="0.25">
      <c r="A3861"/>
      <c r="B3861"/>
    </row>
    <row r="3862" spans="1:2" x14ac:dyDescent="0.25">
      <c r="A3862"/>
      <c r="B3862"/>
    </row>
    <row r="3863" spans="1:2" x14ac:dyDescent="0.25">
      <c r="A3863"/>
      <c r="B3863"/>
    </row>
    <row r="3864" spans="1:2" x14ac:dyDescent="0.25">
      <c r="A3864"/>
      <c r="B3864"/>
    </row>
    <row r="3865" spans="1:2" x14ac:dyDescent="0.25">
      <c r="A3865"/>
      <c r="B3865"/>
    </row>
    <row r="3866" spans="1:2" x14ac:dyDescent="0.25">
      <c r="A3866"/>
      <c r="B3866"/>
    </row>
    <row r="3867" spans="1:2" x14ac:dyDescent="0.25">
      <c r="A3867"/>
      <c r="B3867"/>
    </row>
    <row r="3868" spans="1:2" x14ac:dyDescent="0.25">
      <c r="A3868"/>
      <c r="B3868"/>
    </row>
    <row r="3869" spans="1:2" x14ac:dyDescent="0.25">
      <c r="A3869"/>
      <c r="B3869"/>
    </row>
    <row r="3870" spans="1:2" x14ac:dyDescent="0.25">
      <c r="A3870"/>
      <c r="B3870"/>
    </row>
    <row r="3871" spans="1:2" x14ac:dyDescent="0.25">
      <c r="A3871"/>
      <c r="B3871"/>
    </row>
    <row r="3872" spans="1:2" x14ac:dyDescent="0.25">
      <c r="A3872"/>
      <c r="B3872"/>
    </row>
    <row r="3873" spans="1:2" x14ac:dyDescent="0.25">
      <c r="A3873"/>
      <c r="B3873"/>
    </row>
    <row r="3874" spans="1:2" x14ac:dyDescent="0.25">
      <c r="A3874"/>
      <c r="B3874"/>
    </row>
    <row r="3875" spans="1:2" x14ac:dyDescent="0.25">
      <c r="A3875"/>
      <c r="B3875"/>
    </row>
    <row r="3876" spans="1:2" x14ac:dyDescent="0.25">
      <c r="A3876"/>
      <c r="B3876"/>
    </row>
    <row r="3877" spans="1:2" x14ac:dyDescent="0.25">
      <c r="A3877"/>
      <c r="B3877"/>
    </row>
    <row r="3878" spans="1:2" x14ac:dyDescent="0.25">
      <c r="A3878"/>
      <c r="B3878"/>
    </row>
    <row r="3879" spans="1:2" x14ac:dyDescent="0.25">
      <c r="A3879"/>
      <c r="B3879"/>
    </row>
    <row r="3880" spans="1:2" x14ac:dyDescent="0.25">
      <c r="A3880"/>
      <c r="B3880"/>
    </row>
    <row r="3881" spans="1:2" x14ac:dyDescent="0.25">
      <c r="A3881"/>
      <c r="B3881"/>
    </row>
    <row r="3882" spans="1:2" x14ac:dyDescent="0.25">
      <c r="A3882"/>
      <c r="B3882"/>
    </row>
    <row r="3883" spans="1:2" x14ac:dyDescent="0.25">
      <c r="A3883"/>
      <c r="B3883"/>
    </row>
    <row r="3884" spans="1:2" x14ac:dyDescent="0.25">
      <c r="A3884"/>
      <c r="B3884"/>
    </row>
    <row r="3885" spans="1:2" x14ac:dyDescent="0.25">
      <c r="A3885"/>
      <c r="B3885"/>
    </row>
    <row r="3886" spans="1:2" x14ac:dyDescent="0.25">
      <c r="A3886"/>
      <c r="B3886"/>
    </row>
    <row r="3887" spans="1:2" x14ac:dyDescent="0.25">
      <c r="A3887"/>
      <c r="B3887"/>
    </row>
    <row r="3888" spans="1:2" x14ac:dyDescent="0.25">
      <c r="A3888"/>
      <c r="B3888"/>
    </row>
    <row r="3889" spans="1:2" x14ac:dyDescent="0.25">
      <c r="A3889"/>
      <c r="B3889"/>
    </row>
    <row r="3890" spans="1:2" x14ac:dyDescent="0.25">
      <c r="A3890"/>
      <c r="B3890"/>
    </row>
    <row r="3891" spans="1:2" x14ac:dyDescent="0.25">
      <c r="A3891"/>
      <c r="B3891"/>
    </row>
    <row r="3892" spans="1:2" x14ac:dyDescent="0.25">
      <c r="A3892"/>
      <c r="B3892"/>
    </row>
    <row r="3893" spans="1:2" x14ac:dyDescent="0.25">
      <c r="A3893"/>
      <c r="B3893"/>
    </row>
    <row r="3894" spans="1:2" x14ac:dyDescent="0.25">
      <c r="A3894"/>
      <c r="B3894"/>
    </row>
    <row r="3895" spans="1:2" x14ac:dyDescent="0.25">
      <c r="A3895"/>
      <c r="B3895"/>
    </row>
    <row r="3896" spans="1:2" x14ac:dyDescent="0.25">
      <c r="A3896"/>
      <c r="B3896"/>
    </row>
    <row r="3897" spans="1:2" x14ac:dyDescent="0.25">
      <c r="A3897"/>
      <c r="B3897"/>
    </row>
    <row r="3898" spans="1:2" x14ac:dyDescent="0.25">
      <c r="A3898"/>
      <c r="B3898"/>
    </row>
    <row r="3899" spans="1:2" x14ac:dyDescent="0.25">
      <c r="A3899"/>
      <c r="B3899"/>
    </row>
    <row r="3900" spans="1:2" x14ac:dyDescent="0.25">
      <c r="A3900"/>
      <c r="B3900"/>
    </row>
    <row r="3901" spans="1:2" x14ac:dyDescent="0.25">
      <c r="A3901"/>
      <c r="B3901"/>
    </row>
    <row r="3902" spans="1:2" x14ac:dyDescent="0.25">
      <c r="A3902"/>
      <c r="B3902"/>
    </row>
    <row r="3903" spans="1:2" x14ac:dyDescent="0.25">
      <c r="A3903"/>
      <c r="B3903"/>
    </row>
    <row r="3904" spans="1:2" x14ac:dyDescent="0.25">
      <c r="A3904"/>
      <c r="B3904"/>
    </row>
    <row r="3905" spans="1:2" x14ac:dyDescent="0.25">
      <c r="A3905"/>
      <c r="B3905"/>
    </row>
    <row r="3906" spans="1:2" x14ac:dyDescent="0.25">
      <c r="A3906"/>
      <c r="B3906"/>
    </row>
    <row r="3907" spans="1:2" x14ac:dyDescent="0.25">
      <c r="A3907"/>
      <c r="B3907"/>
    </row>
    <row r="3908" spans="1:2" x14ac:dyDescent="0.25">
      <c r="A3908"/>
      <c r="B3908"/>
    </row>
    <row r="3909" spans="1:2" x14ac:dyDescent="0.25">
      <c r="A3909"/>
      <c r="B3909"/>
    </row>
    <row r="3910" spans="1:2" x14ac:dyDescent="0.25">
      <c r="A3910"/>
      <c r="B3910"/>
    </row>
    <row r="3911" spans="1:2" x14ac:dyDescent="0.25">
      <c r="A3911"/>
      <c r="B3911"/>
    </row>
    <row r="3912" spans="1:2" x14ac:dyDescent="0.25">
      <c r="A3912"/>
      <c r="B3912"/>
    </row>
    <row r="3913" spans="1:2" x14ac:dyDescent="0.25">
      <c r="A3913"/>
      <c r="B3913"/>
    </row>
    <row r="3914" spans="1:2" x14ac:dyDescent="0.25">
      <c r="A3914"/>
      <c r="B3914"/>
    </row>
    <row r="3915" spans="1:2" x14ac:dyDescent="0.25">
      <c r="A3915"/>
      <c r="B3915"/>
    </row>
    <row r="3916" spans="1:2" x14ac:dyDescent="0.25">
      <c r="A3916"/>
      <c r="B3916"/>
    </row>
    <row r="3917" spans="1:2" x14ac:dyDescent="0.25">
      <c r="A3917"/>
      <c r="B3917"/>
    </row>
    <row r="3918" spans="1:2" x14ac:dyDescent="0.25">
      <c r="A3918"/>
      <c r="B3918"/>
    </row>
    <row r="3919" spans="1:2" x14ac:dyDescent="0.25">
      <c r="A3919"/>
      <c r="B3919"/>
    </row>
    <row r="3920" spans="1:2" x14ac:dyDescent="0.25">
      <c r="A3920"/>
      <c r="B3920"/>
    </row>
    <row r="3921" spans="1:2" x14ac:dyDescent="0.25">
      <c r="A3921"/>
      <c r="B3921"/>
    </row>
    <row r="3922" spans="1:2" x14ac:dyDescent="0.25">
      <c r="A3922"/>
      <c r="B3922"/>
    </row>
    <row r="3923" spans="1:2" x14ac:dyDescent="0.25">
      <c r="A3923"/>
      <c r="B3923"/>
    </row>
    <row r="3924" spans="1:2" x14ac:dyDescent="0.25">
      <c r="A3924"/>
      <c r="B3924"/>
    </row>
    <row r="3925" spans="1:2" x14ac:dyDescent="0.25">
      <c r="A3925"/>
      <c r="B3925"/>
    </row>
    <row r="3926" spans="1:2" x14ac:dyDescent="0.25">
      <c r="A3926"/>
      <c r="B3926"/>
    </row>
    <row r="3927" spans="1:2" x14ac:dyDescent="0.25">
      <c r="A3927"/>
      <c r="B3927"/>
    </row>
    <row r="3928" spans="1:2" x14ac:dyDescent="0.25">
      <c r="A3928"/>
      <c r="B3928"/>
    </row>
    <row r="3929" spans="1:2" x14ac:dyDescent="0.25">
      <c r="A3929"/>
      <c r="B3929"/>
    </row>
    <row r="3930" spans="1:2" x14ac:dyDescent="0.25">
      <c r="A3930"/>
      <c r="B3930"/>
    </row>
    <row r="3931" spans="1:2" x14ac:dyDescent="0.25">
      <c r="A3931"/>
      <c r="B3931"/>
    </row>
    <row r="3932" spans="1:2" x14ac:dyDescent="0.25">
      <c r="A3932"/>
      <c r="B3932"/>
    </row>
    <row r="3933" spans="1:2" x14ac:dyDescent="0.25">
      <c r="A3933"/>
      <c r="B3933"/>
    </row>
    <row r="3934" spans="1:2" x14ac:dyDescent="0.25">
      <c r="A3934"/>
      <c r="B3934"/>
    </row>
    <row r="3935" spans="1:2" x14ac:dyDescent="0.25">
      <c r="A3935"/>
      <c r="B3935"/>
    </row>
    <row r="3936" spans="1:2" x14ac:dyDescent="0.25">
      <c r="A3936"/>
      <c r="B3936"/>
    </row>
    <row r="3937" spans="1:2" x14ac:dyDescent="0.25">
      <c r="A3937"/>
      <c r="B3937"/>
    </row>
    <row r="3938" spans="1:2" x14ac:dyDescent="0.25">
      <c r="A3938"/>
      <c r="B3938"/>
    </row>
    <row r="3939" spans="1:2" x14ac:dyDescent="0.25">
      <c r="A3939"/>
      <c r="B3939"/>
    </row>
    <row r="3940" spans="1:2" x14ac:dyDescent="0.25">
      <c r="A3940"/>
      <c r="B3940"/>
    </row>
    <row r="3941" spans="1:2" x14ac:dyDescent="0.25">
      <c r="A3941"/>
      <c r="B3941"/>
    </row>
    <row r="3942" spans="1:2" x14ac:dyDescent="0.25">
      <c r="A3942"/>
      <c r="B3942"/>
    </row>
    <row r="3943" spans="1:2" x14ac:dyDescent="0.25">
      <c r="A3943"/>
      <c r="B3943"/>
    </row>
    <row r="3944" spans="1:2" x14ac:dyDescent="0.25">
      <c r="A3944"/>
      <c r="B3944"/>
    </row>
    <row r="3945" spans="1:2" x14ac:dyDescent="0.25">
      <c r="A3945"/>
      <c r="B3945"/>
    </row>
    <row r="3946" spans="1:2" x14ac:dyDescent="0.25">
      <c r="A3946"/>
      <c r="B3946"/>
    </row>
    <row r="3947" spans="1:2" x14ac:dyDescent="0.25">
      <c r="A3947"/>
      <c r="B3947"/>
    </row>
    <row r="3948" spans="1:2" x14ac:dyDescent="0.25">
      <c r="A3948"/>
      <c r="B3948"/>
    </row>
    <row r="3949" spans="1:2" x14ac:dyDescent="0.25">
      <c r="A3949"/>
      <c r="B3949"/>
    </row>
    <row r="3950" spans="1:2" x14ac:dyDescent="0.25">
      <c r="A3950"/>
      <c r="B3950"/>
    </row>
    <row r="3951" spans="1:2" x14ac:dyDescent="0.25">
      <c r="A3951"/>
      <c r="B3951"/>
    </row>
    <row r="3952" spans="1:2" x14ac:dyDescent="0.25">
      <c r="A3952"/>
      <c r="B3952"/>
    </row>
    <row r="3953" spans="1:2" x14ac:dyDescent="0.25">
      <c r="A3953"/>
      <c r="B3953"/>
    </row>
    <row r="3954" spans="1:2" x14ac:dyDescent="0.25">
      <c r="A3954"/>
      <c r="B3954"/>
    </row>
    <row r="3955" spans="1:2" x14ac:dyDescent="0.25">
      <c r="A3955"/>
      <c r="B3955"/>
    </row>
    <row r="3956" spans="1:2" x14ac:dyDescent="0.25">
      <c r="A3956"/>
      <c r="B3956"/>
    </row>
    <row r="3957" spans="1:2" x14ac:dyDescent="0.25">
      <c r="A3957"/>
      <c r="B3957"/>
    </row>
    <row r="3958" spans="1:2" x14ac:dyDescent="0.25">
      <c r="A3958"/>
      <c r="B3958"/>
    </row>
    <row r="3959" spans="1:2" x14ac:dyDescent="0.25">
      <c r="A3959"/>
      <c r="B3959"/>
    </row>
    <row r="3960" spans="1:2" x14ac:dyDescent="0.25">
      <c r="A3960"/>
      <c r="B3960"/>
    </row>
    <row r="3961" spans="1:2" x14ac:dyDescent="0.25">
      <c r="A3961"/>
      <c r="B3961"/>
    </row>
    <row r="3962" spans="1:2" x14ac:dyDescent="0.25">
      <c r="A3962"/>
      <c r="B3962"/>
    </row>
    <row r="3963" spans="1:2" x14ac:dyDescent="0.25">
      <c r="A3963"/>
      <c r="B3963"/>
    </row>
    <row r="3964" spans="1:2" x14ac:dyDescent="0.25">
      <c r="A3964"/>
      <c r="B3964"/>
    </row>
    <row r="3965" spans="1:2" x14ac:dyDescent="0.25">
      <c r="A3965"/>
      <c r="B3965"/>
    </row>
    <row r="3966" spans="1:2" x14ac:dyDescent="0.25">
      <c r="A3966"/>
      <c r="B3966"/>
    </row>
    <row r="3967" spans="1:2" x14ac:dyDescent="0.25">
      <c r="A3967"/>
      <c r="B3967"/>
    </row>
    <row r="3968" spans="1:2" x14ac:dyDescent="0.25">
      <c r="A3968"/>
      <c r="B3968"/>
    </row>
    <row r="3969" spans="1:2" x14ac:dyDescent="0.25">
      <c r="A3969"/>
      <c r="B3969"/>
    </row>
    <row r="3970" spans="1:2" x14ac:dyDescent="0.25">
      <c r="A3970"/>
      <c r="B3970"/>
    </row>
    <row r="3971" spans="1:2" x14ac:dyDescent="0.25">
      <c r="A3971"/>
      <c r="B3971"/>
    </row>
    <row r="3972" spans="1:2" x14ac:dyDescent="0.25">
      <c r="A3972"/>
      <c r="B3972"/>
    </row>
    <row r="3973" spans="1:2" x14ac:dyDescent="0.25">
      <c r="A3973"/>
      <c r="B3973"/>
    </row>
    <row r="3974" spans="1:2" x14ac:dyDescent="0.25">
      <c r="A3974"/>
      <c r="B3974"/>
    </row>
    <row r="3975" spans="1:2" x14ac:dyDescent="0.25">
      <c r="A3975"/>
      <c r="B3975"/>
    </row>
    <row r="3976" spans="1:2" x14ac:dyDescent="0.25">
      <c r="A3976"/>
      <c r="B3976"/>
    </row>
    <row r="3977" spans="1:2" x14ac:dyDescent="0.25">
      <c r="A3977"/>
      <c r="B3977"/>
    </row>
    <row r="3978" spans="1:2" x14ac:dyDescent="0.25">
      <c r="A3978"/>
      <c r="B3978"/>
    </row>
    <row r="3979" spans="1:2" x14ac:dyDescent="0.25">
      <c r="A3979"/>
      <c r="B3979"/>
    </row>
    <row r="3980" spans="1:2" x14ac:dyDescent="0.25">
      <c r="A3980"/>
      <c r="B3980"/>
    </row>
    <row r="3981" spans="1:2" x14ac:dyDescent="0.25">
      <c r="A3981"/>
      <c r="B3981"/>
    </row>
    <row r="3982" spans="1:2" x14ac:dyDescent="0.25">
      <c r="A3982"/>
      <c r="B3982"/>
    </row>
    <row r="3983" spans="1:2" x14ac:dyDescent="0.25">
      <c r="A3983"/>
      <c r="B3983"/>
    </row>
    <row r="3984" spans="1:2" x14ac:dyDescent="0.25">
      <c r="A3984"/>
      <c r="B3984"/>
    </row>
    <row r="3985" spans="1:2" x14ac:dyDescent="0.25">
      <c r="A3985"/>
      <c r="B3985"/>
    </row>
    <row r="3986" spans="1:2" x14ac:dyDescent="0.25">
      <c r="A3986"/>
      <c r="B3986"/>
    </row>
    <row r="3987" spans="1:2" x14ac:dyDescent="0.25">
      <c r="A3987"/>
      <c r="B3987"/>
    </row>
    <row r="3988" spans="1:2" x14ac:dyDescent="0.25">
      <c r="A3988"/>
      <c r="B3988"/>
    </row>
    <row r="3989" spans="1:2" x14ac:dyDescent="0.25">
      <c r="A3989"/>
      <c r="B3989"/>
    </row>
    <row r="3990" spans="1:2" x14ac:dyDescent="0.25">
      <c r="A3990"/>
      <c r="B3990"/>
    </row>
    <row r="3991" spans="1:2" x14ac:dyDescent="0.25">
      <c r="A3991"/>
      <c r="B3991"/>
    </row>
    <row r="3992" spans="1:2" x14ac:dyDescent="0.25">
      <c r="A3992"/>
      <c r="B3992"/>
    </row>
    <row r="3993" spans="1:2" x14ac:dyDescent="0.25">
      <c r="A3993"/>
      <c r="B3993"/>
    </row>
    <row r="3994" spans="1:2" x14ac:dyDescent="0.25">
      <c r="A3994"/>
      <c r="B3994"/>
    </row>
    <row r="3995" spans="1:2" x14ac:dyDescent="0.25">
      <c r="A3995"/>
      <c r="B3995"/>
    </row>
    <row r="3996" spans="1:2" x14ac:dyDescent="0.25">
      <c r="A3996"/>
      <c r="B3996"/>
    </row>
    <row r="3997" spans="1:2" x14ac:dyDescent="0.25">
      <c r="A3997"/>
      <c r="B3997"/>
    </row>
    <row r="3998" spans="1:2" x14ac:dyDescent="0.25">
      <c r="A3998"/>
      <c r="B3998"/>
    </row>
    <row r="3999" spans="1:2" x14ac:dyDescent="0.25">
      <c r="A3999"/>
      <c r="B3999"/>
    </row>
    <row r="4000" spans="1:2" x14ac:dyDescent="0.25">
      <c r="A4000"/>
      <c r="B4000"/>
    </row>
    <row r="4001" spans="1:2" x14ac:dyDescent="0.25">
      <c r="A4001"/>
      <c r="B4001"/>
    </row>
    <row r="4002" spans="1:2" x14ac:dyDescent="0.25">
      <c r="A4002"/>
      <c r="B4002"/>
    </row>
    <row r="4003" spans="1:2" x14ac:dyDescent="0.25">
      <c r="A4003"/>
      <c r="B4003"/>
    </row>
    <row r="4004" spans="1:2" x14ac:dyDescent="0.25">
      <c r="A4004"/>
      <c r="B4004"/>
    </row>
    <row r="4005" spans="1:2" x14ac:dyDescent="0.25">
      <c r="A4005"/>
      <c r="B4005"/>
    </row>
    <row r="4006" spans="1:2" x14ac:dyDescent="0.25">
      <c r="A4006"/>
      <c r="B4006"/>
    </row>
    <row r="4007" spans="1:2" x14ac:dyDescent="0.25">
      <c r="A4007"/>
      <c r="B4007"/>
    </row>
    <row r="4008" spans="1:2" x14ac:dyDescent="0.25">
      <c r="A4008"/>
      <c r="B4008"/>
    </row>
    <row r="4009" spans="1:2" x14ac:dyDescent="0.25">
      <c r="A4009"/>
      <c r="B4009"/>
    </row>
    <row r="4010" spans="1:2" x14ac:dyDescent="0.25">
      <c r="A4010"/>
      <c r="B4010"/>
    </row>
    <row r="4011" spans="1:2" x14ac:dyDescent="0.25">
      <c r="A4011"/>
      <c r="B4011"/>
    </row>
    <row r="4012" spans="1:2" x14ac:dyDescent="0.25">
      <c r="A4012"/>
      <c r="B4012"/>
    </row>
    <row r="4013" spans="1:2" x14ac:dyDescent="0.25">
      <c r="A4013"/>
      <c r="B4013"/>
    </row>
    <row r="4014" spans="1:2" x14ac:dyDescent="0.25">
      <c r="A4014"/>
      <c r="B4014"/>
    </row>
    <row r="4015" spans="1:2" x14ac:dyDescent="0.25">
      <c r="A4015"/>
      <c r="B4015"/>
    </row>
    <row r="4016" spans="1:2" x14ac:dyDescent="0.25">
      <c r="A4016"/>
      <c r="B4016"/>
    </row>
    <row r="4017" spans="1:2" x14ac:dyDescent="0.25">
      <c r="A4017"/>
      <c r="B4017"/>
    </row>
    <row r="4018" spans="1:2" x14ac:dyDescent="0.25">
      <c r="A4018"/>
      <c r="B4018"/>
    </row>
    <row r="4019" spans="1:2" x14ac:dyDescent="0.25">
      <c r="A4019"/>
      <c r="B4019"/>
    </row>
    <row r="4020" spans="1:2" x14ac:dyDescent="0.25">
      <c r="A4020"/>
      <c r="B4020"/>
    </row>
    <row r="4021" spans="1:2" x14ac:dyDescent="0.25">
      <c r="A4021"/>
      <c r="B4021"/>
    </row>
    <row r="4022" spans="1:2" x14ac:dyDescent="0.25">
      <c r="A4022"/>
      <c r="B4022"/>
    </row>
    <row r="4023" spans="1:2" x14ac:dyDescent="0.25">
      <c r="A4023"/>
      <c r="B4023"/>
    </row>
    <row r="4024" spans="1:2" x14ac:dyDescent="0.25">
      <c r="A4024"/>
      <c r="B4024"/>
    </row>
    <row r="4025" spans="1:2" x14ac:dyDescent="0.25">
      <c r="A4025"/>
      <c r="B4025"/>
    </row>
    <row r="4026" spans="1:2" x14ac:dyDescent="0.25">
      <c r="A4026"/>
      <c r="B4026"/>
    </row>
    <row r="4027" spans="1:2" x14ac:dyDescent="0.25">
      <c r="A4027"/>
      <c r="B4027"/>
    </row>
    <row r="4028" spans="1:2" x14ac:dyDescent="0.25">
      <c r="A4028"/>
      <c r="B4028"/>
    </row>
    <row r="4029" spans="1:2" x14ac:dyDescent="0.25">
      <c r="A4029"/>
      <c r="B4029"/>
    </row>
    <row r="4030" spans="1:2" x14ac:dyDescent="0.25">
      <c r="A4030"/>
      <c r="B4030"/>
    </row>
    <row r="4031" spans="1:2" x14ac:dyDescent="0.25">
      <c r="A4031"/>
      <c r="B4031"/>
    </row>
    <row r="4032" spans="1:2" x14ac:dyDescent="0.25">
      <c r="A4032"/>
      <c r="B4032"/>
    </row>
    <row r="4033" spans="1:2" x14ac:dyDescent="0.25">
      <c r="A4033"/>
      <c r="B4033"/>
    </row>
    <row r="4034" spans="1:2" x14ac:dyDescent="0.25">
      <c r="A4034"/>
      <c r="B4034"/>
    </row>
    <row r="4035" spans="1:2" x14ac:dyDescent="0.25">
      <c r="A4035"/>
      <c r="B4035"/>
    </row>
    <row r="4036" spans="1:2" x14ac:dyDescent="0.25">
      <c r="A4036"/>
      <c r="B4036"/>
    </row>
    <row r="4037" spans="1:2" x14ac:dyDescent="0.25">
      <c r="A4037"/>
      <c r="B4037"/>
    </row>
    <row r="4038" spans="1:2" x14ac:dyDescent="0.25">
      <c r="A4038"/>
      <c r="B4038"/>
    </row>
    <row r="4039" spans="1:2" x14ac:dyDescent="0.25">
      <c r="A4039"/>
      <c r="B4039"/>
    </row>
    <row r="4040" spans="1:2" x14ac:dyDescent="0.25">
      <c r="A4040"/>
      <c r="B4040"/>
    </row>
    <row r="4041" spans="1:2" x14ac:dyDescent="0.25">
      <c r="A4041"/>
      <c r="B4041"/>
    </row>
    <row r="4042" spans="1:2" x14ac:dyDescent="0.25">
      <c r="A4042"/>
      <c r="B4042"/>
    </row>
    <row r="4043" spans="1:2" x14ac:dyDescent="0.25">
      <c r="A4043"/>
      <c r="B4043"/>
    </row>
    <row r="4044" spans="1:2" x14ac:dyDescent="0.25">
      <c r="A4044"/>
      <c r="B4044"/>
    </row>
    <row r="4045" spans="1:2" x14ac:dyDescent="0.25">
      <c r="A4045"/>
      <c r="B4045"/>
    </row>
    <row r="4046" spans="1:2" x14ac:dyDescent="0.25">
      <c r="A4046"/>
      <c r="B4046"/>
    </row>
    <row r="4047" spans="1:2" x14ac:dyDescent="0.25">
      <c r="A4047"/>
      <c r="B4047"/>
    </row>
    <row r="4048" spans="1:2" x14ac:dyDescent="0.25">
      <c r="A4048"/>
      <c r="B4048"/>
    </row>
    <row r="4049" spans="1:2" x14ac:dyDescent="0.25">
      <c r="A4049"/>
      <c r="B4049"/>
    </row>
    <row r="4050" spans="1:2" x14ac:dyDescent="0.25">
      <c r="A4050"/>
      <c r="B4050"/>
    </row>
    <row r="4051" spans="1:2" x14ac:dyDescent="0.25">
      <c r="A4051"/>
      <c r="B4051"/>
    </row>
    <row r="4052" spans="1:2" x14ac:dyDescent="0.25">
      <c r="A4052"/>
      <c r="B4052"/>
    </row>
    <row r="4053" spans="1:2" x14ac:dyDescent="0.25">
      <c r="A4053"/>
      <c r="B4053"/>
    </row>
    <row r="4054" spans="1:2" x14ac:dyDescent="0.25">
      <c r="A4054"/>
      <c r="B4054"/>
    </row>
    <row r="4055" spans="1:2" x14ac:dyDescent="0.25">
      <c r="A4055"/>
      <c r="B4055"/>
    </row>
    <row r="4056" spans="1:2" x14ac:dyDescent="0.25">
      <c r="A4056"/>
      <c r="B4056"/>
    </row>
    <row r="4057" spans="1:2" x14ac:dyDescent="0.25">
      <c r="A4057"/>
      <c r="B4057"/>
    </row>
    <row r="4058" spans="1:2" x14ac:dyDescent="0.25">
      <c r="A4058"/>
      <c r="B4058"/>
    </row>
    <row r="4059" spans="1:2" x14ac:dyDescent="0.25">
      <c r="A4059"/>
      <c r="B4059"/>
    </row>
    <row r="4060" spans="1:2" x14ac:dyDescent="0.25">
      <c r="A4060"/>
      <c r="B4060"/>
    </row>
    <row r="4061" spans="1:2" x14ac:dyDescent="0.25">
      <c r="A4061"/>
      <c r="B4061"/>
    </row>
    <row r="4062" spans="1:2" x14ac:dyDescent="0.25">
      <c r="A4062"/>
      <c r="B4062"/>
    </row>
    <row r="4063" spans="1:2" x14ac:dyDescent="0.25">
      <c r="A4063"/>
      <c r="B4063"/>
    </row>
    <row r="4064" spans="1:2" x14ac:dyDescent="0.25">
      <c r="A4064"/>
      <c r="B4064"/>
    </row>
    <row r="4065" spans="1:2" x14ac:dyDescent="0.25">
      <c r="A4065"/>
      <c r="B4065"/>
    </row>
    <row r="4066" spans="1:2" x14ac:dyDescent="0.25">
      <c r="A4066"/>
      <c r="B4066"/>
    </row>
    <row r="4067" spans="1:2" x14ac:dyDescent="0.25">
      <c r="A4067"/>
      <c r="B4067"/>
    </row>
    <row r="4068" spans="1:2" x14ac:dyDescent="0.25">
      <c r="A4068"/>
      <c r="B4068"/>
    </row>
    <row r="4069" spans="1:2" x14ac:dyDescent="0.25">
      <c r="A4069"/>
      <c r="B4069"/>
    </row>
    <row r="4070" spans="1:2" x14ac:dyDescent="0.25">
      <c r="A4070"/>
      <c r="B4070"/>
    </row>
    <row r="4071" spans="1:2" x14ac:dyDescent="0.25">
      <c r="A4071"/>
      <c r="B4071"/>
    </row>
    <row r="4072" spans="1:2" x14ac:dyDescent="0.25">
      <c r="A4072"/>
      <c r="B4072"/>
    </row>
    <row r="4073" spans="1:2" x14ac:dyDescent="0.25">
      <c r="A4073"/>
      <c r="B4073"/>
    </row>
    <row r="4074" spans="1:2" x14ac:dyDescent="0.25">
      <c r="A4074"/>
      <c r="B4074"/>
    </row>
    <row r="4075" spans="1:2" x14ac:dyDescent="0.25">
      <c r="A4075"/>
      <c r="B4075"/>
    </row>
    <row r="4076" spans="1:2" x14ac:dyDescent="0.25">
      <c r="A4076"/>
      <c r="B4076"/>
    </row>
    <row r="4077" spans="1:2" x14ac:dyDescent="0.25">
      <c r="A4077"/>
      <c r="B4077"/>
    </row>
    <row r="4078" spans="1:2" x14ac:dyDescent="0.25">
      <c r="A4078"/>
      <c r="B4078"/>
    </row>
    <row r="4079" spans="1:2" x14ac:dyDescent="0.25">
      <c r="A4079"/>
      <c r="B4079"/>
    </row>
    <row r="4080" spans="1:2" x14ac:dyDescent="0.25">
      <c r="A4080"/>
      <c r="B4080"/>
    </row>
    <row r="4081" spans="1:2" x14ac:dyDescent="0.25">
      <c r="A4081"/>
      <c r="B4081"/>
    </row>
    <row r="4082" spans="1:2" x14ac:dyDescent="0.25">
      <c r="A4082"/>
      <c r="B4082"/>
    </row>
    <row r="4083" spans="1:2" x14ac:dyDescent="0.25">
      <c r="A4083"/>
      <c r="B4083"/>
    </row>
    <row r="4084" spans="1:2" x14ac:dyDescent="0.25">
      <c r="A4084"/>
      <c r="B4084"/>
    </row>
    <row r="4085" spans="1:2" x14ac:dyDescent="0.25">
      <c r="A4085"/>
      <c r="B4085"/>
    </row>
    <row r="4086" spans="1:2" x14ac:dyDescent="0.25">
      <c r="A4086"/>
      <c r="B4086"/>
    </row>
    <row r="4087" spans="1:2" x14ac:dyDescent="0.25">
      <c r="A4087"/>
      <c r="B4087"/>
    </row>
    <row r="4088" spans="1:2" x14ac:dyDescent="0.25">
      <c r="A4088"/>
      <c r="B4088"/>
    </row>
    <row r="4089" spans="1:2" x14ac:dyDescent="0.25">
      <c r="A4089"/>
      <c r="B4089"/>
    </row>
    <row r="4090" spans="1:2" x14ac:dyDescent="0.25">
      <c r="A4090"/>
      <c r="B4090"/>
    </row>
    <row r="4091" spans="1:2" x14ac:dyDescent="0.25">
      <c r="A4091"/>
      <c r="B4091"/>
    </row>
    <row r="4092" spans="1:2" x14ac:dyDescent="0.25">
      <c r="A4092"/>
      <c r="B4092"/>
    </row>
    <row r="4093" spans="1:2" x14ac:dyDescent="0.25">
      <c r="A4093"/>
      <c r="B4093"/>
    </row>
    <row r="4094" spans="1:2" x14ac:dyDescent="0.25">
      <c r="A4094"/>
      <c r="B4094"/>
    </row>
    <row r="4095" spans="1:2" x14ac:dyDescent="0.25">
      <c r="A4095"/>
      <c r="B4095"/>
    </row>
    <row r="4096" spans="1:2" x14ac:dyDescent="0.25">
      <c r="A4096"/>
      <c r="B4096"/>
    </row>
    <row r="4097" spans="1:2" x14ac:dyDescent="0.25">
      <c r="A4097"/>
      <c r="B4097"/>
    </row>
    <row r="4098" spans="1:2" x14ac:dyDescent="0.25">
      <c r="A4098"/>
      <c r="B4098"/>
    </row>
    <row r="4099" spans="1:2" x14ac:dyDescent="0.25">
      <c r="A4099"/>
      <c r="B4099"/>
    </row>
    <row r="4100" spans="1:2" x14ac:dyDescent="0.25">
      <c r="A4100"/>
      <c r="B4100"/>
    </row>
    <row r="4101" spans="1:2" x14ac:dyDescent="0.25">
      <c r="A4101"/>
      <c r="B4101"/>
    </row>
    <row r="4102" spans="1:2" x14ac:dyDescent="0.25">
      <c r="A4102"/>
      <c r="B4102"/>
    </row>
    <row r="4103" spans="1:2" x14ac:dyDescent="0.25">
      <c r="A4103"/>
      <c r="B4103"/>
    </row>
    <row r="4104" spans="1:2" x14ac:dyDescent="0.25">
      <c r="A4104"/>
      <c r="B4104"/>
    </row>
    <row r="4105" spans="1:2" x14ac:dyDescent="0.25">
      <c r="A4105"/>
      <c r="B4105"/>
    </row>
    <row r="4106" spans="1:2" x14ac:dyDescent="0.25">
      <c r="A4106"/>
      <c r="B4106"/>
    </row>
    <row r="4107" spans="1:2" x14ac:dyDescent="0.25">
      <c r="A4107"/>
      <c r="B4107"/>
    </row>
    <row r="4108" spans="1:2" x14ac:dyDescent="0.25">
      <c r="A4108"/>
      <c r="B4108"/>
    </row>
    <row r="4109" spans="1:2" x14ac:dyDescent="0.25">
      <c r="A4109"/>
      <c r="B4109"/>
    </row>
    <row r="4110" spans="1:2" x14ac:dyDescent="0.25">
      <c r="A4110"/>
      <c r="B4110"/>
    </row>
    <row r="4111" spans="1:2" x14ac:dyDescent="0.25">
      <c r="A4111"/>
      <c r="B4111"/>
    </row>
    <row r="4112" spans="1:2" x14ac:dyDescent="0.25">
      <c r="A4112"/>
      <c r="B4112"/>
    </row>
    <row r="4113" spans="1:2" x14ac:dyDescent="0.25">
      <c r="A4113"/>
      <c r="B4113"/>
    </row>
    <row r="4114" spans="1:2" x14ac:dyDescent="0.25">
      <c r="A4114"/>
      <c r="B4114"/>
    </row>
    <row r="4115" spans="1:2" x14ac:dyDescent="0.25">
      <c r="A4115"/>
      <c r="B4115"/>
    </row>
    <row r="4116" spans="1:2" x14ac:dyDescent="0.25">
      <c r="A4116"/>
      <c r="B4116"/>
    </row>
    <row r="4117" spans="1:2" x14ac:dyDescent="0.25">
      <c r="A4117"/>
      <c r="B4117"/>
    </row>
    <row r="4118" spans="1:2" x14ac:dyDescent="0.25">
      <c r="A4118"/>
      <c r="B4118"/>
    </row>
    <row r="4119" spans="1:2" x14ac:dyDescent="0.25">
      <c r="A4119"/>
      <c r="B4119"/>
    </row>
    <row r="4120" spans="1:2" x14ac:dyDescent="0.25">
      <c r="A4120"/>
      <c r="B4120"/>
    </row>
    <row r="4121" spans="1:2" x14ac:dyDescent="0.25">
      <c r="A4121"/>
      <c r="B4121"/>
    </row>
    <row r="4122" spans="1:2" x14ac:dyDescent="0.25">
      <c r="A4122"/>
      <c r="B4122"/>
    </row>
    <row r="4123" spans="1:2" x14ac:dyDescent="0.25">
      <c r="A4123"/>
      <c r="B4123"/>
    </row>
    <row r="4124" spans="1:2" x14ac:dyDescent="0.25">
      <c r="A4124"/>
      <c r="B4124"/>
    </row>
    <row r="4125" spans="1:2" x14ac:dyDescent="0.25">
      <c r="A4125"/>
      <c r="B4125"/>
    </row>
    <row r="4126" spans="1:2" x14ac:dyDescent="0.25">
      <c r="A4126"/>
      <c r="B4126"/>
    </row>
    <row r="4127" spans="1:2" x14ac:dyDescent="0.25">
      <c r="A4127"/>
      <c r="B4127"/>
    </row>
    <row r="4128" spans="1:2" x14ac:dyDescent="0.25">
      <c r="A4128"/>
      <c r="B4128"/>
    </row>
    <row r="4129" spans="1:2" x14ac:dyDescent="0.25">
      <c r="A4129"/>
      <c r="B4129"/>
    </row>
    <row r="4130" spans="1:2" x14ac:dyDescent="0.25">
      <c r="A4130"/>
      <c r="B4130"/>
    </row>
    <row r="4131" spans="1:2" x14ac:dyDescent="0.25">
      <c r="A4131"/>
      <c r="B4131"/>
    </row>
    <row r="4132" spans="1:2" x14ac:dyDescent="0.25">
      <c r="A4132"/>
      <c r="B4132"/>
    </row>
    <row r="4133" spans="1:2" x14ac:dyDescent="0.25">
      <c r="A4133"/>
      <c r="B4133"/>
    </row>
    <row r="4134" spans="1:2" x14ac:dyDescent="0.25">
      <c r="A4134"/>
      <c r="B4134"/>
    </row>
    <row r="4135" spans="1:2" x14ac:dyDescent="0.25">
      <c r="A4135"/>
      <c r="B4135"/>
    </row>
    <row r="4136" spans="1:2" x14ac:dyDescent="0.25">
      <c r="A4136"/>
      <c r="B4136"/>
    </row>
    <row r="4137" spans="1:2" x14ac:dyDescent="0.25">
      <c r="A4137"/>
      <c r="B4137"/>
    </row>
    <row r="4138" spans="1:2" x14ac:dyDescent="0.25">
      <c r="A4138"/>
      <c r="B4138"/>
    </row>
    <row r="4139" spans="1:2" x14ac:dyDescent="0.25">
      <c r="A4139"/>
      <c r="B4139"/>
    </row>
    <row r="4140" spans="1:2" x14ac:dyDescent="0.25">
      <c r="A4140"/>
      <c r="B4140"/>
    </row>
    <row r="4141" spans="1:2" x14ac:dyDescent="0.25">
      <c r="A4141"/>
      <c r="B4141"/>
    </row>
    <row r="4142" spans="1:2" x14ac:dyDescent="0.25">
      <c r="A4142"/>
      <c r="B4142"/>
    </row>
    <row r="4143" spans="1:2" x14ac:dyDescent="0.25">
      <c r="A4143"/>
      <c r="B4143"/>
    </row>
    <row r="4144" spans="1:2" x14ac:dyDescent="0.25">
      <c r="A4144"/>
      <c r="B4144"/>
    </row>
    <row r="4145" spans="1:2" x14ac:dyDescent="0.25">
      <c r="A4145"/>
      <c r="B4145"/>
    </row>
    <row r="4146" spans="1:2" x14ac:dyDescent="0.25">
      <c r="A4146"/>
      <c r="B4146"/>
    </row>
    <row r="4147" spans="1:2" x14ac:dyDescent="0.25">
      <c r="A4147"/>
      <c r="B4147"/>
    </row>
    <row r="4148" spans="1:2" x14ac:dyDescent="0.25">
      <c r="A4148"/>
      <c r="B4148"/>
    </row>
    <row r="4149" spans="1:2" x14ac:dyDescent="0.25">
      <c r="A4149"/>
      <c r="B4149"/>
    </row>
    <row r="4150" spans="1:2" x14ac:dyDescent="0.25">
      <c r="A4150"/>
      <c r="B4150"/>
    </row>
    <row r="4151" spans="1:2" x14ac:dyDescent="0.25">
      <c r="A4151"/>
      <c r="B4151"/>
    </row>
    <row r="4152" spans="1:2" x14ac:dyDescent="0.25">
      <c r="A4152"/>
      <c r="B4152"/>
    </row>
    <row r="4153" spans="1:2" x14ac:dyDescent="0.25">
      <c r="A4153"/>
      <c r="B4153"/>
    </row>
    <row r="4154" spans="1:2" x14ac:dyDescent="0.25">
      <c r="A4154"/>
      <c r="B4154"/>
    </row>
    <row r="4155" spans="1:2" x14ac:dyDescent="0.25">
      <c r="A4155"/>
      <c r="B4155"/>
    </row>
    <row r="4156" spans="1:2" x14ac:dyDescent="0.25">
      <c r="A4156"/>
      <c r="B4156"/>
    </row>
    <row r="4157" spans="1:2" x14ac:dyDescent="0.25">
      <c r="A4157"/>
      <c r="B4157"/>
    </row>
    <row r="4158" spans="1:2" x14ac:dyDescent="0.25">
      <c r="A4158"/>
      <c r="B4158"/>
    </row>
    <row r="4159" spans="1:2" x14ac:dyDescent="0.25">
      <c r="A4159"/>
      <c r="B4159"/>
    </row>
    <row r="4160" spans="1:2" x14ac:dyDescent="0.25">
      <c r="A4160"/>
      <c r="B4160"/>
    </row>
    <row r="4161" spans="1:2" x14ac:dyDescent="0.25">
      <c r="A4161"/>
      <c r="B4161"/>
    </row>
    <row r="4162" spans="1:2" x14ac:dyDescent="0.25">
      <c r="A4162"/>
      <c r="B4162"/>
    </row>
    <row r="4163" spans="1:2" x14ac:dyDescent="0.25">
      <c r="A4163"/>
      <c r="B4163"/>
    </row>
    <row r="4164" spans="1:2" x14ac:dyDescent="0.25">
      <c r="A4164"/>
      <c r="B4164"/>
    </row>
    <row r="4165" spans="1:2" x14ac:dyDescent="0.25">
      <c r="A4165"/>
      <c r="B4165"/>
    </row>
    <row r="4166" spans="1:2" x14ac:dyDescent="0.25">
      <c r="A4166"/>
      <c r="B4166"/>
    </row>
    <row r="4167" spans="1:2" x14ac:dyDescent="0.25">
      <c r="A4167"/>
      <c r="B4167"/>
    </row>
    <row r="4168" spans="1:2" x14ac:dyDescent="0.25">
      <c r="A4168"/>
      <c r="B4168"/>
    </row>
    <row r="4169" spans="1:2" x14ac:dyDescent="0.25">
      <c r="A4169"/>
      <c r="B4169"/>
    </row>
    <row r="4170" spans="1:2" x14ac:dyDescent="0.25">
      <c r="A4170"/>
      <c r="B4170"/>
    </row>
    <row r="4171" spans="1:2" x14ac:dyDescent="0.25">
      <c r="A4171"/>
      <c r="B4171"/>
    </row>
    <row r="4172" spans="1:2" x14ac:dyDescent="0.25">
      <c r="A4172"/>
      <c r="B4172"/>
    </row>
    <row r="4173" spans="1:2" x14ac:dyDescent="0.25">
      <c r="A4173"/>
      <c r="B4173"/>
    </row>
    <row r="4174" spans="1:2" x14ac:dyDescent="0.25">
      <c r="A4174"/>
      <c r="B4174"/>
    </row>
    <row r="4175" spans="1:2" x14ac:dyDescent="0.25">
      <c r="A4175"/>
      <c r="B4175"/>
    </row>
    <row r="4176" spans="1:2" x14ac:dyDescent="0.25">
      <c r="A4176"/>
      <c r="B4176"/>
    </row>
    <row r="4177" spans="1:2" x14ac:dyDescent="0.25">
      <c r="A4177"/>
      <c r="B4177"/>
    </row>
    <row r="4178" spans="1:2" x14ac:dyDescent="0.25">
      <c r="A4178"/>
      <c r="B4178"/>
    </row>
    <row r="4179" spans="1:2" x14ac:dyDescent="0.25">
      <c r="A4179"/>
      <c r="B4179"/>
    </row>
    <row r="4180" spans="1:2" x14ac:dyDescent="0.25">
      <c r="A4180"/>
      <c r="B4180"/>
    </row>
    <row r="4181" spans="1:2" x14ac:dyDescent="0.25">
      <c r="A4181"/>
      <c r="B4181"/>
    </row>
    <row r="4182" spans="1:2" x14ac:dyDescent="0.25">
      <c r="A4182"/>
      <c r="B4182"/>
    </row>
    <row r="4183" spans="1:2" x14ac:dyDescent="0.25">
      <c r="A4183"/>
      <c r="B4183"/>
    </row>
    <row r="4184" spans="1:2" x14ac:dyDescent="0.25">
      <c r="A4184"/>
      <c r="B4184"/>
    </row>
    <row r="4185" spans="1:2" x14ac:dyDescent="0.25">
      <c r="A4185"/>
      <c r="B4185"/>
    </row>
    <row r="4186" spans="1:2" x14ac:dyDescent="0.25">
      <c r="A4186"/>
      <c r="B4186"/>
    </row>
    <row r="4187" spans="1:2" x14ac:dyDescent="0.25">
      <c r="A4187"/>
      <c r="B4187"/>
    </row>
    <row r="4188" spans="1:2" x14ac:dyDescent="0.25">
      <c r="A4188"/>
      <c r="B4188"/>
    </row>
    <row r="4189" spans="1:2" x14ac:dyDescent="0.25">
      <c r="A4189"/>
      <c r="B4189"/>
    </row>
    <row r="4190" spans="1:2" x14ac:dyDescent="0.25">
      <c r="A4190"/>
      <c r="B4190"/>
    </row>
    <row r="4191" spans="1:2" x14ac:dyDescent="0.25">
      <c r="A4191"/>
      <c r="B4191"/>
    </row>
    <row r="4192" spans="1:2" x14ac:dyDescent="0.25">
      <c r="A4192"/>
      <c r="B4192"/>
    </row>
    <row r="4193" spans="1:2" x14ac:dyDescent="0.25">
      <c r="A4193"/>
      <c r="B4193"/>
    </row>
    <row r="4194" spans="1:2" x14ac:dyDescent="0.25">
      <c r="A4194"/>
      <c r="B4194"/>
    </row>
    <row r="4195" spans="1:2" x14ac:dyDescent="0.25">
      <c r="A4195"/>
      <c r="B4195"/>
    </row>
    <row r="4196" spans="1:2" x14ac:dyDescent="0.25">
      <c r="A4196"/>
      <c r="B4196"/>
    </row>
    <row r="4197" spans="1:2" x14ac:dyDescent="0.25">
      <c r="A4197"/>
      <c r="B4197"/>
    </row>
    <row r="4198" spans="1:2" x14ac:dyDescent="0.25">
      <c r="A4198"/>
      <c r="B4198"/>
    </row>
    <row r="4199" spans="1:2" x14ac:dyDescent="0.25">
      <c r="A4199"/>
      <c r="B4199"/>
    </row>
    <row r="4200" spans="1:2" x14ac:dyDescent="0.25">
      <c r="A4200"/>
      <c r="B4200"/>
    </row>
    <row r="4201" spans="1:2" x14ac:dyDescent="0.25">
      <c r="A4201"/>
      <c r="B4201"/>
    </row>
    <row r="4202" spans="1:2" x14ac:dyDescent="0.25">
      <c r="A4202"/>
      <c r="B4202"/>
    </row>
    <row r="4203" spans="1:2" x14ac:dyDescent="0.25">
      <c r="A4203"/>
      <c r="B4203"/>
    </row>
    <row r="4204" spans="1:2" x14ac:dyDescent="0.25">
      <c r="A4204"/>
      <c r="B4204"/>
    </row>
    <row r="4205" spans="1:2" x14ac:dyDescent="0.25">
      <c r="A4205"/>
      <c r="B4205"/>
    </row>
    <row r="4206" spans="1:2" x14ac:dyDescent="0.25">
      <c r="A4206"/>
      <c r="B4206"/>
    </row>
    <row r="4207" spans="1:2" x14ac:dyDescent="0.25">
      <c r="A4207"/>
      <c r="B4207"/>
    </row>
    <row r="4208" spans="1:2" x14ac:dyDescent="0.25">
      <c r="A4208"/>
      <c r="B4208"/>
    </row>
    <row r="4209" spans="1:2" x14ac:dyDescent="0.25">
      <c r="A4209"/>
      <c r="B4209"/>
    </row>
    <row r="4210" spans="1:2" x14ac:dyDescent="0.25">
      <c r="A4210"/>
      <c r="B4210"/>
    </row>
    <row r="4211" spans="1:2" x14ac:dyDescent="0.25">
      <c r="A4211"/>
      <c r="B4211"/>
    </row>
    <row r="4212" spans="1:2" x14ac:dyDescent="0.25">
      <c r="A4212"/>
      <c r="B4212"/>
    </row>
    <row r="4213" spans="1:2" x14ac:dyDescent="0.25">
      <c r="A4213"/>
      <c r="B4213"/>
    </row>
    <row r="4214" spans="1:2" x14ac:dyDescent="0.25">
      <c r="A4214"/>
      <c r="B4214"/>
    </row>
    <row r="4215" spans="1:2" x14ac:dyDescent="0.25">
      <c r="A4215"/>
      <c r="B4215"/>
    </row>
    <row r="4216" spans="1:2" x14ac:dyDescent="0.25">
      <c r="A4216"/>
      <c r="B4216"/>
    </row>
    <row r="4217" spans="1:2" x14ac:dyDescent="0.25">
      <c r="A4217"/>
      <c r="B4217"/>
    </row>
    <row r="4218" spans="1:2" x14ac:dyDescent="0.25">
      <c r="A4218"/>
      <c r="B4218"/>
    </row>
    <row r="4219" spans="1:2" x14ac:dyDescent="0.25">
      <c r="A4219"/>
      <c r="B4219"/>
    </row>
    <row r="4220" spans="1:2" x14ac:dyDescent="0.25">
      <c r="A4220"/>
      <c r="B4220"/>
    </row>
    <row r="4221" spans="1:2" x14ac:dyDescent="0.25">
      <c r="A4221"/>
      <c r="B4221"/>
    </row>
    <row r="4222" spans="1:2" x14ac:dyDescent="0.25">
      <c r="A4222"/>
      <c r="B4222"/>
    </row>
    <row r="4223" spans="1:2" x14ac:dyDescent="0.25">
      <c r="A4223"/>
      <c r="B4223"/>
    </row>
    <row r="4224" spans="1:2" x14ac:dyDescent="0.25">
      <c r="A4224"/>
      <c r="B4224"/>
    </row>
    <row r="4225" spans="1:2" x14ac:dyDescent="0.25">
      <c r="A4225"/>
      <c r="B4225"/>
    </row>
    <row r="4226" spans="1:2" x14ac:dyDescent="0.25">
      <c r="A4226"/>
      <c r="B4226"/>
    </row>
    <row r="4227" spans="1:2" x14ac:dyDescent="0.25">
      <c r="A4227"/>
      <c r="B4227"/>
    </row>
    <row r="4228" spans="1:2" x14ac:dyDescent="0.25">
      <c r="A4228"/>
      <c r="B4228"/>
    </row>
    <row r="4229" spans="1:2" x14ac:dyDescent="0.25">
      <c r="A4229"/>
      <c r="B4229"/>
    </row>
    <row r="4230" spans="1:2" x14ac:dyDescent="0.25">
      <c r="A4230"/>
      <c r="B4230"/>
    </row>
    <row r="4231" spans="1:2" x14ac:dyDescent="0.25">
      <c r="A4231"/>
      <c r="B4231"/>
    </row>
    <row r="4232" spans="1:2" x14ac:dyDescent="0.25">
      <c r="A4232"/>
      <c r="B4232"/>
    </row>
    <row r="4233" spans="1:2" x14ac:dyDescent="0.25">
      <c r="A4233"/>
      <c r="B4233"/>
    </row>
    <row r="4234" spans="1:2" x14ac:dyDescent="0.25">
      <c r="A4234"/>
      <c r="B4234"/>
    </row>
    <row r="4235" spans="1:2" x14ac:dyDescent="0.25">
      <c r="A4235"/>
      <c r="B4235"/>
    </row>
    <row r="4236" spans="1:2" x14ac:dyDescent="0.25">
      <c r="A4236"/>
      <c r="B4236"/>
    </row>
    <row r="4237" spans="1:2" x14ac:dyDescent="0.25">
      <c r="A4237"/>
      <c r="B4237"/>
    </row>
    <row r="4238" spans="1:2" x14ac:dyDescent="0.25">
      <c r="A4238"/>
      <c r="B4238"/>
    </row>
    <row r="4239" spans="1:2" x14ac:dyDescent="0.25">
      <c r="A4239"/>
      <c r="B4239"/>
    </row>
    <row r="4240" spans="1:2" x14ac:dyDescent="0.25">
      <c r="A4240"/>
      <c r="B4240"/>
    </row>
    <row r="4241" spans="1:2" x14ac:dyDescent="0.25">
      <c r="A4241"/>
      <c r="B4241"/>
    </row>
    <row r="4242" spans="1:2" x14ac:dyDescent="0.25">
      <c r="A4242"/>
      <c r="B4242"/>
    </row>
    <row r="4243" spans="1:2" x14ac:dyDescent="0.25">
      <c r="A4243"/>
      <c r="B4243"/>
    </row>
    <row r="4244" spans="1:2" x14ac:dyDescent="0.25">
      <c r="A4244"/>
      <c r="B4244"/>
    </row>
    <row r="4245" spans="1:2" x14ac:dyDescent="0.25">
      <c r="A4245"/>
      <c r="B4245"/>
    </row>
    <row r="4246" spans="1:2" x14ac:dyDescent="0.25">
      <c r="A4246"/>
      <c r="B4246"/>
    </row>
    <row r="4247" spans="1:2" x14ac:dyDescent="0.25">
      <c r="A4247"/>
      <c r="B4247"/>
    </row>
    <row r="4248" spans="1:2" x14ac:dyDescent="0.25">
      <c r="A4248"/>
      <c r="B4248"/>
    </row>
    <row r="4249" spans="1:2" x14ac:dyDescent="0.25">
      <c r="A4249"/>
      <c r="B4249"/>
    </row>
    <row r="4250" spans="1:2" x14ac:dyDescent="0.25">
      <c r="A4250"/>
      <c r="B4250"/>
    </row>
    <row r="4251" spans="1:2" x14ac:dyDescent="0.25">
      <c r="A4251"/>
      <c r="B4251"/>
    </row>
    <row r="4252" spans="1:2" x14ac:dyDescent="0.25">
      <c r="A4252"/>
      <c r="B4252"/>
    </row>
    <row r="4253" spans="1:2" x14ac:dyDescent="0.25">
      <c r="A4253"/>
      <c r="B4253"/>
    </row>
    <row r="4254" spans="1:2" x14ac:dyDescent="0.25">
      <c r="A4254"/>
      <c r="B4254"/>
    </row>
    <row r="4255" spans="1:2" x14ac:dyDescent="0.25">
      <c r="A4255"/>
      <c r="B4255"/>
    </row>
    <row r="4256" spans="1:2" x14ac:dyDescent="0.25">
      <c r="A4256"/>
      <c r="B4256"/>
    </row>
    <row r="4257" spans="1:2" x14ac:dyDescent="0.25">
      <c r="A4257"/>
      <c r="B4257"/>
    </row>
    <row r="4258" spans="1:2" x14ac:dyDescent="0.25">
      <c r="A4258"/>
      <c r="B4258"/>
    </row>
    <row r="4259" spans="1:2" x14ac:dyDescent="0.25">
      <c r="A4259"/>
      <c r="B4259"/>
    </row>
    <row r="4260" spans="1:2" x14ac:dyDescent="0.25">
      <c r="A4260"/>
      <c r="B4260"/>
    </row>
    <row r="4261" spans="1:2" x14ac:dyDescent="0.25">
      <c r="A4261"/>
      <c r="B4261"/>
    </row>
    <row r="4262" spans="1:2" x14ac:dyDescent="0.25">
      <c r="A4262"/>
      <c r="B4262"/>
    </row>
    <row r="4263" spans="1:2" x14ac:dyDescent="0.25">
      <c r="A4263"/>
      <c r="B4263"/>
    </row>
    <row r="4264" spans="1:2" x14ac:dyDescent="0.25">
      <c r="A4264"/>
      <c r="B4264"/>
    </row>
    <row r="4265" spans="1:2" x14ac:dyDescent="0.25">
      <c r="A4265"/>
      <c r="B4265"/>
    </row>
    <row r="4266" spans="1:2" x14ac:dyDescent="0.25">
      <c r="A4266"/>
      <c r="B4266"/>
    </row>
    <row r="4267" spans="1:2" x14ac:dyDescent="0.25">
      <c r="A4267"/>
      <c r="B4267"/>
    </row>
    <row r="4268" spans="1:2" x14ac:dyDescent="0.25">
      <c r="A4268"/>
      <c r="B4268"/>
    </row>
    <row r="4269" spans="1:2" x14ac:dyDescent="0.25">
      <c r="A4269"/>
      <c r="B4269"/>
    </row>
    <row r="4270" spans="1:2" x14ac:dyDescent="0.25">
      <c r="A4270"/>
      <c r="B4270"/>
    </row>
    <row r="4271" spans="1:2" x14ac:dyDescent="0.25">
      <c r="A4271"/>
      <c r="B4271"/>
    </row>
    <row r="4272" spans="1:2" x14ac:dyDescent="0.25">
      <c r="A4272"/>
      <c r="B4272"/>
    </row>
    <row r="4273" spans="1:2" x14ac:dyDescent="0.25">
      <c r="A4273"/>
      <c r="B4273"/>
    </row>
    <row r="4274" spans="1:2" x14ac:dyDescent="0.25">
      <c r="A4274"/>
      <c r="B4274"/>
    </row>
    <row r="4275" spans="1:2" x14ac:dyDescent="0.25">
      <c r="A4275"/>
      <c r="B4275"/>
    </row>
    <row r="4276" spans="1:2" x14ac:dyDescent="0.25">
      <c r="A4276"/>
      <c r="B4276"/>
    </row>
    <row r="4277" spans="1:2" x14ac:dyDescent="0.25">
      <c r="A4277"/>
      <c r="B4277"/>
    </row>
    <row r="4278" spans="1:2" x14ac:dyDescent="0.25">
      <c r="A4278"/>
      <c r="B4278"/>
    </row>
    <row r="4279" spans="1:2" x14ac:dyDescent="0.25">
      <c r="A4279"/>
      <c r="B4279"/>
    </row>
    <row r="4280" spans="1:2" x14ac:dyDescent="0.25">
      <c r="A4280"/>
      <c r="B4280"/>
    </row>
    <row r="4281" spans="1:2" x14ac:dyDescent="0.25">
      <c r="A4281"/>
      <c r="B4281"/>
    </row>
    <row r="4282" spans="1:2" x14ac:dyDescent="0.25">
      <c r="A4282"/>
      <c r="B4282"/>
    </row>
    <row r="4283" spans="1:2" x14ac:dyDescent="0.25">
      <c r="A4283"/>
      <c r="B4283"/>
    </row>
    <row r="4284" spans="1:2" x14ac:dyDescent="0.25">
      <c r="A4284"/>
      <c r="B4284"/>
    </row>
    <row r="4285" spans="1:2" x14ac:dyDescent="0.25">
      <c r="A4285"/>
      <c r="B4285"/>
    </row>
    <row r="4286" spans="1:2" x14ac:dyDescent="0.25">
      <c r="A4286"/>
      <c r="B4286"/>
    </row>
    <row r="4287" spans="1:2" x14ac:dyDescent="0.25">
      <c r="A4287"/>
      <c r="B4287"/>
    </row>
    <row r="4288" spans="1:2" x14ac:dyDescent="0.25">
      <c r="A4288"/>
      <c r="B4288"/>
    </row>
    <row r="4289" spans="1:2" x14ac:dyDescent="0.25">
      <c r="A4289"/>
      <c r="B4289"/>
    </row>
    <row r="4290" spans="1:2" x14ac:dyDescent="0.25">
      <c r="A4290"/>
      <c r="B4290"/>
    </row>
    <row r="4291" spans="1:2" x14ac:dyDescent="0.25">
      <c r="A4291"/>
      <c r="B4291"/>
    </row>
    <row r="4292" spans="1:2" x14ac:dyDescent="0.25">
      <c r="A4292"/>
      <c r="B4292"/>
    </row>
    <row r="4293" spans="1:2" x14ac:dyDescent="0.25">
      <c r="A4293"/>
      <c r="B4293"/>
    </row>
    <row r="4294" spans="1:2" x14ac:dyDescent="0.25">
      <c r="A4294"/>
      <c r="B4294"/>
    </row>
    <row r="4295" spans="1:2" x14ac:dyDescent="0.25">
      <c r="A4295"/>
      <c r="B4295"/>
    </row>
    <row r="4296" spans="1:2" x14ac:dyDescent="0.25">
      <c r="A4296"/>
      <c r="B4296"/>
    </row>
    <row r="4297" spans="1:2" x14ac:dyDescent="0.25">
      <c r="A4297"/>
      <c r="B4297"/>
    </row>
    <row r="4298" spans="1:2" x14ac:dyDescent="0.25">
      <c r="A4298"/>
      <c r="B4298"/>
    </row>
    <row r="4299" spans="1:2" x14ac:dyDescent="0.25">
      <c r="A4299"/>
      <c r="B4299"/>
    </row>
    <row r="4300" spans="1:2" x14ac:dyDescent="0.25">
      <c r="A4300"/>
      <c r="B4300"/>
    </row>
    <row r="4301" spans="1:2" x14ac:dyDescent="0.25">
      <c r="A4301"/>
      <c r="B4301"/>
    </row>
    <row r="4302" spans="1:2" x14ac:dyDescent="0.25">
      <c r="A4302"/>
      <c r="B4302"/>
    </row>
    <row r="4303" spans="1:2" x14ac:dyDescent="0.25">
      <c r="A4303"/>
      <c r="B4303"/>
    </row>
    <row r="4304" spans="1:2" x14ac:dyDescent="0.25">
      <c r="A4304"/>
      <c r="B4304"/>
    </row>
    <row r="4305" spans="1:2" x14ac:dyDescent="0.25">
      <c r="A4305"/>
      <c r="B4305"/>
    </row>
    <row r="4306" spans="1:2" x14ac:dyDescent="0.25">
      <c r="A4306"/>
      <c r="B4306"/>
    </row>
    <row r="4307" spans="1:2" x14ac:dyDescent="0.25">
      <c r="A4307"/>
      <c r="B4307"/>
    </row>
    <row r="4308" spans="1:2" x14ac:dyDescent="0.25">
      <c r="A4308"/>
      <c r="B4308"/>
    </row>
    <row r="4309" spans="1:2" x14ac:dyDescent="0.25">
      <c r="A4309"/>
      <c r="B4309"/>
    </row>
    <row r="4310" spans="1:2" x14ac:dyDescent="0.25">
      <c r="A4310"/>
      <c r="B4310"/>
    </row>
    <row r="4311" spans="1:2" x14ac:dyDescent="0.25">
      <c r="A4311"/>
      <c r="B4311"/>
    </row>
    <row r="4312" spans="1:2" x14ac:dyDescent="0.25">
      <c r="A4312"/>
      <c r="B4312"/>
    </row>
    <row r="4313" spans="1:2" x14ac:dyDescent="0.25">
      <c r="A4313"/>
      <c r="B4313"/>
    </row>
    <row r="4314" spans="1:2" x14ac:dyDescent="0.25">
      <c r="A4314"/>
      <c r="B4314"/>
    </row>
    <row r="4315" spans="1:2" x14ac:dyDescent="0.25">
      <c r="A4315"/>
      <c r="B4315"/>
    </row>
    <row r="4316" spans="1:2" x14ac:dyDescent="0.25">
      <c r="A4316"/>
      <c r="B4316"/>
    </row>
    <row r="4317" spans="1:2" x14ac:dyDescent="0.25">
      <c r="A4317"/>
      <c r="B4317"/>
    </row>
    <row r="4318" spans="1:2" x14ac:dyDescent="0.25">
      <c r="A4318"/>
      <c r="B4318"/>
    </row>
    <row r="4319" spans="1:2" x14ac:dyDescent="0.25">
      <c r="A4319"/>
      <c r="B4319"/>
    </row>
    <row r="4320" spans="1:2" x14ac:dyDescent="0.25">
      <c r="A4320"/>
      <c r="B4320"/>
    </row>
    <row r="4321" spans="1:2" x14ac:dyDescent="0.25">
      <c r="A4321"/>
      <c r="B4321"/>
    </row>
    <row r="4322" spans="1:2" x14ac:dyDescent="0.25">
      <c r="A4322"/>
      <c r="B4322"/>
    </row>
    <row r="4323" spans="1:2" x14ac:dyDescent="0.25">
      <c r="A4323"/>
      <c r="B4323"/>
    </row>
    <row r="4324" spans="1:2" x14ac:dyDescent="0.25">
      <c r="A4324"/>
      <c r="B4324"/>
    </row>
    <row r="4325" spans="1:2" x14ac:dyDescent="0.25">
      <c r="A4325"/>
      <c r="B4325"/>
    </row>
    <row r="4326" spans="1:2" x14ac:dyDescent="0.25">
      <c r="A4326"/>
      <c r="B4326"/>
    </row>
    <row r="4327" spans="1:2" x14ac:dyDescent="0.25">
      <c r="A4327"/>
      <c r="B4327"/>
    </row>
    <row r="4328" spans="1:2" x14ac:dyDescent="0.25">
      <c r="A4328"/>
      <c r="B4328"/>
    </row>
    <row r="4329" spans="1:2" x14ac:dyDescent="0.25">
      <c r="A4329"/>
      <c r="B4329"/>
    </row>
    <row r="4330" spans="1:2" x14ac:dyDescent="0.25">
      <c r="A4330"/>
      <c r="B4330"/>
    </row>
    <row r="4331" spans="1:2" x14ac:dyDescent="0.25">
      <c r="A4331"/>
      <c r="B4331"/>
    </row>
    <row r="4332" spans="1:2" x14ac:dyDescent="0.25">
      <c r="A4332"/>
      <c r="B4332"/>
    </row>
    <row r="4333" spans="1:2" x14ac:dyDescent="0.25">
      <c r="A4333"/>
      <c r="B4333"/>
    </row>
    <row r="4334" spans="1:2" x14ac:dyDescent="0.25">
      <c r="A4334"/>
      <c r="B4334"/>
    </row>
    <row r="4335" spans="1:2" x14ac:dyDescent="0.25">
      <c r="A4335"/>
      <c r="B4335"/>
    </row>
    <row r="4336" spans="1:2" x14ac:dyDescent="0.25">
      <c r="A4336"/>
      <c r="B4336"/>
    </row>
    <row r="4337" spans="1:2" x14ac:dyDescent="0.25">
      <c r="A4337"/>
      <c r="B4337"/>
    </row>
    <row r="4338" spans="1:2" x14ac:dyDescent="0.25">
      <c r="A4338"/>
      <c r="B4338"/>
    </row>
    <row r="4339" spans="1:2" x14ac:dyDescent="0.25">
      <c r="A4339"/>
      <c r="B4339"/>
    </row>
    <row r="4340" spans="1:2" x14ac:dyDescent="0.25">
      <c r="A4340"/>
      <c r="B4340"/>
    </row>
    <row r="4341" spans="1:2" x14ac:dyDescent="0.25">
      <c r="A4341"/>
      <c r="B4341"/>
    </row>
    <row r="4342" spans="1:2" x14ac:dyDescent="0.25">
      <c r="A4342"/>
      <c r="B4342"/>
    </row>
    <row r="4343" spans="1:2" x14ac:dyDescent="0.25">
      <c r="A4343"/>
      <c r="B4343"/>
    </row>
    <row r="4344" spans="1:2" x14ac:dyDescent="0.25">
      <c r="A4344"/>
      <c r="B4344"/>
    </row>
    <row r="4345" spans="1:2" x14ac:dyDescent="0.25">
      <c r="A4345"/>
      <c r="B4345"/>
    </row>
    <row r="4346" spans="1:2" x14ac:dyDescent="0.25">
      <c r="A4346"/>
      <c r="B4346"/>
    </row>
    <row r="4347" spans="1:2" x14ac:dyDescent="0.25">
      <c r="A4347"/>
      <c r="B4347"/>
    </row>
    <row r="4348" spans="1:2" x14ac:dyDescent="0.25">
      <c r="A4348"/>
      <c r="B4348"/>
    </row>
    <row r="4349" spans="1:2" x14ac:dyDescent="0.25">
      <c r="A4349"/>
      <c r="B4349"/>
    </row>
    <row r="4350" spans="1:2" x14ac:dyDescent="0.25">
      <c r="A4350"/>
      <c r="B4350"/>
    </row>
    <row r="4351" spans="1:2" x14ac:dyDescent="0.25">
      <c r="A4351"/>
      <c r="B4351"/>
    </row>
    <row r="4352" spans="1:2" x14ac:dyDescent="0.25">
      <c r="A4352"/>
      <c r="B4352"/>
    </row>
    <row r="4353" spans="1:2" x14ac:dyDescent="0.25">
      <c r="A4353"/>
      <c r="B4353"/>
    </row>
    <row r="4354" spans="1:2" x14ac:dyDescent="0.25">
      <c r="A4354"/>
      <c r="B4354"/>
    </row>
    <row r="4355" spans="1:2" x14ac:dyDescent="0.25">
      <c r="A4355"/>
      <c r="B4355"/>
    </row>
    <row r="4356" spans="1:2" x14ac:dyDescent="0.25">
      <c r="A4356"/>
      <c r="B4356"/>
    </row>
    <row r="4357" spans="1:2" x14ac:dyDescent="0.25">
      <c r="A4357"/>
      <c r="B4357"/>
    </row>
    <row r="4358" spans="1:2" x14ac:dyDescent="0.25">
      <c r="A4358"/>
      <c r="B4358"/>
    </row>
    <row r="4359" spans="1:2" x14ac:dyDescent="0.25">
      <c r="A4359"/>
      <c r="B4359"/>
    </row>
    <row r="4360" spans="1:2" x14ac:dyDescent="0.25">
      <c r="A4360"/>
      <c r="B4360"/>
    </row>
    <row r="4361" spans="1:2" x14ac:dyDescent="0.25">
      <c r="A4361"/>
      <c r="B4361"/>
    </row>
    <row r="4362" spans="1:2" x14ac:dyDescent="0.25">
      <c r="A4362"/>
      <c r="B4362"/>
    </row>
    <row r="4363" spans="1:2" x14ac:dyDescent="0.25">
      <c r="A4363"/>
      <c r="B4363"/>
    </row>
    <row r="4364" spans="1:2" x14ac:dyDescent="0.25">
      <c r="A4364"/>
      <c r="B4364"/>
    </row>
    <row r="4365" spans="1:2" x14ac:dyDescent="0.25">
      <c r="A4365"/>
      <c r="B4365"/>
    </row>
    <row r="4366" spans="1:2" x14ac:dyDescent="0.25">
      <c r="A4366"/>
      <c r="B4366"/>
    </row>
    <row r="4367" spans="1:2" x14ac:dyDescent="0.25">
      <c r="A4367"/>
      <c r="B4367"/>
    </row>
    <row r="4368" spans="1:2" x14ac:dyDescent="0.25">
      <c r="A4368"/>
      <c r="B4368"/>
    </row>
    <row r="4369" spans="1:2" x14ac:dyDescent="0.25">
      <c r="A4369"/>
      <c r="B4369"/>
    </row>
    <row r="4370" spans="1:2" x14ac:dyDescent="0.25">
      <c r="A4370"/>
      <c r="B4370"/>
    </row>
    <row r="4371" spans="1:2" x14ac:dyDescent="0.25">
      <c r="A4371"/>
      <c r="B4371"/>
    </row>
    <row r="4372" spans="1:2" x14ac:dyDescent="0.25">
      <c r="A4372"/>
      <c r="B4372"/>
    </row>
    <row r="4373" spans="1:2" x14ac:dyDescent="0.25">
      <c r="A4373"/>
      <c r="B4373"/>
    </row>
    <row r="4374" spans="1:2" x14ac:dyDescent="0.25">
      <c r="A4374"/>
      <c r="B4374"/>
    </row>
    <row r="4375" spans="1:2" x14ac:dyDescent="0.25">
      <c r="A4375"/>
      <c r="B4375"/>
    </row>
    <row r="4376" spans="1:2" x14ac:dyDescent="0.25">
      <c r="A4376"/>
      <c r="B4376"/>
    </row>
    <row r="4377" spans="1:2" x14ac:dyDescent="0.25">
      <c r="A4377"/>
      <c r="B4377"/>
    </row>
    <row r="4378" spans="1:2" x14ac:dyDescent="0.25">
      <c r="A4378"/>
      <c r="B4378"/>
    </row>
    <row r="4379" spans="1:2" x14ac:dyDescent="0.25">
      <c r="A4379"/>
      <c r="B4379"/>
    </row>
    <row r="4380" spans="1:2" x14ac:dyDescent="0.25">
      <c r="A4380"/>
      <c r="B4380"/>
    </row>
    <row r="4381" spans="1:2" x14ac:dyDescent="0.25">
      <c r="A4381"/>
      <c r="B4381"/>
    </row>
    <row r="4382" spans="1:2" x14ac:dyDescent="0.25">
      <c r="A4382"/>
      <c r="B4382"/>
    </row>
    <row r="4383" spans="1:2" x14ac:dyDescent="0.25">
      <c r="A4383"/>
      <c r="B4383"/>
    </row>
    <row r="4384" spans="1:2" x14ac:dyDescent="0.25">
      <c r="A4384"/>
      <c r="B4384"/>
    </row>
    <row r="4385" spans="1:2" x14ac:dyDescent="0.25">
      <c r="A4385"/>
      <c r="B4385"/>
    </row>
    <row r="4386" spans="1:2" x14ac:dyDescent="0.25">
      <c r="A4386"/>
      <c r="B4386"/>
    </row>
    <row r="4387" spans="1:2" x14ac:dyDescent="0.25">
      <c r="A4387"/>
      <c r="B4387"/>
    </row>
    <row r="4388" spans="1:2" x14ac:dyDescent="0.25">
      <c r="A4388"/>
      <c r="B4388"/>
    </row>
    <row r="4389" spans="1:2" x14ac:dyDescent="0.25">
      <c r="A4389"/>
      <c r="B4389"/>
    </row>
    <row r="4390" spans="1:2" x14ac:dyDescent="0.25">
      <c r="A4390"/>
      <c r="B4390"/>
    </row>
    <row r="4391" spans="1:2" x14ac:dyDescent="0.25">
      <c r="A4391"/>
      <c r="B4391"/>
    </row>
    <row r="4392" spans="1:2" x14ac:dyDescent="0.25">
      <c r="A4392"/>
      <c r="B4392"/>
    </row>
    <row r="4393" spans="1:2" x14ac:dyDescent="0.25">
      <c r="A4393"/>
      <c r="B4393"/>
    </row>
    <row r="4394" spans="1:2" x14ac:dyDescent="0.25">
      <c r="A4394"/>
      <c r="B4394"/>
    </row>
    <row r="4395" spans="1:2" x14ac:dyDescent="0.25">
      <c r="A4395"/>
      <c r="B4395"/>
    </row>
    <row r="4396" spans="1:2" x14ac:dyDescent="0.25">
      <c r="A4396"/>
      <c r="B4396"/>
    </row>
    <row r="4397" spans="1:2" x14ac:dyDescent="0.25">
      <c r="A4397"/>
      <c r="B4397"/>
    </row>
    <row r="4398" spans="1:2" x14ac:dyDescent="0.25">
      <c r="A4398"/>
      <c r="B4398"/>
    </row>
    <row r="4399" spans="1:2" x14ac:dyDescent="0.25">
      <c r="A4399"/>
      <c r="B4399"/>
    </row>
    <row r="4400" spans="1:2" x14ac:dyDescent="0.25">
      <c r="A4400"/>
      <c r="B4400"/>
    </row>
    <row r="4401" spans="1:2" x14ac:dyDescent="0.25">
      <c r="A4401"/>
      <c r="B4401"/>
    </row>
    <row r="4402" spans="1:2" x14ac:dyDescent="0.25">
      <c r="A4402"/>
      <c r="B4402"/>
    </row>
    <row r="4403" spans="1:2" x14ac:dyDescent="0.25">
      <c r="A4403"/>
      <c r="B4403"/>
    </row>
    <row r="4404" spans="1:2" x14ac:dyDescent="0.25">
      <c r="A4404"/>
      <c r="B4404"/>
    </row>
    <row r="4405" spans="1:2" x14ac:dyDescent="0.25">
      <c r="A4405"/>
      <c r="B4405"/>
    </row>
    <row r="4406" spans="1:2" x14ac:dyDescent="0.25">
      <c r="A4406"/>
      <c r="B4406"/>
    </row>
    <row r="4407" spans="1:2" x14ac:dyDescent="0.25">
      <c r="A4407"/>
      <c r="B4407"/>
    </row>
    <row r="4408" spans="1:2" x14ac:dyDescent="0.25">
      <c r="A4408"/>
      <c r="B4408"/>
    </row>
    <row r="4409" spans="1:2" x14ac:dyDescent="0.25">
      <c r="A4409"/>
      <c r="B4409"/>
    </row>
    <row r="4410" spans="1:2" x14ac:dyDescent="0.25">
      <c r="A4410"/>
      <c r="B4410"/>
    </row>
    <row r="4411" spans="1:2" x14ac:dyDescent="0.25">
      <c r="A4411"/>
      <c r="B4411"/>
    </row>
    <row r="4412" spans="1:2" x14ac:dyDescent="0.25">
      <c r="A4412"/>
      <c r="B4412"/>
    </row>
    <row r="4413" spans="1:2" x14ac:dyDescent="0.25">
      <c r="A4413"/>
      <c r="B4413"/>
    </row>
    <row r="4414" spans="1:2" x14ac:dyDescent="0.25">
      <c r="A4414"/>
      <c r="B4414"/>
    </row>
    <row r="4415" spans="1:2" x14ac:dyDescent="0.25">
      <c r="A4415"/>
      <c r="B4415"/>
    </row>
    <row r="4416" spans="1:2" x14ac:dyDescent="0.25">
      <c r="A4416"/>
      <c r="B4416"/>
    </row>
    <row r="4417" spans="1:2" x14ac:dyDescent="0.25">
      <c r="A4417"/>
      <c r="B4417"/>
    </row>
    <row r="4418" spans="1:2" x14ac:dyDescent="0.25">
      <c r="A4418"/>
      <c r="B4418"/>
    </row>
    <row r="4419" spans="1:2" x14ac:dyDescent="0.25">
      <c r="A4419"/>
      <c r="B4419"/>
    </row>
    <row r="4420" spans="1:2" x14ac:dyDescent="0.25">
      <c r="A4420"/>
      <c r="B4420"/>
    </row>
    <row r="4421" spans="1:2" x14ac:dyDescent="0.25">
      <c r="A4421"/>
      <c r="B4421"/>
    </row>
    <row r="4422" spans="1:2" x14ac:dyDescent="0.25">
      <c r="A4422"/>
      <c r="B4422"/>
    </row>
    <row r="4423" spans="1:2" x14ac:dyDescent="0.25">
      <c r="A4423"/>
      <c r="B4423"/>
    </row>
    <row r="4424" spans="1:2" x14ac:dyDescent="0.25">
      <c r="A4424"/>
      <c r="B4424"/>
    </row>
    <row r="4425" spans="1:2" x14ac:dyDescent="0.25">
      <c r="A4425"/>
      <c r="B4425"/>
    </row>
    <row r="4426" spans="1:2" x14ac:dyDescent="0.25">
      <c r="A4426"/>
      <c r="B4426"/>
    </row>
    <row r="4427" spans="1:2" x14ac:dyDescent="0.25">
      <c r="A4427"/>
      <c r="B4427"/>
    </row>
    <row r="4428" spans="1:2" x14ac:dyDescent="0.25">
      <c r="A4428"/>
      <c r="B4428"/>
    </row>
    <row r="4429" spans="1:2" x14ac:dyDescent="0.25">
      <c r="A4429"/>
      <c r="B4429"/>
    </row>
    <row r="4430" spans="1:2" x14ac:dyDescent="0.25">
      <c r="A4430"/>
      <c r="B4430"/>
    </row>
    <row r="4431" spans="1:2" x14ac:dyDescent="0.25">
      <c r="A4431"/>
      <c r="B4431"/>
    </row>
    <row r="4432" spans="1:2" x14ac:dyDescent="0.25">
      <c r="A4432"/>
      <c r="B4432"/>
    </row>
    <row r="4433" spans="1:2" x14ac:dyDescent="0.25">
      <c r="A4433"/>
      <c r="B4433"/>
    </row>
    <row r="4434" spans="1:2" x14ac:dyDescent="0.25">
      <c r="A4434"/>
      <c r="B4434"/>
    </row>
    <row r="4435" spans="1:2" x14ac:dyDescent="0.25">
      <c r="A4435"/>
      <c r="B4435"/>
    </row>
    <row r="4436" spans="1:2" x14ac:dyDescent="0.25">
      <c r="A4436"/>
      <c r="B4436"/>
    </row>
    <row r="4437" spans="1:2" x14ac:dyDescent="0.25">
      <c r="A4437"/>
      <c r="B4437"/>
    </row>
    <row r="4438" spans="1:2" x14ac:dyDescent="0.25">
      <c r="A4438"/>
      <c r="B4438"/>
    </row>
    <row r="4439" spans="1:2" x14ac:dyDescent="0.25">
      <c r="A4439"/>
      <c r="B4439"/>
    </row>
    <row r="4440" spans="1:2" x14ac:dyDescent="0.25">
      <c r="A4440"/>
      <c r="B4440"/>
    </row>
    <row r="4441" spans="1:2" x14ac:dyDescent="0.25">
      <c r="A4441"/>
      <c r="B4441"/>
    </row>
    <row r="4442" spans="1:2" x14ac:dyDescent="0.25">
      <c r="A4442"/>
      <c r="B4442"/>
    </row>
    <row r="4443" spans="1:2" x14ac:dyDescent="0.25">
      <c r="A4443"/>
      <c r="B4443"/>
    </row>
    <row r="4444" spans="1:2" x14ac:dyDescent="0.25">
      <c r="A4444"/>
      <c r="B4444"/>
    </row>
    <row r="4445" spans="1:2" x14ac:dyDescent="0.25">
      <c r="A4445"/>
      <c r="B4445"/>
    </row>
    <row r="4446" spans="1:2" x14ac:dyDescent="0.25">
      <c r="A4446"/>
      <c r="B4446"/>
    </row>
    <row r="4447" spans="1:2" x14ac:dyDescent="0.25">
      <c r="A4447"/>
      <c r="B4447"/>
    </row>
    <row r="4448" spans="1:2" x14ac:dyDescent="0.25">
      <c r="A4448"/>
      <c r="B4448"/>
    </row>
    <row r="4449" spans="1:2" x14ac:dyDescent="0.25">
      <c r="A4449"/>
      <c r="B4449"/>
    </row>
    <row r="4450" spans="1:2" x14ac:dyDescent="0.25">
      <c r="A4450"/>
      <c r="B4450"/>
    </row>
    <row r="4451" spans="1:2" x14ac:dyDescent="0.25">
      <c r="A4451"/>
      <c r="B4451"/>
    </row>
    <row r="4452" spans="1:2" x14ac:dyDescent="0.25">
      <c r="A4452"/>
      <c r="B4452"/>
    </row>
    <row r="4453" spans="1:2" x14ac:dyDescent="0.25">
      <c r="A4453"/>
      <c r="B4453"/>
    </row>
    <row r="4454" spans="1:2" x14ac:dyDescent="0.25">
      <c r="A4454"/>
      <c r="B4454"/>
    </row>
    <row r="4455" spans="1:2" x14ac:dyDescent="0.25">
      <c r="A4455"/>
      <c r="B4455"/>
    </row>
    <row r="4456" spans="1:2" x14ac:dyDescent="0.25">
      <c r="A4456"/>
      <c r="B4456"/>
    </row>
    <row r="4457" spans="1:2" x14ac:dyDescent="0.25">
      <c r="A4457"/>
      <c r="B4457"/>
    </row>
    <row r="4458" spans="1:2" x14ac:dyDescent="0.25">
      <c r="A4458"/>
      <c r="B4458"/>
    </row>
    <row r="4459" spans="1:2" x14ac:dyDescent="0.25">
      <c r="A4459"/>
      <c r="B4459"/>
    </row>
    <row r="4460" spans="1:2" x14ac:dyDescent="0.25">
      <c r="A4460"/>
      <c r="B4460"/>
    </row>
    <row r="4461" spans="1:2" x14ac:dyDescent="0.25">
      <c r="A4461"/>
      <c r="B4461"/>
    </row>
    <row r="4462" spans="1:2" x14ac:dyDescent="0.25">
      <c r="A4462"/>
      <c r="B4462"/>
    </row>
    <row r="4463" spans="1:2" x14ac:dyDescent="0.25">
      <c r="A4463"/>
      <c r="B4463"/>
    </row>
    <row r="4464" spans="1:2" x14ac:dyDescent="0.25">
      <c r="A4464"/>
      <c r="B4464"/>
    </row>
    <row r="4465" spans="1:2" x14ac:dyDescent="0.25">
      <c r="A4465"/>
      <c r="B4465"/>
    </row>
    <row r="4466" spans="1:2" x14ac:dyDescent="0.25">
      <c r="A4466"/>
      <c r="B4466"/>
    </row>
    <row r="4467" spans="1:2" x14ac:dyDescent="0.25">
      <c r="A4467"/>
      <c r="B4467"/>
    </row>
    <row r="4468" spans="1:2" x14ac:dyDescent="0.25">
      <c r="A4468"/>
      <c r="B4468"/>
    </row>
    <row r="4469" spans="1:2" x14ac:dyDescent="0.25">
      <c r="A4469"/>
      <c r="B4469"/>
    </row>
    <row r="4470" spans="1:2" x14ac:dyDescent="0.25">
      <c r="A4470"/>
      <c r="B4470"/>
    </row>
    <row r="4471" spans="1:2" x14ac:dyDescent="0.25">
      <c r="A4471"/>
      <c r="B4471"/>
    </row>
    <row r="4472" spans="1:2" x14ac:dyDescent="0.25">
      <c r="A4472"/>
      <c r="B4472"/>
    </row>
    <row r="4473" spans="1:2" x14ac:dyDescent="0.25">
      <c r="A4473"/>
      <c r="B4473"/>
    </row>
    <row r="4474" spans="1:2" x14ac:dyDescent="0.25">
      <c r="A4474"/>
      <c r="B4474"/>
    </row>
    <row r="4475" spans="1:2" x14ac:dyDescent="0.25">
      <c r="A4475"/>
      <c r="B4475"/>
    </row>
    <row r="4476" spans="1:2" x14ac:dyDescent="0.25">
      <c r="A4476"/>
      <c r="B4476"/>
    </row>
    <row r="4477" spans="1:2" x14ac:dyDescent="0.25">
      <c r="A4477"/>
      <c r="B4477"/>
    </row>
    <row r="4478" spans="1:2" x14ac:dyDescent="0.25">
      <c r="A4478"/>
      <c r="B4478"/>
    </row>
    <row r="4479" spans="1:2" x14ac:dyDescent="0.25">
      <c r="A4479"/>
      <c r="B4479"/>
    </row>
    <row r="4480" spans="1:2" x14ac:dyDescent="0.25">
      <c r="A4480"/>
      <c r="B4480"/>
    </row>
    <row r="4481" spans="1:2" x14ac:dyDescent="0.25">
      <c r="A4481"/>
      <c r="B4481"/>
    </row>
    <row r="4482" spans="1:2" x14ac:dyDescent="0.25">
      <c r="A4482"/>
      <c r="B4482"/>
    </row>
    <row r="4483" spans="1:2" x14ac:dyDescent="0.25">
      <c r="A4483"/>
      <c r="B4483"/>
    </row>
    <row r="4484" spans="1:2" x14ac:dyDescent="0.25">
      <c r="A4484"/>
      <c r="B4484"/>
    </row>
    <row r="4485" spans="1:2" x14ac:dyDescent="0.25">
      <c r="A4485"/>
      <c r="B4485"/>
    </row>
    <row r="4486" spans="1:2" x14ac:dyDescent="0.25">
      <c r="A4486"/>
      <c r="B4486"/>
    </row>
    <row r="4487" spans="1:2" x14ac:dyDescent="0.25">
      <c r="A4487"/>
      <c r="B4487"/>
    </row>
    <row r="4488" spans="1:2" x14ac:dyDescent="0.25">
      <c r="A4488"/>
      <c r="B4488"/>
    </row>
    <row r="4489" spans="1:2" x14ac:dyDescent="0.25">
      <c r="A4489"/>
      <c r="B4489"/>
    </row>
    <row r="4490" spans="1:2" x14ac:dyDescent="0.25">
      <c r="A4490"/>
      <c r="B4490"/>
    </row>
    <row r="4491" spans="1:2" x14ac:dyDescent="0.25">
      <c r="A4491"/>
      <c r="B4491"/>
    </row>
    <row r="4492" spans="1:2" x14ac:dyDescent="0.25">
      <c r="A4492"/>
      <c r="B4492"/>
    </row>
    <row r="4493" spans="1:2" x14ac:dyDescent="0.25">
      <c r="A4493"/>
      <c r="B4493"/>
    </row>
    <row r="4494" spans="1:2" x14ac:dyDescent="0.25">
      <c r="A4494"/>
      <c r="B4494"/>
    </row>
    <row r="4495" spans="1:2" x14ac:dyDescent="0.25">
      <c r="A4495"/>
      <c r="B4495"/>
    </row>
    <row r="4496" spans="1:2" x14ac:dyDescent="0.25">
      <c r="A4496"/>
      <c r="B4496"/>
    </row>
    <row r="4497" spans="1:2" x14ac:dyDescent="0.25">
      <c r="A4497"/>
      <c r="B4497"/>
    </row>
    <row r="4498" spans="1:2" x14ac:dyDescent="0.25">
      <c r="A4498"/>
      <c r="B4498"/>
    </row>
    <row r="4499" spans="1:2" x14ac:dyDescent="0.25">
      <c r="A4499"/>
      <c r="B4499"/>
    </row>
    <row r="4500" spans="1:2" x14ac:dyDescent="0.25">
      <c r="A4500"/>
      <c r="B4500"/>
    </row>
    <row r="4501" spans="1:2" x14ac:dyDescent="0.25">
      <c r="A4501"/>
      <c r="B4501"/>
    </row>
    <row r="4502" spans="1:2" x14ac:dyDescent="0.25">
      <c r="A4502"/>
      <c r="B4502"/>
    </row>
    <row r="4503" spans="1:2" x14ac:dyDescent="0.25">
      <c r="A4503"/>
      <c r="B4503"/>
    </row>
    <row r="4504" spans="1:2" x14ac:dyDescent="0.25">
      <c r="A4504"/>
      <c r="B4504"/>
    </row>
    <row r="4505" spans="1:2" x14ac:dyDescent="0.25">
      <c r="A4505"/>
      <c r="B4505"/>
    </row>
    <row r="4506" spans="1:2" x14ac:dyDescent="0.25">
      <c r="A4506"/>
      <c r="B4506"/>
    </row>
    <row r="4507" spans="1:2" x14ac:dyDescent="0.25">
      <c r="A4507"/>
      <c r="B4507"/>
    </row>
    <row r="4508" spans="1:2" x14ac:dyDescent="0.25">
      <c r="A4508"/>
      <c r="B4508"/>
    </row>
    <row r="4509" spans="1:2" x14ac:dyDescent="0.25">
      <c r="A4509"/>
      <c r="B4509"/>
    </row>
    <row r="4510" spans="1:2" x14ac:dyDescent="0.25">
      <c r="A4510"/>
      <c r="B4510"/>
    </row>
    <row r="4511" spans="1:2" x14ac:dyDescent="0.25">
      <c r="A4511"/>
      <c r="B4511"/>
    </row>
    <row r="4512" spans="1:2" x14ac:dyDescent="0.25">
      <c r="A4512"/>
      <c r="B4512"/>
    </row>
    <row r="4513" spans="1:2" x14ac:dyDescent="0.25">
      <c r="A4513"/>
      <c r="B4513"/>
    </row>
    <row r="4514" spans="1:2" x14ac:dyDescent="0.25">
      <c r="A4514"/>
      <c r="B4514"/>
    </row>
    <row r="4515" spans="1:2" x14ac:dyDescent="0.25">
      <c r="A4515"/>
      <c r="B4515"/>
    </row>
    <row r="4516" spans="1:2" x14ac:dyDescent="0.25">
      <c r="A4516"/>
      <c r="B4516"/>
    </row>
    <row r="4517" spans="1:2" x14ac:dyDescent="0.25">
      <c r="A4517"/>
      <c r="B4517"/>
    </row>
    <row r="4518" spans="1:2" x14ac:dyDescent="0.25">
      <c r="A4518"/>
      <c r="B4518"/>
    </row>
    <row r="4519" spans="1:2" x14ac:dyDescent="0.25">
      <c r="A4519"/>
      <c r="B4519"/>
    </row>
    <row r="4520" spans="1:2" x14ac:dyDescent="0.25">
      <c r="A4520"/>
      <c r="B4520"/>
    </row>
    <row r="4521" spans="1:2" x14ac:dyDescent="0.25">
      <c r="A4521"/>
      <c r="B4521"/>
    </row>
    <row r="4522" spans="1:2" x14ac:dyDescent="0.25">
      <c r="A4522"/>
      <c r="B4522"/>
    </row>
    <row r="4523" spans="1:2" x14ac:dyDescent="0.25">
      <c r="A4523"/>
      <c r="B4523"/>
    </row>
    <row r="4524" spans="1:2" x14ac:dyDescent="0.25">
      <c r="A4524"/>
      <c r="B4524"/>
    </row>
    <row r="4525" spans="1:2" x14ac:dyDescent="0.25">
      <c r="A4525"/>
      <c r="B4525"/>
    </row>
    <row r="4526" spans="1:2" x14ac:dyDescent="0.25">
      <c r="A4526"/>
      <c r="B4526"/>
    </row>
    <row r="4527" spans="1:2" x14ac:dyDescent="0.25">
      <c r="A4527"/>
      <c r="B4527"/>
    </row>
    <row r="4528" spans="1:2" x14ac:dyDescent="0.25">
      <c r="A4528"/>
      <c r="B4528"/>
    </row>
    <row r="4529" spans="1:2" x14ac:dyDescent="0.25">
      <c r="A4529"/>
      <c r="B4529"/>
    </row>
    <row r="4530" spans="1:2" x14ac:dyDescent="0.25">
      <c r="A4530"/>
      <c r="B4530"/>
    </row>
    <row r="4531" spans="1:2" x14ac:dyDescent="0.25">
      <c r="A4531"/>
      <c r="B4531"/>
    </row>
    <row r="4532" spans="1:2" x14ac:dyDescent="0.25">
      <c r="A4532"/>
      <c r="B4532"/>
    </row>
    <row r="4533" spans="1:2" x14ac:dyDescent="0.25">
      <c r="A4533"/>
      <c r="B4533"/>
    </row>
    <row r="4534" spans="1:2" x14ac:dyDescent="0.25">
      <c r="A4534"/>
      <c r="B4534"/>
    </row>
    <row r="4535" spans="1:2" x14ac:dyDescent="0.25">
      <c r="A4535"/>
      <c r="B4535"/>
    </row>
    <row r="4536" spans="1:2" x14ac:dyDescent="0.25">
      <c r="A4536"/>
      <c r="B4536"/>
    </row>
    <row r="4537" spans="1:2" x14ac:dyDescent="0.25">
      <c r="A4537"/>
      <c r="B4537"/>
    </row>
    <row r="4538" spans="1:2" x14ac:dyDescent="0.25">
      <c r="A4538"/>
      <c r="B4538"/>
    </row>
    <row r="4539" spans="1:2" x14ac:dyDescent="0.25">
      <c r="A4539"/>
      <c r="B4539"/>
    </row>
    <row r="4540" spans="1:2" x14ac:dyDescent="0.25">
      <c r="A4540"/>
      <c r="B4540"/>
    </row>
    <row r="4541" spans="1:2" x14ac:dyDescent="0.25">
      <c r="A4541"/>
      <c r="B4541"/>
    </row>
    <row r="4542" spans="1:2" x14ac:dyDescent="0.25">
      <c r="A4542"/>
      <c r="B4542"/>
    </row>
    <row r="4543" spans="1:2" x14ac:dyDescent="0.25">
      <c r="A4543"/>
      <c r="B4543"/>
    </row>
    <row r="4544" spans="1:2" x14ac:dyDescent="0.25">
      <c r="A4544"/>
      <c r="B4544"/>
    </row>
    <row r="4545" spans="1:2" x14ac:dyDescent="0.25">
      <c r="A4545"/>
      <c r="B4545"/>
    </row>
    <row r="4546" spans="1:2" x14ac:dyDescent="0.25">
      <c r="A4546"/>
      <c r="B4546"/>
    </row>
    <row r="4547" spans="1:2" x14ac:dyDescent="0.25">
      <c r="A4547"/>
      <c r="B4547"/>
    </row>
    <row r="4548" spans="1:2" x14ac:dyDescent="0.25">
      <c r="A4548"/>
      <c r="B4548"/>
    </row>
    <row r="4549" spans="1:2" x14ac:dyDescent="0.25">
      <c r="A4549"/>
      <c r="B4549"/>
    </row>
    <row r="4550" spans="1:2" x14ac:dyDescent="0.25">
      <c r="A4550"/>
      <c r="B4550"/>
    </row>
    <row r="4551" spans="1:2" x14ac:dyDescent="0.25">
      <c r="A4551"/>
      <c r="B4551"/>
    </row>
    <row r="4552" spans="1:2" x14ac:dyDescent="0.25">
      <c r="A4552"/>
      <c r="B4552"/>
    </row>
    <row r="4553" spans="1:2" x14ac:dyDescent="0.25">
      <c r="A4553"/>
      <c r="B4553"/>
    </row>
    <row r="4554" spans="1:2" x14ac:dyDescent="0.25">
      <c r="A4554"/>
      <c r="B4554"/>
    </row>
    <row r="4555" spans="1:2" x14ac:dyDescent="0.25">
      <c r="A4555"/>
      <c r="B4555"/>
    </row>
    <row r="4556" spans="1:2" x14ac:dyDescent="0.25">
      <c r="A4556"/>
      <c r="B4556"/>
    </row>
    <row r="4557" spans="1:2" x14ac:dyDescent="0.25">
      <c r="A4557"/>
      <c r="B4557"/>
    </row>
    <row r="4558" spans="1:2" x14ac:dyDescent="0.25">
      <c r="A4558"/>
      <c r="B4558"/>
    </row>
    <row r="4559" spans="1:2" x14ac:dyDescent="0.25">
      <c r="A4559"/>
      <c r="B4559"/>
    </row>
    <row r="4560" spans="1:2" x14ac:dyDescent="0.25">
      <c r="A4560"/>
      <c r="B4560"/>
    </row>
    <row r="4561" spans="1:2" x14ac:dyDescent="0.25">
      <c r="A4561"/>
      <c r="B4561"/>
    </row>
    <row r="4562" spans="1:2" x14ac:dyDescent="0.25">
      <c r="A4562"/>
      <c r="B4562"/>
    </row>
    <row r="4563" spans="1:2" x14ac:dyDescent="0.25">
      <c r="A4563"/>
      <c r="B4563"/>
    </row>
    <row r="4564" spans="1:2" x14ac:dyDescent="0.25">
      <c r="A4564"/>
      <c r="B4564"/>
    </row>
    <row r="4565" spans="1:2" x14ac:dyDescent="0.25">
      <c r="A4565"/>
      <c r="B4565"/>
    </row>
    <row r="4566" spans="1:2" x14ac:dyDescent="0.25">
      <c r="A4566"/>
      <c r="B4566"/>
    </row>
    <row r="4567" spans="1:2" x14ac:dyDescent="0.25">
      <c r="A4567"/>
      <c r="B4567"/>
    </row>
    <row r="4568" spans="1:2" x14ac:dyDescent="0.25">
      <c r="A4568"/>
      <c r="B4568"/>
    </row>
    <row r="4569" spans="1:2" x14ac:dyDescent="0.25">
      <c r="A4569"/>
      <c r="B4569"/>
    </row>
    <row r="4570" spans="1:2" x14ac:dyDescent="0.25">
      <c r="A4570"/>
      <c r="B4570"/>
    </row>
    <row r="4571" spans="1:2" x14ac:dyDescent="0.25">
      <c r="A4571"/>
      <c r="B4571"/>
    </row>
    <row r="4572" spans="1:2" x14ac:dyDescent="0.25">
      <c r="A4572"/>
      <c r="B4572"/>
    </row>
    <row r="4573" spans="1:2" x14ac:dyDescent="0.25">
      <c r="A4573"/>
      <c r="B4573"/>
    </row>
    <row r="4574" spans="1:2" x14ac:dyDescent="0.25">
      <c r="A4574"/>
      <c r="B4574"/>
    </row>
    <row r="4575" spans="1:2" x14ac:dyDescent="0.25">
      <c r="A4575"/>
      <c r="B4575"/>
    </row>
    <row r="4576" spans="1:2" x14ac:dyDescent="0.25">
      <c r="A4576"/>
      <c r="B4576"/>
    </row>
    <row r="4577" spans="1:2" x14ac:dyDescent="0.25">
      <c r="A4577"/>
      <c r="B4577"/>
    </row>
    <row r="4578" spans="1:2" x14ac:dyDescent="0.25">
      <c r="A4578"/>
      <c r="B4578"/>
    </row>
    <row r="4579" spans="1:2" x14ac:dyDescent="0.25">
      <c r="A4579"/>
      <c r="B4579"/>
    </row>
    <row r="4580" spans="1:2" x14ac:dyDescent="0.25">
      <c r="A4580"/>
      <c r="B4580"/>
    </row>
    <row r="4581" spans="1:2" x14ac:dyDescent="0.25">
      <c r="A4581"/>
      <c r="B4581"/>
    </row>
    <row r="4582" spans="1:2" x14ac:dyDescent="0.25">
      <c r="A4582"/>
      <c r="B4582"/>
    </row>
    <row r="4583" spans="1:2" x14ac:dyDescent="0.25">
      <c r="A4583"/>
      <c r="B4583"/>
    </row>
    <row r="4584" spans="1:2" x14ac:dyDescent="0.25">
      <c r="A4584"/>
      <c r="B4584"/>
    </row>
    <row r="4585" spans="1:2" x14ac:dyDescent="0.25">
      <c r="A4585"/>
      <c r="B4585"/>
    </row>
    <row r="4586" spans="1:2" x14ac:dyDescent="0.25">
      <c r="A4586"/>
      <c r="B4586"/>
    </row>
    <row r="4587" spans="1:2" x14ac:dyDescent="0.25">
      <c r="A4587"/>
      <c r="B4587"/>
    </row>
    <row r="4588" spans="1:2" x14ac:dyDescent="0.25">
      <c r="A4588"/>
      <c r="B4588"/>
    </row>
    <row r="4589" spans="1:2" x14ac:dyDescent="0.25">
      <c r="A4589"/>
      <c r="B4589"/>
    </row>
    <row r="4590" spans="1:2" x14ac:dyDescent="0.25">
      <c r="A4590"/>
      <c r="B4590"/>
    </row>
    <row r="4591" spans="1:2" x14ac:dyDescent="0.25">
      <c r="A4591"/>
      <c r="B4591"/>
    </row>
    <row r="4592" spans="1:2" x14ac:dyDescent="0.25">
      <c r="A4592"/>
      <c r="B4592"/>
    </row>
    <row r="4593" spans="1:2" x14ac:dyDescent="0.25">
      <c r="A4593"/>
      <c r="B4593"/>
    </row>
    <row r="4594" spans="1:2" x14ac:dyDescent="0.25">
      <c r="A4594"/>
      <c r="B4594"/>
    </row>
    <row r="4595" spans="1:2" x14ac:dyDescent="0.25">
      <c r="A4595"/>
      <c r="B4595"/>
    </row>
    <row r="4596" spans="1:2" x14ac:dyDescent="0.25">
      <c r="A4596"/>
      <c r="B4596"/>
    </row>
    <row r="4597" spans="1:2" x14ac:dyDescent="0.25">
      <c r="A4597"/>
      <c r="B4597"/>
    </row>
    <row r="4598" spans="1:2" x14ac:dyDescent="0.25">
      <c r="A4598"/>
      <c r="B4598"/>
    </row>
    <row r="4599" spans="1:2" x14ac:dyDescent="0.25">
      <c r="A4599"/>
      <c r="B4599"/>
    </row>
    <row r="4600" spans="1:2" x14ac:dyDescent="0.25">
      <c r="A4600"/>
      <c r="B4600"/>
    </row>
    <row r="4601" spans="1:2" x14ac:dyDescent="0.25">
      <c r="A4601"/>
      <c r="B4601"/>
    </row>
    <row r="4602" spans="1:2" x14ac:dyDescent="0.25">
      <c r="A4602"/>
      <c r="B4602"/>
    </row>
    <row r="4603" spans="1:2" x14ac:dyDescent="0.25">
      <c r="A4603"/>
      <c r="B4603"/>
    </row>
    <row r="4604" spans="1:2" x14ac:dyDescent="0.25">
      <c r="A4604"/>
      <c r="B4604"/>
    </row>
    <row r="4605" spans="1:2" x14ac:dyDescent="0.25">
      <c r="A4605"/>
      <c r="B4605"/>
    </row>
    <row r="4606" spans="1:2" x14ac:dyDescent="0.25">
      <c r="A4606"/>
      <c r="B4606"/>
    </row>
    <row r="4607" spans="1:2" x14ac:dyDescent="0.25">
      <c r="A4607"/>
      <c r="B4607"/>
    </row>
    <row r="4608" spans="1:2" x14ac:dyDescent="0.25">
      <c r="A4608"/>
      <c r="B4608"/>
    </row>
    <row r="4609" spans="1:2" x14ac:dyDescent="0.25">
      <c r="A4609"/>
      <c r="B4609"/>
    </row>
    <row r="4610" spans="1:2" x14ac:dyDescent="0.25">
      <c r="A4610"/>
      <c r="B4610"/>
    </row>
    <row r="4611" spans="1:2" x14ac:dyDescent="0.25">
      <c r="A4611"/>
      <c r="B4611"/>
    </row>
    <row r="4612" spans="1:2" x14ac:dyDescent="0.25">
      <c r="A4612"/>
      <c r="B4612"/>
    </row>
    <row r="4613" spans="1:2" x14ac:dyDescent="0.25">
      <c r="A4613"/>
      <c r="B4613"/>
    </row>
    <row r="4614" spans="1:2" x14ac:dyDescent="0.25">
      <c r="A4614"/>
      <c r="B4614"/>
    </row>
    <row r="4615" spans="1:2" x14ac:dyDescent="0.25">
      <c r="A4615"/>
      <c r="B4615"/>
    </row>
    <row r="4616" spans="1:2" x14ac:dyDescent="0.25">
      <c r="A4616"/>
      <c r="B4616"/>
    </row>
    <row r="4617" spans="1:2" x14ac:dyDescent="0.25">
      <c r="A4617"/>
      <c r="B4617"/>
    </row>
    <row r="4618" spans="1:2" x14ac:dyDescent="0.25">
      <c r="A4618"/>
      <c r="B4618"/>
    </row>
    <row r="4619" spans="1:2" x14ac:dyDescent="0.25">
      <c r="A4619"/>
      <c r="B4619"/>
    </row>
    <row r="4620" spans="1:2" x14ac:dyDescent="0.25">
      <c r="A4620"/>
      <c r="B4620"/>
    </row>
    <row r="4621" spans="1:2" x14ac:dyDescent="0.25">
      <c r="A4621"/>
      <c r="B4621"/>
    </row>
    <row r="4622" spans="1:2" x14ac:dyDescent="0.25">
      <c r="A4622"/>
      <c r="B4622"/>
    </row>
    <row r="4623" spans="1:2" x14ac:dyDescent="0.25">
      <c r="A4623"/>
      <c r="B4623"/>
    </row>
    <row r="4624" spans="1:2" x14ac:dyDescent="0.25">
      <c r="A4624"/>
      <c r="B4624"/>
    </row>
    <row r="4625" spans="1:2" x14ac:dyDescent="0.25">
      <c r="A4625"/>
      <c r="B4625"/>
    </row>
    <row r="4626" spans="1:2" x14ac:dyDescent="0.25">
      <c r="A4626"/>
      <c r="B4626"/>
    </row>
    <row r="4627" spans="1:2" x14ac:dyDescent="0.25">
      <c r="A4627"/>
      <c r="B4627"/>
    </row>
    <row r="4628" spans="1:2" x14ac:dyDescent="0.25">
      <c r="A4628"/>
      <c r="B4628"/>
    </row>
    <row r="4629" spans="1:2" x14ac:dyDescent="0.25">
      <c r="A4629"/>
      <c r="B4629"/>
    </row>
    <row r="4630" spans="1:2" x14ac:dyDescent="0.25">
      <c r="A4630"/>
      <c r="B4630"/>
    </row>
    <row r="4631" spans="1:2" x14ac:dyDescent="0.25">
      <c r="A4631"/>
      <c r="B4631"/>
    </row>
    <row r="4632" spans="1:2" x14ac:dyDescent="0.25">
      <c r="A4632"/>
      <c r="B4632"/>
    </row>
    <row r="4633" spans="1:2" x14ac:dyDescent="0.25">
      <c r="A4633"/>
      <c r="B4633"/>
    </row>
    <row r="4634" spans="1:2" x14ac:dyDescent="0.25">
      <c r="A4634"/>
      <c r="B4634"/>
    </row>
    <row r="4635" spans="1:2" x14ac:dyDescent="0.25">
      <c r="A4635"/>
      <c r="B4635"/>
    </row>
    <row r="4636" spans="1:2" x14ac:dyDescent="0.25">
      <c r="A4636"/>
      <c r="B4636"/>
    </row>
    <row r="4637" spans="1:2" x14ac:dyDescent="0.25">
      <c r="A4637"/>
      <c r="B4637"/>
    </row>
    <row r="4638" spans="1:2" x14ac:dyDescent="0.25">
      <c r="A4638"/>
      <c r="B4638"/>
    </row>
    <row r="4639" spans="1:2" x14ac:dyDescent="0.25">
      <c r="A4639"/>
      <c r="B4639"/>
    </row>
    <row r="4640" spans="1:2" x14ac:dyDescent="0.25">
      <c r="A4640"/>
      <c r="B4640"/>
    </row>
    <row r="4641" spans="1:2" x14ac:dyDescent="0.25">
      <c r="A4641"/>
      <c r="B4641"/>
    </row>
    <row r="4642" spans="1:2" x14ac:dyDescent="0.25">
      <c r="A4642"/>
      <c r="B4642"/>
    </row>
    <row r="4643" spans="1:2" x14ac:dyDescent="0.25">
      <c r="A4643"/>
      <c r="B4643"/>
    </row>
    <row r="4644" spans="1:2" x14ac:dyDescent="0.25">
      <c r="A4644"/>
      <c r="B4644"/>
    </row>
    <row r="4645" spans="1:2" x14ac:dyDescent="0.25">
      <c r="A4645"/>
      <c r="B4645"/>
    </row>
    <row r="4646" spans="1:2" x14ac:dyDescent="0.25">
      <c r="A4646"/>
      <c r="B4646"/>
    </row>
    <row r="4647" spans="1:2" x14ac:dyDescent="0.25">
      <c r="A4647"/>
      <c r="B4647"/>
    </row>
    <row r="4648" spans="1:2" x14ac:dyDescent="0.25">
      <c r="A4648"/>
      <c r="B4648"/>
    </row>
    <row r="4649" spans="1:2" x14ac:dyDescent="0.25">
      <c r="A4649"/>
      <c r="B4649"/>
    </row>
    <row r="4650" spans="1:2" x14ac:dyDescent="0.25">
      <c r="A4650"/>
      <c r="B4650"/>
    </row>
    <row r="4651" spans="1:2" x14ac:dyDescent="0.25">
      <c r="A4651"/>
      <c r="B4651"/>
    </row>
    <row r="4652" spans="1:2" x14ac:dyDescent="0.25">
      <c r="A4652"/>
      <c r="B4652"/>
    </row>
    <row r="4653" spans="1:2" x14ac:dyDescent="0.25">
      <c r="A4653"/>
      <c r="B4653"/>
    </row>
    <row r="4654" spans="1:2" x14ac:dyDescent="0.25">
      <c r="A4654"/>
      <c r="B4654"/>
    </row>
    <row r="4655" spans="1:2" x14ac:dyDescent="0.25">
      <c r="A4655"/>
      <c r="B4655"/>
    </row>
    <row r="4656" spans="1:2" x14ac:dyDescent="0.25">
      <c r="A4656"/>
      <c r="B4656"/>
    </row>
    <row r="4657" spans="1:2" x14ac:dyDescent="0.25">
      <c r="A4657"/>
      <c r="B4657"/>
    </row>
    <row r="4658" spans="1:2" x14ac:dyDescent="0.25">
      <c r="A4658"/>
      <c r="B4658"/>
    </row>
    <row r="4659" spans="1:2" x14ac:dyDescent="0.25">
      <c r="A4659"/>
      <c r="B4659"/>
    </row>
    <row r="4660" spans="1:2" x14ac:dyDescent="0.25">
      <c r="A4660"/>
      <c r="B4660"/>
    </row>
    <row r="4661" spans="1:2" x14ac:dyDescent="0.25">
      <c r="A4661"/>
      <c r="B4661"/>
    </row>
    <row r="4662" spans="1:2" x14ac:dyDescent="0.25">
      <c r="A4662"/>
      <c r="B4662"/>
    </row>
    <row r="4663" spans="1:2" x14ac:dyDescent="0.25">
      <c r="A4663"/>
      <c r="B4663"/>
    </row>
    <row r="4664" spans="1:2" x14ac:dyDescent="0.25">
      <c r="A4664"/>
      <c r="B4664"/>
    </row>
    <row r="4665" spans="1:2" x14ac:dyDescent="0.25">
      <c r="A4665"/>
      <c r="B4665"/>
    </row>
    <row r="4666" spans="1:2" x14ac:dyDescent="0.25">
      <c r="A4666"/>
      <c r="B4666"/>
    </row>
    <row r="4667" spans="1:2" x14ac:dyDescent="0.25">
      <c r="A4667"/>
      <c r="B4667"/>
    </row>
    <row r="4668" spans="1:2" x14ac:dyDescent="0.25">
      <c r="A4668"/>
      <c r="B4668"/>
    </row>
    <row r="4669" spans="1:2" x14ac:dyDescent="0.25">
      <c r="A4669"/>
      <c r="B4669"/>
    </row>
    <row r="4670" spans="1:2" x14ac:dyDescent="0.25">
      <c r="A4670"/>
      <c r="B4670"/>
    </row>
    <row r="4671" spans="1:2" x14ac:dyDescent="0.25">
      <c r="A4671"/>
      <c r="B4671"/>
    </row>
    <row r="4672" spans="1:2" x14ac:dyDescent="0.25">
      <c r="A4672"/>
      <c r="B4672"/>
    </row>
    <row r="4673" spans="1:2" x14ac:dyDescent="0.25">
      <c r="A4673"/>
      <c r="B4673"/>
    </row>
    <row r="4674" spans="1:2" x14ac:dyDescent="0.25">
      <c r="A4674"/>
      <c r="B4674"/>
    </row>
    <row r="4675" spans="1:2" x14ac:dyDescent="0.25">
      <c r="A4675"/>
      <c r="B4675"/>
    </row>
    <row r="4676" spans="1:2" x14ac:dyDescent="0.25">
      <c r="A4676"/>
      <c r="B4676"/>
    </row>
    <row r="4677" spans="1:2" x14ac:dyDescent="0.25">
      <c r="A4677"/>
      <c r="B4677"/>
    </row>
    <row r="4678" spans="1:2" x14ac:dyDescent="0.25">
      <c r="A4678"/>
      <c r="B4678"/>
    </row>
    <row r="4679" spans="1:2" x14ac:dyDescent="0.25">
      <c r="A4679"/>
      <c r="B4679"/>
    </row>
    <row r="4680" spans="1:2" x14ac:dyDescent="0.25">
      <c r="A4680"/>
      <c r="B4680"/>
    </row>
    <row r="4681" spans="1:2" x14ac:dyDescent="0.25">
      <c r="A4681"/>
      <c r="B4681"/>
    </row>
    <row r="4682" spans="1:2" x14ac:dyDescent="0.25">
      <c r="A4682"/>
      <c r="B4682"/>
    </row>
    <row r="4683" spans="1:2" x14ac:dyDescent="0.25">
      <c r="A4683"/>
      <c r="B4683"/>
    </row>
    <row r="4684" spans="1:2" x14ac:dyDescent="0.25">
      <c r="A4684"/>
      <c r="B4684"/>
    </row>
    <row r="4685" spans="1:2" x14ac:dyDescent="0.25">
      <c r="A4685"/>
      <c r="B4685"/>
    </row>
    <row r="4686" spans="1:2" x14ac:dyDescent="0.25">
      <c r="A4686"/>
      <c r="B4686"/>
    </row>
    <row r="4687" spans="1:2" x14ac:dyDescent="0.25">
      <c r="A4687"/>
      <c r="B4687"/>
    </row>
    <row r="4688" spans="1:2" x14ac:dyDescent="0.25">
      <c r="A4688"/>
      <c r="B4688"/>
    </row>
    <row r="4689" spans="1:2" x14ac:dyDescent="0.25">
      <c r="A4689"/>
      <c r="B4689"/>
    </row>
    <row r="4690" spans="1:2" x14ac:dyDescent="0.25">
      <c r="A4690"/>
      <c r="B4690"/>
    </row>
    <row r="4691" spans="1:2" x14ac:dyDescent="0.25">
      <c r="A4691"/>
      <c r="B4691"/>
    </row>
    <row r="4692" spans="1:2" x14ac:dyDescent="0.25">
      <c r="A4692"/>
      <c r="B4692"/>
    </row>
    <row r="4693" spans="1:2" x14ac:dyDescent="0.25">
      <c r="A4693"/>
      <c r="B4693"/>
    </row>
    <row r="4694" spans="1:2" x14ac:dyDescent="0.25">
      <c r="A4694"/>
      <c r="B4694"/>
    </row>
    <row r="4695" spans="1:2" x14ac:dyDescent="0.25">
      <c r="A4695"/>
      <c r="B4695"/>
    </row>
    <row r="4696" spans="1:2" x14ac:dyDescent="0.25">
      <c r="A4696"/>
      <c r="B4696"/>
    </row>
    <row r="4697" spans="1:2" x14ac:dyDescent="0.25">
      <c r="A4697"/>
      <c r="B4697"/>
    </row>
    <row r="4698" spans="1:2" x14ac:dyDescent="0.25">
      <c r="A4698"/>
      <c r="B4698"/>
    </row>
    <row r="4699" spans="1:2" x14ac:dyDescent="0.25">
      <c r="A4699"/>
      <c r="B4699"/>
    </row>
    <row r="4700" spans="1:2" x14ac:dyDescent="0.25">
      <c r="A4700"/>
      <c r="B4700"/>
    </row>
    <row r="4701" spans="1:2" x14ac:dyDescent="0.25">
      <c r="A4701"/>
      <c r="B4701"/>
    </row>
    <row r="4702" spans="1:2" x14ac:dyDescent="0.25">
      <c r="A4702"/>
      <c r="B4702"/>
    </row>
    <row r="4703" spans="1:2" x14ac:dyDescent="0.25">
      <c r="A4703"/>
      <c r="B4703"/>
    </row>
    <row r="4704" spans="1:2" x14ac:dyDescent="0.25">
      <c r="A4704"/>
      <c r="B4704"/>
    </row>
    <row r="4705" spans="1:2" x14ac:dyDescent="0.25">
      <c r="A4705"/>
      <c r="B4705"/>
    </row>
    <row r="4706" spans="1:2" x14ac:dyDescent="0.25">
      <c r="A4706"/>
      <c r="B4706"/>
    </row>
    <row r="4707" spans="1:2" x14ac:dyDescent="0.25">
      <c r="A4707"/>
      <c r="B4707"/>
    </row>
    <row r="4708" spans="1:2" x14ac:dyDescent="0.25">
      <c r="A4708"/>
      <c r="B4708"/>
    </row>
    <row r="4709" spans="1:2" x14ac:dyDescent="0.25">
      <c r="A4709"/>
      <c r="B4709"/>
    </row>
    <row r="4710" spans="1:2" x14ac:dyDescent="0.25">
      <c r="A4710"/>
      <c r="B4710"/>
    </row>
    <row r="4711" spans="1:2" x14ac:dyDescent="0.25">
      <c r="A4711"/>
      <c r="B4711"/>
    </row>
    <row r="4712" spans="1:2" x14ac:dyDescent="0.25">
      <c r="A4712"/>
      <c r="B4712"/>
    </row>
    <row r="4713" spans="1:2" x14ac:dyDescent="0.25">
      <c r="A4713"/>
      <c r="B4713"/>
    </row>
    <row r="4714" spans="1:2" x14ac:dyDescent="0.25">
      <c r="A4714"/>
      <c r="B4714"/>
    </row>
    <row r="4715" spans="1:2" x14ac:dyDescent="0.25">
      <c r="A4715"/>
      <c r="B4715"/>
    </row>
    <row r="4716" spans="1:2" x14ac:dyDescent="0.25">
      <c r="A4716"/>
      <c r="B4716"/>
    </row>
    <row r="4717" spans="1:2" x14ac:dyDescent="0.25">
      <c r="A4717"/>
      <c r="B4717"/>
    </row>
    <row r="4718" spans="1:2" x14ac:dyDescent="0.25">
      <c r="A4718"/>
      <c r="B4718"/>
    </row>
    <row r="4719" spans="1:2" x14ac:dyDescent="0.25">
      <c r="A4719"/>
      <c r="B4719"/>
    </row>
    <row r="4720" spans="1:2" x14ac:dyDescent="0.25">
      <c r="A4720"/>
      <c r="B4720"/>
    </row>
    <row r="4721" spans="1:2" x14ac:dyDescent="0.25">
      <c r="A4721"/>
      <c r="B4721"/>
    </row>
    <row r="4722" spans="1:2" x14ac:dyDescent="0.25">
      <c r="A4722"/>
      <c r="B4722"/>
    </row>
    <row r="4723" spans="1:2" x14ac:dyDescent="0.25">
      <c r="A4723"/>
      <c r="B4723"/>
    </row>
    <row r="4724" spans="1:2" x14ac:dyDescent="0.25">
      <c r="A4724"/>
      <c r="B4724"/>
    </row>
    <row r="4725" spans="1:2" x14ac:dyDescent="0.25">
      <c r="A4725"/>
      <c r="B4725"/>
    </row>
    <row r="4726" spans="1:2" x14ac:dyDescent="0.25">
      <c r="A4726"/>
      <c r="B4726"/>
    </row>
    <row r="4727" spans="1:2" x14ac:dyDescent="0.25">
      <c r="A4727"/>
      <c r="B4727"/>
    </row>
    <row r="4728" spans="1:2" x14ac:dyDescent="0.25">
      <c r="A4728"/>
      <c r="B4728"/>
    </row>
    <row r="4729" spans="1:2" x14ac:dyDescent="0.25">
      <c r="A4729"/>
      <c r="B4729"/>
    </row>
    <row r="4730" spans="1:2" x14ac:dyDescent="0.25">
      <c r="A4730"/>
      <c r="B4730"/>
    </row>
    <row r="4731" spans="1:2" x14ac:dyDescent="0.25">
      <c r="A4731"/>
      <c r="B4731"/>
    </row>
    <row r="4732" spans="1:2" x14ac:dyDescent="0.25">
      <c r="A4732"/>
      <c r="B4732"/>
    </row>
    <row r="4733" spans="1:2" x14ac:dyDescent="0.25">
      <c r="A4733"/>
      <c r="B4733"/>
    </row>
    <row r="4734" spans="1:2" x14ac:dyDescent="0.25">
      <c r="A4734"/>
      <c r="B4734"/>
    </row>
    <row r="4735" spans="1:2" x14ac:dyDescent="0.25">
      <c r="A4735"/>
      <c r="B4735"/>
    </row>
    <row r="4736" spans="1:2" x14ac:dyDescent="0.25">
      <c r="A4736"/>
      <c r="B4736"/>
    </row>
    <row r="4737" spans="1:2" x14ac:dyDescent="0.25">
      <c r="A4737"/>
      <c r="B4737"/>
    </row>
    <row r="4738" spans="1:2" x14ac:dyDescent="0.25">
      <c r="A4738"/>
      <c r="B4738"/>
    </row>
    <row r="4739" spans="1:2" x14ac:dyDescent="0.25">
      <c r="A4739"/>
      <c r="B4739"/>
    </row>
    <row r="4740" spans="1:2" x14ac:dyDescent="0.25">
      <c r="A4740"/>
      <c r="B4740"/>
    </row>
    <row r="4741" spans="1:2" x14ac:dyDescent="0.25">
      <c r="A4741"/>
      <c r="B4741"/>
    </row>
    <row r="4742" spans="1:2" x14ac:dyDescent="0.25">
      <c r="A4742"/>
      <c r="B4742"/>
    </row>
    <row r="4743" spans="1:2" x14ac:dyDescent="0.25">
      <c r="A4743"/>
      <c r="B4743"/>
    </row>
    <row r="4744" spans="1:2" x14ac:dyDescent="0.25">
      <c r="A4744"/>
      <c r="B4744"/>
    </row>
    <row r="4745" spans="1:2" x14ac:dyDescent="0.25">
      <c r="A4745"/>
      <c r="B4745"/>
    </row>
    <row r="4746" spans="1:2" x14ac:dyDescent="0.25">
      <c r="A4746"/>
      <c r="B4746"/>
    </row>
    <row r="4747" spans="1:2" x14ac:dyDescent="0.25">
      <c r="A4747"/>
      <c r="B4747"/>
    </row>
    <row r="4748" spans="1:2" x14ac:dyDescent="0.25">
      <c r="A4748"/>
      <c r="B4748"/>
    </row>
    <row r="4749" spans="1:2" x14ac:dyDescent="0.25">
      <c r="A4749"/>
      <c r="B4749"/>
    </row>
    <row r="4750" spans="1:2" x14ac:dyDescent="0.25">
      <c r="A4750"/>
      <c r="B4750"/>
    </row>
    <row r="4751" spans="1:2" x14ac:dyDescent="0.25">
      <c r="A4751"/>
      <c r="B4751"/>
    </row>
    <row r="4752" spans="1:2" x14ac:dyDescent="0.25">
      <c r="A4752"/>
      <c r="B4752"/>
    </row>
    <row r="4753" spans="1:2" x14ac:dyDescent="0.25">
      <c r="A4753"/>
      <c r="B4753"/>
    </row>
    <row r="4754" spans="1:2" x14ac:dyDescent="0.25">
      <c r="A4754"/>
      <c r="B4754"/>
    </row>
    <row r="4755" spans="1:2" x14ac:dyDescent="0.25">
      <c r="A4755"/>
      <c r="B4755"/>
    </row>
    <row r="4756" spans="1:2" x14ac:dyDescent="0.25">
      <c r="A4756"/>
      <c r="B4756"/>
    </row>
    <row r="4757" spans="1:2" x14ac:dyDescent="0.25">
      <c r="A4757"/>
      <c r="B4757"/>
    </row>
    <row r="4758" spans="1:2" x14ac:dyDescent="0.25">
      <c r="A4758"/>
      <c r="B4758"/>
    </row>
    <row r="4759" spans="1:2" x14ac:dyDescent="0.25">
      <c r="A4759"/>
      <c r="B4759"/>
    </row>
    <row r="4760" spans="1:2" x14ac:dyDescent="0.25">
      <c r="A4760"/>
      <c r="B4760"/>
    </row>
    <row r="4761" spans="1:2" x14ac:dyDescent="0.25">
      <c r="A4761"/>
      <c r="B4761"/>
    </row>
    <row r="4762" spans="1:2" x14ac:dyDescent="0.25">
      <c r="A4762"/>
      <c r="B4762"/>
    </row>
    <row r="4763" spans="1:2" x14ac:dyDescent="0.25">
      <c r="A4763"/>
      <c r="B4763"/>
    </row>
    <row r="4764" spans="1:2" x14ac:dyDescent="0.25">
      <c r="A4764"/>
      <c r="B4764"/>
    </row>
    <row r="4765" spans="1:2" x14ac:dyDescent="0.25">
      <c r="A4765"/>
      <c r="B4765"/>
    </row>
    <row r="4766" spans="1:2" x14ac:dyDescent="0.25">
      <c r="A4766"/>
      <c r="B4766"/>
    </row>
    <row r="4767" spans="1:2" x14ac:dyDescent="0.25">
      <c r="A4767"/>
      <c r="B4767"/>
    </row>
    <row r="4768" spans="1:2" x14ac:dyDescent="0.25">
      <c r="A4768"/>
      <c r="B4768"/>
    </row>
    <row r="4769" spans="1:2" x14ac:dyDescent="0.25">
      <c r="A4769"/>
      <c r="B4769"/>
    </row>
    <row r="4770" spans="1:2" x14ac:dyDescent="0.25">
      <c r="A4770"/>
      <c r="B4770"/>
    </row>
    <row r="4771" spans="1:2" x14ac:dyDescent="0.25">
      <c r="A4771"/>
      <c r="B4771"/>
    </row>
    <row r="4772" spans="1:2" x14ac:dyDescent="0.25">
      <c r="A4772"/>
      <c r="B4772"/>
    </row>
    <row r="4773" spans="1:2" x14ac:dyDescent="0.25">
      <c r="A4773"/>
      <c r="B4773"/>
    </row>
    <row r="4774" spans="1:2" x14ac:dyDescent="0.25">
      <c r="A4774"/>
      <c r="B4774"/>
    </row>
    <row r="4775" spans="1:2" x14ac:dyDescent="0.25">
      <c r="A4775"/>
      <c r="B4775"/>
    </row>
    <row r="4776" spans="1:2" x14ac:dyDescent="0.25">
      <c r="A4776"/>
      <c r="B4776"/>
    </row>
    <row r="4777" spans="1:2" x14ac:dyDescent="0.25">
      <c r="A4777"/>
      <c r="B4777"/>
    </row>
    <row r="4778" spans="1:2" x14ac:dyDescent="0.25">
      <c r="A4778"/>
      <c r="B4778"/>
    </row>
    <row r="4779" spans="1:2" x14ac:dyDescent="0.25">
      <c r="A4779"/>
      <c r="B4779"/>
    </row>
    <row r="4780" spans="1:2" x14ac:dyDescent="0.25">
      <c r="A4780"/>
      <c r="B4780"/>
    </row>
    <row r="4781" spans="1:2" x14ac:dyDescent="0.25">
      <c r="A4781"/>
      <c r="B4781"/>
    </row>
    <row r="4782" spans="1:2" x14ac:dyDescent="0.25">
      <c r="A4782"/>
      <c r="B4782"/>
    </row>
    <row r="4783" spans="1:2" x14ac:dyDescent="0.25">
      <c r="A4783"/>
      <c r="B4783"/>
    </row>
    <row r="4784" spans="1:2" x14ac:dyDescent="0.25">
      <c r="A4784"/>
      <c r="B4784"/>
    </row>
    <row r="4785" spans="1:2" x14ac:dyDescent="0.25">
      <c r="A4785"/>
      <c r="B4785"/>
    </row>
    <row r="4786" spans="1:2" x14ac:dyDescent="0.25">
      <c r="A4786"/>
      <c r="B4786"/>
    </row>
    <row r="4787" spans="1:2" x14ac:dyDescent="0.25">
      <c r="A4787"/>
      <c r="B4787"/>
    </row>
    <row r="4788" spans="1:2" x14ac:dyDescent="0.25">
      <c r="A4788"/>
      <c r="B4788"/>
    </row>
    <row r="4789" spans="1:2" x14ac:dyDescent="0.25">
      <c r="A4789"/>
      <c r="B4789"/>
    </row>
    <row r="4790" spans="1:2" x14ac:dyDescent="0.25">
      <c r="A4790"/>
      <c r="B4790"/>
    </row>
    <row r="4791" spans="1:2" x14ac:dyDescent="0.25">
      <c r="A4791"/>
      <c r="B4791"/>
    </row>
    <row r="4792" spans="1:2" x14ac:dyDescent="0.25">
      <c r="A4792"/>
      <c r="B4792"/>
    </row>
    <row r="4793" spans="1:2" x14ac:dyDescent="0.25">
      <c r="A4793"/>
      <c r="B4793"/>
    </row>
    <row r="4794" spans="1:2" x14ac:dyDescent="0.25">
      <c r="A4794"/>
      <c r="B4794"/>
    </row>
    <row r="4795" spans="1:2" x14ac:dyDescent="0.25">
      <c r="A4795"/>
      <c r="B4795"/>
    </row>
    <row r="4796" spans="1:2" x14ac:dyDescent="0.25">
      <c r="A4796"/>
      <c r="B4796"/>
    </row>
    <row r="4797" spans="1:2" x14ac:dyDescent="0.25">
      <c r="A4797"/>
      <c r="B4797"/>
    </row>
    <row r="4798" spans="1:2" x14ac:dyDescent="0.25">
      <c r="A4798"/>
      <c r="B4798"/>
    </row>
    <row r="4799" spans="1:2" x14ac:dyDescent="0.25">
      <c r="A4799"/>
      <c r="B4799"/>
    </row>
    <row r="4800" spans="1:2" x14ac:dyDescent="0.25">
      <c r="A4800"/>
      <c r="B4800"/>
    </row>
    <row r="4801" spans="1:2" x14ac:dyDescent="0.25">
      <c r="A4801"/>
      <c r="B4801"/>
    </row>
    <row r="4802" spans="1:2" x14ac:dyDescent="0.25">
      <c r="A4802"/>
      <c r="B4802"/>
    </row>
    <row r="4803" spans="1:2" x14ac:dyDescent="0.25">
      <c r="A4803"/>
      <c r="B4803"/>
    </row>
    <row r="4804" spans="1:2" x14ac:dyDescent="0.25">
      <c r="A4804"/>
      <c r="B4804"/>
    </row>
    <row r="4805" spans="1:2" x14ac:dyDescent="0.25">
      <c r="A4805"/>
      <c r="B4805"/>
    </row>
    <row r="4806" spans="1:2" x14ac:dyDescent="0.25">
      <c r="A4806"/>
      <c r="B4806"/>
    </row>
    <row r="4807" spans="1:2" x14ac:dyDescent="0.25">
      <c r="A4807"/>
      <c r="B4807"/>
    </row>
    <row r="4808" spans="1:2" x14ac:dyDescent="0.25">
      <c r="A4808"/>
      <c r="B4808"/>
    </row>
    <row r="4809" spans="1:2" x14ac:dyDescent="0.25">
      <c r="A4809"/>
      <c r="B4809"/>
    </row>
    <row r="4810" spans="1:2" x14ac:dyDescent="0.25">
      <c r="A4810"/>
      <c r="B4810"/>
    </row>
    <row r="4811" spans="1:2" x14ac:dyDescent="0.25">
      <c r="A4811"/>
      <c r="B4811"/>
    </row>
    <row r="4812" spans="1:2" x14ac:dyDescent="0.25">
      <c r="A4812"/>
      <c r="B4812"/>
    </row>
    <row r="4813" spans="1:2" x14ac:dyDescent="0.25">
      <c r="A4813"/>
      <c r="B4813"/>
    </row>
    <row r="4814" spans="1:2" x14ac:dyDescent="0.25">
      <c r="A4814"/>
      <c r="B4814"/>
    </row>
    <row r="4815" spans="1:2" x14ac:dyDescent="0.25">
      <c r="A4815"/>
      <c r="B4815"/>
    </row>
    <row r="4816" spans="1:2" x14ac:dyDescent="0.25">
      <c r="A4816"/>
      <c r="B4816"/>
    </row>
    <row r="4817" spans="1:2" x14ac:dyDescent="0.25">
      <c r="A4817"/>
      <c r="B4817"/>
    </row>
    <row r="4818" spans="1:2" x14ac:dyDescent="0.25">
      <c r="A4818"/>
      <c r="B4818"/>
    </row>
    <row r="4819" spans="1:2" x14ac:dyDescent="0.25">
      <c r="A4819"/>
      <c r="B4819"/>
    </row>
    <row r="4820" spans="1:2" x14ac:dyDescent="0.25">
      <c r="A4820"/>
      <c r="B4820"/>
    </row>
    <row r="4821" spans="1:2" x14ac:dyDescent="0.25">
      <c r="A4821"/>
      <c r="B4821"/>
    </row>
    <row r="4822" spans="1:2" x14ac:dyDescent="0.25">
      <c r="A4822"/>
      <c r="B4822"/>
    </row>
    <row r="4823" spans="1:2" x14ac:dyDescent="0.25">
      <c r="A4823"/>
      <c r="B4823"/>
    </row>
    <row r="4824" spans="1:2" x14ac:dyDescent="0.25">
      <c r="A4824"/>
      <c r="B4824"/>
    </row>
    <row r="4825" spans="1:2" x14ac:dyDescent="0.25">
      <c r="A4825"/>
      <c r="B4825"/>
    </row>
    <row r="4826" spans="1:2" x14ac:dyDescent="0.25">
      <c r="A4826"/>
      <c r="B4826"/>
    </row>
    <row r="4827" spans="1:2" x14ac:dyDescent="0.25">
      <c r="A4827"/>
      <c r="B4827"/>
    </row>
    <row r="4828" spans="1:2" x14ac:dyDescent="0.25">
      <c r="A4828"/>
      <c r="B4828"/>
    </row>
    <row r="4829" spans="1:2" x14ac:dyDescent="0.25">
      <c r="A4829"/>
      <c r="B4829"/>
    </row>
    <row r="4830" spans="1:2" x14ac:dyDescent="0.25">
      <c r="A4830"/>
      <c r="B4830"/>
    </row>
    <row r="4831" spans="1:2" x14ac:dyDescent="0.25">
      <c r="A4831"/>
      <c r="B4831"/>
    </row>
    <row r="4832" spans="1:2" x14ac:dyDescent="0.25">
      <c r="A4832"/>
      <c r="B4832"/>
    </row>
    <row r="4833" spans="1:2" x14ac:dyDescent="0.25">
      <c r="A4833"/>
      <c r="B4833"/>
    </row>
    <row r="4834" spans="1:2" x14ac:dyDescent="0.25">
      <c r="A4834"/>
      <c r="B4834"/>
    </row>
    <row r="4835" spans="1:2" x14ac:dyDescent="0.25">
      <c r="A4835"/>
      <c r="B4835"/>
    </row>
    <row r="4836" spans="1:2" x14ac:dyDescent="0.25">
      <c r="A4836"/>
      <c r="B4836"/>
    </row>
    <row r="4837" spans="1:2" x14ac:dyDescent="0.25">
      <c r="A4837"/>
      <c r="B4837"/>
    </row>
    <row r="4838" spans="1:2" x14ac:dyDescent="0.25">
      <c r="A4838"/>
      <c r="B4838"/>
    </row>
    <row r="4839" spans="1:2" x14ac:dyDescent="0.25">
      <c r="A4839"/>
      <c r="B4839"/>
    </row>
    <row r="4840" spans="1:2" x14ac:dyDescent="0.25">
      <c r="A4840"/>
      <c r="B4840"/>
    </row>
    <row r="4841" spans="1:2" x14ac:dyDescent="0.25">
      <c r="A4841"/>
      <c r="B4841"/>
    </row>
    <row r="4842" spans="1:2" x14ac:dyDescent="0.25">
      <c r="A4842"/>
      <c r="B4842"/>
    </row>
    <row r="4843" spans="1:2" x14ac:dyDescent="0.25">
      <c r="A4843"/>
      <c r="B4843"/>
    </row>
    <row r="4844" spans="1:2" x14ac:dyDescent="0.25">
      <c r="A4844"/>
      <c r="B4844"/>
    </row>
    <row r="4845" spans="1:2" x14ac:dyDescent="0.25">
      <c r="A4845"/>
      <c r="B4845"/>
    </row>
    <row r="4846" spans="1:2" x14ac:dyDescent="0.25">
      <c r="A4846"/>
      <c r="B4846"/>
    </row>
    <row r="4847" spans="1:2" x14ac:dyDescent="0.25">
      <c r="A4847"/>
      <c r="B4847"/>
    </row>
    <row r="4848" spans="1:2" x14ac:dyDescent="0.25">
      <c r="A4848"/>
      <c r="B4848"/>
    </row>
    <row r="4849" spans="1:2" x14ac:dyDescent="0.25">
      <c r="A4849"/>
      <c r="B4849"/>
    </row>
    <row r="4850" spans="1:2" x14ac:dyDescent="0.25">
      <c r="A4850"/>
      <c r="B4850"/>
    </row>
    <row r="4851" spans="1:2" x14ac:dyDescent="0.25">
      <c r="A4851"/>
      <c r="B4851"/>
    </row>
    <row r="4852" spans="1:2" x14ac:dyDescent="0.25">
      <c r="A4852"/>
      <c r="B4852"/>
    </row>
    <row r="4853" spans="1:2" x14ac:dyDescent="0.25">
      <c r="A4853"/>
      <c r="B4853"/>
    </row>
    <row r="4854" spans="1:2" x14ac:dyDescent="0.25">
      <c r="A4854"/>
      <c r="B4854"/>
    </row>
    <row r="4855" spans="1:2" x14ac:dyDescent="0.25">
      <c r="A4855"/>
      <c r="B4855"/>
    </row>
    <row r="4856" spans="1:2" x14ac:dyDescent="0.25">
      <c r="A4856"/>
      <c r="B4856"/>
    </row>
    <row r="4857" spans="1:2" x14ac:dyDescent="0.25">
      <c r="A4857"/>
      <c r="B4857"/>
    </row>
    <row r="4858" spans="1:2" x14ac:dyDescent="0.25">
      <c r="A4858"/>
      <c r="B4858"/>
    </row>
    <row r="4859" spans="1:2" x14ac:dyDescent="0.25">
      <c r="A4859"/>
      <c r="B4859"/>
    </row>
    <row r="4860" spans="1:2" x14ac:dyDescent="0.25">
      <c r="A4860"/>
      <c r="B4860"/>
    </row>
    <row r="4861" spans="1:2" x14ac:dyDescent="0.25">
      <c r="A4861"/>
      <c r="B4861"/>
    </row>
    <row r="4862" spans="1:2" x14ac:dyDescent="0.25">
      <c r="A4862"/>
      <c r="B4862"/>
    </row>
    <row r="4863" spans="1:2" x14ac:dyDescent="0.25">
      <c r="A4863"/>
      <c r="B4863"/>
    </row>
    <row r="4864" spans="1:2" x14ac:dyDescent="0.25">
      <c r="A4864"/>
      <c r="B4864"/>
    </row>
    <row r="4865" spans="1:2" x14ac:dyDescent="0.25">
      <c r="A4865"/>
      <c r="B4865"/>
    </row>
    <row r="4866" spans="1:2" x14ac:dyDescent="0.25">
      <c r="A4866"/>
      <c r="B4866"/>
    </row>
    <row r="4867" spans="1:2" x14ac:dyDescent="0.25">
      <c r="A4867"/>
      <c r="B4867"/>
    </row>
    <row r="4868" spans="1:2" x14ac:dyDescent="0.25">
      <c r="A4868"/>
      <c r="B4868"/>
    </row>
    <row r="4869" spans="1:2" x14ac:dyDescent="0.25">
      <c r="A4869"/>
      <c r="B4869"/>
    </row>
    <row r="4870" spans="1:2" x14ac:dyDescent="0.25">
      <c r="A4870"/>
      <c r="B4870"/>
    </row>
    <row r="4871" spans="1:2" x14ac:dyDescent="0.25">
      <c r="A4871"/>
      <c r="B4871"/>
    </row>
    <row r="4872" spans="1:2" x14ac:dyDescent="0.25">
      <c r="A4872"/>
      <c r="B4872"/>
    </row>
    <row r="4873" spans="1:2" x14ac:dyDescent="0.25">
      <c r="A4873"/>
      <c r="B4873"/>
    </row>
    <row r="4874" spans="1:2" x14ac:dyDescent="0.25">
      <c r="A4874"/>
      <c r="B4874"/>
    </row>
    <row r="4875" spans="1:2" x14ac:dyDescent="0.25">
      <c r="A4875"/>
      <c r="B4875"/>
    </row>
    <row r="4876" spans="1:2" x14ac:dyDescent="0.25">
      <c r="A4876"/>
      <c r="B4876"/>
    </row>
    <row r="4877" spans="1:2" x14ac:dyDescent="0.25">
      <c r="A4877"/>
      <c r="B4877"/>
    </row>
    <row r="4878" spans="1:2" x14ac:dyDescent="0.25">
      <c r="A4878"/>
      <c r="B4878"/>
    </row>
    <row r="4879" spans="1:2" x14ac:dyDescent="0.25">
      <c r="A4879"/>
      <c r="B4879"/>
    </row>
    <row r="4880" spans="1:2" x14ac:dyDescent="0.25">
      <c r="A4880"/>
      <c r="B4880"/>
    </row>
    <row r="4881" spans="1:2" x14ac:dyDescent="0.25">
      <c r="A4881"/>
      <c r="B4881"/>
    </row>
    <row r="4882" spans="1:2" x14ac:dyDescent="0.25">
      <c r="A4882"/>
      <c r="B4882"/>
    </row>
    <row r="4883" spans="1:2" x14ac:dyDescent="0.25">
      <c r="A4883"/>
      <c r="B4883"/>
    </row>
    <row r="4884" spans="1:2" x14ac:dyDescent="0.25">
      <c r="A4884"/>
      <c r="B4884"/>
    </row>
    <row r="4885" spans="1:2" x14ac:dyDescent="0.25">
      <c r="A4885"/>
      <c r="B4885"/>
    </row>
    <row r="4886" spans="1:2" x14ac:dyDescent="0.25">
      <c r="A4886"/>
      <c r="B4886"/>
    </row>
    <row r="4887" spans="1:2" x14ac:dyDescent="0.25">
      <c r="A4887"/>
      <c r="B4887"/>
    </row>
    <row r="4888" spans="1:2" x14ac:dyDescent="0.25">
      <c r="A4888"/>
      <c r="B4888"/>
    </row>
    <row r="4889" spans="1:2" x14ac:dyDescent="0.25">
      <c r="A4889"/>
      <c r="B4889"/>
    </row>
    <row r="4890" spans="1:2" x14ac:dyDescent="0.25">
      <c r="A4890"/>
      <c r="B4890"/>
    </row>
    <row r="4891" spans="1:2" x14ac:dyDescent="0.25">
      <c r="A4891"/>
      <c r="B4891"/>
    </row>
    <row r="4892" spans="1:2" x14ac:dyDescent="0.25">
      <c r="A4892"/>
      <c r="B4892"/>
    </row>
    <row r="4893" spans="1:2" x14ac:dyDescent="0.25">
      <c r="A4893"/>
      <c r="B4893"/>
    </row>
    <row r="4894" spans="1:2" x14ac:dyDescent="0.25">
      <c r="A4894"/>
      <c r="B4894"/>
    </row>
    <row r="4895" spans="1:2" x14ac:dyDescent="0.25">
      <c r="A4895"/>
      <c r="B4895"/>
    </row>
    <row r="4896" spans="1:2" x14ac:dyDescent="0.25">
      <c r="A4896"/>
      <c r="B4896"/>
    </row>
    <row r="4897" spans="1:2" x14ac:dyDescent="0.25">
      <c r="A4897"/>
      <c r="B4897"/>
    </row>
    <row r="4898" spans="1:2" x14ac:dyDescent="0.25">
      <c r="A4898"/>
      <c r="B4898"/>
    </row>
    <row r="4899" spans="1:2" x14ac:dyDescent="0.25">
      <c r="A4899"/>
      <c r="B4899"/>
    </row>
    <row r="4900" spans="1:2" x14ac:dyDescent="0.25">
      <c r="A4900"/>
      <c r="B4900"/>
    </row>
    <row r="4901" spans="1:2" x14ac:dyDescent="0.25">
      <c r="A4901"/>
      <c r="B4901"/>
    </row>
    <row r="4902" spans="1:2" x14ac:dyDescent="0.25">
      <c r="A4902"/>
      <c r="B4902"/>
    </row>
    <row r="4903" spans="1:2" x14ac:dyDescent="0.25">
      <c r="A4903"/>
      <c r="B4903"/>
    </row>
    <row r="4904" spans="1:2" x14ac:dyDescent="0.25">
      <c r="A4904"/>
      <c r="B4904"/>
    </row>
    <row r="4905" spans="1:2" x14ac:dyDescent="0.25">
      <c r="A4905"/>
      <c r="B4905"/>
    </row>
    <row r="4906" spans="1:2" x14ac:dyDescent="0.25">
      <c r="A4906"/>
      <c r="B4906"/>
    </row>
    <row r="4907" spans="1:2" x14ac:dyDescent="0.25">
      <c r="A4907"/>
      <c r="B4907"/>
    </row>
    <row r="4908" spans="1:2" x14ac:dyDescent="0.25">
      <c r="A4908"/>
      <c r="B4908"/>
    </row>
    <row r="4909" spans="1:2" x14ac:dyDescent="0.25">
      <c r="A4909"/>
      <c r="B4909"/>
    </row>
    <row r="4910" spans="1:2" x14ac:dyDescent="0.25">
      <c r="A4910"/>
      <c r="B4910"/>
    </row>
    <row r="4911" spans="1:2" x14ac:dyDescent="0.25">
      <c r="A4911"/>
      <c r="B4911"/>
    </row>
    <row r="4912" spans="1:2" x14ac:dyDescent="0.25">
      <c r="A4912"/>
      <c r="B4912"/>
    </row>
    <row r="4913" spans="1:2" x14ac:dyDescent="0.25">
      <c r="A4913"/>
      <c r="B4913"/>
    </row>
    <row r="4914" spans="1:2" x14ac:dyDescent="0.25">
      <c r="A4914"/>
      <c r="B4914"/>
    </row>
    <row r="4915" spans="1:2" x14ac:dyDescent="0.25">
      <c r="A4915"/>
      <c r="B4915"/>
    </row>
    <row r="4916" spans="1:2" x14ac:dyDescent="0.25">
      <c r="A4916"/>
      <c r="B4916"/>
    </row>
    <row r="4917" spans="1:2" x14ac:dyDescent="0.25">
      <c r="A4917"/>
      <c r="B4917"/>
    </row>
    <row r="4918" spans="1:2" x14ac:dyDescent="0.25">
      <c r="A4918"/>
      <c r="B4918"/>
    </row>
    <row r="4919" spans="1:2" x14ac:dyDescent="0.25">
      <c r="A4919"/>
      <c r="B4919"/>
    </row>
    <row r="4920" spans="1:2" x14ac:dyDescent="0.25">
      <c r="A4920"/>
      <c r="B4920"/>
    </row>
    <row r="4921" spans="1:2" x14ac:dyDescent="0.25">
      <c r="A4921"/>
      <c r="B4921"/>
    </row>
    <row r="4922" spans="1:2" x14ac:dyDescent="0.25">
      <c r="A4922"/>
      <c r="B4922"/>
    </row>
    <row r="4923" spans="1:2" x14ac:dyDescent="0.25">
      <c r="A4923"/>
      <c r="B4923"/>
    </row>
    <row r="4924" spans="1:2" x14ac:dyDescent="0.25">
      <c r="A4924"/>
      <c r="B4924"/>
    </row>
    <row r="4925" spans="1:2" x14ac:dyDescent="0.25">
      <c r="A4925"/>
      <c r="B4925"/>
    </row>
    <row r="4926" spans="1:2" x14ac:dyDescent="0.25">
      <c r="A4926"/>
      <c r="B4926"/>
    </row>
    <row r="4927" spans="1:2" x14ac:dyDescent="0.25">
      <c r="A4927"/>
      <c r="B4927"/>
    </row>
    <row r="4928" spans="1:2" x14ac:dyDescent="0.25">
      <c r="A4928"/>
      <c r="B4928"/>
    </row>
    <row r="4929" spans="1:2" x14ac:dyDescent="0.25">
      <c r="A4929"/>
      <c r="B4929"/>
    </row>
    <row r="4930" spans="1:2" x14ac:dyDescent="0.25">
      <c r="A4930"/>
      <c r="B4930"/>
    </row>
    <row r="4931" spans="1:2" x14ac:dyDescent="0.25">
      <c r="A4931"/>
      <c r="B4931"/>
    </row>
    <row r="4932" spans="1:2" x14ac:dyDescent="0.25">
      <c r="A4932"/>
      <c r="B4932"/>
    </row>
    <row r="4933" spans="1:2" x14ac:dyDescent="0.25">
      <c r="A4933"/>
      <c r="B4933"/>
    </row>
    <row r="4934" spans="1:2" x14ac:dyDescent="0.25">
      <c r="A4934"/>
      <c r="B4934"/>
    </row>
    <row r="4935" spans="1:2" x14ac:dyDescent="0.25">
      <c r="A4935"/>
      <c r="B4935"/>
    </row>
    <row r="4936" spans="1:2" x14ac:dyDescent="0.25">
      <c r="A4936"/>
      <c r="B4936"/>
    </row>
    <row r="4937" spans="1:2" x14ac:dyDescent="0.25">
      <c r="A4937"/>
      <c r="B4937"/>
    </row>
    <row r="4938" spans="1:2" x14ac:dyDescent="0.25">
      <c r="A4938"/>
      <c r="B4938"/>
    </row>
    <row r="4939" spans="1:2" x14ac:dyDescent="0.25">
      <c r="A4939"/>
      <c r="B4939"/>
    </row>
    <row r="4940" spans="1:2" x14ac:dyDescent="0.25">
      <c r="A4940"/>
      <c r="B4940"/>
    </row>
    <row r="4941" spans="1:2" x14ac:dyDescent="0.25">
      <c r="A4941"/>
      <c r="B4941"/>
    </row>
    <row r="4942" spans="1:2" x14ac:dyDescent="0.25">
      <c r="A4942"/>
      <c r="B4942"/>
    </row>
    <row r="4943" spans="1:2" x14ac:dyDescent="0.25">
      <c r="A4943"/>
      <c r="B4943"/>
    </row>
    <row r="4944" spans="1:2" x14ac:dyDescent="0.25">
      <c r="A4944"/>
      <c r="B4944"/>
    </row>
    <row r="4945" spans="1:2" x14ac:dyDescent="0.25">
      <c r="A4945"/>
      <c r="B4945"/>
    </row>
    <row r="4946" spans="1:2" x14ac:dyDescent="0.25">
      <c r="A4946"/>
      <c r="B4946"/>
    </row>
    <row r="4947" spans="1:2" x14ac:dyDescent="0.25">
      <c r="A4947"/>
      <c r="B4947"/>
    </row>
    <row r="4948" spans="1:2" x14ac:dyDescent="0.25">
      <c r="A4948"/>
      <c r="B4948"/>
    </row>
    <row r="4949" spans="1:2" x14ac:dyDescent="0.25">
      <c r="A4949"/>
      <c r="B4949"/>
    </row>
    <row r="4950" spans="1:2" x14ac:dyDescent="0.25">
      <c r="A4950"/>
      <c r="B4950"/>
    </row>
    <row r="4951" spans="1:2" x14ac:dyDescent="0.25">
      <c r="A4951"/>
      <c r="B4951"/>
    </row>
    <row r="4952" spans="1:2" x14ac:dyDescent="0.25">
      <c r="A4952"/>
      <c r="B4952"/>
    </row>
    <row r="4953" spans="1:2" x14ac:dyDescent="0.25">
      <c r="A4953"/>
      <c r="B4953"/>
    </row>
    <row r="4954" spans="1:2" x14ac:dyDescent="0.25">
      <c r="A4954"/>
      <c r="B4954"/>
    </row>
    <row r="4955" spans="1:2" x14ac:dyDescent="0.25">
      <c r="A4955"/>
      <c r="B4955"/>
    </row>
    <row r="4956" spans="1:2" x14ac:dyDescent="0.25">
      <c r="A4956"/>
      <c r="B4956"/>
    </row>
    <row r="4957" spans="1:2" x14ac:dyDescent="0.25">
      <c r="A4957"/>
      <c r="B4957"/>
    </row>
    <row r="4958" spans="1:2" x14ac:dyDescent="0.25">
      <c r="A4958"/>
      <c r="B4958"/>
    </row>
    <row r="4959" spans="1:2" x14ac:dyDescent="0.25">
      <c r="A4959"/>
      <c r="B4959"/>
    </row>
    <row r="4960" spans="1:2" x14ac:dyDescent="0.25">
      <c r="A4960"/>
      <c r="B4960"/>
    </row>
    <row r="4961" spans="1:2" x14ac:dyDescent="0.25">
      <c r="A4961"/>
      <c r="B4961"/>
    </row>
    <row r="4962" spans="1:2" x14ac:dyDescent="0.25">
      <c r="A4962"/>
      <c r="B4962"/>
    </row>
    <row r="4963" spans="1:2" x14ac:dyDescent="0.25">
      <c r="A4963"/>
      <c r="B4963"/>
    </row>
    <row r="4964" spans="1:2" x14ac:dyDescent="0.25">
      <c r="A4964"/>
      <c r="B4964"/>
    </row>
    <row r="4965" spans="1:2" x14ac:dyDescent="0.25">
      <c r="A4965"/>
      <c r="B4965"/>
    </row>
    <row r="4966" spans="1:2" x14ac:dyDescent="0.25">
      <c r="A4966"/>
      <c r="B4966"/>
    </row>
    <row r="4967" spans="1:2" x14ac:dyDescent="0.25">
      <c r="A4967"/>
      <c r="B4967"/>
    </row>
    <row r="4968" spans="1:2" x14ac:dyDescent="0.25">
      <c r="A4968"/>
      <c r="B4968"/>
    </row>
    <row r="4969" spans="1:2" x14ac:dyDescent="0.25">
      <c r="A4969"/>
      <c r="B4969"/>
    </row>
    <row r="4970" spans="1:2" x14ac:dyDescent="0.25">
      <c r="A4970"/>
      <c r="B4970"/>
    </row>
    <row r="4971" spans="1:2" x14ac:dyDescent="0.25">
      <c r="A4971"/>
      <c r="B4971"/>
    </row>
    <row r="4972" spans="1:2" x14ac:dyDescent="0.25">
      <c r="A4972"/>
      <c r="B4972"/>
    </row>
    <row r="4973" spans="1:2" x14ac:dyDescent="0.25">
      <c r="A4973"/>
      <c r="B4973"/>
    </row>
    <row r="4974" spans="1:2" x14ac:dyDescent="0.25">
      <c r="A4974"/>
      <c r="B4974"/>
    </row>
    <row r="4975" spans="1:2" x14ac:dyDescent="0.25">
      <c r="A4975"/>
      <c r="B4975"/>
    </row>
    <row r="4976" spans="1:2" x14ac:dyDescent="0.25">
      <c r="A4976"/>
      <c r="B4976"/>
    </row>
    <row r="4977" spans="1:2" x14ac:dyDescent="0.25">
      <c r="A4977"/>
      <c r="B4977"/>
    </row>
    <row r="4978" spans="1:2" x14ac:dyDescent="0.25">
      <c r="A4978"/>
      <c r="B4978"/>
    </row>
    <row r="4979" spans="1:2" x14ac:dyDescent="0.25">
      <c r="A4979"/>
      <c r="B4979"/>
    </row>
    <row r="4980" spans="1:2" x14ac:dyDescent="0.25">
      <c r="A4980"/>
      <c r="B4980"/>
    </row>
    <row r="4981" spans="1:2" x14ac:dyDescent="0.25">
      <c r="A4981"/>
      <c r="B4981"/>
    </row>
    <row r="4982" spans="1:2" x14ac:dyDescent="0.25">
      <c r="A4982"/>
      <c r="B4982"/>
    </row>
    <row r="4983" spans="1:2" x14ac:dyDescent="0.25">
      <c r="A4983"/>
      <c r="B4983"/>
    </row>
    <row r="4984" spans="1:2" x14ac:dyDescent="0.25">
      <c r="A4984"/>
      <c r="B4984"/>
    </row>
    <row r="4985" spans="1:2" x14ac:dyDescent="0.25">
      <c r="A4985"/>
      <c r="B4985"/>
    </row>
    <row r="4986" spans="1:2" x14ac:dyDescent="0.25">
      <c r="A4986"/>
      <c r="B4986"/>
    </row>
    <row r="4987" spans="1:2" x14ac:dyDescent="0.25">
      <c r="A4987"/>
      <c r="B4987"/>
    </row>
    <row r="4988" spans="1:2" x14ac:dyDescent="0.25">
      <c r="A4988"/>
      <c r="B4988"/>
    </row>
    <row r="4989" spans="1:2" x14ac:dyDescent="0.25">
      <c r="A4989"/>
      <c r="B4989"/>
    </row>
    <row r="4990" spans="1:2" x14ac:dyDescent="0.25">
      <c r="A4990"/>
      <c r="B4990"/>
    </row>
    <row r="4991" spans="1:2" x14ac:dyDescent="0.25">
      <c r="A4991"/>
      <c r="B4991"/>
    </row>
    <row r="4992" spans="1:2" x14ac:dyDescent="0.25">
      <c r="A4992"/>
      <c r="B4992"/>
    </row>
    <row r="4993" spans="1:2" x14ac:dyDescent="0.25">
      <c r="A4993"/>
      <c r="B4993"/>
    </row>
    <row r="4994" spans="1:2" x14ac:dyDescent="0.25">
      <c r="A4994"/>
      <c r="B4994"/>
    </row>
    <row r="4995" spans="1:2" x14ac:dyDescent="0.25">
      <c r="A4995"/>
      <c r="B4995"/>
    </row>
    <row r="4996" spans="1:2" x14ac:dyDescent="0.25">
      <c r="A4996"/>
      <c r="B4996"/>
    </row>
    <row r="4997" spans="1:2" x14ac:dyDescent="0.25">
      <c r="A4997"/>
      <c r="B4997"/>
    </row>
    <row r="4998" spans="1:2" x14ac:dyDescent="0.25">
      <c r="A4998"/>
      <c r="B4998"/>
    </row>
    <row r="4999" spans="1:2" x14ac:dyDescent="0.25">
      <c r="A4999"/>
      <c r="B4999"/>
    </row>
    <row r="5000" spans="1:2" x14ac:dyDescent="0.25">
      <c r="A5000"/>
      <c r="B5000"/>
    </row>
    <row r="5001" spans="1:2" x14ac:dyDescent="0.25">
      <c r="A5001"/>
      <c r="B5001"/>
    </row>
    <row r="5002" spans="1:2" x14ac:dyDescent="0.25">
      <c r="A5002"/>
      <c r="B5002"/>
    </row>
    <row r="5003" spans="1:2" x14ac:dyDescent="0.25">
      <c r="A5003"/>
      <c r="B5003"/>
    </row>
    <row r="5004" spans="1:2" x14ac:dyDescent="0.25">
      <c r="A5004"/>
      <c r="B5004"/>
    </row>
    <row r="5005" spans="1:2" x14ac:dyDescent="0.25">
      <c r="A5005"/>
      <c r="B5005"/>
    </row>
    <row r="5006" spans="1:2" x14ac:dyDescent="0.25">
      <c r="A5006"/>
      <c r="B5006"/>
    </row>
    <row r="5007" spans="1:2" x14ac:dyDescent="0.25">
      <c r="A5007"/>
      <c r="B5007"/>
    </row>
    <row r="5008" spans="1:2" x14ac:dyDescent="0.25">
      <c r="A5008"/>
      <c r="B5008"/>
    </row>
    <row r="5009" spans="1:2" x14ac:dyDescent="0.25">
      <c r="A5009"/>
      <c r="B5009"/>
    </row>
    <row r="5010" spans="1:2" x14ac:dyDescent="0.25">
      <c r="A5010"/>
      <c r="B5010"/>
    </row>
    <row r="5011" spans="1:2" x14ac:dyDescent="0.25">
      <c r="A5011"/>
      <c r="B5011"/>
    </row>
    <row r="5012" spans="1:2" x14ac:dyDescent="0.25">
      <c r="A5012"/>
      <c r="B5012"/>
    </row>
    <row r="5013" spans="1:2" x14ac:dyDescent="0.25">
      <c r="A5013"/>
      <c r="B5013"/>
    </row>
    <row r="5014" spans="1:2" x14ac:dyDescent="0.25">
      <c r="A5014"/>
      <c r="B5014"/>
    </row>
    <row r="5015" spans="1:2" x14ac:dyDescent="0.25">
      <c r="A5015"/>
      <c r="B5015"/>
    </row>
    <row r="5016" spans="1:2" x14ac:dyDescent="0.25">
      <c r="A5016"/>
      <c r="B5016"/>
    </row>
    <row r="5017" spans="1:2" x14ac:dyDescent="0.25">
      <c r="A5017"/>
      <c r="B5017"/>
    </row>
    <row r="5018" spans="1:2" x14ac:dyDescent="0.25">
      <c r="A5018"/>
      <c r="B5018"/>
    </row>
    <row r="5019" spans="1:2" x14ac:dyDescent="0.25">
      <c r="A5019"/>
      <c r="B5019"/>
    </row>
    <row r="5020" spans="1:2" x14ac:dyDescent="0.25">
      <c r="A5020"/>
      <c r="B5020"/>
    </row>
    <row r="5021" spans="1:2" x14ac:dyDescent="0.25">
      <c r="A5021"/>
      <c r="B5021"/>
    </row>
    <row r="5022" spans="1:2" x14ac:dyDescent="0.25">
      <c r="A5022"/>
      <c r="B5022"/>
    </row>
    <row r="5023" spans="1:2" x14ac:dyDescent="0.25">
      <c r="A5023"/>
      <c r="B5023"/>
    </row>
    <row r="5024" spans="1:2" x14ac:dyDescent="0.25">
      <c r="A5024"/>
      <c r="B5024"/>
    </row>
    <row r="5025" spans="1:2" x14ac:dyDescent="0.25">
      <c r="A5025"/>
      <c r="B5025"/>
    </row>
    <row r="5026" spans="1:2" x14ac:dyDescent="0.25">
      <c r="A5026"/>
      <c r="B5026"/>
    </row>
    <row r="5027" spans="1:2" x14ac:dyDescent="0.25">
      <c r="A5027"/>
      <c r="B5027"/>
    </row>
    <row r="5028" spans="1:2" x14ac:dyDescent="0.25">
      <c r="A5028"/>
      <c r="B5028"/>
    </row>
    <row r="5029" spans="1:2" x14ac:dyDescent="0.25">
      <c r="A5029"/>
      <c r="B5029"/>
    </row>
    <row r="5030" spans="1:2" x14ac:dyDescent="0.25">
      <c r="A5030"/>
      <c r="B5030"/>
    </row>
    <row r="5031" spans="1:2" x14ac:dyDescent="0.25">
      <c r="A5031"/>
      <c r="B5031"/>
    </row>
    <row r="5032" spans="1:2" x14ac:dyDescent="0.25">
      <c r="A5032"/>
      <c r="B5032"/>
    </row>
    <row r="5033" spans="1:2" x14ac:dyDescent="0.25">
      <c r="A5033"/>
      <c r="B5033"/>
    </row>
    <row r="5034" spans="1:2" x14ac:dyDescent="0.25">
      <c r="A5034"/>
      <c r="B5034"/>
    </row>
    <row r="5035" spans="1:2" x14ac:dyDescent="0.25">
      <c r="A5035"/>
      <c r="B5035"/>
    </row>
    <row r="5036" spans="1:2" x14ac:dyDescent="0.25">
      <c r="A5036"/>
      <c r="B5036"/>
    </row>
    <row r="5037" spans="1:2" x14ac:dyDescent="0.25">
      <c r="A5037"/>
      <c r="B5037"/>
    </row>
    <row r="5038" spans="1:2" x14ac:dyDescent="0.25">
      <c r="A5038"/>
      <c r="B5038"/>
    </row>
    <row r="5039" spans="1:2" x14ac:dyDescent="0.25">
      <c r="A5039"/>
      <c r="B5039"/>
    </row>
    <row r="5040" spans="1:2" x14ac:dyDescent="0.25">
      <c r="A5040"/>
      <c r="B5040"/>
    </row>
    <row r="5041" spans="1:2" x14ac:dyDescent="0.25">
      <c r="A5041"/>
      <c r="B5041"/>
    </row>
    <row r="5042" spans="1:2" x14ac:dyDescent="0.25">
      <c r="A5042"/>
      <c r="B5042"/>
    </row>
    <row r="5043" spans="1:2" x14ac:dyDescent="0.25">
      <c r="A5043"/>
      <c r="B5043"/>
    </row>
    <row r="5044" spans="1:2" x14ac:dyDescent="0.25">
      <c r="A5044"/>
      <c r="B5044"/>
    </row>
    <row r="5045" spans="1:2" x14ac:dyDescent="0.25">
      <c r="A5045"/>
      <c r="B5045"/>
    </row>
    <row r="5046" spans="1:2" x14ac:dyDescent="0.25">
      <c r="A5046"/>
      <c r="B5046"/>
    </row>
    <row r="5047" spans="1:2" x14ac:dyDescent="0.25">
      <c r="A5047"/>
      <c r="B5047"/>
    </row>
    <row r="5048" spans="1:2" x14ac:dyDescent="0.25">
      <c r="A5048"/>
      <c r="B5048"/>
    </row>
    <row r="5049" spans="1:2" x14ac:dyDescent="0.25">
      <c r="A5049"/>
      <c r="B5049"/>
    </row>
    <row r="5050" spans="1:2" x14ac:dyDescent="0.25">
      <c r="A5050"/>
      <c r="B5050"/>
    </row>
    <row r="5051" spans="1:2" x14ac:dyDescent="0.25">
      <c r="A5051"/>
      <c r="B5051"/>
    </row>
    <row r="5052" spans="1:2" x14ac:dyDescent="0.25">
      <c r="A5052"/>
      <c r="B5052"/>
    </row>
    <row r="5053" spans="1:2" x14ac:dyDescent="0.25">
      <c r="A5053"/>
      <c r="B5053"/>
    </row>
    <row r="5054" spans="1:2" x14ac:dyDescent="0.25">
      <c r="A5054"/>
      <c r="B5054"/>
    </row>
    <row r="5055" spans="1:2" x14ac:dyDescent="0.25">
      <c r="A5055"/>
      <c r="B5055"/>
    </row>
    <row r="5056" spans="1:2" x14ac:dyDescent="0.25">
      <c r="A5056"/>
      <c r="B5056"/>
    </row>
    <row r="5057" spans="1:2" x14ac:dyDescent="0.25">
      <c r="A5057"/>
      <c r="B5057"/>
    </row>
    <row r="5058" spans="1:2" x14ac:dyDescent="0.25">
      <c r="A5058"/>
      <c r="B5058"/>
    </row>
    <row r="5059" spans="1:2" x14ac:dyDescent="0.25">
      <c r="A5059"/>
      <c r="B5059"/>
    </row>
    <row r="5060" spans="1:2" x14ac:dyDescent="0.25">
      <c r="A5060"/>
      <c r="B5060"/>
    </row>
    <row r="5061" spans="1:2" x14ac:dyDescent="0.25">
      <c r="A5061"/>
      <c r="B5061"/>
    </row>
    <row r="5062" spans="1:2" x14ac:dyDescent="0.25">
      <c r="A5062"/>
      <c r="B5062"/>
    </row>
    <row r="5063" spans="1:2" x14ac:dyDescent="0.25">
      <c r="A5063"/>
      <c r="B5063"/>
    </row>
    <row r="5064" spans="1:2" x14ac:dyDescent="0.25">
      <c r="A5064"/>
      <c r="B5064"/>
    </row>
    <row r="5065" spans="1:2" x14ac:dyDescent="0.25">
      <c r="A5065"/>
      <c r="B5065"/>
    </row>
    <row r="5066" spans="1:2" x14ac:dyDescent="0.25">
      <c r="A5066"/>
      <c r="B5066"/>
    </row>
    <row r="5067" spans="1:2" x14ac:dyDescent="0.25">
      <c r="A5067"/>
      <c r="B5067"/>
    </row>
    <row r="5068" spans="1:2" x14ac:dyDescent="0.25">
      <c r="A5068"/>
      <c r="B5068"/>
    </row>
    <row r="5069" spans="1:2" x14ac:dyDescent="0.25">
      <c r="A5069"/>
      <c r="B5069"/>
    </row>
    <row r="5070" spans="1:2" x14ac:dyDescent="0.25">
      <c r="A5070"/>
      <c r="B5070"/>
    </row>
    <row r="5071" spans="1:2" x14ac:dyDescent="0.25">
      <c r="A5071"/>
      <c r="B5071"/>
    </row>
    <row r="5072" spans="1:2" x14ac:dyDescent="0.25">
      <c r="A5072"/>
      <c r="B5072"/>
    </row>
    <row r="5073" spans="1:2" x14ac:dyDescent="0.25">
      <c r="A5073"/>
      <c r="B5073"/>
    </row>
    <row r="5074" spans="1:2" x14ac:dyDescent="0.25">
      <c r="A5074"/>
      <c r="B5074"/>
    </row>
    <row r="5075" spans="1:2" x14ac:dyDescent="0.25">
      <c r="A5075"/>
      <c r="B5075"/>
    </row>
    <row r="5076" spans="1:2" x14ac:dyDescent="0.25">
      <c r="A5076"/>
      <c r="B5076"/>
    </row>
    <row r="5077" spans="1:2" x14ac:dyDescent="0.25">
      <c r="A5077"/>
      <c r="B5077"/>
    </row>
    <row r="5078" spans="1:2" x14ac:dyDescent="0.25">
      <c r="A5078"/>
      <c r="B5078"/>
    </row>
    <row r="5079" spans="1:2" x14ac:dyDescent="0.25">
      <c r="A5079"/>
      <c r="B5079"/>
    </row>
    <row r="5080" spans="1:2" x14ac:dyDescent="0.25">
      <c r="A5080"/>
      <c r="B5080"/>
    </row>
    <row r="5081" spans="1:2" x14ac:dyDescent="0.25">
      <c r="A5081"/>
      <c r="B5081"/>
    </row>
    <row r="5082" spans="1:2" x14ac:dyDescent="0.25">
      <c r="A5082"/>
      <c r="B5082"/>
    </row>
    <row r="5083" spans="1:2" x14ac:dyDescent="0.25">
      <c r="A5083"/>
      <c r="B5083"/>
    </row>
    <row r="5084" spans="1:2" x14ac:dyDescent="0.25">
      <c r="A5084"/>
      <c r="B5084"/>
    </row>
    <row r="5085" spans="1:2" x14ac:dyDescent="0.25">
      <c r="A5085"/>
      <c r="B5085"/>
    </row>
    <row r="5086" spans="1:2" x14ac:dyDescent="0.25">
      <c r="A5086"/>
      <c r="B5086"/>
    </row>
    <row r="5087" spans="1:2" x14ac:dyDescent="0.25">
      <c r="A5087"/>
      <c r="B5087"/>
    </row>
    <row r="5088" spans="1:2" x14ac:dyDescent="0.25">
      <c r="A5088"/>
      <c r="B5088"/>
    </row>
    <row r="5089" spans="1:2" x14ac:dyDescent="0.25">
      <c r="A5089"/>
      <c r="B5089"/>
    </row>
    <row r="5090" spans="1:2" x14ac:dyDescent="0.25">
      <c r="A5090"/>
      <c r="B5090"/>
    </row>
    <row r="5091" spans="1:2" x14ac:dyDescent="0.25">
      <c r="A5091"/>
      <c r="B5091"/>
    </row>
    <row r="5092" spans="1:2" x14ac:dyDescent="0.25">
      <c r="A5092"/>
      <c r="B5092"/>
    </row>
    <row r="5093" spans="1:2" x14ac:dyDescent="0.25">
      <c r="A5093"/>
      <c r="B5093"/>
    </row>
    <row r="5094" spans="1:2" x14ac:dyDescent="0.25">
      <c r="A5094"/>
      <c r="B5094"/>
    </row>
    <row r="5095" spans="1:2" x14ac:dyDescent="0.25">
      <c r="A5095"/>
      <c r="B5095"/>
    </row>
    <row r="5096" spans="1:2" x14ac:dyDescent="0.25">
      <c r="A5096"/>
      <c r="B5096"/>
    </row>
    <row r="5097" spans="1:2" x14ac:dyDescent="0.25">
      <c r="A5097"/>
      <c r="B5097"/>
    </row>
    <row r="5098" spans="1:2" x14ac:dyDescent="0.25">
      <c r="A5098"/>
      <c r="B5098"/>
    </row>
    <row r="5099" spans="1:2" x14ac:dyDescent="0.25">
      <c r="A5099"/>
      <c r="B5099"/>
    </row>
    <row r="5100" spans="1:2" x14ac:dyDescent="0.25">
      <c r="A5100"/>
      <c r="B5100"/>
    </row>
    <row r="5101" spans="1:2" x14ac:dyDescent="0.25">
      <c r="A5101"/>
      <c r="B5101"/>
    </row>
    <row r="5102" spans="1:2" x14ac:dyDescent="0.25">
      <c r="A5102"/>
      <c r="B5102"/>
    </row>
    <row r="5103" spans="1:2" x14ac:dyDescent="0.25">
      <c r="A5103"/>
      <c r="B5103"/>
    </row>
    <row r="5104" spans="1:2" x14ac:dyDescent="0.25">
      <c r="A5104"/>
      <c r="B5104"/>
    </row>
    <row r="5105" spans="1:2" x14ac:dyDescent="0.25">
      <c r="A5105"/>
      <c r="B5105"/>
    </row>
    <row r="5106" spans="1:2" x14ac:dyDescent="0.25">
      <c r="A5106"/>
      <c r="B5106"/>
    </row>
    <row r="5107" spans="1:2" x14ac:dyDescent="0.25">
      <c r="A5107"/>
      <c r="B5107"/>
    </row>
    <row r="5108" spans="1:2" x14ac:dyDescent="0.25">
      <c r="A5108"/>
      <c r="B5108"/>
    </row>
    <row r="5109" spans="1:2" x14ac:dyDescent="0.25">
      <c r="A5109"/>
      <c r="B5109"/>
    </row>
    <row r="5110" spans="1:2" x14ac:dyDescent="0.25">
      <c r="A5110"/>
      <c r="B5110"/>
    </row>
    <row r="5111" spans="1:2" x14ac:dyDescent="0.25">
      <c r="A5111"/>
      <c r="B5111"/>
    </row>
    <row r="5112" spans="1:2" x14ac:dyDescent="0.25">
      <c r="A5112"/>
      <c r="B5112"/>
    </row>
    <row r="5113" spans="1:2" x14ac:dyDescent="0.25">
      <c r="A5113"/>
      <c r="B5113"/>
    </row>
    <row r="5114" spans="1:2" x14ac:dyDescent="0.25">
      <c r="A5114"/>
      <c r="B5114"/>
    </row>
    <row r="5115" spans="1:2" x14ac:dyDescent="0.25">
      <c r="A5115"/>
      <c r="B5115"/>
    </row>
    <row r="5116" spans="1:2" x14ac:dyDescent="0.25">
      <c r="A5116"/>
      <c r="B5116"/>
    </row>
    <row r="5117" spans="1:2" x14ac:dyDescent="0.25">
      <c r="A5117"/>
      <c r="B5117"/>
    </row>
    <row r="5118" spans="1:2" x14ac:dyDescent="0.25">
      <c r="A5118"/>
      <c r="B5118"/>
    </row>
    <row r="5119" spans="1:2" x14ac:dyDescent="0.25">
      <c r="A5119"/>
      <c r="B5119"/>
    </row>
    <row r="5120" spans="1:2" x14ac:dyDescent="0.25">
      <c r="A5120"/>
      <c r="B5120"/>
    </row>
    <row r="5121" spans="1:2" x14ac:dyDescent="0.25">
      <c r="A5121"/>
      <c r="B5121"/>
    </row>
    <row r="5122" spans="1:2" x14ac:dyDescent="0.25">
      <c r="A5122"/>
      <c r="B5122"/>
    </row>
    <row r="5123" spans="1:2" x14ac:dyDescent="0.25">
      <c r="A5123"/>
      <c r="B5123"/>
    </row>
    <row r="5124" spans="1:2" x14ac:dyDescent="0.25">
      <c r="A5124"/>
      <c r="B5124"/>
    </row>
    <row r="5125" spans="1:2" x14ac:dyDescent="0.25">
      <c r="A5125"/>
      <c r="B5125"/>
    </row>
    <row r="5126" spans="1:2" x14ac:dyDescent="0.25">
      <c r="A5126"/>
      <c r="B5126"/>
    </row>
    <row r="5127" spans="1:2" x14ac:dyDescent="0.25">
      <c r="A5127"/>
      <c r="B5127"/>
    </row>
    <row r="5128" spans="1:2" x14ac:dyDescent="0.25">
      <c r="A5128"/>
      <c r="B5128"/>
    </row>
    <row r="5129" spans="1:2" x14ac:dyDescent="0.25">
      <c r="A5129"/>
      <c r="B5129"/>
    </row>
    <row r="5130" spans="1:2" x14ac:dyDescent="0.25">
      <c r="A5130"/>
      <c r="B5130"/>
    </row>
    <row r="5131" spans="1:2" x14ac:dyDescent="0.25">
      <c r="A5131"/>
      <c r="B5131"/>
    </row>
    <row r="5132" spans="1:2" x14ac:dyDescent="0.25">
      <c r="A5132"/>
      <c r="B5132"/>
    </row>
    <row r="5133" spans="1:2" x14ac:dyDescent="0.25">
      <c r="A5133"/>
      <c r="B5133"/>
    </row>
    <row r="5134" spans="1:2" x14ac:dyDescent="0.25">
      <c r="A5134"/>
      <c r="B5134"/>
    </row>
    <row r="5135" spans="1:2" x14ac:dyDescent="0.25">
      <c r="A5135"/>
      <c r="B5135"/>
    </row>
    <row r="5136" spans="1:2" x14ac:dyDescent="0.25">
      <c r="A5136"/>
      <c r="B5136"/>
    </row>
    <row r="5137" spans="1:2" x14ac:dyDescent="0.25">
      <c r="A5137"/>
      <c r="B5137"/>
    </row>
    <row r="5138" spans="1:2" x14ac:dyDescent="0.25">
      <c r="A5138"/>
      <c r="B5138"/>
    </row>
    <row r="5139" spans="1:2" x14ac:dyDescent="0.25">
      <c r="A5139"/>
      <c r="B5139"/>
    </row>
    <row r="5140" spans="1:2" x14ac:dyDescent="0.25">
      <c r="A5140"/>
      <c r="B5140"/>
    </row>
    <row r="5141" spans="1:2" x14ac:dyDescent="0.25">
      <c r="A5141"/>
      <c r="B5141"/>
    </row>
    <row r="5142" spans="1:2" x14ac:dyDescent="0.25">
      <c r="A5142"/>
      <c r="B5142"/>
    </row>
    <row r="5143" spans="1:2" x14ac:dyDescent="0.25">
      <c r="A5143"/>
      <c r="B5143"/>
    </row>
    <row r="5144" spans="1:2" x14ac:dyDescent="0.25">
      <c r="A5144"/>
      <c r="B5144"/>
    </row>
    <row r="5145" spans="1:2" x14ac:dyDescent="0.25">
      <c r="A5145"/>
      <c r="B5145"/>
    </row>
    <row r="5146" spans="1:2" x14ac:dyDescent="0.25">
      <c r="A5146"/>
      <c r="B5146"/>
    </row>
    <row r="5147" spans="1:2" x14ac:dyDescent="0.25">
      <c r="A5147"/>
      <c r="B5147"/>
    </row>
    <row r="5148" spans="1:2" x14ac:dyDescent="0.25">
      <c r="A5148"/>
      <c r="B5148"/>
    </row>
    <row r="5149" spans="1:2" x14ac:dyDescent="0.25">
      <c r="A5149"/>
      <c r="B5149"/>
    </row>
    <row r="5150" spans="1:2" x14ac:dyDescent="0.25">
      <c r="A5150"/>
      <c r="B5150"/>
    </row>
    <row r="5151" spans="1:2" x14ac:dyDescent="0.25">
      <c r="A5151"/>
      <c r="B5151"/>
    </row>
    <row r="5152" spans="1:2" x14ac:dyDescent="0.25">
      <c r="A5152"/>
      <c r="B5152"/>
    </row>
    <row r="5153" spans="1:2" x14ac:dyDescent="0.25">
      <c r="A5153"/>
      <c r="B5153"/>
    </row>
    <row r="5154" spans="1:2" x14ac:dyDescent="0.25">
      <c r="A5154"/>
      <c r="B5154"/>
    </row>
    <row r="5155" spans="1:2" x14ac:dyDescent="0.25">
      <c r="A5155"/>
      <c r="B5155"/>
    </row>
    <row r="5156" spans="1:2" x14ac:dyDescent="0.25">
      <c r="A5156"/>
      <c r="B5156"/>
    </row>
    <row r="5157" spans="1:2" x14ac:dyDescent="0.25">
      <c r="A5157"/>
      <c r="B5157"/>
    </row>
    <row r="5158" spans="1:2" x14ac:dyDescent="0.25">
      <c r="A5158"/>
      <c r="B5158"/>
    </row>
    <row r="5159" spans="1:2" x14ac:dyDescent="0.25">
      <c r="A5159"/>
      <c r="B5159"/>
    </row>
    <row r="5160" spans="1:2" x14ac:dyDescent="0.25">
      <c r="A5160"/>
      <c r="B5160"/>
    </row>
    <row r="5161" spans="1:2" x14ac:dyDescent="0.25">
      <c r="A5161"/>
      <c r="B5161"/>
    </row>
    <row r="5162" spans="1:2" x14ac:dyDescent="0.25">
      <c r="A5162"/>
      <c r="B5162"/>
    </row>
    <row r="5163" spans="1:2" x14ac:dyDescent="0.25">
      <c r="A5163"/>
      <c r="B5163"/>
    </row>
    <row r="5164" spans="1:2" x14ac:dyDescent="0.25">
      <c r="A5164"/>
      <c r="B5164"/>
    </row>
    <row r="5165" spans="1:2" x14ac:dyDescent="0.25">
      <c r="A5165"/>
      <c r="B5165"/>
    </row>
    <row r="5166" spans="1:2" x14ac:dyDescent="0.25">
      <c r="A5166"/>
      <c r="B5166"/>
    </row>
    <row r="5167" spans="1:2" x14ac:dyDescent="0.25">
      <c r="A5167"/>
      <c r="B5167"/>
    </row>
    <row r="5168" spans="1:2" x14ac:dyDescent="0.25">
      <c r="A5168"/>
      <c r="B5168"/>
    </row>
    <row r="5169" spans="1:2" x14ac:dyDescent="0.25">
      <c r="A5169"/>
      <c r="B5169"/>
    </row>
    <row r="5170" spans="1:2" x14ac:dyDescent="0.25">
      <c r="A5170"/>
      <c r="B5170"/>
    </row>
    <row r="5171" spans="1:2" x14ac:dyDescent="0.25">
      <c r="A5171"/>
      <c r="B5171"/>
    </row>
    <row r="5172" spans="1:2" x14ac:dyDescent="0.25">
      <c r="A5172"/>
      <c r="B5172"/>
    </row>
    <row r="5173" spans="1:2" x14ac:dyDescent="0.25">
      <c r="A5173"/>
      <c r="B5173"/>
    </row>
    <row r="5174" spans="1:2" x14ac:dyDescent="0.25">
      <c r="A5174"/>
      <c r="B5174"/>
    </row>
    <row r="5175" spans="1:2" x14ac:dyDescent="0.25">
      <c r="A5175"/>
      <c r="B5175"/>
    </row>
    <row r="5176" spans="1:2" x14ac:dyDescent="0.25">
      <c r="A5176"/>
      <c r="B5176"/>
    </row>
    <row r="5177" spans="1:2" x14ac:dyDescent="0.25">
      <c r="A5177"/>
      <c r="B5177"/>
    </row>
    <row r="5178" spans="1:2" x14ac:dyDescent="0.25">
      <c r="A5178"/>
      <c r="B5178"/>
    </row>
    <row r="5179" spans="1:2" x14ac:dyDescent="0.25">
      <c r="A5179"/>
      <c r="B5179"/>
    </row>
    <row r="5180" spans="1:2" x14ac:dyDescent="0.25">
      <c r="A5180"/>
      <c r="B5180"/>
    </row>
    <row r="5181" spans="1:2" x14ac:dyDescent="0.25">
      <c r="A5181"/>
      <c r="B5181"/>
    </row>
    <row r="5182" spans="1:2" x14ac:dyDescent="0.25">
      <c r="A5182"/>
      <c r="B5182"/>
    </row>
    <row r="5183" spans="1:2" x14ac:dyDescent="0.25">
      <c r="A5183"/>
      <c r="B5183"/>
    </row>
    <row r="5184" spans="1:2" x14ac:dyDescent="0.25">
      <c r="A5184"/>
      <c r="B5184"/>
    </row>
    <row r="5185" spans="1:2" x14ac:dyDescent="0.25">
      <c r="A5185"/>
      <c r="B5185"/>
    </row>
    <row r="5186" spans="1:2" x14ac:dyDescent="0.25">
      <c r="A5186"/>
      <c r="B5186"/>
    </row>
    <row r="5187" spans="1:2" x14ac:dyDescent="0.25">
      <c r="A5187"/>
      <c r="B5187"/>
    </row>
    <row r="5188" spans="1:2" x14ac:dyDescent="0.25">
      <c r="A5188"/>
      <c r="B5188"/>
    </row>
    <row r="5189" spans="1:2" x14ac:dyDescent="0.25">
      <c r="A5189"/>
      <c r="B5189"/>
    </row>
    <row r="5190" spans="1:2" x14ac:dyDescent="0.25">
      <c r="A5190"/>
      <c r="B5190"/>
    </row>
    <row r="5191" spans="1:2" x14ac:dyDescent="0.25">
      <c r="A5191"/>
      <c r="B5191"/>
    </row>
    <row r="5192" spans="1:2" x14ac:dyDescent="0.25">
      <c r="A5192"/>
      <c r="B5192"/>
    </row>
    <row r="5193" spans="1:2" x14ac:dyDescent="0.25">
      <c r="A5193"/>
      <c r="B5193"/>
    </row>
    <row r="5194" spans="1:2" x14ac:dyDescent="0.25">
      <c r="A5194"/>
      <c r="B5194"/>
    </row>
    <row r="5195" spans="1:2" x14ac:dyDescent="0.25">
      <c r="A5195"/>
      <c r="B5195"/>
    </row>
    <row r="5196" spans="1:2" x14ac:dyDescent="0.25">
      <c r="A5196"/>
      <c r="B5196"/>
    </row>
    <row r="5197" spans="1:2" x14ac:dyDescent="0.25">
      <c r="A5197"/>
      <c r="B5197"/>
    </row>
    <row r="5198" spans="1:2" x14ac:dyDescent="0.25">
      <c r="A5198"/>
      <c r="B5198"/>
    </row>
    <row r="5199" spans="1:2" x14ac:dyDescent="0.25">
      <c r="A5199"/>
      <c r="B5199"/>
    </row>
    <row r="5200" spans="1:2" x14ac:dyDescent="0.25">
      <c r="A5200"/>
      <c r="B5200"/>
    </row>
    <row r="5201" spans="1:2" x14ac:dyDescent="0.25">
      <c r="A5201"/>
      <c r="B5201"/>
    </row>
    <row r="5202" spans="1:2" x14ac:dyDescent="0.25">
      <c r="A5202"/>
      <c r="B5202"/>
    </row>
    <row r="5203" spans="1:2" x14ac:dyDescent="0.25">
      <c r="A5203"/>
      <c r="B5203"/>
    </row>
    <row r="5204" spans="1:2" x14ac:dyDescent="0.25">
      <c r="A5204"/>
      <c r="B5204"/>
    </row>
    <row r="5205" spans="1:2" x14ac:dyDescent="0.25">
      <c r="A5205"/>
      <c r="B5205"/>
    </row>
    <row r="5206" spans="1:2" x14ac:dyDescent="0.25">
      <c r="A5206"/>
      <c r="B5206"/>
    </row>
    <row r="5207" spans="1:2" x14ac:dyDescent="0.25">
      <c r="A5207"/>
      <c r="B5207"/>
    </row>
    <row r="5208" spans="1:2" x14ac:dyDescent="0.25">
      <c r="A5208"/>
      <c r="B5208"/>
    </row>
    <row r="5209" spans="1:2" x14ac:dyDescent="0.25">
      <c r="A5209"/>
      <c r="B5209"/>
    </row>
    <row r="5210" spans="1:2" x14ac:dyDescent="0.25">
      <c r="A5210"/>
      <c r="B5210"/>
    </row>
    <row r="5211" spans="1:2" x14ac:dyDescent="0.25">
      <c r="A5211"/>
      <c r="B5211"/>
    </row>
    <row r="5212" spans="1:2" x14ac:dyDescent="0.25">
      <c r="A5212"/>
      <c r="B5212"/>
    </row>
    <row r="5213" spans="1:2" x14ac:dyDescent="0.25">
      <c r="A5213"/>
      <c r="B5213"/>
    </row>
    <row r="5214" spans="1:2" x14ac:dyDescent="0.25">
      <c r="A5214"/>
      <c r="B5214"/>
    </row>
    <row r="5215" spans="1:2" x14ac:dyDescent="0.25">
      <c r="A5215"/>
      <c r="B5215"/>
    </row>
    <row r="5216" spans="1:2" x14ac:dyDescent="0.25">
      <c r="A5216"/>
      <c r="B5216"/>
    </row>
    <row r="5217" spans="1:2" x14ac:dyDescent="0.25">
      <c r="A5217"/>
      <c r="B5217"/>
    </row>
    <row r="5218" spans="1:2" x14ac:dyDescent="0.25">
      <c r="A5218"/>
      <c r="B5218"/>
    </row>
    <row r="5219" spans="1:2" x14ac:dyDescent="0.25">
      <c r="A5219"/>
      <c r="B5219"/>
    </row>
    <row r="5220" spans="1:2" x14ac:dyDescent="0.25">
      <c r="A5220"/>
      <c r="B5220"/>
    </row>
    <row r="5221" spans="1:2" x14ac:dyDescent="0.25">
      <c r="A5221"/>
      <c r="B5221"/>
    </row>
    <row r="5222" spans="1:2" x14ac:dyDescent="0.25">
      <c r="A5222"/>
      <c r="B5222"/>
    </row>
    <row r="5223" spans="1:2" x14ac:dyDescent="0.25">
      <c r="A5223"/>
      <c r="B5223"/>
    </row>
    <row r="5224" spans="1:2" x14ac:dyDescent="0.25">
      <c r="A5224"/>
      <c r="B5224"/>
    </row>
    <row r="5225" spans="1:2" x14ac:dyDescent="0.25">
      <c r="A5225"/>
      <c r="B5225"/>
    </row>
    <row r="5226" spans="1:2" x14ac:dyDescent="0.25">
      <c r="A5226"/>
      <c r="B5226"/>
    </row>
    <row r="5227" spans="1:2" x14ac:dyDescent="0.25">
      <c r="A5227"/>
      <c r="B5227"/>
    </row>
    <row r="5228" spans="1:2" x14ac:dyDescent="0.25">
      <c r="A5228"/>
      <c r="B5228"/>
    </row>
    <row r="5229" spans="1:2" x14ac:dyDescent="0.25">
      <c r="A5229"/>
      <c r="B5229"/>
    </row>
    <row r="5230" spans="1:2" x14ac:dyDescent="0.25">
      <c r="A5230"/>
      <c r="B5230"/>
    </row>
    <row r="5231" spans="1:2" x14ac:dyDescent="0.25">
      <c r="A5231"/>
      <c r="B5231"/>
    </row>
    <row r="5232" spans="1:2" x14ac:dyDescent="0.25">
      <c r="A5232"/>
      <c r="B5232"/>
    </row>
    <row r="5233" spans="1:2" x14ac:dyDescent="0.25">
      <c r="A5233"/>
      <c r="B5233"/>
    </row>
    <row r="5234" spans="1:2" x14ac:dyDescent="0.25">
      <c r="A5234"/>
      <c r="B5234"/>
    </row>
    <row r="5235" spans="1:2" x14ac:dyDescent="0.25">
      <c r="A5235"/>
      <c r="B5235"/>
    </row>
    <row r="5236" spans="1:2" x14ac:dyDescent="0.25">
      <c r="A5236"/>
      <c r="B5236"/>
    </row>
    <row r="5237" spans="1:2" x14ac:dyDescent="0.25">
      <c r="A5237"/>
      <c r="B5237"/>
    </row>
    <row r="5238" spans="1:2" x14ac:dyDescent="0.25">
      <c r="A5238"/>
      <c r="B5238"/>
    </row>
    <row r="5239" spans="1:2" x14ac:dyDescent="0.25">
      <c r="A5239"/>
      <c r="B5239"/>
    </row>
    <row r="5240" spans="1:2" x14ac:dyDescent="0.25">
      <c r="A5240"/>
      <c r="B5240"/>
    </row>
    <row r="5241" spans="1:2" x14ac:dyDescent="0.25">
      <c r="A5241"/>
      <c r="B5241"/>
    </row>
    <row r="5242" spans="1:2" x14ac:dyDescent="0.25">
      <c r="A5242"/>
      <c r="B5242"/>
    </row>
    <row r="5243" spans="1:2" x14ac:dyDescent="0.25">
      <c r="A5243"/>
      <c r="B5243"/>
    </row>
    <row r="5244" spans="1:2" x14ac:dyDescent="0.25">
      <c r="A5244"/>
      <c r="B5244"/>
    </row>
    <row r="5245" spans="1:2" x14ac:dyDescent="0.25">
      <c r="A5245"/>
      <c r="B5245"/>
    </row>
    <row r="5246" spans="1:2" x14ac:dyDescent="0.25">
      <c r="A5246"/>
      <c r="B5246"/>
    </row>
    <row r="5247" spans="1:2" x14ac:dyDescent="0.25">
      <c r="A5247"/>
      <c r="B5247"/>
    </row>
    <row r="5248" spans="1:2" x14ac:dyDescent="0.25">
      <c r="A5248"/>
      <c r="B5248"/>
    </row>
    <row r="5249" spans="1:2" x14ac:dyDescent="0.25">
      <c r="A5249"/>
      <c r="B5249"/>
    </row>
    <row r="5250" spans="1:2" x14ac:dyDescent="0.25">
      <c r="A5250"/>
      <c r="B5250"/>
    </row>
    <row r="5251" spans="1:2" x14ac:dyDescent="0.25">
      <c r="A5251"/>
      <c r="B5251"/>
    </row>
    <row r="5252" spans="1:2" x14ac:dyDescent="0.25">
      <c r="A5252"/>
      <c r="B5252"/>
    </row>
    <row r="5253" spans="1:2" x14ac:dyDescent="0.25">
      <c r="A5253"/>
      <c r="B5253"/>
    </row>
    <row r="5254" spans="1:2" x14ac:dyDescent="0.25">
      <c r="A5254"/>
      <c r="B5254"/>
    </row>
    <row r="5255" spans="1:2" x14ac:dyDescent="0.25">
      <c r="A5255"/>
      <c r="B5255"/>
    </row>
    <row r="5256" spans="1:2" x14ac:dyDescent="0.25">
      <c r="A5256"/>
      <c r="B5256"/>
    </row>
    <row r="5257" spans="1:2" x14ac:dyDescent="0.25">
      <c r="A5257"/>
      <c r="B5257"/>
    </row>
    <row r="5258" spans="1:2" x14ac:dyDescent="0.25">
      <c r="A5258"/>
      <c r="B5258"/>
    </row>
    <row r="5259" spans="1:2" x14ac:dyDescent="0.25">
      <c r="A5259"/>
      <c r="B5259"/>
    </row>
    <row r="5260" spans="1:2" x14ac:dyDescent="0.25">
      <c r="A5260"/>
      <c r="B5260"/>
    </row>
    <row r="5261" spans="1:2" x14ac:dyDescent="0.25">
      <c r="A5261"/>
      <c r="B5261"/>
    </row>
    <row r="5262" spans="1:2" x14ac:dyDescent="0.25">
      <c r="A5262"/>
      <c r="B5262"/>
    </row>
    <row r="5263" spans="1:2" x14ac:dyDescent="0.25">
      <c r="A5263"/>
      <c r="B5263"/>
    </row>
    <row r="5264" spans="1:2" x14ac:dyDescent="0.25">
      <c r="A5264"/>
      <c r="B5264"/>
    </row>
    <row r="5265" spans="1:2" x14ac:dyDescent="0.25">
      <c r="A5265"/>
      <c r="B5265"/>
    </row>
    <row r="5266" spans="1:2" x14ac:dyDescent="0.25">
      <c r="A5266"/>
      <c r="B5266"/>
    </row>
    <row r="5267" spans="1:2" x14ac:dyDescent="0.25">
      <c r="A5267"/>
      <c r="B5267"/>
    </row>
    <row r="5268" spans="1:2" x14ac:dyDescent="0.25">
      <c r="A5268"/>
      <c r="B5268"/>
    </row>
    <row r="5269" spans="1:2" x14ac:dyDescent="0.25">
      <c r="A5269"/>
      <c r="B5269"/>
    </row>
    <row r="5270" spans="1:2" x14ac:dyDescent="0.25">
      <c r="A5270"/>
      <c r="B5270"/>
    </row>
    <row r="5271" spans="1:2" x14ac:dyDescent="0.25">
      <c r="A5271"/>
      <c r="B5271"/>
    </row>
    <row r="5272" spans="1:2" x14ac:dyDescent="0.25">
      <c r="A5272"/>
      <c r="B5272"/>
    </row>
    <row r="5273" spans="1:2" x14ac:dyDescent="0.25">
      <c r="A5273"/>
      <c r="B5273"/>
    </row>
    <row r="5274" spans="1:2" x14ac:dyDescent="0.25">
      <c r="A5274"/>
      <c r="B5274"/>
    </row>
    <row r="5275" spans="1:2" x14ac:dyDescent="0.25">
      <c r="A5275"/>
      <c r="B5275"/>
    </row>
    <row r="5276" spans="1:2" x14ac:dyDescent="0.25">
      <c r="A5276"/>
      <c r="B5276"/>
    </row>
    <row r="5277" spans="1:2" x14ac:dyDescent="0.25">
      <c r="A5277"/>
      <c r="B5277"/>
    </row>
    <row r="5278" spans="1:2" x14ac:dyDescent="0.25">
      <c r="A5278"/>
      <c r="B5278"/>
    </row>
    <row r="5279" spans="1:2" x14ac:dyDescent="0.25">
      <c r="A5279"/>
      <c r="B5279"/>
    </row>
    <row r="5280" spans="1:2" x14ac:dyDescent="0.25">
      <c r="A5280"/>
      <c r="B5280"/>
    </row>
    <row r="5281" spans="1:2" x14ac:dyDescent="0.25">
      <c r="A5281"/>
      <c r="B5281"/>
    </row>
    <row r="5282" spans="1:2" x14ac:dyDescent="0.25">
      <c r="A5282"/>
      <c r="B5282"/>
    </row>
    <row r="5283" spans="1:2" x14ac:dyDescent="0.25">
      <c r="A5283"/>
      <c r="B5283"/>
    </row>
    <row r="5284" spans="1:2" x14ac:dyDescent="0.25">
      <c r="A5284"/>
      <c r="B5284"/>
    </row>
    <row r="5285" spans="1:2" x14ac:dyDescent="0.25">
      <c r="A5285"/>
      <c r="B5285"/>
    </row>
    <row r="5286" spans="1:2" x14ac:dyDescent="0.25">
      <c r="A5286"/>
      <c r="B5286"/>
    </row>
    <row r="5287" spans="1:2" x14ac:dyDescent="0.25">
      <c r="A5287"/>
      <c r="B5287"/>
    </row>
    <row r="5288" spans="1:2" x14ac:dyDescent="0.25">
      <c r="A5288"/>
      <c r="B5288"/>
    </row>
    <row r="5289" spans="1:2" x14ac:dyDescent="0.25">
      <c r="A5289"/>
      <c r="B5289"/>
    </row>
    <row r="5290" spans="1:2" x14ac:dyDescent="0.25">
      <c r="A5290"/>
      <c r="B5290"/>
    </row>
    <row r="5291" spans="1:2" x14ac:dyDescent="0.25">
      <c r="A5291"/>
      <c r="B5291"/>
    </row>
    <row r="5292" spans="1:2" x14ac:dyDescent="0.25">
      <c r="A5292"/>
      <c r="B5292"/>
    </row>
    <row r="5293" spans="1:2" x14ac:dyDescent="0.25">
      <c r="A5293"/>
      <c r="B5293"/>
    </row>
    <row r="5294" spans="1:2" x14ac:dyDescent="0.25">
      <c r="A5294"/>
      <c r="B5294"/>
    </row>
    <row r="5295" spans="1:2" x14ac:dyDescent="0.25">
      <c r="A5295"/>
      <c r="B5295"/>
    </row>
    <row r="5296" spans="1:2" x14ac:dyDescent="0.25">
      <c r="A5296"/>
      <c r="B5296"/>
    </row>
    <row r="5297" spans="1:2" x14ac:dyDescent="0.25">
      <c r="A5297"/>
      <c r="B5297"/>
    </row>
    <row r="5298" spans="1:2" x14ac:dyDescent="0.25">
      <c r="A5298"/>
      <c r="B5298"/>
    </row>
    <row r="5299" spans="1:2" x14ac:dyDescent="0.25">
      <c r="A5299"/>
      <c r="B5299"/>
    </row>
    <row r="5300" spans="1:2" x14ac:dyDescent="0.25">
      <c r="A5300"/>
      <c r="B5300"/>
    </row>
    <row r="5301" spans="1:2" x14ac:dyDescent="0.25">
      <c r="A5301"/>
      <c r="B5301"/>
    </row>
    <row r="5302" spans="1:2" x14ac:dyDescent="0.25">
      <c r="A5302"/>
      <c r="B5302"/>
    </row>
    <row r="5303" spans="1:2" x14ac:dyDescent="0.25">
      <c r="A5303"/>
      <c r="B5303"/>
    </row>
    <row r="5304" spans="1:2" x14ac:dyDescent="0.25">
      <c r="A5304"/>
      <c r="B5304"/>
    </row>
    <row r="5305" spans="1:2" x14ac:dyDescent="0.25">
      <c r="A5305"/>
      <c r="B5305"/>
    </row>
    <row r="5306" spans="1:2" x14ac:dyDescent="0.25">
      <c r="A5306"/>
      <c r="B5306"/>
    </row>
    <row r="5307" spans="1:2" x14ac:dyDescent="0.25">
      <c r="A5307"/>
      <c r="B5307"/>
    </row>
    <row r="5308" spans="1:2" x14ac:dyDescent="0.25">
      <c r="A5308"/>
      <c r="B5308"/>
    </row>
    <row r="5309" spans="1:2" x14ac:dyDescent="0.25">
      <c r="A5309"/>
      <c r="B5309"/>
    </row>
    <row r="5310" spans="1:2" x14ac:dyDescent="0.25">
      <c r="A5310"/>
      <c r="B5310"/>
    </row>
    <row r="5311" spans="1:2" x14ac:dyDescent="0.25">
      <c r="A5311"/>
      <c r="B5311"/>
    </row>
    <row r="5312" spans="1:2" x14ac:dyDescent="0.25">
      <c r="A5312"/>
      <c r="B5312"/>
    </row>
    <row r="5313" spans="1:2" x14ac:dyDescent="0.25">
      <c r="A5313"/>
      <c r="B5313"/>
    </row>
    <row r="5314" spans="1:2" x14ac:dyDescent="0.25">
      <c r="A5314"/>
      <c r="B5314"/>
    </row>
    <row r="5315" spans="1:2" x14ac:dyDescent="0.25">
      <c r="A5315"/>
      <c r="B5315"/>
    </row>
    <row r="5316" spans="1:2" x14ac:dyDescent="0.25">
      <c r="A5316"/>
      <c r="B5316"/>
    </row>
    <row r="5317" spans="1:2" x14ac:dyDescent="0.25">
      <c r="A5317"/>
      <c r="B5317"/>
    </row>
    <row r="5318" spans="1:2" x14ac:dyDescent="0.25">
      <c r="A5318"/>
      <c r="B5318"/>
    </row>
    <row r="5319" spans="1:2" x14ac:dyDescent="0.25">
      <c r="A5319"/>
      <c r="B5319"/>
    </row>
    <row r="5320" spans="1:2" x14ac:dyDescent="0.25">
      <c r="A5320"/>
      <c r="B5320"/>
    </row>
    <row r="5321" spans="1:2" x14ac:dyDescent="0.25">
      <c r="A5321"/>
      <c r="B5321"/>
    </row>
    <row r="5322" spans="1:2" x14ac:dyDescent="0.25">
      <c r="A5322"/>
      <c r="B5322"/>
    </row>
    <row r="5323" spans="1:2" x14ac:dyDescent="0.25">
      <c r="A5323"/>
      <c r="B5323"/>
    </row>
    <row r="5324" spans="1:2" x14ac:dyDescent="0.25">
      <c r="A5324"/>
      <c r="B5324"/>
    </row>
    <row r="5325" spans="1:2" x14ac:dyDescent="0.25">
      <c r="A5325"/>
      <c r="B5325"/>
    </row>
    <row r="5326" spans="1:2" x14ac:dyDescent="0.25">
      <c r="A5326"/>
      <c r="B5326"/>
    </row>
    <row r="5327" spans="1:2" x14ac:dyDescent="0.25">
      <c r="A5327"/>
      <c r="B5327"/>
    </row>
    <row r="5328" spans="1:2" x14ac:dyDescent="0.25">
      <c r="A5328"/>
      <c r="B5328"/>
    </row>
    <row r="5329" spans="1:2" x14ac:dyDescent="0.25">
      <c r="A5329"/>
      <c r="B5329"/>
    </row>
    <row r="5330" spans="1:2" x14ac:dyDescent="0.25">
      <c r="A5330"/>
      <c r="B5330"/>
    </row>
    <row r="5331" spans="1:2" x14ac:dyDescent="0.25">
      <c r="A5331"/>
      <c r="B5331"/>
    </row>
    <row r="5332" spans="1:2" x14ac:dyDescent="0.25">
      <c r="A5332"/>
      <c r="B5332"/>
    </row>
    <row r="5333" spans="1:2" x14ac:dyDescent="0.25">
      <c r="A5333"/>
      <c r="B5333"/>
    </row>
    <row r="5334" spans="1:2" x14ac:dyDescent="0.25">
      <c r="A5334"/>
      <c r="B5334"/>
    </row>
    <row r="5335" spans="1:2" x14ac:dyDescent="0.25">
      <c r="A5335"/>
      <c r="B5335"/>
    </row>
    <row r="5336" spans="1:2" x14ac:dyDescent="0.25">
      <c r="A5336"/>
      <c r="B5336"/>
    </row>
    <row r="5337" spans="1:2" x14ac:dyDescent="0.25">
      <c r="A5337"/>
      <c r="B5337"/>
    </row>
    <row r="5338" spans="1:2" x14ac:dyDescent="0.25">
      <c r="A5338"/>
      <c r="B5338"/>
    </row>
    <row r="5339" spans="1:2" x14ac:dyDescent="0.25">
      <c r="A5339"/>
      <c r="B5339"/>
    </row>
    <row r="5340" spans="1:2" x14ac:dyDescent="0.25">
      <c r="A5340"/>
      <c r="B5340"/>
    </row>
    <row r="5341" spans="1:2" x14ac:dyDescent="0.25">
      <c r="A5341"/>
      <c r="B5341"/>
    </row>
    <row r="5342" spans="1:2" x14ac:dyDescent="0.25">
      <c r="A5342"/>
      <c r="B5342"/>
    </row>
    <row r="5343" spans="1:2" x14ac:dyDescent="0.25">
      <c r="A5343"/>
      <c r="B5343"/>
    </row>
    <row r="5344" spans="1:2" x14ac:dyDescent="0.25">
      <c r="A5344"/>
      <c r="B5344"/>
    </row>
    <row r="5345" spans="1:2" x14ac:dyDescent="0.25">
      <c r="A5345"/>
      <c r="B5345"/>
    </row>
    <row r="5346" spans="1:2" x14ac:dyDescent="0.25">
      <c r="A5346"/>
      <c r="B5346"/>
    </row>
    <row r="5347" spans="1:2" x14ac:dyDescent="0.25">
      <c r="A5347"/>
      <c r="B5347"/>
    </row>
    <row r="5348" spans="1:2" x14ac:dyDescent="0.25">
      <c r="A5348"/>
      <c r="B5348"/>
    </row>
    <row r="5349" spans="1:2" x14ac:dyDescent="0.25">
      <c r="A5349"/>
      <c r="B5349"/>
    </row>
    <row r="5350" spans="1:2" x14ac:dyDescent="0.25">
      <c r="A5350"/>
      <c r="B5350"/>
    </row>
    <row r="5351" spans="1:2" x14ac:dyDescent="0.25">
      <c r="A5351"/>
      <c r="B5351"/>
    </row>
    <row r="5352" spans="1:2" x14ac:dyDescent="0.25">
      <c r="A5352"/>
      <c r="B5352"/>
    </row>
    <row r="5353" spans="1:2" x14ac:dyDescent="0.25">
      <c r="A5353"/>
      <c r="B5353"/>
    </row>
    <row r="5354" spans="1:2" x14ac:dyDescent="0.25">
      <c r="A5354"/>
      <c r="B5354"/>
    </row>
    <row r="5355" spans="1:2" x14ac:dyDescent="0.25">
      <c r="A5355"/>
      <c r="B5355"/>
    </row>
    <row r="5356" spans="1:2" x14ac:dyDescent="0.25">
      <c r="A5356"/>
      <c r="B5356"/>
    </row>
    <row r="5357" spans="1:2" x14ac:dyDescent="0.25">
      <c r="A5357"/>
      <c r="B5357"/>
    </row>
    <row r="5358" spans="1:2" x14ac:dyDescent="0.25">
      <c r="A5358"/>
      <c r="B5358"/>
    </row>
    <row r="5359" spans="1:2" x14ac:dyDescent="0.25">
      <c r="A5359"/>
      <c r="B5359"/>
    </row>
    <row r="5360" spans="1:2" x14ac:dyDescent="0.25">
      <c r="A5360"/>
      <c r="B5360"/>
    </row>
    <row r="5361" spans="1:2" x14ac:dyDescent="0.25">
      <c r="A5361"/>
      <c r="B5361"/>
    </row>
    <row r="5362" spans="1:2" x14ac:dyDescent="0.25">
      <c r="A5362"/>
      <c r="B5362"/>
    </row>
    <row r="5363" spans="1:2" x14ac:dyDescent="0.25">
      <c r="A5363"/>
      <c r="B5363"/>
    </row>
    <row r="5364" spans="1:2" x14ac:dyDescent="0.25">
      <c r="A5364"/>
      <c r="B5364"/>
    </row>
    <row r="5365" spans="1:2" x14ac:dyDescent="0.25">
      <c r="A5365"/>
      <c r="B5365"/>
    </row>
    <row r="5366" spans="1:2" x14ac:dyDescent="0.25">
      <c r="A5366"/>
      <c r="B5366"/>
    </row>
    <row r="5367" spans="1:2" x14ac:dyDescent="0.25">
      <c r="A5367"/>
      <c r="B5367"/>
    </row>
    <row r="5368" spans="1:2" x14ac:dyDescent="0.25">
      <c r="A5368"/>
      <c r="B5368"/>
    </row>
    <row r="5369" spans="1:2" x14ac:dyDescent="0.25">
      <c r="A5369"/>
      <c r="B5369"/>
    </row>
    <row r="5370" spans="1:2" x14ac:dyDescent="0.25">
      <c r="A5370"/>
      <c r="B5370"/>
    </row>
    <row r="5371" spans="1:2" x14ac:dyDescent="0.25">
      <c r="A5371"/>
      <c r="B5371"/>
    </row>
    <row r="5372" spans="1:2" x14ac:dyDescent="0.25">
      <c r="A5372"/>
      <c r="B5372"/>
    </row>
    <row r="5373" spans="1:2" x14ac:dyDescent="0.25">
      <c r="A5373"/>
      <c r="B5373"/>
    </row>
    <row r="5374" spans="1:2" x14ac:dyDescent="0.25">
      <c r="A5374"/>
      <c r="B5374"/>
    </row>
    <row r="5375" spans="1:2" x14ac:dyDescent="0.25">
      <c r="A5375"/>
      <c r="B5375"/>
    </row>
    <row r="5376" spans="1:2" x14ac:dyDescent="0.25">
      <c r="A5376"/>
      <c r="B5376"/>
    </row>
    <row r="5377" spans="1:2" x14ac:dyDescent="0.25">
      <c r="A5377"/>
      <c r="B5377"/>
    </row>
    <row r="5378" spans="1:2" x14ac:dyDescent="0.25">
      <c r="A5378"/>
      <c r="B5378"/>
    </row>
    <row r="5379" spans="1:2" x14ac:dyDescent="0.25">
      <c r="A5379"/>
      <c r="B5379"/>
    </row>
    <row r="5380" spans="1:2" x14ac:dyDescent="0.25">
      <c r="A5380"/>
      <c r="B5380"/>
    </row>
    <row r="5381" spans="1:2" x14ac:dyDescent="0.25">
      <c r="A5381"/>
      <c r="B5381"/>
    </row>
    <row r="5382" spans="1:2" x14ac:dyDescent="0.25">
      <c r="A5382"/>
      <c r="B5382"/>
    </row>
    <row r="5383" spans="1:2" x14ac:dyDescent="0.25">
      <c r="A5383"/>
      <c r="B5383"/>
    </row>
    <row r="5384" spans="1:2" x14ac:dyDescent="0.25">
      <c r="A5384"/>
      <c r="B5384"/>
    </row>
    <row r="5385" spans="1:2" x14ac:dyDescent="0.25">
      <c r="A5385"/>
      <c r="B5385"/>
    </row>
    <row r="5386" spans="1:2" x14ac:dyDescent="0.25">
      <c r="A5386"/>
      <c r="B5386"/>
    </row>
    <row r="5387" spans="1:2" x14ac:dyDescent="0.25">
      <c r="A5387"/>
      <c r="B5387"/>
    </row>
    <row r="5388" spans="1:2" x14ac:dyDescent="0.25">
      <c r="A5388"/>
      <c r="B5388"/>
    </row>
    <row r="5389" spans="1:2" x14ac:dyDescent="0.25">
      <c r="A5389"/>
      <c r="B5389"/>
    </row>
    <row r="5390" spans="1:2" x14ac:dyDescent="0.25">
      <c r="A5390"/>
      <c r="B5390"/>
    </row>
    <row r="5391" spans="1:2" x14ac:dyDescent="0.25">
      <c r="A5391"/>
      <c r="B5391"/>
    </row>
    <row r="5392" spans="1:2" x14ac:dyDescent="0.25">
      <c r="A5392"/>
      <c r="B5392"/>
    </row>
    <row r="5393" spans="1:2" x14ac:dyDescent="0.25">
      <c r="A5393"/>
      <c r="B5393"/>
    </row>
    <row r="5394" spans="1:2" x14ac:dyDescent="0.25">
      <c r="A5394"/>
      <c r="B5394"/>
    </row>
    <row r="5395" spans="1:2" x14ac:dyDescent="0.25">
      <c r="A5395"/>
      <c r="B5395"/>
    </row>
    <row r="5396" spans="1:2" x14ac:dyDescent="0.25">
      <c r="A5396"/>
      <c r="B5396"/>
    </row>
    <row r="5397" spans="1:2" x14ac:dyDescent="0.25">
      <c r="A5397"/>
      <c r="B5397"/>
    </row>
    <row r="5398" spans="1:2" x14ac:dyDescent="0.25">
      <c r="A5398"/>
      <c r="B5398"/>
    </row>
    <row r="5399" spans="1:2" x14ac:dyDescent="0.25">
      <c r="A5399"/>
      <c r="B5399"/>
    </row>
    <row r="5400" spans="1:2" x14ac:dyDescent="0.25">
      <c r="A5400"/>
      <c r="B5400"/>
    </row>
    <row r="5401" spans="1:2" x14ac:dyDescent="0.25">
      <c r="A5401"/>
      <c r="B5401"/>
    </row>
    <row r="5402" spans="1:2" x14ac:dyDescent="0.25">
      <c r="A5402"/>
      <c r="B5402"/>
    </row>
    <row r="5403" spans="1:2" x14ac:dyDescent="0.25">
      <c r="A5403"/>
      <c r="B5403"/>
    </row>
    <row r="5404" spans="1:2" x14ac:dyDescent="0.25">
      <c r="A5404"/>
      <c r="B5404"/>
    </row>
    <row r="5405" spans="1:2" x14ac:dyDescent="0.25">
      <c r="A5405"/>
      <c r="B5405"/>
    </row>
    <row r="5406" spans="1:2" x14ac:dyDescent="0.25">
      <c r="A5406"/>
      <c r="B5406"/>
    </row>
    <row r="5407" spans="1:2" x14ac:dyDescent="0.25">
      <c r="A5407"/>
      <c r="B5407"/>
    </row>
    <row r="5408" spans="1:2" x14ac:dyDescent="0.25">
      <c r="A5408"/>
      <c r="B5408"/>
    </row>
    <row r="5409" spans="1:2" x14ac:dyDescent="0.25">
      <c r="A5409"/>
      <c r="B5409"/>
    </row>
    <row r="5410" spans="1:2" x14ac:dyDescent="0.25">
      <c r="A5410"/>
      <c r="B5410"/>
    </row>
    <row r="5411" spans="1:2" x14ac:dyDescent="0.25">
      <c r="A5411"/>
      <c r="B5411"/>
    </row>
    <row r="5412" spans="1:2" x14ac:dyDescent="0.25">
      <c r="A5412"/>
      <c r="B5412"/>
    </row>
    <row r="5413" spans="1:2" x14ac:dyDescent="0.25">
      <c r="A5413"/>
      <c r="B5413"/>
    </row>
    <row r="5414" spans="1:2" x14ac:dyDescent="0.25">
      <c r="A5414"/>
      <c r="B5414"/>
    </row>
    <row r="5415" spans="1:2" x14ac:dyDescent="0.25">
      <c r="A5415"/>
      <c r="B5415"/>
    </row>
    <row r="5416" spans="1:2" x14ac:dyDescent="0.25">
      <c r="A5416"/>
      <c r="B5416"/>
    </row>
    <row r="5417" spans="1:2" x14ac:dyDescent="0.25">
      <c r="A5417"/>
      <c r="B5417"/>
    </row>
    <row r="5418" spans="1:2" x14ac:dyDescent="0.25">
      <c r="A5418"/>
      <c r="B5418"/>
    </row>
    <row r="5419" spans="1:2" x14ac:dyDescent="0.25">
      <c r="A5419"/>
      <c r="B5419"/>
    </row>
    <row r="5420" spans="1:2" x14ac:dyDescent="0.25">
      <c r="A5420"/>
      <c r="B5420"/>
    </row>
    <row r="5421" spans="1:2" x14ac:dyDescent="0.25">
      <c r="A5421"/>
      <c r="B5421"/>
    </row>
    <row r="5422" spans="1:2" x14ac:dyDescent="0.25">
      <c r="A5422"/>
      <c r="B5422"/>
    </row>
    <row r="5423" spans="1:2" x14ac:dyDescent="0.25">
      <c r="A5423"/>
      <c r="B5423"/>
    </row>
    <row r="5424" spans="1:2" x14ac:dyDescent="0.25">
      <c r="A5424"/>
      <c r="B5424"/>
    </row>
    <row r="5425" spans="1:2" x14ac:dyDescent="0.25">
      <c r="A5425"/>
      <c r="B5425"/>
    </row>
    <row r="5426" spans="1:2" x14ac:dyDescent="0.25">
      <c r="A5426"/>
      <c r="B5426"/>
    </row>
    <row r="5427" spans="1:2" x14ac:dyDescent="0.25">
      <c r="A5427"/>
      <c r="B5427"/>
    </row>
    <row r="5428" spans="1:2" x14ac:dyDescent="0.25">
      <c r="A5428"/>
      <c r="B5428"/>
    </row>
    <row r="5429" spans="1:2" x14ac:dyDescent="0.25">
      <c r="A5429"/>
      <c r="B5429"/>
    </row>
    <row r="5430" spans="1:2" x14ac:dyDescent="0.25">
      <c r="A5430"/>
      <c r="B5430"/>
    </row>
    <row r="5431" spans="1:2" x14ac:dyDescent="0.25">
      <c r="A5431"/>
      <c r="B5431"/>
    </row>
    <row r="5432" spans="1:2" x14ac:dyDescent="0.25">
      <c r="A5432"/>
      <c r="B5432"/>
    </row>
    <row r="5433" spans="1:2" x14ac:dyDescent="0.25">
      <c r="A5433"/>
      <c r="B5433"/>
    </row>
    <row r="5434" spans="1:2" x14ac:dyDescent="0.25">
      <c r="A5434"/>
      <c r="B5434"/>
    </row>
    <row r="5435" spans="1:2" x14ac:dyDescent="0.25">
      <c r="A5435"/>
      <c r="B5435"/>
    </row>
    <row r="5436" spans="1:2" x14ac:dyDescent="0.25">
      <c r="A5436"/>
      <c r="B5436"/>
    </row>
    <row r="5437" spans="1:2" x14ac:dyDescent="0.25">
      <c r="A5437"/>
      <c r="B5437"/>
    </row>
    <row r="5438" spans="1:2" x14ac:dyDescent="0.25">
      <c r="A5438"/>
      <c r="B5438"/>
    </row>
    <row r="5439" spans="1:2" x14ac:dyDescent="0.25">
      <c r="A5439"/>
      <c r="B5439"/>
    </row>
    <row r="5440" spans="1:2" x14ac:dyDescent="0.25">
      <c r="A5440"/>
      <c r="B5440"/>
    </row>
    <row r="5441" spans="1:2" x14ac:dyDescent="0.25">
      <c r="A5441"/>
      <c r="B5441"/>
    </row>
    <row r="5442" spans="1:2" x14ac:dyDescent="0.25">
      <c r="A5442"/>
      <c r="B5442"/>
    </row>
    <row r="5443" spans="1:2" x14ac:dyDescent="0.25">
      <c r="A5443"/>
      <c r="B5443"/>
    </row>
    <row r="5444" spans="1:2" x14ac:dyDescent="0.25">
      <c r="A5444"/>
      <c r="B5444"/>
    </row>
    <row r="5445" spans="1:2" x14ac:dyDescent="0.25">
      <c r="A5445"/>
      <c r="B5445"/>
    </row>
    <row r="5446" spans="1:2" x14ac:dyDescent="0.25">
      <c r="A5446"/>
      <c r="B5446"/>
    </row>
    <row r="5447" spans="1:2" x14ac:dyDescent="0.25">
      <c r="A5447"/>
      <c r="B5447"/>
    </row>
    <row r="5448" spans="1:2" x14ac:dyDescent="0.25">
      <c r="A5448"/>
      <c r="B5448"/>
    </row>
    <row r="5449" spans="1:2" x14ac:dyDescent="0.25">
      <c r="A5449"/>
      <c r="B5449"/>
    </row>
    <row r="5450" spans="1:2" x14ac:dyDescent="0.25">
      <c r="A5450"/>
      <c r="B5450"/>
    </row>
    <row r="5451" spans="1:2" x14ac:dyDescent="0.25">
      <c r="A5451"/>
      <c r="B5451"/>
    </row>
    <row r="5452" spans="1:2" x14ac:dyDescent="0.25">
      <c r="A5452"/>
      <c r="B5452"/>
    </row>
    <row r="5453" spans="1:2" x14ac:dyDescent="0.25">
      <c r="A5453"/>
      <c r="B5453"/>
    </row>
    <row r="5454" spans="1:2" x14ac:dyDescent="0.25">
      <c r="A5454"/>
      <c r="B5454"/>
    </row>
    <row r="5455" spans="1:2" x14ac:dyDescent="0.25">
      <c r="A5455"/>
      <c r="B5455"/>
    </row>
    <row r="5456" spans="1:2" x14ac:dyDescent="0.25">
      <c r="A5456"/>
      <c r="B5456"/>
    </row>
    <row r="5457" spans="1:2" x14ac:dyDescent="0.25">
      <c r="A5457"/>
      <c r="B5457"/>
    </row>
    <row r="5458" spans="1:2" x14ac:dyDescent="0.25">
      <c r="A5458"/>
      <c r="B5458"/>
    </row>
    <row r="5459" spans="1:2" x14ac:dyDescent="0.25">
      <c r="A5459"/>
      <c r="B5459"/>
    </row>
    <row r="5460" spans="1:2" x14ac:dyDescent="0.25">
      <c r="A5460"/>
      <c r="B5460"/>
    </row>
    <row r="5461" spans="1:2" x14ac:dyDescent="0.25">
      <c r="A5461"/>
      <c r="B5461"/>
    </row>
    <row r="5462" spans="1:2" x14ac:dyDescent="0.25">
      <c r="A5462"/>
      <c r="B5462"/>
    </row>
    <row r="5463" spans="1:2" x14ac:dyDescent="0.25">
      <c r="A5463"/>
      <c r="B5463"/>
    </row>
    <row r="5464" spans="1:2" x14ac:dyDescent="0.25">
      <c r="A5464"/>
      <c r="B5464"/>
    </row>
    <row r="5465" spans="1:2" x14ac:dyDescent="0.25">
      <c r="A5465"/>
      <c r="B5465"/>
    </row>
    <row r="5466" spans="1:2" x14ac:dyDescent="0.25">
      <c r="A5466"/>
      <c r="B5466"/>
    </row>
    <row r="5467" spans="1:2" x14ac:dyDescent="0.25">
      <c r="A5467"/>
      <c r="B5467"/>
    </row>
    <row r="5468" spans="1:2" x14ac:dyDescent="0.25">
      <c r="A5468"/>
      <c r="B5468"/>
    </row>
    <row r="5469" spans="1:2" x14ac:dyDescent="0.25">
      <c r="A5469"/>
      <c r="B5469"/>
    </row>
    <row r="5470" spans="1:2" x14ac:dyDescent="0.25">
      <c r="A5470"/>
      <c r="B5470"/>
    </row>
    <row r="5471" spans="1:2" x14ac:dyDescent="0.25">
      <c r="A5471"/>
      <c r="B5471"/>
    </row>
    <row r="5472" spans="1:2" x14ac:dyDescent="0.25">
      <c r="A5472"/>
      <c r="B5472"/>
    </row>
    <row r="5473" spans="1:2" x14ac:dyDescent="0.25">
      <c r="A5473"/>
      <c r="B5473"/>
    </row>
    <row r="5474" spans="1:2" x14ac:dyDescent="0.25">
      <c r="A5474"/>
      <c r="B5474"/>
    </row>
    <row r="5475" spans="1:2" x14ac:dyDescent="0.25">
      <c r="A5475"/>
      <c r="B5475"/>
    </row>
    <row r="5476" spans="1:2" x14ac:dyDescent="0.25">
      <c r="A5476"/>
      <c r="B5476"/>
    </row>
    <row r="5477" spans="1:2" x14ac:dyDescent="0.25">
      <c r="A5477"/>
      <c r="B5477"/>
    </row>
    <row r="5478" spans="1:2" x14ac:dyDescent="0.25">
      <c r="A5478"/>
      <c r="B5478"/>
    </row>
    <row r="5479" spans="1:2" x14ac:dyDescent="0.25">
      <c r="A5479"/>
      <c r="B5479"/>
    </row>
    <row r="5480" spans="1:2" x14ac:dyDescent="0.25">
      <c r="A5480"/>
      <c r="B5480"/>
    </row>
    <row r="5481" spans="1:2" x14ac:dyDescent="0.25">
      <c r="A5481"/>
      <c r="B5481"/>
    </row>
    <row r="5482" spans="1:2" x14ac:dyDescent="0.25">
      <c r="A5482"/>
      <c r="B5482"/>
    </row>
    <row r="5483" spans="1:2" x14ac:dyDescent="0.25">
      <c r="A5483"/>
      <c r="B5483"/>
    </row>
    <row r="5484" spans="1:2" x14ac:dyDescent="0.25">
      <c r="A5484"/>
      <c r="B5484"/>
    </row>
    <row r="5485" spans="1:2" x14ac:dyDescent="0.25">
      <c r="A5485"/>
      <c r="B5485"/>
    </row>
    <row r="5486" spans="1:2" x14ac:dyDescent="0.25">
      <c r="A5486"/>
      <c r="B5486"/>
    </row>
    <row r="5487" spans="1:2" x14ac:dyDescent="0.25">
      <c r="A5487"/>
      <c r="B5487"/>
    </row>
    <row r="5488" spans="1:2" x14ac:dyDescent="0.25">
      <c r="A5488"/>
      <c r="B5488"/>
    </row>
    <row r="5489" spans="1:2" x14ac:dyDescent="0.25">
      <c r="A5489"/>
      <c r="B5489"/>
    </row>
    <row r="5490" spans="1:2" x14ac:dyDescent="0.25">
      <c r="A5490"/>
      <c r="B5490"/>
    </row>
    <row r="5491" spans="1:2" x14ac:dyDescent="0.25">
      <c r="A5491"/>
      <c r="B5491"/>
    </row>
    <row r="5492" spans="1:2" x14ac:dyDescent="0.25">
      <c r="A5492"/>
      <c r="B5492"/>
    </row>
    <row r="5493" spans="1:2" x14ac:dyDescent="0.25">
      <c r="A5493"/>
      <c r="B5493"/>
    </row>
    <row r="5494" spans="1:2" x14ac:dyDescent="0.25">
      <c r="A5494"/>
      <c r="B5494"/>
    </row>
    <row r="5495" spans="1:2" x14ac:dyDescent="0.25">
      <c r="A5495"/>
      <c r="B5495"/>
    </row>
    <row r="5496" spans="1:2" x14ac:dyDescent="0.25">
      <c r="A5496"/>
      <c r="B5496"/>
    </row>
    <row r="5497" spans="1:2" x14ac:dyDescent="0.25">
      <c r="A5497"/>
      <c r="B5497"/>
    </row>
    <row r="5498" spans="1:2" x14ac:dyDescent="0.25">
      <c r="A5498"/>
      <c r="B5498"/>
    </row>
    <row r="5499" spans="1:2" x14ac:dyDescent="0.25">
      <c r="A5499"/>
      <c r="B5499"/>
    </row>
    <row r="5500" spans="1:2" x14ac:dyDescent="0.25">
      <c r="A5500"/>
      <c r="B5500"/>
    </row>
    <row r="5501" spans="1:2" x14ac:dyDescent="0.25">
      <c r="A5501"/>
      <c r="B5501"/>
    </row>
    <row r="5502" spans="1:2" x14ac:dyDescent="0.25">
      <c r="A5502"/>
      <c r="B5502"/>
    </row>
    <row r="5503" spans="1:2" x14ac:dyDescent="0.25">
      <c r="A5503"/>
      <c r="B5503"/>
    </row>
    <row r="5504" spans="1:2" x14ac:dyDescent="0.25">
      <c r="A5504"/>
      <c r="B5504"/>
    </row>
    <row r="5505" spans="1:2" x14ac:dyDescent="0.25">
      <c r="A5505"/>
      <c r="B5505"/>
    </row>
    <row r="5506" spans="1:2" x14ac:dyDescent="0.25">
      <c r="A5506"/>
      <c r="B5506"/>
    </row>
    <row r="5507" spans="1:2" x14ac:dyDescent="0.25">
      <c r="A5507"/>
      <c r="B5507"/>
    </row>
    <row r="5508" spans="1:2" x14ac:dyDescent="0.25">
      <c r="A5508"/>
      <c r="B5508"/>
    </row>
    <row r="5509" spans="1:2" x14ac:dyDescent="0.25">
      <c r="A5509"/>
      <c r="B5509"/>
    </row>
    <row r="5510" spans="1:2" x14ac:dyDescent="0.25">
      <c r="A5510"/>
      <c r="B5510"/>
    </row>
    <row r="5511" spans="1:2" x14ac:dyDescent="0.25">
      <c r="A5511"/>
      <c r="B5511"/>
    </row>
    <row r="5512" spans="1:2" x14ac:dyDescent="0.25">
      <c r="A5512"/>
      <c r="B5512"/>
    </row>
    <row r="5513" spans="1:2" x14ac:dyDescent="0.25">
      <c r="A5513"/>
      <c r="B5513"/>
    </row>
    <row r="5514" spans="1:2" x14ac:dyDescent="0.25">
      <c r="A5514"/>
      <c r="B5514"/>
    </row>
    <row r="5515" spans="1:2" x14ac:dyDescent="0.25">
      <c r="A5515"/>
      <c r="B5515"/>
    </row>
    <row r="5516" spans="1:2" x14ac:dyDescent="0.25">
      <c r="A5516"/>
      <c r="B5516"/>
    </row>
    <row r="5517" spans="1:2" x14ac:dyDescent="0.25">
      <c r="A5517"/>
      <c r="B5517"/>
    </row>
    <row r="5518" spans="1:2" x14ac:dyDescent="0.25">
      <c r="A5518"/>
      <c r="B5518"/>
    </row>
    <row r="5519" spans="1:2" x14ac:dyDescent="0.25">
      <c r="A5519"/>
      <c r="B5519"/>
    </row>
    <row r="5520" spans="1:2" x14ac:dyDescent="0.25">
      <c r="A5520"/>
      <c r="B5520"/>
    </row>
    <row r="5521" spans="1:2" x14ac:dyDescent="0.25">
      <c r="A5521"/>
      <c r="B5521"/>
    </row>
    <row r="5522" spans="1:2" x14ac:dyDescent="0.25">
      <c r="A5522"/>
      <c r="B5522"/>
    </row>
    <row r="5523" spans="1:2" x14ac:dyDescent="0.25">
      <c r="A5523"/>
      <c r="B5523"/>
    </row>
    <row r="5524" spans="1:2" x14ac:dyDescent="0.25">
      <c r="A5524"/>
      <c r="B5524"/>
    </row>
    <row r="5525" spans="1:2" x14ac:dyDescent="0.25">
      <c r="A5525"/>
      <c r="B5525"/>
    </row>
    <row r="5526" spans="1:2" x14ac:dyDescent="0.25">
      <c r="A5526"/>
      <c r="B5526"/>
    </row>
    <row r="5527" spans="1:2" x14ac:dyDescent="0.25">
      <c r="A5527"/>
      <c r="B5527"/>
    </row>
    <row r="5528" spans="1:2" x14ac:dyDescent="0.25">
      <c r="A5528"/>
      <c r="B5528"/>
    </row>
    <row r="5529" spans="1:2" x14ac:dyDescent="0.25">
      <c r="A5529"/>
      <c r="B5529"/>
    </row>
    <row r="5530" spans="1:2" x14ac:dyDescent="0.25">
      <c r="A5530"/>
      <c r="B5530"/>
    </row>
    <row r="5531" spans="1:2" x14ac:dyDescent="0.25">
      <c r="A5531"/>
      <c r="B5531"/>
    </row>
    <row r="5532" spans="1:2" x14ac:dyDescent="0.25">
      <c r="A5532"/>
      <c r="B5532"/>
    </row>
    <row r="5533" spans="1:2" x14ac:dyDescent="0.25">
      <c r="A5533"/>
      <c r="B5533"/>
    </row>
    <row r="5534" spans="1:2" x14ac:dyDescent="0.25">
      <c r="A5534"/>
      <c r="B5534"/>
    </row>
    <row r="5535" spans="1:2" x14ac:dyDescent="0.25">
      <c r="A5535"/>
      <c r="B5535"/>
    </row>
    <row r="5536" spans="1:2" x14ac:dyDescent="0.25">
      <c r="A5536"/>
      <c r="B5536"/>
    </row>
    <row r="5537" spans="1:2" x14ac:dyDescent="0.25">
      <c r="A5537"/>
      <c r="B5537"/>
    </row>
    <row r="5538" spans="1:2" x14ac:dyDescent="0.25">
      <c r="A5538"/>
      <c r="B5538"/>
    </row>
    <row r="5539" spans="1:2" x14ac:dyDescent="0.25">
      <c r="A5539"/>
      <c r="B5539"/>
    </row>
    <row r="5540" spans="1:2" x14ac:dyDescent="0.25">
      <c r="A5540"/>
      <c r="B5540"/>
    </row>
    <row r="5541" spans="1:2" x14ac:dyDescent="0.25">
      <c r="A5541"/>
      <c r="B5541"/>
    </row>
    <row r="5542" spans="1:2" x14ac:dyDescent="0.25">
      <c r="A5542"/>
      <c r="B5542"/>
    </row>
    <row r="5543" spans="1:2" x14ac:dyDescent="0.25">
      <c r="A5543"/>
      <c r="B5543"/>
    </row>
    <row r="5544" spans="1:2" x14ac:dyDescent="0.25">
      <c r="A5544"/>
      <c r="B5544"/>
    </row>
    <row r="5545" spans="1:2" x14ac:dyDescent="0.25">
      <c r="A5545"/>
      <c r="B5545"/>
    </row>
    <row r="5546" spans="1:2" x14ac:dyDescent="0.25">
      <c r="A5546"/>
      <c r="B5546"/>
    </row>
    <row r="5547" spans="1:2" x14ac:dyDescent="0.25">
      <c r="A5547"/>
      <c r="B5547"/>
    </row>
    <row r="5548" spans="1:2" x14ac:dyDescent="0.25">
      <c r="A5548"/>
      <c r="B5548"/>
    </row>
    <row r="5549" spans="1:2" x14ac:dyDescent="0.25">
      <c r="A5549"/>
      <c r="B5549"/>
    </row>
    <row r="5550" spans="1:2" x14ac:dyDescent="0.25">
      <c r="A5550"/>
      <c r="B5550"/>
    </row>
    <row r="5551" spans="1:2" x14ac:dyDescent="0.25">
      <c r="A5551"/>
      <c r="B5551"/>
    </row>
    <row r="5552" spans="1:2" x14ac:dyDescent="0.25">
      <c r="A5552"/>
      <c r="B5552"/>
    </row>
    <row r="5553" spans="1:2" x14ac:dyDescent="0.25">
      <c r="A5553"/>
      <c r="B5553"/>
    </row>
    <row r="5554" spans="1:2" x14ac:dyDescent="0.25">
      <c r="A5554"/>
      <c r="B5554"/>
    </row>
    <row r="5555" spans="1:2" x14ac:dyDescent="0.25">
      <c r="A5555"/>
      <c r="B5555"/>
    </row>
    <row r="5556" spans="1:2" x14ac:dyDescent="0.25">
      <c r="A5556"/>
      <c r="B5556"/>
    </row>
    <row r="5557" spans="1:2" x14ac:dyDescent="0.25">
      <c r="A5557"/>
      <c r="B5557"/>
    </row>
    <row r="5558" spans="1:2" x14ac:dyDescent="0.25">
      <c r="A5558"/>
      <c r="B5558"/>
    </row>
    <row r="5559" spans="1:2" x14ac:dyDescent="0.25">
      <c r="A5559"/>
      <c r="B5559"/>
    </row>
    <row r="5560" spans="1:2" x14ac:dyDescent="0.25">
      <c r="A5560"/>
      <c r="B5560"/>
    </row>
    <row r="5561" spans="1:2" x14ac:dyDescent="0.25">
      <c r="A5561"/>
      <c r="B5561"/>
    </row>
    <row r="5562" spans="1:2" x14ac:dyDescent="0.25">
      <c r="A5562"/>
      <c r="B5562"/>
    </row>
    <row r="5563" spans="1:2" x14ac:dyDescent="0.25">
      <c r="A5563"/>
      <c r="B5563"/>
    </row>
    <row r="5564" spans="1:2" x14ac:dyDescent="0.25">
      <c r="A5564"/>
      <c r="B5564"/>
    </row>
    <row r="5565" spans="1:2" x14ac:dyDescent="0.25">
      <c r="A5565"/>
      <c r="B5565"/>
    </row>
    <row r="5566" spans="1:2" x14ac:dyDescent="0.25">
      <c r="A5566"/>
      <c r="B5566"/>
    </row>
    <row r="5567" spans="1:2" x14ac:dyDescent="0.25">
      <c r="A5567"/>
      <c r="B5567"/>
    </row>
    <row r="5568" spans="1:2" x14ac:dyDescent="0.25">
      <c r="A5568"/>
      <c r="B5568"/>
    </row>
    <row r="5569" spans="1:2" x14ac:dyDescent="0.25">
      <c r="A5569"/>
      <c r="B5569"/>
    </row>
    <row r="5570" spans="1:2" x14ac:dyDescent="0.25">
      <c r="A5570"/>
      <c r="B5570"/>
    </row>
    <row r="5571" spans="1:2" x14ac:dyDescent="0.25">
      <c r="A5571"/>
      <c r="B5571"/>
    </row>
    <row r="5572" spans="1:2" x14ac:dyDescent="0.25">
      <c r="A5572"/>
      <c r="B5572"/>
    </row>
    <row r="5573" spans="1:2" x14ac:dyDescent="0.25">
      <c r="A5573"/>
      <c r="B5573"/>
    </row>
    <row r="5574" spans="1:2" x14ac:dyDescent="0.25">
      <c r="A5574"/>
      <c r="B5574"/>
    </row>
    <row r="5575" spans="1:2" x14ac:dyDescent="0.25">
      <c r="A5575"/>
      <c r="B5575"/>
    </row>
    <row r="5576" spans="1:2" x14ac:dyDescent="0.25">
      <c r="A5576"/>
      <c r="B5576"/>
    </row>
    <row r="5577" spans="1:2" x14ac:dyDescent="0.25">
      <c r="A5577"/>
      <c r="B5577"/>
    </row>
    <row r="5578" spans="1:2" x14ac:dyDescent="0.25">
      <c r="A5578"/>
      <c r="B5578"/>
    </row>
    <row r="5579" spans="1:2" x14ac:dyDescent="0.25">
      <c r="A5579"/>
      <c r="B5579"/>
    </row>
    <row r="5580" spans="1:2" x14ac:dyDescent="0.25">
      <c r="A5580"/>
      <c r="B5580"/>
    </row>
    <row r="5581" spans="1:2" x14ac:dyDescent="0.25">
      <c r="A5581"/>
      <c r="B5581"/>
    </row>
    <row r="5582" spans="1:2" x14ac:dyDescent="0.25">
      <c r="A5582"/>
      <c r="B5582"/>
    </row>
    <row r="5583" spans="1:2" x14ac:dyDescent="0.25">
      <c r="A5583"/>
      <c r="B5583"/>
    </row>
    <row r="5584" spans="1:2" x14ac:dyDescent="0.25">
      <c r="A5584"/>
      <c r="B5584"/>
    </row>
    <row r="5585" spans="1:2" x14ac:dyDescent="0.25">
      <c r="A5585"/>
      <c r="B5585"/>
    </row>
    <row r="5586" spans="1:2" x14ac:dyDescent="0.25">
      <c r="A5586"/>
      <c r="B5586"/>
    </row>
    <row r="5587" spans="1:2" x14ac:dyDescent="0.25">
      <c r="A5587"/>
      <c r="B5587"/>
    </row>
    <row r="5588" spans="1:2" x14ac:dyDescent="0.25">
      <c r="A5588"/>
      <c r="B5588"/>
    </row>
    <row r="5589" spans="1:2" x14ac:dyDescent="0.25">
      <c r="A5589"/>
      <c r="B5589"/>
    </row>
    <row r="5590" spans="1:2" x14ac:dyDescent="0.25">
      <c r="A5590"/>
      <c r="B5590"/>
    </row>
    <row r="5591" spans="1:2" x14ac:dyDescent="0.25">
      <c r="A5591"/>
      <c r="B5591"/>
    </row>
    <row r="5592" spans="1:2" x14ac:dyDescent="0.25">
      <c r="A5592"/>
      <c r="B5592"/>
    </row>
    <row r="5593" spans="1:2" x14ac:dyDescent="0.25">
      <c r="A5593"/>
      <c r="B5593"/>
    </row>
    <row r="5594" spans="1:2" x14ac:dyDescent="0.25">
      <c r="A5594"/>
      <c r="B5594"/>
    </row>
    <row r="5595" spans="1:2" x14ac:dyDescent="0.25">
      <c r="A5595"/>
      <c r="B5595"/>
    </row>
    <row r="5596" spans="1:2" x14ac:dyDescent="0.25">
      <c r="A5596"/>
      <c r="B5596"/>
    </row>
    <row r="5597" spans="1:2" x14ac:dyDescent="0.25">
      <c r="A5597"/>
      <c r="B5597"/>
    </row>
    <row r="5598" spans="1:2" x14ac:dyDescent="0.25">
      <c r="A5598"/>
      <c r="B5598"/>
    </row>
    <row r="5599" spans="1:2" x14ac:dyDescent="0.25">
      <c r="A5599"/>
      <c r="B5599"/>
    </row>
    <row r="5600" spans="1:2" x14ac:dyDescent="0.25">
      <c r="A5600"/>
      <c r="B5600"/>
    </row>
    <row r="5601" spans="1:2" x14ac:dyDescent="0.25">
      <c r="A5601"/>
      <c r="B5601"/>
    </row>
    <row r="5602" spans="1:2" x14ac:dyDescent="0.25">
      <c r="A5602"/>
      <c r="B5602"/>
    </row>
    <row r="5603" spans="1:2" x14ac:dyDescent="0.25">
      <c r="A5603"/>
      <c r="B5603"/>
    </row>
    <row r="5604" spans="1:2" x14ac:dyDescent="0.25">
      <c r="A5604"/>
      <c r="B5604"/>
    </row>
    <row r="5605" spans="1:2" x14ac:dyDescent="0.25">
      <c r="A5605"/>
      <c r="B5605"/>
    </row>
    <row r="5606" spans="1:2" x14ac:dyDescent="0.25">
      <c r="A5606"/>
      <c r="B5606"/>
    </row>
    <row r="5607" spans="1:2" x14ac:dyDescent="0.25">
      <c r="A5607"/>
      <c r="B5607"/>
    </row>
    <row r="5608" spans="1:2" x14ac:dyDescent="0.25">
      <c r="A5608"/>
      <c r="B5608"/>
    </row>
    <row r="5609" spans="1:2" x14ac:dyDescent="0.25">
      <c r="A5609"/>
      <c r="B5609"/>
    </row>
    <row r="5610" spans="1:2" x14ac:dyDescent="0.25">
      <c r="A5610"/>
      <c r="B5610"/>
    </row>
    <row r="5611" spans="1:2" x14ac:dyDescent="0.25">
      <c r="A5611"/>
      <c r="B5611"/>
    </row>
    <row r="5612" spans="1:2" x14ac:dyDescent="0.25">
      <c r="A5612"/>
      <c r="B5612"/>
    </row>
    <row r="5613" spans="1:2" x14ac:dyDescent="0.25">
      <c r="A5613"/>
      <c r="B5613"/>
    </row>
    <row r="5614" spans="1:2" x14ac:dyDescent="0.25">
      <c r="A5614"/>
      <c r="B5614"/>
    </row>
    <row r="5615" spans="1:2" x14ac:dyDescent="0.25">
      <c r="A5615"/>
      <c r="B5615"/>
    </row>
    <row r="5616" spans="1:2" x14ac:dyDescent="0.25">
      <c r="A5616"/>
      <c r="B5616"/>
    </row>
    <row r="5617" spans="1:2" x14ac:dyDescent="0.25">
      <c r="A5617"/>
      <c r="B5617"/>
    </row>
    <row r="5618" spans="1:2" x14ac:dyDescent="0.25">
      <c r="A5618"/>
      <c r="B5618"/>
    </row>
    <row r="5619" spans="1:2" x14ac:dyDescent="0.25">
      <c r="A5619"/>
      <c r="B5619"/>
    </row>
    <row r="5620" spans="1:2" x14ac:dyDescent="0.25">
      <c r="A5620"/>
      <c r="B5620"/>
    </row>
    <row r="5621" spans="1:2" x14ac:dyDescent="0.25">
      <c r="A5621"/>
      <c r="B5621"/>
    </row>
    <row r="5622" spans="1:2" x14ac:dyDescent="0.25">
      <c r="A5622"/>
      <c r="B5622"/>
    </row>
    <row r="5623" spans="1:2" x14ac:dyDescent="0.25">
      <c r="A5623"/>
      <c r="B5623"/>
    </row>
    <row r="5624" spans="1:2" x14ac:dyDescent="0.25">
      <c r="A5624"/>
      <c r="B5624"/>
    </row>
    <row r="5625" spans="1:2" x14ac:dyDescent="0.25">
      <c r="A5625"/>
      <c r="B5625"/>
    </row>
    <row r="5626" spans="1:2" x14ac:dyDescent="0.25">
      <c r="A5626"/>
      <c r="B5626"/>
    </row>
    <row r="5627" spans="1:2" x14ac:dyDescent="0.25">
      <c r="A5627"/>
      <c r="B5627"/>
    </row>
    <row r="5628" spans="1:2" x14ac:dyDescent="0.25">
      <c r="A5628"/>
      <c r="B5628"/>
    </row>
    <row r="5629" spans="1:2" x14ac:dyDescent="0.25">
      <c r="A5629"/>
      <c r="B5629"/>
    </row>
    <row r="5630" spans="1:2" x14ac:dyDescent="0.25">
      <c r="A5630"/>
      <c r="B5630"/>
    </row>
    <row r="5631" spans="1:2" x14ac:dyDescent="0.25">
      <c r="A5631"/>
      <c r="B5631"/>
    </row>
    <row r="5632" spans="1:2" x14ac:dyDescent="0.25">
      <c r="A5632"/>
      <c r="B5632"/>
    </row>
    <row r="5633" spans="1:2" x14ac:dyDescent="0.25">
      <c r="A5633"/>
      <c r="B5633"/>
    </row>
    <row r="5634" spans="1:2" x14ac:dyDescent="0.25">
      <c r="A5634"/>
      <c r="B5634"/>
    </row>
    <row r="5635" spans="1:2" x14ac:dyDescent="0.25">
      <c r="A5635"/>
      <c r="B5635"/>
    </row>
    <row r="5636" spans="1:2" x14ac:dyDescent="0.25">
      <c r="A5636"/>
      <c r="B5636"/>
    </row>
    <row r="5637" spans="1:2" x14ac:dyDescent="0.25">
      <c r="A5637"/>
      <c r="B5637"/>
    </row>
    <row r="5638" spans="1:2" x14ac:dyDescent="0.25">
      <c r="A5638"/>
      <c r="B5638"/>
    </row>
    <row r="5639" spans="1:2" x14ac:dyDescent="0.25">
      <c r="A5639"/>
      <c r="B5639"/>
    </row>
    <row r="5640" spans="1:2" x14ac:dyDescent="0.25">
      <c r="A5640"/>
      <c r="B5640"/>
    </row>
    <row r="5641" spans="1:2" x14ac:dyDescent="0.25">
      <c r="A5641"/>
      <c r="B5641"/>
    </row>
    <row r="5642" spans="1:2" x14ac:dyDescent="0.25">
      <c r="A5642"/>
      <c r="B5642"/>
    </row>
    <row r="5643" spans="1:2" x14ac:dyDescent="0.25">
      <c r="A5643"/>
      <c r="B5643"/>
    </row>
    <row r="5644" spans="1:2" x14ac:dyDescent="0.25">
      <c r="A5644"/>
      <c r="B5644"/>
    </row>
    <row r="5645" spans="1:2" x14ac:dyDescent="0.25">
      <c r="A5645"/>
      <c r="B5645"/>
    </row>
    <row r="5646" spans="1:2" x14ac:dyDescent="0.25">
      <c r="A5646"/>
      <c r="B5646"/>
    </row>
    <row r="5647" spans="1:2" x14ac:dyDescent="0.25">
      <c r="A5647"/>
      <c r="B5647"/>
    </row>
    <row r="5648" spans="1:2" x14ac:dyDescent="0.25">
      <c r="A5648"/>
      <c r="B5648"/>
    </row>
    <row r="5649" spans="1:2" x14ac:dyDescent="0.25">
      <c r="A5649"/>
      <c r="B5649"/>
    </row>
    <row r="5650" spans="1:2" x14ac:dyDescent="0.25">
      <c r="A5650"/>
      <c r="B5650"/>
    </row>
    <row r="5651" spans="1:2" x14ac:dyDescent="0.25">
      <c r="A5651"/>
      <c r="B5651"/>
    </row>
    <row r="5652" spans="1:2" x14ac:dyDescent="0.25">
      <c r="A5652"/>
      <c r="B5652"/>
    </row>
    <row r="5653" spans="1:2" x14ac:dyDescent="0.25">
      <c r="A5653"/>
      <c r="B5653"/>
    </row>
    <row r="5654" spans="1:2" x14ac:dyDescent="0.25">
      <c r="A5654"/>
      <c r="B5654"/>
    </row>
    <row r="5655" spans="1:2" x14ac:dyDescent="0.25">
      <c r="A5655"/>
      <c r="B5655"/>
    </row>
    <row r="5656" spans="1:2" x14ac:dyDescent="0.25">
      <c r="A5656"/>
      <c r="B5656"/>
    </row>
    <row r="5657" spans="1:2" x14ac:dyDescent="0.25">
      <c r="A5657"/>
      <c r="B5657"/>
    </row>
    <row r="5658" spans="1:2" x14ac:dyDescent="0.25">
      <c r="A5658"/>
      <c r="B5658"/>
    </row>
    <row r="5659" spans="1:2" x14ac:dyDescent="0.25">
      <c r="A5659"/>
      <c r="B5659"/>
    </row>
    <row r="5660" spans="1:2" x14ac:dyDescent="0.25">
      <c r="A5660"/>
      <c r="B5660"/>
    </row>
    <row r="5661" spans="1:2" x14ac:dyDescent="0.25">
      <c r="A5661"/>
      <c r="B5661"/>
    </row>
    <row r="5662" spans="1:2" x14ac:dyDescent="0.25">
      <c r="A5662"/>
      <c r="B5662"/>
    </row>
    <row r="5663" spans="1:2" x14ac:dyDescent="0.25">
      <c r="A5663"/>
      <c r="B5663"/>
    </row>
    <row r="5664" spans="1:2" x14ac:dyDescent="0.25">
      <c r="A5664"/>
      <c r="B5664"/>
    </row>
    <row r="5665" spans="1:2" x14ac:dyDescent="0.25">
      <c r="A5665"/>
      <c r="B5665"/>
    </row>
    <row r="5666" spans="1:2" x14ac:dyDescent="0.25">
      <c r="A5666"/>
      <c r="B5666"/>
    </row>
    <row r="5667" spans="1:2" x14ac:dyDescent="0.25">
      <c r="A5667"/>
      <c r="B5667"/>
    </row>
    <row r="5668" spans="1:2" x14ac:dyDescent="0.25">
      <c r="A5668"/>
      <c r="B5668"/>
    </row>
    <row r="5669" spans="1:2" x14ac:dyDescent="0.25">
      <c r="A5669"/>
      <c r="B5669"/>
    </row>
    <row r="5670" spans="1:2" x14ac:dyDescent="0.25">
      <c r="A5670"/>
      <c r="B5670"/>
    </row>
    <row r="5671" spans="1:2" x14ac:dyDescent="0.25">
      <c r="A5671"/>
      <c r="B5671"/>
    </row>
    <row r="5672" spans="1:2" x14ac:dyDescent="0.25">
      <c r="A5672"/>
      <c r="B5672"/>
    </row>
    <row r="5673" spans="1:2" x14ac:dyDescent="0.25">
      <c r="A5673"/>
      <c r="B5673"/>
    </row>
    <row r="5674" spans="1:2" x14ac:dyDescent="0.25">
      <c r="A5674"/>
      <c r="B5674"/>
    </row>
    <row r="5675" spans="1:2" x14ac:dyDescent="0.25">
      <c r="A5675"/>
      <c r="B5675"/>
    </row>
    <row r="5676" spans="1:2" x14ac:dyDescent="0.25">
      <c r="A5676"/>
      <c r="B5676"/>
    </row>
    <row r="5677" spans="1:2" x14ac:dyDescent="0.25">
      <c r="A5677"/>
      <c r="B5677"/>
    </row>
    <row r="5678" spans="1:2" x14ac:dyDescent="0.25">
      <c r="A5678"/>
      <c r="B5678"/>
    </row>
    <row r="5679" spans="1:2" x14ac:dyDescent="0.25">
      <c r="A5679"/>
      <c r="B5679"/>
    </row>
    <row r="5680" spans="1:2" x14ac:dyDescent="0.25">
      <c r="A5680"/>
      <c r="B5680"/>
    </row>
    <row r="5681" spans="1:2" x14ac:dyDescent="0.25">
      <c r="A5681"/>
      <c r="B5681"/>
    </row>
    <row r="5682" spans="1:2" x14ac:dyDescent="0.25">
      <c r="A5682"/>
      <c r="B5682"/>
    </row>
    <row r="5683" spans="1:2" x14ac:dyDescent="0.25">
      <c r="A5683"/>
      <c r="B5683"/>
    </row>
    <row r="5684" spans="1:2" x14ac:dyDescent="0.25">
      <c r="A5684"/>
      <c r="B5684"/>
    </row>
    <row r="5685" spans="1:2" x14ac:dyDescent="0.25">
      <c r="A5685"/>
      <c r="B5685"/>
    </row>
    <row r="5686" spans="1:2" x14ac:dyDescent="0.25">
      <c r="A5686"/>
      <c r="B5686"/>
    </row>
    <row r="5687" spans="1:2" x14ac:dyDescent="0.25">
      <c r="A5687"/>
      <c r="B5687"/>
    </row>
    <row r="5688" spans="1:2" x14ac:dyDescent="0.25">
      <c r="A5688"/>
      <c r="B5688"/>
    </row>
    <row r="5689" spans="1:2" x14ac:dyDescent="0.25">
      <c r="A5689"/>
      <c r="B5689"/>
    </row>
    <row r="5690" spans="1:2" x14ac:dyDescent="0.25">
      <c r="A5690"/>
      <c r="B5690"/>
    </row>
    <row r="5691" spans="1:2" x14ac:dyDescent="0.25">
      <c r="A5691"/>
      <c r="B5691"/>
    </row>
    <row r="5692" spans="1:2" x14ac:dyDescent="0.25">
      <c r="A5692"/>
      <c r="B5692"/>
    </row>
    <row r="5693" spans="1:2" x14ac:dyDescent="0.25">
      <c r="A5693"/>
      <c r="B5693"/>
    </row>
    <row r="5694" spans="1:2" x14ac:dyDescent="0.25">
      <c r="A5694"/>
      <c r="B5694"/>
    </row>
    <row r="5695" spans="1:2" x14ac:dyDescent="0.25">
      <c r="A5695"/>
      <c r="B5695"/>
    </row>
    <row r="5696" spans="1:2" x14ac:dyDescent="0.25">
      <c r="A5696"/>
      <c r="B5696"/>
    </row>
    <row r="5697" spans="1:2" x14ac:dyDescent="0.25">
      <c r="A5697"/>
      <c r="B5697"/>
    </row>
    <row r="5698" spans="1:2" x14ac:dyDescent="0.25">
      <c r="A5698"/>
      <c r="B5698"/>
    </row>
    <row r="5699" spans="1:2" x14ac:dyDescent="0.25">
      <c r="A5699"/>
      <c r="B5699"/>
    </row>
    <row r="5700" spans="1:2" x14ac:dyDescent="0.25">
      <c r="A5700"/>
      <c r="B5700"/>
    </row>
    <row r="5701" spans="1:2" x14ac:dyDescent="0.25">
      <c r="A5701"/>
      <c r="B5701"/>
    </row>
    <row r="5702" spans="1:2" x14ac:dyDescent="0.25">
      <c r="A5702"/>
      <c r="B5702"/>
    </row>
    <row r="5703" spans="1:2" x14ac:dyDescent="0.25">
      <c r="A5703"/>
      <c r="B5703"/>
    </row>
    <row r="5704" spans="1:2" x14ac:dyDescent="0.25">
      <c r="A5704"/>
      <c r="B5704"/>
    </row>
    <row r="5705" spans="1:2" x14ac:dyDescent="0.25">
      <c r="A5705"/>
      <c r="B5705"/>
    </row>
    <row r="5706" spans="1:2" x14ac:dyDescent="0.25">
      <c r="A5706"/>
      <c r="B5706"/>
    </row>
    <row r="5707" spans="1:2" x14ac:dyDescent="0.25">
      <c r="A5707"/>
      <c r="B5707"/>
    </row>
    <row r="5708" spans="1:2" x14ac:dyDescent="0.25">
      <c r="A5708"/>
      <c r="B5708"/>
    </row>
    <row r="5709" spans="1:2" x14ac:dyDescent="0.25">
      <c r="A5709"/>
      <c r="B5709"/>
    </row>
    <row r="5710" spans="1:2" x14ac:dyDescent="0.25">
      <c r="A5710"/>
      <c r="B5710"/>
    </row>
    <row r="5711" spans="1:2" x14ac:dyDescent="0.25">
      <c r="A5711"/>
      <c r="B5711"/>
    </row>
    <row r="5712" spans="1:2" x14ac:dyDescent="0.25">
      <c r="A5712"/>
      <c r="B5712"/>
    </row>
    <row r="5713" spans="1:2" x14ac:dyDescent="0.25">
      <c r="A5713"/>
      <c r="B5713"/>
    </row>
    <row r="5714" spans="1:2" x14ac:dyDescent="0.25">
      <c r="A5714"/>
      <c r="B5714"/>
    </row>
    <row r="5715" spans="1:2" x14ac:dyDescent="0.25">
      <c r="A5715"/>
      <c r="B5715"/>
    </row>
    <row r="5716" spans="1:2" x14ac:dyDescent="0.25">
      <c r="A5716"/>
      <c r="B5716"/>
    </row>
    <row r="5717" spans="1:2" x14ac:dyDescent="0.25">
      <c r="A5717"/>
      <c r="B5717"/>
    </row>
    <row r="5718" spans="1:2" x14ac:dyDescent="0.25">
      <c r="A5718"/>
      <c r="B5718"/>
    </row>
    <row r="5719" spans="1:2" x14ac:dyDescent="0.25">
      <c r="A5719"/>
      <c r="B5719"/>
    </row>
    <row r="5720" spans="1:2" x14ac:dyDescent="0.25">
      <c r="A5720"/>
      <c r="B5720"/>
    </row>
    <row r="5721" spans="1:2" x14ac:dyDescent="0.25">
      <c r="A5721"/>
      <c r="B5721"/>
    </row>
    <row r="5722" spans="1:2" x14ac:dyDescent="0.25">
      <c r="A5722"/>
      <c r="B5722"/>
    </row>
    <row r="5723" spans="1:2" x14ac:dyDescent="0.25">
      <c r="A5723"/>
      <c r="B5723"/>
    </row>
    <row r="5724" spans="1:2" x14ac:dyDescent="0.25">
      <c r="A5724"/>
      <c r="B5724"/>
    </row>
    <row r="5725" spans="1:2" x14ac:dyDescent="0.25">
      <c r="A5725"/>
      <c r="B5725"/>
    </row>
    <row r="5726" spans="1:2" x14ac:dyDescent="0.25">
      <c r="A5726"/>
      <c r="B5726"/>
    </row>
    <row r="5727" spans="1:2" x14ac:dyDescent="0.25">
      <c r="A5727"/>
      <c r="B5727"/>
    </row>
    <row r="5728" spans="1:2" x14ac:dyDescent="0.25">
      <c r="A5728"/>
      <c r="B5728"/>
    </row>
    <row r="5729" spans="1:2" x14ac:dyDescent="0.25">
      <c r="A5729"/>
      <c r="B5729"/>
    </row>
    <row r="5730" spans="1:2" x14ac:dyDescent="0.25">
      <c r="A5730"/>
      <c r="B5730"/>
    </row>
    <row r="5731" spans="1:2" x14ac:dyDescent="0.25">
      <c r="A5731"/>
      <c r="B5731"/>
    </row>
    <row r="5732" spans="1:2" x14ac:dyDescent="0.25">
      <c r="A5732"/>
      <c r="B5732"/>
    </row>
    <row r="5733" spans="1:2" x14ac:dyDescent="0.25">
      <c r="A5733"/>
      <c r="B5733"/>
    </row>
    <row r="5734" spans="1:2" x14ac:dyDescent="0.25">
      <c r="A5734"/>
      <c r="B5734"/>
    </row>
    <row r="5735" spans="1:2" x14ac:dyDescent="0.25">
      <c r="A5735"/>
      <c r="B5735"/>
    </row>
    <row r="5736" spans="1:2" x14ac:dyDescent="0.25">
      <c r="A5736"/>
      <c r="B5736"/>
    </row>
    <row r="5737" spans="1:2" x14ac:dyDescent="0.25">
      <c r="A5737"/>
      <c r="B5737"/>
    </row>
    <row r="5738" spans="1:2" x14ac:dyDescent="0.25">
      <c r="A5738"/>
      <c r="B5738"/>
    </row>
    <row r="5739" spans="1:2" x14ac:dyDescent="0.25">
      <c r="A5739"/>
      <c r="B5739"/>
    </row>
    <row r="5740" spans="1:2" x14ac:dyDescent="0.25">
      <c r="A5740"/>
      <c r="B5740"/>
    </row>
    <row r="5741" spans="1:2" x14ac:dyDescent="0.25">
      <c r="A5741"/>
      <c r="B5741"/>
    </row>
    <row r="5742" spans="1:2" x14ac:dyDescent="0.25">
      <c r="A5742"/>
      <c r="B5742"/>
    </row>
    <row r="5743" spans="1:2" x14ac:dyDescent="0.25">
      <c r="A5743"/>
      <c r="B5743"/>
    </row>
    <row r="5744" spans="1:2" x14ac:dyDescent="0.25">
      <c r="A5744"/>
      <c r="B5744"/>
    </row>
    <row r="5745" spans="1:2" x14ac:dyDescent="0.25">
      <c r="A5745"/>
      <c r="B5745"/>
    </row>
    <row r="5746" spans="1:2" x14ac:dyDescent="0.25">
      <c r="A5746"/>
      <c r="B5746"/>
    </row>
    <row r="5747" spans="1:2" x14ac:dyDescent="0.25">
      <c r="A5747"/>
      <c r="B5747"/>
    </row>
    <row r="5748" spans="1:2" x14ac:dyDescent="0.25">
      <c r="A5748"/>
      <c r="B5748"/>
    </row>
    <row r="5749" spans="1:2" x14ac:dyDescent="0.25">
      <c r="A5749"/>
      <c r="B5749"/>
    </row>
    <row r="5750" spans="1:2" x14ac:dyDescent="0.25">
      <c r="A5750"/>
      <c r="B5750"/>
    </row>
    <row r="5751" spans="1:2" x14ac:dyDescent="0.25">
      <c r="A5751"/>
      <c r="B5751"/>
    </row>
    <row r="5752" spans="1:2" x14ac:dyDescent="0.25">
      <c r="A5752"/>
      <c r="B5752"/>
    </row>
    <row r="5753" spans="1:2" x14ac:dyDescent="0.25">
      <c r="A5753"/>
      <c r="B5753"/>
    </row>
    <row r="5754" spans="1:2" x14ac:dyDescent="0.25">
      <c r="A5754"/>
      <c r="B5754"/>
    </row>
    <row r="5755" spans="1:2" x14ac:dyDescent="0.25">
      <c r="A5755"/>
      <c r="B5755"/>
    </row>
    <row r="5756" spans="1:2" x14ac:dyDescent="0.25">
      <c r="A5756"/>
      <c r="B5756"/>
    </row>
    <row r="5757" spans="1:2" x14ac:dyDescent="0.25">
      <c r="A5757"/>
      <c r="B5757"/>
    </row>
    <row r="5758" spans="1:2" x14ac:dyDescent="0.25">
      <c r="A5758"/>
      <c r="B5758"/>
    </row>
    <row r="5759" spans="1:2" x14ac:dyDescent="0.25">
      <c r="A5759"/>
      <c r="B5759"/>
    </row>
    <row r="5760" spans="1:2" x14ac:dyDescent="0.25">
      <c r="A5760"/>
      <c r="B5760"/>
    </row>
    <row r="5761" spans="1:2" x14ac:dyDescent="0.25">
      <c r="A5761"/>
      <c r="B5761"/>
    </row>
    <row r="5762" spans="1:2" x14ac:dyDescent="0.25">
      <c r="A5762"/>
      <c r="B5762"/>
    </row>
    <row r="5763" spans="1:2" x14ac:dyDescent="0.25">
      <c r="A5763"/>
      <c r="B5763"/>
    </row>
    <row r="5764" spans="1:2" x14ac:dyDescent="0.25">
      <c r="A5764"/>
      <c r="B5764"/>
    </row>
    <row r="5765" spans="1:2" x14ac:dyDescent="0.25">
      <c r="A5765"/>
      <c r="B5765"/>
    </row>
    <row r="5766" spans="1:2" x14ac:dyDescent="0.25">
      <c r="A5766"/>
      <c r="B5766"/>
    </row>
    <row r="5767" spans="1:2" x14ac:dyDescent="0.25">
      <c r="A5767"/>
      <c r="B5767"/>
    </row>
    <row r="5768" spans="1:2" x14ac:dyDescent="0.25">
      <c r="A5768"/>
      <c r="B5768"/>
    </row>
    <row r="5769" spans="1:2" x14ac:dyDescent="0.25">
      <c r="A5769"/>
      <c r="B5769"/>
    </row>
    <row r="5770" spans="1:2" x14ac:dyDescent="0.25">
      <c r="A5770"/>
      <c r="B5770"/>
    </row>
    <row r="5771" spans="1:2" x14ac:dyDescent="0.25">
      <c r="A5771"/>
      <c r="B5771"/>
    </row>
    <row r="5772" spans="1:2" x14ac:dyDescent="0.25">
      <c r="A5772"/>
      <c r="B5772"/>
    </row>
    <row r="5773" spans="1:2" x14ac:dyDescent="0.25">
      <c r="A5773"/>
      <c r="B5773"/>
    </row>
    <row r="5774" spans="1:2" x14ac:dyDescent="0.25">
      <c r="A5774"/>
      <c r="B5774"/>
    </row>
    <row r="5775" spans="1:2" x14ac:dyDescent="0.25">
      <c r="A5775"/>
      <c r="B5775"/>
    </row>
    <row r="5776" spans="1:2" x14ac:dyDescent="0.25">
      <c r="A5776"/>
      <c r="B5776"/>
    </row>
    <row r="5777" spans="1:2" x14ac:dyDescent="0.25">
      <c r="A5777"/>
      <c r="B5777"/>
    </row>
    <row r="5778" spans="1:2" x14ac:dyDescent="0.25">
      <c r="A5778"/>
      <c r="B5778"/>
    </row>
    <row r="5779" spans="1:2" x14ac:dyDescent="0.25">
      <c r="A5779"/>
      <c r="B5779"/>
    </row>
    <row r="5780" spans="1:2" x14ac:dyDescent="0.25">
      <c r="A5780"/>
      <c r="B5780"/>
    </row>
    <row r="5781" spans="1:2" x14ac:dyDescent="0.25">
      <c r="A5781"/>
      <c r="B5781"/>
    </row>
    <row r="5782" spans="1:2" x14ac:dyDescent="0.25">
      <c r="A5782"/>
      <c r="B5782"/>
    </row>
    <row r="5783" spans="1:2" x14ac:dyDescent="0.25">
      <c r="A5783"/>
      <c r="B5783"/>
    </row>
    <row r="5784" spans="1:2" x14ac:dyDescent="0.25">
      <c r="A5784"/>
      <c r="B5784"/>
    </row>
    <row r="5785" spans="1:2" x14ac:dyDescent="0.25">
      <c r="A5785"/>
      <c r="B5785"/>
    </row>
    <row r="5786" spans="1:2" x14ac:dyDescent="0.25">
      <c r="A5786"/>
      <c r="B5786"/>
    </row>
    <row r="5787" spans="1:2" x14ac:dyDescent="0.25">
      <c r="A5787"/>
      <c r="B5787"/>
    </row>
    <row r="5788" spans="1:2" x14ac:dyDescent="0.25">
      <c r="A5788"/>
      <c r="B5788"/>
    </row>
    <row r="5789" spans="1:2" x14ac:dyDescent="0.25">
      <c r="A5789"/>
      <c r="B5789"/>
    </row>
    <row r="5790" spans="1:2" x14ac:dyDescent="0.25">
      <c r="A5790"/>
      <c r="B5790"/>
    </row>
    <row r="5791" spans="1:2" x14ac:dyDescent="0.25">
      <c r="A5791"/>
      <c r="B5791"/>
    </row>
    <row r="5792" spans="1:2" x14ac:dyDescent="0.25">
      <c r="A5792"/>
      <c r="B5792"/>
    </row>
    <row r="5793" spans="1:2" x14ac:dyDescent="0.25">
      <c r="A5793"/>
      <c r="B5793"/>
    </row>
    <row r="5794" spans="1:2" x14ac:dyDescent="0.25">
      <c r="A5794"/>
      <c r="B5794"/>
    </row>
    <row r="5795" spans="1:2" x14ac:dyDescent="0.25">
      <c r="A5795"/>
      <c r="B5795"/>
    </row>
    <row r="5796" spans="1:2" x14ac:dyDescent="0.25">
      <c r="A5796"/>
      <c r="B5796"/>
    </row>
    <row r="5797" spans="1:2" x14ac:dyDescent="0.25">
      <c r="A5797"/>
      <c r="B5797"/>
    </row>
    <row r="5798" spans="1:2" x14ac:dyDescent="0.25">
      <c r="A5798"/>
      <c r="B5798"/>
    </row>
    <row r="5799" spans="1:2" x14ac:dyDescent="0.25">
      <c r="A5799"/>
      <c r="B5799"/>
    </row>
    <row r="5800" spans="1:2" x14ac:dyDescent="0.25">
      <c r="A5800"/>
      <c r="B5800"/>
    </row>
    <row r="5801" spans="1:2" x14ac:dyDescent="0.25">
      <c r="A5801"/>
      <c r="B5801"/>
    </row>
    <row r="5802" spans="1:2" x14ac:dyDescent="0.25">
      <c r="A5802"/>
      <c r="B5802"/>
    </row>
    <row r="5803" spans="1:2" x14ac:dyDescent="0.25">
      <c r="A5803"/>
      <c r="B5803"/>
    </row>
    <row r="5804" spans="1:2" x14ac:dyDescent="0.25">
      <c r="A5804"/>
      <c r="B5804"/>
    </row>
    <row r="5805" spans="1:2" x14ac:dyDescent="0.25">
      <c r="A5805"/>
      <c r="B5805"/>
    </row>
    <row r="5806" spans="1:2" x14ac:dyDescent="0.25">
      <c r="A5806"/>
      <c r="B5806"/>
    </row>
    <row r="5807" spans="1:2" x14ac:dyDescent="0.25">
      <c r="A5807"/>
      <c r="B5807"/>
    </row>
    <row r="5808" spans="1:2" x14ac:dyDescent="0.25">
      <c r="A5808"/>
      <c r="B5808"/>
    </row>
    <row r="5809" spans="1:2" x14ac:dyDescent="0.25">
      <c r="A5809"/>
      <c r="B5809"/>
    </row>
    <row r="5810" spans="1:2" x14ac:dyDescent="0.25">
      <c r="A5810"/>
      <c r="B5810"/>
    </row>
    <row r="5811" spans="1:2" x14ac:dyDescent="0.25">
      <c r="A5811"/>
      <c r="B5811"/>
    </row>
    <row r="5812" spans="1:2" x14ac:dyDescent="0.25">
      <c r="A5812"/>
      <c r="B5812"/>
    </row>
    <row r="5813" spans="1:2" x14ac:dyDescent="0.25">
      <c r="A5813"/>
      <c r="B5813"/>
    </row>
    <row r="5814" spans="1:2" x14ac:dyDescent="0.25">
      <c r="A5814"/>
      <c r="B5814"/>
    </row>
    <row r="5815" spans="1:2" x14ac:dyDescent="0.25">
      <c r="A5815"/>
      <c r="B5815"/>
    </row>
    <row r="5816" spans="1:2" x14ac:dyDescent="0.25">
      <c r="A5816"/>
      <c r="B5816"/>
    </row>
    <row r="5817" spans="1:2" x14ac:dyDescent="0.25">
      <c r="A5817"/>
      <c r="B5817"/>
    </row>
    <row r="5818" spans="1:2" x14ac:dyDescent="0.25">
      <c r="A5818"/>
      <c r="B5818"/>
    </row>
    <row r="5819" spans="1:2" x14ac:dyDescent="0.25">
      <c r="A5819"/>
      <c r="B5819"/>
    </row>
    <row r="5820" spans="1:2" x14ac:dyDescent="0.25">
      <c r="A5820"/>
      <c r="B5820"/>
    </row>
    <row r="5821" spans="1:2" x14ac:dyDescent="0.25">
      <c r="A5821"/>
      <c r="B5821"/>
    </row>
    <row r="5822" spans="1:2" x14ac:dyDescent="0.25">
      <c r="A5822"/>
      <c r="B5822"/>
    </row>
    <row r="5823" spans="1:2" x14ac:dyDescent="0.25">
      <c r="A5823"/>
      <c r="B5823"/>
    </row>
    <row r="5824" spans="1:2" x14ac:dyDescent="0.25">
      <c r="A5824"/>
      <c r="B5824"/>
    </row>
    <row r="5825" spans="1:2" x14ac:dyDescent="0.25">
      <c r="A5825"/>
      <c r="B5825"/>
    </row>
    <row r="5826" spans="1:2" x14ac:dyDescent="0.25">
      <c r="A5826"/>
      <c r="B5826"/>
    </row>
    <row r="5827" spans="1:2" x14ac:dyDescent="0.25">
      <c r="A5827"/>
      <c r="B5827"/>
    </row>
    <row r="5828" spans="1:2" x14ac:dyDescent="0.25">
      <c r="A5828"/>
      <c r="B5828"/>
    </row>
    <row r="5829" spans="1:2" x14ac:dyDescent="0.25">
      <c r="A5829"/>
      <c r="B5829"/>
    </row>
    <row r="5830" spans="1:2" x14ac:dyDescent="0.25">
      <c r="A5830"/>
      <c r="B5830"/>
    </row>
    <row r="5831" spans="1:2" x14ac:dyDescent="0.25">
      <c r="A5831"/>
      <c r="B5831"/>
    </row>
    <row r="5832" spans="1:2" x14ac:dyDescent="0.25">
      <c r="A5832"/>
      <c r="B5832"/>
    </row>
    <row r="5833" spans="1:2" x14ac:dyDescent="0.25">
      <c r="A5833"/>
      <c r="B5833"/>
    </row>
    <row r="5834" spans="1:2" x14ac:dyDescent="0.25">
      <c r="A5834"/>
      <c r="B5834"/>
    </row>
    <row r="5835" spans="1:2" x14ac:dyDescent="0.25">
      <c r="A5835"/>
      <c r="B5835"/>
    </row>
    <row r="5836" spans="1:2" x14ac:dyDescent="0.25">
      <c r="A5836"/>
      <c r="B5836"/>
    </row>
    <row r="5837" spans="1:2" x14ac:dyDescent="0.25">
      <c r="A5837"/>
      <c r="B5837"/>
    </row>
    <row r="5838" spans="1:2" x14ac:dyDescent="0.25">
      <c r="A5838"/>
      <c r="B5838"/>
    </row>
    <row r="5839" spans="1:2" x14ac:dyDescent="0.25">
      <c r="A5839"/>
      <c r="B5839"/>
    </row>
    <row r="5840" spans="1:2" x14ac:dyDescent="0.25">
      <c r="A5840"/>
      <c r="B5840"/>
    </row>
    <row r="5841" spans="1:2" x14ac:dyDescent="0.25">
      <c r="A5841"/>
      <c r="B5841"/>
    </row>
    <row r="5842" spans="1:2" x14ac:dyDescent="0.25">
      <c r="A5842"/>
      <c r="B5842"/>
    </row>
    <row r="5843" spans="1:2" x14ac:dyDescent="0.25">
      <c r="A5843"/>
      <c r="B5843"/>
    </row>
    <row r="5844" spans="1:2" x14ac:dyDescent="0.25">
      <c r="A5844"/>
      <c r="B5844"/>
    </row>
    <row r="5845" spans="1:2" x14ac:dyDescent="0.25">
      <c r="A5845"/>
      <c r="B5845"/>
    </row>
    <row r="5846" spans="1:2" x14ac:dyDescent="0.25">
      <c r="A5846"/>
      <c r="B5846"/>
    </row>
    <row r="5847" spans="1:2" x14ac:dyDescent="0.25">
      <c r="A5847"/>
      <c r="B5847"/>
    </row>
    <row r="5848" spans="1:2" x14ac:dyDescent="0.25">
      <c r="A5848"/>
      <c r="B5848"/>
    </row>
    <row r="5849" spans="1:2" x14ac:dyDescent="0.25">
      <c r="A5849"/>
      <c r="B5849"/>
    </row>
    <row r="5850" spans="1:2" x14ac:dyDescent="0.25">
      <c r="A5850"/>
      <c r="B5850"/>
    </row>
    <row r="5851" spans="1:2" x14ac:dyDescent="0.25">
      <c r="A5851"/>
      <c r="B5851"/>
    </row>
    <row r="5852" spans="1:2" x14ac:dyDescent="0.25">
      <c r="A5852"/>
      <c r="B5852"/>
    </row>
    <row r="5853" spans="1:2" x14ac:dyDescent="0.25">
      <c r="A5853"/>
      <c r="B5853"/>
    </row>
    <row r="5854" spans="1:2" x14ac:dyDescent="0.25">
      <c r="A5854"/>
      <c r="B5854"/>
    </row>
    <row r="5855" spans="1:2" x14ac:dyDescent="0.25">
      <c r="A5855"/>
      <c r="B5855"/>
    </row>
    <row r="5856" spans="1:2" x14ac:dyDescent="0.25">
      <c r="A5856"/>
      <c r="B5856"/>
    </row>
    <row r="5857" spans="1:2" x14ac:dyDescent="0.25">
      <c r="A5857"/>
      <c r="B5857"/>
    </row>
    <row r="5858" spans="1:2" x14ac:dyDescent="0.25">
      <c r="A5858"/>
      <c r="B5858"/>
    </row>
    <row r="5859" spans="1:2" x14ac:dyDescent="0.25">
      <c r="A5859"/>
      <c r="B5859"/>
    </row>
    <row r="5860" spans="1:2" x14ac:dyDescent="0.25">
      <c r="A5860"/>
      <c r="B5860"/>
    </row>
    <row r="5861" spans="1:2" x14ac:dyDescent="0.25">
      <c r="A5861"/>
      <c r="B5861"/>
    </row>
    <row r="5862" spans="1:2" x14ac:dyDescent="0.25">
      <c r="A5862"/>
      <c r="B5862"/>
    </row>
    <row r="5863" spans="1:2" x14ac:dyDescent="0.25">
      <c r="A5863"/>
      <c r="B5863"/>
    </row>
    <row r="5864" spans="1:2" x14ac:dyDescent="0.25">
      <c r="A5864"/>
      <c r="B5864"/>
    </row>
    <row r="5865" spans="1:2" x14ac:dyDescent="0.25">
      <c r="A5865"/>
      <c r="B5865"/>
    </row>
    <row r="5866" spans="1:2" x14ac:dyDescent="0.25">
      <c r="A5866"/>
      <c r="B5866"/>
    </row>
    <row r="5867" spans="1:2" x14ac:dyDescent="0.25">
      <c r="A5867"/>
      <c r="B5867"/>
    </row>
    <row r="5868" spans="1:2" x14ac:dyDescent="0.25">
      <c r="A5868"/>
      <c r="B5868"/>
    </row>
    <row r="5869" spans="1:2" x14ac:dyDescent="0.25">
      <c r="A5869"/>
      <c r="B5869"/>
    </row>
    <row r="5870" spans="1:2" x14ac:dyDescent="0.25">
      <c r="A5870"/>
      <c r="B5870"/>
    </row>
    <row r="5871" spans="1:2" x14ac:dyDescent="0.25">
      <c r="A5871"/>
      <c r="B5871"/>
    </row>
    <row r="5872" spans="1:2" x14ac:dyDescent="0.25">
      <c r="A5872"/>
      <c r="B5872"/>
    </row>
    <row r="5873" spans="1:2" x14ac:dyDescent="0.25">
      <c r="A5873"/>
      <c r="B5873"/>
    </row>
    <row r="5874" spans="1:2" x14ac:dyDescent="0.25">
      <c r="A5874"/>
      <c r="B5874"/>
    </row>
    <row r="5875" spans="1:2" x14ac:dyDescent="0.25">
      <c r="A5875"/>
      <c r="B5875"/>
    </row>
    <row r="5876" spans="1:2" x14ac:dyDescent="0.25">
      <c r="A5876"/>
      <c r="B5876"/>
    </row>
    <row r="5877" spans="1:2" x14ac:dyDescent="0.25">
      <c r="A5877"/>
      <c r="B5877"/>
    </row>
    <row r="5878" spans="1:2" x14ac:dyDescent="0.25">
      <c r="A5878"/>
      <c r="B5878"/>
    </row>
    <row r="5879" spans="1:2" x14ac:dyDescent="0.25">
      <c r="A5879"/>
      <c r="B5879"/>
    </row>
    <row r="5880" spans="1:2" x14ac:dyDescent="0.25">
      <c r="A5880"/>
      <c r="B5880"/>
    </row>
    <row r="5881" spans="1:2" x14ac:dyDescent="0.25">
      <c r="A5881"/>
      <c r="B5881"/>
    </row>
    <row r="5882" spans="1:2" x14ac:dyDescent="0.25">
      <c r="A5882"/>
      <c r="B5882"/>
    </row>
    <row r="5883" spans="1:2" x14ac:dyDescent="0.25">
      <c r="A5883"/>
      <c r="B5883"/>
    </row>
    <row r="5884" spans="1:2" x14ac:dyDescent="0.25">
      <c r="A5884"/>
      <c r="B5884"/>
    </row>
    <row r="5885" spans="1:2" x14ac:dyDescent="0.25">
      <c r="A5885"/>
      <c r="B5885"/>
    </row>
    <row r="5886" spans="1:2" x14ac:dyDescent="0.25">
      <c r="A5886"/>
      <c r="B5886"/>
    </row>
    <row r="5887" spans="1:2" x14ac:dyDescent="0.25">
      <c r="A5887"/>
      <c r="B5887"/>
    </row>
    <row r="5888" spans="1:2" x14ac:dyDescent="0.25">
      <c r="A5888"/>
      <c r="B5888"/>
    </row>
    <row r="5889" spans="1:2" x14ac:dyDescent="0.25">
      <c r="A5889"/>
      <c r="B5889"/>
    </row>
    <row r="5890" spans="1:2" x14ac:dyDescent="0.25">
      <c r="A5890"/>
      <c r="B5890"/>
    </row>
    <row r="5891" spans="1:2" x14ac:dyDescent="0.25">
      <c r="A5891"/>
      <c r="B5891"/>
    </row>
    <row r="5892" spans="1:2" x14ac:dyDescent="0.25">
      <c r="A5892"/>
      <c r="B5892"/>
    </row>
    <row r="5893" spans="1:2" x14ac:dyDescent="0.25">
      <c r="A5893"/>
      <c r="B5893"/>
    </row>
    <row r="5894" spans="1:2" x14ac:dyDescent="0.25">
      <c r="A5894"/>
      <c r="B5894"/>
    </row>
    <row r="5895" spans="1:2" x14ac:dyDescent="0.25">
      <c r="A5895"/>
      <c r="B5895"/>
    </row>
    <row r="5896" spans="1:2" x14ac:dyDescent="0.25">
      <c r="A5896"/>
      <c r="B5896"/>
    </row>
    <row r="5897" spans="1:2" x14ac:dyDescent="0.25">
      <c r="A5897"/>
      <c r="B5897"/>
    </row>
    <row r="5898" spans="1:2" x14ac:dyDescent="0.25">
      <c r="A5898"/>
      <c r="B5898"/>
    </row>
    <row r="5899" spans="1:2" x14ac:dyDescent="0.25">
      <c r="A5899"/>
      <c r="B5899"/>
    </row>
    <row r="5900" spans="1:2" x14ac:dyDescent="0.25">
      <c r="A5900"/>
      <c r="B5900"/>
    </row>
    <row r="5901" spans="1:2" x14ac:dyDescent="0.25">
      <c r="A5901"/>
      <c r="B5901"/>
    </row>
    <row r="5902" spans="1:2" x14ac:dyDescent="0.25">
      <c r="A5902"/>
      <c r="B5902"/>
    </row>
    <row r="5903" spans="1:2" x14ac:dyDescent="0.25">
      <c r="A5903"/>
      <c r="B5903"/>
    </row>
    <row r="5904" spans="1:2" x14ac:dyDescent="0.25">
      <c r="A5904"/>
      <c r="B5904"/>
    </row>
    <row r="5905" spans="1:2" x14ac:dyDescent="0.25">
      <c r="A5905"/>
      <c r="B5905"/>
    </row>
    <row r="5906" spans="1:2" x14ac:dyDescent="0.25">
      <c r="A5906"/>
      <c r="B5906"/>
    </row>
    <row r="5907" spans="1:2" x14ac:dyDescent="0.25">
      <c r="A5907"/>
      <c r="B5907"/>
    </row>
  </sheetData>
  <sheetProtection algorithmName="SHA-512" hashValue="DLmzeyr2Ruooa9dld9EdOm//F8gI4K0kjQCKp4cTuLHB1/otdw/eDyeZ6iREJn1w2dOoedeNuENVQmAQvIyF0g==" saltValue="mJA9nmm7ZDG99RCSNptgQg==" spinCount="100000" sheet="1" objects="1" scenarios="1"/>
  <mergeCells count="4">
    <mergeCell ref="A35:A36"/>
    <mergeCell ref="D35:D36"/>
    <mergeCell ref="F35:F36"/>
    <mergeCell ref="G35:G36"/>
  </mergeCells>
  <pageMargins left="0.7" right="0.7" top="0.75" bottom="0.75" header="0.3" footer="0.3"/>
  <pageSetup scale="73" fitToHeight="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C000"/>
    <pageSetUpPr fitToPage="1"/>
  </sheetPr>
  <dimension ref="A1:O363"/>
  <sheetViews>
    <sheetView zoomScale="85" zoomScaleNormal="85" workbookViewId="0">
      <selection activeCell="N56" sqref="N56"/>
    </sheetView>
  </sheetViews>
  <sheetFormatPr defaultRowHeight="15" x14ac:dyDescent="0.25"/>
  <cols>
    <col min="1" max="1" width="36" style="2" customWidth="1"/>
    <col min="2" max="2" width="15.42578125" customWidth="1"/>
    <col min="3" max="3" width="13.42578125" customWidth="1"/>
    <col min="4" max="4" width="12" bestFit="1" customWidth="1"/>
    <col min="5" max="5" width="14.7109375" customWidth="1"/>
    <col min="6" max="6" width="12.7109375" customWidth="1"/>
    <col min="7" max="7" width="11.5703125" bestFit="1" customWidth="1"/>
    <col min="8" max="13" width="10.85546875" bestFit="1" customWidth="1"/>
    <col min="14" max="14" width="13.7109375" bestFit="1" customWidth="1"/>
    <col min="15" max="16" width="10.140625" bestFit="1" customWidth="1"/>
    <col min="17" max="17" width="13.140625" bestFit="1" customWidth="1"/>
    <col min="18" max="19" width="11.140625" bestFit="1" customWidth="1"/>
    <col min="20" max="20" width="10.140625" bestFit="1" customWidth="1"/>
    <col min="21" max="21" width="13.140625" bestFit="1" customWidth="1"/>
    <col min="22" max="22" width="10.28515625" bestFit="1" customWidth="1"/>
    <col min="23" max="24" width="10.140625" bestFit="1" customWidth="1"/>
    <col min="25" max="25" width="13.140625" bestFit="1" customWidth="1"/>
    <col min="26" max="26" width="10.28515625" bestFit="1" customWidth="1"/>
    <col min="27" max="28" width="10.140625" bestFit="1" customWidth="1"/>
    <col min="29" max="29" width="13.140625" bestFit="1" customWidth="1"/>
    <col min="30" max="30" width="10.28515625" bestFit="1" customWidth="1"/>
    <col min="31" max="32" width="10.140625" bestFit="1" customWidth="1"/>
    <col min="33" max="33" width="13.140625" bestFit="1" customWidth="1"/>
    <col min="34" max="34" width="11.140625" bestFit="1" customWidth="1"/>
    <col min="35" max="35" width="13.140625" bestFit="1" customWidth="1"/>
    <col min="36" max="36" width="12.7109375" bestFit="1" customWidth="1"/>
    <col min="37" max="37" width="9" bestFit="1" customWidth="1"/>
    <col min="38" max="41" width="11" bestFit="1" customWidth="1"/>
  </cols>
  <sheetData>
    <row r="1" spans="1:14" x14ac:dyDescent="0.25">
      <c r="A1" s="4" t="s">
        <v>152</v>
      </c>
      <c r="B1" t="s" vm="11">
        <v>239</v>
      </c>
    </row>
    <row r="2" spans="1:14" x14ac:dyDescent="0.25">
      <c r="A2" s="4" t="s">
        <v>151</v>
      </c>
      <c r="B2" t="s" vm="1921">
        <v>1065</v>
      </c>
    </row>
    <row r="4" spans="1:14" x14ac:dyDescent="0.25">
      <c r="A4" s="4" t="s">
        <v>136</v>
      </c>
      <c r="B4" s="4" t="s">
        <v>137</v>
      </c>
    </row>
    <row r="5" spans="1:14" x14ac:dyDescent="0.25">
      <c r="A5" s="4" t="s">
        <v>242</v>
      </c>
      <c r="B5" t="s">
        <v>140</v>
      </c>
      <c r="C5" t="s">
        <v>141</v>
      </c>
      <c r="D5" t="s">
        <v>142</v>
      </c>
      <c r="E5" t="s">
        <v>143</v>
      </c>
      <c r="F5" t="s">
        <v>144</v>
      </c>
      <c r="G5" t="s">
        <v>145</v>
      </c>
      <c r="H5" t="s">
        <v>146</v>
      </c>
      <c r="I5" t="s">
        <v>147</v>
      </c>
      <c r="J5" t="s">
        <v>148</v>
      </c>
      <c r="K5" t="s">
        <v>149</v>
      </c>
      <c r="L5" t="s">
        <v>150</v>
      </c>
      <c r="M5" t="s">
        <v>162</v>
      </c>
      <c r="N5" t="s">
        <v>138</v>
      </c>
    </row>
    <row r="6" spans="1:14" x14ac:dyDescent="0.25">
      <c r="A6" s="6" t="s">
        <v>379</v>
      </c>
      <c r="B6" s="1">
        <v>250000</v>
      </c>
      <c r="C6" s="1">
        <v>250000</v>
      </c>
      <c r="D6" s="1">
        <v>250000</v>
      </c>
      <c r="E6" s="1">
        <v>250000</v>
      </c>
      <c r="F6" s="1">
        <v>250000</v>
      </c>
      <c r="G6" s="1">
        <v>250000</v>
      </c>
      <c r="H6" s="1">
        <v>250000</v>
      </c>
      <c r="I6" s="1">
        <v>250000</v>
      </c>
      <c r="J6" s="1">
        <v>250000</v>
      </c>
      <c r="K6" s="1">
        <v>250000</v>
      </c>
      <c r="L6" s="1">
        <v>250000</v>
      </c>
      <c r="M6" s="1">
        <v>250000</v>
      </c>
      <c r="N6" s="1">
        <v>3000000</v>
      </c>
    </row>
    <row r="7" spans="1:14" x14ac:dyDescent="0.25">
      <c r="A7" s="6" t="s">
        <v>380</v>
      </c>
      <c r="B7" s="1">
        <v>75000</v>
      </c>
      <c r="C7" s="1">
        <v>75000</v>
      </c>
      <c r="D7" s="1">
        <v>75000</v>
      </c>
      <c r="E7" s="1">
        <v>75000</v>
      </c>
      <c r="F7" s="1">
        <v>75000</v>
      </c>
      <c r="G7" s="1">
        <v>75000</v>
      </c>
      <c r="H7" s="1">
        <v>75000</v>
      </c>
      <c r="I7" s="1">
        <v>75000</v>
      </c>
      <c r="J7" s="1">
        <v>75000</v>
      </c>
      <c r="K7" s="1">
        <v>75000</v>
      </c>
      <c r="L7" s="1">
        <v>75000</v>
      </c>
      <c r="M7" s="1">
        <v>75000</v>
      </c>
      <c r="N7" s="1">
        <v>900000</v>
      </c>
    </row>
    <row r="8" spans="1:14" x14ac:dyDescent="0.25">
      <c r="A8" s="6" t="s">
        <v>451</v>
      </c>
      <c r="B8" s="1"/>
      <c r="C8" s="1"/>
      <c r="D8" s="1"/>
      <c r="E8" s="1">
        <v>125000</v>
      </c>
      <c r="F8" s="1">
        <v>125000</v>
      </c>
      <c r="G8" s="1"/>
      <c r="H8" s="1"/>
      <c r="I8" s="1"/>
      <c r="J8" s="1"/>
      <c r="K8" s="1"/>
      <c r="L8" s="1"/>
      <c r="M8" s="1"/>
      <c r="N8" s="1">
        <v>250000</v>
      </c>
    </row>
    <row r="9" spans="1:14" x14ac:dyDescent="0.25">
      <c r="A9" s="6" t="s">
        <v>381</v>
      </c>
      <c r="B9" s="1">
        <v>1200000</v>
      </c>
      <c r="C9" s="1">
        <v>1200000</v>
      </c>
      <c r="D9" s="1">
        <v>1200000</v>
      </c>
      <c r="E9" s="1">
        <v>1200000</v>
      </c>
      <c r="F9" s="1">
        <v>1200000</v>
      </c>
      <c r="G9" s="1">
        <v>1200000</v>
      </c>
      <c r="H9" s="1">
        <v>1200000</v>
      </c>
      <c r="I9" s="1">
        <v>1200000</v>
      </c>
      <c r="J9" s="1">
        <v>1200000</v>
      </c>
      <c r="K9" s="1">
        <v>1200000</v>
      </c>
      <c r="L9" s="1">
        <v>1200000</v>
      </c>
      <c r="M9" s="1">
        <v>1200000</v>
      </c>
      <c r="N9" s="176">
        <v>14400000</v>
      </c>
    </row>
    <row r="10" spans="1:14" x14ac:dyDescent="0.25">
      <c r="A10" s="6" t="s">
        <v>382</v>
      </c>
      <c r="B10" s="1">
        <v>50000</v>
      </c>
      <c r="C10" s="1">
        <v>50000</v>
      </c>
      <c r="D10" s="1">
        <v>50000</v>
      </c>
      <c r="E10" s="1">
        <v>50000</v>
      </c>
      <c r="F10" s="1">
        <v>50000</v>
      </c>
      <c r="G10" s="1">
        <v>50000</v>
      </c>
      <c r="H10" s="1">
        <v>50000</v>
      </c>
      <c r="I10" s="1">
        <v>50000</v>
      </c>
      <c r="J10" s="1">
        <v>50000</v>
      </c>
      <c r="K10" s="1">
        <v>50000</v>
      </c>
      <c r="L10" s="1">
        <v>50000</v>
      </c>
      <c r="M10" s="1">
        <v>50000</v>
      </c>
      <c r="N10" s="1">
        <v>600000</v>
      </c>
    </row>
    <row r="11" spans="1:14" x14ac:dyDescent="0.25">
      <c r="A11" s="6" t="s">
        <v>452</v>
      </c>
      <c r="B11" s="1">
        <v>4000</v>
      </c>
      <c r="C11" s="1">
        <v>4000</v>
      </c>
      <c r="D11" s="1">
        <v>4000</v>
      </c>
      <c r="E11" s="1">
        <v>4000</v>
      </c>
      <c r="F11" s="1">
        <v>4000</v>
      </c>
      <c r="G11" s="1">
        <v>4000</v>
      </c>
      <c r="H11" s="1">
        <v>4000</v>
      </c>
      <c r="I11" s="1">
        <v>4000</v>
      </c>
      <c r="J11" s="1">
        <v>4000</v>
      </c>
      <c r="K11" s="1">
        <v>4000</v>
      </c>
      <c r="L11" s="1">
        <v>4000</v>
      </c>
      <c r="M11" s="1">
        <v>4000</v>
      </c>
      <c r="N11" s="1">
        <v>48000</v>
      </c>
    </row>
    <row r="12" spans="1:14" x14ac:dyDescent="0.25">
      <c r="A12" s="6" t="s">
        <v>453</v>
      </c>
      <c r="B12" s="1">
        <v>4000</v>
      </c>
      <c r="C12" s="1">
        <v>4000</v>
      </c>
      <c r="D12" s="1">
        <v>4000</v>
      </c>
      <c r="E12" s="1">
        <v>4000</v>
      </c>
      <c r="F12" s="1">
        <v>4000</v>
      </c>
      <c r="G12" s="1">
        <v>4000</v>
      </c>
      <c r="H12" s="1">
        <v>4000</v>
      </c>
      <c r="I12" s="1">
        <v>4000</v>
      </c>
      <c r="J12" s="1">
        <v>4000</v>
      </c>
      <c r="K12" s="1">
        <v>4000</v>
      </c>
      <c r="L12" s="1">
        <v>4000</v>
      </c>
      <c r="M12" s="1">
        <v>4000</v>
      </c>
      <c r="N12" s="1">
        <v>48000</v>
      </c>
    </row>
    <row r="13" spans="1:14" x14ac:dyDescent="0.25">
      <c r="A13" s="6" t="s">
        <v>454</v>
      </c>
      <c r="B13" s="1">
        <v>4000</v>
      </c>
      <c r="C13" s="1">
        <v>4000</v>
      </c>
      <c r="D13" s="1">
        <v>4000</v>
      </c>
      <c r="E13" s="1">
        <v>4000</v>
      </c>
      <c r="F13" s="1">
        <v>4000</v>
      </c>
      <c r="G13" s="1">
        <v>4000</v>
      </c>
      <c r="H13" s="1">
        <v>4000</v>
      </c>
      <c r="I13" s="1">
        <v>4000</v>
      </c>
      <c r="J13" s="1">
        <v>4000</v>
      </c>
      <c r="K13" s="1">
        <v>4000</v>
      </c>
      <c r="L13" s="1">
        <v>4000</v>
      </c>
      <c r="M13" s="1">
        <v>4000</v>
      </c>
      <c r="N13" s="1">
        <v>48000</v>
      </c>
    </row>
    <row r="14" spans="1:14" x14ac:dyDescent="0.25">
      <c r="A14" s="6" t="s">
        <v>455</v>
      </c>
      <c r="B14" s="1">
        <v>4000</v>
      </c>
      <c r="C14" s="1">
        <v>4000</v>
      </c>
      <c r="D14" s="1">
        <v>4000</v>
      </c>
      <c r="E14" s="1">
        <v>4000</v>
      </c>
      <c r="F14" s="1">
        <v>4000</v>
      </c>
      <c r="G14" s="1">
        <v>4000</v>
      </c>
      <c r="H14" s="1">
        <v>4000</v>
      </c>
      <c r="I14" s="1">
        <v>4000</v>
      </c>
      <c r="J14" s="1">
        <v>4000</v>
      </c>
      <c r="K14" s="1">
        <v>4000</v>
      </c>
      <c r="L14" s="1">
        <v>4000</v>
      </c>
      <c r="M14" s="1">
        <v>4000</v>
      </c>
      <c r="N14" s="1">
        <v>48000</v>
      </c>
    </row>
    <row r="15" spans="1:14" x14ac:dyDescent="0.25">
      <c r="A15" s="6" t="s">
        <v>456</v>
      </c>
      <c r="B15" s="1">
        <v>4000</v>
      </c>
      <c r="C15" s="1">
        <v>4000</v>
      </c>
      <c r="D15" s="1">
        <v>4000</v>
      </c>
      <c r="E15" s="1">
        <v>4000</v>
      </c>
      <c r="F15" s="1">
        <v>4000</v>
      </c>
      <c r="G15" s="1">
        <v>4000</v>
      </c>
      <c r="H15" s="1">
        <v>4000</v>
      </c>
      <c r="I15" s="1">
        <v>4000</v>
      </c>
      <c r="J15" s="1">
        <v>4000</v>
      </c>
      <c r="K15" s="1">
        <v>4000</v>
      </c>
      <c r="L15" s="1">
        <v>4000</v>
      </c>
      <c r="M15" s="1">
        <v>4000</v>
      </c>
      <c r="N15" s="1">
        <v>48000</v>
      </c>
    </row>
    <row r="16" spans="1:14" x14ac:dyDescent="0.25">
      <c r="A16" s="6" t="s">
        <v>457</v>
      </c>
      <c r="B16" s="1">
        <v>4000</v>
      </c>
      <c r="C16" s="1">
        <v>4000</v>
      </c>
      <c r="D16" s="1">
        <v>4000</v>
      </c>
      <c r="E16" s="1">
        <v>4000</v>
      </c>
      <c r="F16" s="1">
        <v>4000</v>
      </c>
      <c r="G16" s="1">
        <v>4000</v>
      </c>
      <c r="H16" s="1">
        <v>4000</v>
      </c>
      <c r="I16" s="1">
        <v>4000</v>
      </c>
      <c r="J16" s="1">
        <v>4000</v>
      </c>
      <c r="K16" s="1">
        <v>4000</v>
      </c>
      <c r="L16" s="1">
        <v>4000</v>
      </c>
      <c r="M16" s="1">
        <v>4000</v>
      </c>
      <c r="N16" s="1">
        <v>48000</v>
      </c>
    </row>
    <row r="17" spans="1:14" x14ac:dyDescent="0.25">
      <c r="A17" s="6" t="s">
        <v>458</v>
      </c>
      <c r="B17" s="1">
        <v>4000</v>
      </c>
      <c r="C17" s="1">
        <v>4000</v>
      </c>
      <c r="D17" s="1">
        <v>4000</v>
      </c>
      <c r="E17" s="1">
        <v>4000</v>
      </c>
      <c r="F17" s="1">
        <v>4000</v>
      </c>
      <c r="G17" s="1">
        <v>4000</v>
      </c>
      <c r="H17" s="1">
        <v>4000</v>
      </c>
      <c r="I17" s="1">
        <v>4000</v>
      </c>
      <c r="J17" s="1">
        <v>4000</v>
      </c>
      <c r="K17" s="1">
        <v>4000</v>
      </c>
      <c r="L17" s="1">
        <v>4000</v>
      </c>
      <c r="M17" s="1">
        <v>4000</v>
      </c>
      <c r="N17" s="1">
        <v>48000</v>
      </c>
    </row>
    <row r="18" spans="1:14" x14ac:dyDescent="0.25">
      <c r="A18" s="6" t="s">
        <v>459</v>
      </c>
      <c r="B18" s="1">
        <v>4000</v>
      </c>
      <c r="C18" s="1">
        <v>4000</v>
      </c>
      <c r="D18" s="1">
        <v>4000</v>
      </c>
      <c r="E18" s="1">
        <v>4000</v>
      </c>
      <c r="F18" s="1">
        <v>4000</v>
      </c>
      <c r="G18" s="1">
        <v>4000</v>
      </c>
      <c r="H18" s="1">
        <v>4000</v>
      </c>
      <c r="I18" s="1">
        <v>4000</v>
      </c>
      <c r="J18" s="1">
        <v>4000</v>
      </c>
      <c r="K18" s="1">
        <v>4000</v>
      </c>
      <c r="L18" s="1">
        <v>4000</v>
      </c>
      <c r="M18" s="1">
        <v>4000</v>
      </c>
      <c r="N18" s="1">
        <v>48000</v>
      </c>
    </row>
    <row r="19" spans="1:14" x14ac:dyDescent="0.25">
      <c r="A19" s="6" t="s">
        <v>460</v>
      </c>
      <c r="B19" s="1">
        <v>4000</v>
      </c>
      <c r="C19" s="1">
        <v>4000</v>
      </c>
      <c r="D19" s="1">
        <v>4000</v>
      </c>
      <c r="E19" s="1">
        <v>4000</v>
      </c>
      <c r="F19" s="1">
        <v>4000</v>
      </c>
      <c r="G19" s="1">
        <v>4000</v>
      </c>
      <c r="H19" s="1">
        <v>4000</v>
      </c>
      <c r="I19" s="1">
        <v>4000</v>
      </c>
      <c r="J19" s="1">
        <v>4000</v>
      </c>
      <c r="K19" s="1">
        <v>4000</v>
      </c>
      <c r="L19" s="1">
        <v>4000</v>
      </c>
      <c r="M19" s="1">
        <v>4000</v>
      </c>
      <c r="N19" s="1">
        <v>48000</v>
      </c>
    </row>
    <row r="20" spans="1:14" x14ac:dyDescent="0.25">
      <c r="A20" s="6" t="s">
        <v>461</v>
      </c>
      <c r="B20" s="1">
        <v>4000</v>
      </c>
      <c r="C20" s="1">
        <v>4000</v>
      </c>
      <c r="D20" s="1">
        <v>4000</v>
      </c>
      <c r="E20" s="1">
        <v>4000</v>
      </c>
      <c r="F20" s="1">
        <v>4000</v>
      </c>
      <c r="G20" s="1">
        <v>4000</v>
      </c>
      <c r="H20" s="1">
        <v>4000</v>
      </c>
      <c r="I20" s="1">
        <v>4000</v>
      </c>
      <c r="J20" s="1">
        <v>4000</v>
      </c>
      <c r="K20" s="1">
        <v>4000</v>
      </c>
      <c r="L20" s="1">
        <v>4000</v>
      </c>
      <c r="M20" s="1">
        <v>4000</v>
      </c>
      <c r="N20" s="1">
        <v>48000</v>
      </c>
    </row>
    <row r="21" spans="1:14" x14ac:dyDescent="0.25">
      <c r="A21" s="6" t="s">
        <v>462</v>
      </c>
      <c r="B21" s="1">
        <v>4000</v>
      </c>
      <c r="C21" s="1">
        <v>4000</v>
      </c>
      <c r="D21" s="1">
        <v>4000</v>
      </c>
      <c r="E21" s="1">
        <v>4000</v>
      </c>
      <c r="F21" s="1">
        <v>4000</v>
      </c>
      <c r="G21" s="1">
        <v>4000</v>
      </c>
      <c r="H21" s="1">
        <v>4000</v>
      </c>
      <c r="I21" s="1">
        <v>4000</v>
      </c>
      <c r="J21" s="1">
        <v>4000</v>
      </c>
      <c r="K21" s="1">
        <v>4000</v>
      </c>
      <c r="L21" s="1">
        <v>4000</v>
      </c>
      <c r="M21" s="1">
        <v>4000</v>
      </c>
      <c r="N21" s="1">
        <v>48000</v>
      </c>
    </row>
    <row r="22" spans="1:14" x14ac:dyDescent="0.25">
      <c r="A22" s="6" t="s">
        <v>463</v>
      </c>
      <c r="B22" s="1">
        <v>4000</v>
      </c>
      <c r="C22" s="1">
        <v>4000</v>
      </c>
      <c r="D22" s="1">
        <v>4000</v>
      </c>
      <c r="E22" s="1">
        <v>4000</v>
      </c>
      <c r="F22" s="1">
        <v>4000</v>
      </c>
      <c r="G22" s="1">
        <v>4000</v>
      </c>
      <c r="H22" s="1">
        <v>4000</v>
      </c>
      <c r="I22" s="1">
        <v>4000</v>
      </c>
      <c r="J22" s="1">
        <v>4000</v>
      </c>
      <c r="K22" s="1">
        <v>4000</v>
      </c>
      <c r="L22" s="1">
        <v>4000</v>
      </c>
      <c r="M22" s="1">
        <v>4000</v>
      </c>
      <c r="N22" s="1">
        <v>48000</v>
      </c>
    </row>
    <row r="23" spans="1:14" x14ac:dyDescent="0.25">
      <c r="A23" s="6" t="s">
        <v>464</v>
      </c>
      <c r="B23" s="1">
        <v>4000</v>
      </c>
      <c r="C23" s="1">
        <v>4000</v>
      </c>
      <c r="D23" s="1">
        <v>4000</v>
      </c>
      <c r="E23" s="1">
        <v>4000</v>
      </c>
      <c r="F23" s="1">
        <v>4000</v>
      </c>
      <c r="G23" s="1">
        <v>4000</v>
      </c>
      <c r="H23" s="1">
        <v>4000</v>
      </c>
      <c r="I23" s="1">
        <v>4000</v>
      </c>
      <c r="J23" s="1">
        <v>4000</v>
      </c>
      <c r="K23" s="1">
        <v>4000</v>
      </c>
      <c r="L23" s="1">
        <v>4000</v>
      </c>
      <c r="M23" s="1">
        <v>4000</v>
      </c>
      <c r="N23" s="1">
        <v>48000</v>
      </c>
    </row>
    <row r="24" spans="1:14" x14ac:dyDescent="0.25">
      <c r="A24" s="6" t="s">
        <v>465</v>
      </c>
      <c r="B24" s="1">
        <v>4000</v>
      </c>
      <c r="C24" s="1">
        <v>4000</v>
      </c>
      <c r="D24" s="1">
        <v>4000</v>
      </c>
      <c r="E24" s="1">
        <v>4000</v>
      </c>
      <c r="F24" s="1">
        <v>4000</v>
      </c>
      <c r="G24" s="1">
        <v>4000</v>
      </c>
      <c r="H24" s="1">
        <v>4000</v>
      </c>
      <c r="I24" s="1">
        <v>4000</v>
      </c>
      <c r="J24" s="1">
        <v>4000</v>
      </c>
      <c r="K24" s="1">
        <v>4000</v>
      </c>
      <c r="L24" s="1">
        <v>4000</v>
      </c>
      <c r="M24" s="1">
        <v>4000</v>
      </c>
      <c r="N24" s="1">
        <v>48000</v>
      </c>
    </row>
    <row r="25" spans="1:14" x14ac:dyDescent="0.25">
      <c r="A25" s="6" t="s">
        <v>466</v>
      </c>
      <c r="B25" s="1">
        <v>4000</v>
      </c>
      <c r="C25" s="1">
        <v>4000</v>
      </c>
      <c r="D25" s="1">
        <v>4000</v>
      </c>
      <c r="E25" s="1">
        <v>4000</v>
      </c>
      <c r="F25" s="1">
        <v>4000</v>
      </c>
      <c r="G25" s="1">
        <v>4000</v>
      </c>
      <c r="H25" s="1">
        <v>4000</v>
      </c>
      <c r="I25" s="1">
        <v>4000</v>
      </c>
      <c r="J25" s="1">
        <v>4000</v>
      </c>
      <c r="K25" s="1">
        <v>4000</v>
      </c>
      <c r="L25" s="1">
        <v>4000</v>
      </c>
      <c r="M25" s="1">
        <v>4000</v>
      </c>
      <c r="N25" s="1">
        <v>48000</v>
      </c>
    </row>
    <row r="26" spans="1:14" x14ac:dyDescent="0.25">
      <c r="A26" s="6" t="s">
        <v>383</v>
      </c>
      <c r="B26" s="1">
        <v>2750</v>
      </c>
      <c r="C26" s="1">
        <v>2750</v>
      </c>
      <c r="D26" s="1">
        <v>2750</v>
      </c>
      <c r="E26" s="1">
        <v>2750</v>
      </c>
      <c r="F26" s="1">
        <v>2750</v>
      </c>
      <c r="G26" s="1">
        <v>2750</v>
      </c>
      <c r="H26" s="1">
        <v>2750</v>
      </c>
      <c r="I26" s="1">
        <v>2750</v>
      </c>
      <c r="J26" s="1">
        <v>2750</v>
      </c>
      <c r="K26" s="1">
        <v>2750</v>
      </c>
      <c r="L26" s="1">
        <v>2750</v>
      </c>
      <c r="M26" s="1">
        <v>2750</v>
      </c>
      <c r="N26" s="1">
        <v>33000</v>
      </c>
    </row>
    <row r="27" spans="1:14" x14ac:dyDescent="0.25">
      <c r="A27" s="6" t="s">
        <v>384</v>
      </c>
      <c r="B27" s="1">
        <v>16667</v>
      </c>
      <c r="C27" s="1">
        <v>16667</v>
      </c>
      <c r="D27" s="1">
        <v>16667</v>
      </c>
      <c r="E27" s="1">
        <v>16667</v>
      </c>
      <c r="F27" s="1">
        <v>16667</v>
      </c>
      <c r="G27" s="1">
        <v>16667</v>
      </c>
      <c r="H27" s="1">
        <v>16667</v>
      </c>
      <c r="I27" s="1">
        <v>16667</v>
      </c>
      <c r="J27" s="1">
        <v>16667</v>
      </c>
      <c r="K27" s="1">
        <v>16667</v>
      </c>
      <c r="L27" s="1">
        <v>16667</v>
      </c>
      <c r="M27" s="1">
        <v>16667</v>
      </c>
      <c r="N27" s="1">
        <v>200004</v>
      </c>
    </row>
    <row r="28" spans="1:14" x14ac:dyDescent="0.25">
      <c r="A28" s="6" t="s">
        <v>385</v>
      </c>
      <c r="B28" s="1">
        <v>7500</v>
      </c>
      <c r="C28" s="1">
        <v>7500</v>
      </c>
      <c r="D28" s="1">
        <v>7500</v>
      </c>
      <c r="E28" s="1">
        <v>7500</v>
      </c>
      <c r="F28" s="1">
        <v>7500</v>
      </c>
      <c r="G28" s="1">
        <v>7500</v>
      </c>
      <c r="H28" s="1">
        <v>7500</v>
      </c>
      <c r="I28" s="1">
        <v>7500</v>
      </c>
      <c r="J28" s="1">
        <v>7500</v>
      </c>
      <c r="K28" s="1">
        <v>7500</v>
      </c>
      <c r="L28" s="1">
        <v>7500</v>
      </c>
      <c r="M28" s="1">
        <v>7500</v>
      </c>
      <c r="N28" s="1">
        <v>90000</v>
      </c>
    </row>
    <row r="29" spans="1:14" x14ac:dyDescent="0.25">
      <c r="A29" s="6" t="s">
        <v>397</v>
      </c>
      <c r="B29" s="1">
        <v>500</v>
      </c>
      <c r="C29" s="1">
        <v>500</v>
      </c>
      <c r="D29" s="1">
        <v>500</v>
      </c>
      <c r="E29" s="1">
        <v>500</v>
      </c>
      <c r="F29" s="1">
        <v>500</v>
      </c>
      <c r="G29" s="1">
        <v>500</v>
      </c>
      <c r="H29" s="1">
        <v>500</v>
      </c>
      <c r="I29" s="1">
        <v>500</v>
      </c>
      <c r="J29" s="1">
        <v>500</v>
      </c>
      <c r="K29" s="1">
        <v>500</v>
      </c>
      <c r="L29" s="1">
        <v>500</v>
      </c>
      <c r="M29" s="1">
        <v>500</v>
      </c>
      <c r="N29" s="1">
        <v>6000</v>
      </c>
    </row>
    <row r="30" spans="1:14" x14ac:dyDescent="0.25">
      <c r="A30" s="6" t="s">
        <v>467</v>
      </c>
      <c r="B30" s="1"/>
      <c r="C30" s="1"/>
      <c r="D30" s="1"/>
      <c r="E30" s="1"/>
      <c r="F30" s="1"/>
      <c r="G30" s="1"/>
      <c r="H30" s="1">
        <v>10000</v>
      </c>
      <c r="I30" s="1">
        <v>10000</v>
      </c>
      <c r="J30" s="1">
        <v>10000</v>
      </c>
      <c r="K30" s="1">
        <v>10000</v>
      </c>
      <c r="L30" s="1">
        <v>10000</v>
      </c>
      <c r="M30" s="1">
        <v>10000</v>
      </c>
      <c r="N30" s="1">
        <v>60000</v>
      </c>
    </row>
    <row r="31" spans="1:14" x14ac:dyDescent="0.25">
      <c r="A31" s="6" t="s">
        <v>398</v>
      </c>
      <c r="B31" s="1">
        <v>500000</v>
      </c>
      <c r="C31" s="1">
        <v>500000</v>
      </c>
      <c r="D31" s="1">
        <v>500000</v>
      </c>
      <c r="E31" s="1">
        <v>500000</v>
      </c>
      <c r="F31" s="1">
        <v>500000</v>
      </c>
      <c r="G31" s="1">
        <v>500000</v>
      </c>
      <c r="H31" s="1">
        <v>500000</v>
      </c>
      <c r="I31" s="1">
        <v>500000</v>
      </c>
      <c r="J31" s="1">
        <v>500000</v>
      </c>
      <c r="K31" s="1">
        <v>500000</v>
      </c>
      <c r="L31" s="1">
        <v>500000</v>
      </c>
      <c r="M31" s="1">
        <v>500000</v>
      </c>
      <c r="N31" s="1">
        <v>6000000</v>
      </c>
    </row>
    <row r="32" spans="1:14" x14ac:dyDescent="0.25">
      <c r="A32" s="6" t="s">
        <v>399</v>
      </c>
      <c r="B32" s="1">
        <v>227167</v>
      </c>
      <c r="C32" s="1">
        <v>227167</v>
      </c>
      <c r="D32" s="1">
        <v>227167</v>
      </c>
      <c r="E32" s="1">
        <v>227167</v>
      </c>
      <c r="F32" s="1">
        <v>227167</v>
      </c>
      <c r="G32" s="1">
        <v>227167</v>
      </c>
      <c r="H32" s="1">
        <v>227167</v>
      </c>
      <c r="I32" s="1">
        <v>227167</v>
      </c>
      <c r="J32" s="1">
        <v>227166</v>
      </c>
      <c r="K32" s="1">
        <v>227166</v>
      </c>
      <c r="L32" s="1">
        <v>227166</v>
      </c>
      <c r="M32" s="1">
        <v>227166</v>
      </c>
      <c r="N32" s="1">
        <v>2726000</v>
      </c>
    </row>
    <row r="33" spans="1:14" x14ac:dyDescent="0.25">
      <c r="A33" s="6" t="s">
        <v>400</v>
      </c>
      <c r="B33" s="1">
        <v>250000</v>
      </c>
      <c r="C33" s="1">
        <v>250000</v>
      </c>
      <c r="D33" s="1">
        <v>250000</v>
      </c>
      <c r="E33" s="1">
        <v>250000</v>
      </c>
      <c r="F33" s="1">
        <v>250000</v>
      </c>
      <c r="G33" s="1">
        <v>250000</v>
      </c>
      <c r="H33" s="1">
        <v>250000</v>
      </c>
      <c r="I33" s="1">
        <v>250000</v>
      </c>
      <c r="J33" s="1">
        <v>250000</v>
      </c>
      <c r="K33" s="1">
        <v>250000</v>
      </c>
      <c r="L33" s="1">
        <v>250000</v>
      </c>
      <c r="M33" s="1">
        <v>250000</v>
      </c>
      <c r="N33" s="1">
        <v>3000000</v>
      </c>
    </row>
    <row r="34" spans="1:14" x14ac:dyDescent="0.25">
      <c r="A34" s="6" t="s">
        <v>401</v>
      </c>
      <c r="B34" s="1">
        <v>200000</v>
      </c>
      <c r="C34" s="1">
        <v>200000</v>
      </c>
      <c r="D34" s="1">
        <v>200000</v>
      </c>
      <c r="E34" s="1">
        <v>200000</v>
      </c>
      <c r="F34" s="1">
        <v>200000</v>
      </c>
      <c r="G34" s="1">
        <v>200000</v>
      </c>
      <c r="H34" s="1">
        <v>200000</v>
      </c>
      <c r="I34" s="1">
        <v>200000</v>
      </c>
      <c r="J34" s="1">
        <v>200000</v>
      </c>
      <c r="K34" s="1">
        <v>200000</v>
      </c>
      <c r="L34" s="1">
        <v>200000</v>
      </c>
      <c r="M34" s="1">
        <v>200000</v>
      </c>
      <c r="N34" s="1">
        <v>2400000</v>
      </c>
    </row>
    <row r="35" spans="1:14" x14ac:dyDescent="0.25">
      <c r="A35" s="6" t="s">
        <v>594</v>
      </c>
      <c r="B35" s="1">
        <v>250000</v>
      </c>
      <c r="C35" s="1">
        <v>250000</v>
      </c>
      <c r="D35" s="1">
        <v>250000</v>
      </c>
      <c r="E35" s="1">
        <v>250000</v>
      </c>
      <c r="F35" s="1">
        <v>250000</v>
      </c>
      <c r="G35" s="1">
        <v>250000</v>
      </c>
      <c r="H35" s="1">
        <v>250000</v>
      </c>
      <c r="I35" s="1">
        <v>250000</v>
      </c>
      <c r="J35" s="1">
        <v>250000</v>
      </c>
      <c r="K35" s="1">
        <v>250000</v>
      </c>
      <c r="L35" s="1">
        <v>250000</v>
      </c>
      <c r="M35" s="1">
        <v>250000</v>
      </c>
      <c r="N35" s="1">
        <v>3000000</v>
      </c>
    </row>
    <row r="36" spans="1:14" x14ac:dyDescent="0.25">
      <c r="A36" s="6" t="s">
        <v>468</v>
      </c>
      <c r="B36" s="1">
        <v>0</v>
      </c>
      <c r="C36" s="1">
        <v>0</v>
      </c>
      <c r="D36" s="1">
        <v>0</v>
      </c>
      <c r="E36" s="1">
        <v>0</v>
      </c>
      <c r="F36" s="1">
        <v>0</v>
      </c>
      <c r="G36" s="1">
        <v>0</v>
      </c>
      <c r="H36" s="1">
        <v>0</v>
      </c>
      <c r="I36" s="1">
        <v>0</v>
      </c>
      <c r="J36" s="1">
        <v>0</v>
      </c>
      <c r="K36" s="1">
        <v>0</v>
      </c>
      <c r="L36" s="1">
        <v>0</v>
      </c>
      <c r="M36" s="1">
        <v>0</v>
      </c>
      <c r="N36" s="1">
        <v>0</v>
      </c>
    </row>
    <row r="37" spans="1:14" x14ac:dyDescent="0.25">
      <c r="A37" s="6" t="s">
        <v>402</v>
      </c>
      <c r="B37" s="1">
        <v>150000</v>
      </c>
      <c r="C37" s="1">
        <v>150000</v>
      </c>
      <c r="D37" s="1">
        <v>150000</v>
      </c>
      <c r="E37" s="1">
        <v>150000</v>
      </c>
      <c r="F37" s="1">
        <v>150000</v>
      </c>
      <c r="G37" s="1">
        <v>150000</v>
      </c>
      <c r="H37" s="1">
        <v>150000</v>
      </c>
      <c r="I37" s="1">
        <v>150000</v>
      </c>
      <c r="J37" s="1">
        <v>150000</v>
      </c>
      <c r="K37" s="1">
        <v>150000</v>
      </c>
      <c r="L37" s="1">
        <v>150000</v>
      </c>
      <c r="M37" s="1">
        <v>150000</v>
      </c>
      <c r="N37" s="1">
        <v>1800000</v>
      </c>
    </row>
    <row r="38" spans="1:14" x14ac:dyDescent="0.25">
      <c r="A38" s="6" t="s">
        <v>403</v>
      </c>
      <c r="B38" s="1">
        <v>566667</v>
      </c>
      <c r="C38" s="1">
        <v>566667</v>
      </c>
      <c r="D38" s="1">
        <v>566667</v>
      </c>
      <c r="E38" s="1">
        <v>566667</v>
      </c>
      <c r="F38" s="1">
        <v>566667</v>
      </c>
      <c r="G38" s="1">
        <v>566667</v>
      </c>
      <c r="H38" s="1">
        <v>566667</v>
      </c>
      <c r="I38" s="1">
        <v>566667</v>
      </c>
      <c r="J38" s="1">
        <v>566666</v>
      </c>
      <c r="K38" s="1">
        <v>566666</v>
      </c>
      <c r="L38" s="1">
        <v>566666</v>
      </c>
      <c r="M38" s="1">
        <v>566666</v>
      </c>
      <c r="N38" s="1">
        <v>6800000</v>
      </c>
    </row>
    <row r="39" spans="1:14" x14ac:dyDescent="0.25">
      <c r="A39" s="6" t="s">
        <v>404</v>
      </c>
      <c r="B39" s="1">
        <v>550000</v>
      </c>
      <c r="C39" s="1">
        <v>550000</v>
      </c>
      <c r="D39" s="1">
        <v>550000</v>
      </c>
      <c r="E39" s="1">
        <v>550000</v>
      </c>
      <c r="F39" s="1">
        <v>550000</v>
      </c>
      <c r="G39" s="1">
        <v>550000</v>
      </c>
      <c r="H39" s="1">
        <v>550000</v>
      </c>
      <c r="I39" s="1">
        <v>550000</v>
      </c>
      <c r="J39" s="1">
        <v>550000</v>
      </c>
      <c r="K39" s="1">
        <v>550000</v>
      </c>
      <c r="L39" s="1">
        <v>550000</v>
      </c>
      <c r="M39" s="1">
        <v>550000</v>
      </c>
      <c r="N39" s="1">
        <v>6600000</v>
      </c>
    </row>
    <row r="40" spans="1:14" x14ac:dyDescent="0.25">
      <c r="A40" s="6" t="s">
        <v>469</v>
      </c>
      <c r="B40" s="1">
        <v>603100</v>
      </c>
      <c r="C40" s="1">
        <v>603100</v>
      </c>
      <c r="D40" s="1">
        <v>603100</v>
      </c>
      <c r="E40" s="1">
        <v>603100</v>
      </c>
      <c r="F40" s="1">
        <v>603100</v>
      </c>
      <c r="G40" s="1">
        <v>603100</v>
      </c>
      <c r="H40" s="1">
        <v>603100</v>
      </c>
      <c r="I40" s="1">
        <v>603100</v>
      </c>
      <c r="J40" s="1">
        <v>603100</v>
      </c>
      <c r="K40" s="1">
        <v>603100</v>
      </c>
      <c r="L40" s="1">
        <v>603100</v>
      </c>
      <c r="M40" s="1">
        <v>603100</v>
      </c>
      <c r="N40" s="1">
        <v>7237200</v>
      </c>
    </row>
    <row r="41" spans="1:14" x14ac:dyDescent="0.25">
      <c r="A41" s="6" t="s">
        <v>405</v>
      </c>
      <c r="B41" s="1">
        <v>166667</v>
      </c>
      <c r="C41" s="1">
        <v>166667</v>
      </c>
      <c r="D41" s="1">
        <v>166667</v>
      </c>
      <c r="E41" s="1">
        <v>166667</v>
      </c>
      <c r="F41" s="1">
        <v>166667</v>
      </c>
      <c r="G41" s="1">
        <v>166667</v>
      </c>
      <c r="H41" s="1">
        <v>166667</v>
      </c>
      <c r="I41" s="1">
        <v>166667</v>
      </c>
      <c r="J41" s="1">
        <v>166667</v>
      </c>
      <c r="K41" s="1">
        <v>166667</v>
      </c>
      <c r="L41" s="1">
        <v>166667</v>
      </c>
      <c r="M41" s="1">
        <v>166667</v>
      </c>
      <c r="N41" s="1">
        <v>2000004</v>
      </c>
    </row>
    <row r="42" spans="1:14" x14ac:dyDescent="0.25">
      <c r="A42" s="6" t="s">
        <v>470</v>
      </c>
      <c r="B42" s="1">
        <v>10600</v>
      </c>
      <c r="C42" s="1">
        <v>10600</v>
      </c>
      <c r="D42" s="1">
        <v>10600</v>
      </c>
      <c r="E42" s="1">
        <v>10600</v>
      </c>
      <c r="F42" s="1">
        <v>10600</v>
      </c>
      <c r="G42" s="1">
        <v>10600</v>
      </c>
      <c r="H42" s="1">
        <v>10600</v>
      </c>
      <c r="I42" s="1">
        <v>10600</v>
      </c>
      <c r="J42" s="1">
        <v>10600</v>
      </c>
      <c r="K42" s="1">
        <v>10600</v>
      </c>
      <c r="L42" s="1">
        <v>10600</v>
      </c>
      <c r="M42" s="1">
        <v>10600</v>
      </c>
      <c r="N42" s="1">
        <v>127200</v>
      </c>
    </row>
    <row r="43" spans="1:14" x14ac:dyDescent="0.25">
      <c r="A43" s="6" t="s">
        <v>406</v>
      </c>
      <c r="B43" s="1">
        <v>39700</v>
      </c>
      <c r="C43" s="1">
        <v>39700</v>
      </c>
      <c r="D43" s="1">
        <v>39700</v>
      </c>
      <c r="E43" s="1">
        <v>39700</v>
      </c>
      <c r="F43" s="1">
        <v>39700</v>
      </c>
      <c r="G43" s="1">
        <v>39700</v>
      </c>
      <c r="H43" s="1">
        <v>39700</v>
      </c>
      <c r="I43" s="1">
        <v>39700</v>
      </c>
      <c r="J43" s="1">
        <v>39700</v>
      </c>
      <c r="K43" s="1">
        <v>39700</v>
      </c>
      <c r="L43" s="1">
        <v>39700</v>
      </c>
      <c r="M43" s="1">
        <v>39700</v>
      </c>
      <c r="N43" s="1">
        <v>476400</v>
      </c>
    </row>
    <row r="44" spans="1:14" x14ac:dyDescent="0.25">
      <c r="A44" s="6" t="s">
        <v>407</v>
      </c>
      <c r="B44" s="1">
        <v>41667</v>
      </c>
      <c r="C44" s="1">
        <v>41667</v>
      </c>
      <c r="D44" s="1">
        <v>41667</v>
      </c>
      <c r="E44" s="1">
        <v>41667</v>
      </c>
      <c r="F44" s="1">
        <v>41667</v>
      </c>
      <c r="G44" s="1">
        <v>41667</v>
      </c>
      <c r="H44" s="1">
        <v>41667</v>
      </c>
      <c r="I44" s="1">
        <v>41667</v>
      </c>
      <c r="J44" s="1">
        <v>41667</v>
      </c>
      <c r="K44" s="1">
        <v>41667</v>
      </c>
      <c r="L44" s="1">
        <v>41667</v>
      </c>
      <c r="M44" s="1">
        <v>41667</v>
      </c>
      <c r="N44" s="1">
        <v>500004</v>
      </c>
    </row>
    <row r="45" spans="1:14" x14ac:dyDescent="0.25">
      <c r="A45" s="6" t="s">
        <v>408</v>
      </c>
      <c r="B45" s="1">
        <v>0</v>
      </c>
      <c r="C45" s="1">
        <v>0</v>
      </c>
      <c r="D45" s="1">
        <v>0</v>
      </c>
      <c r="E45" s="1">
        <v>0</v>
      </c>
      <c r="F45" s="1">
        <v>0</v>
      </c>
      <c r="G45" s="1">
        <v>0</v>
      </c>
      <c r="H45" s="1">
        <v>0</v>
      </c>
      <c r="I45" s="1">
        <v>0</v>
      </c>
      <c r="J45" s="1">
        <v>0</v>
      </c>
      <c r="K45" s="1">
        <v>0</v>
      </c>
      <c r="L45" s="1">
        <v>0</v>
      </c>
      <c r="M45" s="1">
        <v>0</v>
      </c>
      <c r="N45" s="1">
        <v>0</v>
      </c>
    </row>
    <row r="46" spans="1:14" x14ac:dyDescent="0.25">
      <c r="A46" s="6" t="s">
        <v>409</v>
      </c>
      <c r="B46" s="1">
        <v>0</v>
      </c>
      <c r="C46" s="1">
        <v>0</v>
      </c>
      <c r="D46" s="1">
        <v>0</v>
      </c>
      <c r="E46" s="1">
        <v>0</v>
      </c>
      <c r="F46" s="1">
        <v>0</v>
      </c>
      <c r="G46" s="1">
        <v>0</v>
      </c>
      <c r="H46" s="1">
        <v>0</v>
      </c>
      <c r="I46" s="1">
        <v>0</v>
      </c>
      <c r="J46" s="1">
        <v>0</v>
      </c>
      <c r="K46" s="1">
        <v>0</v>
      </c>
      <c r="L46" s="1">
        <v>0</v>
      </c>
      <c r="M46" s="1">
        <v>0</v>
      </c>
      <c r="N46" s="1">
        <v>0</v>
      </c>
    </row>
    <row r="47" spans="1:14" x14ac:dyDescent="0.25">
      <c r="A47" s="6" t="s">
        <v>410</v>
      </c>
      <c r="B47" s="1">
        <v>12500</v>
      </c>
      <c r="C47" s="1">
        <v>12500</v>
      </c>
      <c r="D47" s="1">
        <v>12500</v>
      </c>
      <c r="E47" s="1">
        <v>12500</v>
      </c>
      <c r="F47" s="1">
        <v>12500</v>
      </c>
      <c r="G47" s="1">
        <v>12500</v>
      </c>
      <c r="H47" s="1">
        <v>12500</v>
      </c>
      <c r="I47" s="1">
        <v>12500</v>
      </c>
      <c r="J47" s="1">
        <v>12500</v>
      </c>
      <c r="K47" s="1">
        <v>12500</v>
      </c>
      <c r="L47" s="1">
        <v>12500</v>
      </c>
      <c r="M47" s="1">
        <v>12500</v>
      </c>
      <c r="N47" s="1">
        <v>150000</v>
      </c>
    </row>
    <row r="48" spans="1:14" x14ac:dyDescent="0.25">
      <c r="A48" s="6" t="s">
        <v>411</v>
      </c>
      <c r="B48" s="1">
        <v>33367</v>
      </c>
      <c r="C48" s="1">
        <v>33367</v>
      </c>
      <c r="D48" s="1">
        <v>33367</v>
      </c>
      <c r="E48" s="1">
        <v>33367</v>
      </c>
      <c r="F48" s="1">
        <v>33367</v>
      </c>
      <c r="G48" s="1">
        <v>33367</v>
      </c>
      <c r="H48" s="1">
        <v>33367</v>
      </c>
      <c r="I48" s="1">
        <v>33367</v>
      </c>
      <c r="J48" s="1">
        <v>33366</v>
      </c>
      <c r="K48" s="1">
        <v>33366</v>
      </c>
      <c r="L48" s="1">
        <v>33366</v>
      </c>
      <c r="M48" s="1">
        <v>33366</v>
      </c>
      <c r="N48" s="1">
        <v>400400</v>
      </c>
    </row>
    <row r="49" spans="1:14" x14ac:dyDescent="0.25">
      <c r="A49" s="6" t="s">
        <v>412</v>
      </c>
      <c r="B49" s="1">
        <v>0</v>
      </c>
      <c r="C49" s="1">
        <v>0</v>
      </c>
      <c r="D49" s="1">
        <v>0</v>
      </c>
      <c r="E49" s="1">
        <v>0</v>
      </c>
      <c r="F49" s="1">
        <v>0</v>
      </c>
      <c r="G49" s="1">
        <v>0</v>
      </c>
      <c r="H49" s="1">
        <v>0</v>
      </c>
      <c r="I49" s="1">
        <v>0</v>
      </c>
      <c r="J49" s="1">
        <v>0</v>
      </c>
      <c r="K49" s="1">
        <v>0</v>
      </c>
      <c r="L49" s="1">
        <v>0</v>
      </c>
      <c r="M49" s="1">
        <v>0</v>
      </c>
      <c r="N49" s="1">
        <v>0</v>
      </c>
    </row>
    <row r="50" spans="1:14" x14ac:dyDescent="0.25">
      <c r="A50" s="6" t="s">
        <v>413</v>
      </c>
      <c r="B50" s="1">
        <v>50000</v>
      </c>
      <c r="C50" s="1">
        <v>50000</v>
      </c>
      <c r="D50" s="1">
        <v>50000</v>
      </c>
      <c r="E50" s="1">
        <v>50000</v>
      </c>
      <c r="F50" s="1">
        <v>50000</v>
      </c>
      <c r="G50" s="1">
        <v>50000</v>
      </c>
      <c r="H50" s="1">
        <v>50000</v>
      </c>
      <c r="I50" s="1">
        <v>50000</v>
      </c>
      <c r="J50" s="1">
        <v>50000</v>
      </c>
      <c r="K50" s="1">
        <v>50000</v>
      </c>
      <c r="L50" s="1">
        <v>50000</v>
      </c>
      <c r="M50" s="1">
        <v>50000</v>
      </c>
      <c r="N50" s="1">
        <v>600000</v>
      </c>
    </row>
    <row r="51" spans="1:14" x14ac:dyDescent="0.25">
      <c r="A51" s="6" t="s">
        <v>414</v>
      </c>
      <c r="B51" s="1">
        <v>0</v>
      </c>
      <c r="C51" s="1">
        <v>0</v>
      </c>
      <c r="D51" s="1">
        <v>0</v>
      </c>
      <c r="E51" s="1">
        <v>0</v>
      </c>
      <c r="F51" s="1">
        <v>0</v>
      </c>
      <c r="G51" s="1">
        <v>0</v>
      </c>
      <c r="H51" s="1">
        <v>0</v>
      </c>
      <c r="I51" s="1">
        <v>0</v>
      </c>
      <c r="J51" s="1">
        <v>0</v>
      </c>
      <c r="K51" s="1">
        <v>0</v>
      </c>
      <c r="L51" s="1">
        <v>0</v>
      </c>
      <c r="M51" s="1">
        <v>0</v>
      </c>
      <c r="N51" s="1">
        <v>0</v>
      </c>
    </row>
    <row r="52" spans="1:14" x14ac:dyDescent="0.25">
      <c r="A52" s="6" t="s">
        <v>415</v>
      </c>
      <c r="B52" s="1">
        <v>100000</v>
      </c>
      <c r="C52" s="1">
        <v>100000</v>
      </c>
      <c r="D52" s="1">
        <v>100000</v>
      </c>
      <c r="E52" s="1">
        <v>100000</v>
      </c>
      <c r="F52" s="1">
        <v>100000</v>
      </c>
      <c r="G52" s="1">
        <v>100000</v>
      </c>
      <c r="H52" s="1">
        <v>100000</v>
      </c>
      <c r="I52" s="1">
        <v>100000</v>
      </c>
      <c r="J52" s="1">
        <v>100000</v>
      </c>
      <c r="K52" s="1">
        <v>100000</v>
      </c>
      <c r="L52" s="1">
        <v>100000</v>
      </c>
      <c r="M52" s="1">
        <v>100000</v>
      </c>
      <c r="N52" s="1">
        <v>1200000</v>
      </c>
    </row>
    <row r="53" spans="1:14" x14ac:dyDescent="0.25">
      <c r="A53" s="6" t="s">
        <v>416</v>
      </c>
      <c r="B53" s="1">
        <v>75000</v>
      </c>
      <c r="C53" s="1">
        <v>75000</v>
      </c>
      <c r="D53" s="1">
        <v>75000</v>
      </c>
      <c r="E53" s="1">
        <v>75000</v>
      </c>
      <c r="F53" s="1">
        <v>75000</v>
      </c>
      <c r="G53" s="1">
        <v>75000</v>
      </c>
      <c r="H53" s="1">
        <v>75000</v>
      </c>
      <c r="I53" s="1">
        <v>75000</v>
      </c>
      <c r="J53" s="1">
        <v>75000</v>
      </c>
      <c r="K53" s="1">
        <v>75000</v>
      </c>
      <c r="L53" s="1">
        <v>75000</v>
      </c>
      <c r="M53" s="1">
        <v>75000</v>
      </c>
      <c r="N53" s="1">
        <v>900000</v>
      </c>
    </row>
    <row r="54" spans="1:14" x14ac:dyDescent="0.25">
      <c r="A54" s="6" t="s">
        <v>417</v>
      </c>
      <c r="B54" s="1">
        <v>130639</v>
      </c>
      <c r="C54" s="1">
        <v>130639</v>
      </c>
      <c r="D54" s="1">
        <v>130639</v>
      </c>
      <c r="E54" s="1">
        <v>130639</v>
      </c>
      <c r="F54" s="1">
        <v>130639</v>
      </c>
      <c r="G54" s="1">
        <v>130639</v>
      </c>
      <c r="H54" s="1">
        <v>130639</v>
      </c>
      <c r="I54" s="1">
        <v>838639</v>
      </c>
      <c r="J54" s="1">
        <v>130639</v>
      </c>
      <c r="K54" s="1">
        <v>130639</v>
      </c>
      <c r="L54" s="1">
        <v>130639</v>
      </c>
      <c r="M54" s="1">
        <v>130639</v>
      </c>
      <c r="N54" s="1">
        <v>2275668</v>
      </c>
    </row>
    <row r="55" spans="1:14" x14ac:dyDescent="0.25">
      <c r="A55" s="6" t="s">
        <v>418</v>
      </c>
      <c r="B55" s="1">
        <v>0</v>
      </c>
      <c r="C55" s="1">
        <v>0</v>
      </c>
      <c r="D55" s="1">
        <v>468000</v>
      </c>
      <c r="E55" s="1">
        <v>0</v>
      </c>
      <c r="F55" s="1">
        <v>0</v>
      </c>
      <c r="G55" s="1">
        <v>0</v>
      </c>
      <c r="H55" s="1">
        <v>0</v>
      </c>
      <c r="I55" s="1">
        <v>0</v>
      </c>
      <c r="J55" s="1">
        <v>0</v>
      </c>
      <c r="K55" s="1">
        <v>0</v>
      </c>
      <c r="L55" s="1">
        <v>0</v>
      </c>
      <c r="M55" s="1">
        <v>0</v>
      </c>
      <c r="N55" s="1">
        <v>468000</v>
      </c>
    </row>
    <row r="56" spans="1:14" x14ac:dyDescent="0.25">
      <c r="A56" s="6" t="s">
        <v>387</v>
      </c>
      <c r="B56" s="1">
        <v>19732618</v>
      </c>
      <c r="C56" s="1">
        <v>19685843</v>
      </c>
      <c r="D56" s="1">
        <v>19648185</v>
      </c>
      <c r="E56" s="1">
        <v>19612430</v>
      </c>
      <c r="F56" s="1">
        <v>19612430</v>
      </c>
      <c r="G56" s="1">
        <v>19612430</v>
      </c>
      <c r="H56" s="1">
        <v>19612430</v>
      </c>
      <c r="I56" s="1">
        <v>19574772</v>
      </c>
      <c r="J56" s="1">
        <v>19540285</v>
      </c>
      <c r="K56" s="1">
        <v>19540285</v>
      </c>
      <c r="L56" s="1">
        <v>19504530</v>
      </c>
      <c r="M56" s="1">
        <v>19466872</v>
      </c>
      <c r="N56" s="1">
        <v>235143110</v>
      </c>
    </row>
    <row r="57" spans="1:14" x14ac:dyDescent="0.25">
      <c r="A57" s="6" t="s">
        <v>388</v>
      </c>
      <c r="B57" s="1">
        <v>0</v>
      </c>
      <c r="C57" s="1">
        <v>65000</v>
      </c>
      <c r="D57" s="1">
        <v>65000</v>
      </c>
      <c r="E57" s="1">
        <v>65000</v>
      </c>
      <c r="F57" s="1">
        <v>0</v>
      </c>
      <c r="G57" s="1">
        <v>0</v>
      </c>
      <c r="H57" s="1">
        <v>0</v>
      </c>
      <c r="I57" s="1">
        <v>65000</v>
      </c>
      <c r="J57" s="1">
        <v>65000</v>
      </c>
      <c r="K57" s="1">
        <v>0</v>
      </c>
      <c r="L57" s="1">
        <v>65000</v>
      </c>
      <c r="M57" s="1">
        <v>65000</v>
      </c>
      <c r="N57" s="1">
        <v>455000</v>
      </c>
    </row>
    <row r="58" spans="1:14" x14ac:dyDescent="0.25">
      <c r="A58" s="6" t="s">
        <v>389</v>
      </c>
      <c r="B58" s="1">
        <v>0</v>
      </c>
      <c r="C58" s="1">
        <v>0</v>
      </c>
      <c r="D58" s="1">
        <v>0</v>
      </c>
      <c r="E58" s="1">
        <v>0</v>
      </c>
      <c r="F58" s="1">
        <v>0</v>
      </c>
      <c r="G58" s="1">
        <v>0</v>
      </c>
      <c r="H58" s="1">
        <v>0</v>
      </c>
      <c r="I58" s="1">
        <v>0</v>
      </c>
      <c r="J58" s="1">
        <v>0</v>
      </c>
      <c r="K58" s="1">
        <v>0</v>
      </c>
      <c r="L58" s="1">
        <v>0</v>
      </c>
      <c r="M58" s="1">
        <v>0</v>
      </c>
      <c r="N58" s="1">
        <v>0</v>
      </c>
    </row>
    <row r="59" spans="1:14" x14ac:dyDescent="0.25">
      <c r="A59" s="6" t="s">
        <v>821</v>
      </c>
      <c r="B59" s="1">
        <v>0</v>
      </c>
      <c r="C59" s="1">
        <v>0</v>
      </c>
      <c r="D59" s="1">
        <v>0</v>
      </c>
      <c r="E59" s="1">
        <v>0</v>
      </c>
      <c r="F59" s="1">
        <v>0</v>
      </c>
      <c r="G59" s="1">
        <v>0</v>
      </c>
      <c r="H59" s="1">
        <v>9100035</v>
      </c>
      <c r="I59" s="1">
        <v>0</v>
      </c>
      <c r="J59" s="1">
        <v>0</v>
      </c>
      <c r="K59" s="1">
        <v>0</v>
      </c>
      <c r="L59" s="1">
        <v>0</v>
      </c>
      <c r="M59" s="1">
        <v>0</v>
      </c>
      <c r="N59" s="1">
        <v>9100035</v>
      </c>
    </row>
    <row r="60" spans="1:14" x14ac:dyDescent="0.25">
      <c r="A60" s="6" t="s">
        <v>390</v>
      </c>
      <c r="B60" s="1">
        <v>55556</v>
      </c>
      <c r="C60" s="1">
        <v>0</v>
      </c>
      <c r="D60" s="1">
        <v>0</v>
      </c>
      <c r="E60" s="1">
        <v>0</v>
      </c>
      <c r="F60" s="1">
        <v>55556</v>
      </c>
      <c r="G60" s="1">
        <v>0</v>
      </c>
      <c r="H60" s="1">
        <v>0</v>
      </c>
      <c r="I60" s="1">
        <v>0</v>
      </c>
      <c r="J60" s="1">
        <v>0</v>
      </c>
      <c r="K60" s="1">
        <v>0</v>
      </c>
      <c r="L60" s="1">
        <v>55556</v>
      </c>
      <c r="M60" s="1">
        <v>0</v>
      </c>
      <c r="N60" s="1">
        <v>166668</v>
      </c>
    </row>
    <row r="61" spans="1:14" x14ac:dyDescent="0.25">
      <c r="A61" s="6" t="s">
        <v>584</v>
      </c>
      <c r="B61" s="1">
        <v>0</v>
      </c>
      <c r="C61" s="1">
        <v>0</v>
      </c>
      <c r="D61" s="1">
        <v>0</v>
      </c>
      <c r="E61" s="1">
        <v>0</v>
      </c>
      <c r="F61" s="1">
        <v>0</v>
      </c>
      <c r="G61" s="1">
        <v>0</v>
      </c>
      <c r="H61" s="1">
        <v>0</v>
      </c>
      <c r="I61" s="1">
        <v>0</v>
      </c>
      <c r="J61" s="1">
        <v>0</v>
      </c>
      <c r="K61" s="1">
        <v>0</v>
      </c>
      <c r="L61" s="1">
        <v>0</v>
      </c>
      <c r="M61" s="1">
        <v>0</v>
      </c>
      <c r="N61" s="1">
        <v>0</v>
      </c>
    </row>
    <row r="62" spans="1:14" x14ac:dyDescent="0.25">
      <c r="A62" s="6" t="s">
        <v>237</v>
      </c>
      <c r="B62" s="1">
        <v>1703826</v>
      </c>
      <c r="C62" s="1">
        <v>1703826</v>
      </c>
      <c r="D62" s="1">
        <v>1703826</v>
      </c>
      <c r="E62" s="1">
        <v>1967935</v>
      </c>
      <c r="F62" s="1">
        <v>1994185</v>
      </c>
      <c r="G62" s="1">
        <v>1994185</v>
      </c>
      <c r="H62" s="1">
        <v>1994185</v>
      </c>
      <c r="I62" s="1">
        <v>1994185</v>
      </c>
      <c r="J62" s="1">
        <v>2208560</v>
      </c>
      <c r="K62" s="1">
        <v>2458373</v>
      </c>
      <c r="L62" s="1">
        <v>2458373</v>
      </c>
      <c r="M62" s="1">
        <v>2760456</v>
      </c>
      <c r="N62" s="1">
        <v>24941915</v>
      </c>
    </row>
    <row r="63" spans="1:14" x14ac:dyDescent="0.25">
      <c r="A63" s="6" t="s">
        <v>391</v>
      </c>
      <c r="B63" s="1">
        <v>30403</v>
      </c>
      <c r="C63" s="1">
        <v>30403</v>
      </c>
      <c r="D63" s="1">
        <v>30403</v>
      </c>
      <c r="E63" s="1">
        <v>30403</v>
      </c>
      <c r="F63" s="1">
        <v>30403</v>
      </c>
      <c r="G63" s="1">
        <v>30403</v>
      </c>
      <c r="H63" s="1">
        <v>30403</v>
      </c>
      <c r="I63" s="1">
        <v>30403</v>
      </c>
      <c r="J63" s="1">
        <v>30403</v>
      </c>
      <c r="K63" s="1">
        <v>30403</v>
      </c>
      <c r="L63" s="1">
        <v>30403</v>
      </c>
      <c r="M63" s="1">
        <v>30403</v>
      </c>
      <c r="N63" s="1">
        <v>364836</v>
      </c>
    </row>
    <row r="64" spans="1:14" x14ac:dyDescent="0.25">
      <c r="A64" s="6" t="s">
        <v>550</v>
      </c>
      <c r="B64" s="1">
        <v>84971</v>
      </c>
      <c r="C64" s="1">
        <v>84971</v>
      </c>
      <c r="D64" s="1">
        <v>89138</v>
      </c>
      <c r="E64" s="1">
        <v>89138</v>
      </c>
      <c r="F64" s="1">
        <v>89138</v>
      </c>
      <c r="G64" s="1">
        <v>89138</v>
      </c>
      <c r="H64" s="1">
        <v>89138</v>
      </c>
      <c r="I64" s="1">
        <v>89138</v>
      </c>
      <c r="J64" s="1">
        <v>89138</v>
      </c>
      <c r="K64" s="1">
        <v>89138</v>
      </c>
      <c r="L64" s="1">
        <v>89138</v>
      </c>
      <c r="M64" s="1">
        <v>89138</v>
      </c>
      <c r="N64" s="1">
        <v>1061322</v>
      </c>
    </row>
    <row r="65" spans="1:14" x14ac:dyDescent="0.25">
      <c r="A65" s="6" t="s">
        <v>552</v>
      </c>
      <c r="B65" s="1">
        <v>392981</v>
      </c>
      <c r="C65" s="1">
        <v>392981</v>
      </c>
      <c r="D65" s="1">
        <v>392981</v>
      </c>
      <c r="E65" s="1">
        <v>392981</v>
      </c>
      <c r="F65" s="1">
        <v>392981</v>
      </c>
      <c r="G65" s="1">
        <v>392981</v>
      </c>
      <c r="H65" s="1">
        <v>392981</v>
      </c>
      <c r="I65" s="1">
        <v>392981</v>
      </c>
      <c r="J65" s="1">
        <v>392981</v>
      </c>
      <c r="K65" s="1">
        <v>392981</v>
      </c>
      <c r="L65" s="1">
        <v>392981</v>
      </c>
      <c r="M65" s="1">
        <v>392981</v>
      </c>
      <c r="N65" s="1">
        <v>4715772</v>
      </c>
    </row>
    <row r="66" spans="1:14" x14ac:dyDescent="0.25">
      <c r="A66" s="6" t="s">
        <v>392</v>
      </c>
      <c r="B66" s="1">
        <v>173856</v>
      </c>
      <c r="C66" s="1">
        <v>173856</v>
      </c>
      <c r="D66" s="1">
        <v>173856</v>
      </c>
      <c r="E66" s="1">
        <v>173856</v>
      </c>
      <c r="F66" s="1">
        <v>173856</v>
      </c>
      <c r="G66" s="1">
        <v>173856</v>
      </c>
      <c r="H66" s="1">
        <v>173856</v>
      </c>
      <c r="I66" s="1">
        <v>173856</v>
      </c>
      <c r="J66" s="1">
        <v>173856</v>
      </c>
      <c r="K66" s="1">
        <v>173856</v>
      </c>
      <c r="L66" s="1">
        <v>173856</v>
      </c>
      <c r="M66" s="1">
        <v>173856</v>
      </c>
      <c r="N66" s="1">
        <v>2086272</v>
      </c>
    </row>
    <row r="67" spans="1:14" x14ac:dyDescent="0.25">
      <c r="A67" s="6" t="s">
        <v>393</v>
      </c>
      <c r="B67" s="1">
        <v>142729</v>
      </c>
      <c r="C67" s="1">
        <v>142729</v>
      </c>
      <c r="D67" s="1">
        <v>142729</v>
      </c>
      <c r="E67" s="1">
        <v>142729</v>
      </c>
      <c r="F67" s="1">
        <v>142729</v>
      </c>
      <c r="G67" s="1">
        <v>142729</v>
      </c>
      <c r="H67" s="1">
        <v>142729</v>
      </c>
      <c r="I67" s="1">
        <v>142729</v>
      </c>
      <c r="J67" s="1">
        <v>142729</v>
      </c>
      <c r="K67" s="1">
        <v>142729</v>
      </c>
      <c r="L67" s="1">
        <v>142729</v>
      </c>
      <c r="M67" s="1">
        <v>142729</v>
      </c>
      <c r="N67" s="1">
        <v>1712748</v>
      </c>
    </row>
    <row r="68" spans="1:14" x14ac:dyDescent="0.25">
      <c r="A68" s="6" t="s">
        <v>296</v>
      </c>
      <c r="B68" s="1">
        <v>1898597</v>
      </c>
      <c r="C68" s="1">
        <v>1898597</v>
      </c>
      <c r="D68" s="1">
        <v>2270035</v>
      </c>
      <c r="E68" s="1">
        <v>2288306</v>
      </c>
      <c r="F68" s="1">
        <v>2288306</v>
      </c>
      <c r="G68" s="1">
        <v>2288306</v>
      </c>
      <c r="H68" s="1">
        <v>2288306</v>
      </c>
      <c r="I68" s="1">
        <v>2534139</v>
      </c>
      <c r="J68" s="1">
        <v>2534139</v>
      </c>
      <c r="K68" s="1">
        <v>2534139</v>
      </c>
      <c r="L68" s="1">
        <v>2731014</v>
      </c>
      <c r="M68" s="1">
        <v>2862264</v>
      </c>
      <c r="N68" s="1">
        <v>28416148</v>
      </c>
    </row>
    <row r="69" spans="1:14" x14ac:dyDescent="0.25">
      <c r="A69" s="6" t="s">
        <v>326</v>
      </c>
      <c r="B69" s="1">
        <v>250758</v>
      </c>
      <c r="C69" s="1">
        <v>250758</v>
      </c>
      <c r="D69" s="1">
        <v>250758</v>
      </c>
      <c r="E69" s="1">
        <v>250758</v>
      </c>
      <c r="F69" s="1">
        <v>250758</v>
      </c>
      <c r="G69" s="1">
        <v>253883</v>
      </c>
      <c r="H69" s="1">
        <v>253883</v>
      </c>
      <c r="I69" s="1">
        <v>253883</v>
      </c>
      <c r="J69" s="1">
        <v>253883</v>
      </c>
      <c r="K69" s="1">
        <v>253883</v>
      </c>
      <c r="L69" s="1">
        <v>253883</v>
      </c>
      <c r="M69" s="1">
        <v>257737</v>
      </c>
      <c r="N69" s="1">
        <v>3034825</v>
      </c>
    </row>
    <row r="70" spans="1:14" x14ac:dyDescent="0.25">
      <c r="A70" s="6" t="s">
        <v>394</v>
      </c>
      <c r="B70" s="1">
        <v>11024</v>
      </c>
      <c r="C70" s="1">
        <v>11024</v>
      </c>
      <c r="D70" s="1">
        <v>11024</v>
      </c>
      <c r="E70" s="1">
        <v>11024</v>
      </c>
      <c r="F70" s="1">
        <v>11024</v>
      </c>
      <c r="G70" s="1">
        <v>11024</v>
      </c>
      <c r="H70" s="1">
        <v>11024</v>
      </c>
      <c r="I70" s="1">
        <v>11024</v>
      </c>
      <c r="J70" s="1">
        <v>11024</v>
      </c>
      <c r="K70" s="1">
        <v>11024</v>
      </c>
      <c r="L70" s="1">
        <v>11024</v>
      </c>
      <c r="M70" s="1">
        <v>11024</v>
      </c>
      <c r="N70" s="1">
        <v>132288</v>
      </c>
    </row>
    <row r="71" spans="1:14" x14ac:dyDescent="0.25">
      <c r="A71" s="6" t="s">
        <v>395</v>
      </c>
      <c r="B71" s="1">
        <v>1528</v>
      </c>
      <c r="C71" s="1">
        <v>1528</v>
      </c>
      <c r="D71" s="1">
        <v>1528</v>
      </c>
      <c r="E71" s="1">
        <v>1528</v>
      </c>
      <c r="F71" s="1">
        <v>1528</v>
      </c>
      <c r="G71" s="1">
        <v>1528</v>
      </c>
      <c r="H71" s="1">
        <v>1528</v>
      </c>
      <c r="I71" s="1">
        <v>1528</v>
      </c>
      <c r="J71" s="1">
        <v>1528</v>
      </c>
      <c r="K71" s="1">
        <v>1528</v>
      </c>
      <c r="L71" s="1">
        <v>1528</v>
      </c>
      <c r="M71" s="1">
        <v>1528</v>
      </c>
      <c r="N71" s="1">
        <v>18336</v>
      </c>
    </row>
    <row r="72" spans="1:14" x14ac:dyDescent="0.25">
      <c r="A72" s="6" t="s">
        <v>419</v>
      </c>
      <c r="B72" s="1">
        <v>0</v>
      </c>
      <c r="C72" s="1">
        <v>0</v>
      </c>
      <c r="D72" s="1">
        <v>112500</v>
      </c>
      <c r="E72" s="1">
        <v>0</v>
      </c>
      <c r="F72" s="1">
        <v>126000</v>
      </c>
      <c r="G72" s="1">
        <v>0</v>
      </c>
      <c r="H72" s="1">
        <v>0</v>
      </c>
      <c r="I72" s="1">
        <v>25000</v>
      </c>
      <c r="J72" s="1">
        <v>0</v>
      </c>
      <c r="K72" s="1">
        <v>112500</v>
      </c>
      <c r="L72" s="1">
        <v>84000</v>
      </c>
      <c r="M72" s="1">
        <v>0</v>
      </c>
      <c r="N72" s="1">
        <v>460000</v>
      </c>
    </row>
    <row r="73" spans="1:14" x14ac:dyDescent="0.25">
      <c r="A73" s="6" t="s">
        <v>420</v>
      </c>
      <c r="B73" s="1">
        <v>6000</v>
      </c>
      <c r="C73" s="1">
        <v>6000</v>
      </c>
      <c r="D73" s="1">
        <v>6000</v>
      </c>
      <c r="E73" s="1">
        <v>6000</v>
      </c>
      <c r="F73" s="1">
        <v>6000</v>
      </c>
      <c r="G73" s="1">
        <v>6000</v>
      </c>
      <c r="H73" s="1">
        <v>6000</v>
      </c>
      <c r="I73" s="1">
        <v>6000</v>
      </c>
      <c r="J73" s="1">
        <v>6000</v>
      </c>
      <c r="K73" s="1">
        <v>6000</v>
      </c>
      <c r="L73" s="1">
        <v>6000</v>
      </c>
      <c r="M73" s="1">
        <v>6000</v>
      </c>
      <c r="N73" s="1">
        <v>72000</v>
      </c>
    </row>
    <row r="74" spans="1:14" x14ac:dyDescent="0.25">
      <c r="A74" s="6" t="s">
        <v>421</v>
      </c>
      <c r="B74" s="1">
        <v>225000</v>
      </c>
      <c r="C74" s="1">
        <v>225000</v>
      </c>
      <c r="D74" s="1">
        <v>225000</v>
      </c>
      <c r="E74" s="1">
        <v>225000</v>
      </c>
      <c r="F74" s="1">
        <v>225000</v>
      </c>
      <c r="G74" s="1">
        <v>225000</v>
      </c>
      <c r="H74" s="1">
        <v>225000</v>
      </c>
      <c r="I74" s="1">
        <v>225000</v>
      </c>
      <c r="J74" s="1">
        <v>225000</v>
      </c>
      <c r="K74" s="1">
        <v>225000</v>
      </c>
      <c r="L74" s="1">
        <v>225000</v>
      </c>
      <c r="M74" s="1">
        <v>225000</v>
      </c>
      <c r="N74" s="1">
        <v>2700000</v>
      </c>
    </row>
    <row r="75" spans="1:14" x14ac:dyDescent="0.25">
      <c r="A75" s="6" t="s">
        <v>422</v>
      </c>
      <c r="B75" s="1">
        <v>5000</v>
      </c>
      <c r="C75" s="1">
        <v>5000</v>
      </c>
      <c r="D75" s="1">
        <v>5000</v>
      </c>
      <c r="E75" s="1">
        <v>5000</v>
      </c>
      <c r="F75" s="1">
        <v>5000</v>
      </c>
      <c r="G75" s="1">
        <v>5000</v>
      </c>
      <c r="H75" s="1">
        <v>5000</v>
      </c>
      <c r="I75" s="1">
        <v>5000</v>
      </c>
      <c r="J75" s="1">
        <v>5000</v>
      </c>
      <c r="K75" s="1">
        <v>5000</v>
      </c>
      <c r="L75" s="1">
        <v>5000</v>
      </c>
      <c r="M75" s="1">
        <v>5000</v>
      </c>
      <c r="N75" s="1">
        <v>60000</v>
      </c>
    </row>
    <row r="76" spans="1:14" x14ac:dyDescent="0.25">
      <c r="A76" s="6" t="s">
        <v>423</v>
      </c>
      <c r="B76" s="1">
        <v>225000</v>
      </c>
      <c r="C76" s="1">
        <v>225000</v>
      </c>
      <c r="D76" s="1">
        <v>225000</v>
      </c>
      <c r="E76" s="1">
        <v>225000</v>
      </c>
      <c r="F76" s="1">
        <v>225000</v>
      </c>
      <c r="G76" s="1">
        <v>225000</v>
      </c>
      <c r="H76" s="1">
        <v>225000</v>
      </c>
      <c r="I76" s="1">
        <v>225000</v>
      </c>
      <c r="J76" s="1">
        <v>225000</v>
      </c>
      <c r="K76" s="1">
        <v>225000</v>
      </c>
      <c r="L76" s="1">
        <v>225000</v>
      </c>
      <c r="M76" s="1">
        <v>225000</v>
      </c>
      <c r="N76" s="1">
        <v>2700000</v>
      </c>
    </row>
    <row r="77" spans="1:14" x14ac:dyDescent="0.25">
      <c r="A77" s="6" t="s">
        <v>424</v>
      </c>
      <c r="B77" s="1">
        <v>0</v>
      </c>
      <c r="C77" s="1">
        <v>0</v>
      </c>
      <c r="D77" s="1">
        <v>0</v>
      </c>
      <c r="E77" s="1">
        <v>0</v>
      </c>
      <c r="F77" s="1">
        <v>0</v>
      </c>
      <c r="G77" s="1">
        <v>0</v>
      </c>
      <c r="H77" s="1">
        <v>0</v>
      </c>
      <c r="I77" s="1">
        <v>0</v>
      </c>
      <c r="J77" s="1">
        <v>0</v>
      </c>
      <c r="K77" s="1">
        <v>0</v>
      </c>
      <c r="L77" s="1">
        <v>0</v>
      </c>
      <c r="M77" s="1">
        <v>0</v>
      </c>
      <c r="N77" s="1">
        <v>0</v>
      </c>
    </row>
    <row r="78" spans="1:14" x14ac:dyDescent="0.25">
      <c r="A78" s="6" t="s">
        <v>1329</v>
      </c>
      <c r="B78" s="1">
        <v>0</v>
      </c>
      <c r="C78" s="1">
        <v>0</v>
      </c>
      <c r="D78" s="1">
        <v>0</v>
      </c>
      <c r="E78" s="1">
        <v>390000</v>
      </c>
      <c r="F78" s="1">
        <v>0</v>
      </c>
      <c r="G78" s="1">
        <v>0</v>
      </c>
      <c r="H78" s="1">
        <v>0</v>
      </c>
      <c r="I78" s="1">
        <v>0</v>
      </c>
      <c r="J78" s="1">
        <v>0</v>
      </c>
      <c r="K78" s="1">
        <v>390000</v>
      </c>
      <c r="L78" s="1">
        <v>0</v>
      </c>
      <c r="M78" s="1">
        <v>0</v>
      </c>
      <c r="N78" s="1">
        <v>780000</v>
      </c>
    </row>
    <row r="79" spans="1:14" x14ac:dyDescent="0.25">
      <c r="A79" s="6" t="s">
        <v>953</v>
      </c>
      <c r="B79" s="1">
        <v>0</v>
      </c>
      <c r="C79" s="1">
        <v>0</v>
      </c>
      <c r="D79" s="1">
        <v>0</v>
      </c>
      <c r="E79" s="1">
        <v>0</v>
      </c>
      <c r="F79" s="1">
        <v>0</v>
      </c>
      <c r="G79" s="1">
        <v>0</v>
      </c>
      <c r="H79" s="1">
        <v>0</v>
      </c>
      <c r="I79" s="1">
        <v>0</v>
      </c>
      <c r="J79" s="1">
        <v>0</v>
      </c>
      <c r="K79" s="1">
        <v>20000</v>
      </c>
      <c r="L79" s="1">
        <v>0</v>
      </c>
      <c r="M79" s="1">
        <v>0</v>
      </c>
      <c r="N79" s="1">
        <v>20000</v>
      </c>
    </row>
    <row r="80" spans="1:14" x14ac:dyDescent="0.25">
      <c r="A80" s="6" t="s">
        <v>425</v>
      </c>
      <c r="B80" s="1">
        <v>68000</v>
      </c>
      <c r="C80" s="1">
        <v>68000</v>
      </c>
      <c r="D80" s="1">
        <v>68000</v>
      </c>
      <c r="E80" s="1">
        <v>68000</v>
      </c>
      <c r="F80" s="1">
        <v>68000</v>
      </c>
      <c r="G80" s="1">
        <v>68000</v>
      </c>
      <c r="H80" s="1">
        <v>68000</v>
      </c>
      <c r="I80" s="1">
        <v>68000</v>
      </c>
      <c r="J80" s="1">
        <v>68000</v>
      </c>
      <c r="K80" s="1">
        <v>68000</v>
      </c>
      <c r="L80" s="1">
        <v>68000</v>
      </c>
      <c r="M80" s="1">
        <v>68000</v>
      </c>
      <c r="N80" s="1">
        <v>816000</v>
      </c>
    </row>
    <row r="81" spans="1:14" x14ac:dyDescent="0.25">
      <c r="A81" s="6" t="s">
        <v>426</v>
      </c>
      <c r="B81" s="1">
        <v>55000</v>
      </c>
      <c r="C81" s="1">
        <v>55000</v>
      </c>
      <c r="D81" s="1">
        <v>55000</v>
      </c>
      <c r="E81" s="1">
        <v>55000</v>
      </c>
      <c r="F81" s="1">
        <v>55000</v>
      </c>
      <c r="G81" s="1">
        <v>55000</v>
      </c>
      <c r="H81" s="1">
        <v>55000</v>
      </c>
      <c r="I81" s="1">
        <v>55000</v>
      </c>
      <c r="J81" s="1">
        <v>55000</v>
      </c>
      <c r="K81" s="1">
        <v>55000</v>
      </c>
      <c r="L81" s="1">
        <v>55000</v>
      </c>
      <c r="M81" s="1">
        <v>55000</v>
      </c>
      <c r="N81" s="1">
        <v>660000</v>
      </c>
    </row>
    <row r="82" spans="1:14" x14ac:dyDescent="0.25">
      <c r="A82" s="6" t="s">
        <v>427</v>
      </c>
      <c r="B82" s="1">
        <v>82000</v>
      </c>
      <c r="C82" s="1">
        <v>82000</v>
      </c>
      <c r="D82" s="1">
        <v>82000</v>
      </c>
      <c r="E82" s="1">
        <v>82000</v>
      </c>
      <c r="F82" s="1">
        <v>82000</v>
      </c>
      <c r="G82" s="1">
        <v>82000</v>
      </c>
      <c r="H82" s="1">
        <v>82000</v>
      </c>
      <c r="I82" s="1">
        <v>82000</v>
      </c>
      <c r="J82" s="1">
        <v>82000</v>
      </c>
      <c r="K82" s="1">
        <v>82000</v>
      </c>
      <c r="L82" s="1">
        <v>82000</v>
      </c>
      <c r="M82" s="1">
        <v>82000</v>
      </c>
      <c r="N82" s="1">
        <v>984000</v>
      </c>
    </row>
    <row r="83" spans="1:14" x14ac:dyDescent="0.25">
      <c r="A83" s="6" t="s">
        <v>428</v>
      </c>
      <c r="B83" s="1">
        <v>16667</v>
      </c>
      <c r="C83" s="1">
        <v>16667</v>
      </c>
      <c r="D83" s="1">
        <v>16667</v>
      </c>
      <c r="E83" s="1">
        <v>16667</v>
      </c>
      <c r="F83" s="1">
        <v>16667</v>
      </c>
      <c r="G83" s="1">
        <v>16667</v>
      </c>
      <c r="H83" s="1">
        <v>16667</v>
      </c>
      <c r="I83" s="1">
        <v>16667</v>
      </c>
      <c r="J83" s="1">
        <v>16667</v>
      </c>
      <c r="K83" s="1">
        <v>16667</v>
      </c>
      <c r="L83" s="1">
        <v>16667</v>
      </c>
      <c r="M83" s="1">
        <v>16667</v>
      </c>
      <c r="N83" s="1">
        <v>200004</v>
      </c>
    </row>
    <row r="84" spans="1:14" x14ac:dyDescent="0.25">
      <c r="A84" s="6" t="s">
        <v>429</v>
      </c>
      <c r="B84" s="1">
        <v>39583</v>
      </c>
      <c r="C84" s="1">
        <v>39583</v>
      </c>
      <c r="D84" s="1">
        <v>39583</v>
      </c>
      <c r="E84" s="1">
        <v>39583</v>
      </c>
      <c r="F84" s="1">
        <v>39583</v>
      </c>
      <c r="G84" s="1">
        <v>39583</v>
      </c>
      <c r="H84" s="1">
        <v>39583</v>
      </c>
      <c r="I84" s="1">
        <v>39583</v>
      </c>
      <c r="J84" s="1">
        <v>39583</v>
      </c>
      <c r="K84" s="1">
        <v>39583</v>
      </c>
      <c r="L84" s="1">
        <v>39583</v>
      </c>
      <c r="M84" s="1">
        <v>39583</v>
      </c>
      <c r="N84" s="1">
        <v>474996</v>
      </c>
    </row>
    <row r="85" spans="1:14" x14ac:dyDescent="0.25">
      <c r="A85" s="6" t="s">
        <v>430</v>
      </c>
      <c r="B85" s="1">
        <v>8333</v>
      </c>
      <c r="C85" s="1">
        <v>8333</v>
      </c>
      <c r="D85" s="1">
        <v>8333</v>
      </c>
      <c r="E85" s="1">
        <v>8333</v>
      </c>
      <c r="F85" s="1">
        <v>8333</v>
      </c>
      <c r="G85" s="1">
        <v>8333</v>
      </c>
      <c r="H85" s="1">
        <v>8333</v>
      </c>
      <c r="I85" s="1">
        <v>133333</v>
      </c>
      <c r="J85" s="1">
        <v>8333</v>
      </c>
      <c r="K85" s="1">
        <v>8333</v>
      </c>
      <c r="L85" s="1">
        <v>8333</v>
      </c>
      <c r="M85" s="1">
        <v>8333</v>
      </c>
      <c r="N85" s="1">
        <v>224996</v>
      </c>
    </row>
    <row r="86" spans="1:14" x14ac:dyDescent="0.25">
      <c r="A86" s="6" t="s">
        <v>431</v>
      </c>
      <c r="B86" s="1">
        <v>4167</v>
      </c>
      <c r="C86" s="1">
        <v>4167</v>
      </c>
      <c r="D86" s="1">
        <v>4167</v>
      </c>
      <c r="E86" s="1">
        <v>4167</v>
      </c>
      <c r="F86" s="1">
        <v>4167</v>
      </c>
      <c r="G86" s="1">
        <v>4167</v>
      </c>
      <c r="H86" s="1">
        <v>4167</v>
      </c>
      <c r="I86" s="1">
        <v>4167</v>
      </c>
      <c r="J86" s="1">
        <v>4167</v>
      </c>
      <c r="K86" s="1">
        <v>4167</v>
      </c>
      <c r="L86" s="1">
        <v>4167</v>
      </c>
      <c r="M86" s="1">
        <v>4167</v>
      </c>
      <c r="N86" s="1">
        <v>50004</v>
      </c>
    </row>
    <row r="87" spans="1:14" x14ac:dyDescent="0.25">
      <c r="A87" s="6" t="s">
        <v>432</v>
      </c>
      <c r="B87" s="1">
        <v>4167</v>
      </c>
      <c r="C87" s="1">
        <v>4167</v>
      </c>
      <c r="D87" s="1">
        <v>4167</v>
      </c>
      <c r="E87" s="1">
        <v>4167</v>
      </c>
      <c r="F87" s="1">
        <v>4167</v>
      </c>
      <c r="G87" s="1">
        <v>4167</v>
      </c>
      <c r="H87" s="1">
        <v>4167</v>
      </c>
      <c r="I87" s="1">
        <v>4167</v>
      </c>
      <c r="J87" s="1">
        <v>4166</v>
      </c>
      <c r="K87" s="1">
        <v>4166</v>
      </c>
      <c r="L87" s="1">
        <v>4166</v>
      </c>
      <c r="M87" s="1">
        <v>4166</v>
      </c>
      <c r="N87" s="1">
        <v>50000</v>
      </c>
    </row>
    <row r="88" spans="1:14" x14ac:dyDescent="0.25">
      <c r="A88" s="6" t="s">
        <v>433</v>
      </c>
      <c r="B88" s="1">
        <v>30000</v>
      </c>
      <c r="C88" s="1">
        <v>30000</v>
      </c>
      <c r="D88" s="1">
        <v>30000</v>
      </c>
      <c r="E88" s="1">
        <v>30000</v>
      </c>
      <c r="F88" s="1">
        <v>30000</v>
      </c>
      <c r="G88" s="1">
        <v>30000</v>
      </c>
      <c r="H88" s="1">
        <v>30000</v>
      </c>
      <c r="I88" s="1">
        <v>30000</v>
      </c>
      <c r="J88" s="1">
        <v>30000</v>
      </c>
      <c r="K88" s="1">
        <v>30000</v>
      </c>
      <c r="L88" s="1">
        <v>30000</v>
      </c>
      <c r="M88" s="1">
        <v>30000</v>
      </c>
      <c r="N88" s="176">
        <v>360000</v>
      </c>
    </row>
    <row r="89" spans="1:14" x14ac:dyDescent="0.25">
      <c r="A89" s="6" t="s">
        <v>434</v>
      </c>
      <c r="B89" s="1">
        <v>97750</v>
      </c>
      <c r="C89" s="1">
        <v>97750</v>
      </c>
      <c r="D89" s="1">
        <v>97750</v>
      </c>
      <c r="E89" s="1">
        <v>97750</v>
      </c>
      <c r="F89" s="1">
        <v>97750</v>
      </c>
      <c r="G89" s="1">
        <v>97750</v>
      </c>
      <c r="H89" s="1">
        <v>97750</v>
      </c>
      <c r="I89" s="1">
        <v>97750</v>
      </c>
      <c r="J89" s="1">
        <v>97750</v>
      </c>
      <c r="K89" s="1">
        <v>97750</v>
      </c>
      <c r="L89" s="1">
        <v>97750</v>
      </c>
      <c r="M89" s="1">
        <v>97750</v>
      </c>
      <c r="N89" s="1">
        <v>1173000</v>
      </c>
    </row>
    <row r="90" spans="1:14" x14ac:dyDescent="0.25">
      <c r="A90" s="6" t="s">
        <v>435</v>
      </c>
      <c r="B90" s="1">
        <v>33333</v>
      </c>
      <c r="C90" s="1">
        <v>33333</v>
      </c>
      <c r="D90" s="1">
        <v>33333</v>
      </c>
      <c r="E90" s="1">
        <v>33333</v>
      </c>
      <c r="F90" s="1">
        <v>33333</v>
      </c>
      <c r="G90" s="1">
        <v>33333</v>
      </c>
      <c r="H90" s="1">
        <v>33333</v>
      </c>
      <c r="I90" s="1">
        <v>33333</v>
      </c>
      <c r="J90" s="1">
        <v>33333</v>
      </c>
      <c r="K90" s="1">
        <v>33333</v>
      </c>
      <c r="L90" s="1">
        <v>33333</v>
      </c>
      <c r="M90" s="1">
        <v>33333</v>
      </c>
      <c r="N90" s="1">
        <v>399996</v>
      </c>
    </row>
    <row r="91" spans="1:14" x14ac:dyDescent="0.25">
      <c r="A91" s="6" t="s">
        <v>436</v>
      </c>
      <c r="B91" s="1">
        <v>20000</v>
      </c>
      <c r="C91" s="1">
        <v>20000</v>
      </c>
      <c r="D91" s="1">
        <v>20000</v>
      </c>
      <c r="E91" s="1">
        <v>20000</v>
      </c>
      <c r="F91" s="1">
        <v>20000</v>
      </c>
      <c r="G91" s="1">
        <v>20000</v>
      </c>
      <c r="H91" s="1">
        <v>20000</v>
      </c>
      <c r="I91" s="1">
        <v>20000</v>
      </c>
      <c r="J91" s="1">
        <v>20000</v>
      </c>
      <c r="K91" s="1">
        <v>20000</v>
      </c>
      <c r="L91" s="1">
        <v>20000</v>
      </c>
      <c r="M91" s="1">
        <v>20000</v>
      </c>
      <c r="N91" s="1">
        <v>240000</v>
      </c>
    </row>
    <row r="92" spans="1:14" x14ac:dyDescent="0.25">
      <c r="A92" s="6" t="s">
        <v>437</v>
      </c>
      <c r="B92" s="1">
        <v>10000</v>
      </c>
      <c r="C92" s="1">
        <v>10000</v>
      </c>
      <c r="D92" s="1">
        <v>10000</v>
      </c>
      <c r="E92" s="1">
        <v>10000</v>
      </c>
      <c r="F92" s="1">
        <v>10000</v>
      </c>
      <c r="G92" s="1">
        <v>10000</v>
      </c>
      <c r="H92" s="1">
        <v>10000</v>
      </c>
      <c r="I92" s="1">
        <v>10000</v>
      </c>
      <c r="J92" s="1">
        <v>10000</v>
      </c>
      <c r="K92" s="1">
        <v>10000</v>
      </c>
      <c r="L92" s="1">
        <v>10000</v>
      </c>
      <c r="M92" s="1">
        <v>10000</v>
      </c>
      <c r="N92" s="1">
        <v>120000</v>
      </c>
    </row>
    <row r="93" spans="1:14" x14ac:dyDescent="0.25">
      <c r="A93" s="6" t="s">
        <v>438</v>
      </c>
      <c r="B93" s="1">
        <v>62667</v>
      </c>
      <c r="C93" s="1">
        <v>62667</v>
      </c>
      <c r="D93" s="1">
        <v>62667</v>
      </c>
      <c r="E93" s="1">
        <v>62667</v>
      </c>
      <c r="F93" s="1">
        <v>62667</v>
      </c>
      <c r="G93" s="1">
        <v>62667</v>
      </c>
      <c r="H93" s="1">
        <v>62667</v>
      </c>
      <c r="I93" s="1">
        <v>62667</v>
      </c>
      <c r="J93" s="1">
        <v>62666</v>
      </c>
      <c r="K93" s="1">
        <v>62666</v>
      </c>
      <c r="L93" s="1">
        <v>62666</v>
      </c>
      <c r="M93" s="1">
        <v>62666</v>
      </c>
      <c r="N93" s="1">
        <v>752000</v>
      </c>
    </row>
    <row r="94" spans="1:14" x14ac:dyDescent="0.25">
      <c r="A94" s="6" t="s">
        <v>439</v>
      </c>
      <c r="B94" s="1">
        <v>200000</v>
      </c>
      <c r="C94" s="1">
        <v>200000</v>
      </c>
      <c r="D94" s="1">
        <v>200000</v>
      </c>
      <c r="E94" s="1">
        <v>200000</v>
      </c>
      <c r="F94" s="1">
        <v>200000</v>
      </c>
      <c r="G94" s="1">
        <v>0</v>
      </c>
      <c r="H94" s="1">
        <v>0</v>
      </c>
      <c r="I94" s="1">
        <v>0</v>
      </c>
      <c r="J94" s="1">
        <v>0</v>
      </c>
      <c r="K94" s="1">
        <v>0</v>
      </c>
      <c r="L94" s="1">
        <v>0</v>
      </c>
      <c r="M94" s="1">
        <v>0</v>
      </c>
      <c r="N94" s="1">
        <v>1000000</v>
      </c>
    </row>
    <row r="95" spans="1:14" x14ac:dyDescent="0.25">
      <c r="A95" s="6" t="s">
        <v>440</v>
      </c>
      <c r="B95" s="1">
        <v>600000</v>
      </c>
      <c r="C95" s="1">
        <v>600000</v>
      </c>
      <c r="D95" s="1">
        <v>600000</v>
      </c>
      <c r="E95" s="1">
        <v>600000</v>
      </c>
      <c r="F95" s="1">
        <v>600000</v>
      </c>
      <c r="G95" s="1">
        <v>600000</v>
      </c>
      <c r="H95" s="1">
        <v>600000</v>
      </c>
      <c r="I95" s="1">
        <v>600000</v>
      </c>
      <c r="J95" s="1">
        <v>600000</v>
      </c>
      <c r="K95" s="1">
        <v>600000</v>
      </c>
      <c r="L95" s="1">
        <v>600000</v>
      </c>
      <c r="M95" s="1">
        <v>600000</v>
      </c>
      <c r="N95" s="1">
        <v>7200000</v>
      </c>
    </row>
    <row r="96" spans="1:14" x14ac:dyDescent="0.25">
      <c r="A96" s="6" t="s">
        <v>441</v>
      </c>
      <c r="B96" s="1">
        <v>69400</v>
      </c>
      <c r="C96" s="1">
        <v>69400</v>
      </c>
      <c r="D96" s="1">
        <v>69400</v>
      </c>
      <c r="E96" s="1">
        <v>69400</v>
      </c>
      <c r="F96" s="1">
        <v>69400</v>
      </c>
      <c r="G96" s="1">
        <v>69400</v>
      </c>
      <c r="H96" s="1">
        <v>0</v>
      </c>
      <c r="I96" s="1">
        <v>0</v>
      </c>
      <c r="J96" s="1">
        <v>0</v>
      </c>
      <c r="K96" s="1">
        <v>0</v>
      </c>
      <c r="L96" s="1">
        <v>0</v>
      </c>
      <c r="M96" s="1">
        <v>0</v>
      </c>
      <c r="N96" s="1">
        <v>416400</v>
      </c>
    </row>
    <row r="97" spans="1:14" x14ac:dyDescent="0.25">
      <c r="A97" s="6" t="s">
        <v>442</v>
      </c>
      <c r="B97" s="1">
        <v>35750</v>
      </c>
      <c r="C97" s="1">
        <v>35750</v>
      </c>
      <c r="D97" s="1">
        <v>35750</v>
      </c>
      <c r="E97" s="1">
        <v>35750</v>
      </c>
      <c r="F97" s="1">
        <v>35750</v>
      </c>
      <c r="G97" s="1">
        <v>35750</v>
      </c>
      <c r="H97" s="1">
        <v>35750</v>
      </c>
      <c r="I97" s="1">
        <v>35750</v>
      </c>
      <c r="J97" s="1">
        <v>35750</v>
      </c>
      <c r="K97" s="1">
        <v>35750</v>
      </c>
      <c r="L97" s="1">
        <v>35750</v>
      </c>
      <c r="M97" s="1">
        <v>35750</v>
      </c>
      <c r="N97" s="176">
        <v>429000</v>
      </c>
    </row>
    <row r="98" spans="1:14" x14ac:dyDescent="0.25">
      <c r="A98" s="6" t="s">
        <v>443</v>
      </c>
      <c r="B98" s="1"/>
      <c r="C98" s="1"/>
      <c r="D98" s="1"/>
      <c r="E98" s="1">
        <v>100000</v>
      </c>
      <c r="F98" s="1"/>
      <c r="G98" s="1"/>
      <c r="H98" s="1"/>
      <c r="I98" s="1"/>
      <c r="J98" s="1"/>
      <c r="K98" s="1"/>
      <c r="L98" s="1"/>
      <c r="M98" s="1"/>
      <c r="N98" s="176">
        <v>100000</v>
      </c>
    </row>
    <row r="99" spans="1:14" x14ac:dyDescent="0.25">
      <c r="A99" s="6" t="s">
        <v>444</v>
      </c>
      <c r="B99" s="1">
        <v>10000</v>
      </c>
      <c r="C99" s="1">
        <v>10000</v>
      </c>
      <c r="D99" s="1">
        <v>10000</v>
      </c>
      <c r="E99" s="1">
        <v>10000</v>
      </c>
      <c r="F99" s="1">
        <v>10000</v>
      </c>
      <c r="G99" s="1">
        <v>10000</v>
      </c>
      <c r="H99" s="1">
        <v>10000</v>
      </c>
      <c r="I99" s="1">
        <v>10000</v>
      </c>
      <c r="J99" s="1">
        <v>10000</v>
      </c>
      <c r="K99" s="1">
        <v>10000</v>
      </c>
      <c r="L99" s="1">
        <v>10000</v>
      </c>
      <c r="M99" s="1">
        <v>10000</v>
      </c>
      <c r="N99" s="1">
        <v>120000</v>
      </c>
    </row>
    <row r="100" spans="1:14" x14ac:dyDescent="0.25">
      <c r="A100" s="6" t="s">
        <v>445</v>
      </c>
      <c r="B100" s="1">
        <v>12688</v>
      </c>
      <c r="C100" s="1">
        <v>12688</v>
      </c>
      <c r="D100" s="1">
        <v>12688</v>
      </c>
      <c r="E100" s="1">
        <v>12688</v>
      </c>
      <c r="F100" s="1">
        <v>12688</v>
      </c>
      <c r="G100" s="1">
        <v>12688</v>
      </c>
      <c r="H100" s="1">
        <v>12687</v>
      </c>
      <c r="I100" s="1">
        <v>12687</v>
      </c>
      <c r="J100" s="1">
        <v>12687</v>
      </c>
      <c r="K100" s="1">
        <v>12687</v>
      </c>
      <c r="L100" s="1">
        <v>12687</v>
      </c>
      <c r="M100" s="1">
        <v>12687</v>
      </c>
      <c r="N100" s="1">
        <v>152250</v>
      </c>
    </row>
    <row r="101" spans="1:14" x14ac:dyDescent="0.25">
      <c r="A101" s="6" t="s">
        <v>446</v>
      </c>
      <c r="B101" s="1">
        <v>17708</v>
      </c>
      <c r="C101" s="1">
        <v>17708</v>
      </c>
      <c r="D101" s="1">
        <v>17708</v>
      </c>
      <c r="E101" s="1">
        <v>17708</v>
      </c>
      <c r="F101" s="1">
        <v>17708</v>
      </c>
      <c r="G101" s="1">
        <v>17708</v>
      </c>
      <c r="H101" s="1">
        <v>17708</v>
      </c>
      <c r="I101" s="1">
        <v>17708</v>
      </c>
      <c r="J101" s="1">
        <v>17708</v>
      </c>
      <c r="K101" s="1">
        <v>17708</v>
      </c>
      <c r="L101" s="1">
        <v>17708</v>
      </c>
      <c r="M101" s="1">
        <v>17708</v>
      </c>
      <c r="N101" s="1">
        <v>212496</v>
      </c>
    </row>
    <row r="102" spans="1:14" x14ac:dyDescent="0.25">
      <c r="A102" s="6" t="s">
        <v>447</v>
      </c>
      <c r="B102" s="1">
        <v>10750</v>
      </c>
      <c r="C102" s="1">
        <v>10750</v>
      </c>
      <c r="D102" s="1">
        <v>10750</v>
      </c>
      <c r="E102" s="1">
        <v>10750</v>
      </c>
      <c r="F102" s="1">
        <v>10750</v>
      </c>
      <c r="G102" s="1">
        <v>10750</v>
      </c>
      <c r="H102" s="1">
        <v>10750</v>
      </c>
      <c r="I102" s="1">
        <v>10750</v>
      </c>
      <c r="J102" s="1">
        <v>10750</v>
      </c>
      <c r="K102" s="1">
        <v>10750</v>
      </c>
      <c r="L102" s="1">
        <v>10750</v>
      </c>
      <c r="M102" s="1">
        <v>10750</v>
      </c>
      <c r="N102" s="1">
        <v>129000</v>
      </c>
    </row>
    <row r="103" spans="1:14" x14ac:dyDescent="0.25">
      <c r="A103" s="6" t="s">
        <v>471</v>
      </c>
      <c r="B103" s="1">
        <v>5000</v>
      </c>
      <c r="C103" s="1">
        <v>5000</v>
      </c>
      <c r="D103" s="1">
        <v>5000</v>
      </c>
      <c r="E103" s="1">
        <v>5000</v>
      </c>
      <c r="F103" s="1">
        <v>5000</v>
      </c>
      <c r="G103" s="1">
        <v>5000</v>
      </c>
      <c r="H103" s="1">
        <v>5000</v>
      </c>
      <c r="I103" s="1">
        <v>5000</v>
      </c>
      <c r="J103" s="1">
        <v>5000</v>
      </c>
      <c r="K103" s="1">
        <v>5000</v>
      </c>
      <c r="L103" s="1">
        <v>5000</v>
      </c>
      <c r="M103" s="1">
        <v>5000</v>
      </c>
      <c r="N103" s="1">
        <v>60000</v>
      </c>
    </row>
    <row r="104" spans="1:14" x14ac:dyDescent="0.25">
      <c r="A104" s="6" t="s">
        <v>448</v>
      </c>
      <c r="B104" s="1">
        <v>4000</v>
      </c>
      <c r="C104" s="1">
        <v>4000</v>
      </c>
      <c r="D104" s="1">
        <v>4000</v>
      </c>
      <c r="E104" s="1">
        <v>4000</v>
      </c>
      <c r="F104" s="1">
        <v>4000</v>
      </c>
      <c r="G104" s="1">
        <v>4000</v>
      </c>
      <c r="H104" s="1">
        <v>4000</v>
      </c>
      <c r="I104" s="1">
        <v>4000</v>
      </c>
      <c r="J104" s="1">
        <v>4000</v>
      </c>
      <c r="K104" s="1">
        <v>4000</v>
      </c>
      <c r="L104" s="1">
        <v>4000</v>
      </c>
      <c r="M104" s="1">
        <v>4000</v>
      </c>
      <c r="N104" s="1">
        <v>48000</v>
      </c>
    </row>
    <row r="105" spans="1:14" x14ac:dyDescent="0.25">
      <c r="A105" s="6" t="s">
        <v>449</v>
      </c>
      <c r="B105" s="1"/>
      <c r="C105" s="1"/>
      <c r="D105" s="1">
        <v>150000</v>
      </c>
      <c r="E105" s="1"/>
      <c r="F105" s="1"/>
      <c r="G105" s="1"/>
      <c r="H105" s="1">
        <v>150000</v>
      </c>
      <c r="I105" s="1"/>
      <c r="J105" s="1"/>
      <c r="K105" s="1"/>
      <c r="L105" s="1"/>
      <c r="M105" s="1"/>
      <c r="N105" s="1">
        <v>300000</v>
      </c>
    </row>
    <row r="106" spans="1:14" x14ac:dyDescent="0.25">
      <c r="A106" s="6" t="s">
        <v>959</v>
      </c>
      <c r="B106" s="1">
        <v>300</v>
      </c>
      <c r="C106" s="1">
        <v>300</v>
      </c>
      <c r="D106" s="1">
        <v>300</v>
      </c>
      <c r="E106" s="1">
        <v>300</v>
      </c>
      <c r="F106" s="1">
        <v>300</v>
      </c>
      <c r="G106" s="1">
        <v>300</v>
      </c>
      <c r="H106" s="1">
        <v>300</v>
      </c>
      <c r="I106" s="1">
        <v>300</v>
      </c>
      <c r="J106" s="1">
        <v>300</v>
      </c>
      <c r="K106" s="1">
        <v>300</v>
      </c>
      <c r="L106" s="1">
        <v>300</v>
      </c>
      <c r="M106" s="1">
        <v>300</v>
      </c>
      <c r="N106" s="1">
        <v>3600</v>
      </c>
    </row>
    <row r="107" spans="1:14" x14ac:dyDescent="0.25">
      <c r="A107" s="6" t="s">
        <v>960</v>
      </c>
      <c r="B107" s="1">
        <v>300</v>
      </c>
      <c r="C107" s="1">
        <v>300</v>
      </c>
      <c r="D107" s="1">
        <v>300</v>
      </c>
      <c r="E107" s="1">
        <v>300</v>
      </c>
      <c r="F107" s="1">
        <v>300</v>
      </c>
      <c r="G107" s="1">
        <v>300</v>
      </c>
      <c r="H107" s="1">
        <v>300</v>
      </c>
      <c r="I107" s="1">
        <v>300</v>
      </c>
      <c r="J107" s="1">
        <v>300</v>
      </c>
      <c r="K107" s="1">
        <v>300</v>
      </c>
      <c r="L107" s="1">
        <v>300</v>
      </c>
      <c r="M107" s="1">
        <v>300</v>
      </c>
      <c r="N107" s="1">
        <v>3600</v>
      </c>
    </row>
    <row r="108" spans="1:14" x14ac:dyDescent="0.25">
      <c r="A108" s="6" t="s">
        <v>473</v>
      </c>
      <c r="B108" s="1">
        <v>6000</v>
      </c>
      <c r="C108" s="1">
        <v>6000</v>
      </c>
      <c r="D108" s="1">
        <v>6000</v>
      </c>
      <c r="E108" s="1">
        <v>6000</v>
      </c>
      <c r="F108" s="1">
        <v>6000</v>
      </c>
      <c r="G108" s="1">
        <v>6000</v>
      </c>
      <c r="H108" s="1">
        <v>6000</v>
      </c>
      <c r="I108" s="1">
        <v>6000</v>
      </c>
      <c r="J108" s="1">
        <v>6000</v>
      </c>
      <c r="K108" s="1">
        <v>6000</v>
      </c>
      <c r="L108" s="1">
        <v>6000</v>
      </c>
      <c r="M108" s="1">
        <v>6000</v>
      </c>
      <c r="N108" s="1">
        <v>72000</v>
      </c>
    </row>
    <row r="109" spans="1:14" x14ac:dyDescent="0.25">
      <c r="A109" s="6" t="s">
        <v>823</v>
      </c>
      <c r="B109" s="1">
        <v>0</v>
      </c>
      <c r="C109" s="1">
        <v>0</v>
      </c>
      <c r="D109" s="1">
        <v>0</v>
      </c>
      <c r="E109" s="1">
        <v>0</v>
      </c>
      <c r="F109" s="1">
        <v>0</v>
      </c>
      <c r="G109" s="1">
        <v>0</v>
      </c>
      <c r="H109" s="1">
        <v>0</v>
      </c>
      <c r="I109" s="1">
        <v>0</v>
      </c>
      <c r="J109" s="1">
        <v>0</v>
      </c>
      <c r="K109" s="1">
        <v>0</v>
      </c>
      <c r="L109" s="1">
        <v>0</v>
      </c>
      <c r="M109" s="1">
        <v>0</v>
      </c>
      <c r="N109" s="1">
        <v>0</v>
      </c>
    </row>
    <row r="110" spans="1:14" x14ac:dyDescent="0.25">
      <c r="A110" s="6" t="s">
        <v>963</v>
      </c>
      <c r="B110" s="1">
        <v>0</v>
      </c>
      <c r="C110" s="1">
        <v>0</v>
      </c>
      <c r="D110" s="1">
        <v>0</v>
      </c>
      <c r="E110" s="1">
        <v>0</v>
      </c>
      <c r="F110" s="1">
        <v>0</v>
      </c>
      <c r="G110" s="1">
        <v>0</v>
      </c>
      <c r="H110" s="1">
        <v>0</v>
      </c>
      <c r="I110" s="1">
        <v>0</v>
      </c>
      <c r="J110" s="1">
        <v>0</v>
      </c>
      <c r="K110" s="1">
        <v>0</v>
      </c>
      <c r="L110" s="1">
        <v>0</v>
      </c>
      <c r="M110" s="1">
        <v>0</v>
      </c>
      <c r="N110" s="1">
        <v>0</v>
      </c>
    </row>
    <row r="111" spans="1:14" x14ac:dyDescent="0.25">
      <c r="A111" s="6" t="s">
        <v>474</v>
      </c>
      <c r="B111" s="1">
        <v>300</v>
      </c>
      <c r="C111" s="1">
        <v>300</v>
      </c>
      <c r="D111" s="1">
        <v>300</v>
      </c>
      <c r="E111" s="1">
        <v>300</v>
      </c>
      <c r="F111" s="1">
        <v>300</v>
      </c>
      <c r="G111" s="1">
        <v>300</v>
      </c>
      <c r="H111" s="1">
        <v>300</v>
      </c>
      <c r="I111" s="1">
        <v>300</v>
      </c>
      <c r="J111" s="1">
        <v>300</v>
      </c>
      <c r="K111" s="1">
        <v>300</v>
      </c>
      <c r="L111" s="1">
        <v>300</v>
      </c>
      <c r="M111" s="1">
        <v>300</v>
      </c>
      <c r="N111" s="1">
        <v>3600</v>
      </c>
    </row>
    <row r="112" spans="1:14" x14ac:dyDescent="0.25">
      <c r="A112" s="6" t="s">
        <v>781</v>
      </c>
      <c r="B112" s="1">
        <v>54200</v>
      </c>
      <c r="C112" s="1">
        <v>72490</v>
      </c>
      <c r="D112" s="1">
        <v>110714</v>
      </c>
      <c r="E112" s="1">
        <v>106832</v>
      </c>
      <c r="F112" s="1">
        <v>91379</v>
      </c>
      <c r="G112" s="1">
        <v>70881</v>
      </c>
      <c r="H112" s="1">
        <v>77202</v>
      </c>
      <c r="I112" s="1">
        <v>71965</v>
      </c>
      <c r="J112" s="1">
        <v>110042</v>
      </c>
      <c r="K112" s="1">
        <v>93991</v>
      </c>
      <c r="L112" s="1">
        <v>115566</v>
      </c>
      <c r="M112" s="1">
        <v>127877</v>
      </c>
      <c r="N112" s="1">
        <v>1103139</v>
      </c>
    </row>
    <row r="113" spans="1:14" x14ac:dyDescent="0.25">
      <c r="A113" s="6" t="s">
        <v>782</v>
      </c>
      <c r="B113" s="1">
        <v>10225</v>
      </c>
      <c r="C113" s="1">
        <v>14511</v>
      </c>
      <c r="D113" s="1">
        <v>18620</v>
      </c>
      <c r="E113" s="1">
        <v>23754</v>
      </c>
      <c r="F113" s="1">
        <v>16232</v>
      </c>
      <c r="G113" s="1">
        <v>13470</v>
      </c>
      <c r="H113" s="1">
        <v>18723</v>
      </c>
      <c r="I113" s="1">
        <v>18657</v>
      </c>
      <c r="J113" s="1">
        <v>12799</v>
      </c>
      <c r="K113" s="1">
        <v>18759</v>
      </c>
      <c r="L113" s="1">
        <v>13470</v>
      </c>
      <c r="M113" s="1">
        <v>16972</v>
      </c>
      <c r="N113" s="1">
        <v>196192</v>
      </c>
    </row>
    <row r="114" spans="1:14" x14ac:dyDescent="0.25">
      <c r="A114" s="6" t="s">
        <v>783</v>
      </c>
      <c r="B114" s="1">
        <v>34906</v>
      </c>
      <c r="C114" s="1">
        <v>66693</v>
      </c>
      <c r="D114" s="1">
        <v>59174</v>
      </c>
      <c r="E114" s="1">
        <v>54610</v>
      </c>
      <c r="F114" s="1">
        <v>49285</v>
      </c>
      <c r="G114" s="1">
        <v>45112</v>
      </c>
      <c r="H114" s="1">
        <v>45435</v>
      </c>
      <c r="I114" s="1">
        <v>59478</v>
      </c>
      <c r="J114" s="1">
        <v>65793</v>
      </c>
      <c r="K114" s="1">
        <v>65532</v>
      </c>
      <c r="L114" s="1">
        <v>52955</v>
      </c>
      <c r="M114" s="1">
        <v>58909</v>
      </c>
      <c r="N114" s="1">
        <v>657882</v>
      </c>
    </row>
    <row r="115" spans="1:14" x14ac:dyDescent="0.25">
      <c r="A115" s="6" t="s">
        <v>784</v>
      </c>
      <c r="B115" s="1">
        <v>11449</v>
      </c>
      <c r="C115" s="1">
        <v>9718</v>
      </c>
      <c r="D115" s="1">
        <v>9452</v>
      </c>
      <c r="E115" s="1">
        <v>8818</v>
      </c>
      <c r="F115" s="1">
        <v>8387</v>
      </c>
      <c r="G115" s="1">
        <v>9585</v>
      </c>
      <c r="H115" s="1">
        <v>10304</v>
      </c>
      <c r="I115" s="1">
        <v>7082</v>
      </c>
      <c r="J115" s="1">
        <v>7162</v>
      </c>
      <c r="K115" s="1">
        <v>7295</v>
      </c>
      <c r="L115" s="1">
        <v>11316</v>
      </c>
      <c r="M115" s="1">
        <v>11981</v>
      </c>
      <c r="N115" s="1">
        <v>112549</v>
      </c>
    </row>
    <row r="116" spans="1:14" x14ac:dyDescent="0.25">
      <c r="A116" s="6" t="s">
        <v>785</v>
      </c>
      <c r="B116" s="1">
        <v>639</v>
      </c>
      <c r="C116" s="1">
        <v>532</v>
      </c>
      <c r="D116" s="1">
        <v>0</v>
      </c>
      <c r="E116" s="1">
        <v>160</v>
      </c>
      <c r="F116" s="1">
        <v>1278</v>
      </c>
      <c r="G116" s="1">
        <v>1278</v>
      </c>
      <c r="H116" s="1">
        <v>0</v>
      </c>
      <c r="I116" s="1">
        <v>1757</v>
      </c>
      <c r="J116" s="1">
        <v>0</v>
      </c>
      <c r="K116" s="1">
        <v>0</v>
      </c>
      <c r="L116" s="1">
        <v>1757</v>
      </c>
      <c r="M116" s="1">
        <v>160</v>
      </c>
      <c r="N116" s="1">
        <v>7561</v>
      </c>
    </row>
    <row r="117" spans="1:14" x14ac:dyDescent="0.25">
      <c r="A117" s="6" t="s">
        <v>786</v>
      </c>
      <c r="B117" s="1">
        <v>330490</v>
      </c>
      <c r="C117" s="1">
        <v>536097</v>
      </c>
      <c r="D117" s="1">
        <v>705233</v>
      </c>
      <c r="E117" s="1">
        <v>800421</v>
      </c>
      <c r="F117" s="1">
        <v>751859</v>
      </c>
      <c r="G117" s="1">
        <v>696200</v>
      </c>
      <c r="H117" s="1">
        <v>650737</v>
      </c>
      <c r="I117" s="1">
        <v>580130</v>
      </c>
      <c r="J117" s="1">
        <v>617651</v>
      </c>
      <c r="K117" s="1">
        <v>666671</v>
      </c>
      <c r="L117" s="1">
        <v>510579</v>
      </c>
      <c r="M117" s="1">
        <v>478097</v>
      </c>
      <c r="N117" s="1">
        <v>7324165</v>
      </c>
    </row>
    <row r="118" spans="1:14" x14ac:dyDescent="0.25">
      <c r="A118" s="6" t="s">
        <v>787</v>
      </c>
      <c r="B118" s="1">
        <v>2772702</v>
      </c>
      <c r="C118" s="1">
        <v>72559369</v>
      </c>
      <c r="D118" s="1">
        <v>79247673</v>
      </c>
      <c r="E118" s="1">
        <v>612583</v>
      </c>
      <c r="F118" s="1">
        <v>479499</v>
      </c>
      <c r="G118" s="1">
        <v>594126</v>
      </c>
      <c r="H118" s="1">
        <v>1320207</v>
      </c>
      <c r="I118" s="1">
        <v>607308</v>
      </c>
      <c r="J118" s="1">
        <v>430349</v>
      </c>
      <c r="K118" s="1">
        <v>574491</v>
      </c>
      <c r="L118" s="1">
        <v>190030</v>
      </c>
      <c r="M118" s="1">
        <v>3364004</v>
      </c>
      <c r="N118" s="1">
        <v>162752341</v>
      </c>
    </row>
    <row r="119" spans="1:14" x14ac:dyDescent="0.25">
      <c r="A119" s="6" t="s">
        <v>788</v>
      </c>
      <c r="B119" s="1">
        <v>469650</v>
      </c>
      <c r="C119" s="1">
        <v>536583</v>
      </c>
      <c r="D119" s="1">
        <v>5066881</v>
      </c>
      <c r="E119" s="1">
        <v>2102817</v>
      </c>
      <c r="F119" s="1">
        <v>962544</v>
      </c>
      <c r="G119" s="1">
        <v>756609</v>
      </c>
      <c r="H119" s="1">
        <v>1071207</v>
      </c>
      <c r="I119" s="1">
        <v>1112050</v>
      </c>
      <c r="J119" s="1">
        <v>1377682</v>
      </c>
      <c r="K119" s="1">
        <v>1173978</v>
      </c>
      <c r="L119" s="1">
        <v>675232</v>
      </c>
      <c r="M119" s="1">
        <v>571063</v>
      </c>
      <c r="N119" s="1">
        <v>15876296</v>
      </c>
    </row>
    <row r="120" spans="1:14" x14ac:dyDescent="0.25">
      <c r="A120" s="6" t="s">
        <v>789</v>
      </c>
      <c r="B120" s="1">
        <v>2151</v>
      </c>
      <c r="C120" s="1">
        <v>2151</v>
      </c>
      <c r="D120" s="1">
        <v>17349</v>
      </c>
      <c r="E120" s="1">
        <v>1613</v>
      </c>
      <c r="F120" s="1">
        <v>5964</v>
      </c>
      <c r="G120" s="1">
        <v>2151</v>
      </c>
      <c r="H120" s="1">
        <v>0</v>
      </c>
      <c r="I120" s="1">
        <v>1613</v>
      </c>
      <c r="J120" s="1">
        <v>0</v>
      </c>
      <c r="K120" s="1">
        <v>4840</v>
      </c>
      <c r="L120" s="1">
        <v>1225</v>
      </c>
      <c r="M120" s="1">
        <v>1076</v>
      </c>
      <c r="N120" s="1">
        <v>40133</v>
      </c>
    </row>
    <row r="121" spans="1:14" x14ac:dyDescent="0.25">
      <c r="A121" s="6" t="s">
        <v>790</v>
      </c>
      <c r="B121" s="1">
        <v>200345</v>
      </c>
      <c r="C121" s="1">
        <v>288511</v>
      </c>
      <c r="D121" s="1">
        <v>1186744</v>
      </c>
      <c r="E121" s="1">
        <v>1038311</v>
      </c>
      <c r="F121" s="1">
        <v>1085736</v>
      </c>
      <c r="G121" s="1">
        <v>1051919</v>
      </c>
      <c r="H121" s="1">
        <v>1038936</v>
      </c>
      <c r="I121" s="1">
        <v>1123055</v>
      </c>
      <c r="J121" s="1">
        <v>1347510</v>
      </c>
      <c r="K121" s="1">
        <v>1048908</v>
      </c>
      <c r="L121" s="1">
        <v>1018086</v>
      </c>
      <c r="M121" s="1">
        <v>1172038</v>
      </c>
      <c r="N121" s="1">
        <v>11600099</v>
      </c>
    </row>
    <row r="122" spans="1:14" x14ac:dyDescent="0.25">
      <c r="A122" s="6" t="s">
        <v>791</v>
      </c>
      <c r="B122" s="1">
        <v>3606658</v>
      </c>
      <c r="C122" s="1">
        <v>4500550</v>
      </c>
      <c r="D122" s="1">
        <v>4398329</v>
      </c>
      <c r="E122" s="1">
        <v>3897282</v>
      </c>
      <c r="F122" s="1">
        <v>4262077</v>
      </c>
      <c r="G122" s="1">
        <v>5169970</v>
      </c>
      <c r="H122" s="1">
        <v>2639201</v>
      </c>
      <c r="I122" s="1">
        <v>1111423</v>
      </c>
      <c r="J122" s="1">
        <v>1687364</v>
      </c>
      <c r="K122" s="1">
        <v>1296078</v>
      </c>
      <c r="L122" s="1">
        <v>4225662</v>
      </c>
      <c r="M122" s="1">
        <v>4815194</v>
      </c>
      <c r="N122" s="1">
        <v>41609788</v>
      </c>
    </row>
    <row r="123" spans="1:14" x14ac:dyDescent="0.25">
      <c r="A123" s="6" t="s">
        <v>792</v>
      </c>
      <c r="B123" s="1">
        <v>345365</v>
      </c>
      <c r="C123" s="1">
        <v>493246</v>
      </c>
      <c r="D123" s="1">
        <v>547404</v>
      </c>
      <c r="E123" s="1">
        <v>376284</v>
      </c>
      <c r="F123" s="1">
        <v>303310</v>
      </c>
      <c r="G123" s="1">
        <v>366157</v>
      </c>
      <c r="H123" s="1">
        <v>222957</v>
      </c>
      <c r="I123" s="1">
        <v>240301</v>
      </c>
      <c r="J123" s="1">
        <v>248617</v>
      </c>
      <c r="K123" s="1">
        <v>325057</v>
      </c>
      <c r="L123" s="1">
        <v>389062</v>
      </c>
      <c r="M123" s="1">
        <v>485143</v>
      </c>
      <c r="N123" s="1">
        <v>4342903</v>
      </c>
    </row>
    <row r="124" spans="1:14" x14ac:dyDescent="0.25">
      <c r="A124" s="6" t="s">
        <v>793</v>
      </c>
      <c r="B124" s="1">
        <v>1051368</v>
      </c>
      <c r="C124" s="1">
        <v>1402964</v>
      </c>
      <c r="D124" s="1">
        <v>1373199</v>
      </c>
      <c r="E124" s="1">
        <v>1087173</v>
      </c>
      <c r="F124" s="1">
        <v>4012467</v>
      </c>
      <c r="G124" s="1">
        <v>1443903</v>
      </c>
      <c r="H124" s="1">
        <v>1116471</v>
      </c>
      <c r="I124" s="1">
        <v>1073351</v>
      </c>
      <c r="J124" s="1">
        <v>1177053</v>
      </c>
      <c r="K124" s="1">
        <v>1098974</v>
      </c>
      <c r="L124" s="1">
        <v>1080265</v>
      </c>
      <c r="M124" s="1">
        <v>1557562</v>
      </c>
      <c r="N124" s="1">
        <v>17474750</v>
      </c>
    </row>
    <row r="125" spans="1:14" x14ac:dyDescent="0.25">
      <c r="A125" s="6" t="s">
        <v>794</v>
      </c>
      <c r="B125" s="1">
        <v>2027271</v>
      </c>
      <c r="C125" s="1">
        <v>2891384</v>
      </c>
      <c r="D125" s="1">
        <v>3630831</v>
      </c>
      <c r="E125" s="1">
        <v>2374098</v>
      </c>
      <c r="F125" s="1">
        <v>2960569</v>
      </c>
      <c r="G125" s="1">
        <v>3236581</v>
      </c>
      <c r="H125" s="1">
        <v>2631265</v>
      </c>
      <c r="I125" s="1">
        <v>2408759</v>
      </c>
      <c r="J125" s="1">
        <v>3253028</v>
      </c>
      <c r="K125" s="1">
        <v>2903462</v>
      </c>
      <c r="L125" s="1">
        <v>2617608</v>
      </c>
      <c r="M125" s="1">
        <v>3023479</v>
      </c>
      <c r="N125" s="1">
        <v>33958335</v>
      </c>
    </row>
    <row r="126" spans="1:14" x14ac:dyDescent="0.25">
      <c r="A126" s="6" t="s">
        <v>795</v>
      </c>
      <c r="B126" s="1">
        <v>845230</v>
      </c>
      <c r="C126" s="1">
        <v>1242997</v>
      </c>
      <c r="D126" s="1">
        <v>1648714</v>
      </c>
      <c r="E126" s="1">
        <v>1208715</v>
      </c>
      <c r="F126" s="1">
        <v>1318335</v>
      </c>
      <c r="G126" s="1">
        <v>1303550</v>
      </c>
      <c r="H126" s="1">
        <v>2287465</v>
      </c>
      <c r="I126" s="1">
        <v>3053623</v>
      </c>
      <c r="J126" s="1">
        <v>4393684</v>
      </c>
      <c r="K126" s="1">
        <v>4929778</v>
      </c>
      <c r="L126" s="1">
        <v>1164950</v>
      </c>
      <c r="M126" s="1">
        <v>1443677</v>
      </c>
      <c r="N126" s="1">
        <v>24840718</v>
      </c>
    </row>
    <row r="127" spans="1:14" x14ac:dyDescent="0.25">
      <c r="A127" s="6" t="s">
        <v>796</v>
      </c>
      <c r="B127" s="1">
        <v>0</v>
      </c>
      <c r="C127" s="1">
        <v>6932</v>
      </c>
      <c r="D127" s="1">
        <v>9598</v>
      </c>
      <c r="E127" s="1">
        <v>2133</v>
      </c>
      <c r="F127" s="1">
        <v>10979</v>
      </c>
      <c r="G127" s="1">
        <v>24850</v>
      </c>
      <c r="H127" s="1">
        <v>12783</v>
      </c>
      <c r="I127" s="1">
        <v>17040</v>
      </c>
      <c r="J127" s="1">
        <v>17046</v>
      </c>
      <c r="K127" s="1">
        <v>17572</v>
      </c>
      <c r="L127" s="1">
        <v>0</v>
      </c>
      <c r="M127" s="1">
        <v>3198</v>
      </c>
      <c r="N127" s="1">
        <v>122131</v>
      </c>
    </row>
    <row r="128" spans="1:14" x14ac:dyDescent="0.25">
      <c r="A128" s="6" t="s">
        <v>797</v>
      </c>
      <c r="B128" s="1">
        <v>90850</v>
      </c>
      <c r="C128" s="1">
        <v>61855</v>
      </c>
      <c r="D128" s="1">
        <v>85695</v>
      </c>
      <c r="E128" s="1">
        <v>70231</v>
      </c>
      <c r="F128" s="1">
        <v>85695</v>
      </c>
      <c r="G128" s="1">
        <v>64432</v>
      </c>
      <c r="H128" s="1">
        <v>43511</v>
      </c>
      <c r="I128" s="1">
        <v>25810</v>
      </c>
      <c r="J128" s="1">
        <v>35784</v>
      </c>
      <c r="K128" s="1">
        <v>35507</v>
      </c>
      <c r="L128" s="1">
        <v>61211</v>
      </c>
      <c r="M128" s="1">
        <v>80541</v>
      </c>
      <c r="N128" s="1">
        <v>741122</v>
      </c>
    </row>
    <row r="129" spans="1:14" x14ac:dyDescent="0.25">
      <c r="A129" s="6" t="s">
        <v>798</v>
      </c>
      <c r="B129" s="1">
        <v>27704</v>
      </c>
      <c r="C129" s="1">
        <v>62233</v>
      </c>
      <c r="D129" s="1">
        <v>75884</v>
      </c>
      <c r="E129" s="1">
        <v>56612</v>
      </c>
      <c r="F129" s="1">
        <v>78695</v>
      </c>
      <c r="G129" s="1">
        <v>116838</v>
      </c>
      <c r="H129" s="1">
        <v>62635</v>
      </c>
      <c r="I129" s="1">
        <v>85119</v>
      </c>
      <c r="J129" s="1">
        <v>70665</v>
      </c>
      <c r="K129" s="1">
        <v>59824</v>
      </c>
      <c r="L129" s="1">
        <v>68657</v>
      </c>
      <c r="M129" s="1">
        <v>79089</v>
      </c>
      <c r="N129" s="1">
        <v>843955</v>
      </c>
    </row>
    <row r="130" spans="1:14" x14ac:dyDescent="0.25">
      <c r="A130" s="6" t="s">
        <v>799</v>
      </c>
      <c r="B130" s="1">
        <v>0</v>
      </c>
      <c r="C130" s="1">
        <v>397</v>
      </c>
      <c r="D130" s="1">
        <v>0</v>
      </c>
      <c r="E130" s="1">
        <v>0</v>
      </c>
      <c r="F130" s="1">
        <v>0</v>
      </c>
      <c r="G130" s="1">
        <v>1191</v>
      </c>
      <c r="H130" s="1">
        <v>0</v>
      </c>
      <c r="I130" s="1">
        <v>0</v>
      </c>
      <c r="J130" s="1">
        <v>0</v>
      </c>
      <c r="K130" s="1">
        <v>794</v>
      </c>
      <c r="L130" s="1">
        <v>794</v>
      </c>
      <c r="M130" s="1">
        <v>397</v>
      </c>
      <c r="N130" s="1">
        <v>3573</v>
      </c>
    </row>
    <row r="131" spans="1:14" x14ac:dyDescent="0.25">
      <c r="A131" s="6" t="s">
        <v>800</v>
      </c>
      <c r="B131" s="1">
        <v>10696</v>
      </c>
      <c r="C131" s="1">
        <v>12414</v>
      </c>
      <c r="D131" s="1">
        <v>15051</v>
      </c>
      <c r="E131" s="1">
        <v>9376</v>
      </c>
      <c r="F131" s="1">
        <v>7924</v>
      </c>
      <c r="G131" s="1">
        <v>11621</v>
      </c>
      <c r="H131" s="1">
        <v>27363</v>
      </c>
      <c r="I131" s="1">
        <v>17300</v>
      </c>
      <c r="J131" s="1">
        <v>13338</v>
      </c>
      <c r="K131" s="1">
        <v>29844</v>
      </c>
      <c r="L131" s="1">
        <v>15978</v>
      </c>
      <c r="M131" s="1">
        <v>13074</v>
      </c>
      <c r="N131" s="1">
        <v>183979</v>
      </c>
    </row>
    <row r="132" spans="1:14" x14ac:dyDescent="0.25">
      <c r="A132" s="6" t="s">
        <v>801</v>
      </c>
      <c r="B132" s="1">
        <v>0</v>
      </c>
      <c r="C132" s="1">
        <v>256</v>
      </c>
      <c r="D132" s="1">
        <v>0</v>
      </c>
      <c r="E132" s="1">
        <v>256</v>
      </c>
      <c r="F132" s="1">
        <v>256</v>
      </c>
      <c r="G132" s="1">
        <v>0</v>
      </c>
      <c r="H132" s="1">
        <v>0</v>
      </c>
      <c r="I132" s="1">
        <v>0</v>
      </c>
      <c r="J132" s="1">
        <v>128</v>
      </c>
      <c r="K132" s="1">
        <v>639</v>
      </c>
      <c r="L132" s="1">
        <v>895</v>
      </c>
      <c r="M132" s="1">
        <v>256</v>
      </c>
      <c r="N132" s="1">
        <v>2686</v>
      </c>
    </row>
    <row r="133" spans="1:14" x14ac:dyDescent="0.25">
      <c r="A133" s="6" t="s">
        <v>802</v>
      </c>
      <c r="B133" s="1">
        <v>14835</v>
      </c>
      <c r="C133" s="1">
        <v>12468</v>
      </c>
      <c r="D133" s="1">
        <v>20154</v>
      </c>
      <c r="E133" s="1">
        <v>11407</v>
      </c>
      <c r="F133" s="1">
        <v>16441</v>
      </c>
      <c r="G133" s="1">
        <v>12207</v>
      </c>
      <c r="H133" s="1">
        <v>20962</v>
      </c>
      <c r="I133" s="1">
        <v>20684</v>
      </c>
      <c r="J133" s="1">
        <v>18037</v>
      </c>
      <c r="K133" s="1">
        <v>18890</v>
      </c>
      <c r="L133" s="1">
        <v>24410</v>
      </c>
      <c r="M133" s="1">
        <v>14592</v>
      </c>
      <c r="N133" s="1">
        <v>205087</v>
      </c>
    </row>
    <row r="134" spans="1:14" x14ac:dyDescent="0.25">
      <c r="A134" s="6" t="s">
        <v>803</v>
      </c>
      <c r="B134" s="1">
        <v>0</v>
      </c>
      <c r="C134" s="1">
        <v>0</v>
      </c>
      <c r="D134" s="1">
        <v>131</v>
      </c>
      <c r="E134" s="1">
        <v>262</v>
      </c>
      <c r="F134" s="1">
        <v>655</v>
      </c>
      <c r="G134" s="1">
        <v>0</v>
      </c>
      <c r="H134" s="1">
        <v>917</v>
      </c>
      <c r="I134" s="1">
        <v>524</v>
      </c>
      <c r="J134" s="1">
        <v>262</v>
      </c>
      <c r="K134" s="1">
        <v>524</v>
      </c>
      <c r="L134" s="1">
        <v>262</v>
      </c>
      <c r="M134" s="1">
        <v>393</v>
      </c>
      <c r="N134" s="1">
        <v>3930</v>
      </c>
    </row>
    <row r="135" spans="1:14" x14ac:dyDescent="0.25">
      <c r="A135" s="6" t="s">
        <v>804</v>
      </c>
      <c r="B135" s="1">
        <v>2726</v>
      </c>
      <c r="C135" s="1">
        <v>4806</v>
      </c>
      <c r="D135" s="1">
        <v>12954</v>
      </c>
      <c r="E135" s="1">
        <v>2850</v>
      </c>
      <c r="F135" s="1">
        <v>2375</v>
      </c>
      <c r="G135" s="1">
        <v>6165</v>
      </c>
      <c r="H135" s="1">
        <v>5690</v>
      </c>
      <c r="I135" s="1">
        <v>2489</v>
      </c>
      <c r="J135" s="1">
        <v>4151</v>
      </c>
      <c r="K135" s="1">
        <v>4037</v>
      </c>
      <c r="L135" s="1">
        <v>8768</v>
      </c>
      <c r="M135" s="1">
        <v>5580</v>
      </c>
      <c r="N135" s="1">
        <v>62591</v>
      </c>
    </row>
    <row r="136" spans="1:14" x14ac:dyDescent="0.25">
      <c r="A136" s="6" t="s">
        <v>964</v>
      </c>
      <c r="B136" s="1">
        <v>1407983</v>
      </c>
      <c r="C136" s="1">
        <v>2051190</v>
      </c>
      <c r="D136" s="1">
        <v>1693350</v>
      </c>
      <c r="E136" s="1">
        <v>1508040</v>
      </c>
      <c r="F136" s="1">
        <v>1238595</v>
      </c>
      <c r="G136" s="1">
        <v>1546380</v>
      </c>
      <c r="H136" s="1">
        <v>1005360</v>
      </c>
      <c r="I136" s="1">
        <v>639000</v>
      </c>
      <c r="J136" s="1">
        <v>1617735</v>
      </c>
      <c r="K136" s="1">
        <v>1981965</v>
      </c>
      <c r="L136" s="1">
        <v>2267385</v>
      </c>
      <c r="M136" s="1">
        <v>3020340</v>
      </c>
      <c r="N136" s="1">
        <v>19977323</v>
      </c>
    </row>
    <row r="137" spans="1:14" x14ac:dyDescent="0.25">
      <c r="A137" s="6" t="s">
        <v>965</v>
      </c>
      <c r="B137" s="1">
        <v>505458</v>
      </c>
      <c r="C137" s="1">
        <v>732203</v>
      </c>
      <c r="D137" s="1">
        <v>730505</v>
      </c>
      <c r="E137" s="1">
        <v>510459</v>
      </c>
      <c r="F137" s="1">
        <v>776736</v>
      </c>
      <c r="G137" s="1">
        <v>745518</v>
      </c>
      <c r="H137" s="1">
        <v>581331</v>
      </c>
      <c r="I137" s="1">
        <v>361910</v>
      </c>
      <c r="J137" s="1">
        <v>735648</v>
      </c>
      <c r="K137" s="1">
        <v>532727</v>
      </c>
      <c r="L137" s="1">
        <v>629442</v>
      </c>
      <c r="M137" s="1">
        <v>629350</v>
      </c>
      <c r="N137" s="1">
        <v>7471287</v>
      </c>
    </row>
    <row r="138" spans="1:14" x14ac:dyDescent="0.25">
      <c r="A138" s="6" t="s">
        <v>966</v>
      </c>
      <c r="B138" s="1">
        <v>21939</v>
      </c>
      <c r="C138" s="1">
        <v>37488</v>
      </c>
      <c r="D138" s="1">
        <v>37701</v>
      </c>
      <c r="E138" s="1">
        <v>38340</v>
      </c>
      <c r="F138" s="1">
        <v>27264</v>
      </c>
      <c r="G138" s="1">
        <v>32802</v>
      </c>
      <c r="H138" s="1">
        <v>33867</v>
      </c>
      <c r="I138" s="1">
        <v>38766</v>
      </c>
      <c r="J138" s="1">
        <v>62196</v>
      </c>
      <c r="K138" s="1">
        <v>43452</v>
      </c>
      <c r="L138" s="1">
        <v>29819</v>
      </c>
      <c r="M138" s="1">
        <v>45597</v>
      </c>
      <c r="N138" s="1">
        <v>449231</v>
      </c>
    </row>
    <row r="139" spans="1:14" x14ac:dyDescent="0.25">
      <c r="A139" s="6" t="s">
        <v>806</v>
      </c>
      <c r="B139" s="1">
        <v>14026</v>
      </c>
      <c r="C139" s="1">
        <v>16838</v>
      </c>
      <c r="D139" s="1">
        <v>21375</v>
      </c>
      <c r="E139" s="1">
        <v>24090</v>
      </c>
      <c r="F139" s="1">
        <v>19010</v>
      </c>
      <c r="G139" s="1">
        <v>22663</v>
      </c>
      <c r="H139" s="1">
        <v>11097</v>
      </c>
      <c r="I139" s="1">
        <v>3120</v>
      </c>
      <c r="J139" s="1">
        <v>6262</v>
      </c>
      <c r="K139" s="1">
        <v>4132</v>
      </c>
      <c r="L139" s="1">
        <v>13100</v>
      </c>
      <c r="M139" s="1">
        <v>19298</v>
      </c>
      <c r="N139" s="1">
        <v>175011</v>
      </c>
    </row>
    <row r="140" spans="1:14" x14ac:dyDescent="0.25">
      <c r="A140" s="6" t="s">
        <v>807</v>
      </c>
      <c r="B140" s="1">
        <v>511331</v>
      </c>
      <c r="C140" s="1">
        <v>557138</v>
      </c>
      <c r="D140" s="1">
        <v>936526</v>
      </c>
      <c r="E140" s="1">
        <v>616477</v>
      </c>
      <c r="F140" s="1">
        <v>704914</v>
      </c>
      <c r="G140" s="1">
        <v>659975</v>
      </c>
      <c r="H140" s="1">
        <v>669194</v>
      </c>
      <c r="I140" s="1">
        <v>549933</v>
      </c>
      <c r="J140" s="1">
        <v>664584</v>
      </c>
      <c r="K140" s="1">
        <v>726806</v>
      </c>
      <c r="L140" s="1">
        <v>598613</v>
      </c>
      <c r="M140" s="1">
        <v>551374</v>
      </c>
      <c r="N140" s="1">
        <v>7746865</v>
      </c>
    </row>
    <row r="141" spans="1:14" x14ac:dyDescent="0.25">
      <c r="A141" s="6" t="s">
        <v>808</v>
      </c>
      <c r="B141" s="1">
        <v>43388</v>
      </c>
      <c r="C141" s="1">
        <v>1681230</v>
      </c>
      <c r="D141" s="1">
        <v>723114</v>
      </c>
      <c r="E141" s="1">
        <v>14505</v>
      </c>
      <c r="F141" s="1">
        <v>0</v>
      </c>
      <c r="G141" s="1">
        <v>0</v>
      </c>
      <c r="H141" s="1">
        <v>128</v>
      </c>
      <c r="I141" s="1">
        <v>128</v>
      </c>
      <c r="J141" s="1">
        <v>0</v>
      </c>
      <c r="K141" s="1">
        <v>0</v>
      </c>
      <c r="L141" s="1">
        <v>17040</v>
      </c>
      <c r="M141" s="1">
        <v>383</v>
      </c>
      <c r="N141" s="1">
        <v>2479916</v>
      </c>
    </row>
    <row r="142" spans="1:14" x14ac:dyDescent="0.25">
      <c r="A142" s="6" t="s">
        <v>967</v>
      </c>
      <c r="B142" s="1">
        <v>27128</v>
      </c>
      <c r="C142" s="1">
        <v>40692</v>
      </c>
      <c r="D142" s="1">
        <v>44930</v>
      </c>
      <c r="E142" s="1">
        <v>45568</v>
      </c>
      <c r="F142" s="1">
        <v>34333</v>
      </c>
      <c r="G142" s="1">
        <v>32214</v>
      </c>
      <c r="H142" s="1">
        <v>45354</v>
      </c>
      <c r="I142" s="1">
        <v>62309</v>
      </c>
      <c r="J142" s="1">
        <v>49170</v>
      </c>
      <c r="K142" s="1">
        <v>106391</v>
      </c>
      <c r="L142" s="1">
        <v>36243</v>
      </c>
      <c r="M142" s="1">
        <v>66971</v>
      </c>
      <c r="N142" s="1">
        <v>591303</v>
      </c>
    </row>
    <row r="143" spans="1:14" x14ac:dyDescent="0.25">
      <c r="A143" s="6" t="s">
        <v>809</v>
      </c>
      <c r="B143" s="1">
        <v>48053</v>
      </c>
      <c r="C143" s="1">
        <v>48053</v>
      </c>
      <c r="D143" s="1">
        <v>41646</v>
      </c>
      <c r="E143" s="1">
        <v>44849</v>
      </c>
      <c r="F143" s="1">
        <v>51256</v>
      </c>
      <c r="G143" s="1">
        <v>59265</v>
      </c>
      <c r="H143" s="1">
        <v>35239</v>
      </c>
      <c r="I143" s="1">
        <v>40044</v>
      </c>
      <c r="J143" s="1">
        <v>52858</v>
      </c>
      <c r="K143" s="1">
        <v>53071</v>
      </c>
      <c r="L143" s="1">
        <v>55115</v>
      </c>
      <c r="M143" s="1">
        <v>57345</v>
      </c>
      <c r="N143" s="1">
        <v>586794</v>
      </c>
    </row>
    <row r="144" spans="1:14" x14ac:dyDescent="0.25">
      <c r="A144" s="6" t="s">
        <v>810</v>
      </c>
      <c r="B144" s="1">
        <v>36549</v>
      </c>
      <c r="C144" s="1">
        <v>58934</v>
      </c>
      <c r="D144" s="1">
        <v>72426</v>
      </c>
      <c r="E144" s="1">
        <v>52443</v>
      </c>
      <c r="F144" s="1">
        <v>45549</v>
      </c>
      <c r="G144" s="1">
        <v>70139</v>
      </c>
      <c r="H144" s="1">
        <v>53955</v>
      </c>
      <c r="I144" s="1">
        <v>42681</v>
      </c>
      <c r="J144" s="1">
        <v>46766</v>
      </c>
      <c r="K144" s="1">
        <v>35145</v>
      </c>
      <c r="L144" s="1">
        <v>54531</v>
      </c>
      <c r="M144" s="1">
        <v>63041</v>
      </c>
      <c r="N144" s="1">
        <v>632159</v>
      </c>
    </row>
    <row r="145" spans="1:15" x14ac:dyDescent="0.25">
      <c r="A145" s="6" t="s">
        <v>968</v>
      </c>
      <c r="B145" s="1">
        <v>0</v>
      </c>
      <c r="C145" s="1">
        <v>0</v>
      </c>
      <c r="D145" s="1">
        <v>0</v>
      </c>
      <c r="E145" s="1">
        <v>0</v>
      </c>
      <c r="F145" s="1">
        <v>0</v>
      </c>
      <c r="G145" s="1">
        <v>0</v>
      </c>
      <c r="H145" s="1">
        <v>0</v>
      </c>
      <c r="I145" s="1">
        <v>0</v>
      </c>
      <c r="J145" s="1">
        <v>0</v>
      </c>
      <c r="K145" s="1">
        <v>0</v>
      </c>
      <c r="L145" s="1">
        <v>0</v>
      </c>
      <c r="M145" s="1">
        <v>0</v>
      </c>
      <c r="N145" s="1">
        <v>0</v>
      </c>
    </row>
    <row r="146" spans="1:15" x14ac:dyDescent="0.25">
      <c r="A146" s="6" t="s">
        <v>811</v>
      </c>
      <c r="B146" s="1">
        <v>2429894</v>
      </c>
      <c r="C146" s="1">
        <v>3944646</v>
      </c>
      <c r="D146" s="1">
        <v>3887447</v>
      </c>
      <c r="E146" s="1">
        <v>3109913</v>
      </c>
      <c r="F146" s="1">
        <v>2519003</v>
      </c>
      <c r="G146" s="1">
        <v>3069835</v>
      </c>
      <c r="H146" s="1">
        <v>2608232</v>
      </c>
      <c r="I146" s="1">
        <v>2232168</v>
      </c>
      <c r="J146" s="1">
        <v>2696710</v>
      </c>
      <c r="K146" s="1">
        <v>2572820</v>
      </c>
      <c r="L146" s="1">
        <v>2896224</v>
      </c>
      <c r="M146" s="1">
        <v>3430277</v>
      </c>
      <c r="N146" s="1">
        <v>35397169</v>
      </c>
    </row>
    <row r="147" spans="1:15" x14ac:dyDescent="0.25">
      <c r="A147" s="6" t="s">
        <v>812</v>
      </c>
      <c r="B147" s="1">
        <v>0</v>
      </c>
      <c r="C147" s="1">
        <v>0</v>
      </c>
      <c r="D147" s="1">
        <v>10842</v>
      </c>
      <c r="E147" s="1">
        <v>0</v>
      </c>
      <c r="F147" s="1">
        <v>149166</v>
      </c>
      <c r="G147" s="1">
        <v>16756</v>
      </c>
      <c r="H147" s="1">
        <v>0</v>
      </c>
      <c r="I147" s="1">
        <v>22726</v>
      </c>
      <c r="J147" s="1">
        <v>0</v>
      </c>
      <c r="K147" s="1">
        <v>7990</v>
      </c>
      <c r="L147" s="1">
        <v>0</v>
      </c>
      <c r="M147" s="1">
        <v>29003</v>
      </c>
      <c r="N147" s="1">
        <v>236483</v>
      </c>
    </row>
    <row r="148" spans="1:15" x14ac:dyDescent="0.25">
      <c r="A148" s="6" t="s">
        <v>813</v>
      </c>
      <c r="B148" s="1">
        <v>438301</v>
      </c>
      <c r="C148" s="1">
        <v>418525</v>
      </c>
      <c r="D148" s="1">
        <v>418525</v>
      </c>
      <c r="E148" s="1">
        <v>418525</v>
      </c>
      <c r="F148" s="1">
        <v>418525</v>
      </c>
      <c r="G148" s="1">
        <v>418525</v>
      </c>
      <c r="H148" s="1">
        <v>418525</v>
      </c>
      <c r="I148" s="1">
        <v>418525</v>
      </c>
      <c r="J148" s="1">
        <v>418525</v>
      </c>
      <c r="K148" s="1">
        <v>418525</v>
      </c>
      <c r="L148" s="1">
        <v>418525</v>
      </c>
      <c r="M148" s="1">
        <v>418525</v>
      </c>
      <c r="N148" s="1">
        <v>5042076</v>
      </c>
    </row>
    <row r="149" spans="1:15" x14ac:dyDescent="0.25">
      <c r="A149" s="6" t="s">
        <v>814</v>
      </c>
      <c r="B149" s="1">
        <v>0</v>
      </c>
      <c r="C149" s="1">
        <v>0</v>
      </c>
      <c r="D149" s="1">
        <v>0</v>
      </c>
      <c r="E149" s="1">
        <v>0</v>
      </c>
      <c r="F149" s="1">
        <v>0</v>
      </c>
      <c r="G149" s="1">
        <v>0</v>
      </c>
      <c r="H149" s="1">
        <v>0</v>
      </c>
      <c r="I149" s="1">
        <v>0</v>
      </c>
      <c r="J149" s="1">
        <v>0</v>
      </c>
      <c r="K149" s="1">
        <v>0</v>
      </c>
      <c r="L149" s="1">
        <v>0</v>
      </c>
      <c r="M149" s="1">
        <v>0</v>
      </c>
      <c r="N149" s="1">
        <v>0</v>
      </c>
      <c r="O149">
        <f>GETPIVOTDATA("[Measures].[Sum of Износ]",$A$4,"[fActualAndBudget].[Конто]","[fActualAndBudget].[Конто].&amp;[41111]")/2</f>
        <v>1500000</v>
      </c>
    </row>
    <row r="150" spans="1:15" x14ac:dyDescent="0.25">
      <c r="A150" s="6" t="s">
        <v>815</v>
      </c>
      <c r="B150" s="1">
        <v>0</v>
      </c>
      <c r="C150" s="1">
        <v>0</v>
      </c>
      <c r="D150" s="1">
        <v>0</v>
      </c>
      <c r="E150" s="1">
        <v>0</v>
      </c>
      <c r="F150" s="1">
        <v>0</v>
      </c>
      <c r="G150" s="1">
        <v>0</v>
      </c>
      <c r="H150" s="1">
        <v>0</v>
      </c>
      <c r="I150" s="1">
        <v>0</v>
      </c>
      <c r="J150" s="1">
        <v>0</v>
      </c>
      <c r="K150" s="1">
        <v>0</v>
      </c>
      <c r="L150" s="1">
        <v>0</v>
      </c>
      <c r="M150" s="1">
        <v>0</v>
      </c>
      <c r="N150" s="1">
        <v>0</v>
      </c>
    </row>
    <row r="151" spans="1:15" x14ac:dyDescent="0.25">
      <c r="A151" s="6" t="s">
        <v>817</v>
      </c>
      <c r="B151" s="1">
        <v>0</v>
      </c>
      <c r="C151" s="1">
        <v>0</v>
      </c>
      <c r="D151" s="1">
        <v>0</v>
      </c>
      <c r="E151" s="1">
        <v>0</v>
      </c>
      <c r="F151" s="1">
        <v>0</v>
      </c>
      <c r="G151" s="1">
        <v>0</v>
      </c>
      <c r="H151" s="1">
        <v>0</v>
      </c>
      <c r="I151" s="1">
        <v>0</v>
      </c>
      <c r="J151" s="1">
        <v>0</v>
      </c>
      <c r="K151" s="1">
        <v>0</v>
      </c>
      <c r="L151" s="1">
        <v>0</v>
      </c>
      <c r="M151" s="1">
        <v>0</v>
      </c>
      <c r="N151" s="1">
        <v>0</v>
      </c>
    </row>
    <row r="152" spans="1:15" x14ac:dyDescent="0.25">
      <c r="A152" s="6" t="s">
        <v>818</v>
      </c>
      <c r="B152" s="1">
        <v>0</v>
      </c>
      <c r="C152" s="1">
        <v>0</v>
      </c>
      <c r="D152" s="1">
        <v>0</v>
      </c>
      <c r="E152" s="1">
        <v>0</v>
      </c>
      <c r="F152" s="1">
        <v>0</v>
      </c>
      <c r="G152" s="1">
        <v>0</v>
      </c>
      <c r="H152" s="1">
        <v>0</v>
      </c>
      <c r="I152" s="1">
        <v>0</v>
      </c>
      <c r="J152" s="1">
        <v>0</v>
      </c>
      <c r="K152" s="1">
        <v>0</v>
      </c>
      <c r="L152" s="1">
        <v>0</v>
      </c>
      <c r="M152" s="1">
        <v>0</v>
      </c>
      <c r="N152" s="1">
        <v>0</v>
      </c>
    </row>
    <row r="153" spans="1:15" x14ac:dyDescent="0.25">
      <c r="A153" s="6" t="s">
        <v>819</v>
      </c>
      <c r="B153" s="1">
        <v>149</v>
      </c>
      <c r="C153" s="1">
        <v>143</v>
      </c>
      <c r="D153" s="1">
        <v>174</v>
      </c>
      <c r="E153" s="1">
        <v>173</v>
      </c>
      <c r="F153" s="1">
        <v>181</v>
      </c>
      <c r="G153" s="1">
        <v>178</v>
      </c>
      <c r="H153" s="1">
        <v>186</v>
      </c>
      <c r="I153" s="1">
        <v>189</v>
      </c>
      <c r="J153" s="1">
        <v>186</v>
      </c>
      <c r="K153" s="1">
        <v>196</v>
      </c>
      <c r="L153" s="1">
        <v>150</v>
      </c>
      <c r="M153" s="1">
        <v>160</v>
      </c>
      <c r="N153" s="1">
        <v>2065</v>
      </c>
    </row>
    <row r="154" spans="1:15" x14ac:dyDescent="0.25">
      <c r="A154" s="6" t="s">
        <v>820</v>
      </c>
      <c r="B154" s="1">
        <v>347</v>
      </c>
      <c r="C154" s="1">
        <v>12</v>
      </c>
      <c r="D154" s="1">
        <v>16</v>
      </c>
      <c r="E154" s="1">
        <v>38</v>
      </c>
      <c r="F154" s="1">
        <v>793</v>
      </c>
      <c r="G154" s="1">
        <v>13</v>
      </c>
      <c r="H154" s="1">
        <v>164</v>
      </c>
      <c r="I154" s="1">
        <v>42</v>
      </c>
      <c r="J154" s="1">
        <v>59</v>
      </c>
      <c r="K154" s="1">
        <v>1734</v>
      </c>
      <c r="L154" s="1">
        <v>137</v>
      </c>
      <c r="M154" s="1">
        <v>195</v>
      </c>
      <c r="N154" s="1">
        <v>3550</v>
      </c>
    </row>
    <row r="155" spans="1:15" x14ac:dyDescent="0.25">
      <c r="A155" s="6" t="s">
        <v>1253</v>
      </c>
      <c r="B155" s="1">
        <v>0</v>
      </c>
      <c r="C155" s="1">
        <v>0</v>
      </c>
      <c r="D155" s="1">
        <v>0</v>
      </c>
      <c r="E155" s="1">
        <v>0</v>
      </c>
      <c r="F155" s="1">
        <v>0</v>
      </c>
      <c r="G155" s="1">
        <v>0</v>
      </c>
      <c r="H155" s="1">
        <v>134374</v>
      </c>
      <c r="I155" s="1">
        <v>-140248</v>
      </c>
      <c r="J155" s="1">
        <v>5421</v>
      </c>
      <c r="K155" s="1">
        <v>0</v>
      </c>
      <c r="L155" s="1">
        <v>0</v>
      </c>
      <c r="M155" s="1">
        <v>0</v>
      </c>
      <c r="N155" s="1">
        <v>-453</v>
      </c>
    </row>
    <row r="156" spans="1:15" x14ac:dyDescent="0.25">
      <c r="A156" s="6" t="s">
        <v>1251</v>
      </c>
      <c r="B156" s="1"/>
      <c r="C156" s="1"/>
      <c r="D156" s="1">
        <v>0</v>
      </c>
      <c r="E156" s="1">
        <v>0</v>
      </c>
      <c r="F156" s="1">
        <v>0</v>
      </c>
      <c r="G156" s="1">
        <v>0</v>
      </c>
      <c r="H156" s="1">
        <v>0</v>
      </c>
      <c r="I156" s="1">
        <v>0</v>
      </c>
      <c r="J156" s="1">
        <v>0</v>
      </c>
      <c r="K156" s="1">
        <v>0</v>
      </c>
      <c r="L156" s="1">
        <v>0</v>
      </c>
      <c r="M156" s="1">
        <v>0</v>
      </c>
      <c r="N156" s="1">
        <v>0</v>
      </c>
    </row>
    <row r="157" spans="1:15" x14ac:dyDescent="0.25">
      <c r="A157" s="6" t="s">
        <v>816</v>
      </c>
      <c r="B157" s="1">
        <v>0</v>
      </c>
      <c r="C157" s="1">
        <v>0</v>
      </c>
      <c r="D157" s="1">
        <v>32853</v>
      </c>
      <c r="E157" s="1">
        <v>3195</v>
      </c>
      <c r="F157" s="1">
        <v>21807</v>
      </c>
      <c r="G157" s="1">
        <v>98619</v>
      </c>
      <c r="H157" s="1">
        <v>-27741</v>
      </c>
      <c r="I157" s="1">
        <v>127534</v>
      </c>
      <c r="J157" s="1">
        <v>59875</v>
      </c>
      <c r="K157" s="1">
        <v>21300</v>
      </c>
      <c r="L157" s="1">
        <v>0</v>
      </c>
      <c r="M157" s="1">
        <v>793</v>
      </c>
      <c r="N157" s="1">
        <v>338235</v>
      </c>
    </row>
    <row r="158" spans="1:15" x14ac:dyDescent="0.25">
      <c r="A158" s="6" t="s">
        <v>1301</v>
      </c>
      <c r="B158" s="1">
        <v>0</v>
      </c>
      <c r="C158" s="1">
        <v>0</v>
      </c>
      <c r="D158" s="1">
        <v>0</v>
      </c>
      <c r="E158" s="1">
        <v>0</v>
      </c>
      <c r="F158" s="1">
        <v>0</v>
      </c>
      <c r="G158" s="1">
        <v>0</v>
      </c>
      <c r="H158" s="1">
        <v>0</v>
      </c>
      <c r="I158" s="1">
        <v>0</v>
      </c>
      <c r="J158" s="1">
        <v>0</v>
      </c>
      <c r="K158" s="1">
        <v>0</v>
      </c>
      <c r="L158" s="1">
        <v>0</v>
      </c>
      <c r="M158" s="1">
        <v>0</v>
      </c>
      <c r="N158" s="1">
        <v>0</v>
      </c>
    </row>
    <row r="159" spans="1:15" x14ac:dyDescent="0.25">
      <c r="A159" s="173" t="s">
        <v>138</v>
      </c>
      <c r="B159" s="1">
        <v>49457207</v>
      </c>
      <c r="C159" s="1">
        <v>126392119</v>
      </c>
      <c r="D159" s="1">
        <v>139985531</v>
      </c>
      <c r="E159" s="1">
        <v>53458655</v>
      </c>
      <c r="F159" s="1">
        <v>55397321</v>
      </c>
      <c r="G159" s="1">
        <v>54146495</v>
      </c>
      <c r="H159" s="1">
        <v>60438687</v>
      </c>
      <c r="I159" s="1">
        <v>49484936</v>
      </c>
      <c r="J159" s="1">
        <v>54072614</v>
      </c>
      <c r="K159" s="1">
        <v>54357486</v>
      </c>
      <c r="L159" s="1">
        <v>52584025</v>
      </c>
      <c r="M159" s="1">
        <v>59235940</v>
      </c>
      <c r="N159" s="1">
        <v>809011016</v>
      </c>
    </row>
    <row r="160" spans="1:15" x14ac:dyDescent="0.25">
      <c r="A160"/>
    </row>
    <row r="161" spans="1:1" x14ac:dyDescent="0.25">
      <c r="A161"/>
    </row>
    <row r="162" spans="1:1" x14ac:dyDescent="0.25">
      <c r="A162"/>
    </row>
    <row r="163" spans="1:1" x14ac:dyDescent="0.25">
      <c r="A163"/>
    </row>
    <row r="164" spans="1:1" x14ac:dyDescent="0.25">
      <c r="A164"/>
    </row>
    <row r="165" spans="1:1" x14ac:dyDescent="0.25">
      <c r="A165"/>
    </row>
    <row r="166" spans="1:1" x14ac:dyDescent="0.25">
      <c r="A166"/>
    </row>
    <row r="167" spans="1:1" x14ac:dyDescent="0.25">
      <c r="A167"/>
    </row>
    <row r="168" spans="1:1" x14ac:dyDescent="0.25">
      <c r="A168"/>
    </row>
    <row r="169" spans="1:1" x14ac:dyDescent="0.25">
      <c r="A169"/>
    </row>
    <row r="170" spans="1:1" x14ac:dyDescent="0.25">
      <c r="A170"/>
    </row>
    <row r="171" spans="1:1" x14ac:dyDescent="0.25">
      <c r="A171"/>
    </row>
    <row r="172" spans="1:1" x14ac:dyDescent="0.25">
      <c r="A172"/>
    </row>
    <row r="173" spans="1:1" x14ac:dyDescent="0.25">
      <c r="A173"/>
    </row>
    <row r="174" spans="1:1" x14ac:dyDescent="0.25">
      <c r="A174"/>
    </row>
    <row r="175" spans="1:1" x14ac:dyDescent="0.25">
      <c r="A175"/>
    </row>
    <row r="176" spans="1:1" x14ac:dyDescent="0.25">
      <c r="A176"/>
    </row>
    <row r="177" spans="1:1" x14ac:dyDescent="0.25">
      <c r="A177"/>
    </row>
    <row r="178" spans="1:1" x14ac:dyDescent="0.25">
      <c r="A178"/>
    </row>
    <row r="179" spans="1:1" x14ac:dyDescent="0.25">
      <c r="A179"/>
    </row>
    <row r="180" spans="1:1" x14ac:dyDescent="0.25">
      <c r="A180"/>
    </row>
    <row r="181" spans="1:1" x14ac:dyDescent="0.25">
      <c r="A181"/>
    </row>
    <row r="182" spans="1:1" x14ac:dyDescent="0.25">
      <c r="A182"/>
    </row>
    <row r="183" spans="1:1" x14ac:dyDescent="0.25">
      <c r="A183"/>
    </row>
    <row r="184" spans="1:1" x14ac:dyDescent="0.25">
      <c r="A184"/>
    </row>
    <row r="185" spans="1:1" x14ac:dyDescent="0.25">
      <c r="A185"/>
    </row>
    <row r="186" spans="1:1" x14ac:dyDescent="0.25">
      <c r="A186"/>
    </row>
    <row r="187" spans="1:1" x14ac:dyDescent="0.25">
      <c r="A187"/>
    </row>
    <row r="188" spans="1:1" x14ac:dyDescent="0.25">
      <c r="A188"/>
    </row>
    <row r="189" spans="1:1" x14ac:dyDescent="0.25">
      <c r="A189"/>
    </row>
    <row r="190" spans="1:1" x14ac:dyDescent="0.25">
      <c r="A190"/>
    </row>
    <row r="191" spans="1:1" x14ac:dyDescent="0.25">
      <c r="A191"/>
    </row>
    <row r="192" spans="1:1" x14ac:dyDescent="0.25">
      <c r="A192"/>
    </row>
    <row r="193" spans="1:1" x14ac:dyDescent="0.25">
      <c r="A193"/>
    </row>
    <row r="194" spans="1:1" x14ac:dyDescent="0.25">
      <c r="A194"/>
    </row>
    <row r="195" spans="1:1" x14ac:dyDescent="0.25">
      <c r="A195"/>
    </row>
    <row r="196" spans="1:1" x14ac:dyDescent="0.25">
      <c r="A196"/>
    </row>
    <row r="197" spans="1:1" x14ac:dyDescent="0.25">
      <c r="A197"/>
    </row>
    <row r="198" spans="1:1" x14ac:dyDescent="0.25">
      <c r="A198"/>
    </row>
    <row r="199" spans="1:1" x14ac:dyDescent="0.25">
      <c r="A199"/>
    </row>
    <row r="200" spans="1:1" x14ac:dyDescent="0.25">
      <c r="A200"/>
    </row>
    <row r="201" spans="1:1" x14ac:dyDescent="0.25">
      <c r="A201"/>
    </row>
    <row r="202" spans="1:1" x14ac:dyDescent="0.25">
      <c r="A202"/>
    </row>
    <row r="203" spans="1:1" x14ac:dyDescent="0.25">
      <c r="A203"/>
    </row>
    <row r="204" spans="1:1" x14ac:dyDescent="0.25">
      <c r="A204"/>
    </row>
    <row r="205" spans="1:1" x14ac:dyDescent="0.25">
      <c r="A205"/>
    </row>
    <row r="206" spans="1:1" x14ac:dyDescent="0.25">
      <c r="A206"/>
    </row>
    <row r="207" spans="1:1" x14ac:dyDescent="0.25">
      <c r="A207"/>
    </row>
    <row r="208" spans="1:1" x14ac:dyDescent="0.25">
      <c r="A208"/>
    </row>
    <row r="209" spans="1:1" x14ac:dyDescent="0.25">
      <c r="A209"/>
    </row>
    <row r="210" spans="1:1" x14ac:dyDescent="0.25">
      <c r="A210"/>
    </row>
    <row r="211" spans="1:1" x14ac:dyDescent="0.25">
      <c r="A211"/>
    </row>
    <row r="212" spans="1:1" x14ac:dyDescent="0.25">
      <c r="A212"/>
    </row>
    <row r="213" spans="1:1" x14ac:dyDescent="0.25">
      <c r="A213"/>
    </row>
    <row r="214" spans="1:1" x14ac:dyDescent="0.25">
      <c r="A214"/>
    </row>
    <row r="215" spans="1:1" x14ac:dyDescent="0.25">
      <c r="A215"/>
    </row>
    <row r="216" spans="1:1" x14ac:dyDescent="0.25">
      <c r="A216"/>
    </row>
    <row r="217" spans="1:1" x14ac:dyDescent="0.25">
      <c r="A217"/>
    </row>
    <row r="218" spans="1:1" x14ac:dyDescent="0.25">
      <c r="A218"/>
    </row>
    <row r="219" spans="1:1" x14ac:dyDescent="0.25">
      <c r="A219"/>
    </row>
    <row r="220" spans="1:1" x14ac:dyDescent="0.25">
      <c r="A220"/>
    </row>
    <row r="221" spans="1:1" x14ac:dyDescent="0.25">
      <c r="A221"/>
    </row>
    <row r="222" spans="1:1" x14ac:dyDescent="0.25">
      <c r="A222"/>
    </row>
    <row r="223" spans="1:1" x14ac:dyDescent="0.25">
      <c r="A223"/>
    </row>
    <row r="224" spans="1:1" x14ac:dyDescent="0.25">
      <c r="A224"/>
    </row>
    <row r="225" spans="1:1" x14ac:dyDescent="0.25">
      <c r="A225"/>
    </row>
    <row r="226" spans="1:1" x14ac:dyDescent="0.25">
      <c r="A226"/>
    </row>
    <row r="227" spans="1:1" x14ac:dyDescent="0.25">
      <c r="A227"/>
    </row>
    <row r="228" spans="1:1" x14ac:dyDescent="0.25">
      <c r="A228"/>
    </row>
    <row r="229" spans="1:1" x14ac:dyDescent="0.25">
      <c r="A229"/>
    </row>
    <row r="230" spans="1:1" x14ac:dyDescent="0.25">
      <c r="A230"/>
    </row>
    <row r="231" spans="1:1" x14ac:dyDescent="0.25">
      <c r="A231"/>
    </row>
    <row r="232" spans="1:1" x14ac:dyDescent="0.25">
      <c r="A232"/>
    </row>
    <row r="233" spans="1:1" x14ac:dyDescent="0.25">
      <c r="A233"/>
    </row>
    <row r="234" spans="1:1" x14ac:dyDescent="0.25">
      <c r="A234"/>
    </row>
    <row r="235" spans="1:1" x14ac:dyDescent="0.25">
      <c r="A235"/>
    </row>
    <row r="236" spans="1:1" x14ac:dyDescent="0.25">
      <c r="A236"/>
    </row>
    <row r="237" spans="1:1" x14ac:dyDescent="0.25">
      <c r="A237"/>
    </row>
    <row r="238" spans="1:1" x14ac:dyDescent="0.25">
      <c r="A238"/>
    </row>
    <row r="239" spans="1:1" x14ac:dyDescent="0.25">
      <c r="A239"/>
    </row>
    <row r="240" spans="1:1" x14ac:dyDescent="0.25">
      <c r="A240"/>
    </row>
    <row r="241" spans="1:1" x14ac:dyDescent="0.25">
      <c r="A241"/>
    </row>
    <row r="242" spans="1:1" x14ac:dyDescent="0.25">
      <c r="A242"/>
    </row>
    <row r="243" spans="1:1" x14ac:dyDescent="0.25">
      <c r="A243"/>
    </row>
    <row r="244" spans="1:1" x14ac:dyDescent="0.25">
      <c r="A244"/>
    </row>
    <row r="245" spans="1:1" x14ac:dyDescent="0.25">
      <c r="A245"/>
    </row>
    <row r="246" spans="1:1" x14ac:dyDescent="0.25">
      <c r="A246"/>
    </row>
    <row r="247" spans="1:1" x14ac:dyDescent="0.25">
      <c r="A247"/>
    </row>
    <row r="248" spans="1:1" x14ac:dyDescent="0.25">
      <c r="A248"/>
    </row>
    <row r="249" spans="1:1" x14ac:dyDescent="0.25">
      <c r="A249"/>
    </row>
    <row r="250" spans="1:1" x14ac:dyDescent="0.25">
      <c r="A250"/>
    </row>
    <row r="251" spans="1:1" x14ac:dyDescent="0.25">
      <c r="A251"/>
    </row>
    <row r="252" spans="1:1" x14ac:dyDescent="0.25">
      <c r="A252"/>
    </row>
    <row r="253" spans="1:1" x14ac:dyDescent="0.25">
      <c r="A253"/>
    </row>
    <row r="254" spans="1:1" x14ac:dyDescent="0.25">
      <c r="A254"/>
    </row>
    <row r="255" spans="1:1" x14ac:dyDescent="0.25">
      <c r="A255"/>
    </row>
    <row r="256" spans="1:1" x14ac:dyDescent="0.25">
      <c r="A256"/>
    </row>
    <row r="257" spans="1:1" x14ac:dyDescent="0.25">
      <c r="A257"/>
    </row>
    <row r="258" spans="1:1" x14ac:dyDescent="0.25">
      <c r="A258"/>
    </row>
    <row r="259" spans="1:1" x14ac:dyDescent="0.25">
      <c r="A259"/>
    </row>
    <row r="260" spans="1:1" x14ac:dyDescent="0.25">
      <c r="A260"/>
    </row>
    <row r="261" spans="1:1" x14ac:dyDescent="0.25">
      <c r="A261"/>
    </row>
    <row r="262" spans="1:1" x14ac:dyDescent="0.25">
      <c r="A262"/>
    </row>
    <row r="263" spans="1:1" x14ac:dyDescent="0.25">
      <c r="A263"/>
    </row>
    <row r="264" spans="1:1" x14ac:dyDescent="0.25">
      <c r="A264"/>
    </row>
    <row r="265" spans="1:1" x14ac:dyDescent="0.25">
      <c r="A265"/>
    </row>
    <row r="266" spans="1:1" x14ac:dyDescent="0.25">
      <c r="A266"/>
    </row>
    <row r="267" spans="1:1" x14ac:dyDescent="0.25">
      <c r="A267"/>
    </row>
    <row r="268" spans="1:1" x14ac:dyDescent="0.25">
      <c r="A268"/>
    </row>
    <row r="269" spans="1:1" x14ac:dyDescent="0.25">
      <c r="A269"/>
    </row>
    <row r="270" spans="1:1" x14ac:dyDescent="0.25">
      <c r="A270"/>
    </row>
    <row r="271" spans="1:1" x14ac:dyDescent="0.25">
      <c r="A271"/>
    </row>
    <row r="272" spans="1:1" x14ac:dyDescent="0.25">
      <c r="A272"/>
    </row>
    <row r="273" spans="1:1" x14ac:dyDescent="0.25">
      <c r="A273"/>
    </row>
    <row r="274" spans="1:1" x14ac:dyDescent="0.25">
      <c r="A274"/>
    </row>
    <row r="275" spans="1:1" x14ac:dyDescent="0.25">
      <c r="A275"/>
    </row>
    <row r="276" spans="1:1" x14ac:dyDescent="0.25">
      <c r="A276"/>
    </row>
    <row r="277" spans="1:1" x14ac:dyDescent="0.25">
      <c r="A277"/>
    </row>
    <row r="278" spans="1:1" x14ac:dyDescent="0.25">
      <c r="A278"/>
    </row>
    <row r="279" spans="1:1" x14ac:dyDescent="0.25">
      <c r="A279"/>
    </row>
    <row r="280" spans="1:1" x14ac:dyDescent="0.25">
      <c r="A280"/>
    </row>
    <row r="281" spans="1:1" x14ac:dyDescent="0.25">
      <c r="A281"/>
    </row>
    <row r="282" spans="1:1" x14ac:dyDescent="0.25">
      <c r="A282"/>
    </row>
    <row r="283" spans="1:1" x14ac:dyDescent="0.25">
      <c r="A283"/>
    </row>
    <row r="284" spans="1:1" x14ac:dyDescent="0.25">
      <c r="A284"/>
    </row>
    <row r="285" spans="1:1" x14ac:dyDescent="0.25">
      <c r="A285"/>
    </row>
    <row r="286" spans="1:1" x14ac:dyDescent="0.25">
      <c r="A286"/>
    </row>
    <row r="287" spans="1:1" x14ac:dyDescent="0.25">
      <c r="A287"/>
    </row>
    <row r="288" spans="1:1" x14ac:dyDescent="0.25">
      <c r="A288"/>
    </row>
    <row r="289" spans="1:1" x14ac:dyDescent="0.25">
      <c r="A289"/>
    </row>
    <row r="290" spans="1:1" x14ac:dyDescent="0.25">
      <c r="A290"/>
    </row>
    <row r="291" spans="1:1" x14ac:dyDescent="0.25">
      <c r="A291"/>
    </row>
    <row r="292" spans="1:1" x14ac:dyDescent="0.25">
      <c r="A292"/>
    </row>
    <row r="293" spans="1:1" x14ac:dyDescent="0.25">
      <c r="A293"/>
    </row>
    <row r="294" spans="1:1" x14ac:dyDescent="0.25">
      <c r="A294"/>
    </row>
    <row r="295" spans="1:1" x14ac:dyDescent="0.25">
      <c r="A295"/>
    </row>
    <row r="296" spans="1:1" x14ac:dyDescent="0.25">
      <c r="A296"/>
    </row>
    <row r="297" spans="1:1" x14ac:dyDescent="0.25">
      <c r="A297"/>
    </row>
    <row r="298" spans="1:1" x14ac:dyDescent="0.25">
      <c r="A298"/>
    </row>
    <row r="299" spans="1:1" x14ac:dyDescent="0.25">
      <c r="A299"/>
    </row>
    <row r="300" spans="1:1" x14ac:dyDescent="0.25">
      <c r="A300"/>
    </row>
    <row r="301" spans="1:1" x14ac:dyDescent="0.25">
      <c r="A301"/>
    </row>
    <row r="302" spans="1:1" x14ac:dyDescent="0.25">
      <c r="A302"/>
    </row>
    <row r="303" spans="1:1" x14ac:dyDescent="0.25">
      <c r="A303"/>
    </row>
    <row r="304" spans="1:1" x14ac:dyDescent="0.25">
      <c r="A304"/>
    </row>
    <row r="305" spans="1:1" x14ac:dyDescent="0.25">
      <c r="A305"/>
    </row>
    <row r="306" spans="1:1" x14ac:dyDescent="0.25">
      <c r="A306"/>
    </row>
    <row r="307" spans="1:1" x14ac:dyDescent="0.25">
      <c r="A307"/>
    </row>
    <row r="308" spans="1:1" x14ac:dyDescent="0.25">
      <c r="A308"/>
    </row>
    <row r="309" spans="1:1" x14ac:dyDescent="0.25">
      <c r="A309"/>
    </row>
    <row r="310" spans="1:1" x14ac:dyDescent="0.25">
      <c r="A310"/>
    </row>
    <row r="311" spans="1:1" x14ac:dyDescent="0.25">
      <c r="A311"/>
    </row>
    <row r="312" spans="1:1" x14ac:dyDescent="0.25">
      <c r="A312"/>
    </row>
    <row r="313" spans="1:1" x14ac:dyDescent="0.25">
      <c r="A313"/>
    </row>
    <row r="314" spans="1:1" x14ac:dyDescent="0.25">
      <c r="A314"/>
    </row>
    <row r="315" spans="1:1" x14ac:dyDescent="0.25">
      <c r="A315"/>
    </row>
    <row r="316" spans="1:1" x14ac:dyDescent="0.25">
      <c r="A316"/>
    </row>
    <row r="317" spans="1:1" x14ac:dyDescent="0.25">
      <c r="A317"/>
    </row>
    <row r="318" spans="1:1" x14ac:dyDescent="0.25">
      <c r="A318"/>
    </row>
    <row r="319" spans="1:1" x14ac:dyDescent="0.25">
      <c r="A319"/>
    </row>
    <row r="320" spans="1:1" x14ac:dyDescent="0.25">
      <c r="A320"/>
    </row>
    <row r="321" spans="1:1" x14ac:dyDescent="0.25">
      <c r="A321"/>
    </row>
    <row r="322" spans="1:1" x14ac:dyDescent="0.25">
      <c r="A322"/>
    </row>
    <row r="323" spans="1:1" x14ac:dyDescent="0.25">
      <c r="A323"/>
    </row>
    <row r="324" spans="1:1" x14ac:dyDescent="0.25">
      <c r="A324"/>
    </row>
    <row r="325" spans="1:1" x14ac:dyDescent="0.25">
      <c r="A325"/>
    </row>
    <row r="326" spans="1:1" x14ac:dyDescent="0.25">
      <c r="A326"/>
    </row>
    <row r="327" spans="1:1" x14ac:dyDescent="0.25">
      <c r="A327"/>
    </row>
    <row r="328" spans="1:1" x14ac:dyDescent="0.25">
      <c r="A328"/>
    </row>
    <row r="329" spans="1:1" x14ac:dyDescent="0.25">
      <c r="A329"/>
    </row>
    <row r="330" spans="1:1" x14ac:dyDescent="0.25">
      <c r="A330"/>
    </row>
    <row r="331" spans="1:1" x14ac:dyDescent="0.25">
      <c r="A331"/>
    </row>
    <row r="332" spans="1:1" x14ac:dyDescent="0.25">
      <c r="A332"/>
    </row>
    <row r="333" spans="1:1" x14ac:dyDescent="0.25">
      <c r="A333"/>
    </row>
    <row r="334" spans="1:1" x14ac:dyDescent="0.25">
      <c r="A334"/>
    </row>
    <row r="335" spans="1:1" x14ac:dyDescent="0.25">
      <c r="A335"/>
    </row>
    <row r="336" spans="1:1" x14ac:dyDescent="0.25">
      <c r="A336"/>
    </row>
    <row r="337" spans="1:1" x14ac:dyDescent="0.25">
      <c r="A337"/>
    </row>
    <row r="338" spans="1:1" x14ac:dyDescent="0.25">
      <c r="A338"/>
    </row>
    <row r="339" spans="1:1" x14ac:dyDescent="0.25">
      <c r="A339"/>
    </row>
    <row r="340" spans="1:1" x14ac:dyDescent="0.25">
      <c r="A340"/>
    </row>
    <row r="341" spans="1:1" x14ac:dyDescent="0.25">
      <c r="A341"/>
    </row>
    <row r="342" spans="1:1" x14ac:dyDescent="0.25">
      <c r="A342"/>
    </row>
    <row r="343" spans="1:1" x14ac:dyDescent="0.25">
      <c r="A343"/>
    </row>
    <row r="344" spans="1:1" x14ac:dyDescent="0.25">
      <c r="A344"/>
    </row>
    <row r="345" spans="1:1" x14ac:dyDescent="0.25">
      <c r="A345"/>
    </row>
    <row r="346" spans="1:1" x14ac:dyDescent="0.25">
      <c r="A346"/>
    </row>
    <row r="347" spans="1:1" x14ac:dyDescent="0.25">
      <c r="A347"/>
    </row>
    <row r="348" spans="1:1" x14ac:dyDescent="0.25">
      <c r="A348"/>
    </row>
    <row r="349" spans="1:1" x14ac:dyDescent="0.25">
      <c r="A349"/>
    </row>
    <row r="350" spans="1:1" x14ac:dyDescent="0.25">
      <c r="A350"/>
    </row>
    <row r="351" spans="1:1" x14ac:dyDescent="0.25">
      <c r="A351"/>
    </row>
    <row r="352" spans="1:1" x14ac:dyDescent="0.25">
      <c r="A352"/>
    </row>
    <row r="353" spans="1:1" x14ac:dyDescent="0.25">
      <c r="A353"/>
    </row>
    <row r="354" spans="1:1" x14ac:dyDescent="0.25">
      <c r="A354"/>
    </row>
    <row r="355" spans="1:1" x14ac:dyDescent="0.25">
      <c r="A355"/>
    </row>
    <row r="356" spans="1:1" x14ac:dyDescent="0.25">
      <c r="A356"/>
    </row>
    <row r="357" spans="1:1" x14ac:dyDescent="0.25">
      <c r="A357"/>
    </row>
    <row r="358" spans="1:1" x14ac:dyDescent="0.25">
      <c r="A358"/>
    </row>
    <row r="359" spans="1:1" x14ac:dyDescent="0.25">
      <c r="A359"/>
    </row>
    <row r="360" spans="1:1" x14ac:dyDescent="0.25">
      <c r="A360"/>
    </row>
    <row r="361" spans="1:1" x14ac:dyDescent="0.25">
      <c r="A361"/>
    </row>
    <row r="362" spans="1:1" x14ac:dyDescent="0.25">
      <c r="A362"/>
    </row>
    <row r="363" spans="1:1" x14ac:dyDescent="0.25">
      <c r="A363"/>
    </row>
  </sheetData>
  <pageMargins left="0.7" right="0.7" top="0.75" bottom="0.75" header="0.3" footer="0.3"/>
  <pageSetup scale="48" fitToHeight="0" orientation="landscape"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2">
    <tabColor rgb="FF92D050"/>
    <pageSetUpPr fitToPage="1"/>
  </sheetPr>
  <dimension ref="B2:K118"/>
  <sheetViews>
    <sheetView showGridLines="0" topLeftCell="B7" zoomScaleNormal="100" workbookViewId="0">
      <selection activeCell="D88" sqref="A1:XFD1048576"/>
    </sheetView>
  </sheetViews>
  <sheetFormatPr defaultRowHeight="15" outlineLevelRow="3" x14ac:dyDescent="0.25"/>
  <cols>
    <col min="2" max="2" width="58.7109375" customWidth="1"/>
    <col min="3" max="3" width="22.42578125" customWidth="1"/>
    <col min="4" max="4" width="14.7109375" customWidth="1"/>
    <col min="5" max="6" width="16.5703125" customWidth="1"/>
    <col min="7" max="7" width="14.85546875" bestFit="1" customWidth="1"/>
    <col min="8" max="8" width="15.140625" customWidth="1"/>
    <col min="9" max="10" width="10.140625" hidden="1" customWidth="1"/>
    <col min="11" max="11" width="11.140625" hidden="1" customWidth="1"/>
    <col min="12" max="13" width="10.140625" bestFit="1" customWidth="1"/>
    <col min="14" max="14" width="13.140625" bestFit="1" customWidth="1"/>
    <col min="15" max="16" width="11.140625" bestFit="1" customWidth="1"/>
    <col min="17" max="17" width="10.140625" bestFit="1" customWidth="1"/>
    <col min="18" max="18" width="13.140625" bestFit="1" customWidth="1"/>
    <col min="19" max="19" width="10.28515625" bestFit="1" customWidth="1"/>
    <col min="20" max="21" width="10.140625" bestFit="1" customWidth="1"/>
    <col min="22" max="22" width="13.140625" bestFit="1" customWidth="1"/>
    <col min="23" max="23" width="10.28515625" bestFit="1" customWidth="1"/>
    <col min="24" max="25" width="10.140625" bestFit="1" customWidth="1"/>
    <col min="26" max="26" width="13.140625" bestFit="1" customWidth="1"/>
    <col min="27" max="27" width="10.28515625" bestFit="1" customWidth="1"/>
    <col min="28" max="29" width="10.140625" bestFit="1" customWidth="1"/>
    <col min="30" max="30" width="13.140625" bestFit="1" customWidth="1"/>
    <col min="31" max="31" width="11.140625" bestFit="1" customWidth="1"/>
    <col min="32" max="32" width="13.140625" bestFit="1" customWidth="1"/>
    <col min="33" max="33" width="12.7109375" bestFit="1" customWidth="1"/>
    <col min="34" max="34" width="9" bestFit="1" customWidth="1"/>
    <col min="35" max="38" width="11" bestFit="1" customWidth="1"/>
  </cols>
  <sheetData>
    <row r="2" spans="2:8" x14ac:dyDescent="0.25">
      <c r="B2" s="4" t="s">
        <v>152</v>
      </c>
      <c r="C2" t="s" vm="187">
        <v>777</v>
      </c>
    </row>
    <row r="3" spans="2:8" x14ac:dyDescent="0.25">
      <c r="B3" s="4" t="s">
        <v>244</v>
      </c>
      <c r="C3" t="s" vm="12">
        <v>245</v>
      </c>
    </row>
    <row r="4" spans="2:8" x14ac:dyDescent="0.25">
      <c r="D4" s="182"/>
      <c r="E4" s="182"/>
    </row>
    <row r="5" spans="2:8" x14ac:dyDescent="0.25">
      <c r="B5" t="str" vm="9">
        <f>CUBEMEMBER("ThisWorkbookDataModel","[Measures].[Sum of Износ]")</f>
        <v>Sum of Износ</v>
      </c>
      <c r="H5" s="78" t="s">
        <v>325</v>
      </c>
    </row>
    <row r="6" spans="2:8" s="2" customFormat="1" ht="45" x14ac:dyDescent="0.25">
      <c r="B6" s="16" t="s">
        <v>1116</v>
      </c>
      <c r="C6" s="110" t="str" vm="1476">
        <f>CUBEMEMBER("ThisWorkbookDataModel","[Calendar].[Квартал].&amp;[2023-03-31T00:00:00]")</f>
        <v>3/31/2023</v>
      </c>
      <c r="D6" s="110" t="str" vm="1475">
        <f>CUBEMEMBER("ThisWorkbookDataModel","[Calendar].[Квартал].&amp;[2023-06-30T00:00:00]")</f>
        <v>6/30/2023</v>
      </c>
      <c r="E6" s="110" t="str" vm="1477">
        <f>CUBEMEMBER("ThisWorkbookDataModel","[Calendar].[Квартал].&amp;[2023-09-30T00:00:00]")</f>
        <v>9/30/2023</v>
      </c>
      <c r="F6" s="110" t="str" vm="1478">
        <f>CUBEMEMBER("ThisWorkbookDataModel","[Calendar].[Квартал].&amp;[2023-12-31T00:00:00]")</f>
        <v>12/31/2023</v>
      </c>
      <c r="G6" s="111" t="s">
        <v>153</v>
      </c>
      <c r="H6" s="112" t="s">
        <v>1115</v>
      </c>
    </row>
    <row r="7" spans="2:8" s="8" customFormat="1" x14ac:dyDescent="0.25">
      <c r="B7" s="101" t="str" vm="58">
        <f>CUBEMEMBER("ThisWorkbookDataModel","[fActualAndBudget].[StavkaKategorija].&amp;[2.29. Приходи од продажба]")</f>
        <v>2.29. Приходи од продажба</v>
      </c>
      <c r="C7" s="102" vm="1591">
        <f>CUBEVALUE("ThisWorkbookDataModel",$C$2,$C$3,$B$5,$B7,C$6)</f>
        <v>217342424</v>
      </c>
      <c r="D7" s="102" vm="1526">
        <f>CUBEVALUE("ThisWorkbookDataModel",$C$2,$C$3,$B$5,$B7,D$6)</f>
        <v>63143392</v>
      </c>
      <c r="E7" s="102" vm="1908">
        <f>CUBEVALUE("ThisWorkbookDataModel",$C$2,$C$3,$B$5,$B7,E$6)</f>
        <v>54800105</v>
      </c>
      <c r="F7" s="102" vm="1801">
        <f>CUBEVALUE("ThisWorkbookDataModel",$C$2,$C$3,$B$5,$B7,F$6)</f>
        <v>64523525</v>
      </c>
      <c r="G7" s="102">
        <f t="shared" ref="G7:G25" si="0">SUM(C7:F7)</f>
        <v>399809446</v>
      </c>
      <c r="H7" s="103">
        <f t="shared" ref="H7:H20" si="1">G7/$G$26</f>
        <v>0.98672260608340245</v>
      </c>
    </row>
    <row r="8" spans="2:8" hidden="1" outlineLevel="1" x14ac:dyDescent="0.25">
      <c r="B8" s="104" t="str" vm="45">
        <f>CUBEMEMBER("ThisWorkbookDataModel",{"[fActualAndBudget].[StavkaKategorija].&amp;[2.29. Приходи од продажба]","[fActualAndBudget].[StavkaImeMK].&amp;[Приходи од годишни сметки]"})</f>
        <v>Приходи од годишни сметки</v>
      </c>
      <c r="C8" s="102" vm="1909">
        <f t="shared" ref="C8:F27" si="2">CUBEVALUE("ThisWorkbookDataModel",$C$2,$C$3,$B$5,$B8,C$6)</f>
        <v>162246329</v>
      </c>
      <c r="D8" s="102" vm="1505">
        <f t="shared" si="2"/>
        <v>7766386</v>
      </c>
      <c r="E8" s="102" vm="1705">
        <f t="shared" si="2"/>
        <v>7768934</v>
      </c>
      <c r="F8" s="102" vm="1714">
        <f t="shared" si="2"/>
        <v>8211286</v>
      </c>
      <c r="G8" s="102">
        <f t="shared" si="0"/>
        <v>185992935</v>
      </c>
      <c r="H8" s="103">
        <f t="shared" si="1"/>
        <v>0.45902725754083579</v>
      </c>
    </row>
    <row r="9" spans="2:8" hidden="1" outlineLevel="1" x14ac:dyDescent="0.25">
      <c r="B9" s="104" t="str" vm="49">
        <f>CUBEMEMBER("ThisWorkbookDataModel",{"[fActualAndBudget].[StavkaKategorija].&amp;[2.29. Приходи од продажба]","[fActualAndBudget].[StavkaImeMK].&amp;[Приходи од заложен регистар]"})</f>
        <v>Приходи од заложен регистар</v>
      </c>
      <c r="C9" s="102" vm="1742">
        <f t="shared" si="2"/>
        <v>472152</v>
      </c>
      <c r="D9" s="102" vm="1489">
        <f t="shared" si="2"/>
        <v>498345</v>
      </c>
      <c r="E9" s="102" vm="1717">
        <f t="shared" si="2"/>
        <v>504642</v>
      </c>
      <c r="F9" s="102" vm="1600">
        <f t="shared" si="2"/>
        <v>594623</v>
      </c>
      <c r="G9" s="102">
        <f t="shared" si="0"/>
        <v>2069762</v>
      </c>
      <c r="H9" s="103">
        <f t="shared" si="1"/>
        <v>5.1081358258163699E-3</v>
      </c>
    </row>
    <row r="10" spans="2:8" hidden="1" outlineLevel="1" x14ac:dyDescent="0.25">
      <c r="B10" s="104" t="str" vm="41">
        <f>CUBEMEMBER("ThisWorkbookDataModel",{"[fActualAndBudget].[StavkaKategorija].&amp;[2.29. Приходи од продажба]","[fActualAndBudget].[StavkaImeMK].&amp;[Приходи од интернет дистрибутивен систем]"})</f>
        <v>Приходи од интернет дистрибутивен систем</v>
      </c>
      <c r="C10" s="102" vm="1732">
        <f t="shared" si="2"/>
        <v>10261987</v>
      </c>
      <c r="D10" s="102" vm="1631">
        <f t="shared" si="2"/>
        <v>8698751</v>
      </c>
      <c r="E10" s="102" vm="1653">
        <f t="shared" si="2"/>
        <v>7537110</v>
      </c>
      <c r="F10" s="102" vm="1876">
        <f t="shared" si="2"/>
        <v>8899321</v>
      </c>
      <c r="G10" s="102">
        <f t="shared" si="0"/>
        <v>35397169</v>
      </c>
      <c r="H10" s="103">
        <f t="shared" si="1"/>
        <v>8.7359583904514912E-2</v>
      </c>
    </row>
    <row r="11" spans="2:8" hidden="1" outlineLevel="1" x14ac:dyDescent="0.25">
      <c r="B11" s="104" t="str" vm="188">
        <f>CUBEMEMBER("ThisWorkbookDataModel",{"[fActualAndBudget].[StavkaKategorija].&amp;[2.29. Приходи од продажба]","[fActualAndBudget].[StavkaImeMK].&amp;[Приходи од регистар на вистински сопственици]"})</f>
        <v>Приходи од регистар на вистински сопственици</v>
      </c>
      <c r="C11" s="102" vm="1903">
        <f t="shared" si="2"/>
        <v>7217817</v>
      </c>
      <c r="D11" s="102" vm="1796">
        <f t="shared" si="2"/>
        <v>6424134</v>
      </c>
      <c r="E11" s="102" vm="1540">
        <f t="shared" si="2"/>
        <v>5075813</v>
      </c>
      <c r="F11" s="102" vm="1835">
        <f t="shared" si="2"/>
        <v>9180077</v>
      </c>
      <c r="G11" s="102">
        <f t="shared" si="0"/>
        <v>27897841</v>
      </c>
      <c r="H11" s="103">
        <f t="shared" si="1"/>
        <v>6.8851375701664622E-2</v>
      </c>
    </row>
    <row r="12" spans="2:8" hidden="1" outlineLevel="1" x14ac:dyDescent="0.25">
      <c r="B12" s="104" t="str" vm="32">
        <f>CUBEMEMBER("ThisWorkbookDataModel",{"[fActualAndBudget].[StavkaKategorija].&amp;[2.29. Приходи од продажба]","[fActualAndBudget].[StavkaImeMK].&amp;[Приходи од регистар на директни странски инвестиции]"})</f>
        <v>Приходи од регистар на директни странски инвестиции</v>
      </c>
      <c r="C12" s="102" vm="1577">
        <f t="shared" si="2"/>
        <v>305661</v>
      </c>
      <c r="D12" s="102" vm="1486">
        <f t="shared" si="2"/>
        <v>323501</v>
      </c>
      <c r="E12" s="102" vm="1685">
        <f t="shared" si="2"/>
        <v>271543</v>
      </c>
      <c r="F12" s="102" vm="1700">
        <f t="shared" si="2"/>
        <v>318248</v>
      </c>
      <c r="G12" s="102">
        <f t="shared" si="0"/>
        <v>1218953</v>
      </c>
      <c r="H12" s="103">
        <f t="shared" si="1"/>
        <v>3.0083543370137923E-3</v>
      </c>
    </row>
    <row r="13" spans="2:8" hidden="1" outlineLevel="1" x14ac:dyDescent="0.25">
      <c r="B13" s="104" t="str" vm="28">
        <f>CUBEMEMBER("ThisWorkbookDataModel",{"[fActualAndBudget].[StavkaKategorija].&amp;[2.29. Приходи од продажба]","[fActualAndBudget].[StavkaImeMK].&amp;[Приходи од Регистар на лизинг]"})</f>
        <v>Приходи од Регистар на лизинг</v>
      </c>
      <c r="C13" s="102" vm="1902">
        <f t="shared" si="2"/>
        <v>204635</v>
      </c>
      <c r="D13" s="102" vm="1905">
        <f t="shared" si="2"/>
        <v>282769</v>
      </c>
      <c r="E13" s="102" vm="1560">
        <f t="shared" si="2"/>
        <v>276548</v>
      </c>
      <c r="F13" s="102" vm="1837">
        <f t="shared" si="2"/>
        <v>270241</v>
      </c>
      <c r="G13" s="102">
        <f t="shared" si="0"/>
        <v>1034193</v>
      </c>
      <c r="H13" s="103">
        <f t="shared" si="1"/>
        <v>2.5523699411374393E-3</v>
      </c>
    </row>
    <row r="14" spans="2:8" hidden="1" outlineLevel="1" x14ac:dyDescent="0.25">
      <c r="B14" s="104" t="str" vm="57">
        <f>CUBEMEMBER("ThisWorkbookDataModel",{"[fActualAndBudget].[StavkaKategorija].&amp;[2.29. Приходи од продажба]","[fActualAndBudget].[StavkaImeMK].&amp;[Приходи од регистар на недвижности]"})</f>
        <v>Приходи од регистар на недвижности</v>
      </c>
      <c r="C14" s="102" vm="1760">
        <f t="shared" si="2"/>
        <v>1171</v>
      </c>
      <c r="D14" s="102" vm="1688">
        <f t="shared" si="2"/>
        <v>2716</v>
      </c>
      <c r="E14" s="102" vm="1672">
        <f t="shared" si="2"/>
        <v>1757</v>
      </c>
      <c r="F14" s="102" vm="1630">
        <f t="shared" si="2"/>
        <v>1917</v>
      </c>
      <c r="G14" s="102">
        <f t="shared" si="0"/>
        <v>7561</v>
      </c>
      <c r="H14" s="103">
        <f t="shared" si="1"/>
        <v>1.8660413602625603E-5</v>
      </c>
    </row>
    <row r="15" spans="2:8" hidden="1" outlineLevel="1" x14ac:dyDescent="0.25">
      <c r="B15" s="104" t="str" vm="52">
        <f>CUBEMEMBER("ThisWorkbookDataModel",{"[fActualAndBudget].[StavkaKategorija].&amp;[2.29. Приходи од продажба]","[fActualAndBudget].[StavkaImeMK].&amp;[Приходи од Регистар на резиденти и нерезиденти]"})</f>
        <v>Приходи од Регистар на резиденти и нерезиденти</v>
      </c>
      <c r="C15" s="102" vm="1815">
        <f t="shared" si="2"/>
        <v>68074</v>
      </c>
      <c r="D15" s="102" vm="1610">
        <f t="shared" si="2"/>
        <v>52362</v>
      </c>
      <c r="E15" s="102" vm="1517">
        <f t="shared" si="2"/>
        <v>73716</v>
      </c>
      <c r="F15" s="102" vm="1602">
        <f t="shared" si="2"/>
        <v>77456</v>
      </c>
      <c r="G15" s="102">
        <f t="shared" si="0"/>
        <v>271608</v>
      </c>
      <c r="H15" s="103">
        <f t="shared" si="1"/>
        <v>6.7032371614626828E-4</v>
      </c>
    </row>
    <row r="16" spans="2:8" hidden="1" outlineLevel="1" x14ac:dyDescent="0.25">
      <c r="B16" s="104" t="str" vm="43">
        <f>CUBEMEMBER("ThisWorkbookDataModel",{"[fActualAndBudget].[StavkaKategorija].&amp;[2.29. Приходи од продажба]","[fActualAndBudget].[StavkaImeMK].&amp;[Приходи од регистрите за кривични санкции, пресуди и др.]"})</f>
        <v>Приходи од регистрите за кривични санкции, пресуди и др.</v>
      </c>
      <c r="C16" s="102" vm="1601">
        <f t="shared" si="2"/>
        <v>3827531</v>
      </c>
      <c r="D16" s="102" vm="1658">
        <f t="shared" si="2"/>
        <v>6543543</v>
      </c>
      <c r="E16" s="102" vm="1636">
        <f t="shared" si="2"/>
        <v>3366875</v>
      </c>
      <c r="F16" s="102" vm="1870">
        <f t="shared" si="2"/>
        <v>3736801</v>
      </c>
      <c r="G16" s="102">
        <f t="shared" si="0"/>
        <v>17474750</v>
      </c>
      <c r="H16" s="103">
        <f t="shared" si="1"/>
        <v>4.3127372384933436E-2</v>
      </c>
    </row>
    <row r="17" spans="2:8" hidden="1" outlineLevel="1" x14ac:dyDescent="0.25">
      <c r="B17" s="104" t="str" vm="47">
        <f>CUBEMEMBER("ThisWorkbookDataModel",{"[fActualAndBudget].[StavkaKategorija].&amp;[2.29. Приходи од продажба]","[fActualAndBudget].[StavkaImeMK].&amp;[Приходи од странство]"})</f>
        <v>Приходи од странство</v>
      </c>
      <c r="C17" s="102" vm="1641">
        <f t="shared" si="2"/>
        <v>10842</v>
      </c>
      <c r="D17" s="102" vm="1828">
        <f t="shared" si="2"/>
        <v>165922</v>
      </c>
      <c r="E17" s="102" vm="1799">
        <f t="shared" si="2"/>
        <v>22726</v>
      </c>
      <c r="F17" s="102" vm="1812">
        <f t="shared" si="2"/>
        <v>36993</v>
      </c>
      <c r="G17" s="102">
        <f t="shared" si="0"/>
        <v>236483</v>
      </c>
      <c r="H17" s="103">
        <f t="shared" si="1"/>
        <v>5.8363584049592784E-4</v>
      </c>
    </row>
    <row r="18" spans="2:8" hidden="1" outlineLevel="1" x14ac:dyDescent="0.25">
      <c r="B18" s="104" t="str" vm="37">
        <f>CUBEMEMBER("ThisWorkbookDataModel",{"[fActualAndBudget].[StavkaKategorija].&amp;[2.29. Приходи од продажба]","[fActualAndBudget].[StavkaImeMK].&amp;[Приходи од трговски регистар]"})</f>
        <v>Приходи од трговски регистар</v>
      </c>
      <c r="C18" s="102" vm="1795">
        <f t="shared" si="2"/>
        <v>32726225</v>
      </c>
      <c r="D18" s="102" vm="1833">
        <f t="shared" si="2"/>
        <v>32384963</v>
      </c>
      <c r="E18" s="102" vm="1725">
        <f t="shared" si="2"/>
        <v>29900441</v>
      </c>
      <c r="F18" s="102" vm="1906">
        <f t="shared" si="2"/>
        <v>33196562</v>
      </c>
      <c r="G18" s="102">
        <f t="shared" si="0"/>
        <v>128208191</v>
      </c>
      <c r="H18" s="103">
        <f t="shared" si="1"/>
        <v>0.31641553647724124</v>
      </c>
    </row>
    <row r="19" spans="2:8" hidden="1" outlineLevel="1" x14ac:dyDescent="0.25">
      <c r="B19" s="104" t="str" vm="71">
        <f>CUBEMEMBER("ThisWorkbookDataModel",{"[fActualAndBudget].[StavkaKategorija].&amp;[2.29. Приходи од продажба]","[fActualAndBudget].[StavkaImeMK].&amp;[Приходи од регистар на задолжница]"})</f>
        <v>Приходи од регистар на задолжница</v>
      </c>
      <c r="C19" s="102" vm="1794">
        <f t="shared" si="2"/>
        <v>0</v>
      </c>
      <c r="D19" s="102" vm="1779">
        <f t="shared" si="2"/>
        <v>0</v>
      </c>
      <c r="E19" s="102" vm="1563">
        <f t="shared" si="2"/>
        <v>0</v>
      </c>
      <c r="F19" s="102" vm="1537">
        <f t="shared" si="2"/>
        <v>0</v>
      </c>
      <c r="G19" s="102">
        <f t="shared" ref="G19" si="3">SUM(C19:F19)</f>
        <v>0</v>
      </c>
      <c r="H19" s="103">
        <f t="shared" si="1"/>
        <v>0</v>
      </c>
    </row>
    <row r="20" spans="2:8" s="8" customFormat="1" collapsed="1" x14ac:dyDescent="0.25">
      <c r="B20" s="101" t="str" vm="33">
        <f>CUBEMEMBER("ThisWorkbookDataModel","[fActualAndBudget].[StavkaKategorija].&amp;[2.30. Останати оперативни приходи]")</f>
        <v>2.30. Останати оперативни приходи</v>
      </c>
      <c r="C20" s="102" vm="1884">
        <f t="shared" si="2"/>
        <v>1308204</v>
      </c>
      <c r="D20" s="102" vm="1810">
        <f t="shared" si="2"/>
        <v>1379196</v>
      </c>
      <c r="E20" s="102" vm="1655">
        <f t="shared" si="2"/>
        <v>1414790</v>
      </c>
      <c r="F20" s="102" vm="1551">
        <f t="shared" si="2"/>
        <v>1277668</v>
      </c>
      <c r="G20" s="102">
        <f t="shared" si="0"/>
        <v>5379858</v>
      </c>
      <c r="H20" s="103">
        <f t="shared" si="1"/>
        <v>1.3277393916597562E-2</v>
      </c>
    </row>
    <row r="21" spans="2:8" hidden="1" outlineLevel="1" x14ac:dyDescent="0.25">
      <c r="B21" s="105" t="str" vm="63">
        <f>CUBEMEMBER("ThisWorkbookDataModel",{"[fActualAndBudget].[StavkaKategorija].&amp;[2.30. Останати оперативни приходи]","[fActualAndBudget].[StavkaImeMK].&amp;[Вонредни невообичаени приходи]"})</f>
        <v>Вонредни невообичаени приходи</v>
      </c>
      <c r="C21" s="102" vm="1912">
        <f t="shared" si="2"/>
        <v>0</v>
      </c>
      <c r="D21" s="102" vm="1566">
        <f t="shared" si="2"/>
        <v>0</v>
      </c>
      <c r="E21" s="102" vm="1706">
        <f t="shared" si="2"/>
        <v>-453</v>
      </c>
      <c r="F21" s="102" vm="1543">
        <f t="shared" si="2"/>
        <v>0</v>
      </c>
      <c r="G21" s="17">
        <f t="shared" si="0"/>
        <v>-453</v>
      </c>
      <c r="H21" s="106"/>
    </row>
    <row r="22" spans="2:8" hidden="1" outlineLevel="1" x14ac:dyDescent="0.25">
      <c r="B22" s="105" t="str" vm="70">
        <f>CUBEMEMBER("ThisWorkbookDataModel",{"[fActualAndBudget].[StavkaKategorija].&amp;[2.30. Останати оперативни приходи]","[fActualAndBudget].[StavkaImeMK].&amp;[Други неспомнати приходи]"})</f>
        <v>Други неспомнати приходи</v>
      </c>
      <c r="C22" s="102" vm="1687">
        <f t="shared" si="2"/>
        <v>32853</v>
      </c>
      <c r="D22" s="102" vm="1847">
        <f t="shared" si="2"/>
        <v>123621</v>
      </c>
      <c r="E22" s="102" vm="1875">
        <f t="shared" si="2"/>
        <v>159668</v>
      </c>
      <c r="F22" s="102" vm="1759">
        <f t="shared" si="2"/>
        <v>22093</v>
      </c>
      <c r="G22" s="17">
        <f t="shared" si="0"/>
        <v>338235</v>
      </c>
      <c r="H22" s="106"/>
    </row>
    <row r="23" spans="2:8" hidden="1" outlineLevel="1" x14ac:dyDescent="0.25">
      <c r="B23" s="105" t="str" vm="68">
        <f>CUBEMEMBER("ThisWorkbookDataModel",{"[fActualAndBudget].[StavkaKategorija].&amp;[2.30. Останати оперативни приходи]","[fActualAndBudget].[StavkaImeMK].&amp;[Приходи од донации]"})</f>
        <v>Приходи од донации</v>
      </c>
      <c r="C23" s="102" vm="1911">
        <f t="shared" si="2"/>
        <v>1275351</v>
      </c>
      <c r="D23" s="102" vm="1570">
        <f t="shared" si="2"/>
        <v>1255575</v>
      </c>
      <c r="E23" s="102" vm="1751">
        <f t="shared" si="2"/>
        <v>1255575</v>
      </c>
      <c r="F23" s="102" vm="1628">
        <f t="shared" si="2"/>
        <v>1255575</v>
      </c>
      <c r="G23" s="17">
        <f t="shared" si="0"/>
        <v>5042076</v>
      </c>
      <c r="H23" s="106"/>
    </row>
    <row r="24" spans="2:8" hidden="1" outlineLevel="1" x14ac:dyDescent="0.25">
      <c r="B24" s="105" t="str" vm="66">
        <f>CUBEMEMBER("ThisWorkbookDataModel",{"[fActualAndBudget].[StavkaKategorija].&amp;[2.30. Останати оперативни приходи]","[fActualAndBudget].[StavkaImeMK].&amp;[Приходи од продажба на подвижен имот]"})</f>
        <v>Приходи од продажба на подвижен имот</v>
      </c>
      <c r="C24" s="102" t="str" vm="1617">
        <f t="shared" si="2"/>
        <v/>
      </c>
      <c r="D24" s="102" t="str" vm="1726">
        <f t="shared" si="2"/>
        <v/>
      </c>
      <c r="E24" s="102" t="str" vm="1496">
        <f t="shared" si="2"/>
        <v/>
      </c>
      <c r="F24" s="102" t="str" vm="1785">
        <f t="shared" si="2"/>
        <v/>
      </c>
      <c r="G24" s="17">
        <f t="shared" si="0"/>
        <v>0</v>
      </c>
      <c r="H24" s="106"/>
    </row>
    <row r="25" spans="2:8" hidden="1" outlineLevel="1" x14ac:dyDescent="0.25">
      <c r="B25" s="105" t="str" vm="30">
        <f>CUBEMEMBER("ThisWorkbookDataModel",{"[fActualAndBudget].[StavkaKategorija].&amp;[2.30. Останати оперативни приходи]","[fActualAndBudget].[StavkaImeMK].&amp;[Приходи од закуп]"})</f>
        <v>Приходи од закуп</v>
      </c>
      <c r="C25" s="102" vm="1831">
        <f t="shared" si="2"/>
        <v>0</v>
      </c>
      <c r="D25" s="102" vm="1792">
        <f t="shared" si="2"/>
        <v>0</v>
      </c>
      <c r="E25" s="102" vm="1736">
        <f t="shared" si="2"/>
        <v>0</v>
      </c>
      <c r="F25" s="102" vm="1788">
        <f t="shared" si="2"/>
        <v>0</v>
      </c>
      <c r="G25" s="17">
        <f t="shared" si="0"/>
        <v>0</v>
      </c>
      <c r="H25" s="106"/>
    </row>
    <row r="26" spans="2:8" collapsed="1" x14ac:dyDescent="0.25">
      <c r="B26" s="19" t="s">
        <v>164</v>
      </c>
      <c r="C26" s="20">
        <f t="shared" ref="C26:H26" si="4">SUM(C7,C20)</f>
        <v>218650628</v>
      </c>
      <c r="D26" s="20">
        <f t="shared" si="4"/>
        <v>64522588</v>
      </c>
      <c r="E26" s="20">
        <f t="shared" si="4"/>
        <v>56214895</v>
      </c>
      <c r="F26" s="20">
        <f t="shared" si="4"/>
        <v>65801193</v>
      </c>
      <c r="G26" s="20">
        <f t="shared" si="4"/>
        <v>405189304</v>
      </c>
      <c r="H26" s="107">
        <f t="shared" si="4"/>
        <v>1</v>
      </c>
    </row>
    <row r="27" spans="2:8" s="8" customFormat="1" x14ac:dyDescent="0.25">
      <c r="B27" s="101" t="str" vm="27">
        <f>CUBEMEMBER("ThisWorkbookDataModel","[fActualAndBudget].[StavkaKategorija].&amp;[2.32. Потрошени суровини и материјали]")</f>
        <v>2.32. Потрошени суровини и материјали</v>
      </c>
      <c r="C27" s="102" vm="1836">
        <f t="shared" si="2"/>
        <v>4985751</v>
      </c>
      <c r="D27" s="102" vm="1622">
        <f t="shared" si="2"/>
        <v>5235751</v>
      </c>
      <c r="E27" s="102" vm="1739">
        <f t="shared" si="2"/>
        <v>4985751</v>
      </c>
      <c r="F27" s="102" vm="1863">
        <f t="shared" si="2"/>
        <v>4985751</v>
      </c>
      <c r="G27" s="102">
        <f t="shared" ref="G27:G48" si="5">SUM(C27:F27)</f>
        <v>20193004</v>
      </c>
      <c r="H27" s="103">
        <f t="shared" ref="H27:H57" si="6">G27/$G$26</f>
        <v>4.98359749397531E-2</v>
      </c>
    </row>
    <row r="28" spans="2:8" hidden="1" outlineLevel="1" x14ac:dyDescent="0.25">
      <c r="B28" s="104" t="str" vm="56">
        <f>CUBEMEMBER("ThisWorkbookDataModel",{"[fActualAndBudget].[StavkaKategorija].&amp;[2.32. Потрошени суровини и материјали]","[fActualAndBudget].[StavkaImeMK].&amp;[Потрoшена енергија и гориво за возила]"})</f>
        <v>Потрoшена енергија и гориво за возила</v>
      </c>
      <c r="C28" s="102" vm="1583">
        <f t="shared" ref="C28:F47" si="7">CUBEVALUE("ThisWorkbookDataModel",$C$2,$C$3,$B$5,$B28,C$6)</f>
        <v>3930000</v>
      </c>
      <c r="D28" s="102" vm="1800">
        <f t="shared" si="7"/>
        <v>3930000</v>
      </c>
      <c r="E28" s="102" vm="1501">
        <f t="shared" si="7"/>
        <v>3930000</v>
      </c>
      <c r="F28" s="102" vm="1848">
        <f t="shared" si="7"/>
        <v>3930000</v>
      </c>
      <c r="G28" s="102">
        <f t="shared" si="5"/>
        <v>15720000</v>
      </c>
      <c r="H28" s="103">
        <f t="shared" si="6"/>
        <v>3.8796680575753799E-2</v>
      </c>
    </row>
    <row r="29" spans="2:8" hidden="1" outlineLevel="1" x14ac:dyDescent="0.25">
      <c r="B29" s="104" t="str" vm="53">
        <f>CUBEMEMBER("ThisWorkbookDataModel",{"[fActualAndBudget].[StavkaKategorija].&amp;[2.32. Потрошени суровини и материјали]","[fActualAndBudget].[StavkaImeMK].&amp;[Потрошени резервни делови]"})</f>
        <v>Потрошени резервни делови</v>
      </c>
      <c r="C29" s="102" vm="1578">
        <f t="shared" si="7"/>
        <v>8250</v>
      </c>
      <c r="D29" s="102" vm="1497">
        <f t="shared" si="7"/>
        <v>8250</v>
      </c>
      <c r="E29" s="102" vm="1861">
        <f t="shared" si="7"/>
        <v>8250</v>
      </c>
      <c r="F29" s="102" vm="1594">
        <f t="shared" si="7"/>
        <v>8250</v>
      </c>
      <c r="G29" s="102">
        <f t="shared" si="5"/>
        <v>33000</v>
      </c>
      <c r="H29" s="103">
        <f t="shared" si="6"/>
        <v>8.1443413422383919E-5</v>
      </c>
    </row>
    <row r="30" spans="2:8" hidden="1" outlineLevel="1" x14ac:dyDescent="0.25">
      <c r="B30" s="104" t="str" vm="51">
        <f>CUBEMEMBER("ThisWorkbookDataModel",{"[fActualAndBudget].[StavkaKategorija].&amp;[2.32. Потрошени суровини и материјали]","[fActualAndBudget].[StavkaImeMK].&amp;[Потрошени суровини и материјали]"})</f>
        <v>Потрошени суровини и материјали</v>
      </c>
      <c r="C30" s="102" vm="1770">
        <f t="shared" si="7"/>
        <v>975000</v>
      </c>
      <c r="D30" s="102" vm="1761">
        <f t="shared" si="7"/>
        <v>1225000</v>
      </c>
      <c r="E30" s="102" vm="1510">
        <f t="shared" si="7"/>
        <v>975000</v>
      </c>
      <c r="F30" s="102" vm="1529">
        <f t="shared" si="7"/>
        <v>975000</v>
      </c>
      <c r="G30" s="102">
        <f t="shared" si="5"/>
        <v>4150000</v>
      </c>
      <c r="H30" s="103">
        <f t="shared" si="6"/>
        <v>1.0242126233421009E-2</v>
      </c>
    </row>
    <row r="31" spans="2:8" hidden="1" outlineLevel="1" x14ac:dyDescent="0.25">
      <c r="B31" s="104" t="str" vm="40">
        <f>CUBEMEMBER("ThisWorkbookDataModel",{"[fActualAndBudget].[StavkaKategorija].&amp;[2.32. Потрошени суровини и материјали]","[fActualAndBudget].[StavkaImeMK].&amp;[Потрошок на ситен инвентар и автогуми]"})</f>
        <v>Потрошок на ситен инвентар и автогуми</v>
      </c>
      <c r="C31" s="102" vm="1707">
        <f t="shared" si="7"/>
        <v>72501</v>
      </c>
      <c r="D31" s="102" vm="1704">
        <f t="shared" si="7"/>
        <v>72501</v>
      </c>
      <c r="E31" s="102" vm="1823">
        <f t="shared" si="7"/>
        <v>72501</v>
      </c>
      <c r="F31" s="102" vm="1879">
        <f t="shared" si="7"/>
        <v>72501</v>
      </c>
      <c r="G31" s="102">
        <f t="shared" si="5"/>
        <v>290004</v>
      </c>
      <c r="H31" s="103">
        <f t="shared" si="6"/>
        <v>7.157247171559099E-4</v>
      </c>
    </row>
    <row r="32" spans="2:8" s="8" customFormat="1" collapsed="1" x14ac:dyDescent="0.25">
      <c r="B32" s="101" t="str" vm="36">
        <f>CUBEMEMBER("ThisWorkbookDataModel","[fActualAndBudget].[StavkaKategorija].&amp;[2.33. Трошоци за вработените]")</f>
        <v>2.33. Трошоци за вработените</v>
      </c>
      <c r="C32" s="102" vm="1690">
        <f t="shared" si="7"/>
        <v>59252202</v>
      </c>
      <c r="D32" s="102" vm="1547">
        <f t="shared" si="7"/>
        <v>58957846</v>
      </c>
      <c r="E32" s="102" vm="1562">
        <f t="shared" si="7"/>
        <v>67957522</v>
      </c>
      <c r="F32" s="102" vm="1569">
        <f t="shared" si="7"/>
        <v>58697243</v>
      </c>
      <c r="G32" s="102">
        <f t="shared" si="5"/>
        <v>244864813</v>
      </c>
      <c r="H32" s="103">
        <f t="shared" si="6"/>
        <v>0.60432200599253727</v>
      </c>
    </row>
    <row r="33" spans="2:8" hidden="1" outlineLevel="1" x14ac:dyDescent="0.25">
      <c r="B33" s="104" t="str" vm="34">
        <f>CUBEMEMBER("ThisWorkbookDataModel",{"[fActualAndBudget].[StavkaKategorija].&amp;[2.33. Трошоци за вработените]","[fActualAndBudget].[StavkaImeMK].&amp;[Надомест на трошоци на вработените, подароци и помошти]"})</f>
        <v>Надомест на трошоци на вработените, подароци и помошти</v>
      </c>
      <c r="C33" s="102" vm="1679">
        <f t="shared" si="7"/>
        <v>59252202</v>
      </c>
      <c r="D33" s="102" vm="1559">
        <f t="shared" si="7"/>
        <v>58957846</v>
      </c>
      <c r="E33" s="102" vm="1691">
        <f t="shared" si="7"/>
        <v>67957522</v>
      </c>
      <c r="F33" s="102" vm="1504">
        <f t="shared" si="7"/>
        <v>58697243</v>
      </c>
      <c r="G33" s="102">
        <f t="shared" si="5"/>
        <v>244864813</v>
      </c>
      <c r="H33" s="103">
        <f t="shared" si="6"/>
        <v>0.60432200599253727</v>
      </c>
    </row>
    <row r="34" spans="2:8" s="8" customFormat="1" collapsed="1" x14ac:dyDescent="0.25">
      <c r="B34" s="101" t="str" vm="61">
        <f>CUBEMEMBER("ThisWorkbookDataModel","[fActualAndBudget].[StavkaKategorija].&amp;[2.34. Амортизација на материјални средства]")</f>
        <v>2.34. Амортизација на материјални средства</v>
      </c>
      <c r="C34" s="102" vm="1871">
        <f t="shared" si="7"/>
        <v>14447624</v>
      </c>
      <c r="D34" s="102" vm="1587">
        <f t="shared" si="7"/>
        <v>16101599</v>
      </c>
      <c r="E34" s="102" vm="1484">
        <f t="shared" si="7"/>
        <v>16840140</v>
      </c>
      <c r="F34" s="102" vm="1487">
        <f t="shared" si="7"/>
        <v>19095099</v>
      </c>
      <c r="G34" s="102">
        <f t="shared" si="5"/>
        <v>66484462</v>
      </c>
      <c r="H34" s="103">
        <f t="shared" si="6"/>
        <v>0.1640824704494174</v>
      </c>
    </row>
    <row r="35" spans="2:8" s="8" customFormat="1" x14ac:dyDescent="0.25">
      <c r="B35" s="101" t="str" vm="65">
        <f>CUBEMEMBER("ThisWorkbookDataModel","[fActualAndBudget].[StavkaKategorija].&amp;[2.35. Вредносно усогласување на тековни средства]")</f>
        <v>2.35. Вредносно усогласување на тековни средства</v>
      </c>
      <c r="C35" s="102" vm="1755">
        <f t="shared" si="7"/>
        <v>1800</v>
      </c>
      <c r="D35" s="102" vm="1495">
        <f t="shared" si="7"/>
        <v>1800</v>
      </c>
      <c r="E35" s="102" vm="1720">
        <f t="shared" si="7"/>
        <v>1800</v>
      </c>
      <c r="F35" s="102" vm="1647">
        <f t="shared" si="7"/>
        <v>1800</v>
      </c>
      <c r="G35" s="102">
        <f t="shared" si="5"/>
        <v>7200</v>
      </c>
      <c r="H35" s="103">
        <f t="shared" si="6"/>
        <v>1.7769472019429221E-5</v>
      </c>
    </row>
    <row r="36" spans="2:8" s="8" customFormat="1" x14ac:dyDescent="0.25">
      <c r="B36" s="101" t="str" vm="60">
        <f>CUBEMEMBER("ThisWorkbookDataModel","[fActualAndBudget].[StavkaKategorija].&amp;[2.37. Останати оперативни расходи]")</f>
        <v>2.37. Останати оперативни расходи</v>
      </c>
      <c r="C36" s="102" vm="1640">
        <f t="shared" si="7"/>
        <v>18477111</v>
      </c>
      <c r="D36" s="102" vm="1485">
        <f t="shared" si="7"/>
        <v>18162611</v>
      </c>
      <c r="E36" s="102" vm="1904">
        <f t="shared" si="7"/>
        <v>17976403</v>
      </c>
      <c r="F36" s="102" vm="1642">
        <f t="shared" si="7"/>
        <v>17574893</v>
      </c>
      <c r="G36" s="102">
        <f t="shared" si="5"/>
        <v>72191018</v>
      </c>
      <c r="H36" s="103">
        <f t="shared" si="6"/>
        <v>0.17816614922293211</v>
      </c>
    </row>
    <row r="37" spans="2:8" hidden="1" outlineLevel="1" x14ac:dyDescent="0.25">
      <c r="B37" s="105" t="str" vm="59">
        <f>CUBEMEMBER("ThisWorkbookDataModel",{"[fActualAndBudget].[StavkaKategorija].&amp;[2.37. Останати оперативни расходи]","[fActualAndBudget].[StavkaImeMK].&amp;[Банкарски услуги и трошоци за платен промет]"})</f>
        <v>Банкарски услуги и трошоци за платен промет</v>
      </c>
      <c r="C37" s="102" vm="1840">
        <f t="shared" si="7"/>
        <v>90000</v>
      </c>
      <c r="D37" s="102" vm="1768">
        <f t="shared" si="7"/>
        <v>90000</v>
      </c>
      <c r="E37" s="102" vm="1719">
        <f t="shared" si="7"/>
        <v>90000</v>
      </c>
      <c r="F37" s="102" vm="1694">
        <f t="shared" si="7"/>
        <v>90000</v>
      </c>
      <c r="G37" s="17">
        <f t="shared" si="5"/>
        <v>360000</v>
      </c>
      <c r="H37" s="103">
        <f t="shared" si="6"/>
        <v>8.8847360097146094E-4</v>
      </c>
    </row>
    <row r="38" spans="2:8" hidden="1" outlineLevel="1" x14ac:dyDescent="0.25">
      <c r="B38" s="105" t="str" vm="55">
        <f>CUBEMEMBER("ThisWorkbookDataModel",{"[fActualAndBudget].[StavkaKategorija].&amp;[2.37. Останати оперативни расходи]","[fActualAndBudget].[StavkaImeMK].&amp;[Даноци,чланарини и други давачки кои не зависат од резултатот]"})</f>
        <v>Даноци,чланарини и други давачки кои не зависат од резултатот</v>
      </c>
      <c r="C38" s="102" vm="1498">
        <f t="shared" si="7"/>
        <v>293250</v>
      </c>
      <c r="D38" s="102" vm="1773">
        <f t="shared" si="7"/>
        <v>293250</v>
      </c>
      <c r="E38" s="102" vm="1596">
        <f t="shared" si="7"/>
        <v>293250</v>
      </c>
      <c r="F38" s="102" vm="1633">
        <f t="shared" si="7"/>
        <v>293250</v>
      </c>
      <c r="G38" s="17">
        <f t="shared" si="5"/>
        <v>1173000</v>
      </c>
      <c r="H38" s="103">
        <f t="shared" si="6"/>
        <v>2.8949431498320102E-3</v>
      </c>
    </row>
    <row r="39" spans="2:8" hidden="1" outlineLevel="1" x14ac:dyDescent="0.25">
      <c r="B39" s="105" t="str" vm="44">
        <f>CUBEMEMBER("ThisWorkbookDataModel",{"[fActualAndBudget].[StavkaKategorija].&amp;[2.37. Останати оперативни расходи]","[fActualAndBudget].[StavkaImeMK].&amp;[Дневници за службени патувања и патни трошоци]"})</f>
        <v>Дневници за службени патувања и патни трошоци</v>
      </c>
      <c r="C39" s="102" vm="1862">
        <f t="shared" si="7"/>
        <v>1495500</v>
      </c>
      <c r="D39" s="102" vm="1737">
        <f t="shared" si="7"/>
        <v>1509000</v>
      </c>
      <c r="E39" s="102" vm="1613">
        <f t="shared" si="7"/>
        <v>1408000</v>
      </c>
      <c r="F39" s="102" vm="1701">
        <f t="shared" si="7"/>
        <v>1599500</v>
      </c>
      <c r="G39" s="17">
        <f t="shared" si="5"/>
        <v>6012000</v>
      </c>
      <c r="H39" s="103">
        <f t="shared" si="6"/>
        <v>1.4837509136223398E-2</v>
      </c>
    </row>
    <row r="40" spans="2:8" hidden="1" outlineLevel="1" x14ac:dyDescent="0.25">
      <c r="B40" s="105" t="str" vm="42">
        <f>CUBEMEMBER("ThisWorkbookDataModel",{"[fActualAndBudget].[StavkaKategorija].&amp;[2.37. Останати оперативни расходи]","[fActualAndBudget].[StavkaImeMK].&amp;[Надворешни услуги]"})</f>
        <v>Надворешни услуги</v>
      </c>
      <c r="C40" s="102" vm="1667">
        <f t="shared" si="7"/>
        <v>312501</v>
      </c>
      <c r="D40" s="102" vm="1556">
        <f t="shared" si="7"/>
        <v>312501</v>
      </c>
      <c r="E40" s="102" vm="1608">
        <f t="shared" si="7"/>
        <v>312501</v>
      </c>
      <c r="F40" s="102" vm="1589">
        <f t="shared" si="7"/>
        <v>312501</v>
      </c>
      <c r="G40" s="17">
        <f t="shared" si="5"/>
        <v>1250004</v>
      </c>
      <c r="H40" s="103">
        <f t="shared" si="6"/>
        <v>3.0849876530798059E-3</v>
      </c>
    </row>
    <row r="41" spans="2:8" hidden="1" outlineLevel="1" x14ac:dyDescent="0.25">
      <c r="B41" s="105" t="str" vm="39">
        <f>CUBEMEMBER("ThisWorkbookDataModel",{"[fActualAndBudget].[StavkaKategorija].&amp;[2.37. Останати оперативни расходи]","[fActualAndBudget].[StavkaImeMK].&amp;[Наемнини и лизинг]"})</f>
        <v>Наемнини и лизинг</v>
      </c>
      <c r="C41" s="102" vm="1644">
        <f t="shared" si="7"/>
        <v>119100</v>
      </c>
      <c r="D41" s="102" vm="1632">
        <f t="shared" si="7"/>
        <v>119100</v>
      </c>
      <c r="E41" s="102" vm="1643">
        <f t="shared" si="7"/>
        <v>119100</v>
      </c>
      <c r="F41" s="102" vm="1616">
        <f t="shared" si="7"/>
        <v>119100</v>
      </c>
      <c r="G41" s="17">
        <f t="shared" si="5"/>
        <v>476400</v>
      </c>
      <c r="H41" s="103">
        <f t="shared" si="6"/>
        <v>1.1757467319522333E-3</v>
      </c>
    </row>
    <row r="42" spans="2:8" hidden="1" outlineLevel="1" x14ac:dyDescent="0.25">
      <c r="B42" s="105" t="str" vm="35">
        <f>CUBEMEMBER("ThisWorkbookDataModel",{"[fActualAndBudget].[StavkaKategorija].&amp;[2.37. Останати оперативни расходи]","[fActualAndBudget].[StavkaImeMK].&amp;[Останати нематеријални трошоци]"})</f>
        <v>Останати нематеријални трошоци</v>
      </c>
      <c r="C42" s="102" vm="1841">
        <f t="shared" si="7"/>
        <v>914250</v>
      </c>
      <c r="D42" s="102" vm="1916">
        <f t="shared" si="7"/>
        <v>1154250</v>
      </c>
      <c r="E42" s="102" vm="1635">
        <f t="shared" si="7"/>
        <v>914250</v>
      </c>
      <c r="F42" s="102" vm="1784">
        <f t="shared" si="7"/>
        <v>1154250</v>
      </c>
      <c r="G42" s="17">
        <f t="shared" si="5"/>
        <v>4137000</v>
      </c>
      <c r="H42" s="103">
        <f t="shared" si="6"/>
        <v>1.0210042464497039E-2</v>
      </c>
    </row>
    <row r="43" spans="2:8" hidden="1" outlineLevel="1" x14ac:dyDescent="0.25">
      <c r="B43" s="105" t="str" vm="31">
        <f>CUBEMEMBER("ThisWorkbookDataModel",{"[fActualAndBudget].[StavkaKategorija].&amp;[2.37. Останати оперативни расходи]","[fActualAndBudget].[StavkaImeMK].&amp;[Останати услуги]"})</f>
        <v>Останати услуги</v>
      </c>
      <c r="C43" s="102" vm="1599">
        <f t="shared" si="7"/>
        <v>4509555</v>
      </c>
      <c r="D43" s="102" vm="1731">
        <f t="shared" si="7"/>
        <v>3941555</v>
      </c>
      <c r="E43" s="102" vm="1482">
        <f t="shared" si="7"/>
        <v>3941351</v>
      </c>
      <c r="F43" s="102" vm="1614">
        <f t="shared" si="7"/>
        <v>3233349</v>
      </c>
      <c r="G43" s="17">
        <f t="shared" si="5"/>
        <v>15625810</v>
      </c>
      <c r="H43" s="103">
        <f t="shared" si="6"/>
        <v>3.8564221329988511E-2</v>
      </c>
    </row>
    <row r="44" spans="2:8" hidden="1" outlineLevel="1" x14ac:dyDescent="0.25">
      <c r="B44" s="105" t="str" vm="29">
        <f>CUBEMEMBER("ThisWorkbookDataModel",{"[fActualAndBudget].[StavkaKategorija].&amp;[2.37. Останати оперативни расходи]","[fActualAndBudget].[StavkaImeMK].&amp;[Премии за осигурување]"})</f>
        <v>Премии за осигурување</v>
      </c>
      <c r="C44" s="102" vm="1746">
        <f t="shared" si="7"/>
        <v>218751</v>
      </c>
      <c r="D44" s="102" vm="1808">
        <f t="shared" si="7"/>
        <v>218751</v>
      </c>
      <c r="E44" s="102" vm="1575">
        <f t="shared" si="7"/>
        <v>343750</v>
      </c>
      <c r="F44" s="102" vm="1729">
        <f t="shared" si="7"/>
        <v>218748</v>
      </c>
      <c r="G44" s="17">
        <f t="shared" si="5"/>
        <v>1000000</v>
      </c>
      <c r="H44" s="103">
        <f t="shared" si="6"/>
        <v>2.4679822249207249E-3</v>
      </c>
    </row>
    <row r="45" spans="2:8" hidden="1" outlineLevel="1" x14ac:dyDescent="0.25">
      <c r="B45" s="105" t="str" vm="26">
        <f>CUBEMEMBER("ThisWorkbookDataModel",{"[fActualAndBudget].[StavkaKategorija].&amp;[2.37. Останати оперативни расходи]","[fActualAndBudget].[StavkaImeMK].&amp;[Транспортни услуги]"})</f>
        <v>Транспортни услуги</v>
      </c>
      <c r="C45" s="102" vm="1579">
        <f t="shared" si="7"/>
        <v>4283001</v>
      </c>
      <c r="D45" s="102" vm="1604">
        <f t="shared" si="7"/>
        <v>4283001</v>
      </c>
      <c r="E45" s="102" vm="1781">
        <f t="shared" si="7"/>
        <v>4313000</v>
      </c>
      <c r="F45" s="102" vm="1762">
        <f t="shared" si="7"/>
        <v>4312998</v>
      </c>
      <c r="G45" s="17">
        <f t="shared" si="5"/>
        <v>17192000</v>
      </c>
      <c r="H45" s="103">
        <f t="shared" si="6"/>
        <v>4.2429550410837104E-2</v>
      </c>
    </row>
    <row r="46" spans="2:8" hidden="1" outlineLevel="1" x14ac:dyDescent="0.25">
      <c r="B46" s="105" t="str" vm="54">
        <f>CUBEMEMBER("ThisWorkbookDataModel",{"[fActualAndBudget].[StavkaKategorija].&amp;[2.37. Останати оперативни расходи]","[fActualAndBudget].[StavkaImeMK].&amp;[Трошоци за промоција,пропаганда, реклама, репрезентација и спонзорство]"})</f>
        <v>Трошоци за промоција,пропаганда, реклама, репрезентација и спонзорство</v>
      </c>
      <c r="C46" s="102" vm="1920">
        <f t="shared" si="7"/>
        <v>100101</v>
      </c>
      <c r="D46" s="102" vm="1817">
        <f t="shared" si="7"/>
        <v>100101</v>
      </c>
      <c r="E46" s="102" vm="1900">
        <f t="shared" si="7"/>
        <v>100100</v>
      </c>
      <c r="F46" s="102" vm="1593">
        <f t="shared" si="7"/>
        <v>100098</v>
      </c>
      <c r="G46" s="17">
        <f t="shared" si="5"/>
        <v>400400</v>
      </c>
      <c r="H46" s="103">
        <f t="shared" si="6"/>
        <v>9.8818008285825819E-4</v>
      </c>
    </row>
    <row r="47" spans="2:8" hidden="1" outlineLevel="1" x14ac:dyDescent="0.25">
      <c r="B47" s="105" t="str" vm="50">
        <f>CUBEMEMBER("ThisWorkbookDataModel",{"[fActualAndBudget].[StavkaKategorija].&amp;[2.37. Останати оперативни расходи]","[fActualAndBudget].[StavkaImeMK].&amp;[Услуги за одржување и заштита]"})</f>
        <v>Услуги за одржување и заштита</v>
      </c>
      <c r="C47" s="102" vm="1865">
        <f t="shared" si="7"/>
        <v>4331802</v>
      </c>
      <c r="D47" s="102" vm="1820">
        <f t="shared" si="7"/>
        <v>4331802</v>
      </c>
      <c r="E47" s="102" vm="1520">
        <f t="shared" si="7"/>
        <v>4331801</v>
      </c>
      <c r="F47" s="102" vm="1851">
        <f t="shared" si="7"/>
        <v>4331799</v>
      </c>
      <c r="G47" s="17">
        <f t="shared" si="5"/>
        <v>17327204</v>
      </c>
      <c r="H47" s="103">
        <f t="shared" si="6"/>
        <v>4.2763231479575288E-2</v>
      </c>
    </row>
    <row r="48" spans="2:8" collapsed="1" x14ac:dyDescent="0.25">
      <c r="B48" s="19" t="s">
        <v>165</v>
      </c>
      <c r="C48" s="20">
        <f>SUM(C27,C32,C34,C35,C36)</f>
        <v>97164488</v>
      </c>
      <c r="D48" s="20">
        <f>SUM(D27,D32,D34,D35,D36)</f>
        <v>98459607</v>
      </c>
      <c r="E48" s="20">
        <f>SUM(E27,E32,E34,E35,E36)</f>
        <v>107761616</v>
      </c>
      <c r="F48" s="20">
        <f>SUM(F27,F32,F34,F35,F36)</f>
        <v>100354786</v>
      </c>
      <c r="G48" s="20">
        <f t="shared" si="5"/>
        <v>403740497</v>
      </c>
      <c r="H48" s="21">
        <f t="shared" si="6"/>
        <v>0.99642437007665929</v>
      </c>
    </row>
    <row r="49" spans="2:8" x14ac:dyDescent="0.25">
      <c r="B49" s="19" t="s">
        <v>167</v>
      </c>
      <c r="C49" s="20">
        <f>SUM(C26,-C48)</f>
        <v>121486140</v>
      </c>
      <c r="D49" s="20">
        <f>SUM(D26,-D48)</f>
        <v>-33937019</v>
      </c>
      <c r="E49" s="20">
        <f>SUM(E26,-E48)</f>
        <v>-51546721</v>
      </c>
      <c r="F49" s="20">
        <f>SUM(F26,-F48)</f>
        <v>-34553593</v>
      </c>
      <c r="G49" s="20">
        <f>SUM(G26,-G48)</f>
        <v>1448807</v>
      </c>
      <c r="H49" s="21">
        <f t="shared" si="6"/>
        <v>3.5756299233407206E-3</v>
      </c>
    </row>
    <row r="50" spans="2:8" s="8" customFormat="1" x14ac:dyDescent="0.25">
      <c r="B50" s="101" t="str" vm="48">
        <f>CUBEMEMBER("ThisWorkbookDataModel","[fActualAndBudget].[StavkaKategorija].&amp;[2.40. Приходи од финансирање]")</f>
        <v>2.40. Приходи од финансирање</v>
      </c>
      <c r="C50" s="102" vm="1845">
        <f t="shared" ref="C50:F52" si="8">CUBEVALUE("ThisWorkbookDataModel",$C$2,$C$3,$B$5,$B50,C$6)</f>
        <v>841</v>
      </c>
      <c r="D50" s="102" vm="1822">
        <f t="shared" si="8"/>
        <v>1376</v>
      </c>
      <c r="E50" s="102" vm="1548">
        <f t="shared" si="8"/>
        <v>826</v>
      </c>
      <c r="F50" s="102" vm="1818">
        <f t="shared" si="8"/>
        <v>2572</v>
      </c>
      <c r="G50" s="102">
        <f t="shared" ref="G50:G56" si="9">SUM(C50:F50)</f>
        <v>5615</v>
      </c>
      <c r="H50" s="21">
        <f t="shared" si="6"/>
        <v>1.3857720192929871E-5</v>
      </c>
    </row>
    <row r="51" spans="2:8" hidden="1" outlineLevel="2" x14ac:dyDescent="0.25">
      <c r="B51" s="104" t="str" vm="46">
        <f>CUBEMEMBER("ThisWorkbookDataModel",{"[fActualAndBudget].[StavkaKategorija].&amp;[2.40. Приходи од финансирање]","[fActualAndBudget].[StavkaImeMK].&amp;[Приходи од камати]"})</f>
        <v>Приходи од камати</v>
      </c>
      <c r="C51" s="102" vm="1703">
        <f t="shared" si="8"/>
        <v>466</v>
      </c>
      <c r="D51" s="102" vm="1710">
        <f t="shared" si="8"/>
        <v>532</v>
      </c>
      <c r="E51" s="102" vm="1728">
        <f t="shared" si="8"/>
        <v>561</v>
      </c>
      <c r="F51" s="102" vm="1615">
        <f t="shared" si="8"/>
        <v>506</v>
      </c>
      <c r="G51" s="102">
        <f t="shared" si="9"/>
        <v>2065</v>
      </c>
      <c r="H51" s="18">
        <f t="shared" si="6"/>
        <v>5.0963832944612973E-6</v>
      </c>
    </row>
    <row r="52" spans="2:8" hidden="1" outlineLevel="2" x14ac:dyDescent="0.25">
      <c r="B52" s="104" t="str" vm="64">
        <f>CUBEMEMBER("ThisWorkbookDataModel",{"[fActualAndBudget].[StavkaKategorija].&amp;[2.40. Приходи од финансирање]","[fActualAndBudget].[StavkaImeMK].&amp;[Приходи од курсни разлики]"})</f>
        <v>Приходи од курсни разлики</v>
      </c>
      <c r="C52" s="102" vm="1715">
        <f t="shared" si="8"/>
        <v>375</v>
      </c>
      <c r="D52" s="102" vm="1654">
        <f t="shared" si="8"/>
        <v>844</v>
      </c>
      <c r="E52" s="102" vm="1850">
        <f t="shared" si="8"/>
        <v>265</v>
      </c>
      <c r="F52" s="102" vm="1849">
        <f t="shared" si="8"/>
        <v>2066</v>
      </c>
      <c r="G52" s="102">
        <f t="shared" si="9"/>
        <v>3550</v>
      </c>
      <c r="H52" s="18">
        <f t="shared" si="6"/>
        <v>8.7613368984685728E-6</v>
      </c>
    </row>
    <row r="53" spans="2:8" collapsed="1" x14ac:dyDescent="0.25">
      <c r="B53" s="101" t="str" vm="62">
        <f>CUBEMEMBER("ThisWorkbookDataModel","[fActualAndBudget].[StavkaKategorija].&amp;[2.41. Расходи од финансирање]")</f>
        <v>2.41. Расходи од финансирање</v>
      </c>
      <c r="C53" s="108">
        <f>SUM(C54:C56)</f>
        <v>18900</v>
      </c>
      <c r="D53" s="108">
        <f>SUM(D54:D56)</f>
        <v>18900</v>
      </c>
      <c r="E53" s="108">
        <f>SUM(E54:E56)</f>
        <v>18900</v>
      </c>
      <c r="F53" s="108">
        <f>SUM(F54:F56)</f>
        <v>18900</v>
      </c>
      <c r="G53" s="108">
        <f t="shared" si="9"/>
        <v>75600</v>
      </c>
      <c r="H53" s="18">
        <f t="shared" si="6"/>
        <v>1.8657945620400681E-4</v>
      </c>
    </row>
    <row r="54" spans="2:8" hidden="1" outlineLevel="1" x14ac:dyDescent="0.25">
      <c r="B54" s="105" t="str" vm="115">
        <f>CUBEMEMBER("ThisWorkbookDataModel",{"[fActualAndBudget].[StavkaKategorija].&amp;[2.41. Расходи од финансирање]","[fActualAndBudget].[StavkaImeMK].&amp;[Загуби и кусоци]"})</f>
        <v>Загуби и кусоци</v>
      </c>
      <c r="C54" s="102" t="str" vm="1826">
        <f t="shared" ref="C54:F56" si="10">CUBEVALUE("ThisWorkbookDataModel",$C$2,$C$3,$B$5,$B54,C$6)</f>
        <v/>
      </c>
      <c r="D54" s="102" t="str" vm="1645">
        <f t="shared" si="10"/>
        <v/>
      </c>
      <c r="E54" s="102" t="str" vm="1901">
        <f t="shared" si="10"/>
        <v/>
      </c>
      <c r="F54" s="102" t="str" vm="1866">
        <f t="shared" si="10"/>
        <v/>
      </c>
      <c r="G54" s="109">
        <f t="shared" si="9"/>
        <v>0</v>
      </c>
      <c r="H54" s="18">
        <f t="shared" si="6"/>
        <v>0</v>
      </c>
    </row>
    <row r="55" spans="2:8" hidden="1" outlineLevel="1" x14ac:dyDescent="0.25">
      <c r="B55" s="105" t="str" vm="116">
        <f>CUBEMEMBER("ThisWorkbookDataModel",{"[fActualAndBudget].[StavkaKategorija].&amp;[2.41. Расходи од финансирање]","[fActualAndBudget].[StavkaImeMK].&amp;[Курсни разлики]"})</f>
        <v>Курсни разлики</v>
      </c>
      <c r="C55" s="102" vm="1743">
        <f t="shared" si="10"/>
        <v>900</v>
      </c>
      <c r="D55" s="102" vm="1481">
        <f t="shared" si="10"/>
        <v>900</v>
      </c>
      <c r="E55" s="102" vm="1492">
        <f t="shared" si="10"/>
        <v>900</v>
      </c>
      <c r="F55" s="102" vm="1786">
        <f t="shared" si="10"/>
        <v>900</v>
      </c>
      <c r="G55" s="109">
        <f t="shared" si="9"/>
        <v>3600</v>
      </c>
      <c r="H55" s="18">
        <f t="shared" si="6"/>
        <v>8.8847360097146107E-6</v>
      </c>
    </row>
    <row r="56" spans="2:8" hidden="1" outlineLevel="1" x14ac:dyDescent="0.25">
      <c r="B56" s="105" t="str" vm="117">
        <f>CUBEMEMBER("ThisWorkbookDataModel",{"[fActualAndBudget].[StavkaKategorija].&amp;[2.41. Расходи од финансирање]","[fActualAndBudget].[StavkaImeMK].&amp;[Останати расходи]"})</f>
        <v>Останати расходи</v>
      </c>
      <c r="C56" s="102" vm="1899">
        <f t="shared" si="10"/>
        <v>18000</v>
      </c>
      <c r="D56" s="102" vm="1907">
        <f t="shared" si="10"/>
        <v>18000</v>
      </c>
      <c r="E56" s="102" vm="1554">
        <f t="shared" si="10"/>
        <v>18000</v>
      </c>
      <c r="F56" s="102" vm="1571">
        <f t="shared" si="10"/>
        <v>18000</v>
      </c>
      <c r="G56" s="109">
        <f t="shared" si="9"/>
        <v>72000</v>
      </c>
      <c r="H56" s="18">
        <f t="shared" si="6"/>
        <v>1.7769472019429219E-4</v>
      </c>
    </row>
    <row r="57" spans="2:8" collapsed="1" x14ac:dyDescent="0.25">
      <c r="B57" s="22" t="s">
        <v>166</v>
      </c>
      <c r="C57" s="23">
        <f>SUM(C49,C50,-C53)</f>
        <v>121468081</v>
      </c>
      <c r="D57" s="23">
        <f>SUM(D49,D50,-D53)</f>
        <v>-33954543</v>
      </c>
      <c r="E57" s="23">
        <f>SUM(E49,E50,-E53)</f>
        <v>-51564795</v>
      </c>
      <c r="F57" s="23">
        <f>SUM(F49,F50,-F53)</f>
        <v>-34569921</v>
      </c>
      <c r="G57" s="23">
        <f>SUM(G49,G50,-G53)</f>
        <v>1378822</v>
      </c>
      <c r="H57" s="24">
        <f t="shared" si="6"/>
        <v>3.4029081873296436E-3</v>
      </c>
    </row>
    <row r="58" spans="2:8" hidden="1" x14ac:dyDescent="0.25"/>
    <row r="59" spans="2:8" hidden="1" x14ac:dyDescent="0.25"/>
    <row r="60" spans="2:8" hidden="1" x14ac:dyDescent="0.25">
      <c r="B60" t="str" vm="9">
        <f>CUBEMEMBER("ThisWorkbookDataModel","[Measures].[Sum of Износ]")</f>
        <v>Sum of Износ</v>
      </c>
      <c r="H60" s="78" t="s">
        <v>325</v>
      </c>
    </row>
    <row r="61" spans="2:8" s="74" customFormat="1" ht="30" customHeight="1" x14ac:dyDescent="0.25">
      <c r="B61" s="360" t="s">
        <v>1117</v>
      </c>
      <c r="C61" s="77" t="str" vm="140">
        <f>CUBEMEMBER("ThisWorkbookDataModel","[Calendar].[Година].&amp;[2021]")</f>
        <v>2021</v>
      </c>
      <c r="D61" s="77" t="str" vm="184">
        <f>CUBEMEMBER("ThisWorkbookDataModel","[Calendar].[Година].&amp;[2022]")</f>
        <v>2022</v>
      </c>
      <c r="E61" s="358" t="s">
        <v>249</v>
      </c>
      <c r="F61" s="77" t="str" vm="1479">
        <f>CUBEMEMBER("ThisWorkbookDataModel","[Calendar].[Година].&amp;[2023]")</f>
        <v>2023</v>
      </c>
      <c r="G61" s="358" t="s">
        <v>247</v>
      </c>
      <c r="H61" s="362" t="s">
        <v>1115</v>
      </c>
    </row>
    <row r="62" spans="2:8" s="74" customFormat="1" ht="48.6" customHeight="1" x14ac:dyDescent="0.25">
      <c r="B62" s="361"/>
      <c r="C62" s="113" t="str" vm="4">
        <f>CUBEMEMBER("ThisWorkbookDataModel","[fActualAndBudget].[ReportType].&amp;[Остварено]")</f>
        <v>Остварено</v>
      </c>
      <c r="D62" s="113" t="str" vm="6">
        <f>CUBEMEMBER("ThisWorkbookDataModel","[fActualAndBudget].[ReportType].&amp;[Предвидување]")</f>
        <v>Предвидување</v>
      </c>
      <c r="E62" s="359"/>
      <c r="F62" s="122" t="str" vm="5">
        <f>CUBEMEMBER("ThisWorkbookDataModel","[fActualAndBudget].[ReportType].&amp;[План]")</f>
        <v>План</v>
      </c>
      <c r="G62" s="359"/>
      <c r="H62" s="363"/>
    </row>
    <row r="63" spans="2:8" s="74" customFormat="1" x14ac:dyDescent="0.25">
      <c r="B63" s="120" t="str" vm="58">
        <f>CUBEMEMBER("ThisWorkbookDataModel","[fActualAndBudget].[StavkaKategorija].&amp;[2.29. Приходи од продажба]")</f>
        <v>2.29. Приходи од продажба</v>
      </c>
      <c r="C63" s="121" vm="1997">
        <f t="shared" ref="C63:D81" si="11">CUBEVALUE("ThisWorkbookDataModel",C$62,$C$3,$B$5,$B63,C$61)</f>
        <v>356940028</v>
      </c>
      <c r="D63" s="121" vm="1941">
        <f t="shared" si="11"/>
        <v>372291911</v>
      </c>
      <c r="E63" s="118">
        <f>IF(ISERROR(IF(C63=0,0,D63/C63-1)),0,IF(C63=0,0,D63/C63-1))</f>
        <v>4.3009698536808472E-2</v>
      </c>
      <c r="F63" s="121" vm="1518">
        <f t="shared" ref="F63:F81" si="12">CUBEVALUE("ThisWorkbookDataModel",F$62,$C$3,$B$5,$B63,F$61)</f>
        <v>399809446</v>
      </c>
      <c r="G63" s="118">
        <f t="shared" ref="G63:G94" si="13">IF(ISERROR(IF(D63=0,0,F63/D63-1)),0,IF(D63=0,0,F63/D63-1))</f>
        <v>7.3913867551100187E-2</v>
      </c>
      <c r="H63" s="119">
        <f>IF(ISERROR(F63/$F$82),0,F63/$F$82)</f>
        <v>0.98672260608340245</v>
      </c>
    </row>
    <row r="64" spans="2:8" hidden="1" outlineLevel="3" x14ac:dyDescent="0.25">
      <c r="B64" s="104" t="str" vm="45">
        <f>CUBEMEMBER("ThisWorkbookDataModel",{"[fActualAndBudget].[StavkaKategorija].&amp;[2.29. Приходи од продажба]","[fActualAndBudget].[StavkaImeMK].&amp;[Приходи од годишни сметки]"})</f>
        <v>Приходи од годишни сметки</v>
      </c>
      <c r="C64" s="121" vm="2000">
        <f t="shared" si="11"/>
        <v>158832144</v>
      </c>
      <c r="D64" s="121" vm="1936">
        <f t="shared" si="11"/>
        <v>174994716</v>
      </c>
      <c r="E64" s="118">
        <f t="shared" ref="E64:E113" si="14">IF(ISERROR(IF(C64=0,0,D64/C64-1)),0,IF(C64=0,0,D64/C64-1))</f>
        <v>0.10175882282367232</v>
      </c>
      <c r="F64" s="121" vm="1666">
        <f t="shared" si="12"/>
        <v>185992935</v>
      </c>
      <c r="G64" s="26">
        <f t="shared" si="13"/>
        <v>6.2848863390823739E-2</v>
      </c>
      <c r="H64" s="27">
        <f t="shared" ref="H64:H113" si="15">IF(ISERROR(F64/$F$82),0,F64/$F$82)</f>
        <v>0.45902725754083579</v>
      </c>
    </row>
    <row r="65" spans="2:9" hidden="1" outlineLevel="3" x14ac:dyDescent="0.25">
      <c r="B65" s="104" t="str" vm="49">
        <f>CUBEMEMBER("ThisWorkbookDataModel",{"[fActualAndBudget].[StavkaKategorija].&amp;[2.29. Приходи од продажба]","[fActualAndBudget].[StavkaImeMK].&amp;[Приходи од заложен регистар]"})</f>
        <v>Приходи од заложен регистар</v>
      </c>
      <c r="C65" s="121" vm="1990">
        <f t="shared" si="11"/>
        <v>1982682</v>
      </c>
      <c r="D65" s="121" vm="1925">
        <f t="shared" si="11"/>
        <v>1968404</v>
      </c>
      <c r="E65" s="118">
        <f t="shared" si="14"/>
        <v>-7.2013565463346918E-3</v>
      </c>
      <c r="F65" s="121" vm="1869">
        <f t="shared" si="12"/>
        <v>2069762</v>
      </c>
      <c r="G65" s="114">
        <f t="shared" si="13"/>
        <v>5.1492478170131806E-2</v>
      </c>
      <c r="H65" s="103">
        <f t="shared" si="15"/>
        <v>5.1081358258163699E-3</v>
      </c>
      <c r="I65" s="1"/>
    </row>
    <row r="66" spans="2:9" hidden="1" outlineLevel="3" x14ac:dyDescent="0.25">
      <c r="B66" s="104" t="str" vm="41">
        <f>CUBEMEMBER("ThisWorkbookDataModel",{"[fActualAndBudget].[StavkaKategorija].&amp;[2.29. Приходи од продажба]","[fActualAndBudget].[StavkaImeMK].&amp;[Приходи од интернет дистрибутивен систем]"})</f>
        <v>Приходи од интернет дистрибутивен систем</v>
      </c>
      <c r="C66" s="121" vm="1982">
        <f t="shared" si="11"/>
        <v>22226037</v>
      </c>
      <c r="D66" s="121" vm="1952">
        <f t="shared" si="11"/>
        <v>33622902</v>
      </c>
      <c r="E66" s="118">
        <f t="shared" si="14"/>
        <v>0.51277090018341998</v>
      </c>
      <c r="F66" s="121" vm="1605">
        <f t="shared" si="12"/>
        <v>35397169</v>
      </c>
      <c r="G66" s="114">
        <f t="shared" si="13"/>
        <v>5.2769597341716601E-2</v>
      </c>
      <c r="H66" s="103">
        <f t="shared" si="15"/>
        <v>8.7359583904514912E-2</v>
      </c>
    </row>
    <row r="67" spans="2:9" hidden="1" outlineLevel="3" x14ac:dyDescent="0.25">
      <c r="B67" s="104" t="str" vm="38">
        <f>CUBEMEMBER("ThisWorkbookDataModel",{"[fActualAndBudget].[StavkaKategorija].&amp;[2.29. Приходи од продажба]","[fActualAndBudget].[StavkaImeMK].&amp;[Приходи од прекршочна постапка]"})</f>
        <v>Приходи од прекршочна постапка</v>
      </c>
      <c r="C67" s="121" t="str" vm="2013">
        <f t="shared" si="11"/>
        <v/>
      </c>
      <c r="D67" s="121" t="str" vm="1957">
        <f t="shared" si="11"/>
        <v/>
      </c>
      <c r="E67" s="118">
        <f t="shared" si="14"/>
        <v>0</v>
      </c>
      <c r="F67" s="121" t="str" vm="1874">
        <f t="shared" si="12"/>
        <v/>
      </c>
      <c r="G67" s="114">
        <f t="shared" si="13"/>
        <v>0</v>
      </c>
      <c r="H67" s="103">
        <f t="shared" si="15"/>
        <v>0</v>
      </c>
    </row>
    <row r="68" spans="2:9" hidden="1" outlineLevel="3" x14ac:dyDescent="0.25">
      <c r="B68" s="104" t="str" vm="188">
        <f>CUBEMEMBER("ThisWorkbookDataModel",{"[fActualAndBudget].[StavkaKategorija].&amp;[2.29. Приходи од продажба]","[fActualAndBudget].[StavkaImeMK].&amp;[Приходи од регистар на вистински сопственици]"})</f>
        <v>Приходи од регистар на вистински сопственици</v>
      </c>
      <c r="C68" s="121" vm="1974">
        <f t="shared" si="11"/>
        <v>18919141</v>
      </c>
      <c r="D68" s="121" vm="1956">
        <f t="shared" si="11"/>
        <v>26599312</v>
      </c>
      <c r="E68" s="118">
        <f t="shared" si="14"/>
        <v>0.4059471304748985</v>
      </c>
      <c r="F68" s="245" vm="1524">
        <f t="shared" si="12"/>
        <v>27897841</v>
      </c>
      <c r="G68" s="114">
        <f t="shared" si="13"/>
        <v>4.8818142363982853E-2</v>
      </c>
      <c r="H68" s="103">
        <f t="shared" si="15"/>
        <v>6.8851375701664622E-2</v>
      </c>
    </row>
    <row r="69" spans="2:9" hidden="1" outlineLevel="3" x14ac:dyDescent="0.25">
      <c r="B69" s="104" t="str" vm="32">
        <f>CUBEMEMBER("ThisWorkbookDataModel",{"[fActualAndBudget].[StavkaKategorija].&amp;[2.29. Приходи од продажба]","[fActualAndBudget].[StavkaImeMK].&amp;[Приходи од регистар на директни странски инвестиции]"})</f>
        <v>Приходи од регистар на директни странски инвестиции</v>
      </c>
      <c r="C69" s="121" vm="1986">
        <f t="shared" si="11"/>
        <v>982380</v>
      </c>
      <c r="D69" s="121" vm="1927">
        <f t="shared" si="11"/>
        <v>1158596</v>
      </c>
      <c r="E69" s="118">
        <f t="shared" si="14"/>
        <v>0.17937661597345222</v>
      </c>
      <c r="F69" s="121" vm="1827">
        <f t="shared" si="12"/>
        <v>1218953</v>
      </c>
      <c r="G69" s="114">
        <f t="shared" si="13"/>
        <v>5.2094949404279056E-2</v>
      </c>
      <c r="H69" s="103">
        <f t="shared" si="15"/>
        <v>3.0083543370137923E-3</v>
      </c>
    </row>
    <row r="70" spans="2:9" hidden="1" outlineLevel="3" x14ac:dyDescent="0.25">
      <c r="B70" s="104" t="str" vm="28">
        <f>CUBEMEMBER("ThisWorkbookDataModel",{"[fActualAndBudget].[StavkaKategorija].&amp;[2.29. Приходи од продажба]","[fActualAndBudget].[StavkaImeMK].&amp;[Приходи од Регистар на лизинг]"})</f>
        <v>Приходи од Регистар на лизинг</v>
      </c>
      <c r="C70" s="121" vm="2002">
        <f t="shared" si="11"/>
        <v>886099</v>
      </c>
      <c r="D70" s="121" vm="1932">
        <f t="shared" si="11"/>
        <v>982006</v>
      </c>
      <c r="E70" s="118">
        <f t="shared" si="14"/>
        <v>0.10823508434159157</v>
      </c>
      <c r="F70" s="121" vm="1521">
        <f t="shared" si="12"/>
        <v>1034193</v>
      </c>
      <c r="G70" s="114">
        <f t="shared" si="13"/>
        <v>5.3143259817149735E-2</v>
      </c>
      <c r="H70" s="103">
        <f t="shared" si="15"/>
        <v>2.5523699411374393E-3</v>
      </c>
    </row>
    <row r="71" spans="2:9" hidden="1" outlineLevel="3" x14ac:dyDescent="0.25">
      <c r="B71" s="104" t="str" vm="57">
        <f>CUBEMEMBER("ThisWorkbookDataModel",{"[fActualAndBudget].[StavkaKategorija].&amp;[2.29. Приходи од продажба]","[fActualAndBudget].[StavkaImeMK].&amp;[Приходи од регистар на недвижности]"})</f>
        <v>Приходи од регистар на недвижности</v>
      </c>
      <c r="C71" s="121" vm="1992">
        <f t="shared" si="11"/>
        <v>36413</v>
      </c>
      <c r="D71" s="121" vm="1963">
        <f t="shared" si="11"/>
        <v>7217</v>
      </c>
      <c r="E71" s="118">
        <f t="shared" si="14"/>
        <v>-0.80180155438991574</v>
      </c>
      <c r="F71" s="121" vm="1680">
        <f t="shared" si="12"/>
        <v>7561</v>
      </c>
      <c r="G71" s="114">
        <f t="shared" si="13"/>
        <v>4.7665234862131145E-2</v>
      </c>
      <c r="H71" s="103">
        <f t="shared" si="15"/>
        <v>1.8660413602625603E-5</v>
      </c>
    </row>
    <row r="72" spans="2:9" hidden="1" outlineLevel="3" x14ac:dyDescent="0.25">
      <c r="B72" s="104" t="str" vm="52">
        <f>CUBEMEMBER("ThisWorkbookDataModel",{"[fActualAndBudget].[StavkaKategorija].&amp;[2.29. Приходи од продажба]","[fActualAndBudget].[StavkaImeMK].&amp;[Приходи од Регистар на резиденти и нерезиденти]"})</f>
        <v>Приходи од Регистар на резиденти и нерезиденти</v>
      </c>
      <c r="C72" s="121" vm="2004">
        <f t="shared" si="11"/>
        <v>204631</v>
      </c>
      <c r="D72" s="121" vm="1944">
        <f t="shared" si="11"/>
        <v>258330</v>
      </c>
      <c r="E72" s="118">
        <f t="shared" si="14"/>
        <v>0.26241869511462101</v>
      </c>
      <c r="F72" s="121" vm="1629">
        <f t="shared" si="12"/>
        <v>271608</v>
      </c>
      <c r="G72" s="114">
        <f t="shared" si="13"/>
        <v>5.1399372895134077E-2</v>
      </c>
      <c r="H72" s="103">
        <f t="shared" si="15"/>
        <v>6.7032371614626828E-4</v>
      </c>
    </row>
    <row r="73" spans="2:9" hidden="1" outlineLevel="3" x14ac:dyDescent="0.25">
      <c r="B73" s="104" t="str" vm="43">
        <f>CUBEMEMBER("ThisWorkbookDataModel",{"[fActualAndBudget].[StavkaKategorija].&amp;[2.29. Приходи од продажба]","[fActualAndBudget].[StavkaImeMK].&amp;[Приходи од регистрите за кривични санкции, пресуди и др.]"})</f>
        <v>Приходи од регистрите за кривични санкции, пресуди и др.</v>
      </c>
      <c r="C73" s="121" vm="2005">
        <f t="shared" si="11"/>
        <v>13573277</v>
      </c>
      <c r="D73" s="121" vm="1929">
        <f t="shared" si="11"/>
        <v>16569210</v>
      </c>
      <c r="E73" s="118">
        <f t="shared" si="14"/>
        <v>0.22072289543637846</v>
      </c>
      <c r="F73" s="245" vm="1627">
        <f t="shared" si="12"/>
        <v>17474750</v>
      </c>
      <c r="G73" s="114">
        <f t="shared" si="13"/>
        <v>5.465197194072613E-2</v>
      </c>
      <c r="H73" s="103">
        <f t="shared" si="15"/>
        <v>4.3127372384933436E-2</v>
      </c>
    </row>
    <row r="74" spans="2:9" hidden="1" outlineLevel="3" x14ac:dyDescent="0.25">
      <c r="B74" s="104" t="str" vm="47">
        <f>CUBEMEMBER("ThisWorkbookDataModel",{"[fActualAndBudget].[StavkaKategorija].&amp;[2.29. Приходи од продажба]","[fActualAndBudget].[StavkaImeMK].&amp;[Приходи од странство]"})</f>
        <v>Приходи од странство</v>
      </c>
      <c r="C74" s="121" vm="2010">
        <f t="shared" si="11"/>
        <v>55744</v>
      </c>
      <c r="D74" s="121" vm="1965">
        <f t="shared" si="11"/>
        <v>223819</v>
      </c>
      <c r="E74" s="118">
        <f t="shared" si="14"/>
        <v>3.0151227037887489</v>
      </c>
      <c r="F74" s="121" vm="1881">
        <f t="shared" si="12"/>
        <v>236483</v>
      </c>
      <c r="G74" s="114">
        <f t="shared" si="13"/>
        <v>5.6581434105236861E-2</v>
      </c>
      <c r="H74" s="103">
        <f t="shared" si="15"/>
        <v>5.8363584049592784E-4</v>
      </c>
      <c r="I74" s="1"/>
    </row>
    <row r="75" spans="2:9" hidden="1" outlineLevel="3" x14ac:dyDescent="0.25">
      <c r="B75" s="104" t="str" vm="37">
        <f>CUBEMEMBER("ThisWorkbookDataModel",{"[fActualAndBudget].[StavkaKategorija].&amp;[2.29. Приходи од продажба]","[fActualAndBudget].[StavkaImeMK].&amp;[Приходи од трговски регистар]"})</f>
        <v>Приходи од трговски регистар</v>
      </c>
      <c r="C75" s="121" vm="1971">
        <f t="shared" si="11"/>
        <v>139241480</v>
      </c>
      <c r="D75" s="121" vm="1942">
        <f t="shared" si="11"/>
        <v>115907399</v>
      </c>
      <c r="E75" s="118">
        <f t="shared" si="14"/>
        <v>-0.16757995534089409</v>
      </c>
      <c r="F75" s="245" vm="1638">
        <f t="shared" si="12"/>
        <v>128208191</v>
      </c>
      <c r="G75" s="114">
        <f t="shared" si="13"/>
        <v>0.10612602910708047</v>
      </c>
      <c r="H75" s="103">
        <f t="shared" si="15"/>
        <v>0.31641553647724124</v>
      </c>
    </row>
    <row r="76" spans="2:9" collapsed="1" x14ac:dyDescent="0.25">
      <c r="B76" s="101" t="str" vm="33">
        <f>CUBEMEMBER("ThisWorkbookDataModel","[fActualAndBudget].[StavkaKategorija].&amp;[2.30. Останати оперативни приходи]")</f>
        <v>2.30. Останати оперативни приходи</v>
      </c>
      <c r="C76" s="121" vm="1975">
        <f t="shared" si="11"/>
        <v>4746966</v>
      </c>
      <c r="D76" s="121" vm="1945">
        <f t="shared" si="11"/>
        <v>5102644</v>
      </c>
      <c r="E76" s="114">
        <f t="shared" si="14"/>
        <v>7.4927437862415625E-2</v>
      </c>
      <c r="F76" s="121" vm="1550">
        <f t="shared" si="12"/>
        <v>5379858</v>
      </c>
      <c r="G76" s="114">
        <f t="shared" si="13"/>
        <v>5.4327521183135552E-2</v>
      </c>
      <c r="H76" s="103">
        <f t="shared" si="15"/>
        <v>1.3277393916597562E-2</v>
      </c>
    </row>
    <row r="77" spans="2:9" hidden="1" outlineLevel="1" x14ac:dyDescent="0.25">
      <c r="B77" s="105" t="str" vm="63">
        <f>CUBEMEMBER("ThisWorkbookDataModel",{"[fActualAndBudget].[StavkaKategorija].&amp;[2.30. Останати оперативни приходи]","[fActualAndBudget].[StavkaImeMK].&amp;[Вонредни невообичаени приходи]"})</f>
        <v>Вонредни невообичаени приходи</v>
      </c>
      <c r="C77" s="121" vm="1987">
        <f t="shared" si="11"/>
        <v>14309</v>
      </c>
      <c r="D77" s="121" vm="1940">
        <f t="shared" si="11"/>
        <v>-425</v>
      </c>
      <c r="E77" s="115">
        <f t="shared" si="14"/>
        <v>-1.029701586414145</v>
      </c>
      <c r="F77" s="121" vm="1780">
        <f t="shared" si="12"/>
        <v>-453</v>
      </c>
      <c r="G77" s="115">
        <f t="shared" si="13"/>
        <v>6.5882352941176503E-2</v>
      </c>
      <c r="H77" s="18">
        <f t="shared" si="15"/>
        <v>-1.1179959478890885E-6</v>
      </c>
    </row>
    <row r="78" spans="2:9" hidden="1" outlineLevel="1" x14ac:dyDescent="0.25">
      <c r="B78" s="105" t="str" vm="70">
        <f>CUBEMEMBER("ThisWorkbookDataModel",{"[fActualAndBudget].[StavkaKategorija].&amp;[2.30. Останати оперативни приходи]","[fActualAndBudget].[StavkaImeMK].&amp;[Други неспомнати приходи]"})</f>
        <v>Други неспомнати приходи</v>
      </c>
      <c r="C78" s="121" vm="1989">
        <f t="shared" si="11"/>
        <v>16885</v>
      </c>
      <c r="D78" s="121" vm="1949">
        <f t="shared" si="11"/>
        <v>317640</v>
      </c>
      <c r="E78" s="115">
        <f t="shared" si="14"/>
        <v>17.811963281018656</v>
      </c>
      <c r="F78" s="246" vm="1522">
        <f t="shared" si="12"/>
        <v>338235</v>
      </c>
      <c r="G78" s="115">
        <f t="shared" si="13"/>
        <v>6.4837551945598815E-2</v>
      </c>
      <c r="H78" s="18">
        <f t="shared" si="15"/>
        <v>8.3475796784606142E-4</v>
      </c>
    </row>
    <row r="79" spans="2:9" hidden="1" outlineLevel="1" x14ac:dyDescent="0.25">
      <c r="B79" s="105" t="str" vm="68">
        <f>CUBEMEMBER("ThisWorkbookDataModel",{"[fActualAndBudget].[StavkaKategorija].&amp;[2.30. Останати оперативни приходи]","[fActualAndBudget].[StavkaImeMK].&amp;[Приходи од донации]"})</f>
        <v>Приходи од донации</v>
      </c>
      <c r="C79" s="121" vm="2001">
        <f t="shared" si="11"/>
        <v>4715772</v>
      </c>
      <c r="D79" s="121" vm="1931">
        <f t="shared" si="11"/>
        <v>4785429</v>
      </c>
      <c r="E79" s="115">
        <f t="shared" si="14"/>
        <v>1.4771070357091132E-2</v>
      </c>
      <c r="F79" s="202" vm="1665">
        <f t="shared" si="12"/>
        <v>5042076</v>
      </c>
      <c r="G79" s="115">
        <f t="shared" si="13"/>
        <v>5.3630928386984689E-2</v>
      </c>
      <c r="H79" s="18">
        <f t="shared" si="15"/>
        <v>1.244375394469939E-2</v>
      </c>
    </row>
    <row r="80" spans="2:9" hidden="1" outlineLevel="1" x14ac:dyDescent="0.25">
      <c r="B80" s="105" t="str" vm="66">
        <f>CUBEMEMBER("ThisWorkbookDataModel",{"[fActualAndBudget].[StavkaKategorija].&amp;[2.30. Останати оперативни приходи]","[fActualAndBudget].[StavkaImeMK].&amp;[Приходи од продажба на подвижен имот]"})</f>
        <v>Приходи од продажба на подвижен имот</v>
      </c>
      <c r="C80" s="121" t="str" vm="1978">
        <f t="shared" si="11"/>
        <v/>
      </c>
      <c r="D80" s="121" t="str" vm="1950">
        <f t="shared" si="11"/>
        <v/>
      </c>
      <c r="E80" s="115">
        <f t="shared" si="14"/>
        <v>0</v>
      </c>
      <c r="F80" s="121" t="str" vm="1508">
        <f t="shared" si="12"/>
        <v/>
      </c>
      <c r="G80" s="115">
        <f t="shared" si="13"/>
        <v>0</v>
      </c>
      <c r="H80" s="18">
        <f t="shared" si="15"/>
        <v>0</v>
      </c>
    </row>
    <row r="81" spans="2:10" hidden="1" outlineLevel="1" x14ac:dyDescent="0.25">
      <c r="B81" s="105" t="str" vm="30">
        <f>CUBEMEMBER("ThisWorkbookDataModel",{"[fActualAndBudget].[StavkaKategorija].&amp;[2.30. Останати оперативни приходи]","[fActualAndBudget].[StavkaImeMK].&amp;[Приходи од закуп]"})</f>
        <v>Приходи од закуп</v>
      </c>
      <c r="C81" s="121" t="str" vm="1977">
        <f t="shared" si="11"/>
        <v/>
      </c>
      <c r="D81" s="121" vm="1935">
        <f t="shared" si="11"/>
        <v>0</v>
      </c>
      <c r="E81" s="115">
        <f t="shared" si="14"/>
        <v>0</v>
      </c>
      <c r="F81" s="121" vm="1527">
        <f t="shared" si="12"/>
        <v>0</v>
      </c>
      <c r="G81" s="115">
        <f t="shared" si="13"/>
        <v>0</v>
      </c>
      <c r="H81" s="18">
        <f t="shared" si="15"/>
        <v>0</v>
      </c>
    </row>
    <row r="82" spans="2:10" collapsed="1" x14ac:dyDescent="0.25">
      <c r="B82" s="19" t="s">
        <v>164</v>
      </c>
      <c r="C82" s="20">
        <f>SUM(C63,C76)</f>
        <v>361686994</v>
      </c>
      <c r="D82" s="20">
        <f>SUM(D63,D76)</f>
        <v>377394555</v>
      </c>
      <c r="E82" s="116">
        <f t="shared" si="14"/>
        <v>4.3428603351991057E-2</v>
      </c>
      <c r="F82" s="20">
        <f>SUM(F63,F76)</f>
        <v>405189304</v>
      </c>
      <c r="G82" s="116">
        <f t="shared" si="13"/>
        <v>7.3649046155422226E-2</v>
      </c>
      <c r="H82" s="107">
        <f>SUM(H63,H76)</f>
        <v>1</v>
      </c>
    </row>
    <row r="83" spans="2:10" x14ac:dyDescent="0.25">
      <c r="B83" s="101" t="str" vm="27">
        <f>CUBEMEMBER("ThisWorkbookDataModel","[fActualAndBudget].[StavkaKategorija].&amp;[2.32. Потрошени суровини и материјали]")</f>
        <v>2.32. Потрошени суровини и материјали</v>
      </c>
      <c r="C83" s="121" vm="2007">
        <f t="shared" ref="C83:D103" si="16">CUBEVALUE("ThisWorkbookDataModel",C$62,$C$3,$B$5,$B83,C$61)</f>
        <v>5579970</v>
      </c>
      <c r="D83" s="121" vm="1951">
        <f t="shared" si="16"/>
        <v>10772359</v>
      </c>
      <c r="E83" s="114">
        <f t="shared" si="14"/>
        <v>0.93054066598924368</v>
      </c>
      <c r="F83" s="121" vm="1676">
        <f t="shared" ref="F83:F103" si="17">CUBEVALUE("ThisWorkbookDataModel",F$62,$C$3,$B$5,$B83,F$61)</f>
        <v>20193004</v>
      </c>
      <c r="G83" s="114">
        <f t="shared" si="13"/>
        <v>0.87452014920780119</v>
      </c>
      <c r="H83" s="103">
        <f t="shared" si="15"/>
        <v>4.98359749397531E-2</v>
      </c>
    </row>
    <row r="84" spans="2:10" outlineLevel="1" x14ac:dyDescent="0.25">
      <c r="B84" s="104" t="str" vm="56">
        <f>CUBEMEMBER("ThisWorkbookDataModel",{"[fActualAndBudget].[StavkaKategorija].&amp;[2.32. Потрошени суровини и материјали]","[fActualAndBudget].[StavkaImeMK].&amp;[Потрoшена енергија и гориво за возила]"})</f>
        <v>Потрoшена енергија и гориво за возила</v>
      </c>
      <c r="C84" s="121" vm="1976">
        <f t="shared" si="16"/>
        <v>2971264</v>
      </c>
      <c r="D84" s="121" vm="1962">
        <f t="shared" si="16"/>
        <v>8719568</v>
      </c>
      <c r="E84" s="114">
        <f t="shared" si="14"/>
        <v>1.9346325334941628</v>
      </c>
      <c r="F84" s="121" vm="1745">
        <f t="shared" si="17"/>
        <v>15720000</v>
      </c>
      <c r="G84" s="114">
        <f t="shared" si="13"/>
        <v>0.80284160866685128</v>
      </c>
      <c r="H84" s="103">
        <f t="shared" si="15"/>
        <v>3.8796680575753799E-2</v>
      </c>
    </row>
    <row r="85" spans="2:10" outlineLevel="1" x14ac:dyDescent="0.25">
      <c r="B85" s="104" t="str" vm="53">
        <f>CUBEMEMBER("ThisWorkbookDataModel",{"[fActualAndBudget].[StavkaKategorija].&amp;[2.32. Потрошени суровини и материјали]","[fActualAndBudget].[StavkaImeMK].&amp;[Потрошени резервни делови]"})</f>
        <v>Потрошени резервни делови</v>
      </c>
      <c r="C85" s="121" vm="1972">
        <f t="shared" si="16"/>
        <v>7831</v>
      </c>
      <c r="D85" s="121" vm="1959">
        <f t="shared" si="16"/>
        <v>24519</v>
      </c>
      <c r="E85" s="114">
        <f t="shared" si="14"/>
        <v>2.1310177499680756</v>
      </c>
      <c r="F85" s="121" vm="1769">
        <f t="shared" si="17"/>
        <v>33000</v>
      </c>
      <c r="G85" s="114">
        <f t="shared" si="13"/>
        <v>0.34589502018842522</v>
      </c>
      <c r="H85" s="103">
        <f t="shared" si="15"/>
        <v>8.1443413422383919E-5</v>
      </c>
    </row>
    <row r="86" spans="2:10" outlineLevel="1" x14ac:dyDescent="0.25">
      <c r="B86" s="104" t="str" vm="51">
        <f>CUBEMEMBER("ThisWorkbookDataModel",{"[fActualAndBudget].[StavkaKategorija].&amp;[2.32. Потрошени суровини и материјали]","[fActualAndBudget].[StavkaImeMK].&amp;[Потрошени суровини и материјали]"})</f>
        <v>Потрошени суровини и материјали</v>
      </c>
      <c r="C86" s="121" vm="2012">
        <f t="shared" si="16"/>
        <v>2306349</v>
      </c>
      <c r="D86" s="121" vm="1954">
        <f t="shared" si="16"/>
        <v>1879780</v>
      </c>
      <c r="E86" s="114">
        <f t="shared" si="14"/>
        <v>-0.18495422852308996</v>
      </c>
      <c r="F86" s="121" vm="1882">
        <f t="shared" si="17"/>
        <v>4150000</v>
      </c>
      <c r="G86" s="114">
        <f t="shared" si="13"/>
        <v>1.2077051569864556</v>
      </c>
      <c r="H86" s="103">
        <f t="shared" si="15"/>
        <v>1.0242126233421009E-2</v>
      </c>
    </row>
    <row r="87" spans="2:10" outlineLevel="1" x14ac:dyDescent="0.25">
      <c r="B87" s="104" t="str" vm="40">
        <f>CUBEMEMBER("ThisWorkbookDataModel",{"[fActualAndBudget].[StavkaKategorija].&amp;[2.32. Потрошени суровини и материјали]","[fActualAndBudget].[StavkaImeMK].&amp;[Потрошок на ситен инвентар и автогуми]"})</f>
        <v>Потрошок на ситен инвентар и автогуми</v>
      </c>
      <c r="C87" s="121" vm="1970">
        <f t="shared" si="16"/>
        <v>294526</v>
      </c>
      <c r="D87" s="121" vm="1923">
        <f t="shared" si="16"/>
        <v>148492</v>
      </c>
      <c r="E87" s="114">
        <f t="shared" si="14"/>
        <v>-0.49582719352451055</v>
      </c>
      <c r="F87" s="121" vm="1789">
        <f t="shared" si="17"/>
        <v>290004</v>
      </c>
      <c r="G87" s="114">
        <f t="shared" si="13"/>
        <v>0.95299410069229329</v>
      </c>
      <c r="H87" s="103">
        <f t="shared" si="15"/>
        <v>7.157247171559099E-4</v>
      </c>
    </row>
    <row r="88" spans="2:10" x14ac:dyDescent="0.25">
      <c r="B88" s="101" t="str" vm="36">
        <f>CUBEMEMBER("ThisWorkbookDataModel","[fActualAndBudget].[StavkaKategorija].&amp;[2.33. Трошоци за вработените]")</f>
        <v>2.33. Трошоци за вработените</v>
      </c>
      <c r="C88" s="121" vm="2003">
        <f t="shared" si="16"/>
        <v>230861452</v>
      </c>
      <c r="D88" s="121" vm="1964">
        <f t="shared" si="16"/>
        <v>222559207</v>
      </c>
      <c r="E88" s="114">
        <f t="shared" si="14"/>
        <v>-3.5962023664305787E-2</v>
      </c>
      <c r="F88" s="121" vm="1735">
        <f t="shared" si="17"/>
        <v>244864813</v>
      </c>
      <c r="G88" s="114">
        <f t="shared" si="13"/>
        <v>0.10022324531377391</v>
      </c>
      <c r="H88" s="103">
        <f t="shared" si="15"/>
        <v>0.60432200599253727</v>
      </c>
    </row>
    <row r="89" spans="2:10" hidden="1" outlineLevel="1" x14ac:dyDescent="0.25">
      <c r="B89" s="104" t="str" vm="34">
        <f>CUBEMEMBER("ThisWorkbookDataModel",{"[fActualAndBudget].[StavkaKategorija].&amp;[2.33. Трошоци за вработените]","[fActualAndBudget].[StavkaImeMK].&amp;[Надомест на трошоци на вработените, подароци и помошти]"})</f>
        <v>Надомест на трошоци на вработените, подароци и помошти</v>
      </c>
      <c r="C89" s="121" vm="1985">
        <f t="shared" si="16"/>
        <v>230861452</v>
      </c>
      <c r="D89" s="121" vm="1933">
        <f t="shared" si="16"/>
        <v>222559207</v>
      </c>
      <c r="E89" s="114">
        <f t="shared" si="14"/>
        <v>-3.5962023664305787E-2</v>
      </c>
      <c r="F89" s="121" vm="1568">
        <f t="shared" si="17"/>
        <v>244864813</v>
      </c>
      <c r="G89" s="114">
        <f t="shared" si="13"/>
        <v>0.10022324531377391</v>
      </c>
      <c r="H89" s="103">
        <f t="shared" si="15"/>
        <v>0.60432200599253727</v>
      </c>
    </row>
    <row r="90" spans="2:10" collapsed="1" x14ac:dyDescent="0.25">
      <c r="B90" s="101" t="str" vm="61">
        <f>CUBEMEMBER("ThisWorkbookDataModel","[fActualAndBudget].[StavkaKategorija].&amp;[2.34. Амортизација на материјални средства]")</f>
        <v>2.34. Амортизација на материјални средства</v>
      </c>
      <c r="C90" s="121" vm="1988">
        <f t="shared" si="16"/>
        <v>41686069</v>
      </c>
      <c r="D90" s="121" vm="1958">
        <f t="shared" si="16"/>
        <v>51784612</v>
      </c>
      <c r="E90" s="114">
        <f t="shared" si="14"/>
        <v>0.24225222579754413</v>
      </c>
      <c r="F90" s="121" vm="1668">
        <f t="shared" si="17"/>
        <v>66484462</v>
      </c>
      <c r="G90" s="114">
        <f t="shared" si="13"/>
        <v>0.28386521463171333</v>
      </c>
      <c r="H90" s="103">
        <f t="shared" si="15"/>
        <v>0.1640824704494174</v>
      </c>
      <c r="I90">
        <v>69510675</v>
      </c>
      <c r="J90" s="1">
        <f>I90-F90</f>
        <v>3026213</v>
      </c>
    </row>
    <row r="91" spans="2:10" x14ac:dyDescent="0.25">
      <c r="B91" s="101" t="str" vm="65">
        <f>CUBEMEMBER("ThisWorkbookDataModel","[fActualAndBudget].[StavkaKategorija].&amp;[2.35. Вредносно усогласување на тековни средства]")</f>
        <v>2.35. Вредносно усогласување на тековни средства</v>
      </c>
      <c r="C91" s="121" vm="1995">
        <f t="shared" si="16"/>
        <v>0</v>
      </c>
      <c r="D91" s="121" vm="1960">
        <f t="shared" si="16"/>
        <v>1200</v>
      </c>
      <c r="E91" s="114">
        <f t="shared" si="14"/>
        <v>0</v>
      </c>
      <c r="F91" s="121" vm="1534">
        <f t="shared" si="17"/>
        <v>7200</v>
      </c>
      <c r="G91" s="114">
        <f t="shared" si="13"/>
        <v>5</v>
      </c>
      <c r="H91" s="103">
        <f t="shared" si="15"/>
        <v>1.7769472019429221E-5</v>
      </c>
    </row>
    <row r="92" spans="2:10" x14ac:dyDescent="0.25">
      <c r="B92" s="101" t="str" vm="60">
        <f>CUBEMEMBER("ThisWorkbookDataModel","[fActualAndBudget].[StavkaKategorija].&amp;[2.37. Останати оперативни расходи]")</f>
        <v>2.37. Останати оперативни расходи</v>
      </c>
      <c r="C92" s="121" vm="2011">
        <f t="shared" si="16"/>
        <v>37677763</v>
      </c>
      <c r="D92" s="121" vm="1924">
        <f t="shared" si="16"/>
        <v>38221254</v>
      </c>
      <c r="E92" s="114">
        <f t="shared" si="14"/>
        <v>1.4424715182798975E-2</v>
      </c>
      <c r="F92" s="121" vm="1564">
        <f t="shared" si="17"/>
        <v>72191018</v>
      </c>
      <c r="G92" s="114">
        <f t="shared" si="13"/>
        <v>0.88876633927290816</v>
      </c>
      <c r="H92" s="103">
        <f t="shared" si="15"/>
        <v>0.17816614922293211</v>
      </c>
    </row>
    <row r="93" spans="2:10" hidden="1" outlineLevel="1" x14ac:dyDescent="0.25">
      <c r="B93" s="105" t="str" vm="59">
        <f>CUBEMEMBER("ThisWorkbookDataModel",{"[fActualAndBudget].[StavkaKategorija].&amp;[2.37. Останати оперативни расходи]","[fActualAndBudget].[StavkaImeMK].&amp;[Банкарски услуги и трошоци за платен промет]"})</f>
        <v>Банкарски услуги и трошоци за платен промет</v>
      </c>
      <c r="C93" s="121" vm="1999">
        <f t="shared" si="16"/>
        <v>281344</v>
      </c>
      <c r="D93" s="121" vm="1967">
        <f t="shared" si="16"/>
        <v>286917</v>
      </c>
      <c r="E93" s="115">
        <f t="shared" si="14"/>
        <v>1.9808490673339341E-2</v>
      </c>
      <c r="F93" s="121" vm="1646">
        <f t="shared" si="17"/>
        <v>360000</v>
      </c>
      <c r="G93" s="115">
        <f t="shared" si="13"/>
        <v>0.25471826346992343</v>
      </c>
      <c r="H93" s="103">
        <f t="shared" si="15"/>
        <v>8.8847360097146094E-4</v>
      </c>
    </row>
    <row r="94" spans="2:10" hidden="1" outlineLevel="1" x14ac:dyDescent="0.25">
      <c r="B94" s="105" t="str" vm="55">
        <f>CUBEMEMBER("ThisWorkbookDataModel",{"[fActualAndBudget].[StavkaKategorija].&amp;[2.37. Останати оперативни расходи]","[fActualAndBudget].[StavkaImeMK].&amp;[Даноци,чланарини и други давачки кои не зависат од резултатот]"})</f>
        <v>Даноци,чланарини и други давачки кои не зависат од резултатот</v>
      </c>
      <c r="C94" s="121" vm="1980">
        <f t="shared" si="16"/>
        <v>921566</v>
      </c>
      <c r="D94" s="121" vm="1938">
        <f t="shared" si="16"/>
        <v>896055</v>
      </c>
      <c r="E94" s="115">
        <f t="shared" si="14"/>
        <v>-2.7682227859968767E-2</v>
      </c>
      <c r="F94" s="121" vm="1809">
        <f t="shared" si="17"/>
        <v>1173000</v>
      </c>
      <c r="G94" s="115">
        <f t="shared" si="13"/>
        <v>0.30907142976714597</v>
      </c>
      <c r="H94" s="103">
        <f t="shared" si="15"/>
        <v>2.8949431498320102E-3</v>
      </c>
    </row>
    <row r="95" spans="2:10" hidden="1" outlineLevel="1" x14ac:dyDescent="0.25">
      <c r="B95" s="105" t="str" vm="44">
        <f>CUBEMEMBER("ThisWorkbookDataModel",{"[fActualAndBudget].[StavkaKategorija].&amp;[2.37. Останати оперативни расходи]","[fActualAndBudget].[StavkaImeMK].&amp;[Дневници за службени патувања и патни трошоци]"})</f>
        <v>Дневници за службени патувања и патни трошоци</v>
      </c>
      <c r="C95" s="121" vm="2008">
        <f t="shared" si="16"/>
        <v>113362</v>
      </c>
      <c r="D95" s="121" vm="1966">
        <f t="shared" si="16"/>
        <v>876105</v>
      </c>
      <c r="E95" s="115">
        <f t="shared" si="14"/>
        <v>6.7283834089024541</v>
      </c>
      <c r="F95" s="121" vm="1639">
        <f t="shared" si="17"/>
        <v>6012000</v>
      </c>
      <c r="G95" s="115">
        <f t="shared" ref="G95:G113" si="18">IF(ISERROR(IF(D95=0,0,F95/D95-1)),0,IF(D95=0,0,F95/D95-1))</f>
        <v>5.8621911757152398</v>
      </c>
      <c r="H95" s="103">
        <f t="shared" si="15"/>
        <v>1.4837509136223398E-2</v>
      </c>
    </row>
    <row r="96" spans="2:10" hidden="1" outlineLevel="1" x14ac:dyDescent="0.25">
      <c r="B96" s="105" t="str" vm="42">
        <f>CUBEMEMBER("ThisWorkbookDataModel",{"[fActualAndBudget].[StavkaKategorija].&amp;[2.37. Останати оперативни расходи]","[fActualAndBudget].[StavkaImeMK].&amp;[Надворешни услуги]"})</f>
        <v>Надворешни услуги</v>
      </c>
      <c r="C96" s="121" vm="1996">
        <f t="shared" si="16"/>
        <v>772520</v>
      </c>
      <c r="D96" s="121" vm="1922">
        <f t="shared" si="16"/>
        <v>938527</v>
      </c>
      <c r="E96" s="115">
        <f t="shared" si="14"/>
        <v>0.21489022937917457</v>
      </c>
      <c r="F96" s="121" vm="1597">
        <f t="shared" si="17"/>
        <v>1250004</v>
      </c>
      <c r="G96" s="115">
        <f t="shared" si="18"/>
        <v>0.33187857142096067</v>
      </c>
      <c r="H96" s="103">
        <f t="shared" si="15"/>
        <v>3.0849876530798059E-3</v>
      </c>
    </row>
    <row r="97" spans="2:8" hidden="1" outlineLevel="1" x14ac:dyDescent="0.25">
      <c r="B97" s="105" t="str" vm="39">
        <f>CUBEMEMBER("ThisWorkbookDataModel",{"[fActualAndBudget].[StavkaKategorija].&amp;[2.37. Останати оперативни расходи]","[fActualAndBudget].[StavkaImeMK].&amp;[Наемнини и лизинг]"})</f>
        <v>Наемнини и лизинг</v>
      </c>
      <c r="C97" s="121" vm="2006">
        <f t="shared" si="16"/>
        <v>0</v>
      </c>
      <c r="D97" s="121" vm="1943">
        <f t="shared" si="16"/>
        <v>0</v>
      </c>
      <c r="E97" s="115">
        <f t="shared" si="14"/>
        <v>0</v>
      </c>
      <c r="F97" s="121" vm="1765">
        <f t="shared" si="17"/>
        <v>476400</v>
      </c>
      <c r="G97" s="115">
        <f t="shared" si="18"/>
        <v>0</v>
      </c>
      <c r="H97" s="103">
        <f t="shared" si="15"/>
        <v>1.1757467319522333E-3</v>
      </c>
    </row>
    <row r="98" spans="2:8" hidden="1" outlineLevel="1" x14ac:dyDescent="0.25">
      <c r="B98" s="105" t="str" vm="35">
        <f>CUBEMEMBER("ThisWorkbookDataModel",{"[fActualAndBudget].[StavkaKategorija].&amp;[2.37. Останати оперативни расходи]","[fActualAndBudget].[StavkaImeMK].&amp;[Останати нематеријални трошоци]"})</f>
        <v>Останати нематеријални трошоци</v>
      </c>
      <c r="C98" s="121" vm="1968">
        <f t="shared" si="16"/>
        <v>2446228</v>
      </c>
      <c r="D98" s="121" vm="1930">
        <f t="shared" si="16"/>
        <v>2357197</v>
      </c>
      <c r="E98" s="115">
        <f t="shared" si="14"/>
        <v>-3.6395217453156437E-2</v>
      </c>
      <c r="F98" s="121" vm="1581">
        <f t="shared" si="17"/>
        <v>4137000</v>
      </c>
      <c r="G98" s="115">
        <f t="shared" si="18"/>
        <v>0.75505059611055003</v>
      </c>
      <c r="H98" s="103">
        <f t="shared" si="15"/>
        <v>1.0210042464497039E-2</v>
      </c>
    </row>
    <row r="99" spans="2:8" hidden="1" outlineLevel="1" x14ac:dyDescent="0.25">
      <c r="B99" s="105" t="str" vm="31">
        <f>CUBEMEMBER("ThisWorkbookDataModel",{"[fActualAndBudget].[StavkaKategorija].&amp;[2.37. Останати оперативни расходи]","[fActualAndBudget].[StavkaImeMK].&amp;[Останати услуги]"})</f>
        <v>Останати услуги</v>
      </c>
      <c r="C99" s="121" vm="1998">
        <f t="shared" si="16"/>
        <v>10166523</v>
      </c>
      <c r="D99" s="121" vm="1948">
        <f t="shared" si="16"/>
        <v>12727925</v>
      </c>
      <c r="E99" s="115">
        <f t="shared" si="14"/>
        <v>0.25194474059617034</v>
      </c>
      <c r="F99" s="121" vm="1734">
        <f t="shared" si="17"/>
        <v>15625810</v>
      </c>
      <c r="G99" s="115">
        <f t="shared" si="18"/>
        <v>0.22767929572180856</v>
      </c>
      <c r="H99" s="103">
        <f t="shared" si="15"/>
        <v>3.8564221329988511E-2</v>
      </c>
    </row>
    <row r="100" spans="2:8" hidden="1" outlineLevel="1" x14ac:dyDescent="0.25">
      <c r="B100" s="105" t="str" vm="29">
        <f>CUBEMEMBER("ThisWorkbookDataModel",{"[fActualAndBudget].[StavkaKategorija].&amp;[2.37. Останати оперативни расходи]","[fActualAndBudget].[StavkaImeMK].&amp;[Премии за осигурување]"})</f>
        <v>Премии за осигурување</v>
      </c>
      <c r="C100" s="121" vm="2009">
        <f t="shared" si="16"/>
        <v>139305</v>
      </c>
      <c r="D100" s="121" vm="1934">
        <f t="shared" si="16"/>
        <v>309289</v>
      </c>
      <c r="E100" s="115">
        <f t="shared" si="14"/>
        <v>1.2202289939341733</v>
      </c>
      <c r="F100" s="121" vm="1816">
        <f t="shared" si="17"/>
        <v>1000000</v>
      </c>
      <c r="G100" s="115">
        <f t="shared" si="18"/>
        <v>2.233222002722373</v>
      </c>
      <c r="H100" s="103">
        <f t="shared" si="15"/>
        <v>2.4679822249207249E-3</v>
      </c>
    </row>
    <row r="101" spans="2:8" hidden="1" outlineLevel="1" x14ac:dyDescent="0.25">
      <c r="B101" s="105" t="str" vm="26">
        <f>CUBEMEMBER("ThisWorkbookDataModel",{"[fActualAndBudget].[StavkaKategorija].&amp;[2.37. Останати оперативни расходи]","[fActualAndBudget].[StavkaImeMK].&amp;[Транспортни услуги]"})</f>
        <v>Транспортни услуги</v>
      </c>
      <c r="C101" s="121" vm="1991">
        <f t="shared" si="16"/>
        <v>8331686</v>
      </c>
      <c r="D101" s="121" vm="1937">
        <f t="shared" si="16"/>
        <v>5596305</v>
      </c>
      <c r="E101" s="115">
        <f t="shared" si="14"/>
        <v>-0.32831062044344927</v>
      </c>
      <c r="F101" s="121" vm="1512">
        <f t="shared" si="17"/>
        <v>17192000</v>
      </c>
      <c r="G101" s="115">
        <f t="shared" si="18"/>
        <v>2.0720269892366483</v>
      </c>
      <c r="H101" s="103">
        <f t="shared" si="15"/>
        <v>4.2429550410837104E-2</v>
      </c>
    </row>
    <row r="102" spans="2:8" hidden="1" outlineLevel="1" x14ac:dyDescent="0.25">
      <c r="B102" s="105" t="str" vm="54">
        <f>CUBEMEMBER("ThisWorkbookDataModel",{"[fActualAndBudget].[StavkaKategorija].&amp;[2.37. Останати оперативни расходи]","[fActualAndBudget].[StavkaImeMK].&amp;[Трошоци за промоција,пропаганда, реклама, репрезентација и спонзорство]"})</f>
        <v>Трошоци за промоција,пропаганда, реклама, репрезентација и спонзорство</v>
      </c>
      <c r="C102" s="121" vm="1983">
        <f t="shared" si="16"/>
        <v>572586</v>
      </c>
      <c r="D102" s="121" vm="1926">
        <f t="shared" si="16"/>
        <v>573358</v>
      </c>
      <c r="E102" s="115">
        <f t="shared" si="14"/>
        <v>1.3482690809765163E-3</v>
      </c>
      <c r="F102" s="121" vm="1877">
        <f t="shared" si="17"/>
        <v>400400</v>
      </c>
      <c r="G102" s="115">
        <f t="shared" si="18"/>
        <v>-0.30165795192532419</v>
      </c>
      <c r="H102" s="103">
        <f t="shared" si="15"/>
        <v>9.8818008285825819E-4</v>
      </c>
    </row>
    <row r="103" spans="2:8" hidden="1" outlineLevel="1" x14ac:dyDescent="0.25">
      <c r="B103" s="105" t="str" vm="50">
        <f>CUBEMEMBER("ThisWorkbookDataModel",{"[fActualAndBudget].[StavkaKategorija].&amp;[2.37. Останати оперативни расходи]","[fActualAndBudget].[StavkaImeMK].&amp;[Услуги за одржување и заштита]"})</f>
        <v>Услуги за одржување и заштита</v>
      </c>
      <c r="C103" s="121" vm="1994">
        <f t="shared" si="16"/>
        <v>12987102</v>
      </c>
      <c r="D103" s="121" vm="1946">
        <f t="shared" si="16"/>
        <v>13658338</v>
      </c>
      <c r="E103" s="115">
        <f t="shared" si="14"/>
        <v>5.1684817752259082E-2</v>
      </c>
      <c r="F103" s="121" vm="1595">
        <f t="shared" si="17"/>
        <v>17327204</v>
      </c>
      <c r="G103" s="115">
        <f t="shared" si="18"/>
        <v>0.26861730907523307</v>
      </c>
      <c r="H103" s="103">
        <f t="shared" si="15"/>
        <v>4.2763231479575288E-2</v>
      </c>
    </row>
    <row r="104" spans="2:8" collapsed="1" x14ac:dyDescent="0.25">
      <c r="B104" s="19" t="s">
        <v>165</v>
      </c>
      <c r="C104" s="20">
        <f>SUM(C83,C88,C90,C91,C92)</f>
        <v>315805254</v>
      </c>
      <c r="D104" s="20">
        <f>SUM(D83,D88,D90,D91,D92)</f>
        <v>323338632</v>
      </c>
      <c r="E104" s="116">
        <f t="shared" si="14"/>
        <v>2.3854504966532408E-2</v>
      </c>
      <c r="F104" s="20">
        <f>SUM(F83,F88,F90,F91,F92)</f>
        <v>403740497</v>
      </c>
      <c r="G104" s="116">
        <f t="shared" si="18"/>
        <v>0.24866148688350975</v>
      </c>
      <c r="H104" s="21">
        <f t="shared" si="15"/>
        <v>0.99642437007665929</v>
      </c>
    </row>
    <row r="105" spans="2:8" x14ac:dyDescent="0.25">
      <c r="B105" s="19" t="s">
        <v>167</v>
      </c>
      <c r="C105" s="20">
        <f>SUM(C82,-C104)</f>
        <v>45881740</v>
      </c>
      <c r="D105" s="20">
        <f>SUM(D82,-D104)</f>
        <v>54055923</v>
      </c>
      <c r="E105" s="116">
        <f t="shared" si="14"/>
        <v>0.17815765051630561</v>
      </c>
      <c r="F105" s="20">
        <f>SUM(F82,-F104)</f>
        <v>1448807</v>
      </c>
      <c r="G105" s="116">
        <f t="shared" si="18"/>
        <v>-0.9731979971926481</v>
      </c>
      <c r="H105" s="21">
        <f t="shared" si="15"/>
        <v>3.5756299233407206E-3</v>
      </c>
    </row>
    <row r="106" spans="2:8" x14ac:dyDescent="0.25">
      <c r="B106" s="101" t="str" vm="48">
        <f>CUBEMEMBER("ThisWorkbookDataModel","[fActualAndBudget].[StavkaKategorija].&amp;[2.40. Приходи од финансирање]")</f>
        <v>2.40. Приходи од финансирање</v>
      </c>
      <c r="C106" s="121" vm="1969">
        <f t="shared" ref="C106:D108" si="19">CUBEVALUE("ThisWorkbookDataModel",C$62,$C$3,$B$5,$B106,C$61)</f>
        <v>6486</v>
      </c>
      <c r="D106" s="121" vm="1939">
        <f t="shared" si="19"/>
        <v>5310</v>
      </c>
      <c r="E106" s="114">
        <f t="shared" si="14"/>
        <v>-0.18131359851988904</v>
      </c>
      <c r="F106" s="121" vm="1910">
        <f>CUBEVALUE("ThisWorkbookDataModel",F$62,$C$3,$B$5,$B106,F$61)</f>
        <v>5615</v>
      </c>
      <c r="G106" s="114">
        <f t="shared" si="18"/>
        <v>5.7438794726930364E-2</v>
      </c>
      <c r="H106" s="21">
        <f t="shared" si="15"/>
        <v>1.3857720192929871E-5</v>
      </c>
    </row>
    <row r="107" spans="2:8" outlineLevel="1" x14ac:dyDescent="0.25">
      <c r="B107" s="104" t="str" vm="46">
        <f>CUBEMEMBER("ThisWorkbookDataModel",{"[fActualAndBudget].[StavkaKategorija].&amp;[2.40. Приходи од финансирање]","[fActualAndBudget].[StavkaImeMK].&amp;[Приходи од камати]"})</f>
        <v>Приходи од камати</v>
      </c>
      <c r="C107" s="121" vm="1993">
        <f t="shared" si="19"/>
        <v>1881</v>
      </c>
      <c r="D107" s="121" vm="1928">
        <f t="shared" si="19"/>
        <v>1957</v>
      </c>
      <c r="E107" s="114">
        <f t="shared" si="14"/>
        <v>4.0404040404040442E-2</v>
      </c>
      <c r="F107" s="121" vm="1649">
        <f>CUBEVALUE("ThisWorkbookDataModel",F$62,$C$3,$B$5,$B107,F$61)</f>
        <v>2065</v>
      </c>
      <c r="G107" s="114">
        <f t="shared" si="18"/>
        <v>5.5186509964231023E-2</v>
      </c>
      <c r="H107" s="18">
        <f t="shared" si="15"/>
        <v>5.0963832944612973E-6</v>
      </c>
    </row>
    <row r="108" spans="2:8" outlineLevel="1" x14ac:dyDescent="0.25">
      <c r="B108" s="104" t="str" vm="64">
        <f>CUBEMEMBER("ThisWorkbookDataModel",{"[fActualAndBudget].[StavkaKategorija].&amp;[2.40. Приходи од финансирање]","[fActualAndBudget].[StavkaImeMK].&amp;[Приходи од курсни разлики]"})</f>
        <v>Приходи од курсни разлики</v>
      </c>
      <c r="C108" s="121" vm="1984">
        <f t="shared" si="19"/>
        <v>4605</v>
      </c>
      <c r="D108" s="121" vm="1961">
        <f t="shared" si="19"/>
        <v>3353</v>
      </c>
      <c r="E108" s="114">
        <f t="shared" si="14"/>
        <v>-0.27187839305103145</v>
      </c>
      <c r="F108" s="121" vm="1733">
        <f>CUBEVALUE("ThisWorkbookDataModel",F$62,$C$3,$B$5,$B108,F$61)</f>
        <v>3550</v>
      </c>
      <c r="G108" s="114">
        <f t="shared" si="18"/>
        <v>5.8753355204294699E-2</v>
      </c>
      <c r="H108" s="18">
        <f t="shared" si="15"/>
        <v>8.7613368984685728E-6</v>
      </c>
    </row>
    <row r="109" spans="2:8" x14ac:dyDescent="0.25">
      <c r="B109" s="101" t="str" vm="62">
        <f>CUBEMEMBER("ThisWorkbookDataModel","[fActualAndBudget].[StavkaKategorija].&amp;[2.41. Расходи од финансирање]")</f>
        <v>2.41. Расходи од финансирање</v>
      </c>
      <c r="C109" s="137">
        <f>SUM(C110:C112)</f>
        <v>2916244</v>
      </c>
      <c r="D109" s="102">
        <f>SUM(D110:D112)</f>
        <v>257458</v>
      </c>
      <c r="E109" s="114">
        <f t="shared" si="14"/>
        <v>-0.91171589208584747</v>
      </c>
      <c r="F109" s="102">
        <f>SUM(F110:F112)</f>
        <v>75600</v>
      </c>
      <c r="G109" s="114">
        <f t="shared" si="18"/>
        <v>-0.7063598722898492</v>
      </c>
      <c r="H109" s="18">
        <f t="shared" si="15"/>
        <v>1.8657945620400681E-4</v>
      </c>
    </row>
    <row r="110" spans="2:8" outlineLevel="1" x14ac:dyDescent="0.25">
      <c r="B110" s="105" t="str" vm="115">
        <f>CUBEMEMBER("ThisWorkbookDataModel",{"[fActualAndBudget].[StavkaKategorija].&amp;[2.41. Расходи од финансирање]","[fActualAndBudget].[StavkaImeMK].&amp;[Загуби и кусоци]"})</f>
        <v>Загуби и кусоци</v>
      </c>
      <c r="C110" s="121" t="str" vm="1981">
        <f t="shared" ref="C110:D112" si="20">CUBEVALUE("ThisWorkbookDataModel",C$62,$C$3,$B$5,$B110,C$61)</f>
        <v/>
      </c>
      <c r="D110" s="121" t="str" vm="1947">
        <f t="shared" si="20"/>
        <v/>
      </c>
      <c r="E110" s="115">
        <f t="shared" si="14"/>
        <v>0</v>
      </c>
      <c r="F110" s="121" t="str" vm="1741">
        <f>CUBEVALUE("ThisWorkbookDataModel",F$62,$C$3,$B$5,$B110,F$61)</f>
        <v/>
      </c>
      <c r="G110" s="115">
        <f t="shared" si="18"/>
        <v>0</v>
      </c>
      <c r="H110" s="18">
        <f t="shared" si="15"/>
        <v>0</v>
      </c>
    </row>
    <row r="111" spans="2:8" outlineLevel="1" x14ac:dyDescent="0.25">
      <c r="B111" s="105" t="str" vm="116">
        <f>CUBEMEMBER("ThisWorkbookDataModel",{"[fActualAndBudget].[StavkaKategorija].&amp;[2.41. Расходи од финансирање]","[fActualAndBudget].[StavkaImeMK].&amp;[Курсни разлики]"})</f>
        <v>Курсни разлики</v>
      </c>
      <c r="C111" s="121" vm="1979">
        <f t="shared" si="20"/>
        <v>202884</v>
      </c>
      <c r="D111" s="121" vm="1955">
        <f t="shared" si="20"/>
        <v>201106</v>
      </c>
      <c r="E111" s="115">
        <f t="shared" si="14"/>
        <v>-8.7636284773565665E-3</v>
      </c>
      <c r="F111" s="121" vm="1536">
        <f>CUBEVALUE("ThisWorkbookDataModel",F$62,$C$3,$B$5,$B111,F$61)</f>
        <v>3600</v>
      </c>
      <c r="G111" s="115">
        <f t="shared" si="18"/>
        <v>-0.98209899257108191</v>
      </c>
      <c r="H111" s="18">
        <f t="shared" si="15"/>
        <v>8.8847360097146107E-6</v>
      </c>
    </row>
    <row r="112" spans="2:8" outlineLevel="1" x14ac:dyDescent="0.25">
      <c r="B112" s="105" t="str" vm="117">
        <f>CUBEMEMBER("ThisWorkbookDataModel",{"[fActualAndBudget].[StavkaKategorija].&amp;[2.41. Расходи од финансирање]","[fActualAndBudget].[StavkaImeMK].&amp;[Останати расходи]"})</f>
        <v>Останати расходи</v>
      </c>
      <c r="C112" s="121" vm="1973">
        <f t="shared" si="20"/>
        <v>2713360</v>
      </c>
      <c r="D112" s="121" vm="1953">
        <f t="shared" si="20"/>
        <v>56352</v>
      </c>
      <c r="E112" s="115">
        <f t="shared" si="14"/>
        <v>-0.97923165374296073</v>
      </c>
      <c r="F112" s="121" vm="1565">
        <f>CUBEVALUE("ThisWorkbookDataModel",F$62,$C$3,$B$5,$B112,F$61)</f>
        <v>72000</v>
      </c>
      <c r="G112" s="115">
        <f t="shared" si="18"/>
        <v>0.27768313458262361</v>
      </c>
      <c r="H112" s="18">
        <f t="shared" si="15"/>
        <v>1.7769472019429219E-4</v>
      </c>
    </row>
    <row r="113" spans="2:8" x14ac:dyDescent="0.25">
      <c r="B113" s="22" t="s">
        <v>166</v>
      </c>
      <c r="C113" s="23">
        <f>SUM(C105,C106,-C109)</f>
        <v>42971982</v>
      </c>
      <c r="D113" s="23">
        <f>SUM(D105,D106,-D109)</f>
        <v>53803775</v>
      </c>
      <c r="E113" s="117">
        <f t="shared" si="14"/>
        <v>0.25206640457030827</v>
      </c>
      <c r="F113" s="247">
        <f>IF(ISBLANK(SUM(F105,F106,-F109)),SUM(F105,F106,-F109),SUM(F105,F106,-F109))</f>
        <v>1378822</v>
      </c>
      <c r="G113" s="117">
        <f t="shared" si="18"/>
        <v>-0.97437313645743262</v>
      </c>
      <c r="H113" s="24">
        <f t="shared" si="15"/>
        <v>3.4029081873296436E-3</v>
      </c>
    </row>
    <row r="114" spans="2:8" x14ac:dyDescent="0.25">
      <c r="F114" s="265"/>
      <c r="G114" s="266"/>
    </row>
    <row r="115" spans="2:8" x14ac:dyDescent="0.25">
      <c r="G115" s="1"/>
    </row>
    <row r="116" spans="2:8" x14ac:dyDescent="0.25">
      <c r="B116" t="s">
        <v>215</v>
      </c>
      <c r="C116" s="1"/>
      <c r="F116" s="1"/>
      <c r="G116" s="36"/>
    </row>
    <row r="117" spans="2:8" x14ac:dyDescent="0.25">
      <c r="C117" s="96"/>
      <c r="F117" s="1"/>
      <c r="G117" s="1"/>
    </row>
    <row r="118" spans="2:8" x14ac:dyDescent="0.25">
      <c r="C118" s="197"/>
    </row>
  </sheetData>
  <sheetProtection algorithmName="SHA-512" hashValue="HEXKLxmWab/FetehltwyP90WdJZJNrtz0pb+DVepIpL/nGyi2lUOgFGyR8iheuhWTtlpaQwahZRXQ1Xbd/dfkg==" saltValue="N/IbdGt1IwwEh+KWKDLhsQ==" spinCount="100000" sheet="1" objects="1" scenarios="1"/>
  <autoFilter ref="B61:J114" xr:uid="{00000000-0009-0000-0000-00001D000000}"/>
  <mergeCells count="4">
    <mergeCell ref="E61:E62"/>
    <mergeCell ref="B61:B62"/>
    <mergeCell ref="G61:G62"/>
    <mergeCell ref="H61:H62"/>
  </mergeCells>
  <pageMargins left="0.7" right="0.7" top="0.75" bottom="0.75" header="0.3" footer="0.3"/>
  <pageSetup paperSize="9" scale="78" fitToHeight="0" orientation="landscape"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1">
    <tabColor rgb="FF92D050"/>
    <pageSetUpPr fitToPage="1"/>
  </sheetPr>
  <dimension ref="B2:H68"/>
  <sheetViews>
    <sheetView showGridLines="0" topLeftCell="A56" workbookViewId="0">
      <selection activeCell="B37" sqref="A1:XFD1048576"/>
    </sheetView>
  </sheetViews>
  <sheetFormatPr defaultRowHeight="15" x14ac:dyDescent="0.25"/>
  <cols>
    <col min="2" max="2" width="65.28515625" customWidth="1"/>
    <col min="3" max="3" width="12.42578125" customWidth="1"/>
    <col min="4" max="4" width="14.7109375" customWidth="1"/>
    <col min="5" max="6" width="13.7109375" bestFit="1" customWidth="1"/>
    <col min="7" max="7" width="14.7109375" bestFit="1" customWidth="1"/>
    <col min="8" max="8" width="11.85546875" customWidth="1"/>
    <col min="9" max="9" width="11.140625" bestFit="1" customWidth="1"/>
    <col min="10" max="11" width="10.140625" bestFit="1" customWidth="1"/>
    <col min="12" max="12" width="13.140625" bestFit="1" customWidth="1"/>
    <col min="13" max="14" width="11.140625" bestFit="1" customWidth="1"/>
    <col min="15" max="15" width="10.140625" bestFit="1" customWidth="1"/>
    <col min="16" max="16" width="13.140625" bestFit="1" customWidth="1"/>
    <col min="17" max="17" width="10.28515625" bestFit="1" customWidth="1"/>
    <col min="18" max="19" width="10.140625" bestFit="1" customWidth="1"/>
    <col min="20" max="20" width="13.140625" bestFit="1" customWidth="1"/>
    <col min="21" max="21" width="10.28515625" bestFit="1" customWidth="1"/>
    <col min="22" max="23" width="10.140625" bestFit="1" customWidth="1"/>
    <col min="24" max="24" width="13.140625" bestFit="1" customWidth="1"/>
    <col min="25" max="25" width="10.28515625" bestFit="1" customWidth="1"/>
    <col min="26" max="27" width="10.140625" bestFit="1" customWidth="1"/>
    <col min="28" max="28" width="13.140625" bestFit="1" customWidth="1"/>
    <col min="29" max="29" width="11.140625" bestFit="1" customWidth="1"/>
    <col min="30" max="30" width="13.140625" bestFit="1" customWidth="1"/>
    <col min="31" max="31" width="12.7109375" bestFit="1" customWidth="1"/>
    <col min="32" max="32" width="9" bestFit="1" customWidth="1"/>
    <col min="33" max="36" width="11" bestFit="1" customWidth="1"/>
  </cols>
  <sheetData>
    <row r="2" spans="2:8" x14ac:dyDescent="0.25">
      <c r="B2" s="4" t="s">
        <v>152</v>
      </c>
      <c r="C2" t="s" vm="11">
        <v>239</v>
      </c>
    </row>
    <row r="3" spans="2:8" x14ac:dyDescent="0.25">
      <c r="B3" s="4" t="s">
        <v>244</v>
      </c>
      <c r="C3" t="s" vm="12">
        <v>245</v>
      </c>
    </row>
    <row r="5" spans="2:8" x14ac:dyDescent="0.25">
      <c r="B5" s="297" t="str" vm="9">
        <f>CUBEMEMBER("ThisWorkbookDataModel","[Measures].[Sum of Износ]")</f>
        <v>Sum of Износ</v>
      </c>
      <c r="H5" s="78" t="s">
        <v>325</v>
      </c>
    </row>
    <row r="6" spans="2:8" s="13" customFormat="1" ht="43.15" customHeight="1" x14ac:dyDescent="0.25">
      <c r="B6" s="130" t="s">
        <v>174</v>
      </c>
      <c r="C6" s="123" t="str" vm="1476">
        <f>CUBEMEMBER("ThisWorkbookDataModel","[Calendar].[Квартал].&amp;[2023-03-31T00:00:00]")</f>
        <v>3/31/2023</v>
      </c>
      <c r="D6" s="123" t="str" vm="1475">
        <f>CUBEMEMBER("ThisWorkbookDataModel","[Calendar].[Квартал].&amp;[2023-06-30T00:00:00]")</f>
        <v>6/30/2023</v>
      </c>
      <c r="E6" s="123" t="str" vm="1477">
        <f>CUBEMEMBER("ThisWorkbookDataModel","[Calendar].[Квартал].&amp;[2023-09-30T00:00:00]")</f>
        <v>9/30/2023</v>
      </c>
      <c r="F6" s="123" t="str" vm="1478">
        <f>CUBEMEMBER("ThisWorkbookDataModel","[Calendar].[Квартал].&amp;[2023-12-31T00:00:00]")</f>
        <v>12/31/2023</v>
      </c>
      <c r="G6" s="123" t="s">
        <v>1118</v>
      </c>
      <c r="H6" s="124" t="s">
        <v>1115</v>
      </c>
    </row>
    <row r="7" spans="2:8" s="8" customFormat="1" x14ac:dyDescent="0.25">
      <c r="B7" s="19" t="str" vm="72">
        <f>CUBEMEMBER("ThisWorkbookDataModel","[fActualAndBudget].[StavkaGrupa].&amp;[3.1. Приходи од дејноста]")</f>
        <v>3.1. Приходи од дејноста</v>
      </c>
      <c r="C7" s="126"/>
      <c r="D7" s="126"/>
      <c r="E7" s="126"/>
      <c r="F7" s="126"/>
      <c r="G7" s="126"/>
      <c r="H7" s="21"/>
    </row>
    <row r="8" spans="2:8" x14ac:dyDescent="0.25">
      <c r="B8" s="105" t="str" vm="73">
        <f>CUBEMEMBER("ThisWorkbookDataModel",{"[fActualAndBudget].[StavkaGrupa].&amp;[3.1. Приходи од дејноста]","[fActualAndBudget].[StavkaImeMK].&amp;[Приходи од годишни сметки]"})</f>
        <v>Приходи од годишни сметки</v>
      </c>
      <c r="C8" s="125" vm="1757">
        <f t="shared" ref="C8:F11" si="0">CUBEVALUE("ThisWorkbookDataModel",$C$2,$C$3,$B$5,$B8,C$6)</f>
        <v>162246329</v>
      </c>
      <c r="D8" s="125" vm="1764">
        <f t="shared" si="0"/>
        <v>7766386</v>
      </c>
      <c r="E8" s="125" vm="1660">
        <f t="shared" si="0"/>
        <v>7768934</v>
      </c>
      <c r="F8" s="125" vm="1883">
        <f t="shared" si="0"/>
        <v>8211286</v>
      </c>
      <c r="G8" s="125">
        <f t="shared" ref="G8:G19" si="1">SUM(C8:F8)</f>
        <v>185992935</v>
      </c>
      <c r="H8" s="18">
        <f t="shared" ref="H8:H20" si="2">G8/$G$32</f>
        <v>0.45902089655768857</v>
      </c>
    </row>
    <row r="9" spans="2:8" x14ac:dyDescent="0.25">
      <c r="B9" s="105" t="str" vm="74">
        <f>CUBEMEMBER("ThisWorkbookDataModel",{"[fActualAndBudget].[StavkaGrupa].&amp;[3.1. Приходи од дејноста]","[fActualAndBudget].[StavkaImeMK].&amp;[Приходи од заложен регистар]"})</f>
        <v>Приходи од заложен регистар</v>
      </c>
      <c r="C9" s="125" vm="1686">
        <f t="shared" si="0"/>
        <v>472152</v>
      </c>
      <c r="D9" s="125" vm="1675">
        <f t="shared" si="0"/>
        <v>498345</v>
      </c>
      <c r="E9" s="125" vm="1813">
        <f t="shared" si="0"/>
        <v>504642</v>
      </c>
      <c r="F9" s="125" vm="1766">
        <f t="shared" si="0"/>
        <v>594623</v>
      </c>
      <c r="G9" s="125">
        <f t="shared" si="1"/>
        <v>2069762</v>
      </c>
      <c r="H9" s="18">
        <f t="shared" si="2"/>
        <v>5.1080650396803226E-3</v>
      </c>
    </row>
    <row r="10" spans="2:8" x14ac:dyDescent="0.25">
      <c r="B10" s="105" t="str" vm="75">
        <f>CUBEMEMBER("ThisWorkbookDataModel",{"[fActualAndBudget].[StavkaGrupa].&amp;[3.1. Приходи од дејноста]","[fActualAndBudget].[StavkaImeMK].&amp;[Приходи од интернет дистрибутивен систем]"})</f>
        <v>Приходи од интернет дистрибутивен систем</v>
      </c>
      <c r="C10" s="125" vm="1657">
        <f t="shared" si="0"/>
        <v>10261987</v>
      </c>
      <c r="D10" s="125" vm="1756">
        <f t="shared" si="0"/>
        <v>8698751</v>
      </c>
      <c r="E10" s="125" vm="1651">
        <f t="shared" si="0"/>
        <v>7537110</v>
      </c>
      <c r="F10" s="125" vm="1839">
        <f t="shared" si="0"/>
        <v>8899321</v>
      </c>
      <c r="G10" s="125">
        <f t="shared" si="1"/>
        <v>35397169</v>
      </c>
      <c r="H10" s="18">
        <f t="shared" si="2"/>
        <v>8.7358373316620982E-2</v>
      </c>
    </row>
    <row r="11" spans="2:8" x14ac:dyDescent="0.25">
      <c r="B11" s="105" t="str" vm="76">
        <f>CUBEMEMBER("ThisWorkbookDataModel",{"[fActualAndBudget].[StavkaGrupa].&amp;[3.1. Приходи од дејноста]","[fActualAndBudget].[StavkaImeMK].&amp;[Приходи од прекршочна постапка]"})</f>
        <v>Приходи од прекршочна постапка</v>
      </c>
      <c r="C11" s="125" t="str" vm="1572">
        <f>CUBEVALUE("ThisWorkbookDataModel",$C$2,$C$3,$B$5,$B11,C$6)</f>
        <v/>
      </c>
      <c r="D11" s="125" t="str" vm="1530">
        <f t="shared" si="0"/>
        <v/>
      </c>
      <c r="E11" s="125" t="str" vm="1546">
        <f t="shared" si="0"/>
        <v/>
      </c>
      <c r="F11" s="125" t="str" vm="1561">
        <f t="shared" si="0"/>
        <v/>
      </c>
      <c r="G11" s="125">
        <f t="shared" si="1"/>
        <v>0</v>
      </c>
      <c r="H11" s="18">
        <f t="shared" si="2"/>
        <v>0</v>
      </c>
    </row>
    <row r="12" spans="2:8" x14ac:dyDescent="0.25">
      <c r="B12" s="105" t="str" vm="189">
        <f>CUBEMEMBER("ThisWorkbookDataModel",{"[fActualAndBudget].[StavkaGrupa].&amp;[3.1. Приходи од дејноста]","[fActualAndBudget].[StavkaImeMK].&amp;[Приходи од регистар на вистински сопственици]"})</f>
        <v>Приходи од регистар на вистински сопственици</v>
      </c>
      <c r="C12" s="125" vm="1898">
        <f t="shared" ref="C12:F19" si="3">CUBEVALUE("ThisWorkbookDataModel",$C$2,$C$3,$B$5,$B12,C$6)</f>
        <v>7217817</v>
      </c>
      <c r="D12" s="125" vm="1893">
        <f t="shared" si="3"/>
        <v>6424134</v>
      </c>
      <c r="E12" s="125" vm="1500">
        <f t="shared" si="3"/>
        <v>5075813</v>
      </c>
      <c r="F12" s="125" vm="1514">
        <f t="shared" si="3"/>
        <v>9180077</v>
      </c>
      <c r="G12" s="125">
        <f t="shared" si="1"/>
        <v>27897841</v>
      </c>
      <c r="H12" s="18">
        <f t="shared" si="2"/>
        <v>6.8850421591787045E-2</v>
      </c>
    </row>
    <row r="13" spans="2:8" x14ac:dyDescent="0.25">
      <c r="B13" s="105" t="str" vm="77">
        <f>CUBEMEMBER("ThisWorkbookDataModel",{"[fActualAndBudget].[StavkaGrupa].&amp;[3.1. Приходи од дејноста]","[fActualAndBudget].[StavkaImeMK].&amp;[Приходи од регистар на директни странски инвестиции]"})</f>
        <v>Приходи од регистар на директни странски инвестиции</v>
      </c>
      <c r="C13" s="125" vm="1684">
        <f t="shared" si="3"/>
        <v>305661</v>
      </c>
      <c r="D13" s="125" vm="1790">
        <f t="shared" si="3"/>
        <v>323501</v>
      </c>
      <c r="E13" s="125" vm="1896">
        <f t="shared" si="3"/>
        <v>271543</v>
      </c>
      <c r="F13" s="125" vm="1557">
        <f t="shared" si="3"/>
        <v>318248</v>
      </c>
      <c r="G13" s="125">
        <f t="shared" si="1"/>
        <v>1218953</v>
      </c>
      <c r="H13" s="18">
        <f t="shared" si="2"/>
        <v>3.0083126486588545E-3</v>
      </c>
    </row>
    <row r="14" spans="2:8" x14ac:dyDescent="0.25">
      <c r="B14" s="105" t="str" vm="78">
        <f>CUBEMEMBER("ThisWorkbookDataModel",{"[fActualAndBudget].[StavkaGrupa].&amp;[3.1. Приходи од дејноста]","[fActualAndBudget].[StavkaImeMK].&amp;[Приходи од Регистар на лизинг]"})</f>
        <v>Приходи од Регистар на лизинг</v>
      </c>
      <c r="C14" s="125" vm="1609">
        <f t="shared" si="3"/>
        <v>204635</v>
      </c>
      <c r="D14" s="125" vm="1574">
        <f t="shared" si="3"/>
        <v>282769</v>
      </c>
      <c r="E14" s="125" vm="1673">
        <f t="shared" si="3"/>
        <v>276548</v>
      </c>
      <c r="F14" s="125" vm="1787">
        <f t="shared" si="3"/>
        <v>270241</v>
      </c>
      <c r="G14" s="125">
        <f t="shared" si="1"/>
        <v>1034193</v>
      </c>
      <c r="H14" s="18">
        <f t="shared" si="2"/>
        <v>2.5523345715991073E-3</v>
      </c>
    </row>
    <row r="15" spans="2:8" x14ac:dyDescent="0.25">
      <c r="B15" s="105" t="str" vm="79">
        <f>CUBEMEMBER("ThisWorkbookDataModel",{"[fActualAndBudget].[StavkaGrupa].&amp;[3.1. Приходи од дејноста]","[fActualAndBudget].[StavkaImeMK].&amp;[Приходи од регистар на недвижности]"})</f>
        <v>Приходи од регистар на недвижности</v>
      </c>
      <c r="C15" s="125" vm="1678">
        <f t="shared" si="3"/>
        <v>1171</v>
      </c>
      <c r="D15" s="125" vm="1611">
        <f t="shared" si="3"/>
        <v>2716</v>
      </c>
      <c r="E15" s="125" vm="1659">
        <f t="shared" si="3"/>
        <v>1757</v>
      </c>
      <c r="F15" s="125" vm="1777">
        <f t="shared" si="3"/>
        <v>1917</v>
      </c>
      <c r="G15" s="125">
        <f t="shared" si="1"/>
        <v>7561</v>
      </c>
      <c r="H15" s="18">
        <f t="shared" si="2"/>
        <v>1.8660155015418641E-5</v>
      </c>
    </row>
    <row r="16" spans="2:8" x14ac:dyDescent="0.25">
      <c r="B16" s="105" t="str" vm="80">
        <f>CUBEMEMBER("ThisWorkbookDataModel",{"[fActualAndBudget].[StavkaGrupa].&amp;[3.1. Приходи од дејноста]","[fActualAndBudget].[StavkaImeMK].&amp;[Приходи од Регистар на резиденти и нерезиденти]"})</f>
        <v>Приходи од Регистар на резиденти и нерезиденти</v>
      </c>
      <c r="C16" s="125" vm="1692">
        <f t="shared" si="3"/>
        <v>68074</v>
      </c>
      <c r="D16" s="125" vm="1580">
        <f t="shared" si="3"/>
        <v>52362</v>
      </c>
      <c r="E16" s="125" vm="1544">
        <f t="shared" si="3"/>
        <v>73716</v>
      </c>
      <c r="F16" s="125" vm="1880">
        <f t="shared" si="3"/>
        <v>77456</v>
      </c>
      <c r="G16" s="125">
        <f t="shared" si="1"/>
        <v>271608</v>
      </c>
      <c r="H16" s="18">
        <f t="shared" si="2"/>
        <v>6.7031442711649601E-4</v>
      </c>
    </row>
    <row r="17" spans="2:8" x14ac:dyDescent="0.25">
      <c r="B17" s="105" t="str" vm="81">
        <f>CUBEMEMBER("ThisWorkbookDataModel",{"[fActualAndBudget].[StavkaGrupa].&amp;[3.1. Приходи од дејноста]","[fActualAndBudget].[StavkaImeMK].&amp;[Приходи од регистрите за кривични санкции, пресуди и др.]"})</f>
        <v>Приходи од регистрите за кривични санкции, пресуди и др.</v>
      </c>
      <c r="C17" s="125" vm="1523">
        <f t="shared" si="3"/>
        <v>3827531</v>
      </c>
      <c r="D17" s="125" vm="1545">
        <f t="shared" si="3"/>
        <v>6543543</v>
      </c>
      <c r="E17" s="125" vm="1511">
        <f t="shared" si="3"/>
        <v>3366875</v>
      </c>
      <c r="F17" s="125" vm="1598">
        <f t="shared" si="3"/>
        <v>3736801</v>
      </c>
      <c r="G17" s="125">
        <f t="shared" si="1"/>
        <v>17474750</v>
      </c>
      <c r="H17" s="18">
        <f t="shared" si="2"/>
        <v>4.3126774746156185E-2</v>
      </c>
    </row>
    <row r="18" spans="2:8" x14ac:dyDescent="0.25">
      <c r="B18" s="105" t="str" vm="82">
        <f>CUBEMEMBER("ThisWorkbookDataModel",{"[fActualAndBudget].[StavkaGrupa].&amp;[3.1. Приходи од дејноста]","[fActualAndBudget].[StavkaImeMK].&amp;[Приходи од странство]"})</f>
        <v>Приходи од странство</v>
      </c>
      <c r="C18" s="125" vm="1525">
        <f t="shared" si="3"/>
        <v>10842</v>
      </c>
      <c r="D18" s="125" vm="1528">
        <f t="shared" si="3"/>
        <v>165922</v>
      </c>
      <c r="E18" s="125" vm="1748">
        <f t="shared" si="3"/>
        <v>22726</v>
      </c>
      <c r="F18" s="125" vm="1821">
        <f t="shared" si="3"/>
        <v>36993</v>
      </c>
      <c r="G18" s="125">
        <f t="shared" si="1"/>
        <v>236483</v>
      </c>
      <c r="H18" s="18">
        <f t="shared" si="2"/>
        <v>5.8362775274583341E-4</v>
      </c>
    </row>
    <row r="19" spans="2:8" x14ac:dyDescent="0.25">
      <c r="B19" s="105" t="str" vm="83">
        <f>CUBEMEMBER("ThisWorkbookDataModel",{"[fActualAndBudget].[StavkaGrupa].&amp;[3.1. Приходи од дејноста]","[fActualAndBudget].[StavkaImeMK].&amp;[Приходи од трговски регистар]"})</f>
        <v>Приходи од трговски регистар</v>
      </c>
      <c r="C19" s="125" vm="1539">
        <f t="shared" si="3"/>
        <v>32726225</v>
      </c>
      <c r="D19" s="125" vm="1771">
        <f t="shared" si="3"/>
        <v>32384963</v>
      </c>
      <c r="E19" s="125" vm="1656">
        <f t="shared" si="3"/>
        <v>29900441</v>
      </c>
      <c r="F19" s="125" vm="1619">
        <f t="shared" si="3"/>
        <v>33196562</v>
      </c>
      <c r="G19" s="125">
        <f t="shared" si="1"/>
        <v>128208191</v>
      </c>
      <c r="H19" s="18">
        <f t="shared" si="2"/>
        <v>0.31641115174003454</v>
      </c>
    </row>
    <row r="20" spans="2:8" x14ac:dyDescent="0.25">
      <c r="B20" s="105" t="str" vm="237">
        <f>CUBEMEMBER("ThisWorkbookDataModel",{"[fActualAndBudget].[StavkaGrupa].&amp;[3.1. Приходи од дејноста]","[fActualAndBudget].[StavkaImeMK].&amp;[Приходи од регистар на задолжница]"})</f>
        <v>Приходи од регистар на задолжница</v>
      </c>
      <c r="C20" s="125" vm="1894">
        <f>CUBEVALUE("ThisWorkbookDataModel",$C$2,$C$3,$B$5,$B20,C$6)</f>
        <v>0</v>
      </c>
      <c r="D20" s="125" vm="1892">
        <f>CUBEVALUE("ThisWorkbookDataModel",$C$2,$C$3,$B$5,$B20,D$6)</f>
        <v>0</v>
      </c>
      <c r="E20" s="125" vm="1699">
        <f>CUBEVALUE("ThisWorkbookDataModel",$C$2,$C$3,$B$5,$B20,E$6)</f>
        <v>0</v>
      </c>
      <c r="F20" s="125" vm="1803">
        <f>CUBEVALUE("ThisWorkbookDataModel",$C$2,$C$3,$B$5,$B20,F$6)</f>
        <v>0</v>
      </c>
      <c r="G20" s="125">
        <f t="shared" ref="G20" si="4">SUM(C20:F20)</f>
        <v>0</v>
      </c>
      <c r="H20" s="18">
        <f t="shared" si="2"/>
        <v>0</v>
      </c>
    </row>
    <row r="21" spans="2:8" x14ac:dyDescent="0.25">
      <c r="B21" s="127" t="s">
        <v>168</v>
      </c>
      <c r="C21" s="126">
        <f t="shared" ref="C21:F21" si="5">SUM(C8:C20)</f>
        <v>217342424</v>
      </c>
      <c r="D21" s="126">
        <f t="shared" si="5"/>
        <v>63143392</v>
      </c>
      <c r="E21" s="126">
        <f t="shared" si="5"/>
        <v>54800105</v>
      </c>
      <c r="F21" s="126">
        <f t="shared" si="5"/>
        <v>64523525</v>
      </c>
      <c r="G21" s="126">
        <f>SUM(G8:G20)</f>
        <v>399809446</v>
      </c>
      <c r="H21" s="21">
        <f>SUM(H8:H20)</f>
        <v>0.98670893254710323</v>
      </c>
    </row>
    <row r="22" spans="2:8" s="8" customFormat="1" x14ac:dyDescent="0.25">
      <c r="B22" s="19" t="str" vm="101">
        <f>CUBEMEMBER("ThisWorkbookDataModel","[fActualAndBudget].[StavkaGrupa].&amp;[3.2. Останати приходи]")</f>
        <v>3.2. Останати приходи</v>
      </c>
      <c r="C22" s="126"/>
      <c r="D22" s="126"/>
      <c r="E22" s="126"/>
      <c r="F22" s="126"/>
      <c r="G22" s="126"/>
      <c r="H22" s="21"/>
    </row>
    <row r="23" spans="2:8" x14ac:dyDescent="0.25">
      <c r="B23" s="105" t="str" vm="97">
        <f>CUBEMEMBER("ThisWorkbookDataModel",{"[fActualAndBudget].[StavkaGrupa].&amp;[3.2. Останати приходи]","[fActualAndBudget].[StavkaImeMK].&amp;[Приходи од камати]"})</f>
        <v>Приходи од камати</v>
      </c>
      <c r="C23" s="125" vm="1775">
        <f t="shared" ref="C23:F30" si="6">CUBEVALUE("ThisWorkbookDataModel",$C$2,$C$3,$B$5,$B23,C$6)</f>
        <v>466</v>
      </c>
      <c r="D23" s="125" vm="1711">
        <f t="shared" si="6"/>
        <v>532</v>
      </c>
      <c r="E23" s="125" vm="1553">
        <f t="shared" si="6"/>
        <v>561</v>
      </c>
      <c r="F23" s="125" vm="1652">
        <f t="shared" si="6"/>
        <v>506</v>
      </c>
      <c r="G23" s="125">
        <f>SUM(C23:F23)</f>
        <v>2065</v>
      </c>
      <c r="H23" s="18">
        <f>G23/$G$32</f>
        <v>5.0963126711862843E-6</v>
      </c>
    </row>
    <row r="24" spans="2:8" x14ac:dyDescent="0.25">
      <c r="B24" s="105" t="str" vm="105">
        <f>CUBEMEMBER("ThisWorkbookDataModel",{"[fActualAndBudget].[StavkaGrupa].&amp;[3.2. Останати приходи]","[fActualAndBudget].[StavkaImeMK].&amp;[Приходи од курсни разлики]"})</f>
        <v>Приходи од курсни разлики</v>
      </c>
      <c r="C24" s="125" vm="1606">
        <f t="shared" si="6"/>
        <v>375</v>
      </c>
      <c r="D24" s="125" vm="1603">
        <f t="shared" si="6"/>
        <v>844</v>
      </c>
      <c r="E24" s="125" vm="1693">
        <f t="shared" si="6"/>
        <v>265</v>
      </c>
      <c r="F24" s="125" vm="1592">
        <f t="shared" si="6"/>
        <v>2066</v>
      </c>
      <c r="G24" s="125">
        <f t="shared" ref="G24:G30" si="7">SUM(C24:F24)</f>
        <v>3550</v>
      </c>
      <c r="H24" s="18">
        <f t="shared" ref="H24:H30" si="8">G24/$G$32</f>
        <v>8.7612154879957906E-6</v>
      </c>
    </row>
    <row r="25" spans="2:8" x14ac:dyDescent="0.25">
      <c r="B25" s="105" t="str" vm="106">
        <f>CUBEMEMBER("ThisWorkbookDataModel",{"[fActualAndBudget].[StavkaGrupa].&amp;[3.2. Останати приходи]","[fActualAndBudget].[StavkaImeMK].&amp;[Приходи од донации]"})</f>
        <v>Приходи од донации</v>
      </c>
      <c r="C25" s="125" vm="1567">
        <f t="shared" si="6"/>
        <v>1275351</v>
      </c>
      <c r="D25" s="125" vm="1858">
        <f t="shared" si="6"/>
        <v>1255575</v>
      </c>
      <c r="E25" s="125" vm="1843">
        <f t="shared" si="6"/>
        <v>1255575</v>
      </c>
      <c r="F25" s="125" vm="1895">
        <f t="shared" si="6"/>
        <v>1255575</v>
      </c>
      <c r="G25" s="125">
        <f t="shared" si="7"/>
        <v>5042076</v>
      </c>
      <c r="H25" s="18">
        <f t="shared" si="8"/>
        <v>1.2443581505028695E-2</v>
      </c>
    </row>
    <row r="26" spans="2:8" x14ac:dyDescent="0.25">
      <c r="B26" s="105" t="str" vm="107">
        <f>CUBEMEMBER("ThisWorkbookDataModel",{"[fActualAndBudget].[StavkaGrupa].&amp;[3.2. Останати приходи]","[fActualAndBudget].[StavkaImeMK].&amp;[Приходи од продажба на подвижен имот]"})</f>
        <v>Приходи од продажба на подвижен имот</v>
      </c>
      <c r="C26" s="125" t="str" vm="1856">
        <f t="shared" si="6"/>
        <v/>
      </c>
      <c r="D26" s="125" t="str" vm="1868">
        <f t="shared" si="6"/>
        <v/>
      </c>
      <c r="E26" s="125" t="str" vm="1846">
        <f t="shared" si="6"/>
        <v/>
      </c>
      <c r="F26" s="125" t="str" vm="1713">
        <f t="shared" si="6"/>
        <v/>
      </c>
      <c r="G26" s="125">
        <f t="shared" si="7"/>
        <v>0</v>
      </c>
      <c r="H26" s="18">
        <f t="shared" si="8"/>
        <v>0</v>
      </c>
    </row>
    <row r="27" spans="2:8" x14ac:dyDescent="0.25">
      <c r="B27" s="105" t="str" vm="91">
        <f>CUBEMEMBER("ThisWorkbookDataModel",{"[fActualAndBudget].[StavkaGrupa].&amp;[3.2. Останати приходи]","[fActualAndBudget].[StavkaImeMK].&amp;[Приходи од закуп]"})</f>
        <v>Приходи од закуп</v>
      </c>
      <c r="C27" s="125" vm="1744">
        <f>CUBEVALUE("ThisWorkbookDataModel",$C$2,$C$3,$B$5,$B27,C$6)</f>
        <v>0</v>
      </c>
      <c r="D27" s="125" vm="1857">
        <f t="shared" si="6"/>
        <v>0</v>
      </c>
      <c r="E27" s="125" vm="1689">
        <f t="shared" si="6"/>
        <v>0</v>
      </c>
      <c r="F27" s="125" vm="1590">
        <f t="shared" si="6"/>
        <v>0</v>
      </c>
      <c r="G27" s="125">
        <f t="shared" si="7"/>
        <v>0</v>
      </c>
      <c r="H27" s="18">
        <f t="shared" si="8"/>
        <v>0</v>
      </c>
    </row>
    <row r="28" spans="2:8" x14ac:dyDescent="0.25">
      <c r="B28" s="105" t="str" vm="108">
        <f>CUBEMEMBER("ThisWorkbookDataModel",{"[fActualAndBudget].[StavkaGrupa].&amp;[3.2. Останати приходи]","[fActualAndBudget].[StavkaImeMK].&amp;[Капитална добивка од продажба на материјални и неметеријални средства]"})</f>
        <v>Капитална добивка од продажба на материјални и неметеријални средства</v>
      </c>
      <c r="C28" s="125" t="str" vm="1811">
        <f t="shared" si="6"/>
        <v/>
      </c>
      <c r="D28" s="125" t="str" vm="1507">
        <f t="shared" si="6"/>
        <v/>
      </c>
      <c r="E28" s="125" t="str" vm="1855">
        <f t="shared" si="6"/>
        <v/>
      </c>
      <c r="F28" s="125" t="str" vm="1915">
        <f t="shared" si="6"/>
        <v/>
      </c>
      <c r="G28" s="125">
        <f t="shared" si="7"/>
        <v>0</v>
      </c>
      <c r="H28" s="18">
        <f t="shared" si="8"/>
        <v>0</v>
      </c>
    </row>
    <row r="29" spans="2:8" x14ac:dyDescent="0.25">
      <c r="B29" s="105" t="str" vm="109">
        <f>CUBEMEMBER("ThisWorkbookDataModel",{"[fActualAndBudget].[StavkaGrupa].&amp;[3.2. Останати приходи]","[fActualAndBudget].[StavkaImeMK].&amp;[Вонредни невообичаени приходи]"})</f>
        <v>Вонредни невообичаени приходи</v>
      </c>
      <c r="C29" s="125" vm="1805">
        <f t="shared" si="6"/>
        <v>0</v>
      </c>
      <c r="D29" s="125" vm="1750">
        <f t="shared" si="6"/>
        <v>0</v>
      </c>
      <c r="E29" s="125" vm="1519">
        <f t="shared" si="6"/>
        <v>-453</v>
      </c>
      <c r="F29" s="125" vm="1490">
        <f t="shared" si="6"/>
        <v>0</v>
      </c>
      <c r="G29" s="125">
        <f t="shared" si="7"/>
        <v>-453</v>
      </c>
      <c r="H29" s="18">
        <f t="shared" si="8"/>
        <v>-1.1179804552287587E-6</v>
      </c>
    </row>
    <row r="30" spans="2:8" x14ac:dyDescent="0.25">
      <c r="B30" s="105" t="str" vm="110">
        <f>CUBEMEMBER("ThisWorkbookDataModel",{"[fActualAndBudget].[StavkaGrupa].&amp;[3.2. Останати приходи]","[fActualAndBudget].[StavkaImeMK].&amp;[Други неспомнати приходи]"})</f>
        <v>Други неспомнати приходи</v>
      </c>
      <c r="C30" s="125" vm="1778">
        <f t="shared" si="6"/>
        <v>32853</v>
      </c>
      <c r="D30" s="125" vm="1696">
        <f t="shared" si="6"/>
        <v>123621</v>
      </c>
      <c r="E30" s="125" vm="1740">
        <f t="shared" si="6"/>
        <v>159668</v>
      </c>
      <c r="F30" s="125" vm="1824">
        <f t="shared" si="6"/>
        <v>22093</v>
      </c>
      <c r="G30" s="125">
        <f t="shared" si="7"/>
        <v>338235</v>
      </c>
      <c r="H30" s="18">
        <f t="shared" si="8"/>
        <v>8.3474640016401589E-4</v>
      </c>
    </row>
    <row r="31" spans="2:8" x14ac:dyDescent="0.25">
      <c r="B31" s="127" t="s">
        <v>169</v>
      </c>
      <c r="C31" s="126">
        <f t="shared" ref="C31:H31" si="9">SUM(C23:C30)</f>
        <v>1309045</v>
      </c>
      <c r="D31" s="126">
        <f t="shared" si="9"/>
        <v>1380572</v>
      </c>
      <c r="E31" s="126">
        <f t="shared" si="9"/>
        <v>1415616</v>
      </c>
      <c r="F31" s="126">
        <f t="shared" si="9"/>
        <v>1280240</v>
      </c>
      <c r="G31" s="126">
        <f t="shared" si="9"/>
        <v>5385473</v>
      </c>
      <c r="H31" s="21">
        <f t="shared" si="9"/>
        <v>1.3291067452896663E-2</v>
      </c>
    </row>
    <row r="32" spans="2:8" x14ac:dyDescent="0.25">
      <c r="B32" s="22" t="s">
        <v>170</v>
      </c>
      <c r="C32" s="128">
        <f t="shared" ref="C32:H32" si="10">SUM(C21,C31)</f>
        <v>218651469</v>
      </c>
      <c r="D32" s="128">
        <f t="shared" si="10"/>
        <v>64523964</v>
      </c>
      <c r="E32" s="128">
        <f t="shared" si="10"/>
        <v>56215721</v>
      </c>
      <c r="F32" s="128">
        <f t="shared" si="10"/>
        <v>65803765</v>
      </c>
      <c r="G32" s="128">
        <f t="shared" si="10"/>
        <v>405194919</v>
      </c>
      <c r="H32" s="129">
        <f t="shared" si="10"/>
        <v>0.99999999999999989</v>
      </c>
    </row>
    <row r="34" spans="2:8" x14ac:dyDescent="0.25">
      <c r="G34" s="94"/>
    </row>
    <row r="37" spans="2:8" x14ac:dyDescent="0.25">
      <c r="B37" s="297" t="str" vm="9">
        <f>CUBEMEMBER("ThisWorkbookDataModel","[Measures].[Sum of Износ]")</f>
        <v>Sum of Износ</v>
      </c>
      <c r="H37" s="78" t="s">
        <v>325</v>
      </c>
    </row>
    <row r="38" spans="2:8" s="74" customFormat="1" x14ac:dyDescent="0.25">
      <c r="B38" s="368" t="s">
        <v>1111</v>
      </c>
      <c r="C38" s="133" t="str" vm="140">
        <f>CUBEMEMBER("ThisWorkbookDataModel","[Calendar].[Година].&amp;[2021]")</f>
        <v>2021</v>
      </c>
      <c r="D38" s="133" t="str" vm="184">
        <f>CUBEMEMBER("ThisWorkbookDataModel","[Calendar].[Година].&amp;[2022]")</f>
        <v>2022</v>
      </c>
      <c r="E38" s="364" t="s">
        <v>246</v>
      </c>
      <c r="F38" s="133" t="str" vm="1479">
        <f>CUBEMEMBER("ThisWorkbookDataModel","[Calendar].[Година].&amp;[2023]")</f>
        <v>2023</v>
      </c>
      <c r="G38" s="364" t="s">
        <v>247</v>
      </c>
      <c r="H38" s="366" t="s">
        <v>1115</v>
      </c>
    </row>
    <row r="39" spans="2:8" s="74" customFormat="1" ht="30" x14ac:dyDescent="0.25">
      <c r="B39" s="369"/>
      <c r="C39" s="132" t="str" vm="4">
        <f>CUBEMEMBER("ThisWorkbookDataModel","[fActualAndBudget].[ReportType].&amp;[Остварено]")</f>
        <v>Остварено</v>
      </c>
      <c r="D39" s="132" t="str" vm="6">
        <f>CUBEMEMBER("ThisWorkbookDataModel","[fActualAndBudget].[ReportType].&amp;[Предвидување]")</f>
        <v>Предвидување</v>
      </c>
      <c r="E39" s="365"/>
      <c r="F39" s="134" t="str" vm="5">
        <f>CUBEMEMBER("ThisWorkbookDataModel","[fActualAndBudget].[ReportType].&amp;[План]")</f>
        <v>План</v>
      </c>
      <c r="G39" s="365"/>
      <c r="H39" s="367"/>
    </row>
    <row r="40" spans="2:8" x14ac:dyDescent="0.25">
      <c r="B40" s="19" t="str" vm="72">
        <f>CUBEMEMBER("ThisWorkbookDataModel","[fActualAndBudget].[StavkaGrupa].&amp;[3.1. Приходи од дејноста]")</f>
        <v>3.1. Приходи од дејноста</v>
      </c>
      <c r="C40" s="125"/>
      <c r="D40" s="125"/>
      <c r="E40" s="115"/>
      <c r="F40" s="125"/>
      <c r="G40" s="115"/>
      <c r="H40" s="21"/>
    </row>
    <row r="41" spans="2:8" x14ac:dyDescent="0.25">
      <c r="B41" s="105" t="str" vm="73">
        <f>CUBEMEMBER("ThisWorkbookDataModel",{"[fActualAndBudget].[StavkaGrupa].&amp;[3.1. Приходи од дејноста]","[fActualAndBudget].[StavkaImeMK].&amp;[Приходи од годишни сметки]"})</f>
        <v>Приходи од годишни сметки</v>
      </c>
      <c r="C41" s="125" vm="2022">
        <f t="shared" ref="C41:D53" si="11">CUBEVALUE("ThisWorkbookDataModel",$C$3,$B$5,$B41,C$38,C$39)</f>
        <v>158832144</v>
      </c>
      <c r="D41" s="125" vm="2055">
        <f t="shared" si="11"/>
        <v>174994716</v>
      </c>
      <c r="E41" s="115">
        <f t="shared" ref="E41:E65" si="12">IF(ISERROR(IF(C41=0,0,D41/C41-1)),0,IF(C41=0,0,D41/C41-1))</f>
        <v>0.10175882282367232</v>
      </c>
      <c r="F41" s="125" vm="1897">
        <f t="shared" ref="F41:F53" si="13">CUBEVALUE("ThisWorkbookDataModel",$C$3,$B$5,$B41,F$38,F$39)</f>
        <v>185992935</v>
      </c>
      <c r="G41" s="115">
        <f t="shared" ref="G41:G65" si="14">IF(ISERROR(IF(D41=0,0,F41/D41-1)),0,IF(D41=0,0,F41/D41-1))</f>
        <v>6.2848863390823739E-2</v>
      </c>
      <c r="H41" s="18">
        <f>F41/$F$65</f>
        <v>0.45902089655768857</v>
      </c>
    </row>
    <row r="42" spans="2:8" x14ac:dyDescent="0.25">
      <c r="B42" s="105" t="str" vm="74">
        <f>CUBEMEMBER("ThisWorkbookDataModel",{"[fActualAndBudget].[StavkaGrupa].&amp;[3.1. Приходи од дејноста]","[fActualAndBudget].[StavkaImeMK].&amp;[Приходи од заложен регистар]"})</f>
        <v>Приходи од заложен регистар</v>
      </c>
      <c r="C42" s="125" vm="2021">
        <f t="shared" si="11"/>
        <v>1982682</v>
      </c>
      <c r="D42" s="125" vm="2044">
        <f t="shared" si="11"/>
        <v>1968404</v>
      </c>
      <c r="E42" s="115">
        <f t="shared" si="12"/>
        <v>-7.2013565463346918E-3</v>
      </c>
      <c r="F42" s="125" vm="1873">
        <f t="shared" si="13"/>
        <v>2069762</v>
      </c>
      <c r="G42" s="115">
        <f t="shared" si="14"/>
        <v>5.1492478170131806E-2</v>
      </c>
      <c r="H42" s="18">
        <f t="shared" ref="H42:H52" si="15">F42/$F$65</f>
        <v>5.1080650396803226E-3</v>
      </c>
    </row>
    <row r="43" spans="2:8" x14ac:dyDescent="0.25">
      <c r="B43" s="105" t="str" vm="75">
        <f>CUBEMEMBER("ThisWorkbookDataModel",{"[fActualAndBudget].[StavkaGrupa].&amp;[3.1. Приходи од дејноста]","[fActualAndBudget].[StavkaImeMK].&amp;[Приходи од интернет дистрибутивен систем]"})</f>
        <v>Приходи од интернет дистрибутивен систем</v>
      </c>
      <c r="C43" s="125" vm="2027">
        <f t="shared" si="11"/>
        <v>22226037</v>
      </c>
      <c r="D43" s="125" vm="2036">
        <f t="shared" si="11"/>
        <v>33622902</v>
      </c>
      <c r="E43" s="115">
        <f t="shared" si="12"/>
        <v>0.51277090018341998</v>
      </c>
      <c r="F43" s="125" vm="1532">
        <f t="shared" si="13"/>
        <v>35397169</v>
      </c>
      <c r="G43" s="115">
        <f t="shared" si="14"/>
        <v>5.2769597341716601E-2</v>
      </c>
      <c r="H43" s="18">
        <f t="shared" si="15"/>
        <v>8.7358373316620982E-2</v>
      </c>
    </row>
    <row r="44" spans="2:8" x14ac:dyDescent="0.25">
      <c r="B44" s="105" t="str" vm="76">
        <f>CUBEMEMBER("ThisWorkbookDataModel",{"[fActualAndBudget].[StavkaGrupa].&amp;[3.1. Приходи од дејноста]","[fActualAndBudget].[StavkaImeMK].&amp;[Приходи од прекршочна постапка]"})</f>
        <v>Приходи од прекршочна постапка</v>
      </c>
      <c r="C44" s="125" t="str" vm="2017">
        <f t="shared" si="11"/>
        <v/>
      </c>
      <c r="D44" s="125" t="str" vm="2052">
        <f t="shared" si="11"/>
        <v/>
      </c>
      <c r="E44" s="115">
        <f t="shared" si="12"/>
        <v>0</v>
      </c>
      <c r="F44" s="125">
        <v>0</v>
      </c>
      <c r="G44" s="115">
        <f t="shared" si="14"/>
        <v>0</v>
      </c>
      <c r="H44" s="18">
        <f t="shared" si="15"/>
        <v>0</v>
      </c>
    </row>
    <row r="45" spans="2:8" x14ac:dyDescent="0.25">
      <c r="B45" s="105" t="str" vm="189">
        <f>CUBEMEMBER("ThisWorkbookDataModel",{"[fActualAndBudget].[StavkaGrupa].&amp;[3.1. Приходи од дејноста]","[fActualAndBudget].[StavkaImeMK].&amp;[Приходи од регистар на вистински сопственици]"})</f>
        <v>Приходи од регистар на вистински сопственици</v>
      </c>
      <c r="C45" s="125" vm="2026">
        <f t="shared" si="11"/>
        <v>18919141</v>
      </c>
      <c r="D45" s="125" vm="2049">
        <f t="shared" si="11"/>
        <v>26599312</v>
      </c>
      <c r="E45" s="115">
        <f t="shared" si="12"/>
        <v>0.4059471304748985</v>
      </c>
      <c r="F45" s="198" vm="1503">
        <f t="shared" si="13"/>
        <v>27897841</v>
      </c>
      <c r="G45" s="115">
        <f t="shared" si="14"/>
        <v>4.8818142363982853E-2</v>
      </c>
      <c r="H45" s="18">
        <f t="shared" si="15"/>
        <v>6.8850421591787045E-2</v>
      </c>
    </row>
    <row r="46" spans="2:8" x14ac:dyDescent="0.25">
      <c r="B46" s="105" t="str" vm="77">
        <f>CUBEMEMBER("ThisWorkbookDataModel",{"[fActualAndBudget].[StavkaGrupa].&amp;[3.1. Приходи од дејноста]","[fActualAndBudget].[StavkaImeMK].&amp;[Приходи од регистар на директни странски инвестиции]"})</f>
        <v>Приходи од регистар на директни странски инвестиции</v>
      </c>
      <c r="C46" s="125" vm="2033">
        <f t="shared" si="11"/>
        <v>982380</v>
      </c>
      <c r="D46" s="125" vm="2047">
        <f t="shared" si="11"/>
        <v>1158596</v>
      </c>
      <c r="E46" s="115">
        <f t="shared" si="12"/>
        <v>0.17937661597345222</v>
      </c>
      <c r="F46" s="125" vm="1917">
        <f t="shared" si="13"/>
        <v>1218953</v>
      </c>
      <c r="G46" s="115">
        <f t="shared" si="14"/>
        <v>5.2094949404279056E-2</v>
      </c>
      <c r="H46" s="18">
        <f t="shared" si="15"/>
        <v>3.0083126486588545E-3</v>
      </c>
    </row>
    <row r="47" spans="2:8" x14ac:dyDescent="0.25">
      <c r="B47" s="105" t="str" vm="78">
        <f>CUBEMEMBER("ThisWorkbookDataModel",{"[fActualAndBudget].[StavkaGrupa].&amp;[3.1. Приходи од дејноста]","[fActualAndBudget].[StavkaImeMK].&amp;[Приходи од Регистар на лизинг]"})</f>
        <v>Приходи од Регистар на лизинг</v>
      </c>
      <c r="C47" s="125" vm="2019">
        <f t="shared" si="11"/>
        <v>886099</v>
      </c>
      <c r="D47" s="125" vm="2041">
        <f t="shared" si="11"/>
        <v>982006</v>
      </c>
      <c r="E47" s="115">
        <f t="shared" si="12"/>
        <v>0.10823508434159157</v>
      </c>
      <c r="F47" s="125" vm="1549">
        <f t="shared" si="13"/>
        <v>1034193</v>
      </c>
      <c r="G47" s="115">
        <f t="shared" si="14"/>
        <v>5.3143259817149735E-2</v>
      </c>
      <c r="H47" s="18">
        <f t="shared" si="15"/>
        <v>2.5523345715991073E-3</v>
      </c>
    </row>
    <row r="48" spans="2:8" x14ac:dyDescent="0.25">
      <c r="B48" s="105" t="str" vm="79">
        <f>CUBEMEMBER("ThisWorkbookDataModel",{"[fActualAndBudget].[StavkaGrupa].&amp;[3.1. Приходи од дејноста]","[fActualAndBudget].[StavkaImeMK].&amp;[Приходи од регистар на недвижности]"})</f>
        <v>Приходи од регистар на недвижности</v>
      </c>
      <c r="C48" s="125" vm="2034">
        <f t="shared" si="11"/>
        <v>36413</v>
      </c>
      <c r="D48" s="125" vm="2045">
        <f t="shared" si="11"/>
        <v>7217</v>
      </c>
      <c r="E48" s="115">
        <f t="shared" si="12"/>
        <v>-0.80180155438991574</v>
      </c>
      <c r="F48" s="125" vm="1885">
        <f t="shared" si="13"/>
        <v>7561</v>
      </c>
      <c r="G48" s="115">
        <f t="shared" si="14"/>
        <v>4.7665234862131145E-2</v>
      </c>
      <c r="H48" s="18">
        <f t="shared" si="15"/>
        <v>1.8660155015418641E-5</v>
      </c>
    </row>
    <row r="49" spans="2:8" x14ac:dyDescent="0.25">
      <c r="B49" s="105" t="str" vm="80">
        <f>CUBEMEMBER("ThisWorkbookDataModel",{"[fActualAndBudget].[StavkaGrupa].&amp;[3.1. Приходи од дејноста]","[fActualAndBudget].[StavkaImeMK].&amp;[Приходи од Регистар на резиденти и нерезиденти]"})</f>
        <v>Приходи од Регистар на резиденти и нерезиденти</v>
      </c>
      <c r="C49" s="125" vm="2023">
        <f t="shared" si="11"/>
        <v>204631</v>
      </c>
      <c r="D49" s="125" vm="2048">
        <f t="shared" si="11"/>
        <v>258330</v>
      </c>
      <c r="E49" s="115">
        <f t="shared" si="12"/>
        <v>0.26241869511462101</v>
      </c>
      <c r="F49" s="125" vm="1712">
        <f t="shared" si="13"/>
        <v>271608</v>
      </c>
      <c r="G49" s="115">
        <f t="shared" si="14"/>
        <v>5.1399372895134077E-2</v>
      </c>
      <c r="H49" s="18">
        <f t="shared" si="15"/>
        <v>6.7031442711649601E-4</v>
      </c>
    </row>
    <row r="50" spans="2:8" x14ac:dyDescent="0.25">
      <c r="B50" s="105" t="str" vm="81">
        <f>CUBEMEMBER("ThisWorkbookDataModel",{"[fActualAndBudget].[StavkaGrupa].&amp;[3.1. Приходи од дејноста]","[fActualAndBudget].[StavkaImeMK].&amp;[Приходи од регистрите за кривични санкции, пресуди и др.]"})</f>
        <v>Приходи од регистрите за кривични санкции, пресуди и др.</v>
      </c>
      <c r="C50" s="125" vm="2030">
        <f t="shared" si="11"/>
        <v>13573277</v>
      </c>
      <c r="D50" s="125" vm="2043">
        <f t="shared" si="11"/>
        <v>16569210</v>
      </c>
      <c r="E50" s="115">
        <f t="shared" si="12"/>
        <v>0.22072289543637846</v>
      </c>
      <c r="F50" s="125" vm="1834">
        <f t="shared" si="13"/>
        <v>17474750</v>
      </c>
      <c r="G50" s="115">
        <f t="shared" si="14"/>
        <v>5.465197194072613E-2</v>
      </c>
      <c r="H50" s="18">
        <f t="shared" si="15"/>
        <v>4.3126774746156185E-2</v>
      </c>
    </row>
    <row r="51" spans="2:8" x14ac:dyDescent="0.25">
      <c r="B51" s="105" t="str" vm="82">
        <f>CUBEMEMBER("ThisWorkbookDataModel",{"[fActualAndBudget].[StavkaGrupa].&amp;[3.1. Приходи од дејноста]","[fActualAndBudget].[StavkaImeMK].&amp;[Приходи од странство]"})</f>
        <v>Приходи од странство</v>
      </c>
      <c r="C51" s="125" vm="2014">
        <f t="shared" si="11"/>
        <v>55744</v>
      </c>
      <c r="D51" s="125" vm="2046">
        <f t="shared" si="11"/>
        <v>223819</v>
      </c>
      <c r="E51" s="115">
        <f t="shared" si="12"/>
        <v>3.0151227037887489</v>
      </c>
      <c r="F51" s="125" vm="1727">
        <f t="shared" si="13"/>
        <v>236483</v>
      </c>
      <c r="G51" s="115">
        <f t="shared" si="14"/>
        <v>5.6581434105236861E-2</v>
      </c>
      <c r="H51" s="18">
        <f t="shared" si="15"/>
        <v>5.8362775274583341E-4</v>
      </c>
    </row>
    <row r="52" spans="2:8" x14ac:dyDescent="0.25">
      <c r="B52" s="105" t="str" vm="83">
        <f>CUBEMEMBER("ThisWorkbookDataModel",{"[fActualAndBudget].[StavkaGrupa].&amp;[3.1. Приходи од дејноста]","[fActualAndBudget].[StavkaImeMK].&amp;[Приходи од трговски регистар]"})</f>
        <v>Приходи од трговски регистар</v>
      </c>
      <c r="C52" s="125" vm="2015">
        <f t="shared" si="11"/>
        <v>139241480</v>
      </c>
      <c r="D52" s="125" vm="2040">
        <f t="shared" si="11"/>
        <v>115907399</v>
      </c>
      <c r="E52" s="115">
        <f t="shared" si="12"/>
        <v>-0.16757995534089409</v>
      </c>
      <c r="F52" s="125" vm="1670">
        <f t="shared" si="13"/>
        <v>128208191</v>
      </c>
      <c r="G52" s="115">
        <f t="shared" si="14"/>
        <v>0.10612602910708047</v>
      </c>
      <c r="H52" s="18">
        <f t="shared" si="15"/>
        <v>0.31641115174003454</v>
      </c>
    </row>
    <row r="53" spans="2:8" x14ac:dyDescent="0.25">
      <c r="B53" s="105" t="str" vm="237">
        <f>CUBEMEMBER("ThisWorkbookDataModel",{"[fActualAndBudget].[StavkaGrupa].&amp;[3.1. Приходи од дејноста]","[fActualAndBudget].[StavkaImeMK].&amp;[Приходи од регистар на задолжница]"})</f>
        <v>Приходи од регистар на задолжница</v>
      </c>
      <c r="C53" s="125" vm="2020">
        <f t="shared" si="11"/>
        <v>0</v>
      </c>
      <c r="D53" s="125" vm="2042">
        <f t="shared" si="11"/>
        <v>0</v>
      </c>
      <c r="E53" s="115">
        <f t="shared" ref="E53" si="16">IF(ISERROR(IF(C53=0,0,D53/C53-1)),0,IF(C53=0,0,D53/C53-1))</f>
        <v>0</v>
      </c>
      <c r="F53" s="125" vm="1872">
        <f t="shared" si="13"/>
        <v>0</v>
      </c>
      <c r="G53" s="115">
        <f t="shared" ref="G53" si="17">IF(ISERROR(IF(D53=0,0,F53/D53-1)),0,IF(D53=0,0,F53/D53-1))</f>
        <v>0</v>
      </c>
      <c r="H53" s="18">
        <f t="shared" ref="H53" si="18">F53/$F$65</f>
        <v>0</v>
      </c>
    </row>
    <row r="54" spans="2:8" x14ac:dyDescent="0.25">
      <c r="B54" s="127" t="s">
        <v>168</v>
      </c>
      <c r="C54" s="126">
        <f>SUM(C41:C53)</f>
        <v>356940028</v>
      </c>
      <c r="D54" s="126">
        <f>SUM(D41:D53)</f>
        <v>372291911</v>
      </c>
      <c r="E54" s="116">
        <f t="shared" si="12"/>
        <v>4.3009698536808472E-2</v>
      </c>
      <c r="F54" s="126">
        <f>SUM(F41:F53)</f>
        <v>399809446</v>
      </c>
      <c r="G54" s="116">
        <f t="shared" si="14"/>
        <v>7.3913867551100187E-2</v>
      </c>
      <c r="H54" s="21">
        <f>SUM(H41:H53)</f>
        <v>0.98670893254710323</v>
      </c>
    </row>
    <row r="55" spans="2:8" x14ac:dyDescent="0.25">
      <c r="B55" s="19" t="str" vm="101">
        <f>CUBEMEMBER("ThisWorkbookDataModel","[fActualAndBudget].[StavkaGrupa].&amp;[3.2. Останати приходи]")</f>
        <v>3.2. Останати приходи</v>
      </c>
      <c r="C55" s="125"/>
      <c r="D55" s="125"/>
      <c r="E55" s="115"/>
      <c r="F55" s="125"/>
      <c r="G55" s="115"/>
      <c r="H55" s="21"/>
    </row>
    <row r="56" spans="2:8" x14ac:dyDescent="0.25">
      <c r="B56" s="105" t="str" vm="97">
        <f>CUBEMEMBER("ThisWorkbookDataModel",{"[fActualAndBudget].[StavkaGrupa].&amp;[3.2. Останати приходи]","[fActualAndBudget].[StavkaImeMK].&amp;[Приходи од камати]"})</f>
        <v>Приходи од камати</v>
      </c>
      <c r="C56" s="125" vm="2029">
        <f t="shared" ref="C56:D63" si="19">CUBEVALUE("ThisWorkbookDataModel",$C$3,$B$5,$B56,C$38,C$39)</f>
        <v>1881</v>
      </c>
      <c r="D56" s="125" vm="2050">
        <f t="shared" si="19"/>
        <v>1957</v>
      </c>
      <c r="E56" s="115">
        <f t="shared" si="12"/>
        <v>4.0404040404040442E-2</v>
      </c>
      <c r="F56" s="125" vm="1730">
        <f t="shared" ref="F56:F63" si="20">CUBEVALUE("ThisWorkbookDataModel",$C$3,$B$5,$B56,F$38,F$39)</f>
        <v>2065</v>
      </c>
      <c r="G56" s="115">
        <f t="shared" si="14"/>
        <v>5.5186509964231023E-2</v>
      </c>
      <c r="H56" s="18">
        <f>IF(ISERROR(F56/$F$64),0,F56/$F$64)</f>
        <v>3.8343892913398692E-4</v>
      </c>
    </row>
    <row r="57" spans="2:8" x14ac:dyDescent="0.25">
      <c r="B57" s="105" t="str" vm="105">
        <f>CUBEMEMBER("ThisWorkbookDataModel",{"[fActualAndBudget].[StavkaGrupa].&amp;[3.2. Останати приходи]","[fActualAndBudget].[StavkaImeMK].&amp;[Приходи од курсни разлики]"})</f>
        <v>Приходи од курсни разлики</v>
      </c>
      <c r="C57" s="125" vm="2016">
        <f t="shared" si="19"/>
        <v>4605</v>
      </c>
      <c r="D57" s="125" vm="2037">
        <f t="shared" si="19"/>
        <v>3353</v>
      </c>
      <c r="E57" s="115">
        <f t="shared" si="12"/>
        <v>-0.27187839305103145</v>
      </c>
      <c r="F57" s="125" vm="1807">
        <f t="shared" si="20"/>
        <v>3550</v>
      </c>
      <c r="G57" s="115">
        <f t="shared" si="14"/>
        <v>5.8753355204294699E-2</v>
      </c>
      <c r="H57" s="18">
        <f t="shared" ref="H57:H63" si="21">IF(ISERROR(F57/$F$64),0,F57/$F$64)</f>
        <v>6.5918072562985643E-4</v>
      </c>
    </row>
    <row r="58" spans="2:8" x14ac:dyDescent="0.25">
      <c r="B58" s="105" t="str" vm="106">
        <f>CUBEMEMBER("ThisWorkbookDataModel",{"[fActualAndBudget].[StavkaGrupa].&amp;[3.2. Останати приходи]","[fActualAndBudget].[StavkaImeMK].&amp;[Приходи од донации]"})</f>
        <v>Приходи од донации</v>
      </c>
      <c r="C58" s="125" vm="2024">
        <f t="shared" si="19"/>
        <v>4715772</v>
      </c>
      <c r="D58" s="125" vm="2053">
        <f t="shared" si="19"/>
        <v>4785429</v>
      </c>
      <c r="E58" s="115">
        <f t="shared" ref="E58:E63" si="22">IF(ISERROR(IF(C58=0,0,D58/C58-1)),0,IF(C58=0,0,D58/C58-1))</f>
        <v>1.4771070357091132E-2</v>
      </c>
      <c r="F58" s="125" vm="1844">
        <f t="shared" si="20"/>
        <v>5042076</v>
      </c>
      <c r="G58" s="115">
        <f t="shared" ref="G58:G63" si="23">IF(ISERROR(IF(D58=0,0,F58/D58-1)),0,IF(D58=0,0,F58/D58-1))</f>
        <v>5.3630928386984689E-2</v>
      </c>
      <c r="H58" s="18">
        <f t="shared" si="21"/>
        <v>0.93623642714391109</v>
      </c>
    </row>
    <row r="59" spans="2:8" x14ac:dyDescent="0.25">
      <c r="B59" s="105" t="str" vm="107">
        <f>CUBEMEMBER("ThisWorkbookDataModel",{"[fActualAndBudget].[StavkaGrupa].&amp;[3.2. Останати приходи]","[fActualAndBudget].[StavkaImeMK].&amp;[Приходи од продажба на подвижен имот]"})</f>
        <v>Приходи од продажба на подвижен имот</v>
      </c>
      <c r="C59" s="125" t="str" vm="2018">
        <f t="shared" si="19"/>
        <v/>
      </c>
      <c r="D59" s="125" t="str" vm="2035">
        <f t="shared" si="19"/>
        <v/>
      </c>
      <c r="E59" s="115">
        <f t="shared" si="22"/>
        <v>0</v>
      </c>
      <c r="F59" s="125" t="str" vm="1838">
        <f t="shared" si="20"/>
        <v/>
      </c>
      <c r="G59" s="115">
        <f t="shared" si="23"/>
        <v>0</v>
      </c>
      <c r="H59" s="18">
        <f t="shared" si="21"/>
        <v>0</v>
      </c>
    </row>
    <row r="60" spans="2:8" x14ac:dyDescent="0.25">
      <c r="B60" s="105" t="str" vm="91">
        <f>CUBEMEMBER("ThisWorkbookDataModel",{"[fActualAndBudget].[StavkaGrupa].&amp;[3.2. Останати приходи]","[fActualAndBudget].[StavkaImeMK].&amp;[Приходи од закуп]"})</f>
        <v>Приходи од закуп</v>
      </c>
      <c r="C60" s="125" t="str" vm="2032">
        <f t="shared" si="19"/>
        <v/>
      </c>
      <c r="D60" s="125" vm="2039">
        <f t="shared" si="19"/>
        <v>0</v>
      </c>
      <c r="E60" s="115">
        <f t="shared" si="22"/>
        <v>0</v>
      </c>
      <c r="F60" s="125" vm="1582">
        <f t="shared" si="20"/>
        <v>0</v>
      </c>
      <c r="G60" s="115">
        <f t="shared" si="23"/>
        <v>0</v>
      </c>
      <c r="H60" s="18">
        <f t="shared" si="21"/>
        <v>0</v>
      </c>
    </row>
    <row r="61" spans="2:8" x14ac:dyDescent="0.25">
      <c r="B61" s="105" t="str" vm="108">
        <f>CUBEMEMBER("ThisWorkbookDataModel",{"[fActualAndBudget].[StavkaGrupa].&amp;[3.2. Останати приходи]","[fActualAndBudget].[StavkaImeMK].&amp;[Капитална добивка од продажба на материјални и неметеријални средства]"})</f>
        <v>Капитална добивка од продажба на материјални и неметеријални средства</v>
      </c>
      <c r="C61" s="125" t="str" vm="2028">
        <f t="shared" si="19"/>
        <v/>
      </c>
      <c r="D61" s="125" t="str" vm="2038">
        <f t="shared" si="19"/>
        <v/>
      </c>
      <c r="E61" s="115">
        <f t="shared" si="22"/>
        <v>0</v>
      </c>
      <c r="F61" s="125" t="str" vm="1538">
        <f t="shared" si="20"/>
        <v/>
      </c>
      <c r="G61" s="115">
        <f t="shared" si="23"/>
        <v>0</v>
      </c>
      <c r="H61" s="18">
        <f t="shared" si="21"/>
        <v>0</v>
      </c>
    </row>
    <row r="62" spans="2:8" x14ac:dyDescent="0.25">
      <c r="B62" s="105" t="str" vm="109">
        <f>CUBEMEMBER("ThisWorkbookDataModel",{"[fActualAndBudget].[StavkaGrupa].&amp;[3.2. Останати приходи]","[fActualAndBudget].[StavkaImeMK].&amp;[Вонредни невообичаени приходи]"})</f>
        <v>Вонредни невообичаени приходи</v>
      </c>
      <c r="C62" s="125" vm="2031">
        <f t="shared" si="19"/>
        <v>14309</v>
      </c>
      <c r="D62" s="125" vm="2051">
        <f t="shared" si="19"/>
        <v>-425</v>
      </c>
      <c r="E62" s="115">
        <f t="shared" si="22"/>
        <v>-1.029701586414145</v>
      </c>
      <c r="F62" s="125" vm="1708">
        <f t="shared" si="20"/>
        <v>-453</v>
      </c>
      <c r="G62" s="115">
        <f t="shared" si="23"/>
        <v>6.5882352941176503E-2</v>
      </c>
      <c r="H62" s="18">
        <f t="shared" si="21"/>
        <v>-8.4115174284598584E-5</v>
      </c>
    </row>
    <row r="63" spans="2:8" x14ac:dyDescent="0.25">
      <c r="B63" s="105" t="str" vm="110">
        <f>CUBEMEMBER("ThisWorkbookDataModel",{"[fActualAndBudget].[StavkaGrupa].&amp;[3.2. Останати приходи]","[fActualAndBudget].[StavkaImeMK].&amp;[Други неспомнати приходи]"})</f>
        <v>Други неспомнати приходи</v>
      </c>
      <c r="C63" s="125" vm="2025">
        <f t="shared" si="19"/>
        <v>16885</v>
      </c>
      <c r="D63" s="125" vm="2054">
        <f t="shared" si="19"/>
        <v>317640</v>
      </c>
      <c r="E63" s="115">
        <f t="shared" si="22"/>
        <v>17.811963281018656</v>
      </c>
      <c r="F63" s="125" vm="1763">
        <f t="shared" si="20"/>
        <v>338235</v>
      </c>
      <c r="G63" s="115">
        <f t="shared" si="23"/>
        <v>6.4837551945598815E-2</v>
      </c>
      <c r="H63" s="18">
        <f t="shared" si="21"/>
        <v>6.2805068375609716E-2</v>
      </c>
    </row>
    <row r="64" spans="2:8" x14ac:dyDescent="0.25">
      <c r="B64" s="127" t="s">
        <v>169</v>
      </c>
      <c r="C64" s="126">
        <f>SUM(C56:C63)</f>
        <v>4753452</v>
      </c>
      <c r="D64" s="126">
        <f>SUM(D56:D63)</f>
        <v>5107954</v>
      </c>
      <c r="E64" s="116">
        <f t="shared" si="12"/>
        <v>7.4577801564000179E-2</v>
      </c>
      <c r="F64" s="126">
        <f>SUM(F56:F63)</f>
        <v>5385473</v>
      </c>
      <c r="G64" s="116">
        <f t="shared" si="14"/>
        <v>5.4330755523640084E-2</v>
      </c>
      <c r="H64" s="21">
        <f>F64/F65</f>
        <v>1.3291067452896663E-2</v>
      </c>
    </row>
    <row r="65" spans="2:8" x14ac:dyDescent="0.25">
      <c r="B65" s="22" t="s">
        <v>170</v>
      </c>
      <c r="C65" s="128">
        <f>SUM(C54,C64)</f>
        <v>361693480</v>
      </c>
      <c r="D65" s="128">
        <f>SUM(D54,D64)</f>
        <v>377399865</v>
      </c>
      <c r="E65" s="117">
        <f t="shared" si="12"/>
        <v>4.3424573204913663E-2</v>
      </c>
      <c r="F65" s="128">
        <f>SUM(F54,F64)</f>
        <v>405194919</v>
      </c>
      <c r="G65" s="117">
        <f t="shared" si="14"/>
        <v>7.3648818077876044E-2</v>
      </c>
      <c r="H65" s="24">
        <f>SUM(H54,H64)</f>
        <v>0.99999999999999989</v>
      </c>
    </row>
    <row r="67" spans="2:8" x14ac:dyDescent="0.25">
      <c r="F67" t="b">
        <f>F65=G32</f>
        <v>1</v>
      </c>
    </row>
    <row r="68" spans="2:8" x14ac:dyDescent="0.25">
      <c r="C68" s="1">
        <f>'2. Bilans Na Uspeh'!C82+'2. Bilans Na Uspeh'!C106-'3.Specificirani prihodi'!C65</f>
        <v>0</v>
      </c>
      <c r="D68" s="1">
        <f>'2. Bilans Na Uspeh'!D82+'2. Bilans Na Uspeh'!D106-'3.Specificirani prihodi'!D65</f>
        <v>0</v>
      </c>
      <c r="F68" s="1">
        <f>'2. Bilans Na Uspeh'!F82+'2. Bilans Na Uspeh'!F106-'3.Specificirani prihodi'!F65</f>
        <v>0</v>
      </c>
    </row>
  </sheetData>
  <sheetProtection algorithmName="SHA-512" hashValue="RK+BNDd6UXSFI2s3Gk5Wlb9J2ovRtGrpcWWiRXE0szj7bC4rhVogPsivPmmE2UrOYu+dPRWxakmXlX+OGXpSsQ==" saltValue="AEBvVfag8tarhyC0zc7JjA==" spinCount="100000" sheet="1" objects="1" scenarios="1"/>
  <mergeCells count="4">
    <mergeCell ref="E38:E39"/>
    <mergeCell ref="G38:G39"/>
    <mergeCell ref="H38:H39"/>
    <mergeCell ref="B38:B39"/>
  </mergeCells>
  <pageMargins left="0.7" right="0.7" top="0.75" bottom="0.75" header="0.3" footer="0.3"/>
  <pageSetup scale="78" fitToHeight="0" orientation="landscape"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2">
    <tabColor rgb="FF92D050"/>
    <pageSetUpPr fitToPage="1"/>
  </sheetPr>
  <dimension ref="B2:H75"/>
  <sheetViews>
    <sheetView showGridLines="0" topLeftCell="A34" workbookViewId="0">
      <selection activeCell="E54" sqref="A1:XFD1048576"/>
    </sheetView>
  </sheetViews>
  <sheetFormatPr defaultRowHeight="15" x14ac:dyDescent="0.25"/>
  <cols>
    <col min="2" max="2" width="72.28515625" bestFit="1" customWidth="1"/>
    <col min="3" max="3" width="14" customWidth="1"/>
    <col min="4" max="4" width="14.7109375" bestFit="1" customWidth="1"/>
    <col min="5" max="5" width="18.85546875" customWidth="1"/>
    <col min="6" max="6" width="13.7109375" bestFit="1" customWidth="1"/>
    <col min="7" max="7" width="18.42578125" customWidth="1"/>
    <col min="8" max="8" width="13.42578125" customWidth="1"/>
    <col min="9" max="9" width="10.140625" bestFit="1" customWidth="1"/>
    <col min="10" max="10" width="13.140625" bestFit="1" customWidth="1"/>
    <col min="11" max="12" width="11.140625" bestFit="1" customWidth="1"/>
    <col min="13" max="13" width="10.140625" bestFit="1" customWidth="1"/>
    <col min="14" max="14" width="13.140625" bestFit="1" customWidth="1"/>
    <col min="15" max="15" width="10.28515625" bestFit="1" customWidth="1"/>
    <col min="16" max="17" width="10.140625" bestFit="1" customWidth="1"/>
    <col min="18" max="18" width="13.140625" bestFit="1" customWidth="1"/>
    <col min="19" max="19" width="10.28515625" bestFit="1" customWidth="1"/>
    <col min="20" max="21" width="10.140625" bestFit="1" customWidth="1"/>
    <col min="22" max="22" width="13.140625" bestFit="1" customWidth="1"/>
    <col min="23" max="23" width="10.28515625" bestFit="1" customWidth="1"/>
    <col min="24" max="25" width="10.140625" bestFit="1" customWidth="1"/>
    <col min="26" max="26" width="13.140625" bestFit="1" customWidth="1"/>
    <col min="27" max="27" width="11.140625" bestFit="1" customWidth="1"/>
    <col min="28" max="28" width="13.140625" bestFit="1" customWidth="1"/>
    <col min="29" max="29" width="12.7109375" bestFit="1" customWidth="1"/>
    <col min="30" max="30" width="9" bestFit="1" customWidth="1"/>
    <col min="31" max="34" width="11" bestFit="1" customWidth="1"/>
  </cols>
  <sheetData>
    <row r="2" spans="2:8" x14ac:dyDescent="0.25">
      <c r="B2" s="4" t="s">
        <v>152</v>
      </c>
      <c r="C2" t="s" vm="11">
        <v>239</v>
      </c>
    </row>
    <row r="3" spans="2:8" x14ac:dyDescent="0.25">
      <c r="B3" s="4" t="s">
        <v>244</v>
      </c>
      <c r="C3" t="s" vm="12">
        <v>245</v>
      </c>
    </row>
    <row r="5" spans="2:8" x14ac:dyDescent="0.25">
      <c r="B5" s="297" t="str" vm="9">
        <f>CUBEMEMBER("ThisWorkbookDataModel","[Measures].[Sum of Износ]")</f>
        <v>Sum of Износ</v>
      </c>
      <c r="H5" s="78" t="s">
        <v>325</v>
      </c>
    </row>
    <row r="6" spans="2:8" s="13" customFormat="1" ht="45" x14ac:dyDescent="0.25">
      <c r="B6" s="139" t="s">
        <v>175</v>
      </c>
      <c r="C6" s="123" t="str" vm="1476">
        <f>CUBEMEMBER("ThisWorkbookDataModel","[Calendar].[Квартал].&amp;[2023-03-31T00:00:00]")</f>
        <v>3/31/2023</v>
      </c>
      <c r="D6" s="123" t="str" vm="1475">
        <f>CUBEMEMBER("ThisWorkbookDataModel","[Calendar].[Квартал].&amp;[2023-06-30T00:00:00]")</f>
        <v>6/30/2023</v>
      </c>
      <c r="E6" s="123" t="str" vm="1477">
        <f>CUBEMEMBER("ThisWorkbookDataModel","[Calendar].[Квартал].&amp;[2023-09-30T00:00:00]")</f>
        <v>9/30/2023</v>
      </c>
      <c r="F6" s="123" t="str" vm="1478">
        <f>CUBEMEMBER("ThisWorkbookDataModel","[Calendar].[Квартал].&amp;[2023-12-31T00:00:00]")</f>
        <v>12/31/2023</v>
      </c>
      <c r="G6" s="123" t="s">
        <v>1118</v>
      </c>
      <c r="H6" s="124" t="s">
        <v>1115</v>
      </c>
    </row>
    <row r="7" spans="2:8" x14ac:dyDescent="0.25">
      <c r="B7" s="19" t="str" vm="94">
        <f>CUBEMEMBER("ThisWorkbookDataModel","[fActualAndBudget].[StavkaGrupa].&amp;[4.1. Расходи од дејноста]")</f>
        <v>4.1. Расходи од дејноста</v>
      </c>
      <c r="C7" s="125"/>
      <c r="D7" s="125"/>
      <c r="E7" s="125"/>
      <c r="F7" s="125"/>
      <c r="G7" s="125"/>
      <c r="H7" s="21"/>
    </row>
    <row r="8" spans="2:8" x14ac:dyDescent="0.25">
      <c r="B8" s="105" t="str" vm="89">
        <f>CUBEMEMBER("ThisWorkbookDataModel",{"[fActualAndBudget].[StavkaGrupa].&amp;[4.1. Расходи од дејноста]","[fActualAndBudget].[StavkaImeMK].&amp;[Амортизација по минимални стапки]"})</f>
        <v>Амортизација по минимални стапки</v>
      </c>
      <c r="C8" s="125" vm="1573">
        <f>CUBEVALUE("ThisWorkbookDataModel",$C$2,$C$3,$B$5,$B8,C$6)</f>
        <v>14447624</v>
      </c>
      <c r="D8" s="125" vm="1718">
        <f>CUBEVALUE("ThisWorkbookDataModel",$C$2,$C$3,$B$5,$B8,D$6)</f>
        <v>16101599</v>
      </c>
      <c r="E8" s="125" vm="1832">
        <f>CUBEVALUE("ThisWorkbookDataModel",$C$2,$C$3,$B$5,$B8,E$6)</f>
        <v>16840140</v>
      </c>
      <c r="F8" s="125" vm="1709">
        <f>CUBEVALUE("ThisWorkbookDataModel",$C$2,$C$3,$B$5,$B8,F$6)</f>
        <v>19095099</v>
      </c>
      <c r="G8" s="125">
        <f t="shared" ref="G8:G25" si="0">SUM(C8:F8)</f>
        <v>66484462</v>
      </c>
      <c r="H8" s="18">
        <f>G8/$G$32</f>
        <v>0.167648025572536</v>
      </c>
    </row>
    <row r="9" spans="2:8" x14ac:dyDescent="0.25">
      <c r="B9" s="105" t="str" vm="104">
        <f>CUBEMEMBER("ThisWorkbookDataModel",{"[fActualAndBudget].[StavkaGrupa].&amp;[4.1. Расходи од дејноста]","[fActualAndBudget].[StavkaImeMK].&amp;[Банкарски услуги и трошоци за платен промет]"})</f>
        <v>Банкарски услуги и трошоци за платен промет</v>
      </c>
      <c r="C9" s="125" vm="1555">
        <f t="shared" ref="C9:F24" si="1">CUBEVALUE("ThisWorkbookDataModel",$C$2,$C$3,$B$5,$B9,C$6)</f>
        <v>90000</v>
      </c>
      <c r="D9" s="125" vm="1918">
        <f t="shared" si="1"/>
        <v>90000</v>
      </c>
      <c r="E9" s="125" vm="1683">
        <f t="shared" si="1"/>
        <v>90000</v>
      </c>
      <c r="F9" s="125" vm="1612">
        <f t="shared" si="1"/>
        <v>90000</v>
      </c>
      <c r="G9" s="125">
        <f t="shared" si="0"/>
        <v>360000</v>
      </c>
      <c r="H9" s="18">
        <f t="shared" ref="H9:H24" si="2">G9/$G$32</f>
        <v>9.0778036537488959E-4</v>
      </c>
    </row>
    <row r="10" spans="2:8" x14ac:dyDescent="0.25">
      <c r="B10" s="105" t="str" vm="85">
        <f>CUBEMEMBER("ThisWorkbookDataModel",{"[fActualAndBudget].[StavkaGrupa].&amp;[4.1. Расходи од дејноста]","[fActualAndBudget].[StavkaImeMK].&amp;[Даноци,чланарини и други давачки кои не зависат од резултатот]"})</f>
        <v>Даноци,чланарини и други давачки кои не зависат од резултатот</v>
      </c>
      <c r="C10" s="125" vm="1624">
        <f t="shared" si="1"/>
        <v>293250</v>
      </c>
      <c r="D10" s="125" vm="1754">
        <f t="shared" si="1"/>
        <v>293250</v>
      </c>
      <c r="E10" s="125" vm="1506">
        <f t="shared" si="1"/>
        <v>293250</v>
      </c>
      <c r="F10" s="125" vm="1663">
        <f t="shared" si="1"/>
        <v>293250</v>
      </c>
      <c r="G10" s="125">
        <f t="shared" si="0"/>
        <v>1173000</v>
      </c>
      <c r="H10" s="18">
        <f t="shared" si="2"/>
        <v>2.9578510238465151E-3</v>
      </c>
    </row>
    <row r="11" spans="2:8" x14ac:dyDescent="0.25">
      <c r="B11" s="105" t="str" vm="103">
        <f>CUBEMEMBER("ThisWorkbookDataModel",{"[fActualAndBudget].[StavkaGrupa].&amp;[4.1. Расходи од дејноста]","[fActualAndBudget].[StavkaImeMK].&amp;[Дневници за службени патувања и патни трошоци]"})</f>
        <v>Дневници за службени патувања и патни трошоци</v>
      </c>
      <c r="C11" s="125" vm="1618">
        <f t="shared" si="1"/>
        <v>1495500</v>
      </c>
      <c r="D11" s="125" vm="1607">
        <f t="shared" si="1"/>
        <v>1509000</v>
      </c>
      <c r="E11" s="125" vm="1697">
        <f t="shared" si="1"/>
        <v>1408000</v>
      </c>
      <c r="F11" s="125" vm="1586">
        <f t="shared" si="1"/>
        <v>1599500</v>
      </c>
      <c r="G11" s="125">
        <f t="shared" si="0"/>
        <v>6012000</v>
      </c>
      <c r="H11" s="18">
        <f t="shared" si="2"/>
        <v>1.5159932101760656E-2</v>
      </c>
    </row>
    <row r="12" spans="2:8" x14ac:dyDescent="0.25">
      <c r="B12" s="105" t="str" vm="100">
        <f>CUBEMEMBER("ThisWorkbookDataModel",{"[fActualAndBudget].[StavkaGrupa].&amp;[4.1. Расходи од дејноста]","[fActualAndBudget].[StavkaImeMK].&amp;[Надворешни услуги]"})</f>
        <v>Надворешни услуги</v>
      </c>
      <c r="C12" s="125" vm="1509">
        <f t="shared" si="1"/>
        <v>312501</v>
      </c>
      <c r="D12" s="125" vm="1552">
        <f t="shared" si="1"/>
        <v>312501</v>
      </c>
      <c r="E12" s="125" vm="1716">
        <f t="shared" si="1"/>
        <v>312501</v>
      </c>
      <c r="F12" s="125" vm="1888">
        <f t="shared" si="1"/>
        <v>312501</v>
      </c>
      <c r="G12" s="125">
        <f t="shared" si="0"/>
        <v>1250004</v>
      </c>
      <c r="H12" s="18">
        <f t="shared" si="2"/>
        <v>3.1520252440002043E-3</v>
      </c>
    </row>
    <row r="13" spans="2:8" x14ac:dyDescent="0.25">
      <c r="B13" s="105" t="str" vm="98">
        <f>CUBEMEMBER("ThisWorkbookDataModel",{"[fActualAndBudget].[StavkaGrupa].&amp;[4.1. Расходи од дејноста]","[fActualAndBudget].[StavkaImeMK].&amp;[Надомест на трошоци на вработените, подароци и помошти]"})</f>
        <v>Надомест на трошоци на вработените, подароци и помошти</v>
      </c>
      <c r="C13" s="125" vm="1776">
        <f t="shared" si="1"/>
        <v>59252202</v>
      </c>
      <c r="D13" s="125" vm="1738">
        <f t="shared" si="1"/>
        <v>58957846</v>
      </c>
      <c r="E13" s="125" vm="1558">
        <f t="shared" si="1"/>
        <v>67957522</v>
      </c>
      <c r="F13" s="125" vm="1782">
        <f t="shared" si="1"/>
        <v>58697243</v>
      </c>
      <c r="G13" s="125">
        <f t="shared" si="0"/>
        <v>244864813</v>
      </c>
      <c r="H13" s="18">
        <f t="shared" si="2"/>
        <v>0.61745408170165006</v>
      </c>
    </row>
    <row r="14" spans="2:8" x14ac:dyDescent="0.25">
      <c r="B14" s="105" t="str" vm="96">
        <f>CUBEMEMBER("ThisWorkbookDataModel",{"[fActualAndBudget].[StavkaGrupa].&amp;[4.1. Расходи од дејноста]","[fActualAndBudget].[StavkaImeMK].&amp;[Наемнини и лизинг]"})</f>
        <v>Наемнини и лизинг</v>
      </c>
      <c r="C14" s="125" vm="1842">
        <f t="shared" si="1"/>
        <v>119100</v>
      </c>
      <c r="D14" s="125" vm="1702">
        <f t="shared" si="1"/>
        <v>119100</v>
      </c>
      <c r="E14" s="125" vm="1623">
        <f t="shared" si="1"/>
        <v>119100</v>
      </c>
      <c r="F14" s="125" vm="1502">
        <f t="shared" si="1"/>
        <v>119100</v>
      </c>
      <c r="G14" s="125">
        <f t="shared" si="0"/>
        <v>476400</v>
      </c>
      <c r="H14" s="18">
        <f t="shared" si="2"/>
        <v>1.2012960168461039E-3</v>
      </c>
    </row>
    <row r="15" spans="2:8" x14ac:dyDescent="0.25">
      <c r="B15" s="105" t="str" vm="93">
        <f>CUBEMEMBER("ThisWorkbookDataModel",{"[fActualAndBudget].[StavkaGrupa].&amp;[4.1. Расходи од дејноста]","[fActualAndBudget].[StavkaImeMK].&amp;[Останати нематеријални трошоци]"})</f>
        <v>Останати нематеријални трошоци</v>
      </c>
      <c r="C15" s="125" vm="1914">
        <f t="shared" si="1"/>
        <v>914250</v>
      </c>
      <c r="D15" s="125" vm="1681">
        <f t="shared" si="1"/>
        <v>1154250</v>
      </c>
      <c r="E15" s="125" vm="1783">
        <f t="shared" si="1"/>
        <v>914250</v>
      </c>
      <c r="F15" s="125" vm="1913">
        <f t="shared" si="1"/>
        <v>1154250</v>
      </c>
      <c r="G15" s="125">
        <f t="shared" si="0"/>
        <v>4137000</v>
      </c>
      <c r="H15" s="18">
        <f t="shared" si="2"/>
        <v>1.0431909365433105E-2</v>
      </c>
    </row>
    <row r="16" spans="2:8" x14ac:dyDescent="0.25">
      <c r="B16" s="105" t="str" vm="88">
        <f>CUBEMEMBER("ThisWorkbookDataModel",{"[fActualAndBudget].[StavkaGrupa].&amp;[4.1. Расходи од дејноста]","[fActualAndBudget].[StavkaImeMK].&amp;[Останати услуги]"})</f>
        <v>Останати услуги</v>
      </c>
      <c r="C16" s="125" vm="1483">
        <f t="shared" si="1"/>
        <v>4509555</v>
      </c>
      <c r="D16" s="125" vm="1491">
        <f t="shared" si="1"/>
        <v>3941555</v>
      </c>
      <c r="E16" s="125" vm="1758">
        <f t="shared" si="1"/>
        <v>3941351</v>
      </c>
      <c r="F16" s="125" vm="1531">
        <f t="shared" si="1"/>
        <v>3233349</v>
      </c>
      <c r="G16" s="125">
        <f t="shared" si="0"/>
        <v>15625810</v>
      </c>
      <c r="H16" s="18">
        <f t="shared" si="2"/>
        <v>3.9402231975218339E-2</v>
      </c>
    </row>
    <row r="17" spans="2:8" x14ac:dyDescent="0.25">
      <c r="B17" s="105" t="str" vm="86">
        <f>CUBEMEMBER("ThisWorkbookDataModel",{"[fActualAndBudget].[StavkaGrupa].&amp;[4.1. Расходи од дејноста]","[fActualAndBudget].[StavkaImeMK].&amp;[Потрoшена енергија и гориво за возила]"})</f>
        <v>Потрoшена енергија и гориво за возила</v>
      </c>
      <c r="C17" s="125" vm="1767">
        <f t="shared" si="1"/>
        <v>3930000</v>
      </c>
      <c r="D17" s="125" vm="1825">
        <f t="shared" si="1"/>
        <v>3930000</v>
      </c>
      <c r="E17" s="125" vm="1830">
        <f t="shared" si="1"/>
        <v>3930000</v>
      </c>
      <c r="F17" s="125" vm="1878">
        <f t="shared" si="1"/>
        <v>3930000</v>
      </c>
      <c r="G17" s="125">
        <f t="shared" si="0"/>
        <v>15720000</v>
      </c>
      <c r="H17" s="18">
        <f t="shared" si="2"/>
        <v>3.9639742621370176E-2</v>
      </c>
    </row>
    <row r="18" spans="2:8" x14ac:dyDescent="0.25">
      <c r="B18" s="105" t="str" vm="84">
        <f>CUBEMEMBER("ThisWorkbookDataModel",{"[fActualAndBudget].[StavkaGrupa].&amp;[4.1. Расходи од дејноста]","[fActualAndBudget].[StavkaImeMK].&amp;[Потрошени резервни делови]"})</f>
        <v>Потрошени резервни делови</v>
      </c>
      <c r="C18" s="125" vm="1637">
        <f t="shared" si="1"/>
        <v>8250</v>
      </c>
      <c r="D18" s="125" vm="1864">
        <f t="shared" si="1"/>
        <v>8250</v>
      </c>
      <c r="E18" s="125" vm="1533">
        <f t="shared" si="1"/>
        <v>8250</v>
      </c>
      <c r="F18" s="125" vm="1814">
        <f t="shared" si="1"/>
        <v>8250</v>
      </c>
      <c r="G18" s="125">
        <f t="shared" si="0"/>
        <v>33000</v>
      </c>
      <c r="H18" s="18">
        <f t="shared" si="2"/>
        <v>8.3213200159364876E-5</v>
      </c>
    </row>
    <row r="19" spans="2:8" x14ac:dyDescent="0.25">
      <c r="B19" s="105" t="str" vm="102">
        <f>CUBEMEMBER("ThisWorkbookDataModel",{"[fActualAndBudget].[StavkaGrupa].&amp;[4.1. Расходи од дејноста]","[fActualAndBudget].[StavkaImeMK].&amp;[Потрошени суровини и материјали]"})</f>
        <v>Потрошени суровини и материјали</v>
      </c>
      <c r="C19" s="125" vm="1890">
        <f t="shared" si="1"/>
        <v>975000</v>
      </c>
      <c r="D19" s="125" vm="1819">
        <f t="shared" si="1"/>
        <v>1225000</v>
      </c>
      <c r="E19" s="125" vm="1747">
        <f t="shared" si="1"/>
        <v>975000</v>
      </c>
      <c r="F19" s="125" vm="1722">
        <f t="shared" si="1"/>
        <v>975000</v>
      </c>
      <c r="G19" s="125">
        <f t="shared" si="0"/>
        <v>4150000</v>
      </c>
      <c r="H19" s="18">
        <f t="shared" si="2"/>
        <v>1.0464690323071645E-2</v>
      </c>
    </row>
    <row r="20" spans="2:8" x14ac:dyDescent="0.25">
      <c r="B20" s="105" t="str" vm="99">
        <f>CUBEMEMBER("ThisWorkbookDataModel",{"[fActualAndBudget].[StavkaGrupa].&amp;[4.1. Расходи од дејноста]","[fActualAndBudget].[StavkaImeMK].&amp;[Потрошок на ситен инвентар и автогуми]"})</f>
        <v>Потрошок на ситен инвентар и автогуми</v>
      </c>
      <c r="C20" s="125" vm="1724">
        <f t="shared" si="1"/>
        <v>72501</v>
      </c>
      <c r="D20" s="125" vm="1891">
        <f t="shared" si="1"/>
        <v>72501</v>
      </c>
      <c r="E20" s="125" vm="1634">
        <f t="shared" si="1"/>
        <v>72501</v>
      </c>
      <c r="F20" s="125" vm="1797">
        <f t="shared" si="1"/>
        <v>72501</v>
      </c>
      <c r="G20" s="125">
        <f t="shared" si="0"/>
        <v>290004</v>
      </c>
      <c r="H20" s="18">
        <f t="shared" si="2"/>
        <v>7.312776030004985E-4</v>
      </c>
    </row>
    <row r="21" spans="2:8" x14ac:dyDescent="0.25">
      <c r="B21" s="105" t="str" vm="90">
        <f>CUBEMEMBER("ThisWorkbookDataModel",{"[fActualAndBudget].[StavkaGrupa].&amp;[4.1. Расходи од дејноста]","[fActualAndBudget].[StavkaImeMK].&amp;[Премии за осигурување]"})</f>
        <v>Премии за осигурување</v>
      </c>
      <c r="C21" s="125" vm="1494">
        <f t="shared" si="1"/>
        <v>218751</v>
      </c>
      <c r="D21" s="125" vm="1802">
        <f t="shared" si="1"/>
        <v>218751</v>
      </c>
      <c r="E21" s="125" vm="1682">
        <f t="shared" si="1"/>
        <v>343750</v>
      </c>
      <c r="F21" s="125" vm="1516">
        <f t="shared" si="1"/>
        <v>218748</v>
      </c>
      <c r="G21" s="125">
        <f t="shared" si="0"/>
        <v>1000000</v>
      </c>
      <c r="H21" s="18">
        <f t="shared" si="2"/>
        <v>2.52161212604136E-3</v>
      </c>
    </row>
    <row r="22" spans="2:8" x14ac:dyDescent="0.25">
      <c r="B22" s="105" t="str" vm="95">
        <f>CUBEMEMBER("ThisWorkbookDataModel",{"[fActualAndBudget].[StavkaGrupa].&amp;[4.1. Расходи од дејноста]","[fActualAndBudget].[StavkaImeMK].&amp;[Транспортни услуги]"})</f>
        <v>Транспортни услуги</v>
      </c>
      <c r="C22" s="125" vm="1793">
        <f t="shared" si="1"/>
        <v>4283001</v>
      </c>
      <c r="D22" s="125" vm="1493">
        <f t="shared" si="1"/>
        <v>4283001</v>
      </c>
      <c r="E22" s="125" vm="1852">
        <f t="shared" si="1"/>
        <v>4313000</v>
      </c>
      <c r="F22" s="125" vm="1661">
        <f t="shared" si="1"/>
        <v>4312998</v>
      </c>
      <c r="G22" s="125">
        <f t="shared" si="0"/>
        <v>17192000</v>
      </c>
      <c r="H22" s="18">
        <f t="shared" si="2"/>
        <v>4.3351555670903062E-2</v>
      </c>
    </row>
    <row r="23" spans="2:8" x14ac:dyDescent="0.25">
      <c r="B23" s="105" t="str" vm="92">
        <f>CUBEMEMBER("ThisWorkbookDataModel",{"[fActualAndBudget].[StavkaGrupa].&amp;[4.1. Расходи од дејноста]","[fActualAndBudget].[StavkaImeMK].&amp;[Трошоци за промоција,пропаганда, реклама, репрезентација и спонзорство]"})</f>
        <v>Трошоци за промоција,пропаганда, реклама, репрезентација и спонзорство</v>
      </c>
      <c r="C23" s="125" vm="1859">
        <f t="shared" si="1"/>
        <v>100101</v>
      </c>
      <c r="D23" s="125" vm="1585">
        <f t="shared" si="1"/>
        <v>100101</v>
      </c>
      <c r="E23" s="125" vm="1889">
        <f t="shared" si="1"/>
        <v>100100</v>
      </c>
      <c r="F23" s="125" vm="1749">
        <f t="shared" si="1"/>
        <v>100098</v>
      </c>
      <c r="G23" s="125">
        <f t="shared" si="0"/>
        <v>400400</v>
      </c>
      <c r="H23" s="18">
        <f t="shared" si="2"/>
        <v>1.0096534952669606E-3</v>
      </c>
    </row>
    <row r="24" spans="2:8" x14ac:dyDescent="0.25">
      <c r="B24" s="105" t="str" vm="87">
        <f>CUBEMEMBER("ThisWorkbookDataModel",{"[fActualAndBudget].[StavkaGrupa].&amp;[4.1. Расходи од дејноста]","[fActualAndBudget].[StavkaImeMK].&amp;[Услуги за одржување и заштита]"})</f>
        <v>Услуги за одржување и заштита</v>
      </c>
      <c r="C24" s="125" vm="1721">
        <f t="shared" si="1"/>
        <v>4331802</v>
      </c>
      <c r="D24" s="125" vm="1535">
        <f t="shared" si="1"/>
        <v>4331802</v>
      </c>
      <c r="E24" s="125" vm="1753">
        <f t="shared" si="1"/>
        <v>4331801</v>
      </c>
      <c r="F24" s="125" vm="1674">
        <f t="shared" si="1"/>
        <v>4331799</v>
      </c>
      <c r="G24" s="125">
        <f t="shared" si="0"/>
        <v>17327204</v>
      </c>
      <c r="H24" s="18">
        <f t="shared" si="2"/>
        <v>4.3692487716792357E-2</v>
      </c>
    </row>
    <row r="25" spans="2:8" x14ac:dyDescent="0.25">
      <c r="B25" s="140" t="s">
        <v>171</v>
      </c>
      <c r="C25" s="131">
        <f>SUM(C8:C24)</f>
        <v>95353388</v>
      </c>
      <c r="D25" s="131">
        <f>SUM(D8:D24)</f>
        <v>96648507</v>
      </c>
      <c r="E25" s="131">
        <f>SUM(E8:E24)</f>
        <v>105950516</v>
      </c>
      <c r="F25" s="131">
        <f>SUM(F8:F24)</f>
        <v>98543686</v>
      </c>
      <c r="G25" s="126">
        <f t="shared" si="0"/>
        <v>396496097</v>
      </c>
      <c r="H25" s="21">
        <f>SUM(H8:H24)</f>
        <v>0.99980936612327143</v>
      </c>
    </row>
    <row r="26" spans="2:8" x14ac:dyDescent="0.25">
      <c r="B26" s="141" t="s">
        <v>172</v>
      </c>
      <c r="C26" s="109"/>
      <c r="D26" s="109"/>
      <c r="E26" s="109"/>
      <c r="F26" s="109"/>
      <c r="G26" s="109"/>
      <c r="H26" s="18"/>
    </row>
    <row r="27" spans="2:8" x14ac:dyDescent="0.25">
      <c r="B27" s="105" t="str" vm="112">
        <f>CUBEMEMBER("ThisWorkbookDataModel",{"[fActualAndBudget].[StavkaGrupa].&amp;[4.2. Останати расходи]","[fActualAndBudget].[StavkaImeMK].&amp;[Курсни разлики]"})</f>
        <v>Курсни разлики</v>
      </c>
      <c r="C27" s="125" vm="1671">
        <f t="shared" ref="C27:F30" si="3">CUBEVALUE("ThisWorkbookDataModel",$C$2,$C$3,$B$5,$B27,C$6)</f>
        <v>900</v>
      </c>
      <c r="D27" s="125" vm="1648">
        <f t="shared" si="3"/>
        <v>900</v>
      </c>
      <c r="E27" s="125" vm="1695">
        <f t="shared" si="3"/>
        <v>900</v>
      </c>
      <c r="F27" s="125" vm="1772">
        <f t="shared" si="3"/>
        <v>900</v>
      </c>
      <c r="G27" s="125">
        <f t="shared" ref="G27:G32" si="4">SUM(C27:F27)</f>
        <v>3600</v>
      </c>
      <c r="H27" s="18">
        <f>IF(ISERROR(G27/$G$32),0,G27/$G$32)</f>
        <v>9.077803653748895E-6</v>
      </c>
    </row>
    <row r="28" spans="2:8" x14ac:dyDescent="0.25">
      <c r="B28" s="105" t="str" vm="111">
        <f>CUBEMEMBER("ThisWorkbookDataModel",{"[fActualAndBudget].[StavkaGrupa].&amp;[4.2. Останати расходи]","[fActualAndBudget].[StavkaImeMK].&amp;[Казни, пенали и надомест на штети затезни камати]"})</f>
        <v>Казни, пенали и надомест на штети затезни камати</v>
      </c>
      <c r="C28" s="125" vm="1791">
        <f t="shared" si="3"/>
        <v>0</v>
      </c>
      <c r="D28" s="125" vm="1677">
        <f t="shared" si="3"/>
        <v>0</v>
      </c>
      <c r="E28" s="125" vm="1650">
        <f t="shared" si="3"/>
        <v>0</v>
      </c>
      <c r="F28" s="125" vm="1804">
        <f t="shared" si="3"/>
        <v>0</v>
      </c>
      <c r="G28" s="125">
        <f t="shared" si="4"/>
        <v>0</v>
      </c>
      <c r="H28" s="18">
        <f>IF(ISERROR(G28/$G$32),0,G28/$G$32)</f>
        <v>0</v>
      </c>
    </row>
    <row r="29" spans="2:8" x14ac:dyDescent="0.25">
      <c r="B29" s="105" t="str" vm="113">
        <f>CUBEMEMBER("ThisWorkbookDataModel",{"[fActualAndBudget].[StavkaGrupa].&amp;[4.2. Останати расходи]","[fActualAndBudget].[StavkaImeMK].&amp;[Загуби и кусоци]"})</f>
        <v>Загуби и кусоци</v>
      </c>
      <c r="C29" s="125" t="str" vm="1576">
        <f t="shared" si="3"/>
        <v/>
      </c>
      <c r="D29" s="125" t="str" vm="1499">
        <f t="shared" si="3"/>
        <v/>
      </c>
      <c r="E29" s="125" t="str" vm="1887">
        <f t="shared" si="3"/>
        <v/>
      </c>
      <c r="F29" s="125" t="str" vm="1752">
        <f t="shared" si="3"/>
        <v/>
      </c>
      <c r="G29" s="125">
        <f t="shared" si="4"/>
        <v>0</v>
      </c>
      <c r="H29" s="18">
        <f>IF(ISERROR(G29/$G$32),0,G29/$G$32)</f>
        <v>0</v>
      </c>
    </row>
    <row r="30" spans="2:8" x14ac:dyDescent="0.25">
      <c r="B30" s="105" t="str" vm="114">
        <f>CUBEMEMBER("ThisWorkbookDataModel",{"[fActualAndBudget].[StavkaGrupa].&amp;[4.2. Останати расходи]","[fActualAndBudget].[StavkaImeMK].&amp;[Останати расходи]"})</f>
        <v>Останати расходи</v>
      </c>
      <c r="C30" s="125" vm="1886">
        <f t="shared" si="3"/>
        <v>18000</v>
      </c>
      <c r="D30" s="125" vm="1723">
        <f t="shared" si="3"/>
        <v>18000</v>
      </c>
      <c r="E30" s="125" vm="1541">
        <f t="shared" si="3"/>
        <v>18000</v>
      </c>
      <c r="F30" s="125" vm="1698">
        <f t="shared" si="3"/>
        <v>18000</v>
      </c>
      <c r="G30" s="125">
        <f t="shared" si="4"/>
        <v>72000</v>
      </c>
      <c r="H30" s="18">
        <f>IF(ISERROR(G30/$G$32),0,G30/$G$32)</f>
        <v>1.8155607307497791E-4</v>
      </c>
    </row>
    <row r="31" spans="2:8" x14ac:dyDescent="0.25">
      <c r="B31" s="140" t="s">
        <v>176</v>
      </c>
      <c r="C31" s="125">
        <f>SUM(C27:C30)</f>
        <v>18900</v>
      </c>
      <c r="D31" s="125">
        <f>SUM(D27:D30)</f>
        <v>18900</v>
      </c>
      <c r="E31" s="125">
        <f>SUM(E27:E30)</f>
        <v>18900</v>
      </c>
      <c r="F31" s="125">
        <f>SUM(F27:F30)</f>
        <v>18900</v>
      </c>
      <c r="G31" s="125">
        <f t="shared" si="4"/>
        <v>75600</v>
      </c>
      <c r="H31" s="107">
        <f>SUM(H27:H30)</f>
        <v>1.9063387672872681E-4</v>
      </c>
    </row>
    <row r="32" spans="2:8" x14ac:dyDescent="0.25">
      <c r="B32" s="22" t="s">
        <v>173</v>
      </c>
      <c r="C32" s="128">
        <f>SUM(C25,C31)</f>
        <v>95372288</v>
      </c>
      <c r="D32" s="128">
        <f>SUM(D25,D31)</f>
        <v>96667407</v>
      </c>
      <c r="E32" s="128">
        <f>SUM(E25,E31)</f>
        <v>105969416</v>
      </c>
      <c r="F32" s="128">
        <f>SUM(F25,F31)</f>
        <v>98562586</v>
      </c>
      <c r="G32" s="135">
        <f t="shared" si="4"/>
        <v>396571697</v>
      </c>
      <c r="H32" s="24">
        <f>SUM(H25,H31)</f>
        <v>1.0000000000000002</v>
      </c>
    </row>
    <row r="34" spans="2:8" x14ac:dyDescent="0.25">
      <c r="B34" s="150" t="s">
        <v>302</v>
      </c>
      <c r="C34" s="240">
        <v>59066646</v>
      </c>
      <c r="D34" s="240">
        <v>58837290</v>
      </c>
      <c r="E34" s="240">
        <v>58727487</v>
      </c>
      <c r="F34" s="240">
        <v>58511687</v>
      </c>
      <c r="G34" s="156">
        <f>SUM(C34:F34)</f>
        <v>235143110</v>
      </c>
      <c r="H34" s="157">
        <f>G34/G25</f>
        <v>0.59305277348039065</v>
      </c>
    </row>
    <row r="35" spans="2:8" x14ac:dyDescent="0.25">
      <c r="B35" s="151" t="s">
        <v>303</v>
      </c>
      <c r="C35" s="263">
        <v>314</v>
      </c>
      <c r="D35" s="263">
        <v>313</v>
      </c>
      <c r="E35" s="263">
        <v>312</v>
      </c>
      <c r="F35" s="263">
        <v>308</v>
      </c>
      <c r="G35" s="264">
        <v>311.5</v>
      </c>
      <c r="H35" s="154" t="s">
        <v>304</v>
      </c>
    </row>
    <row r="36" spans="2:8" x14ac:dyDescent="0.25">
      <c r="C36" t="s">
        <v>565</v>
      </c>
    </row>
    <row r="38" spans="2:8" x14ac:dyDescent="0.25">
      <c r="B38" s="297" t="str" vm="9">
        <f>CUBEMEMBER("ThisWorkbookDataModel","[Measures].[Sum of Износ]")</f>
        <v>Sum of Износ</v>
      </c>
      <c r="H38" s="78" t="s">
        <v>325</v>
      </c>
    </row>
    <row r="39" spans="2:8" ht="14.45" customHeight="1" x14ac:dyDescent="0.25">
      <c r="B39" s="368" t="s">
        <v>1112</v>
      </c>
      <c r="C39" s="133" t="str" vm="140">
        <f>CUBEMEMBER("ThisWorkbookDataModel","[Calendar].[Година].&amp;[2021]")</f>
        <v>2021</v>
      </c>
      <c r="D39" s="133" t="str" vm="184">
        <f>CUBEMEMBER("ThisWorkbookDataModel","[Calendar].[Година].&amp;[2022]")</f>
        <v>2022</v>
      </c>
      <c r="E39" s="364" t="s">
        <v>246</v>
      </c>
      <c r="F39" s="133" t="str" vm="1479">
        <f>CUBEMEMBER("ThisWorkbookDataModel","[Calendar].[Година].&amp;[2023]")</f>
        <v>2023</v>
      </c>
      <c r="G39" s="364" t="s">
        <v>247</v>
      </c>
      <c r="H39" s="124" t="s">
        <v>1115</v>
      </c>
    </row>
    <row r="40" spans="2:8" ht="47.25" customHeight="1" x14ac:dyDescent="0.25">
      <c r="B40" s="369"/>
      <c r="C40" s="132" t="str" vm="4">
        <f>CUBEMEMBER("ThisWorkbookDataModel","[fActualAndBudget].[ReportType].&amp;[Остварено]")</f>
        <v>Остварено</v>
      </c>
      <c r="D40" s="132" t="str" vm="6">
        <f>CUBEMEMBER("ThisWorkbookDataModel","[fActualAndBudget].[ReportType].&amp;[Предвидување]")</f>
        <v>Предвидување</v>
      </c>
      <c r="E40" s="365"/>
      <c r="F40" s="134" t="str" vm="5">
        <f>CUBEMEMBER("ThisWorkbookDataModel","[fActualAndBudget].[ReportType].&amp;[План]")</f>
        <v>План</v>
      </c>
      <c r="G40" s="365"/>
      <c r="H40" s="136" t="s">
        <v>1115</v>
      </c>
    </row>
    <row r="41" spans="2:8" x14ac:dyDescent="0.25">
      <c r="B41" s="19" t="str" vm="94">
        <f>CUBEMEMBER("ThisWorkbookDataModel","[fActualAndBudget].[StavkaGrupa].&amp;[4.1. Расходи од дејноста]")</f>
        <v>4.1. Расходи од дејноста</v>
      </c>
      <c r="C41" s="125"/>
      <c r="D41" s="125"/>
      <c r="E41" s="125"/>
      <c r="F41" s="125"/>
      <c r="G41" s="125"/>
      <c r="H41" s="106"/>
    </row>
    <row r="42" spans="2:8" x14ac:dyDescent="0.25">
      <c r="B42" s="105" t="str" vm="89">
        <f>CUBEMEMBER("ThisWorkbookDataModel",{"[fActualAndBudget].[StavkaGrupa].&amp;[4.1. Расходи од дејноста]","[fActualAndBudget].[StavkaImeMK].&amp;[Амортизација по минимални стапки]"})</f>
        <v>Амортизација по минимални стапки</v>
      </c>
      <c r="C42" s="125" vm="2072">
        <f t="shared" ref="C42:D59" si="5">CUBEVALUE("ThisWorkbookDataModel",C$40,$C$3,$B$5,$B42,C$39)</f>
        <v>41686069</v>
      </c>
      <c r="D42" s="125" vm="2097">
        <f t="shared" si="5"/>
        <v>51784612</v>
      </c>
      <c r="E42" s="115">
        <f t="shared" ref="E42:E71" si="6">IF(ISERROR(IF(C42=0,0,D42/C42-1)),0,IF(C42=0,0,D42/C42-1))</f>
        <v>0.24225222579754413</v>
      </c>
      <c r="F42" s="125" vm="1588">
        <f t="shared" ref="F42:F59" si="7">CUBEVALUE("ThisWorkbookDataModel",F$40,$C$3,$B$5,$B42,F$39)</f>
        <v>66484462</v>
      </c>
      <c r="G42" s="115">
        <f t="shared" ref="G42:G68" si="8">IF(ISERROR(IF(D42=0,0,F42/D42-1)),0,IF(D42=0,0,F42/D42-1))</f>
        <v>0.28386521463171333</v>
      </c>
      <c r="H42" s="18">
        <f>IF(ISERROR(F42/$F$68),0,F42/$F$68)</f>
        <v>0.16464044522722432</v>
      </c>
    </row>
    <row r="43" spans="2:8" x14ac:dyDescent="0.25">
      <c r="B43" s="105" t="str" vm="104">
        <f>CUBEMEMBER("ThisWorkbookDataModel",{"[fActualAndBudget].[StavkaGrupa].&amp;[4.1. Расходи од дејноста]","[fActualAndBudget].[StavkaImeMK].&amp;[Банкарски услуги и трошоци за платен промет]"})</f>
        <v>Банкарски услуги и трошоци за платен промет</v>
      </c>
      <c r="C43" s="125" vm="2075">
        <f t="shared" si="5"/>
        <v>281344</v>
      </c>
      <c r="D43" s="125" vm="2083">
        <f t="shared" si="5"/>
        <v>286917</v>
      </c>
      <c r="E43" s="115">
        <f t="shared" si="6"/>
        <v>1.9808490673339341E-2</v>
      </c>
      <c r="F43" s="125" vm="1806">
        <f t="shared" si="7"/>
        <v>360000</v>
      </c>
      <c r="G43" s="115">
        <f t="shared" si="8"/>
        <v>0.25471826346992343</v>
      </c>
      <c r="H43" s="18">
        <f t="shared" ref="H43:H59" si="9">IF(ISERROR(F43/$F$68),0,F43/$F$68)</f>
        <v>8.9149492225417651E-4</v>
      </c>
    </row>
    <row r="44" spans="2:8" x14ac:dyDescent="0.25">
      <c r="B44" s="105" t="str" vm="85">
        <f>CUBEMEMBER("ThisWorkbookDataModel",{"[fActualAndBudget].[StavkaGrupa].&amp;[4.1. Расходи од дејноста]","[fActualAndBudget].[StavkaImeMK].&amp;[Даноци,чланарини и други давачки кои не зависат од резултатот]"})</f>
        <v>Даноци,чланарини и други давачки кои не зависат од резултатот</v>
      </c>
      <c r="C44" s="125" vm="2060">
        <f t="shared" si="5"/>
        <v>921566</v>
      </c>
      <c r="D44" s="125" vm="2085">
        <f t="shared" si="5"/>
        <v>896055</v>
      </c>
      <c r="E44" s="115">
        <f t="shared" si="6"/>
        <v>-2.7682227859968767E-2</v>
      </c>
      <c r="F44" s="125" vm="1854">
        <f t="shared" si="7"/>
        <v>1173000</v>
      </c>
      <c r="G44" s="115">
        <f t="shared" si="8"/>
        <v>0.30907142976714597</v>
      </c>
      <c r="H44" s="18">
        <f t="shared" si="9"/>
        <v>2.9047876216781918E-3</v>
      </c>
    </row>
    <row r="45" spans="2:8" x14ac:dyDescent="0.25">
      <c r="B45" s="105" t="str" vm="103">
        <f>CUBEMEMBER("ThisWorkbookDataModel",{"[fActualAndBudget].[StavkaGrupa].&amp;[4.1. Расходи од дејноста]","[fActualAndBudget].[StavkaImeMK].&amp;[Дневници за службени патувања и патни трошоци]"})</f>
        <v>Дневници за службени патувања и патни трошоци</v>
      </c>
      <c r="C45" s="125" vm="2059">
        <f t="shared" si="5"/>
        <v>113362</v>
      </c>
      <c r="D45" s="125" vm="2094">
        <f t="shared" si="5"/>
        <v>876105</v>
      </c>
      <c r="E45" s="115">
        <f t="shared" si="6"/>
        <v>6.7283834089024541</v>
      </c>
      <c r="F45" s="125" vm="1480">
        <f t="shared" si="7"/>
        <v>6012000</v>
      </c>
      <c r="G45" s="115">
        <f t="shared" si="8"/>
        <v>5.8621911757152398</v>
      </c>
      <c r="H45" s="18">
        <f t="shared" si="9"/>
        <v>1.4887965201644747E-2</v>
      </c>
    </row>
    <row r="46" spans="2:8" x14ac:dyDescent="0.25">
      <c r="B46" s="105" t="str" vm="100">
        <f>CUBEMEMBER("ThisWorkbookDataModel",{"[fActualAndBudget].[StavkaGrupa].&amp;[4.1. Расходи од дејноста]","[fActualAndBudget].[StavkaImeMK].&amp;[Надворешни услуги]"})</f>
        <v>Надворешни услуги</v>
      </c>
      <c r="C46" s="125" vm="2065">
        <f t="shared" si="5"/>
        <v>772520</v>
      </c>
      <c r="D46" s="125" vm="2081">
        <f t="shared" si="5"/>
        <v>938527</v>
      </c>
      <c r="E46" s="115">
        <f t="shared" si="6"/>
        <v>0.21489022937917457</v>
      </c>
      <c r="F46" s="125" vm="1662">
        <f t="shared" si="7"/>
        <v>1250004</v>
      </c>
      <c r="G46" s="115">
        <f t="shared" si="8"/>
        <v>0.33187857142096067</v>
      </c>
      <c r="H46" s="18">
        <f t="shared" si="9"/>
        <v>3.0954783855483602E-3</v>
      </c>
    </row>
    <row r="47" spans="2:8" x14ac:dyDescent="0.25">
      <c r="B47" s="105" t="str" vm="98">
        <f>CUBEMEMBER("ThisWorkbookDataModel",{"[fActualAndBudget].[StavkaGrupa].&amp;[4.1. Расходи од дејноста]","[fActualAndBudget].[StavkaImeMK].&amp;[Надомест на трошоци на вработените, подароци и помошти]"})</f>
        <v>Надомест на трошоци на вработените, подароци и помошти</v>
      </c>
      <c r="C47" s="125" vm="2063">
        <f t="shared" si="5"/>
        <v>230861452</v>
      </c>
      <c r="D47" s="125" vm="2084">
        <f t="shared" si="5"/>
        <v>222559207</v>
      </c>
      <c r="E47" s="115">
        <f t="shared" si="6"/>
        <v>-3.5962023664305787E-2</v>
      </c>
      <c r="F47" s="125" vm="1919">
        <f t="shared" si="7"/>
        <v>244864813</v>
      </c>
      <c r="G47" s="115">
        <f t="shared" si="8"/>
        <v>0.10022324531377391</v>
      </c>
      <c r="H47" s="18">
        <f t="shared" si="9"/>
        <v>0.60637704841171802</v>
      </c>
    </row>
    <row r="48" spans="2:8" x14ac:dyDescent="0.25">
      <c r="B48" s="105" t="str" vm="96">
        <f>CUBEMEMBER("ThisWorkbookDataModel",{"[fActualAndBudget].[StavkaGrupa].&amp;[4.1. Расходи од дејноста]","[fActualAndBudget].[StavkaImeMK].&amp;[Наемнини и лизинг]"})</f>
        <v>Наемнини и лизинг</v>
      </c>
      <c r="C48" s="125" vm="2077">
        <f t="shared" si="5"/>
        <v>0</v>
      </c>
      <c r="D48" s="125" vm="2093">
        <f t="shared" si="5"/>
        <v>0</v>
      </c>
      <c r="E48" s="115">
        <f t="shared" si="6"/>
        <v>0</v>
      </c>
      <c r="F48" s="125" vm="1515">
        <f t="shared" si="7"/>
        <v>476400</v>
      </c>
      <c r="G48" s="115">
        <f t="shared" si="8"/>
        <v>0</v>
      </c>
      <c r="H48" s="18">
        <f t="shared" si="9"/>
        <v>1.1797449471163603E-3</v>
      </c>
    </row>
    <row r="49" spans="2:8" x14ac:dyDescent="0.25">
      <c r="B49" s="105" t="str" vm="93">
        <f>CUBEMEMBER("ThisWorkbookDataModel",{"[fActualAndBudget].[StavkaGrupa].&amp;[4.1. Расходи од дејноста]","[fActualAndBudget].[StavkaImeMK].&amp;[Останати нематеријални трошоци]"})</f>
        <v>Останати нематеријални трошоци</v>
      </c>
      <c r="C49" s="125" vm="2057">
        <f t="shared" si="5"/>
        <v>2446228</v>
      </c>
      <c r="D49" s="125" vm="2096">
        <f t="shared" si="5"/>
        <v>2357197</v>
      </c>
      <c r="E49" s="115">
        <f t="shared" si="6"/>
        <v>-3.6395217453156437E-2</v>
      </c>
      <c r="F49" s="125" vm="1488">
        <f t="shared" si="7"/>
        <v>4137000</v>
      </c>
      <c r="G49" s="115">
        <f t="shared" si="8"/>
        <v>0.75505059611055003</v>
      </c>
      <c r="H49" s="18">
        <f t="shared" si="9"/>
        <v>1.0244762481570911E-2</v>
      </c>
    </row>
    <row r="50" spans="2:8" x14ac:dyDescent="0.25">
      <c r="B50" s="105" t="str" vm="88">
        <f>CUBEMEMBER("ThisWorkbookDataModel",{"[fActualAndBudget].[StavkaGrupa].&amp;[4.1. Расходи од дејноста]","[fActualAndBudget].[StavkaImeMK].&amp;[Останати услуги]"})</f>
        <v>Останати услуги</v>
      </c>
      <c r="C50" s="125" vm="2078">
        <f t="shared" si="5"/>
        <v>10166523</v>
      </c>
      <c r="D50" s="125" vm="2086">
        <f t="shared" si="5"/>
        <v>12727925</v>
      </c>
      <c r="E50" s="115">
        <f t="shared" si="6"/>
        <v>0.25194474059617034</v>
      </c>
      <c r="F50" s="125" vm="1626">
        <f t="shared" si="7"/>
        <v>15625810</v>
      </c>
      <c r="G50" s="115">
        <f t="shared" si="8"/>
        <v>0.22767929572180856</v>
      </c>
      <c r="H50" s="18">
        <f t="shared" si="9"/>
        <v>3.869536186419037E-2</v>
      </c>
    </row>
    <row r="51" spans="2:8" x14ac:dyDescent="0.25">
      <c r="B51" s="105" t="str" vm="86">
        <f>CUBEMEMBER("ThisWorkbookDataModel",{"[fActualAndBudget].[StavkaGrupa].&amp;[4.1. Расходи од дејноста]","[fActualAndBudget].[StavkaImeMK].&amp;[Потрoшена енергија и гориво за возила]"})</f>
        <v>Потрoшена енергија и гориво за возила</v>
      </c>
      <c r="C51" s="125" vm="2071">
        <f t="shared" si="5"/>
        <v>2971264</v>
      </c>
      <c r="D51" s="125" vm="2087">
        <f t="shared" si="5"/>
        <v>8719568</v>
      </c>
      <c r="E51" s="115">
        <f t="shared" si="6"/>
        <v>1.9346325334941628</v>
      </c>
      <c r="F51" s="125" vm="1867">
        <f t="shared" si="7"/>
        <v>15720000</v>
      </c>
      <c r="G51" s="115">
        <f t="shared" si="8"/>
        <v>0.80284160866685128</v>
      </c>
      <c r="H51" s="18">
        <f t="shared" si="9"/>
        <v>3.8928611605099042E-2</v>
      </c>
    </row>
    <row r="52" spans="2:8" x14ac:dyDescent="0.25">
      <c r="B52" s="105" t="str" vm="84">
        <f>CUBEMEMBER("ThisWorkbookDataModel",{"[fActualAndBudget].[StavkaGrupa].&amp;[4.1. Расходи од дејноста]","[fActualAndBudget].[StavkaImeMK].&amp;[Потрошени резервни делови]"})</f>
        <v>Потрошени резервни делови</v>
      </c>
      <c r="C52" s="125" vm="2068">
        <f t="shared" si="5"/>
        <v>7831</v>
      </c>
      <c r="D52" s="125" vm="2101">
        <f t="shared" si="5"/>
        <v>24519</v>
      </c>
      <c r="E52" s="115">
        <f t="shared" si="6"/>
        <v>2.1310177499680756</v>
      </c>
      <c r="F52" s="125" vm="1774">
        <f t="shared" si="7"/>
        <v>33000</v>
      </c>
      <c r="G52" s="115">
        <f t="shared" si="8"/>
        <v>0.34589502018842522</v>
      </c>
      <c r="H52" s="18">
        <f t="shared" si="9"/>
        <v>8.1720367873299514E-5</v>
      </c>
    </row>
    <row r="53" spans="2:8" x14ac:dyDescent="0.25">
      <c r="B53" s="105" t="str" vm="102">
        <f>CUBEMEMBER("ThisWorkbookDataModel",{"[fActualAndBudget].[StavkaGrupa].&amp;[4.1. Расходи од дејноста]","[fActualAndBudget].[StavkaImeMK].&amp;[Потрошени суровини и материјали]"})</f>
        <v>Потрошени суровини и материјали</v>
      </c>
      <c r="C53" s="125" vm="2064">
        <f t="shared" si="5"/>
        <v>2306349</v>
      </c>
      <c r="D53" s="125" vm="2079">
        <f t="shared" si="5"/>
        <v>1879780</v>
      </c>
      <c r="E53" s="115">
        <f t="shared" si="6"/>
        <v>-0.18495422852308996</v>
      </c>
      <c r="F53" s="125" vm="1542">
        <f t="shared" si="7"/>
        <v>4150000</v>
      </c>
      <c r="G53" s="115">
        <f t="shared" si="8"/>
        <v>1.2077051569864556</v>
      </c>
      <c r="H53" s="18">
        <f t="shared" si="9"/>
        <v>1.0276955353763424E-2</v>
      </c>
    </row>
    <row r="54" spans="2:8" x14ac:dyDescent="0.25">
      <c r="B54" s="105" t="str" vm="99">
        <f>CUBEMEMBER("ThisWorkbookDataModel",{"[fActualAndBudget].[StavkaGrupa].&amp;[4.1. Расходи од дејноста]","[fActualAndBudget].[StavkaImeMK].&amp;[Потрошок на ситен инвентар и автогуми]"})</f>
        <v>Потрошок на ситен инвентар и автогуми</v>
      </c>
      <c r="C54" s="125" vm="2074">
        <f t="shared" si="5"/>
        <v>294526</v>
      </c>
      <c r="D54" s="125" vm="2082">
        <f t="shared" si="5"/>
        <v>148492</v>
      </c>
      <c r="E54" s="115">
        <f t="shared" si="6"/>
        <v>-0.49582719352451055</v>
      </c>
      <c r="F54" s="125" vm="1584">
        <f t="shared" si="7"/>
        <v>290004</v>
      </c>
      <c r="G54" s="115">
        <f t="shared" si="8"/>
        <v>0.95299410069229329</v>
      </c>
      <c r="H54" s="18">
        <f t="shared" si="9"/>
        <v>7.1815859287055613E-4</v>
      </c>
    </row>
    <row r="55" spans="2:8" x14ac:dyDescent="0.25">
      <c r="B55" s="105" t="str" vm="90">
        <f>CUBEMEMBER("ThisWorkbookDataModel",{"[fActualAndBudget].[StavkaGrupa].&amp;[4.1. Расходи од дејноста]","[fActualAndBudget].[StavkaImeMK].&amp;[Премии за осигурување]"})</f>
        <v>Премии за осигурување</v>
      </c>
      <c r="C55" s="125" vm="2058">
        <f t="shared" si="5"/>
        <v>139305</v>
      </c>
      <c r="D55" s="125" vm="2098">
        <f t="shared" si="5"/>
        <v>309289</v>
      </c>
      <c r="E55" s="115">
        <f t="shared" si="6"/>
        <v>1.2202289939341733</v>
      </c>
      <c r="F55" s="125" vm="1669">
        <f t="shared" si="7"/>
        <v>1000000</v>
      </c>
      <c r="G55" s="115">
        <f t="shared" si="8"/>
        <v>2.233222002722373</v>
      </c>
      <c r="H55" s="18">
        <f t="shared" si="9"/>
        <v>2.4763747840393794E-3</v>
      </c>
    </row>
    <row r="56" spans="2:8" x14ac:dyDescent="0.25">
      <c r="B56" s="105" t="str" vm="95">
        <f>CUBEMEMBER("ThisWorkbookDataModel",{"[fActualAndBudget].[StavkaGrupa].&amp;[4.1. Расходи од дејноста]","[fActualAndBudget].[StavkaImeMK].&amp;[Транспортни услуги]"})</f>
        <v>Транспортни услуги</v>
      </c>
      <c r="C56" s="125" vm="2069">
        <f t="shared" si="5"/>
        <v>8331686</v>
      </c>
      <c r="D56" s="125" vm="2095">
        <f t="shared" si="5"/>
        <v>5596305</v>
      </c>
      <c r="E56" s="115">
        <f t="shared" si="6"/>
        <v>-0.32831062044344927</v>
      </c>
      <c r="F56" s="125" vm="1621">
        <f t="shared" si="7"/>
        <v>17192000</v>
      </c>
      <c r="G56" s="115">
        <f t="shared" si="8"/>
        <v>2.0720269892366483</v>
      </c>
      <c r="H56" s="18">
        <f t="shared" si="9"/>
        <v>4.2573835287205007E-2</v>
      </c>
    </row>
    <row r="57" spans="2:8" x14ac:dyDescent="0.25">
      <c r="B57" s="105" t="str" vm="92">
        <f>CUBEMEMBER("ThisWorkbookDataModel",{"[fActualAndBudget].[StavkaGrupa].&amp;[4.1. Расходи од дејноста]","[fActualAndBudget].[StavkaImeMK].&amp;[Трошоци за промоција,пропаганда, реклама, репрезентација и спонзорство]"})</f>
        <v>Трошоци за промоција,пропаганда, реклама, репрезентација и спонзорство</v>
      </c>
      <c r="C57" s="125" vm="2073">
        <f t="shared" si="5"/>
        <v>572586</v>
      </c>
      <c r="D57" s="125" vm="2090">
        <f t="shared" si="5"/>
        <v>573358</v>
      </c>
      <c r="E57" s="115">
        <f t="shared" si="6"/>
        <v>1.3482690809765163E-3</v>
      </c>
      <c r="F57" s="125" vm="1513">
        <f t="shared" si="7"/>
        <v>400400</v>
      </c>
      <c r="G57" s="115">
        <f t="shared" si="8"/>
        <v>-0.30165795192532419</v>
      </c>
      <c r="H57" s="18">
        <f t="shared" si="9"/>
        <v>9.9154046352936741E-4</v>
      </c>
    </row>
    <row r="58" spans="2:8" x14ac:dyDescent="0.25">
      <c r="B58" s="105" t="str" vm="119">
        <f>CUBEMEMBER("ThisWorkbookDataModel",{"[fActualAndBudget].[StavkaGrupa].&amp;[4.1. Расходи од дејноста]","[fActualAndBudget].[StavkaImeMK].&amp;[Лиценци за разни софтвери (едногодишни, обновливи)]"})</f>
        <v>Лиценци за разни софтвери (едногодишни, обновливи)</v>
      </c>
      <c r="C58" s="125" vm="2061">
        <f t="shared" si="5"/>
        <v>944973</v>
      </c>
      <c r="D58" s="125" vm="2092">
        <f t="shared" si="5"/>
        <v>0</v>
      </c>
      <c r="E58" s="115">
        <f>IF(ISERROR(IF(C58=0,0,D58/C58-1)),0,IF(C58=0,0,D58/C58-1))</f>
        <v>-1</v>
      </c>
      <c r="F58" s="125" vm="1625">
        <f t="shared" si="7"/>
        <v>7237200</v>
      </c>
      <c r="G58" s="115">
        <f>IF(ISERROR(IF(D58=0,0,F58/D58-1)),0,IF(D58=0,0,F58/D58-1))</f>
        <v>0</v>
      </c>
      <c r="H58" s="18">
        <f t="shared" si="9"/>
        <v>1.7922019587049795E-2</v>
      </c>
    </row>
    <row r="59" spans="2:8" x14ac:dyDescent="0.25">
      <c r="B59" s="105" t="str" vm="87">
        <f>CUBEMEMBER("ThisWorkbookDataModel",{"[fActualAndBudget].[StavkaGrupa].&amp;[4.1. Расходи од дејноста]","[fActualAndBudget].[StavkaImeMK].&amp;[Услуги за одржување и заштита]"})</f>
        <v>Услуги за одржување и заштита</v>
      </c>
      <c r="C59" s="125" vm="2056">
        <f t="shared" si="5"/>
        <v>12987102</v>
      </c>
      <c r="D59" s="125" vm="2088">
        <f t="shared" si="5"/>
        <v>13658338</v>
      </c>
      <c r="E59" s="115">
        <f t="shared" si="6"/>
        <v>5.1684817752259082E-2</v>
      </c>
      <c r="F59" s="125" vm="1853">
        <f t="shared" si="7"/>
        <v>17327204</v>
      </c>
      <c r="G59" s="115">
        <f t="shared" si="8"/>
        <v>0.26861730907523307</v>
      </c>
      <c r="H59" s="18">
        <f t="shared" si="9"/>
        <v>4.2908651063506269E-2</v>
      </c>
    </row>
    <row r="60" spans="2:8" x14ac:dyDescent="0.25">
      <c r="B60" s="140" t="s">
        <v>171</v>
      </c>
      <c r="C60" s="131">
        <f>SUM(C42:C59)</f>
        <v>315804686</v>
      </c>
      <c r="D60" s="131">
        <f>SUM(D42:D59)</f>
        <v>323336194</v>
      </c>
      <c r="E60" s="116">
        <f t="shared" si="6"/>
        <v>2.384862648934849E-2</v>
      </c>
      <c r="F60" s="131">
        <f>SUM(F42:F59)</f>
        <v>403733297</v>
      </c>
      <c r="G60" s="116">
        <f t="shared" si="8"/>
        <v>0.24864863412105365</v>
      </c>
      <c r="H60" s="21">
        <f>SUM(H42:H59)</f>
        <v>0.99979495616788183</v>
      </c>
    </row>
    <row r="61" spans="2:8" x14ac:dyDescent="0.25">
      <c r="B61" s="141" t="s">
        <v>172</v>
      </c>
      <c r="C61" s="125"/>
      <c r="D61" s="125"/>
      <c r="E61" s="115"/>
      <c r="F61" s="109"/>
      <c r="G61" s="115"/>
      <c r="H61" s="18"/>
    </row>
    <row r="62" spans="2:8" x14ac:dyDescent="0.25">
      <c r="B62" s="105" t="str" vm="112">
        <f>CUBEMEMBER("ThisWorkbookDataModel",{"[fActualAndBudget].[StavkaGrupa].&amp;[4.2. Останати расходи]","[fActualAndBudget].[StavkaImeMK].&amp;[Курсни разлики]"})</f>
        <v>Курсни разлики</v>
      </c>
      <c r="C62" s="125" vm="2070">
        <f t="shared" ref="C62:D66" si="10">CUBEVALUE("ThisWorkbookDataModel",C$40,$C$3,$B$5,$B62,C$39)</f>
        <v>202884</v>
      </c>
      <c r="D62" s="125" vm="2080">
        <f t="shared" si="10"/>
        <v>201106</v>
      </c>
      <c r="E62" s="115">
        <f t="shared" si="6"/>
        <v>-8.7636284773565665E-3</v>
      </c>
      <c r="F62" s="125" vm="1664">
        <f>CUBEVALUE("ThisWorkbookDataModel",F$40,$C$3,$B$5,$B62,F$39)</f>
        <v>3600</v>
      </c>
      <c r="G62" s="115">
        <f t="shared" si="8"/>
        <v>-0.98209899257108191</v>
      </c>
      <c r="H62" s="18">
        <f>IF(ISERROR(F62/$F$68),0,F62/$F$68)</f>
        <v>8.9149492225417648E-6</v>
      </c>
    </row>
    <row r="63" spans="2:8" x14ac:dyDescent="0.25">
      <c r="B63" s="105" t="str" vm="120">
        <f>CUBEMEMBER("ThisWorkbookDataModel",{"[fActualAndBudget].[StavkaGrupa].&amp;[4.2. Останати расходи]","[fActualAndBudget].[StavkaImeMK].&amp;[Вредносно усогласување на тековни и нетековни средства]"})</f>
        <v>Вредносно усогласување на тековни и нетековни средства</v>
      </c>
      <c r="C63" s="125" vm="2062">
        <f t="shared" si="10"/>
        <v>0</v>
      </c>
      <c r="D63" s="125" vm="2089">
        <f t="shared" si="10"/>
        <v>1200</v>
      </c>
      <c r="E63" s="115">
        <f>IF(ISERROR(IF(C63=0,0,D63/C63-1)),0,IF(C63=0,0,D63/C63-1))</f>
        <v>0</v>
      </c>
      <c r="F63" s="125" vm="1860">
        <f>CUBEVALUE("ThisWorkbookDataModel",F$40,$C$3,$B$5,$B63,F$39)</f>
        <v>7200</v>
      </c>
      <c r="G63" s="115">
        <f>IF(ISERROR(IF(D63=0,0,F63/D63-1)),0,IF(D63=0,0,F63/D63-1))</f>
        <v>5</v>
      </c>
      <c r="H63" s="18">
        <f>IF(ISERROR(F63/$F$68),0,F63/$F$68)</f>
        <v>1.782989844508353E-5</v>
      </c>
    </row>
    <row r="64" spans="2:8" x14ac:dyDescent="0.25">
      <c r="B64" s="105" t="str" vm="111">
        <f>CUBEMEMBER("ThisWorkbookDataModel",{"[fActualAndBudget].[StavkaGrupa].&amp;[4.2. Останати расходи]","[fActualAndBudget].[StavkaImeMK].&amp;[Казни, пенали и надомест на штети затезни камати]"})</f>
        <v>Казни, пенали и надомест на штети затезни камати</v>
      </c>
      <c r="C64" s="125" vm="2066">
        <f t="shared" si="10"/>
        <v>568</v>
      </c>
      <c r="D64" s="125" vm="2091">
        <f t="shared" si="10"/>
        <v>1238</v>
      </c>
      <c r="E64" s="115">
        <f t="shared" si="6"/>
        <v>1.1795774647887325</v>
      </c>
      <c r="F64" s="125" vm="1620">
        <f>CUBEVALUE("ThisWorkbookDataModel",F$40,$C$3,$B$5,$B64,F$39)</f>
        <v>0</v>
      </c>
      <c r="G64" s="115">
        <f t="shared" si="8"/>
        <v>-1</v>
      </c>
      <c r="H64" s="18">
        <f>IF(ISERROR(F64/$F$68),0,F64/$F$68)</f>
        <v>0</v>
      </c>
    </row>
    <row r="65" spans="2:8" x14ac:dyDescent="0.25">
      <c r="B65" s="105" t="str" vm="113">
        <f>CUBEMEMBER("ThisWorkbookDataModel",{"[fActualAndBudget].[StavkaGrupa].&amp;[4.2. Останати расходи]","[fActualAndBudget].[StavkaImeMK].&amp;[Загуби и кусоци]"})</f>
        <v>Загуби и кусоци</v>
      </c>
      <c r="C65" s="125" t="str" vm="2067">
        <f t="shared" si="10"/>
        <v/>
      </c>
      <c r="D65" s="125" t="str" vm="2100">
        <f t="shared" si="10"/>
        <v/>
      </c>
      <c r="E65" s="115">
        <f t="shared" si="6"/>
        <v>0</v>
      </c>
      <c r="F65" s="125" t="str" vm="1829">
        <f>CUBEVALUE("ThisWorkbookDataModel",F$40,$C$3,$B$5,$B65,F$39)</f>
        <v/>
      </c>
      <c r="G65" s="115">
        <f t="shared" si="8"/>
        <v>0</v>
      </c>
      <c r="H65" s="18">
        <f>IF(ISERROR(F65/$F$68),0,F65/$F$68)</f>
        <v>0</v>
      </c>
    </row>
    <row r="66" spans="2:8" x14ac:dyDescent="0.25">
      <c r="B66" s="105" t="str" vm="114">
        <f>CUBEMEMBER("ThisWorkbookDataModel",{"[fActualAndBudget].[StavkaGrupa].&amp;[4.2. Останати расходи]","[fActualAndBudget].[StavkaImeMK].&amp;[Останати расходи]"})</f>
        <v>Останати расходи</v>
      </c>
      <c r="C66" s="125" vm="2076">
        <f t="shared" si="10"/>
        <v>2713360</v>
      </c>
      <c r="D66" s="125" vm="2099">
        <f t="shared" si="10"/>
        <v>56352</v>
      </c>
      <c r="E66" s="115">
        <f t="shared" si="6"/>
        <v>-0.97923165374296073</v>
      </c>
      <c r="F66" s="125" vm="1798">
        <f>CUBEVALUE("ThisWorkbookDataModel",F$40,$C$3,$B$5,$B66,F$39)</f>
        <v>72000</v>
      </c>
      <c r="G66" s="115">
        <f t="shared" si="8"/>
        <v>0.27768313458262361</v>
      </c>
      <c r="H66" s="18">
        <f>IF(ISERROR(F66/$F$68),0,F66/$F$68)</f>
        <v>1.782989844508353E-4</v>
      </c>
    </row>
    <row r="67" spans="2:8" x14ac:dyDescent="0.25">
      <c r="B67" s="140" t="s">
        <v>176</v>
      </c>
      <c r="C67" s="126">
        <f>SUM(C62:C66)</f>
        <v>2916812</v>
      </c>
      <c r="D67" s="126">
        <f>SUM(D62:D66)</f>
        <v>259896</v>
      </c>
      <c r="E67" s="116">
        <f t="shared" si="6"/>
        <v>-0.910897239863248</v>
      </c>
      <c r="F67" s="126">
        <f>SUM(F62:F66)</f>
        <v>82800</v>
      </c>
      <c r="G67" s="116">
        <f t="shared" si="8"/>
        <v>-0.68141102594884106</v>
      </c>
      <c r="H67" s="21">
        <f>SUM(H62:H66)</f>
        <v>2.0504383211846058E-4</v>
      </c>
    </row>
    <row r="68" spans="2:8" x14ac:dyDescent="0.25">
      <c r="B68" s="22" t="s">
        <v>173</v>
      </c>
      <c r="C68" s="128">
        <f>SUM(C60,C67)</f>
        <v>318721498</v>
      </c>
      <c r="D68" s="128">
        <f>SUM(D60,D67)</f>
        <v>323596090</v>
      </c>
      <c r="E68" s="117">
        <f t="shared" si="6"/>
        <v>1.5294205224901436E-2</v>
      </c>
      <c r="F68" s="128">
        <f>SUM(F60,F67)</f>
        <v>403816097</v>
      </c>
      <c r="G68" s="117">
        <f t="shared" si="8"/>
        <v>0.24790165727898628</v>
      </c>
      <c r="H68" s="180">
        <f>SUM(H60,H67)</f>
        <v>1.0000000000000002</v>
      </c>
    </row>
    <row r="69" spans="2:8" ht="11.25" customHeight="1" x14ac:dyDescent="0.25"/>
    <row r="70" spans="2:8" x14ac:dyDescent="0.25">
      <c r="B70" s="150" t="s">
        <v>302</v>
      </c>
      <c r="C70" s="240">
        <v>223760468</v>
      </c>
      <c r="D70" s="240">
        <v>214836488</v>
      </c>
      <c r="E70" s="152">
        <f t="shared" si="6"/>
        <v>-3.9881843650773963E-2</v>
      </c>
      <c r="F70" s="240">
        <v>235143110</v>
      </c>
      <c r="G70" s="152">
        <f>IF(ISERROR(IF(D70=0,0,F70/D70-1)),0,IF(D70=0,0,F70/D70-1))</f>
        <v>9.452129007061405E-2</v>
      </c>
      <c r="H70" s="153">
        <f>F70/F60</f>
        <v>0.58242189026088675</v>
      </c>
    </row>
    <row r="71" spans="2:8" x14ac:dyDescent="0.25">
      <c r="B71" s="151" t="s">
        <v>303</v>
      </c>
      <c r="C71" s="263">
        <v>323</v>
      </c>
      <c r="D71" s="263">
        <v>306</v>
      </c>
      <c r="E71" s="155">
        <f t="shared" si="6"/>
        <v>-5.2631578947368474E-2</v>
      </c>
      <c r="F71" s="263">
        <v>312</v>
      </c>
      <c r="G71" s="155">
        <f>IF(ISERROR(IF(D71=0,0,F71/D71-1)),0,IF(D71=0,0,F71/D71-1))</f>
        <v>1.9607843137254832E-2</v>
      </c>
      <c r="H71" s="154" t="s">
        <v>304</v>
      </c>
    </row>
    <row r="74" spans="2:8" x14ac:dyDescent="0.25">
      <c r="F74" s="1" t="b">
        <f>('2. Bilans Na Uspeh'!F104+'2. Bilans Na Uspeh'!F109)=F68</f>
        <v>1</v>
      </c>
    </row>
    <row r="75" spans="2:8" x14ac:dyDescent="0.25">
      <c r="C75" s="1">
        <f>('2. Bilans Na Uspeh'!C104+'2. Bilans Na Uspeh'!C109)-C68</f>
        <v>0</v>
      </c>
      <c r="D75" s="1">
        <f>('2. Bilans Na Uspeh'!D104+'2. Bilans Na Uspeh'!D109)-D68</f>
        <v>0</v>
      </c>
      <c r="F75" s="1">
        <f>('2. Bilans Na Uspeh'!F104+'2. Bilans Na Uspeh'!F109)-F68</f>
        <v>0</v>
      </c>
    </row>
  </sheetData>
  <sheetProtection algorithmName="SHA-512" hashValue="rsQTNg6Bf2KZbbSxvNY013ZAvtDvyQY8g0j1Tfdur3217OBxF/mWVx7pYJ5pHLgmxkGK1etsfc5yTPKLHEoVHQ==" saltValue="QXh37kY+IeprVOXYtRBW2A==" spinCount="100000" sheet="1" objects="1" scenarios="1"/>
  <mergeCells count="3">
    <mergeCell ref="B39:B40"/>
    <mergeCell ref="E39:E40"/>
    <mergeCell ref="G39:G40"/>
  </mergeCells>
  <pageMargins left="0.7" right="0.7" top="0.75" bottom="0.75" header="0.3" footer="0.3"/>
  <pageSetup scale="74" fitToHeight="0" orientation="landscape"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7"/>
  <dimension ref="A1:O5957"/>
  <sheetViews>
    <sheetView showGridLines="0" zoomScale="110" zoomScaleNormal="110" workbookViewId="0">
      <selection activeCell="E5" sqref="E5"/>
    </sheetView>
  </sheetViews>
  <sheetFormatPr defaultRowHeight="15" x14ac:dyDescent="0.25"/>
  <cols>
    <col min="1" max="1" width="53.42578125" style="2" bestFit="1" customWidth="1"/>
    <col min="2" max="2" width="14.85546875" bestFit="1" customWidth="1"/>
  </cols>
  <sheetData>
    <row r="1" spans="1:15" x14ac:dyDescent="0.25">
      <c r="A1" s="3" t="str" vm="8">
        <f>CUBEMEMBER("ThisWorkbookDataModel","[Measures].[Sum of Износ (илјади)]")</f>
        <v>Sum of Износ (илјади)</v>
      </c>
    </row>
    <row r="2" spans="1:15" x14ac:dyDescent="0.25">
      <c r="A2"/>
      <c r="B2" t="str" vm="7">
        <f>CUBEMEMBER("ThisWorkbookDataModel","[Calendar].[MMM-YYYY].&amp;[Nov-2018]")</f>
        <v>Nov-2018</v>
      </c>
      <c r="C2" s="37">
        <v>43435</v>
      </c>
      <c r="D2" s="37">
        <v>43466</v>
      </c>
      <c r="E2" s="37">
        <v>43497</v>
      </c>
      <c r="F2" s="37">
        <v>43525</v>
      </c>
      <c r="G2" s="37">
        <v>43556</v>
      </c>
      <c r="H2" s="37">
        <v>43586</v>
      </c>
      <c r="I2" s="37">
        <v>43617</v>
      </c>
      <c r="J2" s="37">
        <v>43647</v>
      </c>
      <c r="K2" s="37">
        <v>43678</v>
      </c>
      <c r="L2" s="37">
        <v>43709</v>
      </c>
      <c r="M2" s="37">
        <v>43739</v>
      </c>
      <c r="N2" s="37">
        <v>43770</v>
      </c>
      <c r="O2" s="38">
        <v>43800</v>
      </c>
    </row>
    <row r="3" spans="1:15" x14ac:dyDescent="0.25">
      <c r="A3" s="6" t="e">
        <f>CUBEMEMBER("ThisWorkbookDataModel","[rObrazecFinansiskiPlan2019].[Спецификации].[Спецификација].&amp;[5.1 Имот, машини и опрема]")</f>
        <v>#N/A</v>
      </c>
      <c r="B3" s="36" t="e">
        <f t="shared" ref="B3:B11" si="0">CUBEVALUE("ThisWorkbookDataModel",$A$1,$A3,B$2)</f>
        <v>#N/A</v>
      </c>
    </row>
    <row r="4" spans="1:15" x14ac:dyDescent="0.25">
      <c r="A4" s="7" t="e">
        <f>CUBEMEMBER("ThisWorkbookDataModel","[rObrazecFinansiskiPlan2019].[Спецификации].[Спецификација].&amp;[5.1 Имот, машини и опрема].&amp;[Недвижности]")</f>
        <v>#N/A</v>
      </c>
      <c r="B4" s="36" t="e">
        <f>CUBEVALUE("ThisWorkbookDataModel",$A$1,$A4,B$2)</f>
        <v>#N/A</v>
      </c>
    </row>
    <row r="5" spans="1:15" x14ac:dyDescent="0.25">
      <c r="A5" s="7" t="e">
        <f>CUBEMEMBER("ThisWorkbookDataModel","[rObrazecFinansiskiPlan2019].[Спецификации].[Спецификација].&amp;[5.1 Имот, машини и опрема].&amp;[Компјутерска и останата опрема]")</f>
        <v>#N/A</v>
      </c>
      <c r="B5" s="36" t="e">
        <f t="shared" si="0"/>
        <v>#N/A</v>
      </c>
    </row>
    <row r="6" spans="1:15" x14ac:dyDescent="0.25">
      <c r="A6" s="6" t="e">
        <f>CUBEMEMBER("ThisWorkbookDataModel","[rObrazecFinansiskiPlan2019].[Спецификации].[Спецификација].&amp;[5.2 Возила]")</f>
        <v>#N/A</v>
      </c>
      <c r="B6" s="36" t="e">
        <f t="shared" si="0"/>
        <v>#N/A</v>
      </c>
    </row>
    <row r="7" spans="1:15" x14ac:dyDescent="0.25">
      <c r="A7" s="7" t="e">
        <f>CUBEMEMBER("ThisWorkbookDataModel","[rObrazecFinansiskiPlan2019].[Спецификации].[Спецификација].&amp;[5.2 Возила].&amp;[Патнички автомобили]")</f>
        <v>#N/A</v>
      </c>
      <c r="B7" s="36" t="e">
        <f t="shared" si="0"/>
        <v>#N/A</v>
      </c>
    </row>
    <row r="8" spans="1:15" x14ac:dyDescent="0.25">
      <c r="A8" s="6" t="e">
        <f>CUBEMEMBER("ThisWorkbookDataModel","[rObrazecFinansiskiPlan2019].[Спецификации].[Спецификација].&amp;[5.3 Мебел и вградување на мебел]")</f>
        <v>#N/A</v>
      </c>
      <c r="B8" s="36" t="e">
        <f t="shared" si="0"/>
        <v>#N/A</v>
      </c>
    </row>
    <row r="9" spans="1:15" x14ac:dyDescent="0.25">
      <c r="A9" s="7" t="e">
        <f>CUBEMEMBER("ThisWorkbookDataModel","[rObrazecFinansiskiPlan2019].[Спецификации].[Спецификација].&amp;[5.3 Мебел и вградување на мебел].&amp;[Канцелариски мебел]")</f>
        <v>#N/A</v>
      </c>
      <c r="B9" s="36" t="e">
        <f t="shared" si="0"/>
        <v>#N/A</v>
      </c>
    </row>
    <row r="10" spans="1:15" x14ac:dyDescent="0.25">
      <c r="A10" s="6" t="e">
        <f>CUBEMEMBER("ThisWorkbookDataModel","[rObrazecFinansiskiPlan2019].[Спецификации].[Спецификација].&amp;[5.4 Останати материјални основни средства]")</f>
        <v>#N/A</v>
      </c>
      <c r="B10" s="36" t="e">
        <f t="shared" si="0"/>
        <v>#N/A</v>
      </c>
    </row>
    <row r="11" spans="1:15" x14ac:dyDescent="0.25">
      <c r="A11" s="7" t="e">
        <f>CUBEMEMBER("ThisWorkbookDataModel","[rObrazecFinansiskiPlan2019].[Спецификации].[Спецификација].&amp;[5.4 Останати материјални основни средства].&amp;[Инвестиции во тек - недвижности]")</f>
        <v>#N/A</v>
      </c>
      <c r="B11" s="36" t="e">
        <f t="shared" si="0"/>
        <v>#N/A</v>
      </c>
    </row>
    <row r="12" spans="1:15" x14ac:dyDescent="0.25">
      <c r="A12" s="7"/>
      <c r="B12" s="36"/>
    </row>
    <row r="13" spans="1:15" x14ac:dyDescent="0.25">
      <c r="A13" s="7"/>
      <c r="B13" s="36"/>
    </row>
    <row r="14" spans="1:15" x14ac:dyDescent="0.25">
      <c r="A14" s="6" t="e">
        <f>CUBEMEMBER("ThisWorkbookDataModel","[rObrazecFinansiskiPlan2019].[Спецификации].[Спецификација].&amp;[5.7. Права]")</f>
        <v>#N/A</v>
      </c>
      <c r="B14" s="36" t="e">
        <f>CUBEVALUE("ThisWorkbookDataModel",$A$1,$A14,B$2)</f>
        <v>#N/A</v>
      </c>
    </row>
    <row r="15" spans="1:15" x14ac:dyDescent="0.25">
      <c r="A15" s="7" t="e">
        <f>CUBEMEMBER("ThisWorkbookDataModel","[rObrazecFinansiskiPlan2019].[Спецификации].[Спецификација].&amp;[5.7. Права].&amp;[Права]")</f>
        <v>#N/A</v>
      </c>
      <c r="B15" s="36" t="e">
        <f>CUBEVALUE("ThisWorkbookDataModel",$A$1,$A15,B$2)</f>
        <v>#N/A</v>
      </c>
    </row>
    <row r="16" spans="1:15" x14ac:dyDescent="0.25">
      <c r="A16" s="6" t="e">
        <f>CUBEMEMBER("ThisWorkbookDataModel","[rObrazecFinansiskiPlan2019].[Спецификации].[Спецификација].&amp;[5.10 Други нематеријални средства]")</f>
        <v>#N/A</v>
      </c>
      <c r="B16" s="36" t="e">
        <f>CUBEVALUE("ThisWorkbookDataModel",$A$1,$A16,B$2)</f>
        <v>#N/A</v>
      </c>
    </row>
    <row r="17" spans="1:2" x14ac:dyDescent="0.25">
      <c r="A17" s="7" t="e">
        <f>CUBEMEMBER("ThisWorkbookDataModel","[rObrazecFinansiskiPlan2019].[Спецификации].[Спецификација].&amp;[5.10 Други нематеријални средства].&amp;[Софтвер]")</f>
        <v>#N/A</v>
      </c>
      <c r="B17" s="36" t="e">
        <f>CUBEVALUE("ThisWorkbookDataModel",$A$1,$A17,B$2)</f>
        <v>#N/A</v>
      </c>
    </row>
    <row r="18" spans="1:2" x14ac:dyDescent="0.25">
      <c r="A18"/>
      <c r="B18" s="94" t="e">
        <f>B3+B6+B8+B10+B16</f>
        <v>#N/A</v>
      </c>
    </row>
    <row r="19" spans="1:2" x14ac:dyDescent="0.25">
      <c r="A19"/>
    </row>
    <row r="20" spans="1:2" x14ac:dyDescent="0.25">
      <c r="A20"/>
      <c r="B20" t="s">
        <v>234</v>
      </c>
    </row>
    <row r="21" spans="1:2" x14ac:dyDescent="0.25">
      <c r="A21"/>
    </row>
    <row r="22" spans="1:2" x14ac:dyDescent="0.25">
      <c r="A22"/>
    </row>
    <row r="23" spans="1:2" x14ac:dyDescent="0.25">
      <c r="A23"/>
    </row>
    <row r="24" spans="1:2" x14ac:dyDescent="0.25">
      <c r="A24"/>
    </row>
    <row r="25" spans="1:2" x14ac:dyDescent="0.25">
      <c r="A25"/>
    </row>
    <row r="26" spans="1:2" x14ac:dyDescent="0.25">
      <c r="A26"/>
    </row>
    <row r="27" spans="1:2" x14ac:dyDescent="0.25">
      <c r="A27"/>
    </row>
    <row r="28" spans="1:2" x14ac:dyDescent="0.25">
      <c r="A28"/>
    </row>
    <row r="29" spans="1:2" x14ac:dyDescent="0.25">
      <c r="A29"/>
    </row>
    <row r="30" spans="1:2" x14ac:dyDescent="0.25">
      <c r="A30"/>
    </row>
    <row r="31" spans="1:2" x14ac:dyDescent="0.25">
      <c r="A31"/>
    </row>
    <row r="32" spans="1:2" x14ac:dyDescent="0.25">
      <c r="A32"/>
    </row>
    <row r="33" spans="1:1" x14ac:dyDescent="0.25">
      <c r="A33"/>
    </row>
    <row r="34" spans="1:1" x14ac:dyDescent="0.25">
      <c r="A34"/>
    </row>
    <row r="35" spans="1:1" x14ac:dyDescent="0.25">
      <c r="A35"/>
    </row>
    <row r="36" spans="1:1" x14ac:dyDescent="0.25">
      <c r="A36"/>
    </row>
    <row r="37" spans="1:1" x14ac:dyDescent="0.25">
      <c r="A37"/>
    </row>
    <row r="38" spans="1:1" x14ac:dyDescent="0.25">
      <c r="A38"/>
    </row>
    <row r="39" spans="1:1" x14ac:dyDescent="0.25">
      <c r="A39"/>
    </row>
    <row r="40" spans="1:1" x14ac:dyDescent="0.25">
      <c r="A40"/>
    </row>
    <row r="41" spans="1:1" x14ac:dyDescent="0.25">
      <c r="A41"/>
    </row>
    <row r="42" spans="1:1" x14ac:dyDescent="0.25">
      <c r="A42"/>
    </row>
    <row r="43" spans="1:1" x14ac:dyDescent="0.25">
      <c r="A43"/>
    </row>
    <row r="44" spans="1:1" x14ac:dyDescent="0.25">
      <c r="A44"/>
    </row>
    <row r="45" spans="1:1" x14ac:dyDescent="0.25">
      <c r="A45"/>
    </row>
    <row r="46" spans="1:1" x14ac:dyDescent="0.25">
      <c r="A46"/>
    </row>
    <row r="47" spans="1:1" x14ac:dyDescent="0.25">
      <c r="A47"/>
    </row>
    <row r="48" spans="1:1" x14ac:dyDescent="0.25">
      <c r="A48"/>
    </row>
    <row r="49" spans="1:1" x14ac:dyDescent="0.25">
      <c r="A49"/>
    </row>
    <row r="50" spans="1:1" x14ac:dyDescent="0.25">
      <c r="A50"/>
    </row>
    <row r="51" spans="1:1" x14ac:dyDescent="0.25">
      <c r="A51"/>
    </row>
    <row r="52" spans="1:1" x14ac:dyDescent="0.25">
      <c r="A52"/>
    </row>
    <row r="53" spans="1:1" x14ac:dyDescent="0.25">
      <c r="A53"/>
    </row>
    <row r="54" spans="1:1" x14ac:dyDescent="0.25">
      <c r="A54"/>
    </row>
    <row r="55" spans="1:1" x14ac:dyDescent="0.25">
      <c r="A55"/>
    </row>
    <row r="56" spans="1:1" x14ac:dyDescent="0.25">
      <c r="A56"/>
    </row>
    <row r="57" spans="1:1" x14ac:dyDescent="0.25">
      <c r="A57"/>
    </row>
    <row r="58" spans="1:1" x14ac:dyDescent="0.25">
      <c r="A58"/>
    </row>
    <row r="59" spans="1:1" x14ac:dyDescent="0.25">
      <c r="A59"/>
    </row>
    <row r="60" spans="1:1" x14ac:dyDescent="0.25">
      <c r="A60"/>
    </row>
    <row r="61" spans="1:1" x14ac:dyDescent="0.25">
      <c r="A61"/>
    </row>
    <row r="62" spans="1:1" x14ac:dyDescent="0.25">
      <c r="A62"/>
    </row>
    <row r="63" spans="1:1" x14ac:dyDescent="0.25">
      <c r="A63"/>
    </row>
    <row r="64" spans="1:1" x14ac:dyDescent="0.25">
      <c r="A64"/>
    </row>
    <row r="65" spans="1:1" x14ac:dyDescent="0.25">
      <c r="A65"/>
    </row>
    <row r="66" spans="1:1" x14ac:dyDescent="0.25">
      <c r="A66"/>
    </row>
    <row r="67" spans="1:1" x14ac:dyDescent="0.25">
      <c r="A67"/>
    </row>
    <row r="68" spans="1:1" x14ac:dyDescent="0.25">
      <c r="A68"/>
    </row>
    <row r="69" spans="1:1" x14ac:dyDescent="0.25">
      <c r="A69"/>
    </row>
    <row r="70" spans="1:1" x14ac:dyDescent="0.25">
      <c r="A70"/>
    </row>
    <row r="71" spans="1:1" x14ac:dyDescent="0.25">
      <c r="A71"/>
    </row>
    <row r="72" spans="1:1" x14ac:dyDescent="0.25">
      <c r="A72"/>
    </row>
    <row r="73" spans="1:1" x14ac:dyDescent="0.25">
      <c r="A73"/>
    </row>
    <row r="74" spans="1:1" x14ac:dyDescent="0.25">
      <c r="A74"/>
    </row>
    <row r="75" spans="1:1" x14ac:dyDescent="0.25">
      <c r="A75"/>
    </row>
    <row r="76" spans="1:1" x14ac:dyDescent="0.25">
      <c r="A76"/>
    </row>
    <row r="77" spans="1:1" x14ac:dyDescent="0.25">
      <c r="A77"/>
    </row>
    <row r="78" spans="1:1" x14ac:dyDescent="0.25">
      <c r="A78"/>
    </row>
    <row r="79" spans="1:1" x14ac:dyDescent="0.25">
      <c r="A79"/>
    </row>
    <row r="80" spans="1:1" x14ac:dyDescent="0.25">
      <c r="A80"/>
    </row>
    <row r="81" spans="1:1" x14ac:dyDescent="0.25">
      <c r="A81"/>
    </row>
    <row r="82" spans="1:1" x14ac:dyDescent="0.25">
      <c r="A82"/>
    </row>
    <row r="83" spans="1:1" x14ac:dyDescent="0.25">
      <c r="A83"/>
    </row>
    <row r="84" spans="1:1" x14ac:dyDescent="0.25">
      <c r="A84"/>
    </row>
    <row r="85" spans="1:1" x14ac:dyDescent="0.25">
      <c r="A85"/>
    </row>
    <row r="86" spans="1:1" x14ac:dyDescent="0.25">
      <c r="A86"/>
    </row>
    <row r="87" spans="1:1" x14ac:dyDescent="0.25">
      <c r="A87"/>
    </row>
    <row r="88" spans="1:1" x14ac:dyDescent="0.25">
      <c r="A88"/>
    </row>
    <row r="89" spans="1:1" x14ac:dyDescent="0.25">
      <c r="A89"/>
    </row>
    <row r="90" spans="1:1" x14ac:dyDescent="0.25">
      <c r="A90"/>
    </row>
    <row r="91" spans="1:1" x14ac:dyDescent="0.25">
      <c r="A91"/>
    </row>
    <row r="92" spans="1:1" x14ac:dyDescent="0.25">
      <c r="A92"/>
    </row>
    <row r="93" spans="1:1" x14ac:dyDescent="0.25">
      <c r="A93"/>
    </row>
    <row r="94" spans="1:1" x14ac:dyDescent="0.25">
      <c r="A94"/>
    </row>
    <row r="95" spans="1:1" x14ac:dyDescent="0.25">
      <c r="A95"/>
    </row>
    <row r="96" spans="1:1" x14ac:dyDescent="0.25">
      <c r="A96"/>
    </row>
    <row r="97" spans="1:1" x14ac:dyDescent="0.25">
      <c r="A97"/>
    </row>
    <row r="98" spans="1:1" x14ac:dyDescent="0.25">
      <c r="A98"/>
    </row>
    <row r="99" spans="1:1" x14ac:dyDescent="0.25">
      <c r="A99"/>
    </row>
    <row r="100" spans="1:1" x14ac:dyDescent="0.25">
      <c r="A100"/>
    </row>
    <row r="101" spans="1:1" x14ac:dyDescent="0.25">
      <c r="A101"/>
    </row>
    <row r="102" spans="1:1" x14ac:dyDescent="0.25">
      <c r="A102"/>
    </row>
    <row r="103" spans="1:1" x14ac:dyDescent="0.25">
      <c r="A103"/>
    </row>
    <row r="104" spans="1:1" x14ac:dyDescent="0.25">
      <c r="A104"/>
    </row>
    <row r="105" spans="1:1" x14ac:dyDescent="0.25">
      <c r="A105"/>
    </row>
    <row r="106" spans="1:1" x14ac:dyDescent="0.25">
      <c r="A106"/>
    </row>
    <row r="107" spans="1:1" x14ac:dyDescent="0.25">
      <c r="A107"/>
    </row>
    <row r="108" spans="1:1" x14ac:dyDescent="0.25">
      <c r="A108"/>
    </row>
    <row r="109" spans="1:1" x14ac:dyDescent="0.25">
      <c r="A109"/>
    </row>
    <row r="110" spans="1:1" x14ac:dyDescent="0.25">
      <c r="A110"/>
    </row>
    <row r="111" spans="1:1" x14ac:dyDescent="0.25">
      <c r="A111"/>
    </row>
    <row r="112" spans="1:1" x14ac:dyDescent="0.25">
      <c r="A112"/>
    </row>
    <row r="113" spans="1:1" x14ac:dyDescent="0.25">
      <c r="A113"/>
    </row>
    <row r="114" spans="1:1" x14ac:dyDescent="0.25">
      <c r="A114"/>
    </row>
    <row r="115" spans="1:1" x14ac:dyDescent="0.25">
      <c r="A115"/>
    </row>
    <row r="116" spans="1:1" x14ac:dyDescent="0.25">
      <c r="A116"/>
    </row>
    <row r="117" spans="1:1" x14ac:dyDescent="0.25">
      <c r="A117"/>
    </row>
    <row r="118" spans="1:1" x14ac:dyDescent="0.25">
      <c r="A118"/>
    </row>
    <row r="119" spans="1:1" x14ac:dyDescent="0.25">
      <c r="A119"/>
    </row>
    <row r="120" spans="1:1" x14ac:dyDescent="0.25">
      <c r="A120"/>
    </row>
    <row r="121" spans="1:1" x14ac:dyDescent="0.25">
      <c r="A121"/>
    </row>
    <row r="122" spans="1:1" x14ac:dyDescent="0.25">
      <c r="A122"/>
    </row>
    <row r="123" spans="1:1" x14ac:dyDescent="0.25">
      <c r="A123"/>
    </row>
    <row r="124" spans="1:1" x14ac:dyDescent="0.25">
      <c r="A124"/>
    </row>
    <row r="125" spans="1:1" x14ac:dyDescent="0.25">
      <c r="A125"/>
    </row>
    <row r="126" spans="1:1" x14ac:dyDescent="0.25">
      <c r="A126"/>
    </row>
    <row r="127" spans="1:1" x14ac:dyDescent="0.25">
      <c r="A127"/>
    </row>
    <row r="128" spans="1:1" x14ac:dyDescent="0.25">
      <c r="A128"/>
    </row>
    <row r="129" spans="1:1" x14ac:dyDescent="0.25">
      <c r="A129"/>
    </row>
    <row r="130" spans="1:1" x14ac:dyDescent="0.25">
      <c r="A130"/>
    </row>
    <row r="131" spans="1:1" x14ac:dyDescent="0.25">
      <c r="A131"/>
    </row>
    <row r="132" spans="1:1" x14ac:dyDescent="0.25">
      <c r="A132"/>
    </row>
    <row r="133" spans="1:1" x14ac:dyDescent="0.25">
      <c r="A133"/>
    </row>
    <row r="134" spans="1:1" x14ac:dyDescent="0.25">
      <c r="A134"/>
    </row>
    <row r="135" spans="1:1" x14ac:dyDescent="0.25">
      <c r="A135"/>
    </row>
    <row r="136" spans="1:1" x14ac:dyDescent="0.25">
      <c r="A136"/>
    </row>
    <row r="137" spans="1:1" x14ac:dyDescent="0.25">
      <c r="A137"/>
    </row>
    <row r="138" spans="1:1" x14ac:dyDescent="0.25">
      <c r="A138"/>
    </row>
    <row r="139" spans="1:1" x14ac:dyDescent="0.25">
      <c r="A139"/>
    </row>
    <row r="140" spans="1:1" x14ac:dyDescent="0.25">
      <c r="A140"/>
    </row>
    <row r="141" spans="1:1" x14ac:dyDescent="0.25">
      <c r="A141"/>
    </row>
    <row r="142" spans="1:1" x14ac:dyDescent="0.25">
      <c r="A142"/>
    </row>
    <row r="143" spans="1:1" x14ac:dyDescent="0.25">
      <c r="A143"/>
    </row>
    <row r="144" spans="1:1" x14ac:dyDescent="0.25">
      <c r="A144"/>
    </row>
    <row r="145" spans="1:1" x14ac:dyDescent="0.25">
      <c r="A145"/>
    </row>
    <row r="146" spans="1:1" x14ac:dyDescent="0.25">
      <c r="A146"/>
    </row>
    <row r="147" spans="1:1" x14ac:dyDescent="0.25">
      <c r="A147"/>
    </row>
    <row r="148" spans="1:1" x14ac:dyDescent="0.25">
      <c r="A148"/>
    </row>
    <row r="149" spans="1:1" x14ac:dyDescent="0.25">
      <c r="A149"/>
    </row>
    <row r="150" spans="1:1" x14ac:dyDescent="0.25">
      <c r="A150"/>
    </row>
    <row r="151" spans="1:1" x14ac:dyDescent="0.25">
      <c r="A151"/>
    </row>
    <row r="152" spans="1:1" x14ac:dyDescent="0.25">
      <c r="A152"/>
    </row>
    <row r="153" spans="1:1" x14ac:dyDescent="0.25">
      <c r="A153"/>
    </row>
    <row r="154" spans="1:1" x14ac:dyDescent="0.25">
      <c r="A154"/>
    </row>
    <row r="155" spans="1:1" x14ac:dyDescent="0.25">
      <c r="A155"/>
    </row>
    <row r="156" spans="1:1" x14ac:dyDescent="0.25">
      <c r="A156"/>
    </row>
    <row r="157" spans="1:1" x14ac:dyDescent="0.25">
      <c r="A157"/>
    </row>
    <row r="158" spans="1:1" x14ac:dyDescent="0.25">
      <c r="A158"/>
    </row>
    <row r="159" spans="1:1" x14ac:dyDescent="0.25">
      <c r="A159"/>
    </row>
    <row r="160" spans="1:1" x14ac:dyDescent="0.25">
      <c r="A160"/>
    </row>
    <row r="161" spans="1:1" x14ac:dyDescent="0.25">
      <c r="A161"/>
    </row>
    <row r="162" spans="1:1" x14ac:dyDescent="0.25">
      <c r="A162"/>
    </row>
    <row r="163" spans="1:1" x14ac:dyDescent="0.25">
      <c r="A163"/>
    </row>
    <row r="164" spans="1:1" x14ac:dyDescent="0.25">
      <c r="A164"/>
    </row>
    <row r="165" spans="1:1" x14ac:dyDescent="0.25">
      <c r="A165"/>
    </row>
    <row r="166" spans="1:1" x14ac:dyDescent="0.25">
      <c r="A166"/>
    </row>
    <row r="167" spans="1:1" x14ac:dyDescent="0.25">
      <c r="A167"/>
    </row>
    <row r="168" spans="1:1" x14ac:dyDescent="0.25">
      <c r="A168"/>
    </row>
    <row r="169" spans="1:1" x14ac:dyDescent="0.25">
      <c r="A169"/>
    </row>
    <row r="170" spans="1:1" x14ac:dyDescent="0.25">
      <c r="A170"/>
    </row>
    <row r="171" spans="1:1" x14ac:dyDescent="0.25">
      <c r="A171"/>
    </row>
    <row r="172" spans="1:1" x14ac:dyDescent="0.25">
      <c r="A172"/>
    </row>
    <row r="173" spans="1:1" x14ac:dyDescent="0.25">
      <c r="A173"/>
    </row>
    <row r="174" spans="1:1" x14ac:dyDescent="0.25">
      <c r="A174"/>
    </row>
    <row r="175" spans="1:1" x14ac:dyDescent="0.25">
      <c r="A175"/>
    </row>
    <row r="176" spans="1:1" x14ac:dyDescent="0.25">
      <c r="A176"/>
    </row>
    <row r="177" spans="1:1" x14ac:dyDescent="0.25">
      <c r="A177"/>
    </row>
    <row r="178" spans="1:1" x14ac:dyDescent="0.25">
      <c r="A178"/>
    </row>
    <row r="179" spans="1:1" x14ac:dyDescent="0.25">
      <c r="A179"/>
    </row>
    <row r="180" spans="1:1" x14ac:dyDescent="0.25">
      <c r="A180"/>
    </row>
    <row r="181" spans="1:1" x14ac:dyDescent="0.25">
      <c r="A181"/>
    </row>
    <row r="182" spans="1:1" x14ac:dyDescent="0.25">
      <c r="A182"/>
    </row>
    <row r="183" spans="1:1" x14ac:dyDescent="0.25">
      <c r="A183"/>
    </row>
    <row r="184" spans="1:1" x14ac:dyDescent="0.25">
      <c r="A184"/>
    </row>
    <row r="185" spans="1:1" x14ac:dyDescent="0.25">
      <c r="A185"/>
    </row>
    <row r="186" spans="1:1" x14ac:dyDescent="0.25">
      <c r="A186"/>
    </row>
    <row r="187" spans="1:1" x14ac:dyDescent="0.25">
      <c r="A187"/>
    </row>
    <row r="188" spans="1:1" x14ac:dyDescent="0.25">
      <c r="A188"/>
    </row>
    <row r="189" spans="1:1" x14ac:dyDescent="0.25">
      <c r="A189"/>
    </row>
    <row r="190" spans="1:1" x14ac:dyDescent="0.25">
      <c r="A190"/>
    </row>
    <row r="191" spans="1:1" x14ac:dyDescent="0.25">
      <c r="A191"/>
    </row>
    <row r="192" spans="1:1" x14ac:dyDescent="0.25">
      <c r="A192"/>
    </row>
    <row r="193" spans="1:1" x14ac:dyDescent="0.25">
      <c r="A193"/>
    </row>
    <row r="194" spans="1:1" x14ac:dyDescent="0.25">
      <c r="A194"/>
    </row>
    <row r="195" spans="1:1" x14ac:dyDescent="0.25">
      <c r="A195"/>
    </row>
    <row r="196" spans="1:1" x14ac:dyDescent="0.25">
      <c r="A196"/>
    </row>
    <row r="197" spans="1:1" x14ac:dyDescent="0.25">
      <c r="A197"/>
    </row>
    <row r="198" spans="1:1" x14ac:dyDescent="0.25">
      <c r="A198"/>
    </row>
    <row r="199" spans="1:1" x14ac:dyDescent="0.25">
      <c r="A199"/>
    </row>
    <row r="200" spans="1:1" x14ac:dyDescent="0.25">
      <c r="A200"/>
    </row>
    <row r="201" spans="1:1" x14ac:dyDescent="0.25">
      <c r="A201"/>
    </row>
    <row r="202" spans="1:1" x14ac:dyDescent="0.25">
      <c r="A202"/>
    </row>
    <row r="203" spans="1:1" x14ac:dyDescent="0.25">
      <c r="A203"/>
    </row>
    <row r="204" spans="1:1" x14ac:dyDescent="0.25">
      <c r="A204"/>
    </row>
    <row r="205" spans="1:1" x14ac:dyDescent="0.25">
      <c r="A205"/>
    </row>
    <row r="206" spans="1:1" x14ac:dyDescent="0.25">
      <c r="A206"/>
    </row>
    <row r="207" spans="1:1" x14ac:dyDescent="0.25">
      <c r="A207"/>
    </row>
    <row r="208" spans="1:1" x14ac:dyDescent="0.25">
      <c r="A208"/>
    </row>
    <row r="209" spans="1:1" x14ac:dyDescent="0.25">
      <c r="A209"/>
    </row>
    <row r="210" spans="1:1" x14ac:dyDescent="0.25">
      <c r="A210"/>
    </row>
    <row r="211" spans="1:1" x14ac:dyDescent="0.25">
      <c r="A211"/>
    </row>
    <row r="212" spans="1:1" x14ac:dyDescent="0.25">
      <c r="A212"/>
    </row>
    <row r="213" spans="1:1" x14ac:dyDescent="0.25">
      <c r="A213"/>
    </row>
    <row r="214" spans="1:1" x14ac:dyDescent="0.25">
      <c r="A214"/>
    </row>
    <row r="215" spans="1:1" x14ac:dyDescent="0.25">
      <c r="A215"/>
    </row>
    <row r="216" spans="1:1" x14ac:dyDescent="0.25">
      <c r="A216"/>
    </row>
    <row r="217" spans="1:1" x14ac:dyDescent="0.25">
      <c r="A217"/>
    </row>
    <row r="218" spans="1:1" x14ac:dyDescent="0.25">
      <c r="A218"/>
    </row>
    <row r="219" spans="1:1" x14ac:dyDescent="0.25">
      <c r="A219"/>
    </row>
    <row r="220" spans="1:1" x14ac:dyDescent="0.25">
      <c r="A220"/>
    </row>
    <row r="221" spans="1:1" x14ac:dyDescent="0.25">
      <c r="A221"/>
    </row>
    <row r="222" spans="1:1" x14ac:dyDescent="0.25">
      <c r="A222"/>
    </row>
    <row r="223" spans="1:1" x14ac:dyDescent="0.25">
      <c r="A223"/>
    </row>
    <row r="224" spans="1:1" x14ac:dyDescent="0.25">
      <c r="A224"/>
    </row>
    <row r="225" spans="1:1" x14ac:dyDescent="0.25">
      <c r="A225"/>
    </row>
    <row r="226" spans="1:1" x14ac:dyDescent="0.25">
      <c r="A226"/>
    </row>
    <row r="227" spans="1:1" x14ac:dyDescent="0.25">
      <c r="A227"/>
    </row>
    <row r="228" spans="1:1" x14ac:dyDescent="0.25">
      <c r="A228"/>
    </row>
    <row r="229" spans="1:1" x14ac:dyDescent="0.25">
      <c r="A229"/>
    </row>
    <row r="230" spans="1:1" x14ac:dyDescent="0.25">
      <c r="A230"/>
    </row>
    <row r="231" spans="1:1" x14ac:dyDescent="0.25">
      <c r="A231"/>
    </row>
    <row r="232" spans="1:1" x14ac:dyDescent="0.25">
      <c r="A232"/>
    </row>
    <row r="233" spans="1:1" x14ac:dyDescent="0.25">
      <c r="A233"/>
    </row>
    <row r="234" spans="1:1" x14ac:dyDescent="0.25">
      <c r="A234"/>
    </row>
    <row r="235" spans="1:1" x14ac:dyDescent="0.25">
      <c r="A235"/>
    </row>
    <row r="236" spans="1:1" x14ac:dyDescent="0.25">
      <c r="A236"/>
    </row>
    <row r="237" spans="1:1" x14ac:dyDescent="0.25">
      <c r="A237"/>
    </row>
    <row r="238" spans="1:1" x14ac:dyDescent="0.25">
      <c r="A238"/>
    </row>
    <row r="239" spans="1:1" x14ac:dyDescent="0.25">
      <c r="A239"/>
    </row>
    <row r="240" spans="1:1" x14ac:dyDescent="0.25">
      <c r="A240"/>
    </row>
    <row r="241" spans="1:1" x14ac:dyDescent="0.25">
      <c r="A241"/>
    </row>
    <row r="242" spans="1:1" x14ac:dyDescent="0.25">
      <c r="A242"/>
    </row>
    <row r="243" spans="1:1" x14ac:dyDescent="0.25">
      <c r="A243"/>
    </row>
    <row r="244" spans="1:1" x14ac:dyDescent="0.25">
      <c r="A244"/>
    </row>
    <row r="245" spans="1:1" x14ac:dyDescent="0.25">
      <c r="A245"/>
    </row>
    <row r="246" spans="1:1" x14ac:dyDescent="0.25">
      <c r="A246"/>
    </row>
    <row r="247" spans="1:1" x14ac:dyDescent="0.25">
      <c r="A247"/>
    </row>
    <row r="248" spans="1:1" x14ac:dyDescent="0.25">
      <c r="A248"/>
    </row>
    <row r="249" spans="1:1" x14ac:dyDescent="0.25">
      <c r="A249"/>
    </row>
    <row r="250" spans="1:1" x14ac:dyDescent="0.25">
      <c r="A250"/>
    </row>
    <row r="251" spans="1:1" x14ac:dyDescent="0.25">
      <c r="A251"/>
    </row>
    <row r="252" spans="1:1" x14ac:dyDescent="0.25">
      <c r="A252"/>
    </row>
    <row r="253" spans="1:1" x14ac:dyDescent="0.25">
      <c r="A253"/>
    </row>
    <row r="254" spans="1:1" x14ac:dyDescent="0.25">
      <c r="A254"/>
    </row>
    <row r="255" spans="1:1" x14ac:dyDescent="0.25">
      <c r="A255"/>
    </row>
    <row r="256" spans="1:1" x14ac:dyDescent="0.25">
      <c r="A256"/>
    </row>
    <row r="257" spans="1:1" x14ac:dyDescent="0.25">
      <c r="A257"/>
    </row>
    <row r="258" spans="1:1" x14ac:dyDescent="0.25">
      <c r="A258"/>
    </row>
    <row r="259" spans="1:1" x14ac:dyDescent="0.25">
      <c r="A259"/>
    </row>
    <row r="260" spans="1:1" x14ac:dyDescent="0.25">
      <c r="A260"/>
    </row>
    <row r="261" spans="1:1" x14ac:dyDescent="0.25">
      <c r="A261"/>
    </row>
    <row r="262" spans="1:1" x14ac:dyDescent="0.25">
      <c r="A262"/>
    </row>
    <row r="263" spans="1:1" x14ac:dyDescent="0.25">
      <c r="A263"/>
    </row>
    <row r="264" spans="1:1" x14ac:dyDescent="0.25">
      <c r="A264"/>
    </row>
    <row r="265" spans="1:1" x14ac:dyDescent="0.25">
      <c r="A265"/>
    </row>
    <row r="266" spans="1:1" x14ac:dyDescent="0.25">
      <c r="A266"/>
    </row>
    <row r="267" spans="1:1" x14ac:dyDescent="0.25">
      <c r="A267"/>
    </row>
    <row r="268" spans="1:1" x14ac:dyDescent="0.25">
      <c r="A268"/>
    </row>
    <row r="269" spans="1:1" x14ac:dyDescent="0.25">
      <c r="A269"/>
    </row>
    <row r="270" spans="1:1" x14ac:dyDescent="0.25">
      <c r="A270"/>
    </row>
    <row r="271" spans="1:1" x14ac:dyDescent="0.25">
      <c r="A271"/>
    </row>
    <row r="272" spans="1:1" x14ac:dyDescent="0.25">
      <c r="A272"/>
    </row>
    <row r="273" spans="1:1" x14ac:dyDescent="0.25">
      <c r="A273"/>
    </row>
    <row r="274" spans="1:1" x14ac:dyDescent="0.25">
      <c r="A274"/>
    </row>
    <row r="275" spans="1:1" x14ac:dyDescent="0.25">
      <c r="A275"/>
    </row>
    <row r="276" spans="1:1" x14ac:dyDescent="0.25">
      <c r="A276"/>
    </row>
    <row r="277" spans="1:1" x14ac:dyDescent="0.25">
      <c r="A277"/>
    </row>
    <row r="278" spans="1:1" x14ac:dyDescent="0.25">
      <c r="A278"/>
    </row>
    <row r="279" spans="1:1" x14ac:dyDescent="0.25">
      <c r="A279"/>
    </row>
    <row r="280" spans="1:1" x14ac:dyDescent="0.25">
      <c r="A280"/>
    </row>
    <row r="281" spans="1:1" x14ac:dyDescent="0.25">
      <c r="A281"/>
    </row>
    <row r="282" spans="1:1" x14ac:dyDescent="0.25">
      <c r="A282"/>
    </row>
    <row r="283" spans="1:1" x14ac:dyDescent="0.25">
      <c r="A283"/>
    </row>
    <row r="284" spans="1:1" x14ac:dyDescent="0.25">
      <c r="A284"/>
    </row>
    <row r="285" spans="1:1" x14ac:dyDescent="0.25">
      <c r="A285"/>
    </row>
    <row r="286" spans="1:1" x14ac:dyDescent="0.25">
      <c r="A286"/>
    </row>
    <row r="287" spans="1:1" x14ac:dyDescent="0.25">
      <c r="A287"/>
    </row>
    <row r="288" spans="1:1" x14ac:dyDescent="0.25">
      <c r="A288"/>
    </row>
    <row r="289" spans="1:1" x14ac:dyDescent="0.25">
      <c r="A289"/>
    </row>
    <row r="290" spans="1:1" x14ac:dyDescent="0.25">
      <c r="A290"/>
    </row>
    <row r="291" spans="1:1" x14ac:dyDescent="0.25">
      <c r="A291"/>
    </row>
    <row r="292" spans="1:1" x14ac:dyDescent="0.25">
      <c r="A292"/>
    </row>
    <row r="293" spans="1:1" x14ac:dyDescent="0.25">
      <c r="A293"/>
    </row>
    <row r="294" spans="1:1" x14ac:dyDescent="0.25">
      <c r="A294"/>
    </row>
    <row r="295" spans="1:1" x14ac:dyDescent="0.25">
      <c r="A295"/>
    </row>
    <row r="296" spans="1:1" x14ac:dyDescent="0.25">
      <c r="A296"/>
    </row>
    <row r="297" spans="1:1" x14ac:dyDescent="0.25">
      <c r="A297"/>
    </row>
    <row r="298" spans="1:1" x14ac:dyDescent="0.25">
      <c r="A298"/>
    </row>
    <row r="299" spans="1:1" x14ac:dyDescent="0.25">
      <c r="A299"/>
    </row>
    <row r="300" spans="1:1" x14ac:dyDescent="0.25">
      <c r="A300"/>
    </row>
    <row r="301" spans="1:1" x14ac:dyDescent="0.25">
      <c r="A301"/>
    </row>
    <row r="302" spans="1:1" x14ac:dyDescent="0.25">
      <c r="A302"/>
    </row>
    <row r="303" spans="1:1" x14ac:dyDescent="0.25">
      <c r="A303"/>
    </row>
    <row r="304" spans="1:1" x14ac:dyDescent="0.25">
      <c r="A304"/>
    </row>
    <row r="305" spans="1:1" x14ac:dyDescent="0.25">
      <c r="A305"/>
    </row>
    <row r="306" spans="1:1" x14ac:dyDescent="0.25">
      <c r="A306"/>
    </row>
    <row r="307" spans="1:1" x14ac:dyDescent="0.25">
      <c r="A307"/>
    </row>
    <row r="308" spans="1:1" x14ac:dyDescent="0.25">
      <c r="A308"/>
    </row>
    <row r="309" spans="1:1" x14ac:dyDescent="0.25">
      <c r="A309"/>
    </row>
    <row r="310" spans="1:1" x14ac:dyDescent="0.25">
      <c r="A310"/>
    </row>
    <row r="311" spans="1:1" x14ac:dyDescent="0.25">
      <c r="A311"/>
    </row>
    <row r="312" spans="1:1" x14ac:dyDescent="0.25">
      <c r="A312"/>
    </row>
    <row r="313" spans="1:1" x14ac:dyDescent="0.25">
      <c r="A313"/>
    </row>
    <row r="314" spans="1:1" x14ac:dyDescent="0.25">
      <c r="A314"/>
    </row>
    <row r="315" spans="1:1" x14ac:dyDescent="0.25">
      <c r="A315"/>
    </row>
    <row r="316" spans="1:1" x14ac:dyDescent="0.25">
      <c r="A316"/>
    </row>
    <row r="317" spans="1:1" x14ac:dyDescent="0.25">
      <c r="A317"/>
    </row>
    <row r="318" spans="1:1" x14ac:dyDescent="0.25">
      <c r="A318"/>
    </row>
    <row r="319" spans="1:1" x14ac:dyDescent="0.25">
      <c r="A319"/>
    </row>
    <row r="320" spans="1:1" x14ac:dyDescent="0.25">
      <c r="A320"/>
    </row>
    <row r="321" spans="1:1" x14ac:dyDescent="0.25">
      <c r="A321"/>
    </row>
    <row r="322" spans="1:1" x14ac:dyDescent="0.25">
      <c r="A322"/>
    </row>
    <row r="323" spans="1:1" x14ac:dyDescent="0.25">
      <c r="A323"/>
    </row>
    <row r="324" spans="1:1" x14ac:dyDescent="0.25">
      <c r="A324"/>
    </row>
    <row r="325" spans="1:1" x14ac:dyDescent="0.25">
      <c r="A325"/>
    </row>
    <row r="326" spans="1:1" x14ac:dyDescent="0.25">
      <c r="A326"/>
    </row>
    <row r="327" spans="1:1" x14ac:dyDescent="0.25">
      <c r="A327"/>
    </row>
    <row r="328" spans="1:1" x14ac:dyDescent="0.25">
      <c r="A328"/>
    </row>
    <row r="329" spans="1:1" x14ac:dyDescent="0.25">
      <c r="A329"/>
    </row>
    <row r="330" spans="1:1" x14ac:dyDescent="0.25">
      <c r="A330"/>
    </row>
    <row r="331" spans="1:1" x14ac:dyDescent="0.25">
      <c r="A331"/>
    </row>
    <row r="332" spans="1:1" x14ac:dyDescent="0.25">
      <c r="A332"/>
    </row>
    <row r="333" spans="1:1" x14ac:dyDescent="0.25">
      <c r="A333"/>
    </row>
    <row r="334" spans="1:1" x14ac:dyDescent="0.25">
      <c r="A334"/>
    </row>
    <row r="335" spans="1:1" x14ac:dyDescent="0.25">
      <c r="A335"/>
    </row>
    <row r="336" spans="1:1" x14ac:dyDescent="0.25">
      <c r="A336"/>
    </row>
    <row r="337" spans="1:1" x14ac:dyDescent="0.25">
      <c r="A337"/>
    </row>
    <row r="338" spans="1:1" x14ac:dyDescent="0.25">
      <c r="A338"/>
    </row>
    <row r="339" spans="1:1" x14ac:dyDescent="0.25">
      <c r="A339"/>
    </row>
    <row r="340" spans="1:1" x14ac:dyDescent="0.25">
      <c r="A340"/>
    </row>
    <row r="341" spans="1:1" x14ac:dyDescent="0.25">
      <c r="A341"/>
    </row>
    <row r="342" spans="1:1" x14ac:dyDescent="0.25">
      <c r="A342"/>
    </row>
    <row r="343" spans="1:1" x14ac:dyDescent="0.25">
      <c r="A343"/>
    </row>
    <row r="344" spans="1:1" x14ac:dyDescent="0.25">
      <c r="A344"/>
    </row>
    <row r="345" spans="1:1" x14ac:dyDescent="0.25">
      <c r="A345"/>
    </row>
    <row r="346" spans="1:1" x14ac:dyDescent="0.25">
      <c r="A346"/>
    </row>
    <row r="347" spans="1:1" x14ac:dyDescent="0.25">
      <c r="A347"/>
    </row>
    <row r="348" spans="1:1" x14ac:dyDescent="0.25">
      <c r="A348"/>
    </row>
    <row r="349" spans="1:1" x14ac:dyDescent="0.25">
      <c r="A349"/>
    </row>
    <row r="350" spans="1:1" x14ac:dyDescent="0.25">
      <c r="A350"/>
    </row>
    <row r="351" spans="1:1" x14ac:dyDescent="0.25">
      <c r="A351"/>
    </row>
    <row r="352" spans="1:1" x14ac:dyDescent="0.25">
      <c r="A352"/>
    </row>
    <row r="353" spans="1:1" x14ac:dyDescent="0.25">
      <c r="A353"/>
    </row>
    <row r="354" spans="1:1" x14ac:dyDescent="0.25">
      <c r="A354"/>
    </row>
    <row r="355" spans="1:1" x14ac:dyDescent="0.25">
      <c r="A355"/>
    </row>
    <row r="356" spans="1:1" x14ac:dyDescent="0.25">
      <c r="A356"/>
    </row>
    <row r="357" spans="1:1" x14ac:dyDescent="0.25">
      <c r="A357"/>
    </row>
    <row r="358" spans="1:1" x14ac:dyDescent="0.25">
      <c r="A358"/>
    </row>
    <row r="359" spans="1:1" x14ac:dyDescent="0.25">
      <c r="A359"/>
    </row>
    <row r="360" spans="1:1" x14ac:dyDescent="0.25">
      <c r="A360"/>
    </row>
    <row r="361" spans="1:1" x14ac:dyDescent="0.25">
      <c r="A361"/>
    </row>
    <row r="362" spans="1:1" x14ac:dyDescent="0.25">
      <c r="A362"/>
    </row>
    <row r="363" spans="1:1" x14ac:dyDescent="0.25">
      <c r="A363"/>
    </row>
    <row r="364" spans="1:1" x14ac:dyDescent="0.25">
      <c r="A364"/>
    </row>
    <row r="365" spans="1:1" x14ac:dyDescent="0.25">
      <c r="A365"/>
    </row>
    <row r="366" spans="1:1" x14ac:dyDescent="0.25">
      <c r="A366"/>
    </row>
    <row r="367" spans="1:1" x14ac:dyDescent="0.25">
      <c r="A367"/>
    </row>
    <row r="368" spans="1:1" x14ac:dyDescent="0.25">
      <c r="A368"/>
    </row>
    <row r="369" spans="1:1" x14ac:dyDescent="0.25">
      <c r="A369"/>
    </row>
    <row r="370" spans="1:1" x14ac:dyDescent="0.25">
      <c r="A370"/>
    </row>
    <row r="371" spans="1:1" x14ac:dyDescent="0.25">
      <c r="A371"/>
    </row>
    <row r="372" spans="1:1" x14ac:dyDescent="0.25">
      <c r="A372"/>
    </row>
    <row r="373" spans="1:1" x14ac:dyDescent="0.25">
      <c r="A373"/>
    </row>
    <row r="374" spans="1:1" x14ac:dyDescent="0.25">
      <c r="A374"/>
    </row>
    <row r="375" spans="1:1" x14ac:dyDescent="0.25">
      <c r="A375"/>
    </row>
    <row r="376" spans="1:1" x14ac:dyDescent="0.25">
      <c r="A376"/>
    </row>
    <row r="377" spans="1:1" x14ac:dyDescent="0.25">
      <c r="A377"/>
    </row>
    <row r="378" spans="1:1" x14ac:dyDescent="0.25">
      <c r="A378"/>
    </row>
    <row r="379" spans="1:1" x14ac:dyDescent="0.25">
      <c r="A379"/>
    </row>
    <row r="380" spans="1:1" x14ac:dyDescent="0.25">
      <c r="A380"/>
    </row>
    <row r="381" spans="1:1" x14ac:dyDescent="0.25">
      <c r="A381"/>
    </row>
    <row r="382" spans="1:1" x14ac:dyDescent="0.25">
      <c r="A382"/>
    </row>
    <row r="383" spans="1:1" x14ac:dyDescent="0.25">
      <c r="A383"/>
    </row>
    <row r="384" spans="1:1" x14ac:dyDescent="0.25">
      <c r="A384"/>
    </row>
    <row r="385" spans="1:1" x14ac:dyDescent="0.25">
      <c r="A385"/>
    </row>
    <row r="386" spans="1:1" x14ac:dyDescent="0.25">
      <c r="A386"/>
    </row>
    <row r="387" spans="1:1" x14ac:dyDescent="0.25">
      <c r="A387"/>
    </row>
    <row r="388" spans="1:1" x14ac:dyDescent="0.25">
      <c r="A388"/>
    </row>
    <row r="389" spans="1:1" x14ac:dyDescent="0.25">
      <c r="A389"/>
    </row>
    <row r="390" spans="1:1" x14ac:dyDescent="0.25">
      <c r="A390"/>
    </row>
    <row r="391" spans="1:1" x14ac:dyDescent="0.25">
      <c r="A391"/>
    </row>
    <row r="392" spans="1:1" x14ac:dyDescent="0.25">
      <c r="A392"/>
    </row>
    <row r="393" spans="1:1" x14ac:dyDescent="0.25">
      <c r="A393"/>
    </row>
    <row r="394" spans="1:1" x14ac:dyDescent="0.25">
      <c r="A394"/>
    </row>
    <row r="395" spans="1:1" x14ac:dyDescent="0.25">
      <c r="A395"/>
    </row>
    <row r="396" spans="1:1" x14ac:dyDescent="0.25">
      <c r="A396"/>
    </row>
    <row r="397" spans="1:1" x14ac:dyDescent="0.25">
      <c r="A397"/>
    </row>
    <row r="398" spans="1:1" x14ac:dyDescent="0.25">
      <c r="A398"/>
    </row>
    <row r="399" spans="1:1" x14ac:dyDescent="0.25">
      <c r="A399"/>
    </row>
    <row r="400" spans="1:1" x14ac:dyDescent="0.25">
      <c r="A400"/>
    </row>
    <row r="401" spans="1:1" x14ac:dyDescent="0.25">
      <c r="A401"/>
    </row>
    <row r="402" spans="1:1" x14ac:dyDescent="0.25">
      <c r="A402"/>
    </row>
    <row r="403" spans="1:1" x14ac:dyDescent="0.25">
      <c r="A403"/>
    </row>
    <row r="404" spans="1:1" x14ac:dyDescent="0.25">
      <c r="A404"/>
    </row>
    <row r="405" spans="1:1" x14ac:dyDescent="0.25">
      <c r="A405"/>
    </row>
    <row r="406" spans="1:1" x14ac:dyDescent="0.25">
      <c r="A406"/>
    </row>
    <row r="407" spans="1:1" x14ac:dyDescent="0.25">
      <c r="A407"/>
    </row>
    <row r="408" spans="1:1" x14ac:dyDescent="0.25">
      <c r="A408"/>
    </row>
    <row r="409" spans="1:1" x14ac:dyDescent="0.25">
      <c r="A409"/>
    </row>
    <row r="410" spans="1:1" x14ac:dyDescent="0.25">
      <c r="A410"/>
    </row>
    <row r="411" spans="1:1" x14ac:dyDescent="0.25">
      <c r="A411"/>
    </row>
    <row r="412" spans="1:1" x14ac:dyDescent="0.25">
      <c r="A412"/>
    </row>
    <row r="413" spans="1:1" x14ac:dyDescent="0.25">
      <c r="A413"/>
    </row>
    <row r="414" spans="1:1" x14ac:dyDescent="0.25">
      <c r="A414"/>
    </row>
    <row r="415" spans="1:1" x14ac:dyDescent="0.25">
      <c r="A415"/>
    </row>
    <row r="416" spans="1:1" x14ac:dyDescent="0.25">
      <c r="A416"/>
    </row>
    <row r="417" spans="1:1" x14ac:dyDescent="0.25">
      <c r="A417"/>
    </row>
    <row r="418" spans="1:1" x14ac:dyDescent="0.25">
      <c r="A418"/>
    </row>
    <row r="419" spans="1:1" x14ac:dyDescent="0.25">
      <c r="A419"/>
    </row>
    <row r="420" spans="1:1" x14ac:dyDescent="0.25">
      <c r="A420"/>
    </row>
    <row r="421" spans="1:1" x14ac:dyDescent="0.25">
      <c r="A421"/>
    </row>
    <row r="422" spans="1:1" x14ac:dyDescent="0.25">
      <c r="A422"/>
    </row>
    <row r="423" spans="1:1" x14ac:dyDescent="0.25">
      <c r="A423"/>
    </row>
    <row r="424" spans="1:1" x14ac:dyDescent="0.25">
      <c r="A424"/>
    </row>
    <row r="425" spans="1:1" x14ac:dyDescent="0.25">
      <c r="A425"/>
    </row>
    <row r="426" spans="1:1" x14ac:dyDescent="0.25">
      <c r="A426"/>
    </row>
    <row r="427" spans="1:1" x14ac:dyDescent="0.25">
      <c r="A427"/>
    </row>
    <row r="428" spans="1:1" x14ac:dyDescent="0.25">
      <c r="A428"/>
    </row>
    <row r="429" spans="1:1" x14ac:dyDescent="0.25">
      <c r="A429"/>
    </row>
    <row r="430" spans="1:1" x14ac:dyDescent="0.25">
      <c r="A430"/>
    </row>
    <row r="431" spans="1:1" x14ac:dyDescent="0.25">
      <c r="A431"/>
    </row>
    <row r="432" spans="1:1" x14ac:dyDescent="0.25">
      <c r="A432"/>
    </row>
    <row r="433" spans="1:1" x14ac:dyDescent="0.25">
      <c r="A433"/>
    </row>
    <row r="434" spans="1:1" x14ac:dyDescent="0.25">
      <c r="A434"/>
    </row>
    <row r="435" spans="1:1" x14ac:dyDescent="0.25">
      <c r="A435"/>
    </row>
    <row r="436" spans="1:1" x14ac:dyDescent="0.25">
      <c r="A436"/>
    </row>
    <row r="437" spans="1:1" x14ac:dyDescent="0.25">
      <c r="A437"/>
    </row>
    <row r="438" spans="1:1" x14ac:dyDescent="0.25">
      <c r="A438"/>
    </row>
    <row r="439" spans="1:1" x14ac:dyDescent="0.25">
      <c r="A439"/>
    </row>
    <row r="440" spans="1:1" x14ac:dyDescent="0.25">
      <c r="A440"/>
    </row>
    <row r="441" spans="1:1" x14ac:dyDescent="0.25">
      <c r="A441"/>
    </row>
    <row r="442" spans="1:1" x14ac:dyDescent="0.25">
      <c r="A442"/>
    </row>
    <row r="443" spans="1:1" x14ac:dyDescent="0.25">
      <c r="A443"/>
    </row>
    <row r="444" spans="1:1" x14ac:dyDescent="0.25">
      <c r="A444"/>
    </row>
    <row r="445" spans="1:1" x14ac:dyDescent="0.25">
      <c r="A445"/>
    </row>
    <row r="446" spans="1:1" x14ac:dyDescent="0.25">
      <c r="A446"/>
    </row>
    <row r="447" spans="1:1" x14ac:dyDescent="0.25">
      <c r="A447"/>
    </row>
    <row r="448" spans="1:1" x14ac:dyDescent="0.25">
      <c r="A448"/>
    </row>
    <row r="449" spans="1:1" x14ac:dyDescent="0.25">
      <c r="A449"/>
    </row>
    <row r="450" spans="1:1" x14ac:dyDescent="0.25">
      <c r="A450"/>
    </row>
    <row r="451" spans="1:1" x14ac:dyDescent="0.25">
      <c r="A451"/>
    </row>
    <row r="452" spans="1:1" x14ac:dyDescent="0.25">
      <c r="A452"/>
    </row>
    <row r="453" spans="1:1" x14ac:dyDescent="0.25">
      <c r="A453"/>
    </row>
    <row r="454" spans="1:1" x14ac:dyDescent="0.25">
      <c r="A454"/>
    </row>
    <row r="455" spans="1:1" x14ac:dyDescent="0.25">
      <c r="A455"/>
    </row>
    <row r="456" spans="1:1" x14ac:dyDescent="0.25">
      <c r="A456"/>
    </row>
    <row r="457" spans="1:1" x14ac:dyDescent="0.25">
      <c r="A457"/>
    </row>
    <row r="458" spans="1:1" x14ac:dyDescent="0.25">
      <c r="A458"/>
    </row>
    <row r="459" spans="1:1" x14ac:dyDescent="0.25">
      <c r="A459"/>
    </row>
    <row r="460" spans="1:1" x14ac:dyDescent="0.25">
      <c r="A460"/>
    </row>
    <row r="461" spans="1:1" x14ac:dyDescent="0.25">
      <c r="A461"/>
    </row>
    <row r="462" spans="1:1" x14ac:dyDescent="0.25">
      <c r="A462"/>
    </row>
    <row r="463" spans="1:1" x14ac:dyDescent="0.25">
      <c r="A463"/>
    </row>
    <row r="464" spans="1:1" x14ac:dyDescent="0.25">
      <c r="A464"/>
    </row>
    <row r="465" spans="1:1" x14ac:dyDescent="0.25">
      <c r="A465"/>
    </row>
    <row r="466" spans="1:1" x14ac:dyDescent="0.25">
      <c r="A466"/>
    </row>
    <row r="467" spans="1:1" x14ac:dyDescent="0.25">
      <c r="A467"/>
    </row>
    <row r="468" spans="1:1" x14ac:dyDescent="0.25">
      <c r="A468"/>
    </row>
    <row r="469" spans="1:1" x14ac:dyDescent="0.25">
      <c r="A469"/>
    </row>
    <row r="470" spans="1:1" x14ac:dyDescent="0.25">
      <c r="A470"/>
    </row>
    <row r="471" spans="1:1" x14ac:dyDescent="0.25">
      <c r="A471"/>
    </row>
    <row r="472" spans="1:1" x14ac:dyDescent="0.25">
      <c r="A472"/>
    </row>
    <row r="473" spans="1:1" x14ac:dyDescent="0.25">
      <c r="A473"/>
    </row>
    <row r="474" spans="1:1" x14ac:dyDescent="0.25">
      <c r="A474"/>
    </row>
    <row r="475" spans="1:1" x14ac:dyDescent="0.25">
      <c r="A475"/>
    </row>
    <row r="476" spans="1:1" x14ac:dyDescent="0.25">
      <c r="A476"/>
    </row>
    <row r="477" spans="1:1" x14ac:dyDescent="0.25">
      <c r="A477"/>
    </row>
    <row r="478" spans="1:1" x14ac:dyDescent="0.25">
      <c r="A478"/>
    </row>
    <row r="479" spans="1:1" x14ac:dyDescent="0.25">
      <c r="A479"/>
    </row>
    <row r="480" spans="1:1" x14ac:dyDescent="0.25">
      <c r="A480"/>
    </row>
    <row r="481" spans="1:1" x14ac:dyDescent="0.25">
      <c r="A481"/>
    </row>
    <row r="482" spans="1:1" x14ac:dyDescent="0.25">
      <c r="A482"/>
    </row>
    <row r="483" spans="1:1" x14ac:dyDescent="0.25">
      <c r="A483"/>
    </row>
    <row r="484" spans="1:1" x14ac:dyDescent="0.25">
      <c r="A484"/>
    </row>
    <row r="485" spans="1:1" x14ac:dyDescent="0.25">
      <c r="A485"/>
    </row>
    <row r="486" spans="1:1" x14ac:dyDescent="0.25">
      <c r="A486"/>
    </row>
    <row r="487" spans="1:1" x14ac:dyDescent="0.25">
      <c r="A487"/>
    </row>
    <row r="488" spans="1:1" x14ac:dyDescent="0.25">
      <c r="A488"/>
    </row>
    <row r="489" spans="1:1" x14ac:dyDescent="0.25">
      <c r="A489"/>
    </row>
    <row r="490" spans="1:1" x14ac:dyDescent="0.25">
      <c r="A490"/>
    </row>
    <row r="491" spans="1:1" x14ac:dyDescent="0.25">
      <c r="A491"/>
    </row>
    <row r="492" spans="1:1" x14ac:dyDescent="0.25">
      <c r="A492"/>
    </row>
    <row r="493" spans="1:1" x14ac:dyDescent="0.25">
      <c r="A493"/>
    </row>
    <row r="494" spans="1:1" x14ac:dyDescent="0.25">
      <c r="A494"/>
    </row>
    <row r="495" spans="1:1" x14ac:dyDescent="0.25">
      <c r="A495"/>
    </row>
    <row r="496" spans="1:1" x14ac:dyDescent="0.25">
      <c r="A496"/>
    </row>
    <row r="497" spans="1:1" x14ac:dyDescent="0.25">
      <c r="A497"/>
    </row>
    <row r="498" spans="1:1" x14ac:dyDescent="0.25">
      <c r="A498"/>
    </row>
    <row r="499" spans="1:1" x14ac:dyDescent="0.25">
      <c r="A499"/>
    </row>
    <row r="500" spans="1:1" x14ac:dyDescent="0.25">
      <c r="A500"/>
    </row>
    <row r="501" spans="1:1" x14ac:dyDescent="0.25">
      <c r="A501"/>
    </row>
    <row r="502" spans="1:1" x14ac:dyDescent="0.25">
      <c r="A502"/>
    </row>
    <row r="503" spans="1:1" x14ac:dyDescent="0.25">
      <c r="A503"/>
    </row>
    <row r="504" spans="1:1" x14ac:dyDescent="0.25">
      <c r="A504"/>
    </row>
    <row r="505" spans="1:1" x14ac:dyDescent="0.25">
      <c r="A505"/>
    </row>
    <row r="506" spans="1:1" x14ac:dyDescent="0.25">
      <c r="A506"/>
    </row>
    <row r="507" spans="1:1" x14ac:dyDescent="0.25">
      <c r="A507"/>
    </row>
    <row r="508" spans="1:1" x14ac:dyDescent="0.25">
      <c r="A508"/>
    </row>
    <row r="509" spans="1:1" x14ac:dyDescent="0.25">
      <c r="A509"/>
    </row>
    <row r="510" spans="1:1" x14ac:dyDescent="0.25">
      <c r="A510"/>
    </row>
    <row r="511" spans="1:1" x14ac:dyDescent="0.25">
      <c r="A511"/>
    </row>
    <row r="512" spans="1:1" x14ac:dyDescent="0.25">
      <c r="A512"/>
    </row>
    <row r="513" spans="1:1" x14ac:dyDescent="0.25">
      <c r="A513"/>
    </row>
    <row r="514" spans="1:1" x14ac:dyDescent="0.25">
      <c r="A514"/>
    </row>
    <row r="515" spans="1:1" x14ac:dyDescent="0.25">
      <c r="A515"/>
    </row>
    <row r="516" spans="1:1" x14ac:dyDescent="0.25">
      <c r="A516"/>
    </row>
    <row r="517" spans="1:1" x14ac:dyDescent="0.25">
      <c r="A517"/>
    </row>
    <row r="518" spans="1:1" x14ac:dyDescent="0.25">
      <c r="A518"/>
    </row>
    <row r="519" spans="1:1" x14ac:dyDescent="0.25">
      <c r="A519"/>
    </row>
    <row r="520" spans="1:1" x14ac:dyDescent="0.25">
      <c r="A520"/>
    </row>
    <row r="521" spans="1:1" x14ac:dyDescent="0.25">
      <c r="A521"/>
    </row>
    <row r="522" spans="1:1" x14ac:dyDescent="0.25">
      <c r="A522"/>
    </row>
    <row r="523" spans="1:1" x14ac:dyDescent="0.25">
      <c r="A523"/>
    </row>
    <row r="524" spans="1:1" x14ac:dyDescent="0.25">
      <c r="A524"/>
    </row>
    <row r="525" spans="1:1" x14ac:dyDescent="0.25">
      <c r="A525"/>
    </row>
    <row r="526" spans="1:1" x14ac:dyDescent="0.25">
      <c r="A526"/>
    </row>
    <row r="527" spans="1:1" x14ac:dyDescent="0.25">
      <c r="A527"/>
    </row>
    <row r="528" spans="1:1" x14ac:dyDescent="0.25">
      <c r="A528"/>
    </row>
    <row r="529" spans="1:1" x14ac:dyDescent="0.25">
      <c r="A529"/>
    </row>
    <row r="530" spans="1:1" x14ac:dyDescent="0.25">
      <c r="A530"/>
    </row>
    <row r="531" spans="1:1" x14ac:dyDescent="0.25">
      <c r="A531"/>
    </row>
    <row r="532" spans="1:1" x14ac:dyDescent="0.25">
      <c r="A532"/>
    </row>
    <row r="533" spans="1:1" x14ac:dyDescent="0.25">
      <c r="A533"/>
    </row>
    <row r="534" spans="1:1" x14ac:dyDescent="0.25">
      <c r="A534"/>
    </row>
    <row r="535" spans="1:1" x14ac:dyDescent="0.25">
      <c r="A535"/>
    </row>
    <row r="536" spans="1:1" x14ac:dyDescent="0.25">
      <c r="A536"/>
    </row>
    <row r="537" spans="1:1" x14ac:dyDescent="0.25">
      <c r="A537"/>
    </row>
    <row r="538" spans="1:1" x14ac:dyDescent="0.25">
      <c r="A538"/>
    </row>
    <row r="539" spans="1:1" x14ac:dyDescent="0.25">
      <c r="A539"/>
    </row>
    <row r="540" spans="1:1" x14ac:dyDescent="0.25">
      <c r="A540"/>
    </row>
    <row r="541" spans="1:1" x14ac:dyDescent="0.25">
      <c r="A541"/>
    </row>
    <row r="542" spans="1:1" x14ac:dyDescent="0.25">
      <c r="A542"/>
    </row>
    <row r="543" spans="1:1" x14ac:dyDescent="0.25">
      <c r="A543"/>
    </row>
    <row r="544" spans="1:1" x14ac:dyDescent="0.25">
      <c r="A544"/>
    </row>
    <row r="545" spans="1:1" x14ac:dyDescent="0.25">
      <c r="A545"/>
    </row>
    <row r="546" spans="1:1" x14ac:dyDescent="0.25">
      <c r="A546"/>
    </row>
    <row r="547" spans="1:1" x14ac:dyDescent="0.25">
      <c r="A547"/>
    </row>
    <row r="548" spans="1:1" x14ac:dyDescent="0.25">
      <c r="A548"/>
    </row>
    <row r="549" spans="1:1" x14ac:dyDescent="0.25">
      <c r="A549"/>
    </row>
    <row r="550" spans="1:1" x14ac:dyDescent="0.25">
      <c r="A550"/>
    </row>
    <row r="551" spans="1:1" x14ac:dyDescent="0.25">
      <c r="A551"/>
    </row>
    <row r="552" spans="1:1" x14ac:dyDescent="0.25">
      <c r="A552"/>
    </row>
    <row r="553" spans="1:1" x14ac:dyDescent="0.25">
      <c r="A553"/>
    </row>
    <row r="554" spans="1:1" x14ac:dyDescent="0.25">
      <c r="A554"/>
    </row>
    <row r="555" spans="1:1" x14ac:dyDescent="0.25">
      <c r="A555"/>
    </row>
    <row r="556" spans="1:1" x14ac:dyDescent="0.25">
      <c r="A556"/>
    </row>
    <row r="557" spans="1:1" x14ac:dyDescent="0.25">
      <c r="A557"/>
    </row>
    <row r="558" spans="1:1" x14ac:dyDescent="0.25">
      <c r="A558"/>
    </row>
    <row r="559" spans="1:1" x14ac:dyDescent="0.25">
      <c r="A559"/>
    </row>
    <row r="560" spans="1:1" x14ac:dyDescent="0.25">
      <c r="A560"/>
    </row>
    <row r="561" spans="1:1" x14ac:dyDescent="0.25">
      <c r="A561"/>
    </row>
    <row r="562" spans="1:1" x14ac:dyDescent="0.25">
      <c r="A562"/>
    </row>
    <row r="563" spans="1:1" x14ac:dyDescent="0.25">
      <c r="A563"/>
    </row>
    <row r="564" spans="1:1" x14ac:dyDescent="0.25">
      <c r="A564"/>
    </row>
    <row r="565" spans="1:1" x14ac:dyDescent="0.25">
      <c r="A565"/>
    </row>
    <row r="566" spans="1:1" x14ac:dyDescent="0.25">
      <c r="A566"/>
    </row>
    <row r="567" spans="1:1" x14ac:dyDescent="0.25">
      <c r="A567"/>
    </row>
    <row r="568" spans="1:1" x14ac:dyDescent="0.25">
      <c r="A568"/>
    </row>
    <row r="569" spans="1:1" x14ac:dyDescent="0.25">
      <c r="A569"/>
    </row>
    <row r="570" spans="1:1" x14ac:dyDescent="0.25">
      <c r="A570"/>
    </row>
    <row r="571" spans="1:1" x14ac:dyDescent="0.25">
      <c r="A571"/>
    </row>
    <row r="572" spans="1:1" x14ac:dyDescent="0.25">
      <c r="A572"/>
    </row>
    <row r="573" spans="1:1" x14ac:dyDescent="0.25">
      <c r="A573"/>
    </row>
    <row r="574" spans="1:1" x14ac:dyDescent="0.25">
      <c r="A574"/>
    </row>
    <row r="575" spans="1:1" x14ac:dyDescent="0.25">
      <c r="A575"/>
    </row>
    <row r="576" spans="1:1" x14ac:dyDescent="0.25">
      <c r="A576"/>
    </row>
    <row r="577" spans="1:1" x14ac:dyDescent="0.25">
      <c r="A577"/>
    </row>
    <row r="578" spans="1:1" x14ac:dyDescent="0.25">
      <c r="A578"/>
    </row>
    <row r="579" spans="1:1" x14ac:dyDescent="0.25">
      <c r="A579"/>
    </row>
    <row r="580" spans="1:1" x14ac:dyDescent="0.25">
      <c r="A580"/>
    </row>
    <row r="581" spans="1:1" x14ac:dyDescent="0.25">
      <c r="A581"/>
    </row>
    <row r="582" spans="1:1" x14ac:dyDescent="0.25">
      <c r="A582"/>
    </row>
    <row r="583" spans="1:1" x14ac:dyDescent="0.25">
      <c r="A583"/>
    </row>
    <row r="584" spans="1:1" x14ac:dyDescent="0.25">
      <c r="A584"/>
    </row>
    <row r="585" spans="1:1" x14ac:dyDescent="0.25">
      <c r="A585"/>
    </row>
    <row r="586" spans="1:1" x14ac:dyDescent="0.25">
      <c r="A586"/>
    </row>
    <row r="587" spans="1:1" x14ac:dyDescent="0.25">
      <c r="A587"/>
    </row>
    <row r="588" spans="1:1" x14ac:dyDescent="0.25">
      <c r="A588"/>
    </row>
    <row r="589" spans="1:1" x14ac:dyDescent="0.25">
      <c r="A589"/>
    </row>
    <row r="590" spans="1:1" x14ac:dyDescent="0.25">
      <c r="A590"/>
    </row>
    <row r="591" spans="1:1" x14ac:dyDescent="0.25">
      <c r="A591"/>
    </row>
    <row r="592" spans="1:1" x14ac:dyDescent="0.25">
      <c r="A592"/>
    </row>
    <row r="593" spans="1:1" x14ac:dyDescent="0.25">
      <c r="A593"/>
    </row>
    <row r="594" spans="1:1" x14ac:dyDescent="0.25">
      <c r="A594"/>
    </row>
    <row r="595" spans="1:1" x14ac:dyDescent="0.25">
      <c r="A595"/>
    </row>
    <row r="596" spans="1:1" x14ac:dyDescent="0.25">
      <c r="A596"/>
    </row>
    <row r="597" spans="1:1" x14ac:dyDescent="0.25">
      <c r="A597"/>
    </row>
    <row r="598" spans="1:1" x14ac:dyDescent="0.25">
      <c r="A598"/>
    </row>
    <row r="599" spans="1:1" x14ac:dyDescent="0.25">
      <c r="A599"/>
    </row>
    <row r="600" spans="1:1" x14ac:dyDescent="0.25">
      <c r="A600"/>
    </row>
    <row r="601" spans="1:1" x14ac:dyDescent="0.25">
      <c r="A601"/>
    </row>
    <row r="602" spans="1:1" x14ac:dyDescent="0.25">
      <c r="A602"/>
    </row>
    <row r="603" spans="1:1" x14ac:dyDescent="0.25">
      <c r="A603"/>
    </row>
    <row r="604" spans="1:1" x14ac:dyDescent="0.25">
      <c r="A604"/>
    </row>
    <row r="605" spans="1:1" x14ac:dyDescent="0.25">
      <c r="A605"/>
    </row>
    <row r="606" spans="1:1" x14ac:dyDescent="0.25">
      <c r="A606"/>
    </row>
    <row r="607" spans="1:1" x14ac:dyDescent="0.25">
      <c r="A607"/>
    </row>
    <row r="608" spans="1:1" x14ac:dyDescent="0.25">
      <c r="A608"/>
    </row>
    <row r="609" spans="1:1" x14ac:dyDescent="0.25">
      <c r="A609"/>
    </row>
    <row r="610" spans="1:1" x14ac:dyDescent="0.25">
      <c r="A610"/>
    </row>
    <row r="611" spans="1:1" x14ac:dyDescent="0.25">
      <c r="A611"/>
    </row>
    <row r="612" spans="1:1" x14ac:dyDescent="0.25">
      <c r="A612"/>
    </row>
    <row r="613" spans="1:1" x14ac:dyDescent="0.25">
      <c r="A613"/>
    </row>
    <row r="614" spans="1:1" x14ac:dyDescent="0.25">
      <c r="A614"/>
    </row>
    <row r="615" spans="1:1" x14ac:dyDescent="0.25">
      <c r="A615"/>
    </row>
    <row r="616" spans="1:1" x14ac:dyDescent="0.25">
      <c r="A616"/>
    </row>
    <row r="617" spans="1:1" x14ac:dyDescent="0.25">
      <c r="A617"/>
    </row>
    <row r="618" spans="1:1" x14ac:dyDescent="0.25">
      <c r="A618"/>
    </row>
    <row r="619" spans="1:1" x14ac:dyDescent="0.25">
      <c r="A619"/>
    </row>
    <row r="620" spans="1:1" x14ac:dyDescent="0.25">
      <c r="A620"/>
    </row>
    <row r="621" spans="1:1" x14ac:dyDescent="0.25">
      <c r="A621"/>
    </row>
    <row r="622" spans="1:1" x14ac:dyDescent="0.25">
      <c r="A622"/>
    </row>
    <row r="623" spans="1:1" x14ac:dyDescent="0.25">
      <c r="A623"/>
    </row>
    <row r="624" spans="1:1" x14ac:dyDescent="0.25">
      <c r="A624"/>
    </row>
    <row r="625" spans="1:1" x14ac:dyDescent="0.25">
      <c r="A625"/>
    </row>
    <row r="626" spans="1:1" x14ac:dyDescent="0.25">
      <c r="A626"/>
    </row>
    <row r="627" spans="1:1" x14ac:dyDescent="0.25">
      <c r="A627"/>
    </row>
    <row r="628" spans="1:1" x14ac:dyDescent="0.25">
      <c r="A628"/>
    </row>
    <row r="629" spans="1:1" x14ac:dyDescent="0.25">
      <c r="A629"/>
    </row>
    <row r="630" spans="1:1" x14ac:dyDescent="0.25">
      <c r="A630"/>
    </row>
    <row r="631" spans="1:1" x14ac:dyDescent="0.25">
      <c r="A631"/>
    </row>
    <row r="632" spans="1:1" x14ac:dyDescent="0.25">
      <c r="A632"/>
    </row>
    <row r="633" spans="1:1" x14ac:dyDescent="0.25">
      <c r="A633"/>
    </row>
    <row r="634" spans="1:1" x14ac:dyDescent="0.25">
      <c r="A634"/>
    </row>
    <row r="635" spans="1:1" x14ac:dyDescent="0.25">
      <c r="A635"/>
    </row>
    <row r="636" spans="1:1" x14ac:dyDescent="0.25">
      <c r="A636"/>
    </row>
    <row r="637" spans="1:1" x14ac:dyDescent="0.25">
      <c r="A637"/>
    </row>
    <row r="638" spans="1:1" x14ac:dyDescent="0.25">
      <c r="A638"/>
    </row>
    <row r="639" spans="1:1" x14ac:dyDescent="0.25">
      <c r="A639"/>
    </row>
    <row r="640" spans="1:1" x14ac:dyDescent="0.25">
      <c r="A640"/>
    </row>
    <row r="641" spans="1:1" x14ac:dyDescent="0.25">
      <c r="A641"/>
    </row>
    <row r="642" spans="1:1" x14ac:dyDescent="0.25">
      <c r="A642"/>
    </row>
    <row r="643" spans="1:1" x14ac:dyDescent="0.25">
      <c r="A643"/>
    </row>
    <row r="644" spans="1:1" x14ac:dyDescent="0.25">
      <c r="A644"/>
    </row>
    <row r="645" spans="1:1" x14ac:dyDescent="0.25">
      <c r="A645"/>
    </row>
    <row r="646" spans="1:1" x14ac:dyDescent="0.25">
      <c r="A646"/>
    </row>
    <row r="647" spans="1:1" x14ac:dyDescent="0.25">
      <c r="A647"/>
    </row>
    <row r="648" spans="1:1" x14ac:dyDescent="0.25">
      <c r="A648"/>
    </row>
    <row r="649" spans="1:1" x14ac:dyDescent="0.25">
      <c r="A649"/>
    </row>
    <row r="650" spans="1:1" x14ac:dyDescent="0.25">
      <c r="A650"/>
    </row>
    <row r="651" spans="1:1" x14ac:dyDescent="0.25">
      <c r="A651"/>
    </row>
    <row r="652" spans="1:1" x14ac:dyDescent="0.25">
      <c r="A652"/>
    </row>
    <row r="653" spans="1:1" x14ac:dyDescent="0.25">
      <c r="A653"/>
    </row>
    <row r="654" spans="1:1" x14ac:dyDescent="0.25">
      <c r="A654"/>
    </row>
    <row r="655" spans="1:1" x14ac:dyDescent="0.25">
      <c r="A655"/>
    </row>
    <row r="656" spans="1:1" x14ac:dyDescent="0.25">
      <c r="A656"/>
    </row>
    <row r="657" spans="1:1" x14ac:dyDescent="0.25">
      <c r="A657"/>
    </row>
    <row r="658" spans="1:1" x14ac:dyDescent="0.25">
      <c r="A658"/>
    </row>
    <row r="659" spans="1:1" x14ac:dyDescent="0.25">
      <c r="A659"/>
    </row>
    <row r="660" spans="1:1" x14ac:dyDescent="0.25">
      <c r="A660"/>
    </row>
    <row r="661" spans="1:1" x14ac:dyDescent="0.25">
      <c r="A661"/>
    </row>
    <row r="662" spans="1:1" x14ac:dyDescent="0.25">
      <c r="A662"/>
    </row>
    <row r="663" spans="1:1" x14ac:dyDescent="0.25">
      <c r="A663"/>
    </row>
    <row r="664" spans="1:1" x14ac:dyDescent="0.25">
      <c r="A664"/>
    </row>
    <row r="665" spans="1:1" x14ac:dyDescent="0.25">
      <c r="A665"/>
    </row>
    <row r="666" spans="1:1" x14ac:dyDescent="0.25">
      <c r="A666"/>
    </row>
    <row r="667" spans="1:1" x14ac:dyDescent="0.25">
      <c r="A667"/>
    </row>
    <row r="668" spans="1:1" x14ac:dyDescent="0.25">
      <c r="A668"/>
    </row>
    <row r="669" spans="1:1" x14ac:dyDescent="0.25">
      <c r="A669"/>
    </row>
    <row r="670" spans="1:1" x14ac:dyDescent="0.25">
      <c r="A670"/>
    </row>
    <row r="671" spans="1:1" x14ac:dyDescent="0.25">
      <c r="A671"/>
    </row>
    <row r="672" spans="1:1" x14ac:dyDescent="0.25">
      <c r="A672"/>
    </row>
    <row r="673" spans="1:1" x14ac:dyDescent="0.25">
      <c r="A673"/>
    </row>
    <row r="674" spans="1:1" x14ac:dyDescent="0.25">
      <c r="A674"/>
    </row>
    <row r="675" spans="1:1" x14ac:dyDescent="0.25">
      <c r="A675"/>
    </row>
    <row r="676" spans="1:1" x14ac:dyDescent="0.25">
      <c r="A676"/>
    </row>
    <row r="677" spans="1:1" x14ac:dyDescent="0.25">
      <c r="A677"/>
    </row>
    <row r="678" spans="1:1" x14ac:dyDescent="0.25">
      <c r="A678"/>
    </row>
    <row r="679" spans="1:1" x14ac:dyDescent="0.25">
      <c r="A679"/>
    </row>
    <row r="680" spans="1:1" x14ac:dyDescent="0.25">
      <c r="A680"/>
    </row>
    <row r="681" spans="1:1" x14ac:dyDescent="0.25">
      <c r="A681"/>
    </row>
    <row r="682" spans="1:1" x14ac:dyDescent="0.25">
      <c r="A682"/>
    </row>
    <row r="683" spans="1:1" x14ac:dyDescent="0.25">
      <c r="A683"/>
    </row>
    <row r="684" spans="1:1" x14ac:dyDescent="0.25">
      <c r="A684"/>
    </row>
    <row r="685" spans="1:1" x14ac:dyDescent="0.25">
      <c r="A685"/>
    </row>
    <row r="686" spans="1:1" x14ac:dyDescent="0.25">
      <c r="A686"/>
    </row>
    <row r="687" spans="1:1" x14ac:dyDescent="0.25">
      <c r="A687"/>
    </row>
    <row r="688" spans="1:1" x14ac:dyDescent="0.25">
      <c r="A688"/>
    </row>
    <row r="689" spans="1:1" x14ac:dyDescent="0.25">
      <c r="A689"/>
    </row>
    <row r="690" spans="1:1" x14ac:dyDescent="0.25">
      <c r="A690"/>
    </row>
    <row r="691" spans="1:1" x14ac:dyDescent="0.25">
      <c r="A691"/>
    </row>
    <row r="692" spans="1:1" x14ac:dyDescent="0.25">
      <c r="A692"/>
    </row>
    <row r="693" spans="1:1" x14ac:dyDescent="0.25">
      <c r="A693"/>
    </row>
    <row r="694" spans="1:1" x14ac:dyDescent="0.25">
      <c r="A694"/>
    </row>
    <row r="695" spans="1:1" x14ac:dyDescent="0.25">
      <c r="A695"/>
    </row>
    <row r="696" spans="1:1" x14ac:dyDescent="0.25">
      <c r="A696"/>
    </row>
    <row r="697" spans="1:1" x14ac:dyDescent="0.25">
      <c r="A697"/>
    </row>
    <row r="698" spans="1:1" x14ac:dyDescent="0.25">
      <c r="A698"/>
    </row>
    <row r="699" spans="1:1" x14ac:dyDescent="0.25">
      <c r="A699"/>
    </row>
    <row r="700" spans="1:1" x14ac:dyDescent="0.25">
      <c r="A700"/>
    </row>
    <row r="701" spans="1:1" x14ac:dyDescent="0.25">
      <c r="A701"/>
    </row>
    <row r="702" spans="1:1" x14ac:dyDescent="0.25">
      <c r="A702"/>
    </row>
    <row r="703" spans="1:1" x14ac:dyDescent="0.25">
      <c r="A703"/>
    </row>
    <row r="704" spans="1:1" x14ac:dyDescent="0.25">
      <c r="A704"/>
    </row>
    <row r="705" spans="1:1" x14ac:dyDescent="0.25">
      <c r="A705"/>
    </row>
    <row r="706" spans="1:1" x14ac:dyDescent="0.25">
      <c r="A706"/>
    </row>
    <row r="707" spans="1:1" x14ac:dyDescent="0.25">
      <c r="A707"/>
    </row>
    <row r="708" spans="1:1" x14ac:dyDescent="0.25">
      <c r="A708"/>
    </row>
    <row r="709" spans="1:1" x14ac:dyDescent="0.25">
      <c r="A709"/>
    </row>
    <row r="710" spans="1:1" x14ac:dyDescent="0.25">
      <c r="A710"/>
    </row>
    <row r="711" spans="1:1" x14ac:dyDescent="0.25">
      <c r="A711"/>
    </row>
    <row r="712" spans="1:1" x14ac:dyDescent="0.25">
      <c r="A712"/>
    </row>
    <row r="713" spans="1:1" x14ac:dyDescent="0.25">
      <c r="A713"/>
    </row>
    <row r="714" spans="1:1" x14ac:dyDescent="0.25">
      <c r="A714"/>
    </row>
    <row r="715" spans="1:1" x14ac:dyDescent="0.25">
      <c r="A715"/>
    </row>
    <row r="716" spans="1:1" x14ac:dyDescent="0.25">
      <c r="A716"/>
    </row>
    <row r="717" spans="1:1" x14ac:dyDescent="0.25">
      <c r="A717"/>
    </row>
    <row r="718" spans="1:1" x14ac:dyDescent="0.25">
      <c r="A718"/>
    </row>
    <row r="719" spans="1:1" x14ac:dyDescent="0.25">
      <c r="A719"/>
    </row>
    <row r="720" spans="1:1" x14ac:dyDescent="0.25">
      <c r="A720"/>
    </row>
    <row r="721" spans="1:1" x14ac:dyDescent="0.25">
      <c r="A721"/>
    </row>
    <row r="722" spans="1:1" x14ac:dyDescent="0.25">
      <c r="A722"/>
    </row>
    <row r="723" spans="1:1" x14ac:dyDescent="0.25">
      <c r="A723"/>
    </row>
    <row r="724" spans="1:1" x14ac:dyDescent="0.25">
      <c r="A724"/>
    </row>
    <row r="725" spans="1:1" x14ac:dyDescent="0.25">
      <c r="A725"/>
    </row>
    <row r="726" spans="1:1" x14ac:dyDescent="0.25">
      <c r="A726"/>
    </row>
    <row r="727" spans="1:1" x14ac:dyDescent="0.25">
      <c r="A727"/>
    </row>
    <row r="728" spans="1:1" x14ac:dyDescent="0.25">
      <c r="A728"/>
    </row>
    <row r="729" spans="1:1" x14ac:dyDescent="0.25">
      <c r="A729"/>
    </row>
    <row r="730" spans="1:1" x14ac:dyDescent="0.25">
      <c r="A730"/>
    </row>
    <row r="731" spans="1:1" x14ac:dyDescent="0.25">
      <c r="A731"/>
    </row>
    <row r="732" spans="1:1" x14ac:dyDescent="0.25">
      <c r="A732"/>
    </row>
    <row r="733" spans="1:1" x14ac:dyDescent="0.25">
      <c r="A733"/>
    </row>
    <row r="734" spans="1:1" x14ac:dyDescent="0.25">
      <c r="A734"/>
    </row>
    <row r="735" spans="1:1" x14ac:dyDescent="0.25">
      <c r="A735"/>
    </row>
    <row r="736" spans="1:1" x14ac:dyDescent="0.25">
      <c r="A736"/>
    </row>
    <row r="737" spans="1:1" x14ac:dyDescent="0.25">
      <c r="A737"/>
    </row>
    <row r="738" spans="1:1" x14ac:dyDescent="0.25">
      <c r="A738"/>
    </row>
    <row r="739" spans="1:1" x14ac:dyDescent="0.25">
      <c r="A739"/>
    </row>
    <row r="740" spans="1:1" x14ac:dyDescent="0.25">
      <c r="A740"/>
    </row>
    <row r="741" spans="1:1" x14ac:dyDescent="0.25">
      <c r="A741"/>
    </row>
    <row r="742" spans="1:1" x14ac:dyDescent="0.25">
      <c r="A742"/>
    </row>
    <row r="743" spans="1:1" x14ac:dyDescent="0.25">
      <c r="A743"/>
    </row>
    <row r="744" spans="1:1" x14ac:dyDescent="0.25">
      <c r="A744"/>
    </row>
    <row r="745" spans="1:1" x14ac:dyDescent="0.25">
      <c r="A745"/>
    </row>
    <row r="746" spans="1:1" x14ac:dyDescent="0.25">
      <c r="A746"/>
    </row>
    <row r="747" spans="1:1" x14ac:dyDescent="0.25">
      <c r="A747"/>
    </row>
    <row r="748" spans="1:1" x14ac:dyDescent="0.25">
      <c r="A748"/>
    </row>
    <row r="749" spans="1:1" x14ac:dyDescent="0.25">
      <c r="A749"/>
    </row>
    <row r="750" spans="1:1" x14ac:dyDescent="0.25">
      <c r="A750"/>
    </row>
    <row r="751" spans="1:1" x14ac:dyDescent="0.25">
      <c r="A751"/>
    </row>
    <row r="752" spans="1:1" x14ac:dyDescent="0.25">
      <c r="A752"/>
    </row>
    <row r="753" spans="1:1" x14ac:dyDescent="0.25">
      <c r="A753"/>
    </row>
    <row r="754" spans="1:1" x14ac:dyDescent="0.25">
      <c r="A754"/>
    </row>
    <row r="755" spans="1:1" x14ac:dyDescent="0.25">
      <c r="A755"/>
    </row>
    <row r="756" spans="1:1" x14ac:dyDescent="0.25">
      <c r="A756"/>
    </row>
    <row r="757" spans="1:1" x14ac:dyDescent="0.25">
      <c r="A757"/>
    </row>
    <row r="758" spans="1:1" x14ac:dyDescent="0.25">
      <c r="A758"/>
    </row>
    <row r="759" spans="1:1" x14ac:dyDescent="0.25">
      <c r="A759"/>
    </row>
    <row r="760" spans="1:1" x14ac:dyDescent="0.25">
      <c r="A760"/>
    </row>
    <row r="761" spans="1:1" x14ac:dyDescent="0.25">
      <c r="A761"/>
    </row>
    <row r="762" spans="1:1" x14ac:dyDescent="0.25">
      <c r="A762"/>
    </row>
    <row r="763" spans="1:1" x14ac:dyDescent="0.25">
      <c r="A763"/>
    </row>
    <row r="764" spans="1:1" x14ac:dyDescent="0.25">
      <c r="A764"/>
    </row>
    <row r="765" spans="1:1" x14ac:dyDescent="0.25">
      <c r="A765"/>
    </row>
    <row r="766" spans="1:1" x14ac:dyDescent="0.25">
      <c r="A766"/>
    </row>
    <row r="767" spans="1:1" x14ac:dyDescent="0.25">
      <c r="A767"/>
    </row>
    <row r="768" spans="1:1" x14ac:dyDescent="0.25">
      <c r="A768"/>
    </row>
    <row r="769" spans="1:1" x14ac:dyDescent="0.25">
      <c r="A769"/>
    </row>
    <row r="770" spans="1:1" x14ac:dyDescent="0.25">
      <c r="A770"/>
    </row>
    <row r="771" spans="1:1" x14ac:dyDescent="0.25">
      <c r="A771"/>
    </row>
    <row r="772" spans="1:1" x14ac:dyDescent="0.25">
      <c r="A772"/>
    </row>
    <row r="773" spans="1:1" x14ac:dyDescent="0.25">
      <c r="A773"/>
    </row>
    <row r="774" spans="1:1" x14ac:dyDescent="0.25">
      <c r="A774"/>
    </row>
    <row r="775" spans="1:1" x14ac:dyDescent="0.25">
      <c r="A775"/>
    </row>
    <row r="776" spans="1:1" x14ac:dyDescent="0.25">
      <c r="A776"/>
    </row>
    <row r="777" spans="1:1" x14ac:dyDescent="0.25">
      <c r="A777"/>
    </row>
    <row r="778" spans="1:1" x14ac:dyDescent="0.25">
      <c r="A778"/>
    </row>
    <row r="779" spans="1:1" x14ac:dyDescent="0.25">
      <c r="A779"/>
    </row>
    <row r="780" spans="1:1" x14ac:dyDescent="0.25">
      <c r="A780"/>
    </row>
    <row r="781" spans="1:1" x14ac:dyDescent="0.25">
      <c r="A781"/>
    </row>
    <row r="782" spans="1:1" x14ac:dyDescent="0.25">
      <c r="A782"/>
    </row>
    <row r="783" spans="1:1" x14ac:dyDescent="0.25">
      <c r="A783"/>
    </row>
    <row r="784" spans="1:1" x14ac:dyDescent="0.25">
      <c r="A784"/>
    </row>
    <row r="785" spans="1:1" x14ac:dyDescent="0.25">
      <c r="A785"/>
    </row>
    <row r="786" spans="1:1" x14ac:dyDescent="0.25">
      <c r="A786"/>
    </row>
    <row r="787" spans="1:1" x14ac:dyDescent="0.25">
      <c r="A787"/>
    </row>
    <row r="788" spans="1:1" x14ac:dyDescent="0.25">
      <c r="A788"/>
    </row>
    <row r="789" spans="1:1" x14ac:dyDescent="0.25">
      <c r="A789"/>
    </row>
    <row r="790" spans="1:1" x14ac:dyDescent="0.25">
      <c r="A790"/>
    </row>
    <row r="791" spans="1:1" x14ac:dyDescent="0.25">
      <c r="A791"/>
    </row>
    <row r="792" spans="1:1" x14ac:dyDescent="0.25">
      <c r="A792"/>
    </row>
    <row r="793" spans="1:1" x14ac:dyDescent="0.25">
      <c r="A793"/>
    </row>
    <row r="794" spans="1:1" x14ac:dyDescent="0.25">
      <c r="A794"/>
    </row>
    <row r="795" spans="1:1" x14ac:dyDescent="0.25">
      <c r="A795"/>
    </row>
    <row r="796" spans="1:1" x14ac:dyDescent="0.25">
      <c r="A796"/>
    </row>
    <row r="797" spans="1:1" x14ac:dyDescent="0.25">
      <c r="A797"/>
    </row>
    <row r="798" spans="1:1" x14ac:dyDescent="0.25">
      <c r="A798"/>
    </row>
    <row r="799" spans="1:1" x14ac:dyDescent="0.25">
      <c r="A799"/>
    </row>
    <row r="800" spans="1:1" x14ac:dyDescent="0.25">
      <c r="A800"/>
    </row>
    <row r="801" spans="1:1" x14ac:dyDescent="0.25">
      <c r="A801"/>
    </row>
    <row r="802" spans="1:1" x14ac:dyDescent="0.25">
      <c r="A802"/>
    </row>
    <row r="803" spans="1:1" x14ac:dyDescent="0.25">
      <c r="A803"/>
    </row>
    <row r="804" spans="1:1" x14ac:dyDescent="0.25">
      <c r="A804"/>
    </row>
    <row r="805" spans="1:1" x14ac:dyDescent="0.25">
      <c r="A805"/>
    </row>
    <row r="806" spans="1:1" x14ac:dyDescent="0.25">
      <c r="A806"/>
    </row>
    <row r="807" spans="1:1" x14ac:dyDescent="0.25">
      <c r="A807"/>
    </row>
    <row r="808" spans="1:1" x14ac:dyDescent="0.25">
      <c r="A808"/>
    </row>
    <row r="809" spans="1:1" x14ac:dyDescent="0.25">
      <c r="A809"/>
    </row>
    <row r="810" spans="1:1" x14ac:dyDescent="0.25">
      <c r="A810"/>
    </row>
    <row r="811" spans="1:1" x14ac:dyDescent="0.25">
      <c r="A811"/>
    </row>
    <row r="812" spans="1:1" x14ac:dyDescent="0.25">
      <c r="A812"/>
    </row>
    <row r="813" spans="1:1" x14ac:dyDescent="0.25">
      <c r="A813"/>
    </row>
    <row r="814" spans="1:1" x14ac:dyDescent="0.25">
      <c r="A814"/>
    </row>
    <row r="815" spans="1:1" x14ac:dyDescent="0.25">
      <c r="A815"/>
    </row>
    <row r="816" spans="1:1" x14ac:dyDescent="0.25">
      <c r="A816"/>
    </row>
    <row r="817" spans="1:1" x14ac:dyDescent="0.25">
      <c r="A817"/>
    </row>
    <row r="818" spans="1:1" x14ac:dyDescent="0.25">
      <c r="A818"/>
    </row>
    <row r="819" spans="1:1" x14ac:dyDescent="0.25">
      <c r="A819"/>
    </row>
    <row r="820" spans="1:1" x14ac:dyDescent="0.25">
      <c r="A820"/>
    </row>
    <row r="821" spans="1:1" x14ac:dyDescent="0.25">
      <c r="A821"/>
    </row>
    <row r="822" spans="1:1" x14ac:dyDescent="0.25">
      <c r="A822"/>
    </row>
    <row r="823" spans="1:1" x14ac:dyDescent="0.25">
      <c r="A823"/>
    </row>
    <row r="824" spans="1:1" x14ac:dyDescent="0.25">
      <c r="A824"/>
    </row>
    <row r="825" spans="1:1" x14ac:dyDescent="0.25">
      <c r="A825"/>
    </row>
    <row r="826" spans="1:1" x14ac:dyDescent="0.25">
      <c r="A826"/>
    </row>
    <row r="827" spans="1:1" x14ac:dyDescent="0.25">
      <c r="A827"/>
    </row>
    <row r="828" spans="1:1" x14ac:dyDescent="0.25">
      <c r="A828"/>
    </row>
    <row r="829" spans="1:1" x14ac:dyDescent="0.25">
      <c r="A829"/>
    </row>
    <row r="830" spans="1:1" x14ac:dyDescent="0.25">
      <c r="A830"/>
    </row>
    <row r="831" spans="1:1" x14ac:dyDescent="0.25">
      <c r="A831"/>
    </row>
    <row r="832" spans="1:1" x14ac:dyDescent="0.25">
      <c r="A832"/>
    </row>
    <row r="833" spans="1:1" x14ac:dyDescent="0.25">
      <c r="A833"/>
    </row>
    <row r="834" spans="1:1" x14ac:dyDescent="0.25">
      <c r="A834"/>
    </row>
    <row r="835" spans="1:1" x14ac:dyDescent="0.25">
      <c r="A835"/>
    </row>
    <row r="836" spans="1:1" x14ac:dyDescent="0.25">
      <c r="A836"/>
    </row>
    <row r="837" spans="1:1" x14ac:dyDescent="0.25">
      <c r="A837"/>
    </row>
    <row r="838" spans="1:1" x14ac:dyDescent="0.25">
      <c r="A838"/>
    </row>
    <row r="839" spans="1:1" x14ac:dyDescent="0.25">
      <c r="A839"/>
    </row>
    <row r="840" spans="1:1" x14ac:dyDescent="0.25">
      <c r="A840"/>
    </row>
    <row r="841" spans="1:1" x14ac:dyDescent="0.25">
      <c r="A841"/>
    </row>
    <row r="842" spans="1:1" x14ac:dyDescent="0.25">
      <c r="A842"/>
    </row>
    <row r="843" spans="1:1" x14ac:dyDescent="0.25">
      <c r="A843"/>
    </row>
    <row r="844" spans="1:1" x14ac:dyDescent="0.25">
      <c r="A844"/>
    </row>
    <row r="845" spans="1:1" x14ac:dyDescent="0.25">
      <c r="A845"/>
    </row>
    <row r="846" spans="1:1" x14ac:dyDescent="0.25">
      <c r="A846"/>
    </row>
    <row r="847" spans="1:1" x14ac:dyDescent="0.25">
      <c r="A847"/>
    </row>
    <row r="848" spans="1:1" x14ac:dyDescent="0.25">
      <c r="A848"/>
    </row>
    <row r="849" spans="1:1" x14ac:dyDescent="0.25">
      <c r="A849"/>
    </row>
    <row r="850" spans="1:1" x14ac:dyDescent="0.25">
      <c r="A850"/>
    </row>
    <row r="851" spans="1:1" x14ac:dyDescent="0.25">
      <c r="A851"/>
    </row>
    <row r="852" spans="1:1" x14ac:dyDescent="0.25">
      <c r="A852"/>
    </row>
    <row r="853" spans="1:1" x14ac:dyDescent="0.25">
      <c r="A853"/>
    </row>
    <row r="854" spans="1:1" x14ac:dyDescent="0.25">
      <c r="A854"/>
    </row>
    <row r="855" spans="1:1" x14ac:dyDescent="0.25">
      <c r="A855"/>
    </row>
    <row r="856" spans="1:1" x14ac:dyDescent="0.25">
      <c r="A856"/>
    </row>
    <row r="857" spans="1:1" x14ac:dyDescent="0.25">
      <c r="A857"/>
    </row>
    <row r="858" spans="1:1" x14ac:dyDescent="0.25">
      <c r="A858"/>
    </row>
    <row r="859" spans="1:1" x14ac:dyDescent="0.25">
      <c r="A859"/>
    </row>
    <row r="860" spans="1:1" x14ac:dyDescent="0.25">
      <c r="A860"/>
    </row>
    <row r="861" spans="1:1" x14ac:dyDescent="0.25">
      <c r="A861"/>
    </row>
    <row r="862" spans="1:1" x14ac:dyDescent="0.25">
      <c r="A862"/>
    </row>
    <row r="863" spans="1:1" x14ac:dyDescent="0.25">
      <c r="A863"/>
    </row>
    <row r="864" spans="1:1" x14ac:dyDescent="0.25">
      <c r="A864"/>
    </row>
    <row r="865" spans="1:1" x14ac:dyDescent="0.25">
      <c r="A865"/>
    </row>
    <row r="866" spans="1:1" x14ac:dyDescent="0.25">
      <c r="A866"/>
    </row>
    <row r="867" spans="1:1" x14ac:dyDescent="0.25">
      <c r="A867"/>
    </row>
    <row r="868" spans="1:1" x14ac:dyDescent="0.25">
      <c r="A868"/>
    </row>
    <row r="869" spans="1:1" x14ac:dyDescent="0.25">
      <c r="A869"/>
    </row>
    <row r="870" spans="1:1" x14ac:dyDescent="0.25">
      <c r="A870"/>
    </row>
    <row r="871" spans="1:1" x14ac:dyDescent="0.25">
      <c r="A871"/>
    </row>
    <row r="872" spans="1:1" x14ac:dyDescent="0.25">
      <c r="A872"/>
    </row>
    <row r="873" spans="1:1" x14ac:dyDescent="0.25">
      <c r="A873"/>
    </row>
    <row r="874" spans="1:1" x14ac:dyDescent="0.25">
      <c r="A874"/>
    </row>
    <row r="875" spans="1:1" x14ac:dyDescent="0.25">
      <c r="A875"/>
    </row>
    <row r="876" spans="1:1" x14ac:dyDescent="0.25">
      <c r="A876"/>
    </row>
    <row r="877" spans="1:1" x14ac:dyDescent="0.25">
      <c r="A877"/>
    </row>
    <row r="878" spans="1:1" x14ac:dyDescent="0.25">
      <c r="A878"/>
    </row>
    <row r="879" spans="1:1" x14ac:dyDescent="0.25">
      <c r="A879"/>
    </row>
    <row r="880" spans="1:1" x14ac:dyDescent="0.25">
      <c r="A880"/>
    </row>
    <row r="881" spans="1:1" x14ac:dyDescent="0.25">
      <c r="A881"/>
    </row>
    <row r="882" spans="1:1" x14ac:dyDescent="0.25">
      <c r="A882"/>
    </row>
    <row r="883" spans="1:1" x14ac:dyDescent="0.25">
      <c r="A883"/>
    </row>
    <row r="884" spans="1:1" x14ac:dyDescent="0.25">
      <c r="A884"/>
    </row>
    <row r="885" spans="1:1" x14ac:dyDescent="0.25">
      <c r="A885"/>
    </row>
    <row r="886" spans="1:1" x14ac:dyDescent="0.25">
      <c r="A886"/>
    </row>
    <row r="887" spans="1:1" x14ac:dyDescent="0.25">
      <c r="A887"/>
    </row>
    <row r="888" spans="1:1" x14ac:dyDescent="0.25">
      <c r="A888"/>
    </row>
    <row r="889" spans="1:1" x14ac:dyDescent="0.25">
      <c r="A889"/>
    </row>
    <row r="890" spans="1:1" x14ac:dyDescent="0.25">
      <c r="A890"/>
    </row>
    <row r="891" spans="1:1" x14ac:dyDescent="0.25">
      <c r="A891"/>
    </row>
    <row r="892" spans="1:1" x14ac:dyDescent="0.25">
      <c r="A892"/>
    </row>
    <row r="893" spans="1:1" x14ac:dyDescent="0.25">
      <c r="A893"/>
    </row>
    <row r="894" spans="1:1" x14ac:dyDescent="0.25">
      <c r="A894"/>
    </row>
    <row r="895" spans="1:1" x14ac:dyDescent="0.25">
      <c r="A895"/>
    </row>
    <row r="896" spans="1:1" x14ac:dyDescent="0.25">
      <c r="A896"/>
    </row>
    <row r="897" spans="1:1" x14ac:dyDescent="0.25">
      <c r="A897"/>
    </row>
    <row r="898" spans="1:1" x14ac:dyDescent="0.25">
      <c r="A898"/>
    </row>
    <row r="899" spans="1:1" x14ac:dyDescent="0.25">
      <c r="A899"/>
    </row>
    <row r="900" spans="1:1" x14ac:dyDescent="0.25">
      <c r="A900"/>
    </row>
    <row r="901" spans="1:1" x14ac:dyDescent="0.25">
      <c r="A901"/>
    </row>
    <row r="902" spans="1:1" x14ac:dyDescent="0.25">
      <c r="A902"/>
    </row>
    <row r="903" spans="1:1" x14ac:dyDescent="0.25">
      <c r="A903"/>
    </row>
    <row r="904" spans="1:1" x14ac:dyDescent="0.25">
      <c r="A904"/>
    </row>
    <row r="905" spans="1:1" x14ac:dyDescent="0.25">
      <c r="A905"/>
    </row>
    <row r="906" spans="1:1" x14ac:dyDescent="0.25">
      <c r="A906"/>
    </row>
    <row r="907" spans="1:1" x14ac:dyDescent="0.25">
      <c r="A907"/>
    </row>
    <row r="908" spans="1:1" x14ac:dyDescent="0.25">
      <c r="A908"/>
    </row>
    <row r="909" spans="1:1" x14ac:dyDescent="0.25">
      <c r="A909"/>
    </row>
    <row r="910" spans="1:1" x14ac:dyDescent="0.25">
      <c r="A910"/>
    </row>
    <row r="911" spans="1:1" x14ac:dyDescent="0.25">
      <c r="A911"/>
    </row>
    <row r="912" spans="1:1" x14ac:dyDescent="0.25">
      <c r="A912"/>
    </row>
    <row r="913" spans="1:1" x14ac:dyDescent="0.25">
      <c r="A913"/>
    </row>
    <row r="914" spans="1:1" x14ac:dyDescent="0.25">
      <c r="A914"/>
    </row>
    <row r="915" spans="1:1" x14ac:dyDescent="0.25">
      <c r="A915"/>
    </row>
    <row r="916" spans="1:1" x14ac:dyDescent="0.25">
      <c r="A916"/>
    </row>
    <row r="917" spans="1:1" x14ac:dyDescent="0.25">
      <c r="A917"/>
    </row>
    <row r="918" spans="1:1" x14ac:dyDescent="0.25">
      <c r="A918"/>
    </row>
    <row r="919" spans="1:1" x14ac:dyDescent="0.25">
      <c r="A919"/>
    </row>
    <row r="920" spans="1:1" x14ac:dyDescent="0.25">
      <c r="A920"/>
    </row>
    <row r="921" spans="1:1" x14ac:dyDescent="0.25">
      <c r="A921"/>
    </row>
    <row r="922" spans="1:1" x14ac:dyDescent="0.25">
      <c r="A922"/>
    </row>
    <row r="923" spans="1:1" x14ac:dyDescent="0.25">
      <c r="A923"/>
    </row>
    <row r="924" spans="1:1" x14ac:dyDescent="0.25">
      <c r="A924"/>
    </row>
    <row r="925" spans="1:1" x14ac:dyDescent="0.25">
      <c r="A925"/>
    </row>
    <row r="926" spans="1:1" x14ac:dyDescent="0.25">
      <c r="A926"/>
    </row>
    <row r="927" spans="1:1" x14ac:dyDescent="0.25">
      <c r="A927"/>
    </row>
    <row r="928" spans="1:1" x14ac:dyDescent="0.25">
      <c r="A928"/>
    </row>
    <row r="929" spans="1:1" x14ac:dyDescent="0.25">
      <c r="A929"/>
    </row>
    <row r="930" spans="1:1" x14ac:dyDescent="0.25">
      <c r="A930"/>
    </row>
    <row r="931" spans="1:1" x14ac:dyDescent="0.25">
      <c r="A931"/>
    </row>
    <row r="932" spans="1:1" x14ac:dyDescent="0.25">
      <c r="A932"/>
    </row>
    <row r="933" spans="1:1" x14ac:dyDescent="0.25">
      <c r="A933"/>
    </row>
    <row r="934" spans="1:1" x14ac:dyDescent="0.25">
      <c r="A934"/>
    </row>
    <row r="935" spans="1:1" x14ac:dyDescent="0.25">
      <c r="A935"/>
    </row>
    <row r="936" spans="1:1" x14ac:dyDescent="0.25">
      <c r="A936"/>
    </row>
    <row r="937" spans="1:1" x14ac:dyDescent="0.25">
      <c r="A937"/>
    </row>
    <row r="938" spans="1:1" x14ac:dyDescent="0.25">
      <c r="A938"/>
    </row>
    <row r="939" spans="1:1" x14ac:dyDescent="0.25">
      <c r="A939"/>
    </row>
    <row r="940" spans="1:1" x14ac:dyDescent="0.25">
      <c r="A940"/>
    </row>
    <row r="941" spans="1:1" x14ac:dyDescent="0.25">
      <c r="A941"/>
    </row>
    <row r="942" spans="1:1" x14ac:dyDescent="0.25">
      <c r="A942"/>
    </row>
    <row r="943" spans="1:1" x14ac:dyDescent="0.25">
      <c r="A943"/>
    </row>
    <row r="944" spans="1:1" x14ac:dyDescent="0.25">
      <c r="A944"/>
    </row>
    <row r="945" spans="1:1" x14ac:dyDescent="0.25">
      <c r="A945"/>
    </row>
    <row r="946" spans="1:1" x14ac:dyDescent="0.25">
      <c r="A946"/>
    </row>
    <row r="947" spans="1:1" x14ac:dyDescent="0.25">
      <c r="A947"/>
    </row>
    <row r="948" spans="1:1" x14ac:dyDescent="0.25">
      <c r="A948"/>
    </row>
    <row r="949" spans="1:1" x14ac:dyDescent="0.25">
      <c r="A949"/>
    </row>
    <row r="950" spans="1:1" x14ac:dyDescent="0.25">
      <c r="A950"/>
    </row>
    <row r="951" spans="1:1" x14ac:dyDescent="0.25">
      <c r="A951"/>
    </row>
    <row r="952" spans="1:1" x14ac:dyDescent="0.25">
      <c r="A952"/>
    </row>
    <row r="953" spans="1:1" x14ac:dyDescent="0.25">
      <c r="A953"/>
    </row>
    <row r="954" spans="1:1" x14ac:dyDescent="0.25">
      <c r="A954"/>
    </row>
    <row r="955" spans="1:1" x14ac:dyDescent="0.25">
      <c r="A955"/>
    </row>
    <row r="956" spans="1:1" x14ac:dyDescent="0.25">
      <c r="A956"/>
    </row>
    <row r="957" spans="1:1" x14ac:dyDescent="0.25">
      <c r="A957"/>
    </row>
    <row r="958" spans="1:1" x14ac:dyDescent="0.25">
      <c r="A958"/>
    </row>
    <row r="959" spans="1:1" x14ac:dyDescent="0.25">
      <c r="A959"/>
    </row>
    <row r="960" spans="1:1" x14ac:dyDescent="0.25">
      <c r="A960"/>
    </row>
    <row r="961" spans="1:1" x14ac:dyDescent="0.25">
      <c r="A961"/>
    </row>
    <row r="962" spans="1:1" x14ac:dyDescent="0.25">
      <c r="A962"/>
    </row>
    <row r="963" spans="1:1" x14ac:dyDescent="0.25">
      <c r="A963"/>
    </row>
    <row r="964" spans="1:1" x14ac:dyDescent="0.25">
      <c r="A964"/>
    </row>
    <row r="965" spans="1:1" x14ac:dyDescent="0.25">
      <c r="A965"/>
    </row>
    <row r="966" spans="1:1" x14ac:dyDescent="0.25">
      <c r="A966"/>
    </row>
    <row r="967" spans="1:1" x14ac:dyDescent="0.25">
      <c r="A967"/>
    </row>
    <row r="968" spans="1:1" x14ac:dyDescent="0.25">
      <c r="A968"/>
    </row>
    <row r="969" spans="1:1" x14ac:dyDescent="0.25">
      <c r="A969"/>
    </row>
    <row r="970" spans="1:1" x14ac:dyDescent="0.25">
      <c r="A970"/>
    </row>
    <row r="971" spans="1:1" x14ac:dyDescent="0.25">
      <c r="A971"/>
    </row>
    <row r="972" spans="1:1" x14ac:dyDescent="0.25">
      <c r="A972"/>
    </row>
    <row r="973" spans="1:1" x14ac:dyDescent="0.25">
      <c r="A973"/>
    </row>
    <row r="974" spans="1:1" x14ac:dyDescent="0.25">
      <c r="A974"/>
    </row>
    <row r="975" spans="1:1" x14ac:dyDescent="0.25">
      <c r="A975"/>
    </row>
    <row r="976" spans="1:1" x14ac:dyDescent="0.25">
      <c r="A976"/>
    </row>
    <row r="977" spans="1:1" x14ac:dyDescent="0.25">
      <c r="A977"/>
    </row>
    <row r="978" spans="1:1" x14ac:dyDescent="0.25">
      <c r="A978"/>
    </row>
    <row r="979" spans="1:1" x14ac:dyDescent="0.25">
      <c r="A979"/>
    </row>
    <row r="980" spans="1:1" x14ac:dyDescent="0.25">
      <c r="A980"/>
    </row>
    <row r="981" spans="1:1" x14ac:dyDescent="0.25">
      <c r="A981"/>
    </row>
    <row r="982" spans="1:1" x14ac:dyDescent="0.25">
      <c r="A982"/>
    </row>
    <row r="983" spans="1:1" x14ac:dyDescent="0.25">
      <c r="A983"/>
    </row>
    <row r="984" spans="1:1" x14ac:dyDescent="0.25">
      <c r="A984"/>
    </row>
    <row r="985" spans="1:1" x14ac:dyDescent="0.25">
      <c r="A985"/>
    </row>
    <row r="986" spans="1:1" x14ac:dyDescent="0.25">
      <c r="A986"/>
    </row>
    <row r="987" spans="1:1" x14ac:dyDescent="0.25">
      <c r="A987"/>
    </row>
    <row r="988" spans="1:1" x14ac:dyDescent="0.25">
      <c r="A988"/>
    </row>
    <row r="989" spans="1:1" x14ac:dyDescent="0.25">
      <c r="A989"/>
    </row>
    <row r="990" spans="1:1" x14ac:dyDescent="0.25">
      <c r="A990"/>
    </row>
    <row r="991" spans="1:1" x14ac:dyDescent="0.25">
      <c r="A991"/>
    </row>
    <row r="992" spans="1:1" x14ac:dyDescent="0.25">
      <c r="A992"/>
    </row>
    <row r="993" spans="1:1" x14ac:dyDescent="0.25">
      <c r="A993"/>
    </row>
    <row r="994" spans="1:1" x14ac:dyDescent="0.25">
      <c r="A994"/>
    </row>
    <row r="995" spans="1:1" x14ac:dyDescent="0.25">
      <c r="A995"/>
    </row>
    <row r="996" spans="1:1" x14ac:dyDescent="0.25">
      <c r="A996"/>
    </row>
    <row r="997" spans="1:1" x14ac:dyDescent="0.25">
      <c r="A997"/>
    </row>
    <row r="998" spans="1:1" x14ac:dyDescent="0.25">
      <c r="A998"/>
    </row>
    <row r="999" spans="1:1" x14ac:dyDescent="0.25">
      <c r="A999"/>
    </row>
    <row r="1000" spans="1:1" x14ac:dyDescent="0.25">
      <c r="A1000"/>
    </row>
    <row r="1001" spans="1:1" x14ac:dyDescent="0.25">
      <c r="A1001"/>
    </row>
    <row r="1002" spans="1:1" x14ac:dyDescent="0.25">
      <c r="A1002"/>
    </row>
    <row r="1003" spans="1:1" x14ac:dyDescent="0.25">
      <c r="A1003"/>
    </row>
    <row r="1004" spans="1:1" x14ac:dyDescent="0.25">
      <c r="A1004"/>
    </row>
    <row r="1005" spans="1:1" x14ac:dyDescent="0.25">
      <c r="A1005"/>
    </row>
    <row r="1006" spans="1:1" x14ac:dyDescent="0.25">
      <c r="A1006"/>
    </row>
    <row r="1007" spans="1:1" x14ac:dyDescent="0.25">
      <c r="A1007"/>
    </row>
    <row r="1008" spans="1:1" x14ac:dyDescent="0.25">
      <c r="A1008"/>
    </row>
    <row r="1009" spans="1:1" x14ac:dyDescent="0.25">
      <c r="A1009"/>
    </row>
    <row r="1010" spans="1:1" x14ac:dyDescent="0.25">
      <c r="A1010"/>
    </row>
    <row r="1011" spans="1:1" x14ac:dyDescent="0.25">
      <c r="A1011"/>
    </row>
    <row r="1012" spans="1:1" x14ac:dyDescent="0.25">
      <c r="A1012"/>
    </row>
    <row r="1013" spans="1:1" x14ac:dyDescent="0.25">
      <c r="A1013"/>
    </row>
    <row r="1014" spans="1:1" x14ac:dyDescent="0.25">
      <c r="A1014"/>
    </row>
    <row r="1015" spans="1:1" x14ac:dyDescent="0.25">
      <c r="A1015"/>
    </row>
    <row r="1016" spans="1:1" x14ac:dyDescent="0.25">
      <c r="A1016"/>
    </row>
    <row r="1017" spans="1:1" x14ac:dyDescent="0.25">
      <c r="A1017"/>
    </row>
    <row r="1018" spans="1:1" x14ac:dyDescent="0.25">
      <c r="A1018"/>
    </row>
    <row r="1019" spans="1:1" x14ac:dyDescent="0.25">
      <c r="A1019"/>
    </row>
    <row r="1020" spans="1:1" x14ac:dyDescent="0.25">
      <c r="A1020"/>
    </row>
    <row r="1021" spans="1:1" x14ac:dyDescent="0.25">
      <c r="A1021"/>
    </row>
    <row r="1022" spans="1:1" x14ac:dyDescent="0.25">
      <c r="A1022"/>
    </row>
    <row r="1023" spans="1:1" x14ac:dyDescent="0.25">
      <c r="A1023"/>
    </row>
    <row r="1024" spans="1:1" x14ac:dyDescent="0.25">
      <c r="A1024"/>
    </row>
    <row r="1025" spans="1:1" x14ac:dyDescent="0.25">
      <c r="A1025"/>
    </row>
    <row r="1026" spans="1:1" x14ac:dyDescent="0.25">
      <c r="A1026"/>
    </row>
    <row r="1027" spans="1:1" x14ac:dyDescent="0.25">
      <c r="A1027"/>
    </row>
    <row r="1028" spans="1:1" x14ac:dyDescent="0.25">
      <c r="A1028"/>
    </row>
    <row r="1029" spans="1:1" x14ac:dyDescent="0.25">
      <c r="A1029"/>
    </row>
    <row r="1030" spans="1:1" x14ac:dyDescent="0.25">
      <c r="A1030"/>
    </row>
    <row r="1031" spans="1:1" x14ac:dyDescent="0.25">
      <c r="A1031"/>
    </row>
    <row r="1032" spans="1:1" x14ac:dyDescent="0.25">
      <c r="A1032"/>
    </row>
    <row r="1033" spans="1:1" x14ac:dyDescent="0.25">
      <c r="A1033"/>
    </row>
    <row r="1034" spans="1:1" x14ac:dyDescent="0.25">
      <c r="A1034"/>
    </row>
    <row r="1035" spans="1:1" x14ac:dyDescent="0.25">
      <c r="A1035"/>
    </row>
    <row r="1036" spans="1:1" x14ac:dyDescent="0.25">
      <c r="A1036"/>
    </row>
    <row r="1037" spans="1:1" x14ac:dyDescent="0.25">
      <c r="A1037"/>
    </row>
    <row r="1038" spans="1:1" x14ac:dyDescent="0.25">
      <c r="A1038"/>
    </row>
    <row r="1039" spans="1:1" x14ac:dyDescent="0.25">
      <c r="A1039"/>
    </row>
    <row r="1040" spans="1:1" x14ac:dyDescent="0.25">
      <c r="A1040"/>
    </row>
    <row r="1041" spans="1:1" x14ac:dyDescent="0.25">
      <c r="A1041"/>
    </row>
    <row r="1042" spans="1:1" x14ac:dyDescent="0.25">
      <c r="A1042"/>
    </row>
    <row r="1043" spans="1:1" x14ac:dyDescent="0.25">
      <c r="A1043"/>
    </row>
    <row r="1044" spans="1:1" x14ac:dyDescent="0.25">
      <c r="A1044"/>
    </row>
    <row r="1045" spans="1:1" x14ac:dyDescent="0.25">
      <c r="A1045"/>
    </row>
    <row r="1046" spans="1:1" x14ac:dyDescent="0.25">
      <c r="A1046"/>
    </row>
    <row r="1047" spans="1:1" x14ac:dyDescent="0.25">
      <c r="A1047"/>
    </row>
    <row r="1048" spans="1:1" x14ac:dyDescent="0.25">
      <c r="A1048"/>
    </row>
    <row r="1049" spans="1:1" x14ac:dyDescent="0.25">
      <c r="A1049"/>
    </row>
    <row r="1050" spans="1:1" x14ac:dyDescent="0.25">
      <c r="A1050"/>
    </row>
    <row r="1051" spans="1:1" x14ac:dyDescent="0.25">
      <c r="A1051"/>
    </row>
    <row r="1052" spans="1:1" x14ac:dyDescent="0.25">
      <c r="A1052"/>
    </row>
    <row r="1053" spans="1:1" x14ac:dyDescent="0.25">
      <c r="A1053"/>
    </row>
    <row r="1054" spans="1:1" x14ac:dyDescent="0.25">
      <c r="A1054"/>
    </row>
    <row r="1055" spans="1:1" x14ac:dyDescent="0.25">
      <c r="A1055"/>
    </row>
    <row r="1056" spans="1:1" x14ac:dyDescent="0.25">
      <c r="A1056"/>
    </row>
    <row r="1057" spans="1:1" x14ac:dyDescent="0.25">
      <c r="A1057"/>
    </row>
    <row r="1058" spans="1:1" x14ac:dyDescent="0.25">
      <c r="A1058"/>
    </row>
    <row r="1059" spans="1:1" x14ac:dyDescent="0.25">
      <c r="A1059"/>
    </row>
    <row r="1060" spans="1:1" x14ac:dyDescent="0.25">
      <c r="A1060"/>
    </row>
    <row r="1061" spans="1:1" x14ac:dyDescent="0.25">
      <c r="A1061"/>
    </row>
    <row r="1062" spans="1:1" x14ac:dyDescent="0.25">
      <c r="A1062"/>
    </row>
    <row r="1063" spans="1:1" x14ac:dyDescent="0.25">
      <c r="A1063"/>
    </row>
    <row r="1064" spans="1:1" x14ac:dyDescent="0.25">
      <c r="A1064"/>
    </row>
    <row r="1065" spans="1:1" x14ac:dyDescent="0.25">
      <c r="A1065"/>
    </row>
    <row r="1066" spans="1:1" x14ac:dyDescent="0.25">
      <c r="A1066"/>
    </row>
    <row r="1067" spans="1:1" x14ac:dyDescent="0.25">
      <c r="A1067"/>
    </row>
    <row r="1068" spans="1:1" x14ac:dyDescent="0.25">
      <c r="A1068"/>
    </row>
    <row r="1069" spans="1:1" x14ac:dyDescent="0.25">
      <c r="A1069"/>
    </row>
    <row r="1070" spans="1:1" x14ac:dyDescent="0.25">
      <c r="A1070"/>
    </row>
    <row r="1071" spans="1:1" x14ac:dyDescent="0.25">
      <c r="A1071"/>
    </row>
    <row r="1072" spans="1:1" x14ac:dyDescent="0.25">
      <c r="A1072"/>
    </row>
    <row r="1073" spans="1:1" x14ac:dyDescent="0.25">
      <c r="A1073"/>
    </row>
    <row r="1074" spans="1:1" x14ac:dyDescent="0.25">
      <c r="A1074"/>
    </row>
    <row r="1075" spans="1:1" x14ac:dyDescent="0.25">
      <c r="A1075"/>
    </row>
    <row r="1076" spans="1:1" x14ac:dyDescent="0.25">
      <c r="A1076"/>
    </row>
    <row r="1077" spans="1:1" x14ac:dyDescent="0.25">
      <c r="A1077"/>
    </row>
    <row r="1078" spans="1:1" x14ac:dyDescent="0.25">
      <c r="A1078"/>
    </row>
    <row r="1079" spans="1:1" x14ac:dyDescent="0.25">
      <c r="A1079"/>
    </row>
    <row r="1080" spans="1:1" x14ac:dyDescent="0.25">
      <c r="A1080"/>
    </row>
    <row r="1081" spans="1:1" x14ac:dyDescent="0.25">
      <c r="A1081"/>
    </row>
    <row r="1082" spans="1:1" x14ac:dyDescent="0.25">
      <c r="A1082"/>
    </row>
    <row r="1083" spans="1:1" x14ac:dyDescent="0.25">
      <c r="A1083"/>
    </row>
    <row r="1084" spans="1:1" x14ac:dyDescent="0.25">
      <c r="A1084"/>
    </row>
    <row r="1085" spans="1:1" x14ac:dyDescent="0.25">
      <c r="A1085"/>
    </row>
    <row r="1086" spans="1:1" x14ac:dyDescent="0.25">
      <c r="A1086"/>
    </row>
    <row r="1087" spans="1:1" x14ac:dyDescent="0.25">
      <c r="A1087"/>
    </row>
    <row r="1088" spans="1:1" x14ac:dyDescent="0.25">
      <c r="A1088"/>
    </row>
    <row r="1089" spans="1:1" x14ac:dyDescent="0.25">
      <c r="A1089"/>
    </row>
    <row r="1090" spans="1:1" x14ac:dyDescent="0.25">
      <c r="A1090"/>
    </row>
    <row r="1091" spans="1:1" x14ac:dyDescent="0.25">
      <c r="A1091"/>
    </row>
    <row r="1092" spans="1:1" x14ac:dyDescent="0.25">
      <c r="A1092"/>
    </row>
    <row r="1093" spans="1:1" x14ac:dyDescent="0.25">
      <c r="A1093"/>
    </row>
    <row r="1094" spans="1:1" x14ac:dyDescent="0.25">
      <c r="A1094"/>
    </row>
    <row r="1095" spans="1:1" x14ac:dyDescent="0.25">
      <c r="A1095"/>
    </row>
    <row r="1096" spans="1:1" x14ac:dyDescent="0.25">
      <c r="A1096"/>
    </row>
    <row r="1097" spans="1:1" x14ac:dyDescent="0.25">
      <c r="A1097"/>
    </row>
    <row r="1098" spans="1:1" x14ac:dyDescent="0.25">
      <c r="A1098"/>
    </row>
    <row r="1099" spans="1:1" x14ac:dyDescent="0.25">
      <c r="A1099"/>
    </row>
    <row r="1100" spans="1:1" x14ac:dyDescent="0.25">
      <c r="A1100"/>
    </row>
    <row r="1101" spans="1:1" x14ac:dyDescent="0.25">
      <c r="A1101"/>
    </row>
    <row r="1102" spans="1:1" x14ac:dyDescent="0.25">
      <c r="A1102"/>
    </row>
    <row r="1103" spans="1:1" x14ac:dyDescent="0.25">
      <c r="A1103"/>
    </row>
    <row r="1104" spans="1:1" x14ac:dyDescent="0.25">
      <c r="A1104"/>
    </row>
    <row r="1105" spans="1:1" x14ac:dyDescent="0.25">
      <c r="A1105"/>
    </row>
    <row r="1106" spans="1:1" x14ac:dyDescent="0.25">
      <c r="A1106"/>
    </row>
    <row r="1107" spans="1:1" x14ac:dyDescent="0.25">
      <c r="A1107"/>
    </row>
    <row r="1108" spans="1:1" x14ac:dyDescent="0.25">
      <c r="A1108"/>
    </row>
    <row r="1109" spans="1:1" x14ac:dyDescent="0.25">
      <c r="A1109"/>
    </row>
    <row r="1110" spans="1:1" x14ac:dyDescent="0.25">
      <c r="A1110"/>
    </row>
    <row r="1111" spans="1:1" x14ac:dyDescent="0.25">
      <c r="A1111"/>
    </row>
    <row r="1112" spans="1:1" x14ac:dyDescent="0.25">
      <c r="A1112"/>
    </row>
    <row r="1113" spans="1:1" x14ac:dyDescent="0.25">
      <c r="A1113"/>
    </row>
    <row r="1114" spans="1:1" x14ac:dyDescent="0.25">
      <c r="A1114"/>
    </row>
    <row r="1115" spans="1:1" x14ac:dyDescent="0.25">
      <c r="A1115"/>
    </row>
    <row r="1116" spans="1:1" x14ac:dyDescent="0.25">
      <c r="A1116"/>
    </row>
    <row r="1117" spans="1:1" x14ac:dyDescent="0.25">
      <c r="A1117"/>
    </row>
    <row r="1118" spans="1:1" x14ac:dyDescent="0.25">
      <c r="A1118"/>
    </row>
    <row r="1119" spans="1:1" x14ac:dyDescent="0.25">
      <c r="A1119"/>
    </row>
    <row r="1120" spans="1:1" x14ac:dyDescent="0.25">
      <c r="A1120"/>
    </row>
    <row r="1121" spans="1:1" x14ac:dyDescent="0.25">
      <c r="A1121"/>
    </row>
    <row r="1122" spans="1:1" x14ac:dyDescent="0.25">
      <c r="A1122"/>
    </row>
    <row r="1123" spans="1:1" x14ac:dyDescent="0.25">
      <c r="A1123"/>
    </row>
    <row r="1124" spans="1:1" x14ac:dyDescent="0.25">
      <c r="A1124"/>
    </row>
    <row r="1125" spans="1:1" x14ac:dyDescent="0.25">
      <c r="A1125"/>
    </row>
    <row r="1126" spans="1:1" x14ac:dyDescent="0.25">
      <c r="A1126"/>
    </row>
    <row r="1127" spans="1:1" x14ac:dyDescent="0.25">
      <c r="A1127"/>
    </row>
    <row r="1128" spans="1:1" x14ac:dyDescent="0.25">
      <c r="A1128"/>
    </row>
    <row r="1129" spans="1:1" x14ac:dyDescent="0.25">
      <c r="A1129"/>
    </row>
    <row r="1130" spans="1:1" x14ac:dyDescent="0.25">
      <c r="A1130"/>
    </row>
    <row r="1131" spans="1:1" x14ac:dyDescent="0.25">
      <c r="A1131"/>
    </row>
    <row r="1132" spans="1:1" x14ac:dyDescent="0.25">
      <c r="A1132"/>
    </row>
    <row r="1133" spans="1:1" x14ac:dyDescent="0.25">
      <c r="A1133"/>
    </row>
    <row r="1134" spans="1:1" x14ac:dyDescent="0.25">
      <c r="A1134"/>
    </row>
    <row r="1135" spans="1:1" x14ac:dyDescent="0.25">
      <c r="A1135"/>
    </row>
    <row r="1136" spans="1:1" x14ac:dyDescent="0.25">
      <c r="A1136"/>
    </row>
    <row r="1137" spans="1:1" x14ac:dyDescent="0.25">
      <c r="A1137"/>
    </row>
    <row r="1138" spans="1:1" x14ac:dyDescent="0.25">
      <c r="A1138"/>
    </row>
    <row r="1139" spans="1:1" x14ac:dyDescent="0.25">
      <c r="A1139"/>
    </row>
    <row r="1140" spans="1:1" x14ac:dyDescent="0.25">
      <c r="A1140"/>
    </row>
    <row r="1141" spans="1:1" x14ac:dyDescent="0.25">
      <c r="A1141"/>
    </row>
    <row r="1142" spans="1:1" x14ac:dyDescent="0.25">
      <c r="A1142"/>
    </row>
    <row r="1143" spans="1:1" x14ac:dyDescent="0.25">
      <c r="A1143"/>
    </row>
    <row r="1144" spans="1:1" x14ac:dyDescent="0.25">
      <c r="A1144"/>
    </row>
    <row r="1145" spans="1:1" x14ac:dyDescent="0.25">
      <c r="A1145"/>
    </row>
    <row r="1146" spans="1:1" x14ac:dyDescent="0.25">
      <c r="A1146"/>
    </row>
    <row r="1147" spans="1:1" x14ac:dyDescent="0.25">
      <c r="A1147"/>
    </row>
    <row r="1148" spans="1:1" x14ac:dyDescent="0.25">
      <c r="A1148"/>
    </row>
    <row r="1149" spans="1:1" x14ac:dyDescent="0.25">
      <c r="A1149"/>
    </row>
    <row r="1150" spans="1:1" x14ac:dyDescent="0.25">
      <c r="A1150"/>
    </row>
    <row r="1151" spans="1:1" x14ac:dyDescent="0.25">
      <c r="A1151"/>
    </row>
    <row r="1152" spans="1:1" x14ac:dyDescent="0.25">
      <c r="A1152"/>
    </row>
    <row r="1153" spans="1:1" x14ac:dyDescent="0.25">
      <c r="A1153"/>
    </row>
    <row r="1154" spans="1:1" x14ac:dyDescent="0.25">
      <c r="A1154"/>
    </row>
    <row r="1155" spans="1:1" x14ac:dyDescent="0.25">
      <c r="A1155"/>
    </row>
    <row r="1156" spans="1:1" x14ac:dyDescent="0.25">
      <c r="A1156"/>
    </row>
    <row r="1157" spans="1:1" x14ac:dyDescent="0.25">
      <c r="A1157"/>
    </row>
    <row r="1158" spans="1:1" x14ac:dyDescent="0.25">
      <c r="A1158"/>
    </row>
    <row r="1159" spans="1:1" x14ac:dyDescent="0.25">
      <c r="A1159"/>
    </row>
    <row r="1160" spans="1:1" x14ac:dyDescent="0.25">
      <c r="A1160"/>
    </row>
    <row r="1161" spans="1:1" x14ac:dyDescent="0.25">
      <c r="A1161"/>
    </row>
    <row r="1162" spans="1:1" x14ac:dyDescent="0.25">
      <c r="A1162"/>
    </row>
    <row r="1163" spans="1:1" x14ac:dyDescent="0.25">
      <c r="A1163"/>
    </row>
    <row r="1164" spans="1:1" x14ac:dyDescent="0.25">
      <c r="A1164"/>
    </row>
    <row r="1165" spans="1:1" x14ac:dyDescent="0.25">
      <c r="A1165"/>
    </row>
    <row r="1166" spans="1:1" x14ac:dyDescent="0.25">
      <c r="A1166"/>
    </row>
    <row r="1167" spans="1:1" x14ac:dyDescent="0.25">
      <c r="A1167"/>
    </row>
    <row r="1168" spans="1:1" x14ac:dyDescent="0.25">
      <c r="A1168"/>
    </row>
    <row r="1169" spans="1:1" x14ac:dyDescent="0.25">
      <c r="A1169"/>
    </row>
    <row r="1170" spans="1:1" x14ac:dyDescent="0.25">
      <c r="A1170"/>
    </row>
    <row r="1171" spans="1:1" x14ac:dyDescent="0.25">
      <c r="A1171"/>
    </row>
    <row r="1172" spans="1:1" x14ac:dyDescent="0.25">
      <c r="A1172"/>
    </row>
    <row r="1173" spans="1:1" x14ac:dyDescent="0.25">
      <c r="A1173"/>
    </row>
    <row r="1174" spans="1:1" x14ac:dyDescent="0.25">
      <c r="A1174"/>
    </row>
    <row r="1175" spans="1:1" x14ac:dyDescent="0.25">
      <c r="A1175"/>
    </row>
    <row r="1176" spans="1:1" x14ac:dyDescent="0.25">
      <c r="A1176"/>
    </row>
    <row r="1177" spans="1:1" x14ac:dyDescent="0.25">
      <c r="A1177"/>
    </row>
    <row r="1178" spans="1:1" x14ac:dyDescent="0.25">
      <c r="A1178"/>
    </row>
    <row r="1179" spans="1:1" x14ac:dyDescent="0.25">
      <c r="A1179"/>
    </row>
    <row r="1180" spans="1:1" x14ac:dyDescent="0.25">
      <c r="A1180"/>
    </row>
    <row r="1181" spans="1:1" x14ac:dyDescent="0.25">
      <c r="A1181"/>
    </row>
    <row r="1182" spans="1:1" x14ac:dyDescent="0.25">
      <c r="A1182"/>
    </row>
    <row r="1183" spans="1:1" x14ac:dyDescent="0.25">
      <c r="A1183"/>
    </row>
    <row r="1184" spans="1:1" x14ac:dyDescent="0.25">
      <c r="A1184"/>
    </row>
    <row r="1185" spans="1:1" x14ac:dyDescent="0.25">
      <c r="A1185"/>
    </row>
    <row r="1186" spans="1:1" x14ac:dyDescent="0.25">
      <c r="A1186"/>
    </row>
    <row r="1187" spans="1:1" x14ac:dyDescent="0.25">
      <c r="A1187"/>
    </row>
    <row r="1188" spans="1:1" x14ac:dyDescent="0.25">
      <c r="A1188"/>
    </row>
    <row r="1189" spans="1:1" x14ac:dyDescent="0.25">
      <c r="A1189"/>
    </row>
    <row r="1190" spans="1:1" x14ac:dyDescent="0.25">
      <c r="A1190"/>
    </row>
    <row r="1191" spans="1:1" x14ac:dyDescent="0.25">
      <c r="A1191"/>
    </row>
    <row r="1192" spans="1:1" x14ac:dyDescent="0.25">
      <c r="A1192"/>
    </row>
    <row r="1193" spans="1:1" x14ac:dyDescent="0.25">
      <c r="A1193"/>
    </row>
    <row r="1194" spans="1:1" x14ac:dyDescent="0.25">
      <c r="A1194"/>
    </row>
    <row r="1195" spans="1:1" x14ac:dyDescent="0.25">
      <c r="A1195"/>
    </row>
    <row r="1196" spans="1:1" x14ac:dyDescent="0.25">
      <c r="A1196"/>
    </row>
    <row r="1197" spans="1:1" x14ac:dyDescent="0.25">
      <c r="A1197"/>
    </row>
    <row r="1198" spans="1:1" x14ac:dyDescent="0.25">
      <c r="A1198"/>
    </row>
    <row r="1199" spans="1:1" x14ac:dyDescent="0.25">
      <c r="A1199"/>
    </row>
    <row r="1200" spans="1:1" x14ac:dyDescent="0.25">
      <c r="A1200"/>
    </row>
    <row r="1201" spans="1:1" x14ac:dyDescent="0.25">
      <c r="A1201"/>
    </row>
    <row r="1202" spans="1:1" x14ac:dyDescent="0.25">
      <c r="A1202"/>
    </row>
    <row r="1203" spans="1:1" x14ac:dyDescent="0.25">
      <c r="A1203"/>
    </row>
    <row r="1204" spans="1:1" x14ac:dyDescent="0.25">
      <c r="A1204"/>
    </row>
    <row r="1205" spans="1:1" x14ac:dyDescent="0.25">
      <c r="A1205"/>
    </row>
    <row r="1206" spans="1:1" x14ac:dyDescent="0.25">
      <c r="A1206"/>
    </row>
    <row r="1207" spans="1:1" x14ac:dyDescent="0.25">
      <c r="A1207"/>
    </row>
    <row r="1208" spans="1:1" x14ac:dyDescent="0.25">
      <c r="A1208"/>
    </row>
    <row r="1209" spans="1:1" x14ac:dyDescent="0.25">
      <c r="A1209"/>
    </row>
    <row r="1210" spans="1:1" x14ac:dyDescent="0.25">
      <c r="A1210"/>
    </row>
    <row r="1211" spans="1:1" x14ac:dyDescent="0.25">
      <c r="A1211"/>
    </row>
    <row r="1212" spans="1:1" x14ac:dyDescent="0.25">
      <c r="A1212"/>
    </row>
    <row r="1213" spans="1:1" x14ac:dyDescent="0.25">
      <c r="A1213"/>
    </row>
    <row r="1214" spans="1:1" x14ac:dyDescent="0.25">
      <c r="A1214"/>
    </row>
    <row r="1215" spans="1:1" x14ac:dyDescent="0.25">
      <c r="A1215"/>
    </row>
    <row r="1216" spans="1:1" x14ac:dyDescent="0.25">
      <c r="A1216"/>
    </row>
    <row r="1217" spans="1:1" x14ac:dyDescent="0.25">
      <c r="A1217"/>
    </row>
    <row r="1218" spans="1:1" x14ac:dyDescent="0.25">
      <c r="A1218"/>
    </row>
    <row r="1219" spans="1:1" x14ac:dyDescent="0.25">
      <c r="A1219"/>
    </row>
    <row r="1220" spans="1:1" x14ac:dyDescent="0.25">
      <c r="A1220"/>
    </row>
    <row r="1221" spans="1:1" x14ac:dyDescent="0.25">
      <c r="A1221"/>
    </row>
    <row r="1222" spans="1:1" x14ac:dyDescent="0.25">
      <c r="A1222"/>
    </row>
    <row r="1223" spans="1:1" x14ac:dyDescent="0.25">
      <c r="A1223"/>
    </row>
    <row r="1224" spans="1:1" x14ac:dyDescent="0.25">
      <c r="A1224"/>
    </row>
    <row r="1225" spans="1:1" x14ac:dyDescent="0.25">
      <c r="A1225"/>
    </row>
    <row r="1226" spans="1:1" x14ac:dyDescent="0.25">
      <c r="A1226"/>
    </row>
    <row r="1227" spans="1:1" x14ac:dyDescent="0.25">
      <c r="A1227"/>
    </row>
    <row r="1228" spans="1:1" x14ac:dyDescent="0.25">
      <c r="A1228"/>
    </row>
    <row r="1229" spans="1:1" x14ac:dyDescent="0.25">
      <c r="A1229"/>
    </row>
    <row r="1230" spans="1:1" x14ac:dyDescent="0.25">
      <c r="A1230"/>
    </row>
    <row r="1231" spans="1:1" x14ac:dyDescent="0.25">
      <c r="A1231"/>
    </row>
    <row r="1232" spans="1:1" x14ac:dyDescent="0.25">
      <c r="A1232"/>
    </row>
    <row r="1233" spans="1:1" x14ac:dyDescent="0.25">
      <c r="A1233"/>
    </row>
    <row r="1234" spans="1:1" x14ac:dyDescent="0.25">
      <c r="A1234"/>
    </row>
    <row r="1235" spans="1:1" x14ac:dyDescent="0.25">
      <c r="A1235"/>
    </row>
    <row r="1236" spans="1:1" x14ac:dyDescent="0.25">
      <c r="A1236"/>
    </row>
    <row r="1237" spans="1:1" x14ac:dyDescent="0.25">
      <c r="A1237"/>
    </row>
    <row r="1238" spans="1:1" x14ac:dyDescent="0.25">
      <c r="A1238"/>
    </row>
    <row r="1239" spans="1:1" x14ac:dyDescent="0.25">
      <c r="A1239"/>
    </row>
    <row r="1240" spans="1:1" x14ac:dyDescent="0.25">
      <c r="A1240"/>
    </row>
    <row r="1241" spans="1:1" x14ac:dyDescent="0.25">
      <c r="A1241"/>
    </row>
    <row r="1242" spans="1:1" x14ac:dyDescent="0.25">
      <c r="A1242"/>
    </row>
    <row r="1243" spans="1:1" x14ac:dyDescent="0.25">
      <c r="A1243"/>
    </row>
    <row r="1244" spans="1:1" x14ac:dyDescent="0.25">
      <c r="A1244"/>
    </row>
    <row r="1245" spans="1:1" x14ac:dyDescent="0.25">
      <c r="A1245"/>
    </row>
    <row r="1246" spans="1:1" x14ac:dyDescent="0.25">
      <c r="A1246"/>
    </row>
    <row r="1247" spans="1:1" x14ac:dyDescent="0.25">
      <c r="A1247"/>
    </row>
    <row r="1248" spans="1:1" x14ac:dyDescent="0.25">
      <c r="A1248"/>
    </row>
    <row r="1249" spans="1:1" x14ac:dyDescent="0.25">
      <c r="A1249"/>
    </row>
    <row r="1250" spans="1:1" x14ac:dyDescent="0.25">
      <c r="A1250"/>
    </row>
    <row r="1251" spans="1:1" x14ac:dyDescent="0.25">
      <c r="A1251"/>
    </row>
    <row r="1252" spans="1:1" x14ac:dyDescent="0.25">
      <c r="A1252"/>
    </row>
    <row r="1253" spans="1:1" x14ac:dyDescent="0.25">
      <c r="A1253"/>
    </row>
    <row r="1254" spans="1:1" x14ac:dyDescent="0.25">
      <c r="A1254"/>
    </row>
    <row r="1255" spans="1:1" x14ac:dyDescent="0.25">
      <c r="A1255"/>
    </row>
    <row r="1256" spans="1:1" x14ac:dyDescent="0.25">
      <c r="A1256"/>
    </row>
    <row r="1257" spans="1:1" x14ac:dyDescent="0.25">
      <c r="A1257"/>
    </row>
    <row r="1258" spans="1:1" x14ac:dyDescent="0.25">
      <c r="A1258"/>
    </row>
    <row r="1259" spans="1:1" x14ac:dyDescent="0.25">
      <c r="A1259"/>
    </row>
    <row r="1260" spans="1:1" x14ac:dyDescent="0.25">
      <c r="A1260"/>
    </row>
    <row r="1261" spans="1:1" x14ac:dyDescent="0.25">
      <c r="A1261"/>
    </row>
    <row r="1262" spans="1:1" x14ac:dyDescent="0.25">
      <c r="A1262"/>
    </row>
    <row r="1263" spans="1:1" x14ac:dyDescent="0.25">
      <c r="A1263"/>
    </row>
    <row r="1264" spans="1:1" x14ac:dyDescent="0.25">
      <c r="A1264"/>
    </row>
    <row r="1265" spans="1:1" x14ac:dyDescent="0.25">
      <c r="A1265"/>
    </row>
    <row r="1266" spans="1:1" x14ac:dyDescent="0.25">
      <c r="A1266"/>
    </row>
    <row r="1267" spans="1:1" x14ac:dyDescent="0.25">
      <c r="A1267"/>
    </row>
    <row r="1268" spans="1:1" x14ac:dyDescent="0.25">
      <c r="A1268"/>
    </row>
    <row r="1269" spans="1:1" x14ac:dyDescent="0.25">
      <c r="A1269"/>
    </row>
    <row r="1270" spans="1:1" x14ac:dyDescent="0.25">
      <c r="A1270"/>
    </row>
    <row r="1271" spans="1:1" x14ac:dyDescent="0.25">
      <c r="A1271"/>
    </row>
    <row r="1272" spans="1:1" x14ac:dyDescent="0.25">
      <c r="A1272"/>
    </row>
    <row r="1273" spans="1:1" x14ac:dyDescent="0.25">
      <c r="A1273"/>
    </row>
    <row r="1274" spans="1:1" x14ac:dyDescent="0.25">
      <c r="A1274"/>
    </row>
    <row r="1275" spans="1:1" x14ac:dyDescent="0.25">
      <c r="A1275"/>
    </row>
    <row r="1276" spans="1:1" x14ac:dyDescent="0.25">
      <c r="A1276"/>
    </row>
    <row r="1277" spans="1:1" x14ac:dyDescent="0.25">
      <c r="A1277"/>
    </row>
    <row r="1278" spans="1:1" x14ac:dyDescent="0.25">
      <c r="A1278"/>
    </row>
    <row r="1279" spans="1:1" x14ac:dyDescent="0.25">
      <c r="A1279"/>
    </row>
    <row r="1280" spans="1:1" x14ac:dyDescent="0.25">
      <c r="A1280"/>
    </row>
    <row r="1281" spans="1:1" x14ac:dyDescent="0.25">
      <c r="A1281"/>
    </row>
    <row r="1282" spans="1:1" x14ac:dyDescent="0.25">
      <c r="A1282"/>
    </row>
    <row r="1283" spans="1:1" x14ac:dyDescent="0.25">
      <c r="A1283"/>
    </row>
    <row r="1284" spans="1:1" x14ac:dyDescent="0.25">
      <c r="A1284"/>
    </row>
    <row r="1285" spans="1:1" x14ac:dyDescent="0.25">
      <c r="A1285"/>
    </row>
    <row r="1286" spans="1:1" x14ac:dyDescent="0.25">
      <c r="A1286"/>
    </row>
    <row r="1287" spans="1:1" x14ac:dyDescent="0.25">
      <c r="A1287"/>
    </row>
    <row r="1288" spans="1:1" x14ac:dyDescent="0.25">
      <c r="A1288"/>
    </row>
    <row r="1289" spans="1:1" x14ac:dyDescent="0.25">
      <c r="A1289"/>
    </row>
    <row r="1290" spans="1:1" x14ac:dyDescent="0.25">
      <c r="A1290"/>
    </row>
    <row r="1291" spans="1:1" x14ac:dyDescent="0.25">
      <c r="A1291"/>
    </row>
    <row r="1292" spans="1:1" x14ac:dyDescent="0.25">
      <c r="A1292"/>
    </row>
    <row r="1293" spans="1:1" x14ac:dyDescent="0.25">
      <c r="A1293"/>
    </row>
    <row r="1294" spans="1:1" x14ac:dyDescent="0.25">
      <c r="A1294"/>
    </row>
    <row r="1295" spans="1:1" x14ac:dyDescent="0.25">
      <c r="A1295"/>
    </row>
    <row r="1296" spans="1:1" x14ac:dyDescent="0.25">
      <c r="A1296"/>
    </row>
    <row r="1297" spans="1:1" x14ac:dyDescent="0.25">
      <c r="A1297"/>
    </row>
    <row r="1298" spans="1:1" x14ac:dyDescent="0.25">
      <c r="A1298"/>
    </row>
    <row r="1299" spans="1:1" x14ac:dyDescent="0.25">
      <c r="A1299"/>
    </row>
    <row r="1300" spans="1:1" x14ac:dyDescent="0.25">
      <c r="A1300"/>
    </row>
    <row r="1301" spans="1:1" x14ac:dyDescent="0.25">
      <c r="A1301"/>
    </row>
    <row r="1302" spans="1:1" x14ac:dyDescent="0.25">
      <c r="A1302"/>
    </row>
    <row r="1303" spans="1:1" x14ac:dyDescent="0.25">
      <c r="A1303"/>
    </row>
    <row r="1304" spans="1:1" x14ac:dyDescent="0.25">
      <c r="A1304"/>
    </row>
    <row r="1305" spans="1:1" x14ac:dyDescent="0.25">
      <c r="A1305"/>
    </row>
    <row r="1306" spans="1:1" x14ac:dyDescent="0.25">
      <c r="A1306"/>
    </row>
    <row r="1307" spans="1:1" x14ac:dyDescent="0.25">
      <c r="A1307"/>
    </row>
    <row r="1308" spans="1:1" x14ac:dyDescent="0.25">
      <c r="A1308"/>
    </row>
    <row r="1309" spans="1:1" x14ac:dyDescent="0.25">
      <c r="A1309"/>
    </row>
    <row r="1310" spans="1:1" x14ac:dyDescent="0.25">
      <c r="A1310"/>
    </row>
    <row r="1311" spans="1:1" x14ac:dyDescent="0.25">
      <c r="A1311"/>
    </row>
    <row r="1312" spans="1:1" x14ac:dyDescent="0.25">
      <c r="A1312"/>
    </row>
    <row r="1313" spans="1:1" x14ac:dyDescent="0.25">
      <c r="A1313"/>
    </row>
    <row r="1314" spans="1:1" x14ac:dyDescent="0.25">
      <c r="A1314"/>
    </row>
    <row r="1315" spans="1:1" x14ac:dyDescent="0.25">
      <c r="A1315"/>
    </row>
    <row r="1316" spans="1:1" x14ac:dyDescent="0.25">
      <c r="A1316"/>
    </row>
    <row r="1317" spans="1:1" x14ac:dyDescent="0.25">
      <c r="A1317"/>
    </row>
    <row r="1318" spans="1:1" x14ac:dyDescent="0.25">
      <c r="A1318"/>
    </row>
    <row r="1319" spans="1:1" x14ac:dyDescent="0.25">
      <c r="A1319"/>
    </row>
    <row r="1320" spans="1:1" x14ac:dyDescent="0.25">
      <c r="A1320"/>
    </row>
    <row r="1321" spans="1:1" x14ac:dyDescent="0.25">
      <c r="A1321"/>
    </row>
    <row r="1322" spans="1:1" x14ac:dyDescent="0.25">
      <c r="A1322"/>
    </row>
    <row r="1323" spans="1:1" x14ac:dyDescent="0.25">
      <c r="A1323"/>
    </row>
    <row r="1324" spans="1:1" x14ac:dyDescent="0.25">
      <c r="A1324"/>
    </row>
    <row r="1325" spans="1:1" x14ac:dyDescent="0.25">
      <c r="A1325"/>
    </row>
    <row r="1326" spans="1:1" x14ac:dyDescent="0.25">
      <c r="A1326"/>
    </row>
    <row r="1327" spans="1:1" x14ac:dyDescent="0.25">
      <c r="A1327"/>
    </row>
    <row r="1328" spans="1:1" x14ac:dyDescent="0.25">
      <c r="A1328"/>
    </row>
    <row r="1329" spans="1:1" x14ac:dyDescent="0.25">
      <c r="A1329"/>
    </row>
    <row r="1330" spans="1:1" x14ac:dyDescent="0.25">
      <c r="A1330"/>
    </row>
    <row r="1331" spans="1:1" x14ac:dyDescent="0.25">
      <c r="A1331"/>
    </row>
    <row r="1332" spans="1:1" x14ac:dyDescent="0.25">
      <c r="A1332"/>
    </row>
    <row r="1333" spans="1:1" x14ac:dyDescent="0.25">
      <c r="A1333"/>
    </row>
    <row r="1334" spans="1:1" x14ac:dyDescent="0.25">
      <c r="A1334"/>
    </row>
    <row r="1335" spans="1:1" x14ac:dyDescent="0.25">
      <c r="A1335"/>
    </row>
    <row r="1336" spans="1:1" x14ac:dyDescent="0.25">
      <c r="A1336"/>
    </row>
    <row r="1337" spans="1:1" x14ac:dyDescent="0.25">
      <c r="A1337"/>
    </row>
    <row r="1338" spans="1:1" x14ac:dyDescent="0.25">
      <c r="A1338"/>
    </row>
    <row r="1339" spans="1:1" x14ac:dyDescent="0.25">
      <c r="A1339"/>
    </row>
    <row r="1340" spans="1:1" x14ac:dyDescent="0.25">
      <c r="A1340"/>
    </row>
    <row r="1341" spans="1:1" x14ac:dyDescent="0.25">
      <c r="A1341"/>
    </row>
    <row r="1342" spans="1:1" x14ac:dyDescent="0.25">
      <c r="A1342"/>
    </row>
    <row r="1343" spans="1:1" x14ac:dyDescent="0.25">
      <c r="A1343"/>
    </row>
    <row r="1344" spans="1:1" x14ac:dyDescent="0.25">
      <c r="A1344"/>
    </row>
    <row r="1345" spans="1:1" x14ac:dyDescent="0.25">
      <c r="A1345"/>
    </row>
    <row r="1346" spans="1:1" x14ac:dyDescent="0.25">
      <c r="A1346"/>
    </row>
    <row r="1347" spans="1:1" x14ac:dyDescent="0.25">
      <c r="A1347"/>
    </row>
    <row r="1348" spans="1:1" x14ac:dyDescent="0.25">
      <c r="A1348"/>
    </row>
    <row r="1349" spans="1:1" x14ac:dyDescent="0.25">
      <c r="A1349"/>
    </row>
    <row r="1350" spans="1:1" x14ac:dyDescent="0.25">
      <c r="A1350"/>
    </row>
    <row r="1351" spans="1:1" x14ac:dyDescent="0.25">
      <c r="A1351"/>
    </row>
    <row r="1352" spans="1:1" x14ac:dyDescent="0.25">
      <c r="A1352"/>
    </row>
    <row r="1353" spans="1:1" x14ac:dyDescent="0.25">
      <c r="A1353"/>
    </row>
    <row r="1354" spans="1:1" x14ac:dyDescent="0.25">
      <c r="A1354"/>
    </row>
    <row r="1355" spans="1:1" x14ac:dyDescent="0.25">
      <c r="A1355"/>
    </row>
    <row r="1356" spans="1:1" x14ac:dyDescent="0.25">
      <c r="A1356"/>
    </row>
    <row r="1357" spans="1:1" x14ac:dyDescent="0.25">
      <c r="A1357"/>
    </row>
    <row r="1358" spans="1:1" x14ac:dyDescent="0.25">
      <c r="A1358"/>
    </row>
    <row r="1359" spans="1:1" x14ac:dyDescent="0.25">
      <c r="A1359"/>
    </row>
    <row r="1360" spans="1:1" x14ac:dyDescent="0.25">
      <c r="A1360"/>
    </row>
    <row r="1361" spans="1:1" x14ac:dyDescent="0.25">
      <c r="A1361"/>
    </row>
    <row r="1362" spans="1:1" x14ac:dyDescent="0.25">
      <c r="A1362"/>
    </row>
    <row r="1363" spans="1:1" x14ac:dyDescent="0.25">
      <c r="A1363"/>
    </row>
    <row r="1364" spans="1:1" x14ac:dyDescent="0.25">
      <c r="A1364"/>
    </row>
    <row r="1365" spans="1:1" x14ac:dyDescent="0.25">
      <c r="A1365"/>
    </row>
    <row r="1366" spans="1:1" x14ac:dyDescent="0.25">
      <c r="A1366"/>
    </row>
    <row r="1367" spans="1:1" x14ac:dyDescent="0.25">
      <c r="A1367"/>
    </row>
    <row r="1368" spans="1:1" x14ac:dyDescent="0.25">
      <c r="A1368"/>
    </row>
    <row r="1369" spans="1:1" x14ac:dyDescent="0.25">
      <c r="A1369"/>
    </row>
    <row r="1370" spans="1:1" x14ac:dyDescent="0.25">
      <c r="A1370"/>
    </row>
    <row r="1371" spans="1:1" x14ac:dyDescent="0.25">
      <c r="A1371"/>
    </row>
    <row r="1372" spans="1:1" x14ac:dyDescent="0.25">
      <c r="A1372"/>
    </row>
    <row r="1373" spans="1:1" x14ac:dyDescent="0.25">
      <c r="A1373"/>
    </row>
    <row r="1374" spans="1:1" x14ac:dyDescent="0.25">
      <c r="A1374"/>
    </row>
    <row r="1375" spans="1:1" x14ac:dyDescent="0.25">
      <c r="A1375"/>
    </row>
    <row r="1376" spans="1:1" x14ac:dyDescent="0.25">
      <c r="A1376"/>
    </row>
    <row r="1377" spans="1:1" x14ac:dyDescent="0.25">
      <c r="A1377"/>
    </row>
    <row r="1378" spans="1:1" x14ac:dyDescent="0.25">
      <c r="A1378"/>
    </row>
    <row r="1379" spans="1:1" x14ac:dyDescent="0.25">
      <c r="A1379"/>
    </row>
    <row r="1380" spans="1:1" x14ac:dyDescent="0.25">
      <c r="A1380"/>
    </row>
    <row r="1381" spans="1:1" x14ac:dyDescent="0.25">
      <c r="A1381"/>
    </row>
    <row r="1382" spans="1:1" x14ac:dyDescent="0.25">
      <c r="A1382"/>
    </row>
    <row r="1383" spans="1:1" x14ac:dyDescent="0.25">
      <c r="A1383"/>
    </row>
    <row r="1384" spans="1:1" x14ac:dyDescent="0.25">
      <c r="A1384"/>
    </row>
    <row r="1385" spans="1:1" x14ac:dyDescent="0.25">
      <c r="A1385"/>
    </row>
    <row r="1386" spans="1:1" x14ac:dyDescent="0.25">
      <c r="A1386"/>
    </row>
    <row r="1387" spans="1:1" x14ac:dyDescent="0.25">
      <c r="A1387"/>
    </row>
    <row r="1388" spans="1:1" x14ac:dyDescent="0.25">
      <c r="A1388"/>
    </row>
    <row r="1389" spans="1:1" x14ac:dyDescent="0.25">
      <c r="A1389"/>
    </row>
    <row r="1390" spans="1:1" x14ac:dyDescent="0.25">
      <c r="A1390"/>
    </row>
    <row r="1391" spans="1:1" x14ac:dyDescent="0.25">
      <c r="A1391"/>
    </row>
    <row r="1392" spans="1:1" x14ac:dyDescent="0.25">
      <c r="A1392"/>
    </row>
    <row r="1393" spans="1:1" x14ac:dyDescent="0.25">
      <c r="A1393"/>
    </row>
    <row r="1394" spans="1:1" x14ac:dyDescent="0.25">
      <c r="A1394"/>
    </row>
    <row r="1395" spans="1:1" x14ac:dyDescent="0.25">
      <c r="A1395"/>
    </row>
    <row r="1396" spans="1:1" x14ac:dyDescent="0.25">
      <c r="A1396"/>
    </row>
    <row r="1397" spans="1:1" x14ac:dyDescent="0.25">
      <c r="A1397"/>
    </row>
    <row r="1398" spans="1:1" x14ac:dyDescent="0.25">
      <c r="A1398"/>
    </row>
    <row r="1399" spans="1:1" x14ac:dyDescent="0.25">
      <c r="A1399"/>
    </row>
    <row r="1400" spans="1:1" x14ac:dyDescent="0.25">
      <c r="A1400"/>
    </row>
    <row r="1401" spans="1:1" x14ac:dyDescent="0.25">
      <c r="A1401"/>
    </row>
    <row r="1402" spans="1:1" x14ac:dyDescent="0.25">
      <c r="A1402"/>
    </row>
    <row r="1403" spans="1:1" x14ac:dyDescent="0.25">
      <c r="A1403"/>
    </row>
    <row r="1404" spans="1:1" x14ac:dyDescent="0.25">
      <c r="A1404"/>
    </row>
    <row r="1405" spans="1:1" x14ac:dyDescent="0.25">
      <c r="A1405"/>
    </row>
    <row r="1406" spans="1:1" x14ac:dyDescent="0.25">
      <c r="A1406"/>
    </row>
    <row r="1407" spans="1:1" x14ac:dyDescent="0.25">
      <c r="A1407"/>
    </row>
    <row r="1408" spans="1:1" x14ac:dyDescent="0.25">
      <c r="A1408"/>
    </row>
    <row r="1409" spans="1:1" x14ac:dyDescent="0.25">
      <c r="A1409"/>
    </row>
    <row r="1410" spans="1:1" x14ac:dyDescent="0.25">
      <c r="A1410"/>
    </row>
    <row r="1411" spans="1:1" x14ac:dyDescent="0.25">
      <c r="A1411"/>
    </row>
    <row r="1412" spans="1:1" x14ac:dyDescent="0.25">
      <c r="A1412"/>
    </row>
    <row r="1413" spans="1:1" x14ac:dyDescent="0.25">
      <c r="A1413"/>
    </row>
    <row r="1414" spans="1:1" x14ac:dyDescent="0.25">
      <c r="A1414"/>
    </row>
    <row r="1415" spans="1:1" x14ac:dyDescent="0.25">
      <c r="A1415"/>
    </row>
    <row r="1416" spans="1:1" x14ac:dyDescent="0.25">
      <c r="A1416"/>
    </row>
    <row r="1417" spans="1:1" x14ac:dyDescent="0.25">
      <c r="A1417"/>
    </row>
    <row r="1418" spans="1:1" x14ac:dyDescent="0.25">
      <c r="A1418"/>
    </row>
    <row r="1419" spans="1:1" x14ac:dyDescent="0.25">
      <c r="A1419"/>
    </row>
    <row r="1420" spans="1:1" x14ac:dyDescent="0.25">
      <c r="A1420"/>
    </row>
    <row r="1421" spans="1:1" x14ac:dyDescent="0.25">
      <c r="A1421"/>
    </row>
    <row r="1422" spans="1:1" x14ac:dyDescent="0.25">
      <c r="A1422"/>
    </row>
    <row r="1423" spans="1:1" x14ac:dyDescent="0.25">
      <c r="A1423"/>
    </row>
    <row r="1424" spans="1:1" x14ac:dyDescent="0.25">
      <c r="A1424"/>
    </row>
    <row r="1425" spans="1:1" x14ac:dyDescent="0.25">
      <c r="A1425"/>
    </row>
    <row r="1426" spans="1:1" x14ac:dyDescent="0.25">
      <c r="A1426"/>
    </row>
    <row r="1427" spans="1:1" x14ac:dyDescent="0.25">
      <c r="A1427"/>
    </row>
    <row r="1428" spans="1:1" x14ac:dyDescent="0.25">
      <c r="A1428"/>
    </row>
    <row r="1429" spans="1:1" x14ac:dyDescent="0.25">
      <c r="A1429"/>
    </row>
    <row r="1430" spans="1:1" x14ac:dyDescent="0.25">
      <c r="A1430"/>
    </row>
    <row r="1431" spans="1:1" x14ac:dyDescent="0.25">
      <c r="A1431"/>
    </row>
    <row r="1432" spans="1:1" x14ac:dyDescent="0.25">
      <c r="A1432"/>
    </row>
    <row r="1433" spans="1:1" x14ac:dyDescent="0.25">
      <c r="A1433"/>
    </row>
    <row r="1434" spans="1:1" x14ac:dyDescent="0.25">
      <c r="A1434"/>
    </row>
    <row r="1435" spans="1:1" x14ac:dyDescent="0.25">
      <c r="A1435"/>
    </row>
    <row r="1436" spans="1:1" x14ac:dyDescent="0.25">
      <c r="A1436"/>
    </row>
    <row r="1437" spans="1:1" x14ac:dyDescent="0.25">
      <c r="A1437"/>
    </row>
    <row r="1438" spans="1:1" x14ac:dyDescent="0.25">
      <c r="A1438"/>
    </row>
    <row r="1439" spans="1:1" x14ac:dyDescent="0.25">
      <c r="A1439"/>
    </row>
    <row r="1440" spans="1:1" x14ac:dyDescent="0.25">
      <c r="A1440"/>
    </row>
    <row r="1441" spans="1:1" x14ac:dyDescent="0.25">
      <c r="A1441"/>
    </row>
    <row r="1442" spans="1:1" x14ac:dyDescent="0.25">
      <c r="A1442"/>
    </row>
    <row r="1443" spans="1:1" x14ac:dyDescent="0.25">
      <c r="A1443"/>
    </row>
    <row r="1444" spans="1:1" x14ac:dyDescent="0.25">
      <c r="A1444"/>
    </row>
    <row r="1445" spans="1:1" x14ac:dyDescent="0.25">
      <c r="A1445"/>
    </row>
    <row r="1446" spans="1:1" x14ac:dyDescent="0.25">
      <c r="A1446"/>
    </row>
    <row r="1447" spans="1:1" x14ac:dyDescent="0.25">
      <c r="A1447"/>
    </row>
    <row r="1448" spans="1:1" x14ac:dyDescent="0.25">
      <c r="A1448"/>
    </row>
    <row r="1449" spans="1:1" x14ac:dyDescent="0.25">
      <c r="A1449"/>
    </row>
    <row r="1450" spans="1:1" x14ac:dyDescent="0.25">
      <c r="A1450"/>
    </row>
    <row r="1451" spans="1:1" x14ac:dyDescent="0.25">
      <c r="A1451"/>
    </row>
    <row r="1452" spans="1:1" x14ac:dyDescent="0.25">
      <c r="A1452"/>
    </row>
    <row r="1453" spans="1:1" x14ac:dyDescent="0.25">
      <c r="A1453"/>
    </row>
    <row r="1454" spans="1:1" x14ac:dyDescent="0.25">
      <c r="A1454"/>
    </row>
    <row r="1455" spans="1:1" x14ac:dyDescent="0.25">
      <c r="A1455"/>
    </row>
    <row r="1456" spans="1:1" x14ac:dyDescent="0.25">
      <c r="A1456"/>
    </row>
    <row r="1457" spans="1:1" x14ac:dyDescent="0.25">
      <c r="A1457"/>
    </row>
    <row r="1458" spans="1:1" x14ac:dyDescent="0.25">
      <c r="A1458"/>
    </row>
    <row r="1459" spans="1:1" x14ac:dyDescent="0.25">
      <c r="A1459"/>
    </row>
    <row r="1460" spans="1:1" x14ac:dyDescent="0.25">
      <c r="A1460"/>
    </row>
    <row r="1461" spans="1:1" x14ac:dyDescent="0.25">
      <c r="A1461"/>
    </row>
    <row r="1462" spans="1:1" x14ac:dyDescent="0.25">
      <c r="A1462"/>
    </row>
    <row r="1463" spans="1:1" x14ac:dyDescent="0.25">
      <c r="A1463"/>
    </row>
    <row r="1464" spans="1:1" x14ac:dyDescent="0.25">
      <c r="A1464"/>
    </row>
    <row r="1465" spans="1:1" x14ac:dyDescent="0.25">
      <c r="A1465"/>
    </row>
    <row r="1466" spans="1:1" x14ac:dyDescent="0.25">
      <c r="A1466"/>
    </row>
    <row r="1467" spans="1:1" x14ac:dyDescent="0.25">
      <c r="A1467"/>
    </row>
    <row r="1468" spans="1:1" x14ac:dyDescent="0.25">
      <c r="A1468"/>
    </row>
    <row r="1469" spans="1:1" x14ac:dyDescent="0.25">
      <c r="A1469"/>
    </row>
    <row r="1470" spans="1:1" x14ac:dyDescent="0.25">
      <c r="A1470"/>
    </row>
    <row r="1471" spans="1:1" x14ac:dyDescent="0.25">
      <c r="A1471"/>
    </row>
    <row r="1472" spans="1:1" x14ac:dyDescent="0.25">
      <c r="A1472"/>
    </row>
    <row r="1473" spans="1:1" x14ac:dyDescent="0.25">
      <c r="A1473"/>
    </row>
    <row r="1474" spans="1:1" x14ac:dyDescent="0.25">
      <c r="A1474"/>
    </row>
    <row r="1475" spans="1:1" x14ac:dyDescent="0.25">
      <c r="A1475"/>
    </row>
    <row r="1476" spans="1:1" x14ac:dyDescent="0.25">
      <c r="A1476"/>
    </row>
    <row r="1477" spans="1:1" x14ac:dyDescent="0.25">
      <c r="A1477"/>
    </row>
    <row r="1478" spans="1:1" x14ac:dyDescent="0.25">
      <c r="A1478"/>
    </row>
    <row r="1479" spans="1:1" x14ac:dyDescent="0.25">
      <c r="A1479"/>
    </row>
    <row r="1480" spans="1:1" x14ac:dyDescent="0.25">
      <c r="A1480"/>
    </row>
    <row r="1481" spans="1:1" x14ac:dyDescent="0.25">
      <c r="A1481"/>
    </row>
    <row r="1482" spans="1:1" x14ac:dyDescent="0.25">
      <c r="A1482"/>
    </row>
    <row r="1483" spans="1:1" x14ac:dyDescent="0.25">
      <c r="A1483"/>
    </row>
    <row r="1484" spans="1:1" x14ac:dyDescent="0.25">
      <c r="A1484"/>
    </row>
    <row r="1485" spans="1:1" x14ac:dyDescent="0.25">
      <c r="A1485"/>
    </row>
    <row r="1486" spans="1:1" x14ac:dyDescent="0.25">
      <c r="A1486"/>
    </row>
    <row r="1487" spans="1:1" x14ac:dyDescent="0.25">
      <c r="A1487"/>
    </row>
    <row r="1488" spans="1:1" x14ac:dyDescent="0.25">
      <c r="A1488"/>
    </row>
    <row r="1489" spans="1:1" x14ac:dyDescent="0.25">
      <c r="A1489"/>
    </row>
    <row r="1490" spans="1:1" x14ac:dyDescent="0.25">
      <c r="A1490"/>
    </row>
    <row r="1491" spans="1:1" x14ac:dyDescent="0.25">
      <c r="A1491"/>
    </row>
    <row r="1492" spans="1:1" x14ac:dyDescent="0.25">
      <c r="A1492"/>
    </row>
    <row r="1493" spans="1:1" x14ac:dyDescent="0.25">
      <c r="A1493"/>
    </row>
    <row r="1494" spans="1:1" x14ac:dyDescent="0.25">
      <c r="A1494"/>
    </row>
    <row r="1495" spans="1:1" x14ac:dyDescent="0.25">
      <c r="A1495"/>
    </row>
    <row r="1496" spans="1:1" x14ac:dyDescent="0.25">
      <c r="A1496"/>
    </row>
    <row r="1497" spans="1:1" x14ac:dyDescent="0.25">
      <c r="A1497"/>
    </row>
    <row r="1498" spans="1:1" x14ac:dyDescent="0.25">
      <c r="A1498"/>
    </row>
    <row r="1499" spans="1:1" x14ac:dyDescent="0.25">
      <c r="A1499"/>
    </row>
    <row r="1500" spans="1:1" x14ac:dyDescent="0.25">
      <c r="A1500"/>
    </row>
    <row r="1501" spans="1:1" x14ac:dyDescent="0.25">
      <c r="A1501"/>
    </row>
    <row r="1502" spans="1:1" x14ac:dyDescent="0.25">
      <c r="A1502"/>
    </row>
    <row r="1503" spans="1:1" x14ac:dyDescent="0.25">
      <c r="A1503"/>
    </row>
    <row r="1504" spans="1:1" x14ac:dyDescent="0.25">
      <c r="A1504"/>
    </row>
    <row r="1505" spans="1:1" x14ac:dyDescent="0.25">
      <c r="A1505"/>
    </row>
    <row r="1506" spans="1:1" x14ac:dyDescent="0.25">
      <c r="A1506"/>
    </row>
    <row r="1507" spans="1:1" x14ac:dyDescent="0.25">
      <c r="A1507"/>
    </row>
    <row r="1508" spans="1:1" x14ac:dyDescent="0.25">
      <c r="A1508"/>
    </row>
    <row r="1509" spans="1:1" x14ac:dyDescent="0.25">
      <c r="A1509"/>
    </row>
    <row r="1510" spans="1:1" x14ac:dyDescent="0.25">
      <c r="A1510"/>
    </row>
    <row r="1511" spans="1:1" x14ac:dyDescent="0.25">
      <c r="A1511"/>
    </row>
    <row r="1512" spans="1:1" x14ac:dyDescent="0.25">
      <c r="A1512"/>
    </row>
    <row r="1513" spans="1:1" x14ac:dyDescent="0.25">
      <c r="A1513"/>
    </row>
    <row r="1514" spans="1:1" x14ac:dyDescent="0.25">
      <c r="A1514"/>
    </row>
    <row r="1515" spans="1:1" x14ac:dyDescent="0.25">
      <c r="A1515"/>
    </row>
    <row r="1516" spans="1:1" x14ac:dyDescent="0.25">
      <c r="A1516"/>
    </row>
    <row r="1517" spans="1:1" x14ac:dyDescent="0.25">
      <c r="A1517"/>
    </row>
    <row r="1518" spans="1:1" x14ac:dyDescent="0.25">
      <c r="A1518"/>
    </row>
    <row r="1519" spans="1:1" x14ac:dyDescent="0.25">
      <c r="A1519"/>
    </row>
    <row r="1520" spans="1:1" x14ac:dyDescent="0.25">
      <c r="A1520"/>
    </row>
    <row r="1521" spans="1:1" x14ac:dyDescent="0.25">
      <c r="A1521"/>
    </row>
    <row r="1522" spans="1:1" x14ac:dyDescent="0.25">
      <c r="A1522"/>
    </row>
    <row r="1523" spans="1:1" x14ac:dyDescent="0.25">
      <c r="A1523"/>
    </row>
    <row r="1524" spans="1:1" x14ac:dyDescent="0.25">
      <c r="A1524"/>
    </row>
    <row r="1525" spans="1:1" x14ac:dyDescent="0.25">
      <c r="A1525"/>
    </row>
    <row r="1526" spans="1:1" x14ac:dyDescent="0.25">
      <c r="A1526"/>
    </row>
    <row r="1527" spans="1:1" x14ac:dyDescent="0.25">
      <c r="A1527"/>
    </row>
    <row r="1528" spans="1:1" x14ac:dyDescent="0.25">
      <c r="A1528"/>
    </row>
    <row r="1529" spans="1:1" x14ac:dyDescent="0.25">
      <c r="A1529"/>
    </row>
    <row r="1530" spans="1:1" x14ac:dyDescent="0.25">
      <c r="A1530"/>
    </row>
    <row r="1531" spans="1:1" x14ac:dyDescent="0.25">
      <c r="A1531"/>
    </row>
    <row r="1532" spans="1:1" x14ac:dyDescent="0.25">
      <c r="A1532"/>
    </row>
    <row r="1533" spans="1:1" x14ac:dyDescent="0.25">
      <c r="A1533"/>
    </row>
    <row r="1534" spans="1:1" x14ac:dyDescent="0.25">
      <c r="A1534"/>
    </row>
    <row r="1535" spans="1:1" x14ac:dyDescent="0.25">
      <c r="A1535"/>
    </row>
    <row r="1536" spans="1:1" x14ac:dyDescent="0.25">
      <c r="A1536"/>
    </row>
    <row r="1537" spans="1:1" x14ac:dyDescent="0.25">
      <c r="A1537"/>
    </row>
    <row r="1538" spans="1:1" x14ac:dyDescent="0.25">
      <c r="A1538"/>
    </row>
    <row r="1539" spans="1:1" x14ac:dyDescent="0.25">
      <c r="A1539"/>
    </row>
    <row r="1540" spans="1:1" x14ac:dyDescent="0.25">
      <c r="A1540"/>
    </row>
    <row r="1541" spans="1:1" x14ac:dyDescent="0.25">
      <c r="A1541"/>
    </row>
    <row r="1542" spans="1:1" x14ac:dyDescent="0.25">
      <c r="A1542"/>
    </row>
    <row r="1543" spans="1:1" x14ac:dyDescent="0.25">
      <c r="A1543"/>
    </row>
    <row r="1544" spans="1:1" x14ac:dyDescent="0.25">
      <c r="A1544"/>
    </row>
    <row r="1545" spans="1:1" x14ac:dyDescent="0.25">
      <c r="A1545"/>
    </row>
    <row r="1546" spans="1:1" x14ac:dyDescent="0.25">
      <c r="A1546"/>
    </row>
    <row r="1547" spans="1:1" x14ac:dyDescent="0.25">
      <c r="A1547"/>
    </row>
    <row r="1548" spans="1:1" x14ac:dyDescent="0.25">
      <c r="A1548"/>
    </row>
    <row r="1549" spans="1:1" x14ac:dyDescent="0.25">
      <c r="A1549"/>
    </row>
    <row r="1550" spans="1:1" x14ac:dyDescent="0.25">
      <c r="A1550"/>
    </row>
    <row r="1551" spans="1:1" x14ac:dyDescent="0.25">
      <c r="A1551"/>
    </row>
    <row r="1552" spans="1:1" x14ac:dyDescent="0.25">
      <c r="A1552"/>
    </row>
    <row r="1553" spans="1:1" x14ac:dyDescent="0.25">
      <c r="A1553"/>
    </row>
    <row r="1554" spans="1:1" x14ac:dyDescent="0.25">
      <c r="A1554"/>
    </row>
    <row r="1555" spans="1:1" x14ac:dyDescent="0.25">
      <c r="A1555"/>
    </row>
    <row r="1556" spans="1:1" x14ac:dyDescent="0.25">
      <c r="A1556"/>
    </row>
    <row r="1557" spans="1:1" x14ac:dyDescent="0.25">
      <c r="A1557"/>
    </row>
    <row r="1558" spans="1:1" x14ac:dyDescent="0.25">
      <c r="A1558"/>
    </row>
    <row r="1559" spans="1:1" x14ac:dyDescent="0.25">
      <c r="A1559"/>
    </row>
    <row r="1560" spans="1:1" x14ac:dyDescent="0.25">
      <c r="A1560"/>
    </row>
    <row r="1561" spans="1:1" x14ac:dyDescent="0.25">
      <c r="A1561"/>
    </row>
    <row r="1562" spans="1:1" x14ac:dyDescent="0.25">
      <c r="A1562"/>
    </row>
    <row r="1563" spans="1:1" x14ac:dyDescent="0.25">
      <c r="A1563"/>
    </row>
    <row r="1564" spans="1:1" x14ac:dyDescent="0.25">
      <c r="A1564"/>
    </row>
    <row r="1565" spans="1:1" x14ac:dyDescent="0.25">
      <c r="A1565"/>
    </row>
    <row r="1566" spans="1:1" x14ac:dyDescent="0.25">
      <c r="A1566"/>
    </row>
    <row r="1567" spans="1:1" x14ac:dyDescent="0.25">
      <c r="A1567"/>
    </row>
    <row r="1568" spans="1:1" x14ac:dyDescent="0.25">
      <c r="A1568"/>
    </row>
    <row r="1569" spans="1:1" x14ac:dyDescent="0.25">
      <c r="A1569"/>
    </row>
    <row r="1570" spans="1:1" x14ac:dyDescent="0.25">
      <c r="A1570"/>
    </row>
    <row r="1571" spans="1:1" x14ac:dyDescent="0.25">
      <c r="A1571"/>
    </row>
    <row r="1572" spans="1:1" x14ac:dyDescent="0.25">
      <c r="A1572"/>
    </row>
    <row r="1573" spans="1:1" x14ac:dyDescent="0.25">
      <c r="A1573"/>
    </row>
    <row r="1574" spans="1:1" x14ac:dyDescent="0.25">
      <c r="A1574"/>
    </row>
    <row r="1575" spans="1:1" x14ac:dyDescent="0.25">
      <c r="A1575"/>
    </row>
    <row r="1576" spans="1:1" x14ac:dyDescent="0.25">
      <c r="A1576"/>
    </row>
    <row r="1577" spans="1:1" x14ac:dyDescent="0.25">
      <c r="A1577"/>
    </row>
    <row r="1578" spans="1:1" x14ac:dyDescent="0.25">
      <c r="A1578"/>
    </row>
    <row r="1579" spans="1:1" x14ac:dyDescent="0.25">
      <c r="A1579"/>
    </row>
    <row r="1580" spans="1:1" x14ac:dyDescent="0.25">
      <c r="A1580"/>
    </row>
    <row r="1581" spans="1:1" x14ac:dyDescent="0.25">
      <c r="A1581"/>
    </row>
    <row r="1582" spans="1:1" x14ac:dyDescent="0.25">
      <c r="A1582"/>
    </row>
    <row r="1583" spans="1:1" x14ac:dyDescent="0.25">
      <c r="A1583"/>
    </row>
    <row r="1584" spans="1:1" x14ac:dyDescent="0.25">
      <c r="A1584"/>
    </row>
    <row r="1585" spans="1:1" x14ac:dyDescent="0.25">
      <c r="A1585"/>
    </row>
    <row r="1586" spans="1:1" x14ac:dyDescent="0.25">
      <c r="A1586"/>
    </row>
    <row r="1587" spans="1:1" x14ac:dyDescent="0.25">
      <c r="A1587"/>
    </row>
    <row r="1588" spans="1:1" x14ac:dyDescent="0.25">
      <c r="A1588"/>
    </row>
    <row r="1589" spans="1:1" x14ac:dyDescent="0.25">
      <c r="A1589"/>
    </row>
    <row r="1590" spans="1:1" x14ac:dyDescent="0.25">
      <c r="A1590"/>
    </row>
    <row r="1591" spans="1:1" x14ac:dyDescent="0.25">
      <c r="A1591"/>
    </row>
    <row r="1592" spans="1:1" x14ac:dyDescent="0.25">
      <c r="A1592"/>
    </row>
    <row r="1593" spans="1:1" x14ac:dyDescent="0.25">
      <c r="A1593"/>
    </row>
    <row r="1594" spans="1:1" x14ac:dyDescent="0.25">
      <c r="A1594"/>
    </row>
    <row r="1595" spans="1:1" x14ac:dyDescent="0.25">
      <c r="A1595"/>
    </row>
    <row r="1596" spans="1:1" x14ac:dyDescent="0.25">
      <c r="A1596"/>
    </row>
    <row r="1597" spans="1:1" x14ac:dyDescent="0.25">
      <c r="A1597"/>
    </row>
    <row r="1598" spans="1:1" x14ac:dyDescent="0.25">
      <c r="A1598"/>
    </row>
    <row r="1599" spans="1:1" x14ac:dyDescent="0.25">
      <c r="A1599"/>
    </row>
    <row r="1600" spans="1:1" x14ac:dyDescent="0.25">
      <c r="A1600"/>
    </row>
    <row r="1601" spans="1:1" x14ac:dyDescent="0.25">
      <c r="A1601"/>
    </row>
    <row r="1602" spans="1:1" x14ac:dyDescent="0.25">
      <c r="A1602"/>
    </row>
    <row r="1603" spans="1:1" x14ac:dyDescent="0.25">
      <c r="A1603"/>
    </row>
    <row r="1604" spans="1:1" x14ac:dyDescent="0.25">
      <c r="A1604"/>
    </row>
    <row r="1605" spans="1:1" x14ac:dyDescent="0.25">
      <c r="A1605"/>
    </row>
    <row r="1606" spans="1:1" x14ac:dyDescent="0.25">
      <c r="A1606"/>
    </row>
    <row r="1607" spans="1:1" x14ac:dyDescent="0.25">
      <c r="A1607"/>
    </row>
    <row r="1608" spans="1:1" x14ac:dyDescent="0.25">
      <c r="A1608"/>
    </row>
    <row r="1609" spans="1:1" x14ac:dyDescent="0.25">
      <c r="A1609"/>
    </row>
    <row r="1610" spans="1:1" x14ac:dyDescent="0.25">
      <c r="A1610"/>
    </row>
    <row r="1611" spans="1:1" x14ac:dyDescent="0.25">
      <c r="A1611"/>
    </row>
    <row r="1612" spans="1:1" x14ac:dyDescent="0.25">
      <c r="A1612"/>
    </row>
    <row r="1613" spans="1:1" x14ac:dyDescent="0.25">
      <c r="A1613"/>
    </row>
    <row r="1614" spans="1:1" x14ac:dyDescent="0.25">
      <c r="A1614"/>
    </row>
    <row r="1615" spans="1:1" x14ac:dyDescent="0.25">
      <c r="A1615"/>
    </row>
    <row r="1616" spans="1:1" x14ac:dyDescent="0.25">
      <c r="A1616"/>
    </row>
    <row r="1617" spans="1:1" x14ac:dyDescent="0.25">
      <c r="A1617"/>
    </row>
    <row r="1618" spans="1:1" x14ac:dyDescent="0.25">
      <c r="A1618"/>
    </row>
    <row r="1619" spans="1:1" x14ac:dyDescent="0.25">
      <c r="A1619"/>
    </row>
    <row r="1620" spans="1:1" x14ac:dyDescent="0.25">
      <c r="A1620"/>
    </row>
    <row r="1621" spans="1:1" x14ac:dyDescent="0.25">
      <c r="A1621"/>
    </row>
    <row r="1622" spans="1:1" x14ac:dyDescent="0.25">
      <c r="A1622"/>
    </row>
    <row r="1623" spans="1:1" x14ac:dyDescent="0.25">
      <c r="A1623"/>
    </row>
    <row r="1624" spans="1:1" x14ac:dyDescent="0.25">
      <c r="A1624"/>
    </row>
    <row r="1625" spans="1:1" x14ac:dyDescent="0.25">
      <c r="A1625"/>
    </row>
    <row r="1626" spans="1:1" x14ac:dyDescent="0.25">
      <c r="A1626"/>
    </row>
    <row r="1627" spans="1:1" x14ac:dyDescent="0.25">
      <c r="A1627"/>
    </row>
    <row r="1628" spans="1:1" x14ac:dyDescent="0.25">
      <c r="A1628"/>
    </row>
    <row r="1629" spans="1:1" x14ac:dyDescent="0.25">
      <c r="A1629"/>
    </row>
    <row r="1630" spans="1:1" x14ac:dyDescent="0.25">
      <c r="A1630"/>
    </row>
    <row r="1631" spans="1:1" x14ac:dyDescent="0.25">
      <c r="A1631"/>
    </row>
    <row r="1632" spans="1:1" x14ac:dyDescent="0.25">
      <c r="A1632"/>
    </row>
    <row r="1633" spans="1:1" x14ac:dyDescent="0.25">
      <c r="A1633"/>
    </row>
    <row r="1634" spans="1:1" x14ac:dyDescent="0.25">
      <c r="A1634"/>
    </row>
    <row r="1635" spans="1:1" x14ac:dyDescent="0.25">
      <c r="A1635"/>
    </row>
    <row r="1636" spans="1:1" x14ac:dyDescent="0.25">
      <c r="A1636"/>
    </row>
    <row r="1637" spans="1:1" x14ac:dyDescent="0.25">
      <c r="A1637"/>
    </row>
    <row r="1638" spans="1:1" x14ac:dyDescent="0.25">
      <c r="A1638"/>
    </row>
    <row r="1639" spans="1:1" x14ac:dyDescent="0.25">
      <c r="A1639"/>
    </row>
    <row r="1640" spans="1:1" x14ac:dyDescent="0.25">
      <c r="A1640"/>
    </row>
    <row r="1641" spans="1:1" x14ac:dyDescent="0.25">
      <c r="A1641"/>
    </row>
    <row r="1642" spans="1:1" x14ac:dyDescent="0.25">
      <c r="A1642"/>
    </row>
    <row r="1643" spans="1:1" x14ac:dyDescent="0.25">
      <c r="A1643"/>
    </row>
    <row r="1644" spans="1:1" x14ac:dyDescent="0.25">
      <c r="A1644"/>
    </row>
    <row r="1645" spans="1:1" x14ac:dyDescent="0.25">
      <c r="A1645"/>
    </row>
    <row r="1646" spans="1:1" x14ac:dyDescent="0.25">
      <c r="A1646"/>
    </row>
    <row r="1647" spans="1:1" x14ac:dyDescent="0.25">
      <c r="A1647"/>
    </row>
    <row r="1648" spans="1:1" x14ac:dyDescent="0.25">
      <c r="A1648"/>
    </row>
    <row r="1649" spans="1:1" x14ac:dyDescent="0.25">
      <c r="A1649"/>
    </row>
    <row r="1650" spans="1:1" x14ac:dyDescent="0.25">
      <c r="A1650"/>
    </row>
    <row r="1651" spans="1:1" x14ac:dyDescent="0.25">
      <c r="A1651"/>
    </row>
    <row r="1652" spans="1:1" x14ac:dyDescent="0.25">
      <c r="A1652"/>
    </row>
    <row r="1653" spans="1:1" x14ac:dyDescent="0.25">
      <c r="A1653"/>
    </row>
    <row r="1654" spans="1:1" x14ac:dyDescent="0.25">
      <c r="A1654"/>
    </row>
    <row r="1655" spans="1:1" x14ac:dyDescent="0.25">
      <c r="A1655"/>
    </row>
    <row r="1656" spans="1:1" x14ac:dyDescent="0.25">
      <c r="A1656"/>
    </row>
    <row r="1657" spans="1:1" x14ac:dyDescent="0.25">
      <c r="A1657"/>
    </row>
    <row r="1658" spans="1:1" x14ac:dyDescent="0.25">
      <c r="A1658"/>
    </row>
    <row r="1659" spans="1:1" x14ac:dyDescent="0.25">
      <c r="A1659"/>
    </row>
    <row r="1660" spans="1:1" x14ac:dyDescent="0.25">
      <c r="A1660"/>
    </row>
    <row r="1661" spans="1:1" x14ac:dyDescent="0.25">
      <c r="A1661"/>
    </row>
    <row r="1662" spans="1:1" x14ac:dyDescent="0.25">
      <c r="A1662"/>
    </row>
    <row r="1663" spans="1:1" x14ac:dyDescent="0.25">
      <c r="A1663"/>
    </row>
    <row r="1664" spans="1:1" x14ac:dyDescent="0.25">
      <c r="A1664"/>
    </row>
    <row r="1665" spans="1:1" x14ac:dyDescent="0.25">
      <c r="A1665"/>
    </row>
    <row r="1666" spans="1:1" x14ac:dyDescent="0.25">
      <c r="A1666"/>
    </row>
    <row r="1667" spans="1:1" x14ac:dyDescent="0.25">
      <c r="A1667"/>
    </row>
    <row r="1668" spans="1:1" x14ac:dyDescent="0.25">
      <c r="A1668"/>
    </row>
    <row r="1669" spans="1:1" x14ac:dyDescent="0.25">
      <c r="A1669"/>
    </row>
    <row r="1670" spans="1:1" x14ac:dyDescent="0.25">
      <c r="A1670"/>
    </row>
    <row r="1671" spans="1:1" x14ac:dyDescent="0.25">
      <c r="A1671"/>
    </row>
    <row r="1672" spans="1:1" x14ac:dyDescent="0.25">
      <c r="A1672"/>
    </row>
    <row r="1673" spans="1:1" x14ac:dyDescent="0.25">
      <c r="A1673"/>
    </row>
    <row r="1674" spans="1:1" x14ac:dyDescent="0.25">
      <c r="A1674"/>
    </row>
    <row r="1675" spans="1:1" x14ac:dyDescent="0.25">
      <c r="A1675"/>
    </row>
    <row r="1676" spans="1:1" x14ac:dyDescent="0.25">
      <c r="A1676"/>
    </row>
    <row r="1677" spans="1:1" x14ac:dyDescent="0.25">
      <c r="A1677"/>
    </row>
    <row r="1678" spans="1:1" x14ac:dyDescent="0.25">
      <c r="A1678"/>
    </row>
    <row r="1679" spans="1:1" x14ac:dyDescent="0.25">
      <c r="A1679"/>
    </row>
    <row r="1680" spans="1:1" x14ac:dyDescent="0.25">
      <c r="A1680"/>
    </row>
    <row r="1681" spans="1:1" x14ac:dyDescent="0.25">
      <c r="A1681"/>
    </row>
    <row r="1682" spans="1:1" x14ac:dyDescent="0.25">
      <c r="A1682"/>
    </row>
    <row r="1683" spans="1:1" x14ac:dyDescent="0.25">
      <c r="A1683"/>
    </row>
    <row r="1684" spans="1:1" x14ac:dyDescent="0.25">
      <c r="A1684"/>
    </row>
    <row r="1685" spans="1:1" x14ac:dyDescent="0.25">
      <c r="A1685"/>
    </row>
    <row r="1686" spans="1:1" x14ac:dyDescent="0.25">
      <c r="A1686"/>
    </row>
    <row r="1687" spans="1:1" x14ac:dyDescent="0.25">
      <c r="A1687"/>
    </row>
    <row r="1688" spans="1:1" x14ac:dyDescent="0.25">
      <c r="A1688"/>
    </row>
    <row r="1689" spans="1:1" x14ac:dyDescent="0.25">
      <c r="A1689"/>
    </row>
    <row r="1690" spans="1:1" x14ac:dyDescent="0.25">
      <c r="A1690"/>
    </row>
    <row r="1691" spans="1:1" x14ac:dyDescent="0.25">
      <c r="A1691"/>
    </row>
    <row r="1692" spans="1:1" x14ac:dyDescent="0.25">
      <c r="A1692"/>
    </row>
    <row r="1693" spans="1:1" x14ac:dyDescent="0.25">
      <c r="A1693"/>
    </row>
    <row r="1694" spans="1:1" x14ac:dyDescent="0.25">
      <c r="A1694"/>
    </row>
    <row r="1695" spans="1:1" x14ac:dyDescent="0.25">
      <c r="A1695"/>
    </row>
    <row r="1696" spans="1:1" x14ac:dyDescent="0.25">
      <c r="A1696"/>
    </row>
    <row r="1697" spans="1:1" x14ac:dyDescent="0.25">
      <c r="A1697"/>
    </row>
    <row r="1698" spans="1:1" x14ac:dyDescent="0.25">
      <c r="A1698"/>
    </row>
    <row r="1699" spans="1:1" x14ac:dyDescent="0.25">
      <c r="A1699"/>
    </row>
    <row r="1700" spans="1:1" x14ac:dyDescent="0.25">
      <c r="A1700"/>
    </row>
    <row r="1701" spans="1:1" x14ac:dyDescent="0.25">
      <c r="A1701"/>
    </row>
    <row r="1702" spans="1:1" x14ac:dyDescent="0.25">
      <c r="A1702"/>
    </row>
    <row r="1703" spans="1:1" x14ac:dyDescent="0.25">
      <c r="A1703"/>
    </row>
    <row r="1704" spans="1:1" x14ac:dyDescent="0.25">
      <c r="A1704"/>
    </row>
    <row r="1705" spans="1:1" x14ac:dyDescent="0.25">
      <c r="A1705"/>
    </row>
    <row r="1706" spans="1:1" x14ac:dyDescent="0.25">
      <c r="A1706"/>
    </row>
    <row r="1707" spans="1:1" x14ac:dyDescent="0.25">
      <c r="A1707"/>
    </row>
    <row r="1708" spans="1:1" x14ac:dyDescent="0.25">
      <c r="A1708"/>
    </row>
    <row r="1709" spans="1:1" x14ac:dyDescent="0.25">
      <c r="A1709"/>
    </row>
    <row r="1710" spans="1:1" x14ac:dyDescent="0.25">
      <c r="A1710"/>
    </row>
    <row r="1711" spans="1:1" x14ac:dyDescent="0.25">
      <c r="A1711"/>
    </row>
    <row r="1712" spans="1:1" x14ac:dyDescent="0.25">
      <c r="A1712"/>
    </row>
    <row r="1713" spans="1:1" x14ac:dyDescent="0.25">
      <c r="A1713"/>
    </row>
    <row r="1714" spans="1:1" x14ac:dyDescent="0.25">
      <c r="A1714"/>
    </row>
    <row r="1715" spans="1:1" x14ac:dyDescent="0.25">
      <c r="A1715"/>
    </row>
    <row r="1716" spans="1:1" x14ac:dyDescent="0.25">
      <c r="A1716"/>
    </row>
    <row r="1717" spans="1:1" x14ac:dyDescent="0.25">
      <c r="A1717"/>
    </row>
    <row r="1718" spans="1:1" x14ac:dyDescent="0.25">
      <c r="A1718"/>
    </row>
    <row r="1719" spans="1:1" x14ac:dyDescent="0.25">
      <c r="A1719"/>
    </row>
    <row r="1720" spans="1:1" x14ac:dyDescent="0.25">
      <c r="A1720"/>
    </row>
    <row r="1721" spans="1:1" x14ac:dyDescent="0.25">
      <c r="A1721"/>
    </row>
    <row r="1722" spans="1:1" x14ac:dyDescent="0.25">
      <c r="A1722"/>
    </row>
    <row r="1723" spans="1:1" x14ac:dyDescent="0.25">
      <c r="A1723"/>
    </row>
    <row r="1724" spans="1:1" x14ac:dyDescent="0.25">
      <c r="A1724"/>
    </row>
    <row r="1725" spans="1:1" x14ac:dyDescent="0.25">
      <c r="A1725"/>
    </row>
    <row r="1726" spans="1:1" x14ac:dyDescent="0.25">
      <c r="A1726"/>
    </row>
    <row r="1727" spans="1:1" x14ac:dyDescent="0.25">
      <c r="A1727"/>
    </row>
    <row r="1728" spans="1:1" x14ac:dyDescent="0.25">
      <c r="A1728"/>
    </row>
    <row r="1729" spans="1:1" x14ac:dyDescent="0.25">
      <c r="A1729"/>
    </row>
    <row r="1730" spans="1:1" x14ac:dyDescent="0.25">
      <c r="A1730"/>
    </row>
    <row r="1731" spans="1:1" x14ac:dyDescent="0.25">
      <c r="A1731"/>
    </row>
    <row r="1732" spans="1:1" x14ac:dyDescent="0.25">
      <c r="A1732"/>
    </row>
    <row r="1733" spans="1:1" x14ac:dyDescent="0.25">
      <c r="A1733"/>
    </row>
    <row r="1734" spans="1:1" x14ac:dyDescent="0.25">
      <c r="A1734"/>
    </row>
    <row r="1735" spans="1:1" x14ac:dyDescent="0.25">
      <c r="A1735"/>
    </row>
    <row r="1736" spans="1:1" x14ac:dyDescent="0.25">
      <c r="A1736"/>
    </row>
    <row r="1737" spans="1:1" x14ac:dyDescent="0.25">
      <c r="A1737"/>
    </row>
    <row r="1738" spans="1:1" x14ac:dyDescent="0.25">
      <c r="A1738"/>
    </row>
    <row r="1739" spans="1:1" x14ac:dyDescent="0.25">
      <c r="A1739"/>
    </row>
    <row r="1740" spans="1:1" x14ac:dyDescent="0.25">
      <c r="A1740"/>
    </row>
    <row r="1741" spans="1:1" x14ac:dyDescent="0.25">
      <c r="A1741"/>
    </row>
    <row r="1742" spans="1:1" x14ac:dyDescent="0.25">
      <c r="A1742"/>
    </row>
    <row r="1743" spans="1:1" x14ac:dyDescent="0.25">
      <c r="A1743"/>
    </row>
    <row r="1744" spans="1:1" x14ac:dyDescent="0.25">
      <c r="A1744"/>
    </row>
    <row r="1745" spans="1:1" x14ac:dyDescent="0.25">
      <c r="A1745"/>
    </row>
    <row r="1746" spans="1:1" x14ac:dyDescent="0.25">
      <c r="A1746"/>
    </row>
    <row r="1747" spans="1:1" x14ac:dyDescent="0.25">
      <c r="A1747"/>
    </row>
    <row r="1748" spans="1:1" x14ac:dyDescent="0.25">
      <c r="A1748"/>
    </row>
    <row r="1749" spans="1:1" x14ac:dyDescent="0.25">
      <c r="A1749"/>
    </row>
    <row r="1750" spans="1:1" x14ac:dyDescent="0.25">
      <c r="A1750"/>
    </row>
    <row r="1751" spans="1:1" x14ac:dyDescent="0.25">
      <c r="A1751"/>
    </row>
    <row r="1752" spans="1:1" x14ac:dyDescent="0.25">
      <c r="A1752"/>
    </row>
    <row r="1753" spans="1:1" x14ac:dyDescent="0.25">
      <c r="A1753"/>
    </row>
    <row r="1754" spans="1:1" x14ac:dyDescent="0.25">
      <c r="A1754"/>
    </row>
    <row r="1755" spans="1:1" x14ac:dyDescent="0.25">
      <c r="A1755"/>
    </row>
    <row r="1756" spans="1:1" x14ac:dyDescent="0.25">
      <c r="A1756"/>
    </row>
    <row r="1757" spans="1:1" x14ac:dyDescent="0.25">
      <c r="A1757"/>
    </row>
    <row r="1758" spans="1:1" x14ac:dyDescent="0.25">
      <c r="A1758"/>
    </row>
    <row r="1759" spans="1:1" x14ac:dyDescent="0.25">
      <c r="A1759"/>
    </row>
    <row r="1760" spans="1:1" x14ac:dyDescent="0.25">
      <c r="A1760"/>
    </row>
    <row r="1761" spans="1:1" x14ac:dyDescent="0.25">
      <c r="A1761"/>
    </row>
    <row r="1762" spans="1:1" x14ac:dyDescent="0.25">
      <c r="A1762"/>
    </row>
    <row r="1763" spans="1:1" x14ac:dyDescent="0.25">
      <c r="A1763"/>
    </row>
    <row r="1764" spans="1:1" x14ac:dyDescent="0.25">
      <c r="A1764"/>
    </row>
    <row r="1765" spans="1:1" x14ac:dyDescent="0.25">
      <c r="A1765"/>
    </row>
    <row r="1766" spans="1:1" x14ac:dyDescent="0.25">
      <c r="A1766"/>
    </row>
    <row r="1767" spans="1:1" x14ac:dyDescent="0.25">
      <c r="A1767"/>
    </row>
    <row r="1768" spans="1:1" x14ac:dyDescent="0.25">
      <c r="A1768"/>
    </row>
    <row r="1769" spans="1:1" x14ac:dyDescent="0.25">
      <c r="A1769"/>
    </row>
    <row r="1770" spans="1:1" x14ac:dyDescent="0.25">
      <c r="A1770"/>
    </row>
    <row r="1771" spans="1:1" x14ac:dyDescent="0.25">
      <c r="A1771"/>
    </row>
    <row r="1772" spans="1:1" x14ac:dyDescent="0.25">
      <c r="A1772"/>
    </row>
    <row r="1773" spans="1:1" x14ac:dyDescent="0.25">
      <c r="A1773"/>
    </row>
    <row r="1774" spans="1:1" x14ac:dyDescent="0.25">
      <c r="A1774"/>
    </row>
    <row r="1775" spans="1:1" x14ac:dyDescent="0.25">
      <c r="A1775"/>
    </row>
    <row r="1776" spans="1:1" x14ac:dyDescent="0.25">
      <c r="A1776"/>
    </row>
    <row r="1777" spans="1:1" x14ac:dyDescent="0.25">
      <c r="A1777"/>
    </row>
    <row r="1778" spans="1:1" x14ac:dyDescent="0.25">
      <c r="A1778"/>
    </row>
    <row r="1779" spans="1:1" x14ac:dyDescent="0.25">
      <c r="A1779"/>
    </row>
    <row r="1780" spans="1:1" x14ac:dyDescent="0.25">
      <c r="A1780"/>
    </row>
    <row r="1781" spans="1:1" x14ac:dyDescent="0.25">
      <c r="A1781"/>
    </row>
    <row r="1782" spans="1:1" x14ac:dyDescent="0.25">
      <c r="A1782"/>
    </row>
    <row r="1783" spans="1:1" x14ac:dyDescent="0.25">
      <c r="A1783"/>
    </row>
    <row r="1784" spans="1:1" x14ac:dyDescent="0.25">
      <c r="A1784"/>
    </row>
    <row r="1785" spans="1:1" x14ac:dyDescent="0.25">
      <c r="A1785"/>
    </row>
    <row r="1786" spans="1:1" x14ac:dyDescent="0.25">
      <c r="A1786"/>
    </row>
    <row r="1787" spans="1:1" x14ac:dyDescent="0.25">
      <c r="A1787"/>
    </row>
    <row r="1788" spans="1:1" x14ac:dyDescent="0.25">
      <c r="A1788"/>
    </row>
    <row r="1789" spans="1:1" x14ac:dyDescent="0.25">
      <c r="A1789"/>
    </row>
    <row r="1790" spans="1:1" x14ac:dyDescent="0.25">
      <c r="A1790"/>
    </row>
    <row r="1791" spans="1:1" x14ac:dyDescent="0.25">
      <c r="A1791"/>
    </row>
    <row r="1792" spans="1:1" x14ac:dyDescent="0.25">
      <c r="A1792"/>
    </row>
    <row r="1793" spans="1:1" x14ac:dyDescent="0.25">
      <c r="A1793"/>
    </row>
    <row r="1794" spans="1:1" x14ac:dyDescent="0.25">
      <c r="A1794"/>
    </row>
    <row r="1795" spans="1:1" x14ac:dyDescent="0.25">
      <c r="A1795"/>
    </row>
    <row r="1796" spans="1:1" x14ac:dyDescent="0.25">
      <c r="A1796"/>
    </row>
    <row r="1797" spans="1:1" x14ac:dyDescent="0.25">
      <c r="A1797"/>
    </row>
    <row r="1798" spans="1:1" x14ac:dyDescent="0.25">
      <c r="A1798"/>
    </row>
    <row r="1799" spans="1:1" x14ac:dyDescent="0.25">
      <c r="A1799"/>
    </row>
    <row r="1800" spans="1:1" x14ac:dyDescent="0.25">
      <c r="A1800"/>
    </row>
    <row r="1801" spans="1:1" x14ac:dyDescent="0.25">
      <c r="A1801"/>
    </row>
    <row r="1802" spans="1:1" x14ac:dyDescent="0.25">
      <c r="A1802"/>
    </row>
    <row r="1803" spans="1:1" x14ac:dyDescent="0.25">
      <c r="A1803"/>
    </row>
    <row r="1804" spans="1:1" x14ac:dyDescent="0.25">
      <c r="A1804"/>
    </row>
    <row r="1805" spans="1:1" x14ac:dyDescent="0.25">
      <c r="A1805"/>
    </row>
    <row r="1806" spans="1:1" x14ac:dyDescent="0.25">
      <c r="A1806"/>
    </row>
    <row r="1807" spans="1:1" x14ac:dyDescent="0.25">
      <c r="A1807"/>
    </row>
    <row r="1808" spans="1:1" x14ac:dyDescent="0.25">
      <c r="A1808"/>
    </row>
    <row r="1809" spans="1:1" x14ac:dyDescent="0.25">
      <c r="A1809"/>
    </row>
    <row r="1810" spans="1:1" x14ac:dyDescent="0.25">
      <c r="A1810"/>
    </row>
    <row r="1811" spans="1:1" x14ac:dyDescent="0.25">
      <c r="A1811"/>
    </row>
    <row r="1812" spans="1:1" x14ac:dyDescent="0.25">
      <c r="A1812"/>
    </row>
    <row r="1813" spans="1:1" x14ac:dyDescent="0.25">
      <c r="A1813"/>
    </row>
    <row r="1814" spans="1:1" x14ac:dyDescent="0.25">
      <c r="A1814"/>
    </row>
    <row r="1815" spans="1:1" x14ac:dyDescent="0.25">
      <c r="A1815"/>
    </row>
    <row r="1816" spans="1:1" x14ac:dyDescent="0.25">
      <c r="A1816"/>
    </row>
    <row r="1817" spans="1:1" x14ac:dyDescent="0.25">
      <c r="A1817"/>
    </row>
    <row r="1818" spans="1:1" x14ac:dyDescent="0.25">
      <c r="A1818"/>
    </row>
    <row r="1819" spans="1:1" x14ac:dyDescent="0.25">
      <c r="A1819"/>
    </row>
    <row r="1820" spans="1:1" x14ac:dyDescent="0.25">
      <c r="A1820"/>
    </row>
    <row r="1821" spans="1:1" x14ac:dyDescent="0.25">
      <c r="A1821"/>
    </row>
    <row r="1822" spans="1:1" x14ac:dyDescent="0.25">
      <c r="A1822"/>
    </row>
    <row r="1823" spans="1:1" x14ac:dyDescent="0.25">
      <c r="A1823"/>
    </row>
    <row r="1824" spans="1:1" x14ac:dyDescent="0.25">
      <c r="A1824"/>
    </row>
    <row r="1825" spans="1:1" x14ac:dyDescent="0.25">
      <c r="A1825"/>
    </row>
    <row r="1826" spans="1:1" x14ac:dyDescent="0.25">
      <c r="A1826"/>
    </row>
    <row r="1827" spans="1:1" x14ac:dyDescent="0.25">
      <c r="A1827"/>
    </row>
    <row r="1828" spans="1:1" x14ac:dyDescent="0.25">
      <c r="A1828"/>
    </row>
    <row r="1829" spans="1:1" x14ac:dyDescent="0.25">
      <c r="A1829"/>
    </row>
    <row r="1830" spans="1:1" x14ac:dyDescent="0.25">
      <c r="A1830"/>
    </row>
    <row r="1831" spans="1:1" x14ac:dyDescent="0.25">
      <c r="A1831"/>
    </row>
    <row r="1832" spans="1:1" x14ac:dyDescent="0.25">
      <c r="A1832"/>
    </row>
    <row r="1833" spans="1:1" x14ac:dyDescent="0.25">
      <c r="A1833"/>
    </row>
    <row r="1834" spans="1:1" x14ac:dyDescent="0.25">
      <c r="A1834"/>
    </row>
    <row r="1835" spans="1:1" x14ac:dyDescent="0.25">
      <c r="A1835"/>
    </row>
    <row r="1836" spans="1:1" x14ac:dyDescent="0.25">
      <c r="A1836"/>
    </row>
    <row r="1837" spans="1:1" x14ac:dyDescent="0.25">
      <c r="A1837"/>
    </row>
    <row r="1838" spans="1:1" x14ac:dyDescent="0.25">
      <c r="A1838"/>
    </row>
    <row r="1839" spans="1:1" x14ac:dyDescent="0.25">
      <c r="A1839"/>
    </row>
    <row r="1840" spans="1:1" x14ac:dyDescent="0.25">
      <c r="A1840"/>
    </row>
    <row r="1841" spans="1:1" x14ac:dyDescent="0.25">
      <c r="A1841"/>
    </row>
    <row r="1842" spans="1:1" x14ac:dyDescent="0.25">
      <c r="A1842"/>
    </row>
    <row r="1843" spans="1:1" x14ac:dyDescent="0.25">
      <c r="A1843"/>
    </row>
    <row r="1844" spans="1:1" x14ac:dyDescent="0.25">
      <c r="A1844"/>
    </row>
    <row r="1845" spans="1:1" x14ac:dyDescent="0.25">
      <c r="A1845"/>
    </row>
    <row r="1846" spans="1:1" x14ac:dyDescent="0.25">
      <c r="A1846"/>
    </row>
    <row r="1847" spans="1:1" x14ac:dyDescent="0.25">
      <c r="A1847"/>
    </row>
    <row r="1848" spans="1:1" x14ac:dyDescent="0.25">
      <c r="A1848"/>
    </row>
    <row r="1849" spans="1:1" x14ac:dyDescent="0.25">
      <c r="A1849"/>
    </row>
    <row r="1850" spans="1:1" x14ac:dyDescent="0.25">
      <c r="A1850"/>
    </row>
    <row r="1851" spans="1:1" x14ac:dyDescent="0.25">
      <c r="A1851"/>
    </row>
    <row r="1852" spans="1:1" x14ac:dyDescent="0.25">
      <c r="A1852"/>
    </row>
    <row r="1853" spans="1:1" x14ac:dyDescent="0.25">
      <c r="A1853"/>
    </row>
    <row r="1854" spans="1:1" x14ac:dyDescent="0.25">
      <c r="A1854"/>
    </row>
    <row r="1855" spans="1:1" x14ac:dyDescent="0.25">
      <c r="A1855"/>
    </row>
    <row r="1856" spans="1:1" x14ac:dyDescent="0.25">
      <c r="A1856"/>
    </row>
    <row r="1857" spans="1:1" x14ac:dyDescent="0.25">
      <c r="A1857"/>
    </row>
    <row r="1858" spans="1:1" x14ac:dyDescent="0.25">
      <c r="A1858"/>
    </row>
    <row r="1859" spans="1:1" x14ac:dyDescent="0.25">
      <c r="A1859"/>
    </row>
    <row r="1860" spans="1:1" x14ac:dyDescent="0.25">
      <c r="A1860"/>
    </row>
    <row r="1861" spans="1:1" x14ac:dyDescent="0.25">
      <c r="A1861"/>
    </row>
    <row r="1862" spans="1:1" x14ac:dyDescent="0.25">
      <c r="A1862"/>
    </row>
    <row r="1863" spans="1:1" x14ac:dyDescent="0.25">
      <c r="A1863"/>
    </row>
    <row r="1864" spans="1:1" x14ac:dyDescent="0.25">
      <c r="A1864"/>
    </row>
    <row r="1865" spans="1:1" x14ac:dyDescent="0.25">
      <c r="A1865"/>
    </row>
    <row r="1866" spans="1:1" x14ac:dyDescent="0.25">
      <c r="A1866"/>
    </row>
    <row r="1867" spans="1:1" x14ac:dyDescent="0.25">
      <c r="A1867"/>
    </row>
    <row r="1868" spans="1:1" x14ac:dyDescent="0.25">
      <c r="A1868"/>
    </row>
    <row r="1869" spans="1:1" x14ac:dyDescent="0.25">
      <c r="A1869"/>
    </row>
    <row r="1870" spans="1:1" x14ac:dyDescent="0.25">
      <c r="A1870"/>
    </row>
    <row r="1871" spans="1:1" x14ac:dyDescent="0.25">
      <c r="A1871"/>
    </row>
    <row r="1872" spans="1:1" x14ac:dyDescent="0.25">
      <c r="A1872"/>
    </row>
    <row r="1873" spans="1:1" x14ac:dyDescent="0.25">
      <c r="A1873"/>
    </row>
    <row r="1874" spans="1:1" x14ac:dyDescent="0.25">
      <c r="A1874"/>
    </row>
    <row r="1875" spans="1:1" x14ac:dyDescent="0.25">
      <c r="A1875"/>
    </row>
    <row r="1876" spans="1:1" x14ac:dyDescent="0.25">
      <c r="A1876"/>
    </row>
    <row r="1877" spans="1:1" x14ac:dyDescent="0.25">
      <c r="A1877"/>
    </row>
    <row r="1878" spans="1:1" x14ac:dyDescent="0.25">
      <c r="A1878"/>
    </row>
    <row r="1879" spans="1:1" x14ac:dyDescent="0.25">
      <c r="A1879"/>
    </row>
    <row r="1880" spans="1:1" x14ac:dyDescent="0.25">
      <c r="A1880"/>
    </row>
    <row r="1881" spans="1:1" x14ac:dyDescent="0.25">
      <c r="A1881"/>
    </row>
    <row r="1882" spans="1:1" x14ac:dyDescent="0.25">
      <c r="A1882"/>
    </row>
    <row r="1883" spans="1:1" x14ac:dyDescent="0.25">
      <c r="A1883"/>
    </row>
    <row r="1884" spans="1:1" x14ac:dyDescent="0.25">
      <c r="A1884"/>
    </row>
    <row r="1885" spans="1:1" x14ac:dyDescent="0.25">
      <c r="A1885"/>
    </row>
    <row r="1886" spans="1:1" x14ac:dyDescent="0.25">
      <c r="A1886"/>
    </row>
    <row r="1887" spans="1:1" x14ac:dyDescent="0.25">
      <c r="A1887"/>
    </row>
    <row r="1888" spans="1:1" x14ac:dyDescent="0.25">
      <c r="A1888"/>
    </row>
    <row r="1889" spans="1:1" x14ac:dyDescent="0.25">
      <c r="A1889"/>
    </row>
    <row r="1890" spans="1:1" x14ac:dyDescent="0.25">
      <c r="A1890"/>
    </row>
    <row r="1891" spans="1:1" x14ac:dyDescent="0.25">
      <c r="A1891"/>
    </row>
    <row r="1892" spans="1:1" x14ac:dyDescent="0.25">
      <c r="A1892"/>
    </row>
    <row r="1893" spans="1:1" x14ac:dyDescent="0.25">
      <c r="A1893"/>
    </row>
    <row r="1894" spans="1:1" x14ac:dyDescent="0.25">
      <c r="A1894"/>
    </row>
    <row r="1895" spans="1:1" x14ac:dyDescent="0.25">
      <c r="A1895"/>
    </row>
    <row r="1896" spans="1:1" x14ac:dyDescent="0.25">
      <c r="A1896"/>
    </row>
    <row r="1897" spans="1:1" x14ac:dyDescent="0.25">
      <c r="A1897"/>
    </row>
    <row r="1898" spans="1:1" x14ac:dyDescent="0.25">
      <c r="A1898"/>
    </row>
    <row r="1899" spans="1:1" x14ac:dyDescent="0.25">
      <c r="A1899"/>
    </row>
    <row r="1900" spans="1:1" x14ac:dyDescent="0.25">
      <c r="A1900"/>
    </row>
    <row r="1901" spans="1:1" x14ac:dyDescent="0.25">
      <c r="A1901"/>
    </row>
    <row r="1902" spans="1:1" x14ac:dyDescent="0.25">
      <c r="A1902"/>
    </row>
    <row r="1903" spans="1:1" x14ac:dyDescent="0.25">
      <c r="A1903"/>
    </row>
    <row r="1904" spans="1:1" x14ac:dyDescent="0.25">
      <c r="A1904"/>
    </row>
    <row r="1905" spans="1:1" x14ac:dyDescent="0.25">
      <c r="A1905"/>
    </row>
    <row r="1906" spans="1:1" x14ac:dyDescent="0.25">
      <c r="A1906"/>
    </row>
    <row r="1907" spans="1:1" x14ac:dyDescent="0.25">
      <c r="A1907"/>
    </row>
    <row r="1908" spans="1:1" x14ac:dyDescent="0.25">
      <c r="A1908"/>
    </row>
    <row r="1909" spans="1:1" x14ac:dyDescent="0.25">
      <c r="A1909"/>
    </row>
    <row r="1910" spans="1:1" x14ac:dyDescent="0.25">
      <c r="A1910"/>
    </row>
    <row r="1911" spans="1:1" x14ac:dyDescent="0.25">
      <c r="A1911"/>
    </row>
    <row r="1912" spans="1:1" x14ac:dyDescent="0.25">
      <c r="A1912"/>
    </row>
    <row r="1913" spans="1:1" x14ac:dyDescent="0.25">
      <c r="A1913"/>
    </row>
    <row r="1914" spans="1:1" x14ac:dyDescent="0.25">
      <c r="A1914"/>
    </row>
    <row r="1915" spans="1:1" x14ac:dyDescent="0.25">
      <c r="A1915"/>
    </row>
    <row r="1916" spans="1:1" x14ac:dyDescent="0.25">
      <c r="A1916"/>
    </row>
    <row r="1917" spans="1:1" x14ac:dyDescent="0.25">
      <c r="A1917"/>
    </row>
    <row r="1918" spans="1:1" x14ac:dyDescent="0.25">
      <c r="A1918"/>
    </row>
    <row r="1919" spans="1:1" x14ac:dyDescent="0.25">
      <c r="A1919"/>
    </row>
    <row r="1920" spans="1:1" x14ac:dyDescent="0.25">
      <c r="A1920"/>
    </row>
    <row r="1921" spans="1:1" x14ac:dyDescent="0.25">
      <c r="A1921"/>
    </row>
    <row r="1922" spans="1:1" x14ac:dyDescent="0.25">
      <c r="A1922"/>
    </row>
    <row r="1923" spans="1:1" x14ac:dyDescent="0.25">
      <c r="A1923"/>
    </row>
    <row r="1924" spans="1:1" x14ac:dyDescent="0.25">
      <c r="A1924"/>
    </row>
    <row r="1925" spans="1:1" x14ac:dyDescent="0.25">
      <c r="A1925"/>
    </row>
    <row r="1926" spans="1:1" x14ac:dyDescent="0.25">
      <c r="A1926"/>
    </row>
    <row r="1927" spans="1:1" x14ac:dyDescent="0.25">
      <c r="A1927"/>
    </row>
    <row r="1928" spans="1:1" x14ac:dyDescent="0.25">
      <c r="A1928"/>
    </row>
    <row r="1929" spans="1:1" x14ac:dyDescent="0.25">
      <c r="A1929"/>
    </row>
    <row r="1930" spans="1:1" x14ac:dyDescent="0.25">
      <c r="A1930"/>
    </row>
    <row r="1931" spans="1:1" x14ac:dyDescent="0.25">
      <c r="A1931"/>
    </row>
    <row r="1932" spans="1:1" x14ac:dyDescent="0.25">
      <c r="A1932"/>
    </row>
    <row r="1933" spans="1:1" x14ac:dyDescent="0.25">
      <c r="A1933"/>
    </row>
    <row r="1934" spans="1:1" x14ac:dyDescent="0.25">
      <c r="A1934"/>
    </row>
    <row r="1935" spans="1:1" x14ac:dyDescent="0.25">
      <c r="A1935"/>
    </row>
    <row r="1936" spans="1:1" x14ac:dyDescent="0.25">
      <c r="A1936"/>
    </row>
    <row r="1937" spans="1:1" x14ac:dyDescent="0.25">
      <c r="A1937"/>
    </row>
    <row r="1938" spans="1:1" x14ac:dyDescent="0.25">
      <c r="A1938"/>
    </row>
    <row r="1939" spans="1:1" x14ac:dyDescent="0.25">
      <c r="A1939"/>
    </row>
    <row r="1940" spans="1:1" x14ac:dyDescent="0.25">
      <c r="A1940"/>
    </row>
    <row r="1941" spans="1:1" x14ac:dyDescent="0.25">
      <c r="A1941"/>
    </row>
    <row r="1942" spans="1:1" x14ac:dyDescent="0.25">
      <c r="A1942"/>
    </row>
    <row r="1943" spans="1:1" x14ac:dyDescent="0.25">
      <c r="A1943"/>
    </row>
    <row r="1944" spans="1:1" x14ac:dyDescent="0.25">
      <c r="A1944"/>
    </row>
    <row r="1945" spans="1:1" x14ac:dyDescent="0.25">
      <c r="A1945"/>
    </row>
    <row r="1946" spans="1:1" x14ac:dyDescent="0.25">
      <c r="A1946"/>
    </row>
    <row r="1947" spans="1:1" x14ac:dyDescent="0.25">
      <c r="A1947"/>
    </row>
    <row r="1948" spans="1:1" x14ac:dyDescent="0.25">
      <c r="A1948"/>
    </row>
    <row r="1949" spans="1:1" x14ac:dyDescent="0.25">
      <c r="A1949"/>
    </row>
    <row r="1950" spans="1:1" x14ac:dyDescent="0.25">
      <c r="A1950"/>
    </row>
    <row r="1951" spans="1:1" x14ac:dyDescent="0.25">
      <c r="A1951"/>
    </row>
    <row r="1952" spans="1:1" x14ac:dyDescent="0.25">
      <c r="A1952"/>
    </row>
    <row r="1953" spans="1:1" x14ac:dyDescent="0.25">
      <c r="A1953"/>
    </row>
    <row r="1954" spans="1:1" x14ac:dyDescent="0.25">
      <c r="A1954"/>
    </row>
    <row r="1955" spans="1:1" x14ac:dyDescent="0.25">
      <c r="A1955"/>
    </row>
    <row r="1956" spans="1:1" x14ac:dyDescent="0.25">
      <c r="A1956"/>
    </row>
    <row r="1957" spans="1:1" x14ac:dyDescent="0.25">
      <c r="A1957"/>
    </row>
    <row r="1958" spans="1:1" x14ac:dyDescent="0.25">
      <c r="A1958"/>
    </row>
    <row r="1959" spans="1:1" x14ac:dyDescent="0.25">
      <c r="A1959"/>
    </row>
    <row r="1960" spans="1:1" x14ac:dyDescent="0.25">
      <c r="A1960"/>
    </row>
    <row r="1961" spans="1:1" x14ac:dyDescent="0.25">
      <c r="A1961"/>
    </row>
    <row r="1962" spans="1:1" x14ac:dyDescent="0.25">
      <c r="A1962"/>
    </row>
    <row r="1963" spans="1:1" x14ac:dyDescent="0.25">
      <c r="A1963"/>
    </row>
    <row r="1964" spans="1:1" x14ac:dyDescent="0.25">
      <c r="A1964"/>
    </row>
    <row r="1965" spans="1:1" x14ac:dyDescent="0.25">
      <c r="A1965"/>
    </row>
    <row r="1966" spans="1:1" x14ac:dyDescent="0.25">
      <c r="A1966"/>
    </row>
    <row r="1967" spans="1:1" x14ac:dyDescent="0.25">
      <c r="A1967"/>
    </row>
    <row r="1968" spans="1:1" x14ac:dyDescent="0.25">
      <c r="A1968"/>
    </row>
    <row r="1969" spans="1:1" x14ac:dyDescent="0.25">
      <c r="A1969"/>
    </row>
    <row r="1970" spans="1:1" x14ac:dyDescent="0.25">
      <c r="A1970"/>
    </row>
    <row r="1971" spans="1:1" x14ac:dyDescent="0.25">
      <c r="A1971"/>
    </row>
    <row r="1972" spans="1:1" x14ac:dyDescent="0.25">
      <c r="A1972"/>
    </row>
    <row r="1973" spans="1:1" x14ac:dyDescent="0.25">
      <c r="A1973"/>
    </row>
    <row r="1974" spans="1:1" x14ac:dyDescent="0.25">
      <c r="A1974"/>
    </row>
    <row r="1975" spans="1:1" x14ac:dyDescent="0.25">
      <c r="A1975"/>
    </row>
    <row r="1976" spans="1:1" x14ac:dyDescent="0.25">
      <c r="A1976"/>
    </row>
    <row r="1977" spans="1:1" x14ac:dyDescent="0.25">
      <c r="A1977"/>
    </row>
    <row r="1978" spans="1:1" x14ac:dyDescent="0.25">
      <c r="A1978"/>
    </row>
    <row r="1979" spans="1:1" x14ac:dyDescent="0.25">
      <c r="A1979"/>
    </row>
    <row r="1980" spans="1:1" x14ac:dyDescent="0.25">
      <c r="A1980"/>
    </row>
    <row r="1981" spans="1:1" x14ac:dyDescent="0.25">
      <c r="A1981"/>
    </row>
    <row r="1982" spans="1:1" x14ac:dyDescent="0.25">
      <c r="A1982"/>
    </row>
    <row r="1983" spans="1:1" x14ac:dyDescent="0.25">
      <c r="A1983"/>
    </row>
    <row r="1984" spans="1:1" x14ac:dyDescent="0.25">
      <c r="A1984"/>
    </row>
    <row r="1985" spans="1:1" x14ac:dyDescent="0.25">
      <c r="A1985"/>
    </row>
    <row r="1986" spans="1:1" x14ac:dyDescent="0.25">
      <c r="A1986"/>
    </row>
    <row r="1987" spans="1:1" x14ac:dyDescent="0.25">
      <c r="A1987"/>
    </row>
    <row r="1988" spans="1:1" x14ac:dyDescent="0.25">
      <c r="A1988"/>
    </row>
    <row r="1989" spans="1:1" x14ac:dyDescent="0.25">
      <c r="A1989"/>
    </row>
    <row r="1990" spans="1:1" x14ac:dyDescent="0.25">
      <c r="A1990"/>
    </row>
    <row r="1991" spans="1:1" x14ac:dyDescent="0.25">
      <c r="A1991"/>
    </row>
    <row r="1992" spans="1:1" x14ac:dyDescent="0.25">
      <c r="A1992"/>
    </row>
    <row r="1993" spans="1:1" x14ac:dyDescent="0.25">
      <c r="A1993"/>
    </row>
    <row r="1994" spans="1:1" x14ac:dyDescent="0.25">
      <c r="A1994"/>
    </row>
    <row r="1995" spans="1:1" x14ac:dyDescent="0.25">
      <c r="A1995"/>
    </row>
    <row r="1996" spans="1:1" x14ac:dyDescent="0.25">
      <c r="A1996"/>
    </row>
    <row r="1997" spans="1:1" x14ac:dyDescent="0.25">
      <c r="A1997"/>
    </row>
    <row r="1998" spans="1:1" x14ac:dyDescent="0.25">
      <c r="A1998"/>
    </row>
    <row r="1999" spans="1:1" x14ac:dyDescent="0.25">
      <c r="A1999"/>
    </row>
    <row r="2000" spans="1:1" x14ac:dyDescent="0.25">
      <c r="A2000"/>
    </row>
    <row r="2001" spans="1:1" x14ac:dyDescent="0.25">
      <c r="A2001"/>
    </row>
    <row r="2002" spans="1:1" x14ac:dyDescent="0.25">
      <c r="A2002"/>
    </row>
    <row r="2003" spans="1:1" x14ac:dyDescent="0.25">
      <c r="A2003"/>
    </row>
    <row r="2004" spans="1:1" x14ac:dyDescent="0.25">
      <c r="A2004"/>
    </row>
    <row r="2005" spans="1:1" x14ac:dyDescent="0.25">
      <c r="A2005"/>
    </row>
    <row r="2006" spans="1:1" x14ac:dyDescent="0.25">
      <c r="A2006"/>
    </row>
    <row r="2007" spans="1:1" x14ac:dyDescent="0.25">
      <c r="A2007"/>
    </row>
    <row r="2008" spans="1:1" x14ac:dyDescent="0.25">
      <c r="A2008"/>
    </row>
    <row r="2009" spans="1:1" x14ac:dyDescent="0.25">
      <c r="A2009"/>
    </row>
    <row r="2010" spans="1:1" x14ac:dyDescent="0.25">
      <c r="A2010"/>
    </row>
    <row r="2011" spans="1:1" x14ac:dyDescent="0.25">
      <c r="A2011"/>
    </row>
    <row r="2012" spans="1:1" x14ac:dyDescent="0.25">
      <c r="A2012"/>
    </row>
    <row r="2013" spans="1:1" x14ac:dyDescent="0.25">
      <c r="A2013"/>
    </row>
    <row r="2014" spans="1:1" x14ac:dyDescent="0.25">
      <c r="A2014"/>
    </row>
    <row r="2015" spans="1:1" x14ac:dyDescent="0.25">
      <c r="A2015"/>
    </row>
    <row r="2016" spans="1:1" x14ac:dyDescent="0.25">
      <c r="A2016"/>
    </row>
    <row r="2017" spans="1:1" x14ac:dyDescent="0.25">
      <c r="A2017"/>
    </row>
    <row r="2018" spans="1:1" x14ac:dyDescent="0.25">
      <c r="A2018"/>
    </row>
    <row r="2019" spans="1:1" x14ac:dyDescent="0.25">
      <c r="A2019"/>
    </row>
    <row r="2020" spans="1:1" x14ac:dyDescent="0.25">
      <c r="A2020"/>
    </row>
    <row r="2021" spans="1:1" x14ac:dyDescent="0.25">
      <c r="A2021"/>
    </row>
    <row r="2022" spans="1:1" x14ac:dyDescent="0.25">
      <c r="A2022"/>
    </row>
    <row r="2023" spans="1:1" x14ac:dyDescent="0.25">
      <c r="A2023"/>
    </row>
    <row r="2024" spans="1:1" x14ac:dyDescent="0.25">
      <c r="A2024"/>
    </row>
    <row r="2025" spans="1:1" x14ac:dyDescent="0.25">
      <c r="A2025"/>
    </row>
    <row r="2026" spans="1:1" x14ac:dyDescent="0.25">
      <c r="A2026"/>
    </row>
    <row r="2027" spans="1:1" x14ac:dyDescent="0.25">
      <c r="A2027"/>
    </row>
    <row r="2028" spans="1:1" x14ac:dyDescent="0.25">
      <c r="A2028"/>
    </row>
    <row r="2029" spans="1:1" x14ac:dyDescent="0.25">
      <c r="A2029"/>
    </row>
    <row r="2030" spans="1:1" x14ac:dyDescent="0.25">
      <c r="A2030"/>
    </row>
    <row r="2031" spans="1:1" x14ac:dyDescent="0.25">
      <c r="A2031"/>
    </row>
    <row r="2032" spans="1:1" x14ac:dyDescent="0.25">
      <c r="A2032"/>
    </row>
    <row r="2033" spans="1:1" x14ac:dyDescent="0.25">
      <c r="A2033"/>
    </row>
    <row r="2034" spans="1:1" x14ac:dyDescent="0.25">
      <c r="A2034"/>
    </row>
    <row r="2035" spans="1:1" x14ac:dyDescent="0.25">
      <c r="A2035"/>
    </row>
    <row r="2036" spans="1:1" x14ac:dyDescent="0.25">
      <c r="A2036"/>
    </row>
    <row r="2037" spans="1:1" x14ac:dyDescent="0.25">
      <c r="A2037"/>
    </row>
    <row r="2038" spans="1:1" x14ac:dyDescent="0.25">
      <c r="A2038"/>
    </row>
    <row r="2039" spans="1:1" x14ac:dyDescent="0.25">
      <c r="A2039"/>
    </row>
    <row r="2040" spans="1:1" x14ac:dyDescent="0.25">
      <c r="A2040"/>
    </row>
    <row r="2041" spans="1:1" x14ac:dyDescent="0.25">
      <c r="A2041"/>
    </row>
    <row r="2042" spans="1:1" x14ac:dyDescent="0.25">
      <c r="A2042"/>
    </row>
    <row r="2043" spans="1:1" x14ac:dyDescent="0.25">
      <c r="A2043"/>
    </row>
    <row r="2044" spans="1:1" x14ac:dyDescent="0.25">
      <c r="A2044"/>
    </row>
    <row r="2045" spans="1:1" x14ac:dyDescent="0.25">
      <c r="A2045"/>
    </row>
    <row r="2046" spans="1:1" x14ac:dyDescent="0.25">
      <c r="A2046"/>
    </row>
    <row r="2047" spans="1:1" x14ac:dyDescent="0.25">
      <c r="A2047"/>
    </row>
    <row r="2048" spans="1:1" x14ac:dyDescent="0.25">
      <c r="A2048"/>
    </row>
    <row r="2049" spans="1:1" x14ac:dyDescent="0.25">
      <c r="A2049"/>
    </row>
    <row r="2050" spans="1:1" x14ac:dyDescent="0.25">
      <c r="A2050"/>
    </row>
    <row r="2051" spans="1:1" x14ac:dyDescent="0.25">
      <c r="A2051"/>
    </row>
    <row r="2052" spans="1:1" x14ac:dyDescent="0.25">
      <c r="A2052"/>
    </row>
    <row r="2053" spans="1:1" x14ac:dyDescent="0.25">
      <c r="A2053"/>
    </row>
    <row r="2054" spans="1:1" x14ac:dyDescent="0.25">
      <c r="A2054"/>
    </row>
    <row r="2055" spans="1:1" x14ac:dyDescent="0.25">
      <c r="A2055"/>
    </row>
    <row r="2056" spans="1:1" x14ac:dyDescent="0.25">
      <c r="A2056"/>
    </row>
    <row r="2057" spans="1:1" x14ac:dyDescent="0.25">
      <c r="A2057"/>
    </row>
    <row r="2058" spans="1:1" x14ac:dyDescent="0.25">
      <c r="A2058"/>
    </row>
    <row r="2059" spans="1:1" x14ac:dyDescent="0.25">
      <c r="A2059"/>
    </row>
    <row r="2060" spans="1:1" x14ac:dyDescent="0.25">
      <c r="A2060"/>
    </row>
    <row r="2061" spans="1:1" x14ac:dyDescent="0.25">
      <c r="A2061"/>
    </row>
    <row r="2062" spans="1:1" x14ac:dyDescent="0.25">
      <c r="A2062"/>
    </row>
    <row r="2063" spans="1:1" x14ac:dyDescent="0.25">
      <c r="A2063"/>
    </row>
    <row r="2064" spans="1:1" x14ac:dyDescent="0.25">
      <c r="A2064"/>
    </row>
    <row r="2065" spans="1:1" x14ac:dyDescent="0.25">
      <c r="A2065"/>
    </row>
    <row r="2066" spans="1:1" x14ac:dyDescent="0.25">
      <c r="A2066"/>
    </row>
    <row r="2067" spans="1:1" x14ac:dyDescent="0.25">
      <c r="A2067"/>
    </row>
    <row r="2068" spans="1:1" x14ac:dyDescent="0.25">
      <c r="A2068"/>
    </row>
    <row r="2069" spans="1:1" x14ac:dyDescent="0.25">
      <c r="A2069"/>
    </row>
    <row r="2070" spans="1:1" x14ac:dyDescent="0.25">
      <c r="A2070"/>
    </row>
    <row r="2071" spans="1:1" x14ac:dyDescent="0.25">
      <c r="A2071"/>
    </row>
    <row r="2072" spans="1:1" x14ac:dyDescent="0.25">
      <c r="A2072"/>
    </row>
    <row r="2073" spans="1:1" x14ac:dyDescent="0.25">
      <c r="A2073"/>
    </row>
    <row r="2074" spans="1:1" x14ac:dyDescent="0.25">
      <c r="A2074"/>
    </row>
    <row r="2075" spans="1:1" x14ac:dyDescent="0.25">
      <c r="A2075"/>
    </row>
    <row r="2076" spans="1:1" x14ac:dyDescent="0.25">
      <c r="A2076"/>
    </row>
    <row r="2077" spans="1:1" x14ac:dyDescent="0.25">
      <c r="A2077"/>
    </row>
    <row r="2078" spans="1:1" x14ac:dyDescent="0.25">
      <c r="A2078"/>
    </row>
    <row r="2079" spans="1:1" x14ac:dyDescent="0.25">
      <c r="A2079"/>
    </row>
    <row r="2080" spans="1:1" x14ac:dyDescent="0.25">
      <c r="A2080"/>
    </row>
    <row r="2081" spans="1:1" x14ac:dyDescent="0.25">
      <c r="A2081"/>
    </row>
    <row r="2082" spans="1:1" x14ac:dyDescent="0.25">
      <c r="A2082"/>
    </row>
    <row r="2083" spans="1:1" x14ac:dyDescent="0.25">
      <c r="A2083"/>
    </row>
    <row r="2084" spans="1:1" x14ac:dyDescent="0.25">
      <c r="A2084"/>
    </row>
    <row r="2085" spans="1:1" x14ac:dyDescent="0.25">
      <c r="A2085"/>
    </row>
    <row r="2086" spans="1:1" x14ac:dyDescent="0.25">
      <c r="A2086"/>
    </row>
    <row r="2087" spans="1:1" x14ac:dyDescent="0.25">
      <c r="A2087"/>
    </row>
    <row r="2088" spans="1:1" x14ac:dyDescent="0.25">
      <c r="A2088"/>
    </row>
    <row r="2089" spans="1:1" x14ac:dyDescent="0.25">
      <c r="A2089"/>
    </row>
    <row r="2090" spans="1:1" x14ac:dyDescent="0.25">
      <c r="A2090"/>
    </row>
    <row r="2091" spans="1:1" x14ac:dyDescent="0.25">
      <c r="A2091"/>
    </row>
    <row r="2092" spans="1:1" x14ac:dyDescent="0.25">
      <c r="A2092"/>
    </row>
    <row r="2093" spans="1:1" x14ac:dyDescent="0.25">
      <c r="A2093"/>
    </row>
    <row r="2094" spans="1:1" x14ac:dyDescent="0.25">
      <c r="A2094"/>
    </row>
    <row r="2095" spans="1:1" x14ac:dyDescent="0.25">
      <c r="A2095"/>
    </row>
    <row r="2096" spans="1:1" x14ac:dyDescent="0.25">
      <c r="A2096"/>
    </row>
    <row r="2097" spans="1:1" x14ac:dyDescent="0.25">
      <c r="A2097"/>
    </row>
    <row r="2098" spans="1:1" x14ac:dyDescent="0.25">
      <c r="A2098"/>
    </row>
    <row r="2099" spans="1:1" x14ac:dyDescent="0.25">
      <c r="A2099"/>
    </row>
    <row r="2100" spans="1:1" x14ac:dyDescent="0.25">
      <c r="A2100"/>
    </row>
    <row r="2101" spans="1:1" x14ac:dyDescent="0.25">
      <c r="A2101"/>
    </row>
    <row r="2102" spans="1:1" x14ac:dyDescent="0.25">
      <c r="A2102"/>
    </row>
    <row r="2103" spans="1:1" x14ac:dyDescent="0.25">
      <c r="A2103"/>
    </row>
    <row r="2104" spans="1:1" x14ac:dyDescent="0.25">
      <c r="A2104"/>
    </row>
    <row r="2105" spans="1:1" x14ac:dyDescent="0.25">
      <c r="A2105"/>
    </row>
    <row r="2106" spans="1:1" x14ac:dyDescent="0.25">
      <c r="A2106"/>
    </row>
    <row r="2107" spans="1:1" x14ac:dyDescent="0.25">
      <c r="A2107"/>
    </row>
    <row r="2108" spans="1:1" x14ac:dyDescent="0.25">
      <c r="A2108"/>
    </row>
    <row r="2109" spans="1:1" x14ac:dyDescent="0.25">
      <c r="A2109"/>
    </row>
    <row r="2110" spans="1:1" x14ac:dyDescent="0.25">
      <c r="A2110"/>
    </row>
    <row r="2111" spans="1:1" x14ac:dyDescent="0.25">
      <c r="A2111"/>
    </row>
    <row r="2112" spans="1:1" x14ac:dyDescent="0.25">
      <c r="A2112"/>
    </row>
    <row r="2113" spans="1:1" x14ac:dyDescent="0.25">
      <c r="A2113"/>
    </row>
    <row r="2114" spans="1:1" x14ac:dyDescent="0.25">
      <c r="A2114"/>
    </row>
    <row r="2115" spans="1:1" x14ac:dyDescent="0.25">
      <c r="A2115"/>
    </row>
    <row r="2116" spans="1:1" x14ac:dyDescent="0.25">
      <c r="A2116"/>
    </row>
    <row r="2117" spans="1:1" x14ac:dyDescent="0.25">
      <c r="A2117"/>
    </row>
    <row r="2118" spans="1:1" x14ac:dyDescent="0.25">
      <c r="A2118"/>
    </row>
    <row r="2119" spans="1:1" x14ac:dyDescent="0.25">
      <c r="A2119"/>
    </row>
    <row r="2120" spans="1:1" x14ac:dyDescent="0.25">
      <c r="A2120"/>
    </row>
    <row r="2121" spans="1:1" x14ac:dyDescent="0.25">
      <c r="A2121"/>
    </row>
    <row r="2122" spans="1:1" x14ac:dyDescent="0.25">
      <c r="A2122"/>
    </row>
    <row r="2123" spans="1:1" x14ac:dyDescent="0.25">
      <c r="A2123"/>
    </row>
    <row r="2124" spans="1:1" x14ac:dyDescent="0.25">
      <c r="A2124"/>
    </row>
    <row r="2125" spans="1:1" x14ac:dyDescent="0.25">
      <c r="A2125"/>
    </row>
    <row r="2126" spans="1:1" x14ac:dyDescent="0.25">
      <c r="A2126"/>
    </row>
    <row r="2127" spans="1:1" x14ac:dyDescent="0.25">
      <c r="A2127"/>
    </row>
    <row r="2128" spans="1:1" x14ac:dyDescent="0.25">
      <c r="A2128"/>
    </row>
    <row r="2129" spans="1:1" x14ac:dyDescent="0.25">
      <c r="A2129"/>
    </row>
    <row r="2130" spans="1:1" x14ac:dyDescent="0.25">
      <c r="A2130"/>
    </row>
    <row r="2131" spans="1:1" x14ac:dyDescent="0.25">
      <c r="A2131"/>
    </row>
    <row r="2132" spans="1:1" x14ac:dyDescent="0.25">
      <c r="A2132"/>
    </row>
    <row r="2133" spans="1:1" x14ac:dyDescent="0.25">
      <c r="A2133"/>
    </row>
    <row r="2134" spans="1:1" x14ac:dyDescent="0.25">
      <c r="A2134"/>
    </row>
    <row r="2135" spans="1:1" x14ac:dyDescent="0.25">
      <c r="A2135"/>
    </row>
    <row r="2136" spans="1:1" x14ac:dyDescent="0.25">
      <c r="A2136"/>
    </row>
    <row r="2137" spans="1:1" x14ac:dyDescent="0.25">
      <c r="A2137"/>
    </row>
    <row r="2138" spans="1:1" x14ac:dyDescent="0.25">
      <c r="A2138"/>
    </row>
    <row r="2139" spans="1:1" x14ac:dyDescent="0.25">
      <c r="A2139"/>
    </row>
    <row r="2140" spans="1:1" x14ac:dyDescent="0.25">
      <c r="A2140"/>
    </row>
    <row r="2141" spans="1:1" x14ac:dyDescent="0.25">
      <c r="A2141"/>
    </row>
    <row r="2142" spans="1:1" x14ac:dyDescent="0.25">
      <c r="A2142"/>
    </row>
    <row r="2143" spans="1:1" x14ac:dyDescent="0.25">
      <c r="A2143"/>
    </row>
    <row r="2144" spans="1:1" x14ac:dyDescent="0.25">
      <c r="A2144"/>
    </row>
    <row r="2145" spans="1:1" x14ac:dyDescent="0.25">
      <c r="A2145"/>
    </row>
    <row r="2146" spans="1:1" x14ac:dyDescent="0.25">
      <c r="A2146"/>
    </row>
    <row r="2147" spans="1:1" x14ac:dyDescent="0.25">
      <c r="A2147"/>
    </row>
    <row r="2148" spans="1:1" x14ac:dyDescent="0.25">
      <c r="A2148"/>
    </row>
    <row r="2149" spans="1:1" x14ac:dyDescent="0.25">
      <c r="A2149"/>
    </row>
    <row r="2150" spans="1:1" x14ac:dyDescent="0.25">
      <c r="A2150"/>
    </row>
    <row r="2151" spans="1:1" x14ac:dyDescent="0.25">
      <c r="A2151"/>
    </row>
    <row r="2152" spans="1:1" x14ac:dyDescent="0.25">
      <c r="A2152"/>
    </row>
    <row r="2153" spans="1:1" x14ac:dyDescent="0.25">
      <c r="A2153"/>
    </row>
    <row r="2154" spans="1:1" x14ac:dyDescent="0.25">
      <c r="A2154"/>
    </row>
    <row r="2155" spans="1:1" x14ac:dyDescent="0.25">
      <c r="A2155"/>
    </row>
    <row r="2156" spans="1:1" x14ac:dyDescent="0.25">
      <c r="A2156"/>
    </row>
    <row r="2157" spans="1:1" x14ac:dyDescent="0.25">
      <c r="A2157"/>
    </row>
    <row r="2158" spans="1:1" x14ac:dyDescent="0.25">
      <c r="A2158"/>
    </row>
    <row r="2159" spans="1:1" x14ac:dyDescent="0.25">
      <c r="A2159"/>
    </row>
    <row r="2160" spans="1:1" x14ac:dyDescent="0.25">
      <c r="A2160"/>
    </row>
    <row r="2161" spans="1:1" x14ac:dyDescent="0.25">
      <c r="A2161"/>
    </row>
    <row r="2162" spans="1:1" x14ac:dyDescent="0.25">
      <c r="A2162"/>
    </row>
    <row r="2163" spans="1:1" x14ac:dyDescent="0.25">
      <c r="A2163"/>
    </row>
    <row r="2164" spans="1:1" x14ac:dyDescent="0.25">
      <c r="A2164"/>
    </row>
    <row r="2165" spans="1:1" x14ac:dyDescent="0.25">
      <c r="A2165"/>
    </row>
    <row r="2166" spans="1:1" x14ac:dyDescent="0.25">
      <c r="A2166"/>
    </row>
    <row r="2167" spans="1:1" x14ac:dyDescent="0.25">
      <c r="A2167"/>
    </row>
    <row r="2168" spans="1:1" x14ac:dyDescent="0.25">
      <c r="A2168"/>
    </row>
    <row r="2169" spans="1:1" x14ac:dyDescent="0.25">
      <c r="A2169"/>
    </row>
    <row r="2170" spans="1:1" x14ac:dyDescent="0.25">
      <c r="A2170"/>
    </row>
    <row r="2171" spans="1:1" x14ac:dyDescent="0.25">
      <c r="A2171"/>
    </row>
    <row r="2172" spans="1:1" x14ac:dyDescent="0.25">
      <c r="A2172"/>
    </row>
    <row r="2173" spans="1:1" x14ac:dyDescent="0.25">
      <c r="A2173"/>
    </row>
    <row r="2174" spans="1:1" x14ac:dyDescent="0.25">
      <c r="A2174"/>
    </row>
    <row r="2175" spans="1:1" x14ac:dyDescent="0.25">
      <c r="A2175"/>
    </row>
    <row r="2176" spans="1:1" x14ac:dyDescent="0.25">
      <c r="A2176"/>
    </row>
    <row r="2177" spans="1:1" x14ac:dyDescent="0.25">
      <c r="A2177"/>
    </row>
    <row r="2178" spans="1:1" x14ac:dyDescent="0.25">
      <c r="A2178"/>
    </row>
    <row r="2179" spans="1:1" x14ac:dyDescent="0.25">
      <c r="A2179"/>
    </row>
    <row r="2180" spans="1:1" x14ac:dyDescent="0.25">
      <c r="A2180"/>
    </row>
    <row r="2181" spans="1:1" x14ac:dyDescent="0.25">
      <c r="A2181"/>
    </row>
    <row r="2182" spans="1:1" x14ac:dyDescent="0.25">
      <c r="A2182"/>
    </row>
    <row r="2183" spans="1:1" x14ac:dyDescent="0.25">
      <c r="A2183"/>
    </row>
    <row r="2184" spans="1:1" x14ac:dyDescent="0.25">
      <c r="A2184"/>
    </row>
    <row r="2185" spans="1:1" x14ac:dyDescent="0.25">
      <c r="A2185"/>
    </row>
    <row r="2186" spans="1:1" x14ac:dyDescent="0.25">
      <c r="A2186"/>
    </row>
    <row r="2187" spans="1:1" x14ac:dyDescent="0.25">
      <c r="A2187"/>
    </row>
    <row r="2188" spans="1:1" x14ac:dyDescent="0.25">
      <c r="A2188"/>
    </row>
    <row r="2189" spans="1:1" x14ac:dyDescent="0.25">
      <c r="A2189"/>
    </row>
    <row r="2190" spans="1:1" x14ac:dyDescent="0.25">
      <c r="A2190"/>
    </row>
    <row r="2191" spans="1:1" x14ac:dyDescent="0.25">
      <c r="A2191"/>
    </row>
    <row r="2192" spans="1:1" x14ac:dyDescent="0.25">
      <c r="A2192"/>
    </row>
    <row r="2193" spans="1:1" x14ac:dyDescent="0.25">
      <c r="A2193"/>
    </row>
    <row r="2194" spans="1:1" x14ac:dyDescent="0.25">
      <c r="A2194"/>
    </row>
    <row r="2195" spans="1:1" x14ac:dyDescent="0.25">
      <c r="A2195"/>
    </row>
    <row r="2196" spans="1:1" x14ac:dyDescent="0.25">
      <c r="A2196"/>
    </row>
    <row r="2197" spans="1:1" x14ac:dyDescent="0.25">
      <c r="A2197"/>
    </row>
    <row r="2198" spans="1:1" x14ac:dyDescent="0.25">
      <c r="A2198"/>
    </row>
    <row r="2199" spans="1:1" x14ac:dyDescent="0.25">
      <c r="A2199"/>
    </row>
    <row r="2200" spans="1:1" x14ac:dyDescent="0.25">
      <c r="A2200"/>
    </row>
    <row r="2201" spans="1:1" x14ac:dyDescent="0.25">
      <c r="A2201"/>
    </row>
    <row r="2202" spans="1:1" x14ac:dyDescent="0.25">
      <c r="A2202"/>
    </row>
    <row r="2203" spans="1:1" x14ac:dyDescent="0.25">
      <c r="A2203"/>
    </row>
    <row r="2204" spans="1:1" x14ac:dyDescent="0.25">
      <c r="A2204"/>
    </row>
    <row r="2205" spans="1:1" x14ac:dyDescent="0.25">
      <c r="A2205"/>
    </row>
    <row r="2206" spans="1:1" x14ac:dyDescent="0.25">
      <c r="A2206"/>
    </row>
    <row r="2207" spans="1:1" x14ac:dyDescent="0.25">
      <c r="A2207"/>
    </row>
    <row r="2208" spans="1:1" x14ac:dyDescent="0.25">
      <c r="A2208"/>
    </row>
    <row r="2209" spans="1:1" x14ac:dyDescent="0.25">
      <c r="A2209"/>
    </row>
    <row r="2210" spans="1:1" x14ac:dyDescent="0.25">
      <c r="A2210"/>
    </row>
    <row r="2211" spans="1:1" x14ac:dyDescent="0.25">
      <c r="A2211"/>
    </row>
    <row r="2212" spans="1:1" x14ac:dyDescent="0.25">
      <c r="A2212"/>
    </row>
    <row r="2213" spans="1:1" x14ac:dyDescent="0.25">
      <c r="A2213"/>
    </row>
    <row r="2214" spans="1:1" x14ac:dyDescent="0.25">
      <c r="A2214"/>
    </row>
    <row r="2215" spans="1:1" x14ac:dyDescent="0.25">
      <c r="A2215"/>
    </row>
    <row r="2216" spans="1:1" x14ac:dyDescent="0.25">
      <c r="A2216"/>
    </row>
    <row r="2217" spans="1:1" x14ac:dyDescent="0.25">
      <c r="A2217"/>
    </row>
    <row r="2218" spans="1:1" x14ac:dyDescent="0.25">
      <c r="A2218"/>
    </row>
    <row r="2219" spans="1:1" x14ac:dyDescent="0.25">
      <c r="A2219"/>
    </row>
    <row r="2220" spans="1:1" x14ac:dyDescent="0.25">
      <c r="A2220"/>
    </row>
    <row r="2221" spans="1:1" x14ac:dyDescent="0.25">
      <c r="A2221"/>
    </row>
    <row r="2222" spans="1:1" x14ac:dyDescent="0.25">
      <c r="A2222"/>
    </row>
    <row r="2223" spans="1:1" x14ac:dyDescent="0.25">
      <c r="A2223"/>
    </row>
    <row r="2224" spans="1:1" x14ac:dyDescent="0.25">
      <c r="A2224"/>
    </row>
    <row r="2225" spans="1:1" x14ac:dyDescent="0.25">
      <c r="A2225"/>
    </row>
    <row r="2226" spans="1:1" x14ac:dyDescent="0.25">
      <c r="A2226"/>
    </row>
    <row r="2227" spans="1:1" x14ac:dyDescent="0.25">
      <c r="A2227"/>
    </row>
    <row r="2228" spans="1:1" x14ac:dyDescent="0.25">
      <c r="A2228"/>
    </row>
    <row r="2229" spans="1:1" x14ac:dyDescent="0.25">
      <c r="A2229"/>
    </row>
    <row r="2230" spans="1:1" x14ac:dyDescent="0.25">
      <c r="A2230"/>
    </row>
    <row r="2231" spans="1:1" x14ac:dyDescent="0.25">
      <c r="A2231"/>
    </row>
    <row r="2232" spans="1:1" x14ac:dyDescent="0.25">
      <c r="A2232"/>
    </row>
    <row r="2233" spans="1:1" x14ac:dyDescent="0.25">
      <c r="A2233"/>
    </row>
    <row r="2234" spans="1:1" x14ac:dyDescent="0.25">
      <c r="A2234"/>
    </row>
    <row r="2235" spans="1:1" x14ac:dyDescent="0.25">
      <c r="A2235"/>
    </row>
    <row r="2236" spans="1:1" x14ac:dyDescent="0.25">
      <c r="A2236"/>
    </row>
    <row r="2237" spans="1:1" x14ac:dyDescent="0.25">
      <c r="A2237"/>
    </row>
    <row r="2238" spans="1:1" x14ac:dyDescent="0.25">
      <c r="A2238"/>
    </row>
    <row r="2239" spans="1:1" x14ac:dyDescent="0.25">
      <c r="A2239"/>
    </row>
    <row r="2240" spans="1:1" x14ac:dyDescent="0.25">
      <c r="A2240"/>
    </row>
    <row r="2241" spans="1:1" x14ac:dyDescent="0.25">
      <c r="A2241"/>
    </row>
    <row r="2242" spans="1:1" x14ac:dyDescent="0.25">
      <c r="A2242"/>
    </row>
    <row r="2243" spans="1:1" x14ac:dyDescent="0.25">
      <c r="A2243"/>
    </row>
    <row r="2244" spans="1:1" x14ac:dyDescent="0.25">
      <c r="A2244"/>
    </row>
    <row r="2245" spans="1:1" x14ac:dyDescent="0.25">
      <c r="A2245"/>
    </row>
    <row r="2246" spans="1:1" x14ac:dyDescent="0.25">
      <c r="A2246"/>
    </row>
    <row r="2247" spans="1:1" x14ac:dyDescent="0.25">
      <c r="A2247"/>
    </row>
    <row r="2248" spans="1:1" x14ac:dyDescent="0.25">
      <c r="A2248"/>
    </row>
    <row r="2249" spans="1:1" x14ac:dyDescent="0.25">
      <c r="A2249"/>
    </row>
    <row r="2250" spans="1:1" x14ac:dyDescent="0.25">
      <c r="A2250"/>
    </row>
    <row r="2251" spans="1:1" x14ac:dyDescent="0.25">
      <c r="A2251"/>
    </row>
    <row r="2252" spans="1:1" x14ac:dyDescent="0.25">
      <c r="A2252"/>
    </row>
    <row r="2253" spans="1:1" x14ac:dyDescent="0.25">
      <c r="A2253"/>
    </row>
    <row r="2254" spans="1:1" x14ac:dyDescent="0.25">
      <c r="A2254"/>
    </row>
    <row r="2255" spans="1:1" x14ac:dyDescent="0.25">
      <c r="A2255"/>
    </row>
    <row r="2256" spans="1:1" x14ac:dyDescent="0.25">
      <c r="A2256"/>
    </row>
    <row r="2257" spans="1:1" x14ac:dyDescent="0.25">
      <c r="A2257"/>
    </row>
    <row r="2258" spans="1:1" x14ac:dyDescent="0.25">
      <c r="A2258"/>
    </row>
    <row r="2259" spans="1:1" x14ac:dyDescent="0.25">
      <c r="A2259"/>
    </row>
    <row r="2260" spans="1:1" x14ac:dyDescent="0.25">
      <c r="A2260"/>
    </row>
    <row r="2261" spans="1:1" x14ac:dyDescent="0.25">
      <c r="A2261"/>
    </row>
    <row r="2262" spans="1:1" x14ac:dyDescent="0.25">
      <c r="A2262"/>
    </row>
    <row r="2263" spans="1:1" x14ac:dyDescent="0.25">
      <c r="A2263"/>
    </row>
    <row r="2264" spans="1:1" x14ac:dyDescent="0.25">
      <c r="A2264"/>
    </row>
    <row r="2265" spans="1:1" x14ac:dyDescent="0.25">
      <c r="A2265"/>
    </row>
    <row r="2266" spans="1:1" x14ac:dyDescent="0.25">
      <c r="A2266"/>
    </row>
    <row r="2267" spans="1:1" x14ac:dyDescent="0.25">
      <c r="A2267"/>
    </row>
    <row r="2268" spans="1:1" x14ac:dyDescent="0.25">
      <c r="A2268"/>
    </row>
    <row r="2269" spans="1:1" x14ac:dyDescent="0.25">
      <c r="A2269"/>
    </row>
    <row r="2270" spans="1:1" x14ac:dyDescent="0.25">
      <c r="A2270"/>
    </row>
    <row r="2271" spans="1:1" x14ac:dyDescent="0.25">
      <c r="A2271"/>
    </row>
    <row r="2272" spans="1:1" x14ac:dyDescent="0.25">
      <c r="A2272"/>
    </row>
    <row r="2273" spans="1:1" x14ac:dyDescent="0.25">
      <c r="A2273"/>
    </row>
    <row r="2274" spans="1:1" x14ac:dyDescent="0.25">
      <c r="A2274"/>
    </row>
    <row r="2275" spans="1:1" x14ac:dyDescent="0.25">
      <c r="A2275"/>
    </row>
    <row r="2276" spans="1:1" x14ac:dyDescent="0.25">
      <c r="A2276"/>
    </row>
    <row r="2277" spans="1:1" x14ac:dyDescent="0.25">
      <c r="A2277"/>
    </row>
    <row r="2278" spans="1:1" x14ac:dyDescent="0.25">
      <c r="A2278"/>
    </row>
    <row r="2279" spans="1:1" x14ac:dyDescent="0.25">
      <c r="A2279"/>
    </row>
    <row r="2280" spans="1:1" x14ac:dyDescent="0.25">
      <c r="A2280"/>
    </row>
    <row r="2281" spans="1:1" x14ac:dyDescent="0.25">
      <c r="A2281"/>
    </row>
    <row r="2282" spans="1:1" x14ac:dyDescent="0.25">
      <c r="A2282"/>
    </row>
    <row r="2283" spans="1:1" x14ac:dyDescent="0.25">
      <c r="A2283"/>
    </row>
    <row r="2284" spans="1:1" x14ac:dyDescent="0.25">
      <c r="A2284"/>
    </row>
    <row r="2285" spans="1:1" x14ac:dyDescent="0.25">
      <c r="A2285"/>
    </row>
    <row r="2286" spans="1:1" x14ac:dyDescent="0.25">
      <c r="A2286"/>
    </row>
    <row r="2287" spans="1:1" x14ac:dyDescent="0.25">
      <c r="A2287"/>
    </row>
    <row r="2288" spans="1:1" x14ac:dyDescent="0.25">
      <c r="A2288"/>
    </row>
    <row r="2289" spans="1:1" x14ac:dyDescent="0.25">
      <c r="A2289"/>
    </row>
    <row r="2290" spans="1:1" x14ac:dyDescent="0.25">
      <c r="A2290"/>
    </row>
    <row r="2291" spans="1:1" x14ac:dyDescent="0.25">
      <c r="A2291"/>
    </row>
    <row r="2292" spans="1:1" x14ac:dyDescent="0.25">
      <c r="A2292"/>
    </row>
    <row r="2293" spans="1:1" x14ac:dyDescent="0.25">
      <c r="A2293"/>
    </row>
    <row r="2294" spans="1:1" x14ac:dyDescent="0.25">
      <c r="A2294"/>
    </row>
    <row r="2295" spans="1:1" x14ac:dyDescent="0.25">
      <c r="A2295"/>
    </row>
    <row r="2296" spans="1:1" x14ac:dyDescent="0.25">
      <c r="A2296"/>
    </row>
    <row r="2297" spans="1:1" x14ac:dyDescent="0.25">
      <c r="A2297"/>
    </row>
    <row r="2298" spans="1:1" x14ac:dyDescent="0.25">
      <c r="A2298"/>
    </row>
    <row r="2299" spans="1:1" x14ac:dyDescent="0.25">
      <c r="A2299"/>
    </row>
    <row r="2300" spans="1:1" x14ac:dyDescent="0.25">
      <c r="A2300"/>
    </row>
    <row r="2301" spans="1:1" x14ac:dyDescent="0.25">
      <c r="A2301"/>
    </row>
    <row r="2302" spans="1:1" x14ac:dyDescent="0.25">
      <c r="A2302"/>
    </row>
    <row r="2303" spans="1:1" x14ac:dyDescent="0.25">
      <c r="A2303"/>
    </row>
    <row r="2304" spans="1:1" x14ac:dyDescent="0.25">
      <c r="A2304"/>
    </row>
    <row r="2305" spans="1:1" x14ac:dyDescent="0.25">
      <c r="A2305"/>
    </row>
    <row r="2306" spans="1:1" x14ac:dyDescent="0.25">
      <c r="A2306"/>
    </row>
    <row r="2307" spans="1:1" x14ac:dyDescent="0.25">
      <c r="A2307"/>
    </row>
    <row r="2308" spans="1:1" x14ac:dyDescent="0.25">
      <c r="A2308"/>
    </row>
    <row r="2309" spans="1:1" x14ac:dyDescent="0.25">
      <c r="A2309"/>
    </row>
    <row r="2310" spans="1:1" x14ac:dyDescent="0.25">
      <c r="A2310"/>
    </row>
    <row r="2311" spans="1:1" x14ac:dyDescent="0.25">
      <c r="A2311"/>
    </row>
    <row r="2312" spans="1:1" x14ac:dyDescent="0.25">
      <c r="A2312"/>
    </row>
    <row r="2313" spans="1:1" x14ac:dyDescent="0.25">
      <c r="A2313"/>
    </row>
    <row r="2314" spans="1:1" x14ac:dyDescent="0.25">
      <c r="A2314"/>
    </row>
    <row r="2315" spans="1:1" x14ac:dyDescent="0.25">
      <c r="A2315"/>
    </row>
    <row r="2316" spans="1:1" x14ac:dyDescent="0.25">
      <c r="A2316"/>
    </row>
    <row r="2317" spans="1:1" x14ac:dyDescent="0.25">
      <c r="A2317"/>
    </row>
    <row r="2318" spans="1:1" x14ac:dyDescent="0.25">
      <c r="A2318"/>
    </row>
    <row r="2319" spans="1:1" x14ac:dyDescent="0.25">
      <c r="A2319"/>
    </row>
    <row r="2320" spans="1:1" x14ac:dyDescent="0.25">
      <c r="A2320"/>
    </row>
    <row r="2321" spans="1:1" x14ac:dyDescent="0.25">
      <c r="A2321"/>
    </row>
    <row r="2322" spans="1:1" x14ac:dyDescent="0.25">
      <c r="A2322"/>
    </row>
    <row r="2323" spans="1:1" x14ac:dyDescent="0.25">
      <c r="A2323"/>
    </row>
    <row r="2324" spans="1:1" x14ac:dyDescent="0.25">
      <c r="A2324"/>
    </row>
    <row r="2325" spans="1:1" x14ac:dyDescent="0.25">
      <c r="A2325"/>
    </row>
    <row r="2326" spans="1:1" x14ac:dyDescent="0.25">
      <c r="A2326"/>
    </row>
    <row r="2327" spans="1:1" x14ac:dyDescent="0.25">
      <c r="A2327"/>
    </row>
    <row r="2328" spans="1:1" x14ac:dyDescent="0.25">
      <c r="A2328"/>
    </row>
    <row r="2329" spans="1:1" x14ac:dyDescent="0.25">
      <c r="A2329"/>
    </row>
    <row r="2330" spans="1:1" x14ac:dyDescent="0.25">
      <c r="A2330"/>
    </row>
    <row r="2331" spans="1:1" x14ac:dyDescent="0.25">
      <c r="A2331"/>
    </row>
    <row r="2332" spans="1:1" x14ac:dyDescent="0.25">
      <c r="A2332"/>
    </row>
    <row r="2333" spans="1:1" x14ac:dyDescent="0.25">
      <c r="A2333"/>
    </row>
    <row r="2334" spans="1:1" x14ac:dyDescent="0.25">
      <c r="A2334"/>
    </row>
    <row r="2335" spans="1:1" x14ac:dyDescent="0.25">
      <c r="A2335"/>
    </row>
    <row r="2336" spans="1:1" x14ac:dyDescent="0.25">
      <c r="A2336"/>
    </row>
    <row r="2337" spans="1:1" x14ac:dyDescent="0.25">
      <c r="A2337"/>
    </row>
    <row r="2338" spans="1:1" x14ac:dyDescent="0.25">
      <c r="A2338"/>
    </row>
    <row r="2339" spans="1:1" x14ac:dyDescent="0.25">
      <c r="A2339"/>
    </row>
    <row r="2340" spans="1:1" x14ac:dyDescent="0.25">
      <c r="A2340"/>
    </row>
    <row r="2341" spans="1:1" x14ac:dyDescent="0.25">
      <c r="A2341"/>
    </row>
    <row r="2342" spans="1:1" x14ac:dyDescent="0.25">
      <c r="A2342"/>
    </row>
    <row r="2343" spans="1:1" x14ac:dyDescent="0.25">
      <c r="A2343"/>
    </row>
    <row r="2344" spans="1:1" x14ac:dyDescent="0.25">
      <c r="A2344"/>
    </row>
    <row r="2345" spans="1:1" x14ac:dyDescent="0.25">
      <c r="A2345"/>
    </row>
    <row r="2346" spans="1:1" x14ac:dyDescent="0.25">
      <c r="A2346"/>
    </row>
    <row r="2347" spans="1:1" x14ac:dyDescent="0.25">
      <c r="A2347"/>
    </row>
    <row r="2348" spans="1:1" x14ac:dyDescent="0.25">
      <c r="A2348"/>
    </row>
    <row r="2349" spans="1:1" x14ac:dyDescent="0.25">
      <c r="A2349"/>
    </row>
    <row r="2350" spans="1:1" x14ac:dyDescent="0.25">
      <c r="A2350"/>
    </row>
    <row r="2351" spans="1:1" x14ac:dyDescent="0.25">
      <c r="A2351"/>
    </row>
    <row r="2352" spans="1:1" x14ac:dyDescent="0.25">
      <c r="A2352"/>
    </row>
    <row r="2353" spans="1:1" x14ac:dyDescent="0.25">
      <c r="A2353"/>
    </row>
    <row r="2354" spans="1:1" x14ac:dyDescent="0.25">
      <c r="A2354"/>
    </row>
    <row r="2355" spans="1:1" x14ac:dyDescent="0.25">
      <c r="A2355"/>
    </row>
    <row r="2356" spans="1:1" x14ac:dyDescent="0.25">
      <c r="A2356"/>
    </row>
    <row r="2357" spans="1:1" x14ac:dyDescent="0.25">
      <c r="A2357"/>
    </row>
    <row r="2358" spans="1:1" x14ac:dyDescent="0.25">
      <c r="A2358"/>
    </row>
    <row r="2359" spans="1:1" x14ac:dyDescent="0.25">
      <c r="A2359"/>
    </row>
    <row r="2360" spans="1:1" x14ac:dyDescent="0.25">
      <c r="A2360"/>
    </row>
    <row r="2361" spans="1:1" x14ac:dyDescent="0.25">
      <c r="A2361"/>
    </row>
    <row r="2362" spans="1:1" x14ac:dyDescent="0.25">
      <c r="A2362"/>
    </row>
    <row r="2363" spans="1:1" x14ac:dyDescent="0.25">
      <c r="A2363"/>
    </row>
    <row r="2364" spans="1:1" x14ac:dyDescent="0.25">
      <c r="A2364"/>
    </row>
    <row r="2365" spans="1:1" x14ac:dyDescent="0.25">
      <c r="A2365"/>
    </row>
    <row r="2366" spans="1:1" x14ac:dyDescent="0.25">
      <c r="A2366"/>
    </row>
    <row r="2367" spans="1:1" x14ac:dyDescent="0.25">
      <c r="A2367"/>
    </row>
    <row r="2368" spans="1:1" x14ac:dyDescent="0.25">
      <c r="A2368"/>
    </row>
    <row r="2369" spans="1:1" x14ac:dyDescent="0.25">
      <c r="A2369"/>
    </row>
    <row r="2370" spans="1:1" x14ac:dyDescent="0.25">
      <c r="A2370"/>
    </row>
    <row r="2371" spans="1:1" x14ac:dyDescent="0.25">
      <c r="A2371"/>
    </row>
    <row r="2372" spans="1:1" x14ac:dyDescent="0.25">
      <c r="A2372"/>
    </row>
    <row r="2373" spans="1:1" x14ac:dyDescent="0.25">
      <c r="A2373"/>
    </row>
    <row r="2374" spans="1:1" x14ac:dyDescent="0.25">
      <c r="A2374"/>
    </row>
    <row r="2375" spans="1:1" x14ac:dyDescent="0.25">
      <c r="A2375"/>
    </row>
    <row r="2376" spans="1:1" x14ac:dyDescent="0.25">
      <c r="A2376"/>
    </row>
    <row r="2377" spans="1:1" x14ac:dyDescent="0.25">
      <c r="A2377"/>
    </row>
    <row r="2378" spans="1:1" x14ac:dyDescent="0.25">
      <c r="A2378"/>
    </row>
    <row r="2379" spans="1:1" x14ac:dyDescent="0.25">
      <c r="A2379"/>
    </row>
    <row r="2380" spans="1:1" x14ac:dyDescent="0.25">
      <c r="A2380"/>
    </row>
    <row r="2381" spans="1:1" x14ac:dyDescent="0.25">
      <c r="A2381"/>
    </row>
    <row r="2382" spans="1:1" x14ac:dyDescent="0.25">
      <c r="A2382"/>
    </row>
    <row r="2383" spans="1:1" x14ac:dyDescent="0.25">
      <c r="A2383"/>
    </row>
    <row r="2384" spans="1:1" x14ac:dyDescent="0.25">
      <c r="A2384"/>
    </row>
    <row r="2385" spans="1:1" x14ac:dyDescent="0.25">
      <c r="A2385"/>
    </row>
    <row r="2386" spans="1:1" x14ac:dyDescent="0.25">
      <c r="A2386"/>
    </row>
    <row r="2387" spans="1:1" x14ac:dyDescent="0.25">
      <c r="A2387"/>
    </row>
    <row r="2388" spans="1:1" x14ac:dyDescent="0.25">
      <c r="A2388"/>
    </row>
    <row r="2389" spans="1:1" x14ac:dyDescent="0.25">
      <c r="A2389"/>
    </row>
    <row r="2390" spans="1:1" x14ac:dyDescent="0.25">
      <c r="A2390"/>
    </row>
    <row r="2391" spans="1:1" x14ac:dyDescent="0.25">
      <c r="A2391"/>
    </row>
    <row r="2392" spans="1:1" x14ac:dyDescent="0.25">
      <c r="A2392"/>
    </row>
    <row r="2393" spans="1:1" x14ac:dyDescent="0.25">
      <c r="A2393"/>
    </row>
    <row r="2394" spans="1:1" x14ac:dyDescent="0.25">
      <c r="A2394"/>
    </row>
    <row r="2395" spans="1:1" x14ac:dyDescent="0.25">
      <c r="A2395"/>
    </row>
    <row r="2396" spans="1:1" x14ac:dyDescent="0.25">
      <c r="A2396"/>
    </row>
    <row r="2397" spans="1:1" x14ac:dyDescent="0.25">
      <c r="A2397"/>
    </row>
    <row r="2398" spans="1:1" x14ac:dyDescent="0.25">
      <c r="A2398"/>
    </row>
    <row r="2399" spans="1:1" x14ac:dyDescent="0.25">
      <c r="A2399"/>
    </row>
    <row r="2400" spans="1:1" x14ac:dyDescent="0.25">
      <c r="A2400"/>
    </row>
    <row r="2401" spans="1:1" x14ac:dyDescent="0.25">
      <c r="A2401"/>
    </row>
    <row r="2402" spans="1:1" x14ac:dyDescent="0.25">
      <c r="A2402"/>
    </row>
    <row r="2403" spans="1:1" x14ac:dyDescent="0.25">
      <c r="A2403"/>
    </row>
    <row r="2404" spans="1:1" x14ac:dyDescent="0.25">
      <c r="A2404"/>
    </row>
    <row r="2405" spans="1:1" x14ac:dyDescent="0.25">
      <c r="A2405"/>
    </row>
    <row r="2406" spans="1:1" x14ac:dyDescent="0.25">
      <c r="A2406"/>
    </row>
    <row r="2407" spans="1:1" x14ac:dyDescent="0.25">
      <c r="A2407"/>
    </row>
    <row r="2408" spans="1:1" x14ac:dyDescent="0.25">
      <c r="A2408"/>
    </row>
    <row r="2409" spans="1:1" x14ac:dyDescent="0.25">
      <c r="A2409"/>
    </row>
    <row r="2410" spans="1:1" x14ac:dyDescent="0.25">
      <c r="A2410"/>
    </row>
    <row r="2411" spans="1:1" x14ac:dyDescent="0.25">
      <c r="A2411"/>
    </row>
    <row r="2412" spans="1:1" x14ac:dyDescent="0.25">
      <c r="A2412"/>
    </row>
    <row r="2413" spans="1:1" x14ac:dyDescent="0.25">
      <c r="A2413"/>
    </row>
    <row r="2414" spans="1:1" x14ac:dyDescent="0.25">
      <c r="A2414"/>
    </row>
    <row r="2415" spans="1:1" x14ac:dyDescent="0.25">
      <c r="A2415"/>
    </row>
    <row r="2416" spans="1:1" x14ac:dyDescent="0.25">
      <c r="A2416"/>
    </row>
    <row r="2417" spans="1:1" x14ac:dyDescent="0.25">
      <c r="A2417"/>
    </row>
    <row r="2418" spans="1:1" x14ac:dyDescent="0.25">
      <c r="A2418"/>
    </row>
    <row r="2419" spans="1:1" x14ac:dyDescent="0.25">
      <c r="A2419"/>
    </row>
    <row r="2420" spans="1:1" x14ac:dyDescent="0.25">
      <c r="A2420"/>
    </row>
    <row r="2421" spans="1:1" x14ac:dyDescent="0.25">
      <c r="A2421"/>
    </row>
    <row r="2422" spans="1:1" x14ac:dyDescent="0.25">
      <c r="A2422"/>
    </row>
    <row r="2423" spans="1:1" x14ac:dyDescent="0.25">
      <c r="A2423"/>
    </row>
    <row r="2424" spans="1:1" x14ac:dyDescent="0.25">
      <c r="A2424"/>
    </row>
    <row r="2425" spans="1:1" x14ac:dyDescent="0.25">
      <c r="A2425"/>
    </row>
    <row r="2426" spans="1:1" x14ac:dyDescent="0.25">
      <c r="A2426"/>
    </row>
    <row r="2427" spans="1:1" x14ac:dyDescent="0.25">
      <c r="A2427"/>
    </row>
    <row r="2428" spans="1:1" x14ac:dyDescent="0.25">
      <c r="A2428"/>
    </row>
    <row r="2429" spans="1:1" x14ac:dyDescent="0.25">
      <c r="A2429"/>
    </row>
    <row r="2430" spans="1:1" x14ac:dyDescent="0.25">
      <c r="A2430"/>
    </row>
    <row r="2431" spans="1:1" x14ac:dyDescent="0.25">
      <c r="A2431"/>
    </row>
    <row r="2432" spans="1:1" x14ac:dyDescent="0.25">
      <c r="A2432"/>
    </row>
    <row r="2433" spans="1:1" x14ac:dyDescent="0.25">
      <c r="A2433"/>
    </row>
    <row r="2434" spans="1:1" x14ac:dyDescent="0.25">
      <c r="A2434"/>
    </row>
    <row r="2435" spans="1:1" x14ac:dyDescent="0.25">
      <c r="A2435"/>
    </row>
    <row r="2436" spans="1:1" x14ac:dyDescent="0.25">
      <c r="A2436"/>
    </row>
    <row r="2437" spans="1:1" x14ac:dyDescent="0.25">
      <c r="A2437"/>
    </row>
    <row r="2438" spans="1:1" x14ac:dyDescent="0.25">
      <c r="A2438"/>
    </row>
    <row r="2439" spans="1:1" x14ac:dyDescent="0.25">
      <c r="A2439"/>
    </row>
    <row r="2440" spans="1:1" x14ac:dyDescent="0.25">
      <c r="A2440"/>
    </row>
    <row r="2441" spans="1:1" x14ac:dyDescent="0.25">
      <c r="A2441"/>
    </row>
    <row r="2442" spans="1:1" x14ac:dyDescent="0.25">
      <c r="A2442"/>
    </row>
    <row r="2443" spans="1:1" x14ac:dyDescent="0.25">
      <c r="A2443"/>
    </row>
    <row r="2444" spans="1:1" x14ac:dyDescent="0.25">
      <c r="A2444"/>
    </row>
    <row r="2445" spans="1:1" x14ac:dyDescent="0.25">
      <c r="A2445"/>
    </row>
    <row r="2446" spans="1:1" x14ac:dyDescent="0.25">
      <c r="A2446"/>
    </row>
    <row r="2447" spans="1:1" x14ac:dyDescent="0.25">
      <c r="A2447"/>
    </row>
    <row r="2448" spans="1:1" x14ac:dyDescent="0.25">
      <c r="A2448"/>
    </row>
    <row r="2449" spans="1:1" x14ac:dyDescent="0.25">
      <c r="A2449"/>
    </row>
    <row r="2450" spans="1:1" x14ac:dyDescent="0.25">
      <c r="A2450"/>
    </row>
    <row r="2451" spans="1:1" x14ac:dyDescent="0.25">
      <c r="A2451"/>
    </row>
    <row r="2452" spans="1:1" x14ac:dyDescent="0.25">
      <c r="A2452"/>
    </row>
    <row r="2453" spans="1:1" x14ac:dyDescent="0.25">
      <c r="A2453"/>
    </row>
    <row r="2454" spans="1:1" x14ac:dyDescent="0.25">
      <c r="A2454"/>
    </row>
    <row r="2455" spans="1:1" x14ac:dyDescent="0.25">
      <c r="A2455"/>
    </row>
    <row r="2456" spans="1:1" x14ac:dyDescent="0.25">
      <c r="A2456"/>
    </row>
    <row r="2457" spans="1:1" x14ac:dyDescent="0.25">
      <c r="A2457"/>
    </row>
    <row r="2458" spans="1:1" x14ac:dyDescent="0.25">
      <c r="A2458"/>
    </row>
    <row r="2459" spans="1:1" x14ac:dyDescent="0.25">
      <c r="A2459"/>
    </row>
    <row r="2460" spans="1:1" x14ac:dyDescent="0.25">
      <c r="A2460"/>
    </row>
    <row r="2461" spans="1:1" x14ac:dyDescent="0.25">
      <c r="A2461"/>
    </row>
    <row r="2462" spans="1:1" x14ac:dyDescent="0.25">
      <c r="A2462"/>
    </row>
    <row r="2463" spans="1:1" x14ac:dyDescent="0.25">
      <c r="A2463"/>
    </row>
    <row r="2464" spans="1:1" x14ac:dyDescent="0.25">
      <c r="A2464"/>
    </row>
    <row r="2465" spans="1:1" x14ac:dyDescent="0.25">
      <c r="A2465"/>
    </row>
    <row r="2466" spans="1:1" x14ac:dyDescent="0.25">
      <c r="A2466"/>
    </row>
    <row r="2467" spans="1:1" x14ac:dyDescent="0.25">
      <c r="A2467"/>
    </row>
    <row r="2468" spans="1:1" x14ac:dyDescent="0.25">
      <c r="A2468"/>
    </row>
    <row r="2469" spans="1:1" x14ac:dyDescent="0.25">
      <c r="A2469"/>
    </row>
    <row r="2470" spans="1:1" x14ac:dyDescent="0.25">
      <c r="A2470"/>
    </row>
    <row r="2471" spans="1:1" x14ac:dyDescent="0.25">
      <c r="A2471"/>
    </row>
    <row r="2472" spans="1:1" x14ac:dyDescent="0.25">
      <c r="A2472"/>
    </row>
    <row r="2473" spans="1:1" x14ac:dyDescent="0.25">
      <c r="A2473"/>
    </row>
    <row r="2474" spans="1:1" x14ac:dyDescent="0.25">
      <c r="A2474"/>
    </row>
    <row r="2475" spans="1:1" x14ac:dyDescent="0.25">
      <c r="A2475"/>
    </row>
    <row r="2476" spans="1:1" x14ac:dyDescent="0.25">
      <c r="A2476"/>
    </row>
    <row r="2477" spans="1:1" x14ac:dyDescent="0.25">
      <c r="A2477"/>
    </row>
    <row r="2478" spans="1:1" x14ac:dyDescent="0.25">
      <c r="A2478"/>
    </row>
    <row r="2479" spans="1:1" x14ac:dyDescent="0.25">
      <c r="A2479"/>
    </row>
    <row r="2480" spans="1:1" x14ac:dyDescent="0.25">
      <c r="A2480"/>
    </row>
    <row r="2481" spans="1:1" x14ac:dyDescent="0.25">
      <c r="A2481"/>
    </row>
    <row r="2482" spans="1:1" x14ac:dyDescent="0.25">
      <c r="A2482"/>
    </row>
    <row r="2483" spans="1:1" x14ac:dyDescent="0.25">
      <c r="A2483"/>
    </row>
    <row r="2484" spans="1:1" x14ac:dyDescent="0.25">
      <c r="A2484"/>
    </row>
    <row r="2485" spans="1:1" x14ac:dyDescent="0.25">
      <c r="A2485"/>
    </row>
    <row r="2486" spans="1:1" x14ac:dyDescent="0.25">
      <c r="A2486"/>
    </row>
    <row r="2487" spans="1:1" x14ac:dyDescent="0.25">
      <c r="A2487"/>
    </row>
    <row r="2488" spans="1:1" x14ac:dyDescent="0.25">
      <c r="A2488"/>
    </row>
    <row r="2489" spans="1:1" x14ac:dyDescent="0.25">
      <c r="A2489"/>
    </row>
    <row r="2490" spans="1:1" x14ac:dyDescent="0.25">
      <c r="A2490"/>
    </row>
    <row r="2491" spans="1:1" x14ac:dyDescent="0.25">
      <c r="A2491"/>
    </row>
    <row r="2492" spans="1:1" x14ac:dyDescent="0.25">
      <c r="A2492"/>
    </row>
    <row r="2493" spans="1:1" x14ac:dyDescent="0.25">
      <c r="A2493"/>
    </row>
    <row r="2494" spans="1:1" x14ac:dyDescent="0.25">
      <c r="A2494"/>
    </row>
    <row r="2495" spans="1:1" x14ac:dyDescent="0.25">
      <c r="A2495"/>
    </row>
    <row r="2496" spans="1:1" x14ac:dyDescent="0.25">
      <c r="A2496"/>
    </row>
    <row r="2497" spans="1:1" x14ac:dyDescent="0.25">
      <c r="A2497"/>
    </row>
    <row r="2498" spans="1:1" x14ac:dyDescent="0.25">
      <c r="A2498"/>
    </row>
    <row r="2499" spans="1:1" x14ac:dyDescent="0.25">
      <c r="A2499"/>
    </row>
    <row r="2500" spans="1:1" x14ac:dyDescent="0.25">
      <c r="A2500"/>
    </row>
    <row r="2501" spans="1:1" x14ac:dyDescent="0.25">
      <c r="A2501"/>
    </row>
    <row r="2502" spans="1:1" x14ac:dyDescent="0.25">
      <c r="A2502"/>
    </row>
    <row r="2503" spans="1:1" x14ac:dyDescent="0.25">
      <c r="A2503"/>
    </row>
    <row r="2504" spans="1:1" x14ac:dyDescent="0.25">
      <c r="A2504"/>
    </row>
    <row r="2505" spans="1:1" x14ac:dyDescent="0.25">
      <c r="A2505"/>
    </row>
    <row r="2506" spans="1:1" x14ac:dyDescent="0.25">
      <c r="A2506"/>
    </row>
    <row r="2507" spans="1:1" x14ac:dyDescent="0.25">
      <c r="A2507"/>
    </row>
    <row r="2508" spans="1:1" x14ac:dyDescent="0.25">
      <c r="A2508"/>
    </row>
    <row r="2509" spans="1:1" x14ac:dyDescent="0.25">
      <c r="A2509"/>
    </row>
    <row r="2510" spans="1:1" x14ac:dyDescent="0.25">
      <c r="A2510"/>
    </row>
    <row r="2511" spans="1:1" x14ac:dyDescent="0.25">
      <c r="A2511"/>
    </row>
    <row r="2512" spans="1:1" x14ac:dyDescent="0.25">
      <c r="A2512"/>
    </row>
    <row r="2513" spans="1:1" x14ac:dyDescent="0.25">
      <c r="A2513"/>
    </row>
    <row r="2514" spans="1:1" x14ac:dyDescent="0.25">
      <c r="A2514"/>
    </row>
    <row r="2515" spans="1:1" x14ac:dyDescent="0.25">
      <c r="A2515"/>
    </row>
    <row r="2516" spans="1:1" x14ac:dyDescent="0.25">
      <c r="A2516"/>
    </row>
    <row r="2517" spans="1:1" x14ac:dyDescent="0.25">
      <c r="A2517"/>
    </row>
    <row r="2518" spans="1:1" x14ac:dyDescent="0.25">
      <c r="A2518"/>
    </row>
    <row r="2519" spans="1:1" x14ac:dyDescent="0.25">
      <c r="A2519"/>
    </row>
    <row r="2520" spans="1:1" x14ac:dyDescent="0.25">
      <c r="A2520"/>
    </row>
    <row r="2521" spans="1:1" x14ac:dyDescent="0.25">
      <c r="A2521"/>
    </row>
    <row r="2522" spans="1:1" x14ac:dyDescent="0.25">
      <c r="A2522"/>
    </row>
    <row r="2523" spans="1:1" x14ac:dyDescent="0.25">
      <c r="A2523"/>
    </row>
    <row r="2524" spans="1:1" x14ac:dyDescent="0.25">
      <c r="A2524"/>
    </row>
    <row r="2525" spans="1:1" x14ac:dyDescent="0.25">
      <c r="A2525"/>
    </row>
    <row r="2526" spans="1:1" x14ac:dyDescent="0.25">
      <c r="A2526"/>
    </row>
    <row r="2527" spans="1:1" x14ac:dyDescent="0.25">
      <c r="A2527"/>
    </row>
    <row r="2528" spans="1:1" x14ac:dyDescent="0.25">
      <c r="A2528"/>
    </row>
    <row r="2529" spans="1:1" x14ac:dyDescent="0.25">
      <c r="A2529"/>
    </row>
    <row r="2530" spans="1:1" x14ac:dyDescent="0.25">
      <c r="A2530"/>
    </row>
    <row r="2531" spans="1:1" x14ac:dyDescent="0.25">
      <c r="A2531"/>
    </row>
    <row r="2532" spans="1:1" x14ac:dyDescent="0.25">
      <c r="A2532"/>
    </row>
    <row r="2533" spans="1:1" x14ac:dyDescent="0.25">
      <c r="A2533"/>
    </row>
    <row r="2534" spans="1:1" x14ac:dyDescent="0.25">
      <c r="A2534"/>
    </row>
    <row r="2535" spans="1:1" x14ac:dyDescent="0.25">
      <c r="A2535"/>
    </row>
    <row r="2536" spans="1:1" x14ac:dyDescent="0.25">
      <c r="A2536"/>
    </row>
    <row r="2537" spans="1:1" x14ac:dyDescent="0.25">
      <c r="A2537"/>
    </row>
    <row r="2538" spans="1:1" x14ac:dyDescent="0.25">
      <c r="A2538"/>
    </row>
    <row r="2539" spans="1:1" x14ac:dyDescent="0.25">
      <c r="A2539"/>
    </row>
    <row r="2540" spans="1:1" x14ac:dyDescent="0.25">
      <c r="A2540"/>
    </row>
    <row r="2541" spans="1:1" x14ac:dyDescent="0.25">
      <c r="A2541"/>
    </row>
    <row r="2542" spans="1:1" x14ac:dyDescent="0.25">
      <c r="A2542"/>
    </row>
    <row r="2543" spans="1:1" x14ac:dyDescent="0.25">
      <c r="A2543"/>
    </row>
    <row r="2544" spans="1:1" x14ac:dyDescent="0.25">
      <c r="A2544"/>
    </row>
    <row r="2545" spans="1:1" x14ac:dyDescent="0.25">
      <c r="A2545"/>
    </row>
    <row r="2546" spans="1:1" x14ac:dyDescent="0.25">
      <c r="A2546"/>
    </row>
    <row r="2547" spans="1:1" x14ac:dyDescent="0.25">
      <c r="A2547"/>
    </row>
    <row r="2548" spans="1:1" x14ac:dyDescent="0.25">
      <c r="A2548"/>
    </row>
    <row r="2549" spans="1:1" x14ac:dyDescent="0.25">
      <c r="A2549"/>
    </row>
    <row r="2550" spans="1:1" x14ac:dyDescent="0.25">
      <c r="A2550"/>
    </row>
    <row r="2551" spans="1:1" x14ac:dyDescent="0.25">
      <c r="A2551"/>
    </row>
    <row r="2552" spans="1:1" x14ac:dyDescent="0.25">
      <c r="A2552"/>
    </row>
    <row r="2553" spans="1:1" x14ac:dyDescent="0.25">
      <c r="A2553"/>
    </row>
    <row r="2554" spans="1:1" x14ac:dyDescent="0.25">
      <c r="A2554"/>
    </row>
    <row r="2555" spans="1:1" x14ac:dyDescent="0.25">
      <c r="A2555"/>
    </row>
    <row r="2556" spans="1:1" x14ac:dyDescent="0.25">
      <c r="A2556"/>
    </row>
    <row r="2557" spans="1:1" x14ac:dyDescent="0.25">
      <c r="A2557"/>
    </row>
    <row r="2558" spans="1:1" x14ac:dyDescent="0.25">
      <c r="A2558"/>
    </row>
    <row r="2559" spans="1:1" x14ac:dyDescent="0.25">
      <c r="A2559"/>
    </row>
    <row r="2560" spans="1:1" x14ac:dyDescent="0.25">
      <c r="A2560"/>
    </row>
    <row r="2561" spans="1:1" x14ac:dyDescent="0.25">
      <c r="A2561"/>
    </row>
    <row r="2562" spans="1:1" x14ac:dyDescent="0.25">
      <c r="A2562"/>
    </row>
    <row r="2563" spans="1:1" x14ac:dyDescent="0.25">
      <c r="A2563"/>
    </row>
    <row r="2564" spans="1:1" x14ac:dyDescent="0.25">
      <c r="A2564"/>
    </row>
    <row r="2565" spans="1:1" x14ac:dyDescent="0.25">
      <c r="A2565"/>
    </row>
    <row r="2566" spans="1:1" x14ac:dyDescent="0.25">
      <c r="A2566"/>
    </row>
    <row r="2567" spans="1:1" x14ac:dyDescent="0.25">
      <c r="A2567"/>
    </row>
    <row r="2568" spans="1:1" x14ac:dyDescent="0.25">
      <c r="A2568"/>
    </row>
    <row r="2569" spans="1:1" x14ac:dyDescent="0.25">
      <c r="A2569"/>
    </row>
    <row r="2570" spans="1:1" x14ac:dyDescent="0.25">
      <c r="A2570"/>
    </row>
    <row r="2571" spans="1:1" x14ac:dyDescent="0.25">
      <c r="A2571"/>
    </row>
    <row r="2572" spans="1:1" x14ac:dyDescent="0.25">
      <c r="A2572"/>
    </row>
    <row r="2573" spans="1:1" x14ac:dyDescent="0.25">
      <c r="A2573"/>
    </row>
    <row r="2574" spans="1:1" x14ac:dyDescent="0.25">
      <c r="A2574"/>
    </row>
    <row r="2575" spans="1:1" x14ac:dyDescent="0.25">
      <c r="A2575"/>
    </row>
    <row r="2576" spans="1:1" x14ac:dyDescent="0.25">
      <c r="A2576"/>
    </row>
    <row r="2577" spans="1:1" x14ac:dyDescent="0.25">
      <c r="A2577"/>
    </row>
    <row r="2578" spans="1:1" x14ac:dyDescent="0.25">
      <c r="A2578"/>
    </row>
    <row r="2579" spans="1:1" x14ac:dyDescent="0.25">
      <c r="A2579"/>
    </row>
    <row r="2580" spans="1:1" x14ac:dyDescent="0.25">
      <c r="A2580"/>
    </row>
    <row r="2581" spans="1:1" x14ac:dyDescent="0.25">
      <c r="A2581"/>
    </row>
    <row r="2582" spans="1:1" x14ac:dyDescent="0.25">
      <c r="A2582"/>
    </row>
    <row r="2583" spans="1:1" x14ac:dyDescent="0.25">
      <c r="A2583"/>
    </row>
    <row r="2584" spans="1:1" x14ac:dyDescent="0.25">
      <c r="A2584"/>
    </row>
    <row r="2585" spans="1:1" x14ac:dyDescent="0.25">
      <c r="A2585"/>
    </row>
    <row r="2586" spans="1:1" x14ac:dyDescent="0.25">
      <c r="A2586"/>
    </row>
    <row r="2587" spans="1:1" x14ac:dyDescent="0.25">
      <c r="A2587"/>
    </row>
    <row r="2588" spans="1:1" x14ac:dyDescent="0.25">
      <c r="A2588"/>
    </row>
    <row r="2589" spans="1:1" x14ac:dyDescent="0.25">
      <c r="A2589"/>
    </row>
    <row r="2590" spans="1:1" x14ac:dyDescent="0.25">
      <c r="A2590"/>
    </row>
    <row r="2591" spans="1:1" x14ac:dyDescent="0.25">
      <c r="A2591"/>
    </row>
    <row r="2592" spans="1:1" x14ac:dyDescent="0.25">
      <c r="A2592"/>
    </row>
    <row r="2593" spans="1:1" x14ac:dyDescent="0.25">
      <c r="A2593"/>
    </row>
    <row r="2594" spans="1:1" x14ac:dyDescent="0.25">
      <c r="A2594"/>
    </row>
    <row r="2595" spans="1:1" x14ac:dyDescent="0.25">
      <c r="A2595"/>
    </row>
    <row r="2596" spans="1:1" x14ac:dyDescent="0.25">
      <c r="A2596"/>
    </row>
    <row r="2597" spans="1:1" x14ac:dyDescent="0.25">
      <c r="A2597"/>
    </row>
    <row r="2598" spans="1:1" x14ac:dyDescent="0.25">
      <c r="A2598"/>
    </row>
    <row r="2599" spans="1:1" x14ac:dyDescent="0.25">
      <c r="A2599"/>
    </row>
    <row r="2600" spans="1:1" x14ac:dyDescent="0.25">
      <c r="A2600"/>
    </row>
    <row r="2601" spans="1:1" x14ac:dyDescent="0.25">
      <c r="A2601"/>
    </row>
    <row r="2602" spans="1:1" x14ac:dyDescent="0.25">
      <c r="A2602"/>
    </row>
    <row r="2603" spans="1:1" x14ac:dyDescent="0.25">
      <c r="A2603"/>
    </row>
    <row r="2604" spans="1:1" x14ac:dyDescent="0.25">
      <c r="A2604"/>
    </row>
    <row r="2605" spans="1:1" x14ac:dyDescent="0.25">
      <c r="A2605"/>
    </row>
    <row r="2606" spans="1:1" x14ac:dyDescent="0.25">
      <c r="A2606"/>
    </row>
    <row r="2607" spans="1:1" x14ac:dyDescent="0.25">
      <c r="A2607"/>
    </row>
    <row r="2608" spans="1:1" x14ac:dyDescent="0.25">
      <c r="A2608"/>
    </row>
    <row r="2609" spans="1:1" x14ac:dyDescent="0.25">
      <c r="A2609"/>
    </row>
    <row r="2610" spans="1:1" x14ac:dyDescent="0.25">
      <c r="A2610"/>
    </row>
    <row r="2611" spans="1:1" x14ac:dyDescent="0.25">
      <c r="A2611"/>
    </row>
    <row r="2612" spans="1:1" x14ac:dyDescent="0.25">
      <c r="A2612"/>
    </row>
    <row r="2613" spans="1:1" x14ac:dyDescent="0.25">
      <c r="A2613"/>
    </row>
    <row r="2614" spans="1:1" x14ac:dyDescent="0.25">
      <c r="A2614"/>
    </row>
    <row r="2615" spans="1:1" x14ac:dyDescent="0.25">
      <c r="A2615"/>
    </row>
    <row r="2616" spans="1:1" x14ac:dyDescent="0.25">
      <c r="A2616"/>
    </row>
    <row r="2617" spans="1:1" x14ac:dyDescent="0.25">
      <c r="A2617"/>
    </row>
    <row r="2618" spans="1:1" x14ac:dyDescent="0.25">
      <c r="A2618"/>
    </row>
    <row r="2619" spans="1:1" x14ac:dyDescent="0.25">
      <c r="A2619"/>
    </row>
    <row r="2620" spans="1:1" x14ac:dyDescent="0.25">
      <c r="A2620"/>
    </row>
    <row r="2621" spans="1:1" x14ac:dyDescent="0.25">
      <c r="A2621"/>
    </row>
    <row r="2622" spans="1:1" x14ac:dyDescent="0.25">
      <c r="A2622"/>
    </row>
    <row r="2623" spans="1:1" x14ac:dyDescent="0.25">
      <c r="A2623"/>
    </row>
    <row r="2624" spans="1:1" x14ac:dyDescent="0.25">
      <c r="A2624"/>
    </row>
    <row r="2625" spans="1:1" x14ac:dyDescent="0.25">
      <c r="A2625"/>
    </row>
    <row r="2626" spans="1:1" x14ac:dyDescent="0.25">
      <c r="A2626"/>
    </row>
    <row r="2627" spans="1:1" x14ac:dyDescent="0.25">
      <c r="A2627"/>
    </row>
    <row r="2628" spans="1:1" x14ac:dyDescent="0.25">
      <c r="A2628"/>
    </row>
    <row r="2629" spans="1:1" x14ac:dyDescent="0.25">
      <c r="A2629"/>
    </row>
    <row r="2630" spans="1:1" x14ac:dyDescent="0.25">
      <c r="A2630"/>
    </row>
    <row r="2631" spans="1:1" x14ac:dyDescent="0.25">
      <c r="A2631"/>
    </row>
    <row r="2632" spans="1:1" x14ac:dyDescent="0.25">
      <c r="A2632"/>
    </row>
    <row r="2633" spans="1:1" x14ac:dyDescent="0.25">
      <c r="A2633"/>
    </row>
    <row r="2634" spans="1:1" x14ac:dyDescent="0.25">
      <c r="A2634"/>
    </row>
    <row r="2635" spans="1:1" x14ac:dyDescent="0.25">
      <c r="A2635"/>
    </row>
    <row r="2636" spans="1:1" x14ac:dyDescent="0.25">
      <c r="A2636"/>
    </row>
    <row r="2637" spans="1:1" x14ac:dyDescent="0.25">
      <c r="A2637"/>
    </row>
    <row r="2638" spans="1:1" x14ac:dyDescent="0.25">
      <c r="A2638"/>
    </row>
    <row r="2639" spans="1:1" x14ac:dyDescent="0.25">
      <c r="A2639"/>
    </row>
    <row r="2640" spans="1:1" x14ac:dyDescent="0.25">
      <c r="A2640"/>
    </row>
    <row r="2641" spans="1:1" x14ac:dyDescent="0.25">
      <c r="A2641"/>
    </row>
    <row r="2642" spans="1:1" x14ac:dyDescent="0.25">
      <c r="A2642"/>
    </row>
    <row r="2643" spans="1:1" x14ac:dyDescent="0.25">
      <c r="A2643"/>
    </row>
    <row r="2644" spans="1:1" x14ac:dyDescent="0.25">
      <c r="A2644"/>
    </row>
    <row r="2645" spans="1:1" x14ac:dyDescent="0.25">
      <c r="A2645"/>
    </row>
    <row r="2646" spans="1:1" x14ac:dyDescent="0.25">
      <c r="A2646"/>
    </row>
    <row r="2647" spans="1:1" x14ac:dyDescent="0.25">
      <c r="A2647"/>
    </row>
    <row r="2648" spans="1:1" x14ac:dyDescent="0.25">
      <c r="A2648"/>
    </row>
    <row r="2649" spans="1:1" x14ac:dyDescent="0.25">
      <c r="A2649"/>
    </row>
    <row r="2650" spans="1:1" x14ac:dyDescent="0.25">
      <c r="A2650"/>
    </row>
    <row r="2651" spans="1:1" x14ac:dyDescent="0.25">
      <c r="A2651"/>
    </row>
    <row r="2652" spans="1:1" x14ac:dyDescent="0.25">
      <c r="A2652"/>
    </row>
    <row r="2653" spans="1:1" x14ac:dyDescent="0.25">
      <c r="A2653"/>
    </row>
    <row r="2654" spans="1:1" x14ac:dyDescent="0.25">
      <c r="A2654"/>
    </row>
    <row r="2655" spans="1:1" x14ac:dyDescent="0.25">
      <c r="A2655"/>
    </row>
    <row r="2656" spans="1:1" x14ac:dyDescent="0.25">
      <c r="A2656"/>
    </row>
    <row r="2657" spans="1:1" x14ac:dyDescent="0.25">
      <c r="A2657"/>
    </row>
    <row r="2658" spans="1:1" x14ac:dyDescent="0.25">
      <c r="A2658"/>
    </row>
    <row r="2659" spans="1:1" x14ac:dyDescent="0.25">
      <c r="A2659"/>
    </row>
    <row r="2660" spans="1:1" x14ac:dyDescent="0.25">
      <c r="A2660"/>
    </row>
    <row r="2661" spans="1:1" x14ac:dyDescent="0.25">
      <c r="A2661"/>
    </row>
    <row r="2662" spans="1:1" x14ac:dyDescent="0.25">
      <c r="A2662"/>
    </row>
    <row r="2663" spans="1:1" x14ac:dyDescent="0.25">
      <c r="A2663"/>
    </row>
    <row r="2664" spans="1:1" x14ac:dyDescent="0.25">
      <c r="A2664"/>
    </row>
    <row r="2665" spans="1:1" x14ac:dyDescent="0.25">
      <c r="A2665"/>
    </row>
    <row r="2666" spans="1:1" x14ac:dyDescent="0.25">
      <c r="A2666"/>
    </row>
    <row r="2667" spans="1:1" x14ac:dyDescent="0.25">
      <c r="A2667"/>
    </row>
    <row r="2668" spans="1:1" x14ac:dyDescent="0.25">
      <c r="A2668"/>
    </row>
    <row r="2669" spans="1:1" x14ac:dyDescent="0.25">
      <c r="A2669"/>
    </row>
    <row r="2670" spans="1:1" x14ac:dyDescent="0.25">
      <c r="A2670"/>
    </row>
    <row r="2671" spans="1:1" x14ac:dyDescent="0.25">
      <c r="A2671"/>
    </row>
    <row r="2672" spans="1:1" x14ac:dyDescent="0.25">
      <c r="A2672"/>
    </row>
    <row r="2673" spans="1:1" x14ac:dyDescent="0.25">
      <c r="A2673"/>
    </row>
    <row r="2674" spans="1:1" x14ac:dyDescent="0.25">
      <c r="A2674"/>
    </row>
    <row r="2675" spans="1:1" x14ac:dyDescent="0.25">
      <c r="A2675"/>
    </row>
    <row r="2676" spans="1:1" x14ac:dyDescent="0.25">
      <c r="A2676"/>
    </row>
    <row r="2677" spans="1:1" x14ac:dyDescent="0.25">
      <c r="A2677"/>
    </row>
    <row r="2678" spans="1:1" x14ac:dyDescent="0.25">
      <c r="A2678"/>
    </row>
    <row r="2679" spans="1:1" x14ac:dyDescent="0.25">
      <c r="A2679"/>
    </row>
    <row r="2680" spans="1:1" x14ac:dyDescent="0.25">
      <c r="A2680"/>
    </row>
    <row r="2681" spans="1:1" x14ac:dyDescent="0.25">
      <c r="A2681"/>
    </row>
    <row r="2682" spans="1:1" x14ac:dyDescent="0.25">
      <c r="A2682"/>
    </row>
    <row r="2683" spans="1:1" x14ac:dyDescent="0.25">
      <c r="A2683"/>
    </row>
    <row r="2684" spans="1:1" x14ac:dyDescent="0.25">
      <c r="A2684"/>
    </row>
    <row r="2685" spans="1:1" x14ac:dyDescent="0.25">
      <c r="A2685"/>
    </row>
    <row r="2686" spans="1:1" x14ac:dyDescent="0.25">
      <c r="A2686"/>
    </row>
    <row r="2687" spans="1:1" x14ac:dyDescent="0.25">
      <c r="A2687"/>
    </row>
    <row r="2688" spans="1:1" x14ac:dyDescent="0.25">
      <c r="A2688"/>
    </row>
    <row r="2689" spans="1:1" x14ac:dyDescent="0.25">
      <c r="A2689"/>
    </row>
    <row r="2690" spans="1:1" x14ac:dyDescent="0.25">
      <c r="A2690"/>
    </row>
    <row r="2691" spans="1:1" x14ac:dyDescent="0.25">
      <c r="A2691"/>
    </row>
    <row r="2692" spans="1:1" x14ac:dyDescent="0.25">
      <c r="A2692"/>
    </row>
    <row r="2693" spans="1:1" x14ac:dyDescent="0.25">
      <c r="A2693"/>
    </row>
    <row r="2694" spans="1:1" x14ac:dyDescent="0.25">
      <c r="A2694"/>
    </row>
    <row r="2695" spans="1:1" x14ac:dyDescent="0.25">
      <c r="A2695"/>
    </row>
    <row r="2696" spans="1:1" x14ac:dyDescent="0.25">
      <c r="A2696"/>
    </row>
    <row r="2697" spans="1:1" x14ac:dyDescent="0.25">
      <c r="A2697"/>
    </row>
    <row r="2698" spans="1:1" x14ac:dyDescent="0.25">
      <c r="A2698"/>
    </row>
    <row r="2699" spans="1:1" x14ac:dyDescent="0.25">
      <c r="A2699"/>
    </row>
    <row r="2700" spans="1:1" x14ac:dyDescent="0.25">
      <c r="A2700"/>
    </row>
    <row r="2701" spans="1:1" x14ac:dyDescent="0.25">
      <c r="A2701"/>
    </row>
    <row r="2702" spans="1:1" x14ac:dyDescent="0.25">
      <c r="A2702"/>
    </row>
    <row r="2703" spans="1:1" x14ac:dyDescent="0.25">
      <c r="A2703"/>
    </row>
    <row r="2704" spans="1:1" x14ac:dyDescent="0.25">
      <c r="A2704"/>
    </row>
    <row r="2705" spans="1:1" x14ac:dyDescent="0.25">
      <c r="A2705"/>
    </row>
    <row r="2706" spans="1:1" x14ac:dyDescent="0.25">
      <c r="A2706"/>
    </row>
    <row r="2707" spans="1:1" x14ac:dyDescent="0.25">
      <c r="A2707"/>
    </row>
    <row r="2708" spans="1:1" x14ac:dyDescent="0.25">
      <c r="A2708"/>
    </row>
    <row r="2709" spans="1:1" x14ac:dyDescent="0.25">
      <c r="A2709"/>
    </row>
    <row r="2710" spans="1:1" x14ac:dyDescent="0.25">
      <c r="A2710"/>
    </row>
    <row r="2711" spans="1:1" x14ac:dyDescent="0.25">
      <c r="A2711"/>
    </row>
    <row r="2712" spans="1:1" x14ac:dyDescent="0.25">
      <c r="A2712"/>
    </row>
    <row r="2713" spans="1:1" x14ac:dyDescent="0.25">
      <c r="A2713"/>
    </row>
    <row r="2714" spans="1:1" x14ac:dyDescent="0.25">
      <c r="A2714"/>
    </row>
    <row r="2715" spans="1:1" x14ac:dyDescent="0.25">
      <c r="A2715"/>
    </row>
    <row r="2716" spans="1:1" x14ac:dyDescent="0.25">
      <c r="A2716"/>
    </row>
    <row r="2717" spans="1:1" x14ac:dyDescent="0.25">
      <c r="A2717"/>
    </row>
    <row r="2718" spans="1:1" x14ac:dyDescent="0.25">
      <c r="A2718"/>
    </row>
    <row r="2719" spans="1:1" x14ac:dyDescent="0.25">
      <c r="A2719"/>
    </row>
    <row r="2720" spans="1:1" x14ac:dyDescent="0.25">
      <c r="A2720"/>
    </row>
    <row r="2721" spans="1:1" x14ac:dyDescent="0.25">
      <c r="A2721"/>
    </row>
    <row r="2722" spans="1:1" x14ac:dyDescent="0.25">
      <c r="A2722"/>
    </row>
    <row r="2723" spans="1:1" x14ac:dyDescent="0.25">
      <c r="A2723"/>
    </row>
    <row r="2724" spans="1:1" x14ac:dyDescent="0.25">
      <c r="A2724"/>
    </row>
    <row r="2725" spans="1:1" x14ac:dyDescent="0.25">
      <c r="A2725"/>
    </row>
    <row r="2726" spans="1:1" x14ac:dyDescent="0.25">
      <c r="A2726"/>
    </row>
    <row r="2727" spans="1:1" x14ac:dyDescent="0.25">
      <c r="A2727"/>
    </row>
    <row r="2728" spans="1:1" x14ac:dyDescent="0.25">
      <c r="A2728"/>
    </row>
    <row r="2729" spans="1:1" x14ac:dyDescent="0.25">
      <c r="A2729"/>
    </row>
    <row r="2730" spans="1:1" x14ac:dyDescent="0.25">
      <c r="A2730"/>
    </row>
    <row r="2731" spans="1:1" x14ac:dyDescent="0.25">
      <c r="A2731"/>
    </row>
    <row r="2732" spans="1:1" x14ac:dyDescent="0.25">
      <c r="A2732"/>
    </row>
    <row r="2733" spans="1:1" x14ac:dyDescent="0.25">
      <c r="A2733"/>
    </row>
    <row r="2734" spans="1:1" x14ac:dyDescent="0.25">
      <c r="A2734"/>
    </row>
    <row r="2735" spans="1:1" x14ac:dyDescent="0.25">
      <c r="A2735"/>
    </row>
    <row r="2736" spans="1:1" x14ac:dyDescent="0.25">
      <c r="A2736"/>
    </row>
    <row r="2737" spans="1:1" x14ac:dyDescent="0.25">
      <c r="A2737"/>
    </row>
    <row r="2738" spans="1:1" x14ac:dyDescent="0.25">
      <c r="A2738"/>
    </row>
    <row r="2739" spans="1:1" x14ac:dyDescent="0.25">
      <c r="A2739"/>
    </row>
    <row r="2740" spans="1:1" x14ac:dyDescent="0.25">
      <c r="A2740"/>
    </row>
    <row r="2741" spans="1:1" x14ac:dyDescent="0.25">
      <c r="A2741"/>
    </row>
    <row r="2742" spans="1:1" x14ac:dyDescent="0.25">
      <c r="A2742"/>
    </row>
    <row r="2743" spans="1:1" x14ac:dyDescent="0.25">
      <c r="A2743"/>
    </row>
    <row r="2744" spans="1:1" x14ac:dyDescent="0.25">
      <c r="A2744"/>
    </row>
    <row r="2745" spans="1:1" x14ac:dyDescent="0.25">
      <c r="A2745"/>
    </row>
    <row r="2746" spans="1:1" x14ac:dyDescent="0.25">
      <c r="A2746"/>
    </row>
    <row r="2747" spans="1:1" x14ac:dyDescent="0.25">
      <c r="A2747"/>
    </row>
    <row r="2748" spans="1:1" x14ac:dyDescent="0.25">
      <c r="A2748"/>
    </row>
    <row r="2749" spans="1:1" x14ac:dyDescent="0.25">
      <c r="A2749"/>
    </row>
    <row r="2750" spans="1:1" x14ac:dyDescent="0.25">
      <c r="A2750"/>
    </row>
    <row r="2751" spans="1:1" x14ac:dyDescent="0.25">
      <c r="A2751"/>
    </row>
    <row r="2752" spans="1:1" x14ac:dyDescent="0.25">
      <c r="A2752"/>
    </row>
    <row r="2753" spans="1:1" x14ac:dyDescent="0.25">
      <c r="A2753"/>
    </row>
    <row r="2754" spans="1:1" x14ac:dyDescent="0.25">
      <c r="A2754"/>
    </row>
    <row r="2755" spans="1:1" x14ac:dyDescent="0.25">
      <c r="A2755"/>
    </row>
    <row r="2756" spans="1:1" x14ac:dyDescent="0.25">
      <c r="A2756"/>
    </row>
    <row r="2757" spans="1:1" x14ac:dyDescent="0.25">
      <c r="A2757"/>
    </row>
    <row r="2758" spans="1:1" x14ac:dyDescent="0.25">
      <c r="A2758"/>
    </row>
    <row r="2759" spans="1:1" x14ac:dyDescent="0.25">
      <c r="A2759"/>
    </row>
    <row r="2760" spans="1:1" x14ac:dyDescent="0.25">
      <c r="A2760"/>
    </row>
    <row r="2761" spans="1:1" x14ac:dyDescent="0.25">
      <c r="A2761"/>
    </row>
    <row r="2762" spans="1:1" x14ac:dyDescent="0.25">
      <c r="A2762"/>
    </row>
    <row r="2763" spans="1:1" x14ac:dyDescent="0.25">
      <c r="A2763"/>
    </row>
    <row r="2764" spans="1:1" x14ac:dyDescent="0.25">
      <c r="A2764"/>
    </row>
    <row r="2765" spans="1:1" x14ac:dyDescent="0.25">
      <c r="A2765"/>
    </row>
    <row r="2766" spans="1:1" x14ac:dyDescent="0.25">
      <c r="A2766"/>
    </row>
    <row r="2767" spans="1:1" x14ac:dyDescent="0.25">
      <c r="A2767"/>
    </row>
    <row r="2768" spans="1:1" x14ac:dyDescent="0.25">
      <c r="A2768"/>
    </row>
    <row r="2769" spans="1:1" x14ac:dyDescent="0.25">
      <c r="A2769"/>
    </row>
    <row r="2770" spans="1:1" x14ac:dyDescent="0.25">
      <c r="A2770"/>
    </row>
    <row r="2771" spans="1:1" x14ac:dyDescent="0.25">
      <c r="A2771"/>
    </row>
    <row r="2772" spans="1:1" x14ac:dyDescent="0.25">
      <c r="A2772"/>
    </row>
    <row r="2773" spans="1:1" x14ac:dyDescent="0.25">
      <c r="A2773"/>
    </row>
    <row r="2774" spans="1:1" x14ac:dyDescent="0.25">
      <c r="A2774"/>
    </row>
    <row r="2775" spans="1:1" x14ac:dyDescent="0.25">
      <c r="A2775"/>
    </row>
    <row r="2776" spans="1:1" x14ac:dyDescent="0.25">
      <c r="A2776"/>
    </row>
    <row r="2777" spans="1:1" x14ac:dyDescent="0.25">
      <c r="A2777"/>
    </row>
    <row r="2778" spans="1:1" x14ac:dyDescent="0.25">
      <c r="A2778"/>
    </row>
    <row r="2779" spans="1:1" x14ac:dyDescent="0.25">
      <c r="A2779"/>
    </row>
    <row r="2780" spans="1:1" x14ac:dyDescent="0.25">
      <c r="A2780"/>
    </row>
    <row r="2781" spans="1:1" x14ac:dyDescent="0.25">
      <c r="A2781"/>
    </row>
    <row r="2782" spans="1:1" x14ac:dyDescent="0.25">
      <c r="A2782"/>
    </row>
    <row r="2783" spans="1:1" x14ac:dyDescent="0.25">
      <c r="A2783"/>
    </row>
    <row r="2784" spans="1:1" x14ac:dyDescent="0.25">
      <c r="A2784"/>
    </row>
    <row r="2785" spans="1:1" x14ac:dyDescent="0.25">
      <c r="A2785"/>
    </row>
    <row r="2786" spans="1:1" x14ac:dyDescent="0.25">
      <c r="A2786"/>
    </row>
    <row r="2787" spans="1:1" x14ac:dyDescent="0.25">
      <c r="A2787"/>
    </row>
    <row r="2788" spans="1:1" x14ac:dyDescent="0.25">
      <c r="A2788"/>
    </row>
    <row r="2789" spans="1:1" x14ac:dyDescent="0.25">
      <c r="A2789"/>
    </row>
    <row r="2790" spans="1:1" x14ac:dyDescent="0.25">
      <c r="A2790"/>
    </row>
    <row r="2791" spans="1:1" x14ac:dyDescent="0.25">
      <c r="A2791"/>
    </row>
    <row r="2792" spans="1:1" x14ac:dyDescent="0.25">
      <c r="A2792"/>
    </row>
    <row r="2793" spans="1:1" x14ac:dyDescent="0.25">
      <c r="A2793"/>
    </row>
    <row r="2794" spans="1:1" x14ac:dyDescent="0.25">
      <c r="A2794"/>
    </row>
    <row r="2795" spans="1:1" x14ac:dyDescent="0.25">
      <c r="A2795"/>
    </row>
    <row r="2796" spans="1:1" x14ac:dyDescent="0.25">
      <c r="A2796"/>
    </row>
    <row r="2797" spans="1:1" x14ac:dyDescent="0.25">
      <c r="A2797"/>
    </row>
    <row r="2798" spans="1:1" x14ac:dyDescent="0.25">
      <c r="A2798"/>
    </row>
    <row r="2799" spans="1:1" x14ac:dyDescent="0.25">
      <c r="A2799"/>
    </row>
    <row r="2800" spans="1:1" x14ac:dyDescent="0.25">
      <c r="A2800"/>
    </row>
    <row r="2801" spans="1:1" x14ac:dyDescent="0.25">
      <c r="A2801"/>
    </row>
    <row r="2802" spans="1:1" x14ac:dyDescent="0.25">
      <c r="A2802"/>
    </row>
    <row r="2803" spans="1:1" x14ac:dyDescent="0.25">
      <c r="A2803"/>
    </row>
    <row r="2804" spans="1:1" x14ac:dyDescent="0.25">
      <c r="A2804"/>
    </row>
    <row r="2805" spans="1:1" x14ac:dyDescent="0.25">
      <c r="A2805"/>
    </row>
    <row r="2806" spans="1:1" x14ac:dyDescent="0.25">
      <c r="A2806"/>
    </row>
    <row r="2807" spans="1:1" x14ac:dyDescent="0.25">
      <c r="A2807"/>
    </row>
    <row r="2808" spans="1:1" x14ac:dyDescent="0.25">
      <c r="A2808"/>
    </row>
    <row r="2809" spans="1:1" x14ac:dyDescent="0.25">
      <c r="A2809"/>
    </row>
    <row r="2810" spans="1:1" x14ac:dyDescent="0.25">
      <c r="A2810"/>
    </row>
    <row r="2811" spans="1:1" x14ac:dyDescent="0.25">
      <c r="A2811"/>
    </row>
    <row r="2812" spans="1:1" x14ac:dyDescent="0.25">
      <c r="A2812"/>
    </row>
    <row r="2813" spans="1:1" x14ac:dyDescent="0.25">
      <c r="A2813"/>
    </row>
    <row r="2814" spans="1:1" x14ac:dyDescent="0.25">
      <c r="A2814"/>
    </row>
    <row r="2815" spans="1:1" x14ac:dyDescent="0.25">
      <c r="A2815"/>
    </row>
    <row r="2816" spans="1:1" x14ac:dyDescent="0.25">
      <c r="A2816"/>
    </row>
    <row r="2817" spans="1:1" x14ac:dyDescent="0.25">
      <c r="A2817"/>
    </row>
    <row r="2818" spans="1:1" x14ac:dyDescent="0.25">
      <c r="A2818"/>
    </row>
    <row r="2819" spans="1:1" x14ac:dyDescent="0.25">
      <c r="A2819"/>
    </row>
    <row r="2820" spans="1:1" x14ac:dyDescent="0.25">
      <c r="A2820"/>
    </row>
    <row r="2821" spans="1:1" x14ac:dyDescent="0.25">
      <c r="A2821"/>
    </row>
    <row r="2822" spans="1:1" x14ac:dyDescent="0.25">
      <c r="A2822"/>
    </row>
    <row r="2823" spans="1:1" x14ac:dyDescent="0.25">
      <c r="A2823"/>
    </row>
    <row r="2824" spans="1:1" x14ac:dyDescent="0.25">
      <c r="A2824"/>
    </row>
    <row r="2825" spans="1:1" x14ac:dyDescent="0.25">
      <c r="A2825"/>
    </row>
    <row r="2826" spans="1:1" x14ac:dyDescent="0.25">
      <c r="A2826"/>
    </row>
    <row r="2827" spans="1:1" x14ac:dyDescent="0.25">
      <c r="A2827"/>
    </row>
    <row r="2828" spans="1:1" x14ac:dyDescent="0.25">
      <c r="A2828"/>
    </row>
    <row r="2829" spans="1:1" x14ac:dyDescent="0.25">
      <c r="A2829"/>
    </row>
    <row r="2830" spans="1:1" x14ac:dyDescent="0.25">
      <c r="A2830"/>
    </row>
    <row r="2831" spans="1:1" x14ac:dyDescent="0.25">
      <c r="A2831"/>
    </row>
    <row r="2832" spans="1:1" x14ac:dyDescent="0.25">
      <c r="A2832"/>
    </row>
    <row r="2833" spans="1:1" x14ac:dyDescent="0.25">
      <c r="A2833"/>
    </row>
    <row r="2834" spans="1:1" x14ac:dyDescent="0.25">
      <c r="A2834"/>
    </row>
    <row r="2835" spans="1:1" x14ac:dyDescent="0.25">
      <c r="A2835"/>
    </row>
    <row r="2836" spans="1:1" x14ac:dyDescent="0.25">
      <c r="A2836"/>
    </row>
    <row r="2837" spans="1:1" x14ac:dyDescent="0.25">
      <c r="A2837"/>
    </row>
    <row r="2838" spans="1:1" x14ac:dyDescent="0.25">
      <c r="A2838"/>
    </row>
    <row r="2839" spans="1:1" x14ac:dyDescent="0.25">
      <c r="A2839"/>
    </row>
    <row r="2840" spans="1:1" x14ac:dyDescent="0.25">
      <c r="A2840"/>
    </row>
    <row r="2841" spans="1:1" x14ac:dyDescent="0.25">
      <c r="A2841"/>
    </row>
    <row r="2842" spans="1:1" x14ac:dyDescent="0.25">
      <c r="A2842"/>
    </row>
    <row r="2843" spans="1:1" x14ac:dyDescent="0.25">
      <c r="A2843"/>
    </row>
    <row r="2844" spans="1:1" x14ac:dyDescent="0.25">
      <c r="A2844"/>
    </row>
    <row r="2845" spans="1:1" x14ac:dyDescent="0.25">
      <c r="A2845"/>
    </row>
    <row r="2846" spans="1:1" x14ac:dyDescent="0.25">
      <c r="A2846"/>
    </row>
    <row r="2847" spans="1:1" x14ac:dyDescent="0.25">
      <c r="A2847"/>
    </row>
    <row r="2848" spans="1:1" x14ac:dyDescent="0.25">
      <c r="A2848"/>
    </row>
    <row r="2849" spans="1:1" x14ac:dyDescent="0.25">
      <c r="A2849"/>
    </row>
    <row r="2850" spans="1:1" x14ac:dyDescent="0.25">
      <c r="A2850"/>
    </row>
    <row r="2851" spans="1:1" x14ac:dyDescent="0.25">
      <c r="A2851"/>
    </row>
    <row r="2852" spans="1:1" x14ac:dyDescent="0.25">
      <c r="A2852"/>
    </row>
    <row r="2853" spans="1:1" x14ac:dyDescent="0.25">
      <c r="A2853"/>
    </row>
    <row r="2854" spans="1:1" x14ac:dyDescent="0.25">
      <c r="A2854"/>
    </row>
    <row r="2855" spans="1:1" x14ac:dyDescent="0.25">
      <c r="A2855"/>
    </row>
    <row r="2856" spans="1:1" x14ac:dyDescent="0.25">
      <c r="A2856"/>
    </row>
    <row r="2857" spans="1:1" x14ac:dyDescent="0.25">
      <c r="A2857"/>
    </row>
    <row r="2858" spans="1:1" x14ac:dyDescent="0.25">
      <c r="A2858"/>
    </row>
    <row r="2859" spans="1:1" x14ac:dyDescent="0.25">
      <c r="A2859"/>
    </row>
    <row r="2860" spans="1:1" x14ac:dyDescent="0.25">
      <c r="A2860"/>
    </row>
    <row r="2861" spans="1:1" x14ac:dyDescent="0.25">
      <c r="A2861"/>
    </row>
    <row r="2862" spans="1:1" x14ac:dyDescent="0.25">
      <c r="A2862"/>
    </row>
    <row r="2863" spans="1:1" x14ac:dyDescent="0.25">
      <c r="A2863"/>
    </row>
    <row r="2864" spans="1:1" x14ac:dyDescent="0.25">
      <c r="A2864"/>
    </row>
    <row r="2865" spans="1:1" x14ac:dyDescent="0.25">
      <c r="A2865"/>
    </row>
    <row r="2866" spans="1:1" x14ac:dyDescent="0.25">
      <c r="A2866"/>
    </row>
    <row r="2867" spans="1:1" x14ac:dyDescent="0.25">
      <c r="A2867"/>
    </row>
    <row r="2868" spans="1:1" x14ac:dyDescent="0.25">
      <c r="A2868"/>
    </row>
    <row r="2869" spans="1:1" x14ac:dyDescent="0.25">
      <c r="A2869"/>
    </row>
    <row r="2870" spans="1:1" x14ac:dyDescent="0.25">
      <c r="A2870"/>
    </row>
    <row r="2871" spans="1:1" x14ac:dyDescent="0.25">
      <c r="A2871"/>
    </row>
    <row r="2872" spans="1:1" x14ac:dyDescent="0.25">
      <c r="A2872"/>
    </row>
    <row r="2873" spans="1:1" x14ac:dyDescent="0.25">
      <c r="A2873"/>
    </row>
    <row r="2874" spans="1:1" x14ac:dyDescent="0.25">
      <c r="A2874"/>
    </row>
    <row r="2875" spans="1:1" x14ac:dyDescent="0.25">
      <c r="A2875"/>
    </row>
    <row r="2876" spans="1:1" x14ac:dyDescent="0.25">
      <c r="A2876"/>
    </row>
    <row r="2877" spans="1:1" x14ac:dyDescent="0.25">
      <c r="A2877"/>
    </row>
    <row r="2878" spans="1:1" x14ac:dyDescent="0.25">
      <c r="A2878"/>
    </row>
    <row r="2879" spans="1:1" x14ac:dyDescent="0.25">
      <c r="A2879"/>
    </row>
    <row r="2880" spans="1:1" x14ac:dyDescent="0.25">
      <c r="A2880"/>
    </row>
    <row r="2881" spans="1:1" x14ac:dyDescent="0.25">
      <c r="A2881"/>
    </row>
    <row r="2882" spans="1:1" x14ac:dyDescent="0.25">
      <c r="A2882"/>
    </row>
    <row r="2883" spans="1:1" x14ac:dyDescent="0.25">
      <c r="A2883"/>
    </row>
    <row r="2884" spans="1:1" x14ac:dyDescent="0.25">
      <c r="A2884"/>
    </row>
    <row r="2885" spans="1:1" x14ac:dyDescent="0.25">
      <c r="A2885"/>
    </row>
    <row r="2886" spans="1:1" x14ac:dyDescent="0.25">
      <c r="A2886"/>
    </row>
    <row r="2887" spans="1:1" x14ac:dyDescent="0.25">
      <c r="A2887"/>
    </row>
    <row r="2888" spans="1:1" x14ac:dyDescent="0.25">
      <c r="A2888"/>
    </row>
    <row r="2889" spans="1:1" x14ac:dyDescent="0.25">
      <c r="A2889"/>
    </row>
    <row r="2890" spans="1:1" x14ac:dyDescent="0.25">
      <c r="A2890"/>
    </row>
    <row r="2891" spans="1:1" x14ac:dyDescent="0.25">
      <c r="A2891"/>
    </row>
    <row r="2892" spans="1:1" x14ac:dyDescent="0.25">
      <c r="A2892"/>
    </row>
    <row r="2893" spans="1:1" x14ac:dyDescent="0.25">
      <c r="A2893"/>
    </row>
    <row r="2894" spans="1:1" x14ac:dyDescent="0.25">
      <c r="A2894"/>
    </row>
    <row r="2895" spans="1:1" x14ac:dyDescent="0.25">
      <c r="A2895"/>
    </row>
    <row r="2896" spans="1:1" x14ac:dyDescent="0.25">
      <c r="A2896"/>
    </row>
    <row r="2897" spans="1:1" x14ac:dyDescent="0.25">
      <c r="A2897"/>
    </row>
    <row r="2898" spans="1:1" x14ac:dyDescent="0.25">
      <c r="A2898"/>
    </row>
    <row r="2899" spans="1:1" x14ac:dyDescent="0.25">
      <c r="A2899"/>
    </row>
    <row r="2900" spans="1:1" x14ac:dyDescent="0.25">
      <c r="A2900"/>
    </row>
    <row r="2901" spans="1:1" x14ac:dyDescent="0.25">
      <c r="A2901"/>
    </row>
    <row r="2902" spans="1:1" x14ac:dyDescent="0.25">
      <c r="A2902"/>
    </row>
    <row r="2903" spans="1:1" x14ac:dyDescent="0.25">
      <c r="A2903"/>
    </row>
    <row r="2904" spans="1:1" x14ac:dyDescent="0.25">
      <c r="A2904"/>
    </row>
    <row r="2905" spans="1:1" x14ac:dyDescent="0.25">
      <c r="A2905"/>
    </row>
    <row r="2906" spans="1:1" x14ac:dyDescent="0.25">
      <c r="A2906"/>
    </row>
    <row r="2907" spans="1:1" x14ac:dyDescent="0.25">
      <c r="A2907"/>
    </row>
    <row r="2908" spans="1:1" x14ac:dyDescent="0.25">
      <c r="A2908"/>
    </row>
    <row r="2909" spans="1:1" x14ac:dyDescent="0.25">
      <c r="A2909"/>
    </row>
    <row r="2910" spans="1:1" x14ac:dyDescent="0.25">
      <c r="A2910"/>
    </row>
    <row r="2911" spans="1:1" x14ac:dyDescent="0.25">
      <c r="A2911"/>
    </row>
    <row r="2912" spans="1:1" x14ac:dyDescent="0.25">
      <c r="A2912"/>
    </row>
    <row r="2913" spans="1:1" x14ac:dyDescent="0.25">
      <c r="A2913"/>
    </row>
    <row r="2914" spans="1:1" x14ac:dyDescent="0.25">
      <c r="A2914"/>
    </row>
    <row r="2915" spans="1:1" x14ac:dyDescent="0.25">
      <c r="A2915"/>
    </row>
    <row r="2916" spans="1:1" x14ac:dyDescent="0.25">
      <c r="A2916"/>
    </row>
    <row r="2917" spans="1:1" x14ac:dyDescent="0.25">
      <c r="A2917"/>
    </row>
    <row r="2918" spans="1:1" x14ac:dyDescent="0.25">
      <c r="A2918"/>
    </row>
    <row r="2919" spans="1:1" x14ac:dyDescent="0.25">
      <c r="A2919"/>
    </row>
    <row r="2920" spans="1:1" x14ac:dyDescent="0.25">
      <c r="A2920"/>
    </row>
    <row r="2921" spans="1:1" x14ac:dyDescent="0.25">
      <c r="A2921"/>
    </row>
    <row r="2922" spans="1:1" x14ac:dyDescent="0.25">
      <c r="A2922"/>
    </row>
    <row r="2923" spans="1:1" x14ac:dyDescent="0.25">
      <c r="A2923"/>
    </row>
    <row r="2924" spans="1:1" x14ac:dyDescent="0.25">
      <c r="A2924"/>
    </row>
    <row r="2925" spans="1:1" x14ac:dyDescent="0.25">
      <c r="A2925"/>
    </row>
    <row r="2926" spans="1:1" x14ac:dyDescent="0.25">
      <c r="A2926"/>
    </row>
    <row r="2927" spans="1:1" x14ac:dyDescent="0.25">
      <c r="A2927"/>
    </row>
    <row r="2928" spans="1:1" x14ac:dyDescent="0.25">
      <c r="A2928"/>
    </row>
    <row r="2929" spans="1:1" x14ac:dyDescent="0.25">
      <c r="A2929"/>
    </row>
    <row r="2930" spans="1:1" x14ac:dyDescent="0.25">
      <c r="A2930"/>
    </row>
    <row r="2931" spans="1:1" x14ac:dyDescent="0.25">
      <c r="A2931"/>
    </row>
    <row r="2932" spans="1:1" x14ac:dyDescent="0.25">
      <c r="A2932"/>
    </row>
    <row r="2933" spans="1:1" x14ac:dyDescent="0.25">
      <c r="A2933"/>
    </row>
    <row r="2934" spans="1:1" x14ac:dyDescent="0.25">
      <c r="A2934"/>
    </row>
    <row r="2935" spans="1:1" x14ac:dyDescent="0.25">
      <c r="A2935"/>
    </row>
    <row r="2936" spans="1:1" x14ac:dyDescent="0.25">
      <c r="A2936"/>
    </row>
    <row r="2937" spans="1:1" x14ac:dyDescent="0.25">
      <c r="A2937"/>
    </row>
    <row r="2938" spans="1:1" x14ac:dyDescent="0.25">
      <c r="A2938"/>
    </row>
    <row r="2939" spans="1:1" x14ac:dyDescent="0.25">
      <c r="A2939"/>
    </row>
    <row r="2940" spans="1:1" x14ac:dyDescent="0.25">
      <c r="A2940"/>
    </row>
    <row r="2941" spans="1:1" x14ac:dyDescent="0.25">
      <c r="A2941"/>
    </row>
    <row r="2942" spans="1:1" x14ac:dyDescent="0.25">
      <c r="A2942"/>
    </row>
    <row r="2943" spans="1:1" x14ac:dyDescent="0.25">
      <c r="A2943"/>
    </row>
    <row r="2944" spans="1:1" x14ac:dyDescent="0.25">
      <c r="A2944"/>
    </row>
    <row r="2945" spans="1:1" x14ac:dyDescent="0.25">
      <c r="A2945"/>
    </row>
    <row r="2946" spans="1:1" x14ac:dyDescent="0.25">
      <c r="A2946"/>
    </row>
    <row r="2947" spans="1:1" x14ac:dyDescent="0.25">
      <c r="A2947"/>
    </row>
    <row r="2948" spans="1:1" x14ac:dyDescent="0.25">
      <c r="A2948"/>
    </row>
    <row r="2949" spans="1:1" x14ac:dyDescent="0.25">
      <c r="A2949"/>
    </row>
    <row r="2950" spans="1:1" x14ac:dyDescent="0.25">
      <c r="A2950"/>
    </row>
    <row r="2951" spans="1:1" x14ac:dyDescent="0.25">
      <c r="A2951"/>
    </row>
    <row r="2952" spans="1:1" x14ac:dyDescent="0.25">
      <c r="A2952"/>
    </row>
    <row r="2953" spans="1:1" x14ac:dyDescent="0.25">
      <c r="A2953"/>
    </row>
    <row r="2954" spans="1:1" x14ac:dyDescent="0.25">
      <c r="A2954"/>
    </row>
    <row r="2955" spans="1:1" x14ac:dyDescent="0.25">
      <c r="A2955"/>
    </row>
    <row r="2956" spans="1:1" x14ac:dyDescent="0.25">
      <c r="A2956"/>
    </row>
    <row r="2957" spans="1:1" x14ac:dyDescent="0.25">
      <c r="A2957"/>
    </row>
    <row r="2958" spans="1:1" x14ac:dyDescent="0.25">
      <c r="A2958"/>
    </row>
    <row r="2959" spans="1:1" x14ac:dyDescent="0.25">
      <c r="A2959"/>
    </row>
    <row r="2960" spans="1:1" x14ac:dyDescent="0.25">
      <c r="A2960"/>
    </row>
    <row r="2961" spans="1:1" x14ac:dyDescent="0.25">
      <c r="A2961"/>
    </row>
    <row r="2962" spans="1:1" x14ac:dyDescent="0.25">
      <c r="A2962"/>
    </row>
    <row r="2963" spans="1:1" x14ac:dyDescent="0.25">
      <c r="A2963"/>
    </row>
    <row r="2964" spans="1:1" x14ac:dyDescent="0.25">
      <c r="A2964"/>
    </row>
    <row r="2965" spans="1:1" x14ac:dyDescent="0.25">
      <c r="A2965"/>
    </row>
    <row r="2966" spans="1:1" x14ac:dyDescent="0.25">
      <c r="A2966"/>
    </row>
    <row r="2967" spans="1:1" x14ac:dyDescent="0.25">
      <c r="A2967"/>
    </row>
    <row r="2968" spans="1:1" x14ac:dyDescent="0.25">
      <c r="A2968"/>
    </row>
    <row r="2969" spans="1:1" x14ac:dyDescent="0.25">
      <c r="A2969"/>
    </row>
    <row r="2970" spans="1:1" x14ac:dyDescent="0.25">
      <c r="A2970"/>
    </row>
    <row r="2971" spans="1:1" x14ac:dyDescent="0.25">
      <c r="A2971"/>
    </row>
    <row r="2972" spans="1:1" x14ac:dyDescent="0.25">
      <c r="A2972"/>
    </row>
    <row r="2973" spans="1:1" x14ac:dyDescent="0.25">
      <c r="A2973"/>
    </row>
    <row r="2974" spans="1:1" x14ac:dyDescent="0.25">
      <c r="A2974"/>
    </row>
    <row r="2975" spans="1:1" x14ac:dyDescent="0.25">
      <c r="A2975"/>
    </row>
    <row r="2976" spans="1:1" x14ac:dyDescent="0.25">
      <c r="A2976"/>
    </row>
    <row r="2977" spans="1:1" x14ac:dyDescent="0.25">
      <c r="A2977"/>
    </row>
    <row r="2978" spans="1:1" x14ac:dyDescent="0.25">
      <c r="A2978"/>
    </row>
    <row r="2979" spans="1:1" x14ac:dyDescent="0.25">
      <c r="A2979"/>
    </row>
    <row r="2980" spans="1:1" x14ac:dyDescent="0.25">
      <c r="A2980"/>
    </row>
    <row r="2981" spans="1:1" x14ac:dyDescent="0.25">
      <c r="A2981"/>
    </row>
    <row r="2982" spans="1:1" x14ac:dyDescent="0.25">
      <c r="A2982"/>
    </row>
    <row r="2983" spans="1:1" x14ac:dyDescent="0.25">
      <c r="A2983"/>
    </row>
    <row r="2984" spans="1:1" x14ac:dyDescent="0.25">
      <c r="A2984"/>
    </row>
    <row r="2985" spans="1:1" x14ac:dyDescent="0.25">
      <c r="A2985"/>
    </row>
    <row r="2986" spans="1:1" x14ac:dyDescent="0.25">
      <c r="A2986"/>
    </row>
    <row r="2987" spans="1:1" x14ac:dyDescent="0.25">
      <c r="A2987"/>
    </row>
    <row r="2988" spans="1:1" x14ac:dyDescent="0.25">
      <c r="A2988"/>
    </row>
    <row r="2989" spans="1:1" x14ac:dyDescent="0.25">
      <c r="A2989"/>
    </row>
    <row r="2990" spans="1:1" x14ac:dyDescent="0.25">
      <c r="A2990"/>
    </row>
    <row r="2991" spans="1:1" x14ac:dyDescent="0.25">
      <c r="A2991"/>
    </row>
    <row r="2992" spans="1:1" x14ac:dyDescent="0.25">
      <c r="A2992"/>
    </row>
    <row r="2993" spans="1:1" x14ac:dyDescent="0.25">
      <c r="A2993"/>
    </row>
    <row r="2994" spans="1:1" x14ac:dyDescent="0.25">
      <c r="A2994"/>
    </row>
    <row r="2995" spans="1:1" x14ac:dyDescent="0.25">
      <c r="A2995"/>
    </row>
    <row r="2996" spans="1:1" x14ac:dyDescent="0.25">
      <c r="A2996"/>
    </row>
    <row r="2997" spans="1:1" x14ac:dyDescent="0.25">
      <c r="A2997"/>
    </row>
    <row r="2998" spans="1:1" x14ac:dyDescent="0.25">
      <c r="A2998"/>
    </row>
    <row r="2999" spans="1:1" x14ac:dyDescent="0.25">
      <c r="A2999"/>
    </row>
    <row r="3000" spans="1:1" x14ac:dyDescent="0.25">
      <c r="A3000"/>
    </row>
    <row r="3001" spans="1:1" x14ac:dyDescent="0.25">
      <c r="A3001"/>
    </row>
    <row r="3002" spans="1:1" x14ac:dyDescent="0.25">
      <c r="A3002"/>
    </row>
    <row r="3003" spans="1:1" x14ac:dyDescent="0.25">
      <c r="A3003"/>
    </row>
    <row r="3004" spans="1:1" x14ac:dyDescent="0.25">
      <c r="A3004"/>
    </row>
    <row r="3005" spans="1:1" x14ac:dyDescent="0.25">
      <c r="A3005"/>
    </row>
    <row r="3006" spans="1:1" x14ac:dyDescent="0.25">
      <c r="A3006"/>
    </row>
    <row r="3007" spans="1:1" x14ac:dyDescent="0.25">
      <c r="A3007"/>
    </row>
    <row r="3008" spans="1:1" x14ac:dyDescent="0.25">
      <c r="A3008"/>
    </row>
    <row r="3009" spans="1:1" x14ac:dyDescent="0.25">
      <c r="A3009"/>
    </row>
    <row r="3010" spans="1:1" x14ac:dyDescent="0.25">
      <c r="A3010"/>
    </row>
    <row r="3011" spans="1:1" x14ac:dyDescent="0.25">
      <c r="A3011"/>
    </row>
    <row r="3012" spans="1:1" x14ac:dyDescent="0.25">
      <c r="A3012"/>
    </row>
    <row r="3013" spans="1:1" x14ac:dyDescent="0.25">
      <c r="A3013"/>
    </row>
    <row r="3014" spans="1:1" x14ac:dyDescent="0.25">
      <c r="A3014"/>
    </row>
    <row r="3015" spans="1:1" x14ac:dyDescent="0.25">
      <c r="A3015"/>
    </row>
    <row r="3016" spans="1:1" x14ac:dyDescent="0.25">
      <c r="A3016"/>
    </row>
    <row r="3017" spans="1:1" x14ac:dyDescent="0.25">
      <c r="A3017"/>
    </row>
    <row r="3018" spans="1:1" x14ac:dyDescent="0.25">
      <c r="A3018"/>
    </row>
    <row r="3019" spans="1:1" x14ac:dyDescent="0.25">
      <c r="A3019"/>
    </row>
    <row r="3020" spans="1:1" x14ac:dyDescent="0.25">
      <c r="A3020"/>
    </row>
    <row r="3021" spans="1:1" x14ac:dyDescent="0.25">
      <c r="A3021"/>
    </row>
    <row r="3022" spans="1:1" x14ac:dyDescent="0.25">
      <c r="A3022"/>
    </row>
    <row r="3023" spans="1:1" x14ac:dyDescent="0.25">
      <c r="A3023"/>
    </row>
    <row r="3024" spans="1:1" x14ac:dyDescent="0.25">
      <c r="A3024"/>
    </row>
    <row r="3025" spans="1:1" x14ac:dyDescent="0.25">
      <c r="A3025"/>
    </row>
    <row r="3026" spans="1:1" x14ac:dyDescent="0.25">
      <c r="A3026"/>
    </row>
    <row r="3027" spans="1:1" x14ac:dyDescent="0.25">
      <c r="A3027"/>
    </row>
    <row r="3028" spans="1:1" x14ac:dyDescent="0.25">
      <c r="A3028"/>
    </row>
    <row r="3029" spans="1:1" x14ac:dyDescent="0.25">
      <c r="A3029"/>
    </row>
    <row r="3030" spans="1:1" x14ac:dyDescent="0.25">
      <c r="A3030"/>
    </row>
    <row r="3031" spans="1:1" x14ac:dyDescent="0.25">
      <c r="A3031"/>
    </row>
    <row r="3032" spans="1:1" x14ac:dyDescent="0.25">
      <c r="A3032"/>
    </row>
    <row r="3033" spans="1:1" x14ac:dyDescent="0.25">
      <c r="A3033"/>
    </row>
    <row r="3034" spans="1:1" x14ac:dyDescent="0.25">
      <c r="A3034"/>
    </row>
    <row r="3035" spans="1:1" x14ac:dyDescent="0.25">
      <c r="A3035"/>
    </row>
    <row r="3036" spans="1:1" x14ac:dyDescent="0.25">
      <c r="A3036"/>
    </row>
    <row r="3037" spans="1:1" x14ac:dyDescent="0.25">
      <c r="A3037"/>
    </row>
    <row r="3038" spans="1:1" x14ac:dyDescent="0.25">
      <c r="A3038"/>
    </row>
    <row r="3039" spans="1:1" x14ac:dyDescent="0.25">
      <c r="A3039"/>
    </row>
    <row r="3040" spans="1:1" x14ac:dyDescent="0.25">
      <c r="A3040"/>
    </row>
    <row r="3041" spans="1:1" x14ac:dyDescent="0.25">
      <c r="A3041"/>
    </row>
    <row r="3042" spans="1:1" x14ac:dyDescent="0.25">
      <c r="A3042"/>
    </row>
    <row r="3043" spans="1:1" x14ac:dyDescent="0.25">
      <c r="A3043"/>
    </row>
    <row r="3044" spans="1:1" x14ac:dyDescent="0.25">
      <c r="A3044"/>
    </row>
    <row r="3045" spans="1:1" x14ac:dyDescent="0.25">
      <c r="A3045"/>
    </row>
    <row r="3046" spans="1:1" x14ac:dyDescent="0.25">
      <c r="A3046"/>
    </row>
    <row r="3047" spans="1:1" x14ac:dyDescent="0.25">
      <c r="A3047"/>
    </row>
    <row r="3048" spans="1:1" x14ac:dyDescent="0.25">
      <c r="A3048"/>
    </row>
    <row r="3049" spans="1:1" x14ac:dyDescent="0.25">
      <c r="A3049"/>
    </row>
    <row r="3050" spans="1:1" x14ac:dyDescent="0.25">
      <c r="A3050"/>
    </row>
    <row r="3051" spans="1:1" x14ac:dyDescent="0.25">
      <c r="A3051"/>
    </row>
    <row r="3052" spans="1:1" x14ac:dyDescent="0.25">
      <c r="A3052"/>
    </row>
    <row r="3053" spans="1:1" x14ac:dyDescent="0.25">
      <c r="A3053"/>
    </row>
    <row r="3054" spans="1:1" x14ac:dyDescent="0.25">
      <c r="A3054"/>
    </row>
    <row r="3055" spans="1:1" x14ac:dyDescent="0.25">
      <c r="A3055"/>
    </row>
    <row r="3056" spans="1:1" x14ac:dyDescent="0.25">
      <c r="A3056"/>
    </row>
    <row r="3057" spans="1:1" x14ac:dyDescent="0.25">
      <c r="A3057"/>
    </row>
    <row r="3058" spans="1:1" x14ac:dyDescent="0.25">
      <c r="A3058"/>
    </row>
    <row r="3059" spans="1:1" x14ac:dyDescent="0.25">
      <c r="A3059"/>
    </row>
    <row r="3060" spans="1:1" x14ac:dyDescent="0.25">
      <c r="A3060"/>
    </row>
    <row r="3061" spans="1:1" x14ac:dyDescent="0.25">
      <c r="A3061"/>
    </row>
    <row r="3062" spans="1:1" x14ac:dyDescent="0.25">
      <c r="A3062"/>
    </row>
    <row r="3063" spans="1:1" x14ac:dyDescent="0.25">
      <c r="A3063"/>
    </row>
    <row r="3064" spans="1:1" x14ac:dyDescent="0.25">
      <c r="A3064"/>
    </row>
    <row r="3065" spans="1:1" x14ac:dyDescent="0.25">
      <c r="A3065"/>
    </row>
    <row r="3066" spans="1:1" x14ac:dyDescent="0.25">
      <c r="A3066"/>
    </row>
    <row r="3067" spans="1:1" x14ac:dyDescent="0.25">
      <c r="A3067"/>
    </row>
    <row r="3068" spans="1:1" x14ac:dyDescent="0.25">
      <c r="A3068"/>
    </row>
    <row r="3069" spans="1:1" x14ac:dyDescent="0.25">
      <c r="A3069"/>
    </row>
    <row r="3070" spans="1:1" x14ac:dyDescent="0.25">
      <c r="A3070"/>
    </row>
    <row r="3071" spans="1:1" x14ac:dyDescent="0.25">
      <c r="A3071"/>
    </row>
    <row r="3072" spans="1:1" x14ac:dyDescent="0.25">
      <c r="A3072"/>
    </row>
    <row r="3073" spans="1:1" x14ac:dyDescent="0.25">
      <c r="A3073"/>
    </row>
    <row r="3074" spans="1:1" x14ac:dyDescent="0.25">
      <c r="A3074"/>
    </row>
    <row r="3075" spans="1:1" x14ac:dyDescent="0.25">
      <c r="A3075"/>
    </row>
    <row r="3076" spans="1:1" x14ac:dyDescent="0.25">
      <c r="A3076"/>
    </row>
    <row r="3077" spans="1:1" x14ac:dyDescent="0.25">
      <c r="A3077"/>
    </row>
    <row r="3078" spans="1:1" x14ac:dyDescent="0.25">
      <c r="A3078"/>
    </row>
    <row r="3079" spans="1:1" x14ac:dyDescent="0.25">
      <c r="A3079"/>
    </row>
    <row r="3080" spans="1:1" x14ac:dyDescent="0.25">
      <c r="A3080"/>
    </row>
    <row r="3081" spans="1:1" x14ac:dyDescent="0.25">
      <c r="A3081"/>
    </row>
    <row r="3082" spans="1:1" x14ac:dyDescent="0.25">
      <c r="A3082"/>
    </row>
    <row r="3083" spans="1:1" x14ac:dyDescent="0.25">
      <c r="A3083"/>
    </row>
    <row r="3084" spans="1:1" x14ac:dyDescent="0.25">
      <c r="A3084"/>
    </row>
    <row r="3085" spans="1:1" x14ac:dyDescent="0.25">
      <c r="A3085"/>
    </row>
    <row r="3086" spans="1:1" x14ac:dyDescent="0.25">
      <c r="A3086"/>
    </row>
    <row r="3087" spans="1:1" x14ac:dyDescent="0.25">
      <c r="A3087"/>
    </row>
    <row r="3088" spans="1:1" x14ac:dyDescent="0.25">
      <c r="A3088"/>
    </row>
    <row r="3089" spans="1:1" x14ac:dyDescent="0.25">
      <c r="A3089"/>
    </row>
    <row r="3090" spans="1:1" x14ac:dyDescent="0.25">
      <c r="A3090"/>
    </row>
    <row r="3091" spans="1:1" x14ac:dyDescent="0.25">
      <c r="A3091"/>
    </row>
    <row r="3092" spans="1:1" x14ac:dyDescent="0.25">
      <c r="A3092"/>
    </row>
    <row r="3093" spans="1:1" x14ac:dyDescent="0.25">
      <c r="A3093"/>
    </row>
    <row r="3094" spans="1:1" x14ac:dyDescent="0.25">
      <c r="A3094"/>
    </row>
    <row r="3095" spans="1:1" x14ac:dyDescent="0.25">
      <c r="A3095"/>
    </row>
    <row r="3096" spans="1:1" x14ac:dyDescent="0.25">
      <c r="A3096"/>
    </row>
    <row r="3097" spans="1:1" x14ac:dyDescent="0.25">
      <c r="A3097"/>
    </row>
    <row r="3098" spans="1:1" x14ac:dyDescent="0.25">
      <c r="A3098"/>
    </row>
    <row r="3099" spans="1:1" x14ac:dyDescent="0.25">
      <c r="A3099"/>
    </row>
    <row r="3100" spans="1:1" x14ac:dyDescent="0.25">
      <c r="A3100"/>
    </row>
    <row r="3101" spans="1:1" x14ac:dyDescent="0.25">
      <c r="A3101"/>
    </row>
    <row r="3102" spans="1:1" x14ac:dyDescent="0.25">
      <c r="A3102"/>
    </row>
    <row r="3103" spans="1:1" x14ac:dyDescent="0.25">
      <c r="A3103"/>
    </row>
    <row r="3104" spans="1:1" x14ac:dyDescent="0.25">
      <c r="A3104"/>
    </row>
    <row r="3105" spans="1:1" x14ac:dyDescent="0.25">
      <c r="A3105"/>
    </row>
    <row r="3106" spans="1:1" x14ac:dyDescent="0.25">
      <c r="A3106"/>
    </row>
    <row r="3107" spans="1:1" x14ac:dyDescent="0.25">
      <c r="A3107"/>
    </row>
    <row r="3108" spans="1:1" x14ac:dyDescent="0.25">
      <c r="A3108"/>
    </row>
    <row r="3109" spans="1:1" x14ac:dyDescent="0.25">
      <c r="A3109"/>
    </row>
    <row r="3110" spans="1:1" x14ac:dyDescent="0.25">
      <c r="A3110"/>
    </row>
    <row r="3111" spans="1:1" x14ac:dyDescent="0.25">
      <c r="A3111"/>
    </row>
    <row r="3112" spans="1:1" x14ac:dyDescent="0.25">
      <c r="A3112"/>
    </row>
    <row r="3113" spans="1:1" x14ac:dyDescent="0.25">
      <c r="A3113"/>
    </row>
    <row r="3114" spans="1:1" x14ac:dyDescent="0.25">
      <c r="A3114"/>
    </row>
    <row r="3115" spans="1:1" x14ac:dyDescent="0.25">
      <c r="A3115"/>
    </row>
    <row r="3116" spans="1:1" x14ac:dyDescent="0.25">
      <c r="A3116"/>
    </row>
    <row r="3117" spans="1:1" x14ac:dyDescent="0.25">
      <c r="A3117"/>
    </row>
    <row r="3118" spans="1:1" x14ac:dyDescent="0.25">
      <c r="A3118"/>
    </row>
    <row r="3119" spans="1:1" x14ac:dyDescent="0.25">
      <c r="A3119"/>
    </row>
    <row r="3120" spans="1:1" x14ac:dyDescent="0.25">
      <c r="A3120"/>
    </row>
    <row r="3121" spans="1:1" x14ac:dyDescent="0.25">
      <c r="A3121"/>
    </row>
    <row r="3122" spans="1:1" x14ac:dyDescent="0.25">
      <c r="A3122"/>
    </row>
    <row r="3123" spans="1:1" x14ac:dyDescent="0.25">
      <c r="A3123"/>
    </row>
    <row r="3124" spans="1:1" x14ac:dyDescent="0.25">
      <c r="A3124"/>
    </row>
    <row r="3125" spans="1:1" x14ac:dyDescent="0.25">
      <c r="A3125"/>
    </row>
    <row r="3126" spans="1:1" x14ac:dyDescent="0.25">
      <c r="A3126"/>
    </row>
    <row r="3127" spans="1:1" x14ac:dyDescent="0.25">
      <c r="A3127"/>
    </row>
    <row r="3128" spans="1:1" x14ac:dyDescent="0.25">
      <c r="A3128"/>
    </row>
    <row r="3129" spans="1:1" x14ac:dyDescent="0.25">
      <c r="A3129"/>
    </row>
    <row r="3130" spans="1:1" x14ac:dyDescent="0.25">
      <c r="A3130"/>
    </row>
    <row r="3131" spans="1:1" x14ac:dyDescent="0.25">
      <c r="A3131"/>
    </row>
    <row r="3132" spans="1:1" x14ac:dyDescent="0.25">
      <c r="A3132"/>
    </row>
    <row r="3133" spans="1:1" x14ac:dyDescent="0.25">
      <c r="A3133"/>
    </row>
    <row r="3134" spans="1:1" x14ac:dyDescent="0.25">
      <c r="A3134"/>
    </row>
    <row r="3135" spans="1:1" x14ac:dyDescent="0.25">
      <c r="A3135"/>
    </row>
    <row r="3136" spans="1:1" x14ac:dyDescent="0.25">
      <c r="A3136"/>
    </row>
    <row r="3137" spans="1:1" x14ac:dyDescent="0.25">
      <c r="A3137"/>
    </row>
    <row r="3138" spans="1:1" x14ac:dyDescent="0.25">
      <c r="A3138"/>
    </row>
    <row r="3139" spans="1:1" x14ac:dyDescent="0.25">
      <c r="A3139"/>
    </row>
    <row r="3140" spans="1:1" x14ac:dyDescent="0.25">
      <c r="A3140"/>
    </row>
    <row r="3141" spans="1:1" x14ac:dyDescent="0.25">
      <c r="A3141"/>
    </row>
    <row r="3142" spans="1:1" x14ac:dyDescent="0.25">
      <c r="A3142"/>
    </row>
    <row r="3143" spans="1:1" x14ac:dyDescent="0.25">
      <c r="A3143"/>
    </row>
    <row r="3144" spans="1:1" x14ac:dyDescent="0.25">
      <c r="A3144"/>
    </row>
    <row r="3145" spans="1:1" x14ac:dyDescent="0.25">
      <c r="A3145"/>
    </row>
    <row r="3146" spans="1:1" x14ac:dyDescent="0.25">
      <c r="A3146"/>
    </row>
    <row r="3147" spans="1:1" x14ac:dyDescent="0.25">
      <c r="A3147"/>
    </row>
    <row r="3148" spans="1:1" x14ac:dyDescent="0.25">
      <c r="A3148"/>
    </row>
    <row r="3149" spans="1:1" x14ac:dyDescent="0.25">
      <c r="A3149"/>
    </row>
    <row r="3150" spans="1:1" x14ac:dyDescent="0.25">
      <c r="A3150"/>
    </row>
    <row r="3151" spans="1:1" x14ac:dyDescent="0.25">
      <c r="A3151"/>
    </row>
    <row r="3152" spans="1:1" x14ac:dyDescent="0.25">
      <c r="A3152"/>
    </row>
    <row r="3153" spans="1:1" x14ac:dyDescent="0.25">
      <c r="A3153"/>
    </row>
    <row r="3154" spans="1:1" x14ac:dyDescent="0.25">
      <c r="A3154"/>
    </row>
    <row r="3155" spans="1:1" x14ac:dyDescent="0.25">
      <c r="A3155"/>
    </row>
    <row r="3156" spans="1:1" x14ac:dyDescent="0.25">
      <c r="A3156"/>
    </row>
    <row r="3157" spans="1:1" x14ac:dyDescent="0.25">
      <c r="A3157"/>
    </row>
    <row r="3158" spans="1:1" x14ac:dyDescent="0.25">
      <c r="A3158"/>
    </row>
    <row r="3159" spans="1:1" x14ac:dyDescent="0.25">
      <c r="A3159"/>
    </row>
    <row r="3160" spans="1:1" x14ac:dyDescent="0.25">
      <c r="A3160"/>
    </row>
    <row r="3161" spans="1:1" x14ac:dyDescent="0.25">
      <c r="A3161"/>
    </row>
    <row r="3162" spans="1:1" x14ac:dyDescent="0.25">
      <c r="A3162"/>
    </row>
    <row r="3163" spans="1:1" x14ac:dyDescent="0.25">
      <c r="A3163"/>
    </row>
    <row r="3164" spans="1:1" x14ac:dyDescent="0.25">
      <c r="A3164"/>
    </row>
    <row r="3165" spans="1:1" x14ac:dyDescent="0.25">
      <c r="A3165"/>
    </row>
    <row r="3166" spans="1:1" x14ac:dyDescent="0.25">
      <c r="A3166"/>
    </row>
    <row r="3167" spans="1:1" x14ac:dyDescent="0.25">
      <c r="A3167"/>
    </row>
    <row r="3168" spans="1:1" x14ac:dyDescent="0.25">
      <c r="A3168"/>
    </row>
    <row r="3169" spans="1:1" x14ac:dyDescent="0.25">
      <c r="A3169"/>
    </row>
    <row r="3170" spans="1:1" x14ac:dyDescent="0.25">
      <c r="A3170"/>
    </row>
    <row r="3171" spans="1:1" x14ac:dyDescent="0.25">
      <c r="A3171"/>
    </row>
    <row r="3172" spans="1:1" x14ac:dyDescent="0.25">
      <c r="A3172"/>
    </row>
    <row r="3173" spans="1:1" x14ac:dyDescent="0.25">
      <c r="A3173"/>
    </row>
    <row r="3174" spans="1:1" x14ac:dyDescent="0.25">
      <c r="A3174"/>
    </row>
    <row r="3175" spans="1:1" x14ac:dyDescent="0.25">
      <c r="A3175"/>
    </row>
    <row r="3176" spans="1:1" x14ac:dyDescent="0.25">
      <c r="A3176"/>
    </row>
    <row r="3177" spans="1:1" x14ac:dyDescent="0.25">
      <c r="A3177"/>
    </row>
    <row r="3178" spans="1:1" x14ac:dyDescent="0.25">
      <c r="A3178"/>
    </row>
    <row r="3179" spans="1:1" x14ac:dyDescent="0.25">
      <c r="A3179"/>
    </row>
    <row r="3180" spans="1:1" x14ac:dyDescent="0.25">
      <c r="A3180"/>
    </row>
    <row r="3181" spans="1:1" x14ac:dyDescent="0.25">
      <c r="A3181"/>
    </row>
    <row r="3182" spans="1:1" x14ac:dyDescent="0.25">
      <c r="A3182"/>
    </row>
    <row r="3183" spans="1:1" x14ac:dyDescent="0.25">
      <c r="A3183"/>
    </row>
    <row r="3184" spans="1:1" x14ac:dyDescent="0.25">
      <c r="A3184"/>
    </row>
    <row r="3185" spans="1:1" x14ac:dyDescent="0.25">
      <c r="A3185"/>
    </row>
    <row r="3186" spans="1:1" x14ac:dyDescent="0.25">
      <c r="A3186"/>
    </row>
    <row r="3187" spans="1:1" x14ac:dyDescent="0.25">
      <c r="A3187"/>
    </row>
    <row r="3188" spans="1:1" x14ac:dyDescent="0.25">
      <c r="A3188"/>
    </row>
    <row r="3189" spans="1:1" x14ac:dyDescent="0.25">
      <c r="A3189"/>
    </row>
    <row r="3190" spans="1:1" x14ac:dyDescent="0.25">
      <c r="A3190"/>
    </row>
    <row r="3191" spans="1:1" x14ac:dyDescent="0.25">
      <c r="A3191"/>
    </row>
    <row r="3192" spans="1:1" x14ac:dyDescent="0.25">
      <c r="A3192"/>
    </row>
    <row r="3193" spans="1:1" x14ac:dyDescent="0.25">
      <c r="A3193"/>
    </row>
    <row r="3194" spans="1:1" x14ac:dyDescent="0.25">
      <c r="A3194"/>
    </row>
    <row r="3195" spans="1:1" x14ac:dyDescent="0.25">
      <c r="A3195"/>
    </row>
    <row r="3196" spans="1:1" x14ac:dyDescent="0.25">
      <c r="A3196"/>
    </row>
    <row r="3197" spans="1:1" x14ac:dyDescent="0.25">
      <c r="A3197"/>
    </row>
    <row r="3198" spans="1:1" x14ac:dyDescent="0.25">
      <c r="A3198"/>
    </row>
    <row r="3199" spans="1:1" x14ac:dyDescent="0.25">
      <c r="A3199"/>
    </row>
    <row r="3200" spans="1:1" x14ac:dyDescent="0.25">
      <c r="A3200"/>
    </row>
    <row r="3201" spans="1:1" x14ac:dyDescent="0.25">
      <c r="A3201"/>
    </row>
    <row r="3202" spans="1:1" x14ac:dyDescent="0.25">
      <c r="A3202"/>
    </row>
    <row r="3203" spans="1:1" x14ac:dyDescent="0.25">
      <c r="A3203"/>
    </row>
    <row r="3204" spans="1:1" x14ac:dyDescent="0.25">
      <c r="A3204"/>
    </row>
    <row r="3205" spans="1:1" x14ac:dyDescent="0.25">
      <c r="A3205"/>
    </row>
    <row r="3206" spans="1:1" x14ac:dyDescent="0.25">
      <c r="A3206"/>
    </row>
    <row r="3207" spans="1:1" x14ac:dyDescent="0.25">
      <c r="A3207"/>
    </row>
    <row r="3208" spans="1:1" x14ac:dyDescent="0.25">
      <c r="A3208"/>
    </row>
    <row r="3209" spans="1:1" x14ac:dyDescent="0.25">
      <c r="A3209"/>
    </row>
    <row r="3210" spans="1:1" x14ac:dyDescent="0.25">
      <c r="A3210"/>
    </row>
    <row r="3211" spans="1:1" x14ac:dyDescent="0.25">
      <c r="A3211"/>
    </row>
    <row r="3212" spans="1:1" x14ac:dyDescent="0.25">
      <c r="A3212"/>
    </row>
    <row r="3213" spans="1:1" x14ac:dyDescent="0.25">
      <c r="A3213"/>
    </row>
    <row r="3214" spans="1:1" x14ac:dyDescent="0.25">
      <c r="A3214"/>
    </row>
    <row r="3215" spans="1:1" x14ac:dyDescent="0.25">
      <c r="A3215"/>
    </row>
    <row r="3216" spans="1:1" x14ac:dyDescent="0.25">
      <c r="A3216"/>
    </row>
    <row r="3217" spans="1:1" x14ac:dyDescent="0.25">
      <c r="A3217"/>
    </row>
    <row r="3218" spans="1:1" x14ac:dyDescent="0.25">
      <c r="A3218"/>
    </row>
    <row r="3219" spans="1:1" x14ac:dyDescent="0.25">
      <c r="A3219"/>
    </row>
    <row r="3220" spans="1:1" x14ac:dyDescent="0.25">
      <c r="A3220"/>
    </row>
    <row r="3221" spans="1:1" x14ac:dyDescent="0.25">
      <c r="A3221"/>
    </row>
    <row r="3222" spans="1:1" x14ac:dyDescent="0.25">
      <c r="A3222"/>
    </row>
    <row r="3223" spans="1:1" x14ac:dyDescent="0.25">
      <c r="A3223"/>
    </row>
    <row r="3224" spans="1:1" x14ac:dyDescent="0.25">
      <c r="A3224"/>
    </row>
    <row r="3225" spans="1:1" x14ac:dyDescent="0.25">
      <c r="A3225"/>
    </row>
    <row r="3226" spans="1:1" x14ac:dyDescent="0.25">
      <c r="A3226"/>
    </row>
    <row r="3227" spans="1:1" x14ac:dyDescent="0.25">
      <c r="A3227"/>
    </row>
    <row r="3228" spans="1:1" x14ac:dyDescent="0.25">
      <c r="A3228"/>
    </row>
    <row r="3229" spans="1:1" x14ac:dyDescent="0.25">
      <c r="A3229"/>
    </row>
    <row r="3230" spans="1:1" x14ac:dyDescent="0.25">
      <c r="A3230"/>
    </row>
    <row r="3231" spans="1:1" x14ac:dyDescent="0.25">
      <c r="A3231"/>
    </row>
    <row r="3232" spans="1:1" x14ac:dyDescent="0.25">
      <c r="A3232"/>
    </row>
    <row r="3233" spans="1:1" x14ac:dyDescent="0.25">
      <c r="A3233"/>
    </row>
    <row r="3234" spans="1:1" x14ac:dyDescent="0.25">
      <c r="A3234"/>
    </row>
    <row r="3235" spans="1:1" x14ac:dyDescent="0.25">
      <c r="A3235"/>
    </row>
    <row r="3236" spans="1:1" x14ac:dyDescent="0.25">
      <c r="A3236"/>
    </row>
    <row r="3237" spans="1:1" x14ac:dyDescent="0.25">
      <c r="A3237"/>
    </row>
    <row r="3238" spans="1:1" x14ac:dyDescent="0.25">
      <c r="A3238"/>
    </row>
    <row r="3239" spans="1:1" x14ac:dyDescent="0.25">
      <c r="A3239"/>
    </row>
    <row r="3240" spans="1:1" x14ac:dyDescent="0.25">
      <c r="A3240"/>
    </row>
    <row r="3241" spans="1:1" x14ac:dyDescent="0.25">
      <c r="A3241"/>
    </row>
    <row r="3242" spans="1:1" x14ac:dyDescent="0.25">
      <c r="A3242"/>
    </row>
    <row r="3243" spans="1:1" x14ac:dyDescent="0.25">
      <c r="A3243"/>
    </row>
    <row r="3244" spans="1:1" x14ac:dyDescent="0.25">
      <c r="A3244"/>
    </row>
    <row r="3245" spans="1:1" x14ac:dyDescent="0.25">
      <c r="A3245"/>
    </row>
    <row r="3246" spans="1:1" x14ac:dyDescent="0.25">
      <c r="A3246"/>
    </row>
    <row r="3247" spans="1:1" x14ac:dyDescent="0.25">
      <c r="A3247"/>
    </row>
    <row r="3248" spans="1:1" x14ac:dyDescent="0.25">
      <c r="A3248"/>
    </row>
    <row r="3249" spans="1:1" x14ac:dyDescent="0.25">
      <c r="A3249"/>
    </row>
    <row r="3250" spans="1:1" x14ac:dyDescent="0.25">
      <c r="A3250"/>
    </row>
    <row r="3251" spans="1:1" x14ac:dyDescent="0.25">
      <c r="A3251"/>
    </row>
    <row r="3252" spans="1:1" x14ac:dyDescent="0.25">
      <c r="A3252"/>
    </row>
    <row r="3253" spans="1:1" x14ac:dyDescent="0.25">
      <c r="A3253"/>
    </row>
    <row r="3254" spans="1:1" x14ac:dyDescent="0.25">
      <c r="A3254"/>
    </row>
    <row r="3255" spans="1:1" x14ac:dyDescent="0.25">
      <c r="A3255"/>
    </row>
    <row r="3256" spans="1:1" x14ac:dyDescent="0.25">
      <c r="A3256"/>
    </row>
    <row r="3257" spans="1:1" x14ac:dyDescent="0.25">
      <c r="A3257"/>
    </row>
    <row r="3258" spans="1:1" x14ac:dyDescent="0.25">
      <c r="A3258"/>
    </row>
    <row r="3259" spans="1:1" x14ac:dyDescent="0.25">
      <c r="A3259"/>
    </row>
    <row r="3260" spans="1:1" x14ac:dyDescent="0.25">
      <c r="A3260"/>
    </row>
    <row r="3261" spans="1:1" x14ac:dyDescent="0.25">
      <c r="A3261"/>
    </row>
    <row r="3262" spans="1:1" x14ac:dyDescent="0.25">
      <c r="A3262"/>
    </row>
    <row r="3263" spans="1:1" x14ac:dyDescent="0.25">
      <c r="A3263"/>
    </row>
    <row r="3264" spans="1:1" x14ac:dyDescent="0.25">
      <c r="A3264"/>
    </row>
    <row r="3265" spans="1:1" x14ac:dyDescent="0.25">
      <c r="A3265"/>
    </row>
    <row r="3266" spans="1:1" x14ac:dyDescent="0.25">
      <c r="A3266"/>
    </row>
    <row r="3267" spans="1:1" x14ac:dyDescent="0.25">
      <c r="A3267"/>
    </row>
    <row r="3268" spans="1:1" x14ac:dyDescent="0.25">
      <c r="A3268"/>
    </row>
    <row r="3269" spans="1:1" x14ac:dyDescent="0.25">
      <c r="A3269"/>
    </row>
    <row r="3270" spans="1:1" x14ac:dyDescent="0.25">
      <c r="A3270"/>
    </row>
    <row r="3271" spans="1:1" x14ac:dyDescent="0.25">
      <c r="A3271"/>
    </row>
    <row r="3272" spans="1:1" x14ac:dyDescent="0.25">
      <c r="A3272"/>
    </row>
    <row r="3273" spans="1:1" x14ac:dyDescent="0.25">
      <c r="A3273"/>
    </row>
    <row r="3274" spans="1:1" x14ac:dyDescent="0.25">
      <c r="A3274"/>
    </row>
    <row r="3275" spans="1:1" x14ac:dyDescent="0.25">
      <c r="A3275"/>
    </row>
    <row r="3276" spans="1:1" x14ac:dyDescent="0.25">
      <c r="A3276"/>
    </row>
    <row r="3277" spans="1:1" x14ac:dyDescent="0.25">
      <c r="A3277"/>
    </row>
    <row r="3278" spans="1:1" x14ac:dyDescent="0.25">
      <c r="A3278"/>
    </row>
    <row r="3279" spans="1:1" x14ac:dyDescent="0.25">
      <c r="A3279"/>
    </row>
    <row r="3280" spans="1:1" x14ac:dyDescent="0.25">
      <c r="A3280"/>
    </row>
    <row r="3281" spans="1:1" x14ac:dyDescent="0.25">
      <c r="A3281"/>
    </row>
    <row r="3282" spans="1:1" x14ac:dyDescent="0.25">
      <c r="A3282"/>
    </row>
    <row r="3283" spans="1:1" x14ac:dyDescent="0.25">
      <c r="A3283"/>
    </row>
    <row r="3284" spans="1:1" x14ac:dyDescent="0.25">
      <c r="A3284"/>
    </row>
    <row r="3285" spans="1:1" x14ac:dyDescent="0.25">
      <c r="A3285"/>
    </row>
    <row r="3286" spans="1:1" x14ac:dyDescent="0.25">
      <c r="A3286"/>
    </row>
    <row r="3287" spans="1:1" x14ac:dyDescent="0.25">
      <c r="A3287"/>
    </row>
    <row r="3288" spans="1:1" x14ac:dyDescent="0.25">
      <c r="A3288"/>
    </row>
    <row r="3289" spans="1:1" x14ac:dyDescent="0.25">
      <c r="A3289"/>
    </row>
    <row r="3290" spans="1:1" x14ac:dyDescent="0.25">
      <c r="A3290"/>
    </row>
    <row r="3291" spans="1:1" x14ac:dyDescent="0.25">
      <c r="A3291"/>
    </row>
    <row r="3292" spans="1:1" x14ac:dyDescent="0.25">
      <c r="A3292"/>
    </row>
    <row r="3293" spans="1:1" x14ac:dyDescent="0.25">
      <c r="A3293"/>
    </row>
    <row r="3294" spans="1:1" x14ac:dyDescent="0.25">
      <c r="A3294"/>
    </row>
    <row r="3295" spans="1:1" x14ac:dyDescent="0.25">
      <c r="A3295"/>
    </row>
    <row r="3296" spans="1:1" x14ac:dyDescent="0.25">
      <c r="A3296"/>
    </row>
    <row r="3297" spans="1:1" x14ac:dyDescent="0.25">
      <c r="A3297"/>
    </row>
    <row r="3298" spans="1:1" x14ac:dyDescent="0.25">
      <c r="A3298"/>
    </row>
    <row r="3299" spans="1:1" x14ac:dyDescent="0.25">
      <c r="A3299"/>
    </row>
    <row r="3300" spans="1:1" x14ac:dyDescent="0.25">
      <c r="A3300"/>
    </row>
    <row r="3301" spans="1:1" x14ac:dyDescent="0.25">
      <c r="A3301"/>
    </row>
    <row r="3302" spans="1:1" x14ac:dyDescent="0.25">
      <c r="A3302"/>
    </row>
    <row r="3303" spans="1:1" x14ac:dyDescent="0.25">
      <c r="A3303"/>
    </row>
    <row r="3304" spans="1:1" x14ac:dyDescent="0.25">
      <c r="A3304"/>
    </row>
    <row r="3305" spans="1:1" x14ac:dyDescent="0.25">
      <c r="A3305"/>
    </row>
    <row r="3306" spans="1:1" x14ac:dyDescent="0.25">
      <c r="A3306"/>
    </row>
    <row r="3307" spans="1:1" x14ac:dyDescent="0.25">
      <c r="A3307"/>
    </row>
    <row r="3308" spans="1:1" x14ac:dyDescent="0.25">
      <c r="A3308"/>
    </row>
    <row r="3309" spans="1:1" x14ac:dyDescent="0.25">
      <c r="A3309"/>
    </row>
    <row r="3310" spans="1:1" x14ac:dyDescent="0.25">
      <c r="A3310"/>
    </row>
    <row r="3311" spans="1:1" x14ac:dyDescent="0.25">
      <c r="A3311"/>
    </row>
    <row r="3312" spans="1:1" x14ac:dyDescent="0.25">
      <c r="A3312"/>
    </row>
    <row r="3313" spans="1:1" x14ac:dyDescent="0.25">
      <c r="A3313"/>
    </row>
    <row r="3314" spans="1:1" x14ac:dyDescent="0.25">
      <c r="A3314"/>
    </row>
    <row r="3315" spans="1:1" x14ac:dyDescent="0.25">
      <c r="A3315"/>
    </row>
    <row r="3316" spans="1:1" x14ac:dyDescent="0.25">
      <c r="A3316"/>
    </row>
    <row r="3317" spans="1:1" x14ac:dyDescent="0.25">
      <c r="A3317"/>
    </row>
    <row r="3318" spans="1:1" x14ac:dyDescent="0.25">
      <c r="A3318"/>
    </row>
    <row r="3319" spans="1:1" x14ac:dyDescent="0.25">
      <c r="A3319"/>
    </row>
    <row r="3320" spans="1:1" x14ac:dyDescent="0.25">
      <c r="A3320"/>
    </row>
    <row r="3321" spans="1:1" x14ac:dyDescent="0.25">
      <c r="A3321"/>
    </row>
    <row r="3322" spans="1:1" x14ac:dyDescent="0.25">
      <c r="A3322"/>
    </row>
    <row r="3323" spans="1:1" x14ac:dyDescent="0.25">
      <c r="A3323"/>
    </row>
    <row r="3324" spans="1:1" x14ac:dyDescent="0.25">
      <c r="A3324"/>
    </row>
    <row r="3325" spans="1:1" x14ac:dyDescent="0.25">
      <c r="A3325"/>
    </row>
    <row r="3326" spans="1:1" x14ac:dyDescent="0.25">
      <c r="A3326"/>
    </row>
    <row r="3327" spans="1:1" x14ac:dyDescent="0.25">
      <c r="A3327"/>
    </row>
    <row r="3328" spans="1:1" x14ac:dyDescent="0.25">
      <c r="A3328"/>
    </row>
    <row r="3329" spans="1:1" x14ac:dyDescent="0.25">
      <c r="A3329"/>
    </row>
    <row r="3330" spans="1:1" x14ac:dyDescent="0.25">
      <c r="A3330"/>
    </row>
    <row r="3331" spans="1:1" x14ac:dyDescent="0.25">
      <c r="A3331"/>
    </row>
    <row r="3332" spans="1:1" x14ac:dyDescent="0.25">
      <c r="A3332"/>
    </row>
    <row r="3333" spans="1:1" x14ac:dyDescent="0.25">
      <c r="A3333"/>
    </row>
    <row r="3334" spans="1:1" x14ac:dyDescent="0.25">
      <c r="A3334"/>
    </row>
    <row r="3335" spans="1:1" x14ac:dyDescent="0.25">
      <c r="A3335"/>
    </row>
    <row r="3336" spans="1:1" x14ac:dyDescent="0.25">
      <c r="A3336"/>
    </row>
    <row r="3337" spans="1:1" x14ac:dyDescent="0.25">
      <c r="A3337"/>
    </row>
    <row r="3338" spans="1:1" x14ac:dyDescent="0.25">
      <c r="A3338"/>
    </row>
    <row r="3339" spans="1:1" x14ac:dyDescent="0.25">
      <c r="A3339"/>
    </row>
    <row r="3340" spans="1:1" x14ac:dyDescent="0.25">
      <c r="A3340"/>
    </row>
    <row r="3341" spans="1:1" x14ac:dyDescent="0.25">
      <c r="A3341"/>
    </row>
    <row r="3342" spans="1:1" x14ac:dyDescent="0.25">
      <c r="A3342"/>
    </row>
    <row r="3343" spans="1:1" x14ac:dyDescent="0.25">
      <c r="A3343"/>
    </row>
    <row r="3344" spans="1:1" x14ac:dyDescent="0.25">
      <c r="A3344"/>
    </row>
    <row r="3345" spans="1:1" x14ac:dyDescent="0.25">
      <c r="A3345"/>
    </row>
    <row r="3346" spans="1:1" x14ac:dyDescent="0.25">
      <c r="A3346"/>
    </row>
    <row r="3347" spans="1:1" x14ac:dyDescent="0.25">
      <c r="A3347"/>
    </row>
    <row r="3348" spans="1:1" x14ac:dyDescent="0.25">
      <c r="A3348"/>
    </row>
    <row r="3349" spans="1:1" x14ac:dyDescent="0.25">
      <c r="A3349"/>
    </row>
    <row r="3350" spans="1:1" x14ac:dyDescent="0.25">
      <c r="A3350"/>
    </row>
    <row r="3351" spans="1:1" x14ac:dyDescent="0.25">
      <c r="A3351"/>
    </row>
    <row r="3352" spans="1:1" x14ac:dyDescent="0.25">
      <c r="A3352"/>
    </row>
    <row r="3353" spans="1:1" x14ac:dyDescent="0.25">
      <c r="A3353"/>
    </row>
    <row r="3354" spans="1:1" x14ac:dyDescent="0.25">
      <c r="A3354"/>
    </row>
    <row r="3355" spans="1:1" x14ac:dyDescent="0.25">
      <c r="A3355"/>
    </row>
    <row r="3356" spans="1:1" x14ac:dyDescent="0.25">
      <c r="A3356"/>
    </row>
    <row r="3357" spans="1:1" x14ac:dyDescent="0.25">
      <c r="A3357"/>
    </row>
    <row r="3358" spans="1:1" x14ac:dyDescent="0.25">
      <c r="A3358"/>
    </row>
    <row r="3359" spans="1:1" x14ac:dyDescent="0.25">
      <c r="A3359"/>
    </row>
    <row r="3360" spans="1:1" x14ac:dyDescent="0.25">
      <c r="A3360"/>
    </row>
    <row r="3361" spans="1:1" x14ac:dyDescent="0.25">
      <c r="A3361"/>
    </row>
    <row r="3362" spans="1:1" x14ac:dyDescent="0.25">
      <c r="A3362"/>
    </row>
    <row r="3363" spans="1:1" x14ac:dyDescent="0.25">
      <c r="A3363"/>
    </row>
    <row r="3364" spans="1:1" x14ac:dyDescent="0.25">
      <c r="A3364"/>
    </row>
    <row r="3365" spans="1:1" x14ac:dyDescent="0.25">
      <c r="A3365"/>
    </row>
    <row r="3366" spans="1:1" x14ac:dyDescent="0.25">
      <c r="A3366"/>
    </row>
    <row r="3367" spans="1:1" x14ac:dyDescent="0.25">
      <c r="A3367"/>
    </row>
    <row r="3368" spans="1:1" x14ac:dyDescent="0.25">
      <c r="A3368"/>
    </row>
    <row r="3369" spans="1:1" x14ac:dyDescent="0.25">
      <c r="A3369"/>
    </row>
    <row r="3370" spans="1:1" x14ac:dyDescent="0.25">
      <c r="A3370"/>
    </row>
    <row r="3371" spans="1:1" x14ac:dyDescent="0.25">
      <c r="A3371"/>
    </row>
    <row r="3372" spans="1:1" x14ac:dyDescent="0.25">
      <c r="A3372"/>
    </row>
    <row r="3373" spans="1:1" x14ac:dyDescent="0.25">
      <c r="A3373"/>
    </row>
    <row r="3374" spans="1:1" x14ac:dyDescent="0.25">
      <c r="A3374"/>
    </row>
    <row r="3375" spans="1:1" x14ac:dyDescent="0.25">
      <c r="A3375"/>
    </row>
    <row r="3376" spans="1:1" x14ac:dyDescent="0.25">
      <c r="A3376"/>
    </row>
    <row r="3377" spans="1:1" x14ac:dyDescent="0.25">
      <c r="A3377"/>
    </row>
    <row r="3378" spans="1:1" x14ac:dyDescent="0.25">
      <c r="A3378"/>
    </row>
    <row r="3379" spans="1:1" x14ac:dyDescent="0.25">
      <c r="A3379"/>
    </row>
    <row r="3380" spans="1:1" x14ac:dyDescent="0.25">
      <c r="A3380"/>
    </row>
    <row r="3381" spans="1:1" x14ac:dyDescent="0.25">
      <c r="A3381"/>
    </row>
    <row r="3382" spans="1:1" x14ac:dyDescent="0.25">
      <c r="A3382"/>
    </row>
    <row r="3383" spans="1:1" x14ac:dyDescent="0.25">
      <c r="A3383"/>
    </row>
    <row r="3384" spans="1:1" x14ac:dyDescent="0.25">
      <c r="A3384"/>
    </row>
    <row r="3385" spans="1:1" x14ac:dyDescent="0.25">
      <c r="A3385"/>
    </row>
    <row r="3386" spans="1:1" x14ac:dyDescent="0.25">
      <c r="A3386"/>
    </row>
    <row r="3387" spans="1:1" x14ac:dyDescent="0.25">
      <c r="A3387"/>
    </row>
    <row r="3388" spans="1:1" x14ac:dyDescent="0.25">
      <c r="A3388"/>
    </row>
    <row r="3389" spans="1:1" x14ac:dyDescent="0.25">
      <c r="A3389"/>
    </row>
    <row r="3390" spans="1:1" x14ac:dyDescent="0.25">
      <c r="A3390"/>
    </row>
    <row r="3391" spans="1:1" x14ac:dyDescent="0.25">
      <c r="A3391"/>
    </row>
    <row r="3392" spans="1:1" x14ac:dyDescent="0.25">
      <c r="A3392"/>
    </row>
    <row r="3393" spans="1:1" x14ac:dyDescent="0.25">
      <c r="A3393"/>
    </row>
    <row r="3394" spans="1:1" x14ac:dyDescent="0.25">
      <c r="A3394"/>
    </row>
    <row r="3395" spans="1:1" x14ac:dyDescent="0.25">
      <c r="A3395"/>
    </row>
    <row r="3396" spans="1:1" x14ac:dyDescent="0.25">
      <c r="A3396"/>
    </row>
    <row r="3397" spans="1:1" x14ac:dyDescent="0.25">
      <c r="A3397"/>
    </row>
    <row r="3398" spans="1:1" x14ac:dyDescent="0.25">
      <c r="A3398"/>
    </row>
    <row r="3399" spans="1:1" x14ac:dyDescent="0.25">
      <c r="A3399"/>
    </row>
    <row r="3400" spans="1:1" x14ac:dyDescent="0.25">
      <c r="A3400"/>
    </row>
    <row r="3401" spans="1:1" x14ac:dyDescent="0.25">
      <c r="A3401"/>
    </row>
    <row r="3402" spans="1:1" x14ac:dyDescent="0.25">
      <c r="A3402"/>
    </row>
    <row r="3403" spans="1:1" x14ac:dyDescent="0.25">
      <c r="A3403"/>
    </row>
    <row r="3404" spans="1:1" x14ac:dyDescent="0.25">
      <c r="A3404"/>
    </row>
    <row r="3405" spans="1:1" x14ac:dyDescent="0.25">
      <c r="A3405"/>
    </row>
    <row r="3406" spans="1:1" x14ac:dyDescent="0.25">
      <c r="A3406"/>
    </row>
    <row r="3407" spans="1:1" x14ac:dyDescent="0.25">
      <c r="A3407"/>
    </row>
    <row r="3408" spans="1:1" x14ac:dyDescent="0.25">
      <c r="A3408"/>
    </row>
    <row r="3409" spans="1:1" x14ac:dyDescent="0.25">
      <c r="A3409"/>
    </row>
    <row r="3410" spans="1:1" x14ac:dyDescent="0.25">
      <c r="A3410"/>
    </row>
    <row r="3411" spans="1:1" x14ac:dyDescent="0.25">
      <c r="A3411"/>
    </row>
    <row r="3412" spans="1:1" x14ac:dyDescent="0.25">
      <c r="A3412"/>
    </row>
    <row r="3413" spans="1:1" x14ac:dyDescent="0.25">
      <c r="A3413"/>
    </row>
    <row r="3414" spans="1:1" x14ac:dyDescent="0.25">
      <c r="A3414"/>
    </row>
    <row r="3415" spans="1:1" x14ac:dyDescent="0.25">
      <c r="A3415"/>
    </row>
    <row r="3416" spans="1:1" x14ac:dyDescent="0.25">
      <c r="A3416"/>
    </row>
    <row r="3417" spans="1:1" x14ac:dyDescent="0.25">
      <c r="A3417"/>
    </row>
    <row r="3418" spans="1:1" x14ac:dyDescent="0.25">
      <c r="A3418"/>
    </row>
    <row r="3419" spans="1:1" x14ac:dyDescent="0.25">
      <c r="A3419"/>
    </row>
    <row r="3420" spans="1:1" x14ac:dyDescent="0.25">
      <c r="A3420"/>
    </row>
    <row r="3421" spans="1:1" x14ac:dyDescent="0.25">
      <c r="A3421"/>
    </row>
    <row r="3422" spans="1:1" x14ac:dyDescent="0.25">
      <c r="A3422"/>
    </row>
    <row r="3423" spans="1:1" x14ac:dyDescent="0.25">
      <c r="A3423"/>
    </row>
    <row r="3424" spans="1:1" x14ac:dyDescent="0.25">
      <c r="A3424"/>
    </row>
    <row r="3425" spans="1:1" x14ac:dyDescent="0.25">
      <c r="A3425"/>
    </row>
    <row r="3426" spans="1:1" x14ac:dyDescent="0.25">
      <c r="A3426"/>
    </row>
    <row r="3427" spans="1:1" x14ac:dyDescent="0.25">
      <c r="A3427"/>
    </row>
    <row r="3428" spans="1:1" x14ac:dyDescent="0.25">
      <c r="A3428"/>
    </row>
    <row r="3429" spans="1:1" x14ac:dyDescent="0.25">
      <c r="A3429"/>
    </row>
    <row r="3430" spans="1:1" x14ac:dyDescent="0.25">
      <c r="A3430"/>
    </row>
    <row r="3431" spans="1:1" x14ac:dyDescent="0.25">
      <c r="A3431"/>
    </row>
    <row r="3432" spans="1:1" x14ac:dyDescent="0.25">
      <c r="A3432"/>
    </row>
    <row r="3433" spans="1:1" x14ac:dyDescent="0.25">
      <c r="A3433"/>
    </row>
    <row r="3434" spans="1:1" x14ac:dyDescent="0.25">
      <c r="A3434"/>
    </row>
    <row r="3435" spans="1:1" x14ac:dyDescent="0.25">
      <c r="A3435"/>
    </row>
    <row r="3436" spans="1:1" x14ac:dyDescent="0.25">
      <c r="A3436"/>
    </row>
    <row r="3437" spans="1:1" x14ac:dyDescent="0.25">
      <c r="A3437"/>
    </row>
    <row r="3438" spans="1:1" x14ac:dyDescent="0.25">
      <c r="A3438"/>
    </row>
    <row r="3439" spans="1:1" x14ac:dyDescent="0.25">
      <c r="A3439"/>
    </row>
    <row r="3440" spans="1:1" x14ac:dyDescent="0.25">
      <c r="A3440"/>
    </row>
    <row r="3441" spans="1:1" x14ac:dyDescent="0.25">
      <c r="A3441"/>
    </row>
    <row r="3442" spans="1:1" x14ac:dyDescent="0.25">
      <c r="A3442"/>
    </row>
    <row r="3443" spans="1:1" x14ac:dyDescent="0.25">
      <c r="A3443"/>
    </row>
    <row r="3444" spans="1:1" x14ac:dyDescent="0.25">
      <c r="A3444"/>
    </row>
    <row r="3445" spans="1:1" x14ac:dyDescent="0.25">
      <c r="A3445"/>
    </row>
    <row r="3446" spans="1:1" x14ac:dyDescent="0.25">
      <c r="A3446"/>
    </row>
    <row r="3447" spans="1:1" x14ac:dyDescent="0.25">
      <c r="A3447"/>
    </row>
    <row r="3448" spans="1:1" x14ac:dyDescent="0.25">
      <c r="A3448"/>
    </row>
    <row r="3449" spans="1:1" x14ac:dyDescent="0.25">
      <c r="A3449"/>
    </row>
    <row r="3450" spans="1:1" x14ac:dyDescent="0.25">
      <c r="A3450"/>
    </row>
    <row r="3451" spans="1:1" x14ac:dyDescent="0.25">
      <c r="A3451"/>
    </row>
    <row r="3452" spans="1:1" x14ac:dyDescent="0.25">
      <c r="A3452"/>
    </row>
    <row r="3453" spans="1:1" x14ac:dyDescent="0.25">
      <c r="A3453"/>
    </row>
    <row r="3454" spans="1:1" x14ac:dyDescent="0.25">
      <c r="A3454"/>
    </row>
    <row r="3455" spans="1:1" x14ac:dyDescent="0.25">
      <c r="A3455"/>
    </row>
    <row r="3456" spans="1:1" x14ac:dyDescent="0.25">
      <c r="A3456"/>
    </row>
    <row r="3457" spans="1:1" x14ac:dyDescent="0.25">
      <c r="A3457"/>
    </row>
    <row r="3458" spans="1:1" x14ac:dyDescent="0.25">
      <c r="A3458"/>
    </row>
    <row r="3459" spans="1:1" x14ac:dyDescent="0.25">
      <c r="A3459"/>
    </row>
    <row r="3460" spans="1:1" x14ac:dyDescent="0.25">
      <c r="A3460"/>
    </row>
    <row r="3461" spans="1:1" x14ac:dyDescent="0.25">
      <c r="A3461"/>
    </row>
    <row r="3462" spans="1:1" x14ac:dyDescent="0.25">
      <c r="A3462"/>
    </row>
    <row r="3463" spans="1:1" x14ac:dyDescent="0.25">
      <c r="A3463"/>
    </row>
    <row r="3464" spans="1:1" x14ac:dyDescent="0.25">
      <c r="A3464"/>
    </row>
    <row r="3465" spans="1:1" x14ac:dyDescent="0.25">
      <c r="A3465"/>
    </row>
    <row r="3466" spans="1:1" x14ac:dyDescent="0.25">
      <c r="A3466"/>
    </row>
    <row r="3467" spans="1:1" x14ac:dyDescent="0.25">
      <c r="A3467"/>
    </row>
    <row r="3468" spans="1:1" x14ac:dyDescent="0.25">
      <c r="A3468"/>
    </row>
    <row r="3469" spans="1:1" x14ac:dyDescent="0.25">
      <c r="A3469"/>
    </row>
    <row r="3470" spans="1:1" x14ac:dyDescent="0.25">
      <c r="A3470"/>
    </row>
    <row r="3471" spans="1:1" x14ac:dyDescent="0.25">
      <c r="A3471"/>
    </row>
    <row r="3472" spans="1:1" x14ac:dyDescent="0.25">
      <c r="A3472"/>
    </row>
    <row r="3473" spans="1:1" x14ac:dyDescent="0.25">
      <c r="A3473"/>
    </row>
    <row r="3474" spans="1:1" x14ac:dyDescent="0.25">
      <c r="A3474"/>
    </row>
    <row r="3475" spans="1:1" x14ac:dyDescent="0.25">
      <c r="A3475"/>
    </row>
    <row r="3476" spans="1:1" x14ac:dyDescent="0.25">
      <c r="A3476"/>
    </row>
    <row r="3477" spans="1:1" x14ac:dyDescent="0.25">
      <c r="A3477"/>
    </row>
    <row r="3478" spans="1:1" x14ac:dyDescent="0.25">
      <c r="A3478"/>
    </row>
    <row r="3479" spans="1:1" x14ac:dyDescent="0.25">
      <c r="A3479"/>
    </row>
    <row r="3480" spans="1:1" x14ac:dyDescent="0.25">
      <c r="A3480"/>
    </row>
    <row r="3481" spans="1:1" x14ac:dyDescent="0.25">
      <c r="A3481"/>
    </row>
    <row r="3482" spans="1:1" x14ac:dyDescent="0.25">
      <c r="A3482"/>
    </row>
    <row r="3483" spans="1:1" x14ac:dyDescent="0.25">
      <c r="A3483"/>
    </row>
    <row r="3484" spans="1:1" x14ac:dyDescent="0.25">
      <c r="A3484"/>
    </row>
    <row r="3485" spans="1:1" x14ac:dyDescent="0.25">
      <c r="A3485"/>
    </row>
    <row r="3486" spans="1:1" x14ac:dyDescent="0.25">
      <c r="A3486"/>
    </row>
    <row r="3487" spans="1:1" x14ac:dyDescent="0.25">
      <c r="A3487"/>
    </row>
    <row r="3488" spans="1:1" x14ac:dyDescent="0.25">
      <c r="A3488"/>
    </row>
    <row r="3489" spans="1:1" x14ac:dyDescent="0.25">
      <c r="A3489"/>
    </row>
    <row r="3490" spans="1:1" x14ac:dyDescent="0.25">
      <c r="A3490"/>
    </row>
    <row r="3491" spans="1:1" x14ac:dyDescent="0.25">
      <c r="A3491"/>
    </row>
    <row r="3492" spans="1:1" x14ac:dyDescent="0.25">
      <c r="A3492"/>
    </row>
    <row r="3493" spans="1:1" x14ac:dyDescent="0.25">
      <c r="A3493"/>
    </row>
    <row r="3494" spans="1:1" x14ac:dyDescent="0.25">
      <c r="A3494"/>
    </row>
    <row r="3495" spans="1:1" x14ac:dyDescent="0.25">
      <c r="A3495"/>
    </row>
    <row r="3496" spans="1:1" x14ac:dyDescent="0.25">
      <c r="A3496"/>
    </row>
    <row r="3497" spans="1:1" x14ac:dyDescent="0.25">
      <c r="A3497"/>
    </row>
    <row r="3498" spans="1:1" x14ac:dyDescent="0.25">
      <c r="A3498"/>
    </row>
    <row r="3499" spans="1:1" x14ac:dyDescent="0.25">
      <c r="A3499"/>
    </row>
    <row r="3500" spans="1:1" x14ac:dyDescent="0.25">
      <c r="A3500"/>
    </row>
    <row r="3501" spans="1:1" x14ac:dyDescent="0.25">
      <c r="A3501"/>
    </row>
    <row r="3502" spans="1:1" x14ac:dyDescent="0.25">
      <c r="A3502"/>
    </row>
    <row r="3503" spans="1:1" x14ac:dyDescent="0.25">
      <c r="A3503"/>
    </row>
    <row r="3504" spans="1:1" x14ac:dyDescent="0.25">
      <c r="A3504"/>
    </row>
    <row r="3505" spans="1:1" x14ac:dyDescent="0.25">
      <c r="A3505"/>
    </row>
    <row r="3506" spans="1:1" x14ac:dyDescent="0.25">
      <c r="A3506"/>
    </row>
    <row r="3507" spans="1:1" x14ac:dyDescent="0.25">
      <c r="A3507"/>
    </row>
    <row r="3508" spans="1:1" x14ac:dyDescent="0.25">
      <c r="A3508"/>
    </row>
    <row r="3509" spans="1:1" x14ac:dyDescent="0.25">
      <c r="A3509"/>
    </row>
    <row r="3510" spans="1:1" x14ac:dyDescent="0.25">
      <c r="A3510"/>
    </row>
    <row r="3511" spans="1:1" x14ac:dyDescent="0.25">
      <c r="A3511"/>
    </row>
    <row r="3512" spans="1:1" x14ac:dyDescent="0.25">
      <c r="A3512"/>
    </row>
    <row r="3513" spans="1:1" x14ac:dyDescent="0.25">
      <c r="A3513"/>
    </row>
    <row r="3514" spans="1:1" x14ac:dyDescent="0.25">
      <c r="A3514"/>
    </row>
    <row r="3515" spans="1:1" x14ac:dyDescent="0.25">
      <c r="A3515"/>
    </row>
    <row r="3516" spans="1:1" x14ac:dyDescent="0.25">
      <c r="A3516"/>
    </row>
    <row r="3517" spans="1:1" x14ac:dyDescent="0.25">
      <c r="A3517"/>
    </row>
    <row r="3518" spans="1:1" x14ac:dyDescent="0.25">
      <c r="A3518"/>
    </row>
    <row r="3519" spans="1:1" x14ac:dyDescent="0.25">
      <c r="A3519"/>
    </row>
    <row r="3520" spans="1:1" x14ac:dyDescent="0.25">
      <c r="A3520"/>
    </row>
    <row r="3521" spans="1:1" x14ac:dyDescent="0.25">
      <c r="A3521"/>
    </row>
    <row r="3522" spans="1:1" x14ac:dyDescent="0.25">
      <c r="A3522"/>
    </row>
    <row r="3523" spans="1:1" x14ac:dyDescent="0.25">
      <c r="A3523"/>
    </row>
    <row r="3524" spans="1:1" x14ac:dyDescent="0.25">
      <c r="A3524"/>
    </row>
    <row r="3525" spans="1:1" x14ac:dyDescent="0.25">
      <c r="A3525"/>
    </row>
    <row r="3526" spans="1:1" x14ac:dyDescent="0.25">
      <c r="A3526"/>
    </row>
    <row r="3527" spans="1:1" x14ac:dyDescent="0.25">
      <c r="A3527"/>
    </row>
    <row r="3528" spans="1:1" x14ac:dyDescent="0.25">
      <c r="A3528"/>
    </row>
    <row r="3529" spans="1:1" x14ac:dyDescent="0.25">
      <c r="A3529"/>
    </row>
    <row r="3530" spans="1:1" x14ac:dyDescent="0.25">
      <c r="A3530"/>
    </row>
    <row r="3531" spans="1:1" x14ac:dyDescent="0.25">
      <c r="A3531"/>
    </row>
    <row r="3532" spans="1:1" x14ac:dyDescent="0.25">
      <c r="A3532"/>
    </row>
    <row r="3533" spans="1:1" x14ac:dyDescent="0.25">
      <c r="A3533"/>
    </row>
    <row r="3534" spans="1:1" x14ac:dyDescent="0.25">
      <c r="A3534"/>
    </row>
    <row r="3535" spans="1:1" x14ac:dyDescent="0.25">
      <c r="A3535"/>
    </row>
    <row r="3536" spans="1:1" x14ac:dyDescent="0.25">
      <c r="A3536"/>
    </row>
    <row r="3537" spans="1:1" x14ac:dyDescent="0.25">
      <c r="A3537"/>
    </row>
    <row r="3538" spans="1:1" x14ac:dyDescent="0.25">
      <c r="A3538"/>
    </row>
    <row r="3539" spans="1:1" x14ac:dyDescent="0.25">
      <c r="A3539"/>
    </row>
    <row r="3540" spans="1:1" x14ac:dyDescent="0.25">
      <c r="A3540"/>
    </row>
    <row r="3541" spans="1:1" x14ac:dyDescent="0.25">
      <c r="A3541"/>
    </row>
    <row r="3542" spans="1:1" x14ac:dyDescent="0.25">
      <c r="A3542"/>
    </row>
    <row r="3543" spans="1:1" x14ac:dyDescent="0.25">
      <c r="A3543"/>
    </row>
    <row r="3544" spans="1:1" x14ac:dyDescent="0.25">
      <c r="A3544"/>
    </row>
    <row r="3545" spans="1:1" x14ac:dyDescent="0.25">
      <c r="A3545"/>
    </row>
    <row r="3546" spans="1:1" x14ac:dyDescent="0.25">
      <c r="A3546"/>
    </row>
    <row r="3547" spans="1:1" x14ac:dyDescent="0.25">
      <c r="A3547"/>
    </row>
    <row r="3548" spans="1:1" x14ac:dyDescent="0.25">
      <c r="A3548"/>
    </row>
    <row r="3549" spans="1:1" x14ac:dyDescent="0.25">
      <c r="A3549"/>
    </row>
    <row r="3550" spans="1:1" x14ac:dyDescent="0.25">
      <c r="A3550"/>
    </row>
    <row r="3551" spans="1:1" x14ac:dyDescent="0.25">
      <c r="A3551"/>
    </row>
    <row r="3552" spans="1:1" x14ac:dyDescent="0.25">
      <c r="A3552"/>
    </row>
    <row r="3553" spans="1:1" x14ac:dyDescent="0.25">
      <c r="A3553"/>
    </row>
    <row r="3554" spans="1:1" x14ac:dyDescent="0.25">
      <c r="A3554"/>
    </row>
    <row r="3555" spans="1:1" x14ac:dyDescent="0.25">
      <c r="A3555"/>
    </row>
    <row r="3556" spans="1:1" x14ac:dyDescent="0.25">
      <c r="A3556"/>
    </row>
    <row r="3557" spans="1:1" x14ac:dyDescent="0.25">
      <c r="A3557"/>
    </row>
    <row r="3558" spans="1:1" x14ac:dyDescent="0.25">
      <c r="A3558"/>
    </row>
    <row r="3559" spans="1:1" x14ac:dyDescent="0.25">
      <c r="A3559"/>
    </row>
    <row r="3560" spans="1:1" x14ac:dyDescent="0.25">
      <c r="A3560"/>
    </row>
    <row r="3561" spans="1:1" x14ac:dyDescent="0.25">
      <c r="A3561"/>
    </row>
    <row r="3562" spans="1:1" x14ac:dyDescent="0.25">
      <c r="A3562"/>
    </row>
    <row r="3563" spans="1:1" x14ac:dyDescent="0.25">
      <c r="A3563"/>
    </row>
    <row r="3564" spans="1:1" x14ac:dyDescent="0.25">
      <c r="A3564"/>
    </row>
    <row r="3565" spans="1:1" x14ac:dyDescent="0.25">
      <c r="A3565"/>
    </row>
    <row r="3566" spans="1:1" x14ac:dyDescent="0.25">
      <c r="A3566"/>
    </row>
    <row r="3567" spans="1:1" x14ac:dyDescent="0.25">
      <c r="A3567"/>
    </row>
    <row r="3568" spans="1:1" x14ac:dyDescent="0.25">
      <c r="A3568"/>
    </row>
    <row r="3569" spans="1:1" x14ac:dyDescent="0.25">
      <c r="A3569"/>
    </row>
    <row r="3570" spans="1:1" x14ac:dyDescent="0.25">
      <c r="A3570"/>
    </row>
    <row r="3571" spans="1:1" x14ac:dyDescent="0.25">
      <c r="A3571"/>
    </row>
    <row r="3572" spans="1:1" x14ac:dyDescent="0.25">
      <c r="A3572"/>
    </row>
    <row r="3573" spans="1:1" x14ac:dyDescent="0.25">
      <c r="A3573"/>
    </row>
    <row r="3574" spans="1:1" x14ac:dyDescent="0.25">
      <c r="A3574"/>
    </row>
    <row r="3575" spans="1:1" x14ac:dyDescent="0.25">
      <c r="A3575"/>
    </row>
    <row r="3576" spans="1:1" x14ac:dyDescent="0.25">
      <c r="A3576"/>
    </row>
    <row r="3577" spans="1:1" x14ac:dyDescent="0.25">
      <c r="A3577"/>
    </row>
    <row r="3578" spans="1:1" x14ac:dyDescent="0.25">
      <c r="A3578"/>
    </row>
    <row r="3579" spans="1:1" x14ac:dyDescent="0.25">
      <c r="A3579"/>
    </row>
    <row r="3580" spans="1:1" x14ac:dyDescent="0.25">
      <c r="A3580"/>
    </row>
    <row r="3581" spans="1:1" x14ac:dyDescent="0.25">
      <c r="A3581"/>
    </row>
    <row r="3582" spans="1:1" x14ac:dyDescent="0.25">
      <c r="A3582"/>
    </row>
    <row r="3583" spans="1:1" x14ac:dyDescent="0.25">
      <c r="A3583"/>
    </row>
    <row r="3584" spans="1:1" x14ac:dyDescent="0.25">
      <c r="A3584"/>
    </row>
    <row r="3585" spans="1:1" x14ac:dyDescent="0.25">
      <c r="A3585"/>
    </row>
    <row r="3586" spans="1:1" x14ac:dyDescent="0.25">
      <c r="A3586"/>
    </row>
    <row r="3587" spans="1:1" x14ac:dyDescent="0.25">
      <c r="A3587"/>
    </row>
    <row r="3588" spans="1:1" x14ac:dyDescent="0.25">
      <c r="A3588"/>
    </row>
    <row r="3589" spans="1:1" x14ac:dyDescent="0.25">
      <c r="A3589"/>
    </row>
    <row r="3590" spans="1:1" x14ac:dyDescent="0.25">
      <c r="A3590"/>
    </row>
    <row r="3591" spans="1:1" x14ac:dyDescent="0.25">
      <c r="A3591"/>
    </row>
    <row r="3592" spans="1:1" x14ac:dyDescent="0.25">
      <c r="A3592"/>
    </row>
    <row r="3593" spans="1:1" x14ac:dyDescent="0.25">
      <c r="A3593"/>
    </row>
    <row r="3594" spans="1:1" x14ac:dyDescent="0.25">
      <c r="A3594"/>
    </row>
    <row r="3595" spans="1:1" x14ac:dyDescent="0.25">
      <c r="A3595"/>
    </row>
    <row r="3596" spans="1:1" x14ac:dyDescent="0.25">
      <c r="A3596"/>
    </row>
    <row r="3597" spans="1:1" x14ac:dyDescent="0.25">
      <c r="A3597"/>
    </row>
    <row r="3598" spans="1:1" x14ac:dyDescent="0.25">
      <c r="A3598"/>
    </row>
    <row r="3599" spans="1:1" x14ac:dyDescent="0.25">
      <c r="A3599"/>
    </row>
    <row r="3600" spans="1:1" x14ac:dyDescent="0.25">
      <c r="A3600"/>
    </row>
    <row r="3601" spans="1:1" x14ac:dyDescent="0.25">
      <c r="A3601"/>
    </row>
    <row r="3602" spans="1:1" x14ac:dyDescent="0.25">
      <c r="A3602"/>
    </row>
    <row r="3603" spans="1:1" x14ac:dyDescent="0.25">
      <c r="A3603"/>
    </row>
    <row r="3604" spans="1:1" x14ac:dyDescent="0.25">
      <c r="A3604"/>
    </row>
    <row r="3605" spans="1:1" x14ac:dyDescent="0.25">
      <c r="A3605"/>
    </row>
    <row r="3606" spans="1:1" x14ac:dyDescent="0.25">
      <c r="A3606"/>
    </row>
    <row r="3607" spans="1:1" x14ac:dyDescent="0.25">
      <c r="A3607"/>
    </row>
    <row r="3608" spans="1:1" x14ac:dyDescent="0.25">
      <c r="A3608"/>
    </row>
    <row r="3609" spans="1:1" x14ac:dyDescent="0.25">
      <c r="A3609"/>
    </row>
    <row r="3610" spans="1:1" x14ac:dyDescent="0.25">
      <c r="A3610"/>
    </row>
    <row r="3611" spans="1:1" x14ac:dyDescent="0.25">
      <c r="A3611"/>
    </row>
    <row r="3612" spans="1:1" x14ac:dyDescent="0.25">
      <c r="A3612"/>
    </row>
    <row r="3613" spans="1:1" x14ac:dyDescent="0.25">
      <c r="A3613"/>
    </row>
    <row r="3614" spans="1:1" x14ac:dyDescent="0.25">
      <c r="A3614"/>
    </row>
    <row r="3615" spans="1:1" x14ac:dyDescent="0.25">
      <c r="A3615"/>
    </row>
    <row r="3616" spans="1:1" x14ac:dyDescent="0.25">
      <c r="A3616"/>
    </row>
    <row r="3617" spans="1:1" x14ac:dyDescent="0.25">
      <c r="A3617"/>
    </row>
    <row r="3618" spans="1:1" x14ac:dyDescent="0.25">
      <c r="A3618"/>
    </row>
    <row r="3619" spans="1:1" x14ac:dyDescent="0.25">
      <c r="A3619"/>
    </row>
    <row r="3620" spans="1:1" x14ac:dyDescent="0.25">
      <c r="A3620"/>
    </row>
    <row r="3621" spans="1:1" x14ac:dyDescent="0.25">
      <c r="A3621"/>
    </row>
    <row r="3622" spans="1:1" x14ac:dyDescent="0.25">
      <c r="A3622"/>
    </row>
    <row r="3623" spans="1:1" x14ac:dyDescent="0.25">
      <c r="A3623"/>
    </row>
    <row r="3624" spans="1:1" x14ac:dyDescent="0.25">
      <c r="A3624"/>
    </row>
    <row r="3625" spans="1:1" x14ac:dyDescent="0.25">
      <c r="A3625"/>
    </row>
    <row r="3626" spans="1:1" x14ac:dyDescent="0.25">
      <c r="A3626"/>
    </row>
    <row r="3627" spans="1:1" x14ac:dyDescent="0.25">
      <c r="A3627"/>
    </row>
    <row r="3628" spans="1:1" x14ac:dyDescent="0.25">
      <c r="A3628"/>
    </row>
    <row r="3629" spans="1:1" x14ac:dyDescent="0.25">
      <c r="A3629"/>
    </row>
    <row r="3630" spans="1:1" x14ac:dyDescent="0.25">
      <c r="A3630"/>
    </row>
    <row r="3631" spans="1:1" x14ac:dyDescent="0.25">
      <c r="A3631"/>
    </row>
    <row r="3632" spans="1:1" x14ac:dyDescent="0.25">
      <c r="A3632"/>
    </row>
    <row r="3633" spans="1:1" x14ac:dyDescent="0.25">
      <c r="A3633"/>
    </row>
    <row r="3634" spans="1:1" x14ac:dyDescent="0.25">
      <c r="A3634"/>
    </row>
    <row r="3635" spans="1:1" x14ac:dyDescent="0.25">
      <c r="A3635"/>
    </row>
    <row r="3636" spans="1:1" x14ac:dyDescent="0.25">
      <c r="A3636"/>
    </row>
    <row r="3637" spans="1:1" x14ac:dyDescent="0.25">
      <c r="A3637"/>
    </row>
    <row r="3638" spans="1:1" x14ac:dyDescent="0.25">
      <c r="A3638"/>
    </row>
    <row r="3639" spans="1:1" x14ac:dyDescent="0.25">
      <c r="A3639"/>
    </row>
    <row r="3640" spans="1:1" x14ac:dyDescent="0.25">
      <c r="A3640"/>
    </row>
    <row r="3641" spans="1:1" x14ac:dyDescent="0.25">
      <c r="A3641"/>
    </row>
    <row r="3642" spans="1:1" x14ac:dyDescent="0.25">
      <c r="A3642"/>
    </row>
    <row r="3643" spans="1:1" x14ac:dyDescent="0.25">
      <c r="A3643"/>
    </row>
    <row r="3644" spans="1:1" x14ac:dyDescent="0.25">
      <c r="A3644"/>
    </row>
    <row r="3645" spans="1:1" x14ac:dyDescent="0.25">
      <c r="A3645"/>
    </row>
    <row r="3646" spans="1:1" x14ac:dyDescent="0.25">
      <c r="A3646"/>
    </row>
    <row r="3647" spans="1:1" x14ac:dyDescent="0.25">
      <c r="A3647"/>
    </row>
    <row r="3648" spans="1:1" x14ac:dyDescent="0.25">
      <c r="A3648"/>
    </row>
    <row r="3649" spans="1:1" x14ac:dyDescent="0.25">
      <c r="A3649"/>
    </row>
    <row r="3650" spans="1:1" x14ac:dyDescent="0.25">
      <c r="A3650"/>
    </row>
    <row r="3651" spans="1:1" x14ac:dyDescent="0.25">
      <c r="A3651"/>
    </row>
    <row r="3652" spans="1:1" x14ac:dyDescent="0.25">
      <c r="A3652"/>
    </row>
    <row r="3653" spans="1:1" x14ac:dyDescent="0.25">
      <c r="A3653"/>
    </row>
    <row r="3654" spans="1:1" x14ac:dyDescent="0.25">
      <c r="A3654"/>
    </row>
    <row r="3655" spans="1:1" x14ac:dyDescent="0.25">
      <c r="A3655"/>
    </row>
    <row r="3656" spans="1:1" x14ac:dyDescent="0.25">
      <c r="A3656"/>
    </row>
    <row r="3657" spans="1:1" x14ac:dyDescent="0.25">
      <c r="A3657"/>
    </row>
    <row r="3658" spans="1:1" x14ac:dyDescent="0.25">
      <c r="A3658"/>
    </row>
    <row r="3659" spans="1:1" x14ac:dyDescent="0.25">
      <c r="A3659"/>
    </row>
    <row r="3660" spans="1:1" x14ac:dyDescent="0.25">
      <c r="A3660"/>
    </row>
    <row r="3661" spans="1:1" x14ac:dyDescent="0.25">
      <c r="A3661"/>
    </row>
    <row r="3662" spans="1:1" x14ac:dyDescent="0.25">
      <c r="A3662"/>
    </row>
    <row r="3663" spans="1:1" x14ac:dyDescent="0.25">
      <c r="A3663"/>
    </row>
    <row r="3664" spans="1:1" x14ac:dyDescent="0.25">
      <c r="A3664"/>
    </row>
    <row r="3665" spans="1:1" x14ac:dyDescent="0.25">
      <c r="A3665"/>
    </row>
    <row r="3666" spans="1:1" x14ac:dyDescent="0.25">
      <c r="A3666"/>
    </row>
    <row r="3667" spans="1:1" x14ac:dyDescent="0.25">
      <c r="A3667"/>
    </row>
    <row r="3668" spans="1:1" x14ac:dyDescent="0.25">
      <c r="A3668"/>
    </row>
    <row r="3669" spans="1:1" x14ac:dyDescent="0.25">
      <c r="A3669"/>
    </row>
    <row r="3670" spans="1:1" x14ac:dyDescent="0.25">
      <c r="A3670"/>
    </row>
    <row r="3671" spans="1:1" x14ac:dyDescent="0.25">
      <c r="A3671"/>
    </row>
    <row r="3672" spans="1:1" x14ac:dyDescent="0.25">
      <c r="A3672"/>
    </row>
    <row r="3673" spans="1:1" x14ac:dyDescent="0.25">
      <c r="A3673"/>
    </row>
    <row r="3674" spans="1:1" x14ac:dyDescent="0.25">
      <c r="A3674"/>
    </row>
    <row r="3675" spans="1:1" x14ac:dyDescent="0.25">
      <c r="A3675"/>
    </row>
    <row r="3676" spans="1:1" x14ac:dyDescent="0.25">
      <c r="A3676"/>
    </row>
    <row r="3677" spans="1:1" x14ac:dyDescent="0.25">
      <c r="A3677"/>
    </row>
    <row r="3678" spans="1:1" x14ac:dyDescent="0.25">
      <c r="A3678"/>
    </row>
    <row r="3679" spans="1:1" x14ac:dyDescent="0.25">
      <c r="A3679"/>
    </row>
    <row r="3680" spans="1:1" x14ac:dyDescent="0.25">
      <c r="A3680"/>
    </row>
    <row r="3681" spans="1:1" x14ac:dyDescent="0.25">
      <c r="A3681"/>
    </row>
    <row r="3682" spans="1:1" x14ac:dyDescent="0.25">
      <c r="A3682"/>
    </row>
    <row r="3683" spans="1:1" x14ac:dyDescent="0.25">
      <c r="A3683"/>
    </row>
    <row r="3684" spans="1:1" x14ac:dyDescent="0.25">
      <c r="A3684"/>
    </row>
    <row r="3685" spans="1:1" x14ac:dyDescent="0.25">
      <c r="A3685"/>
    </row>
    <row r="3686" spans="1:1" x14ac:dyDescent="0.25">
      <c r="A3686"/>
    </row>
    <row r="3687" spans="1:1" x14ac:dyDescent="0.25">
      <c r="A3687"/>
    </row>
    <row r="3688" spans="1:1" x14ac:dyDescent="0.25">
      <c r="A3688"/>
    </row>
    <row r="3689" spans="1:1" x14ac:dyDescent="0.25">
      <c r="A3689"/>
    </row>
    <row r="3690" spans="1:1" x14ac:dyDescent="0.25">
      <c r="A3690"/>
    </row>
    <row r="3691" spans="1:1" x14ac:dyDescent="0.25">
      <c r="A3691"/>
    </row>
    <row r="3692" spans="1:1" x14ac:dyDescent="0.25">
      <c r="A3692"/>
    </row>
    <row r="3693" spans="1:1" x14ac:dyDescent="0.25">
      <c r="A3693"/>
    </row>
    <row r="3694" spans="1:1" x14ac:dyDescent="0.25">
      <c r="A3694"/>
    </row>
    <row r="3695" spans="1:1" x14ac:dyDescent="0.25">
      <c r="A3695"/>
    </row>
    <row r="3696" spans="1:1" x14ac:dyDescent="0.25">
      <c r="A3696"/>
    </row>
    <row r="3697" spans="1:1" x14ac:dyDescent="0.25">
      <c r="A3697"/>
    </row>
    <row r="3698" spans="1:1" x14ac:dyDescent="0.25">
      <c r="A3698"/>
    </row>
    <row r="3699" spans="1:1" x14ac:dyDescent="0.25">
      <c r="A3699"/>
    </row>
    <row r="3700" spans="1:1" x14ac:dyDescent="0.25">
      <c r="A3700"/>
    </row>
    <row r="3701" spans="1:1" x14ac:dyDescent="0.25">
      <c r="A3701"/>
    </row>
    <row r="3702" spans="1:1" x14ac:dyDescent="0.25">
      <c r="A3702"/>
    </row>
    <row r="3703" spans="1:1" x14ac:dyDescent="0.25">
      <c r="A3703"/>
    </row>
    <row r="3704" spans="1:1" x14ac:dyDescent="0.25">
      <c r="A3704"/>
    </row>
    <row r="3705" spans="1:1" x14ac:dyDescent="0.25">
      <c r="A3705"/>
    </row>
    <row r="3706" spans="1:1" x14ac:dyDescent="0.25">
      <c r="A3706"/>
    </row>
    <row r="3707" spans="1:1" x14ac:dyDescent="0.25">
      <c r="A3707"/>
    </row>
    <row r="3708" spans="1:1" x14ac:dyDescent="0.25">
      <c r="A3708"/>
    </row>
    <row r="3709" spans="1:1" x14ac:dyDescent="0.25">
      <c r="A3709"/>
    </row>
    <row r="3710" spans="1:1" x14ac:dyDescent="0.25">
      <c r="A3710"/>
    </row>
    <row r="3711" spans="1:1" x14ac:dyDescent="0.25">
      <c r="A3711"/>
    </row>
    <row r="3712" spans="1:1" x14ac:dyDescent="0.25">
      <c r="A3712"/>
    </row>
    <row r="3713" spans="1:1" x14ac:dyDescent="0.25">
      <c r="A3713"/>
    </row>
    <row r="3714" spans="1:1" x14ac:dyDescent="0.25">
      <c r="A3714"/>
    </row>
    <row r="3715" spans="1:1" x14ac:dyDescent="0.25">
      <c r="A3715"/>
    </row>
    <row r="3716" spans="1:1" x14ac:dyDescent="0.25">
      <c r="A3716"/>
    </row>
    <row r="3717" spans="1:1" x14ac:dyDescent="0.25">
      <c r="A3717"/>
    </row>
    <row r="3718" spans="1:1" x14ac:dyDescent="0.25">
      <c r="A3718"/>
    </row>
    <row r="3719" spans="1:1" x14ac:dyDescent="0.25">
      <c r="A3719"/>
    </row>
    <row r="3720" spans="1:1" x14ac:dyDescent="0.25">
      <c r="A3720"/>
    </row>
    <row r="3721" spans="1:1" x14ac:dyDescent="0.25">
      <c r="A3721"/>
    </row>
    <row r="3722" spans="1:1" x14ac:dyDescent="0.25">
      <c r="A3722"/>
    </row>
    <row r="3723" spans="1:1" x14ac:dyDescent="0.25">
      <c r="A3723"/>
    </row>
    <row r="3724" spans="1:1" x14ac:dyDescent="0.25">
      <c r="A3724"/>
    </row>
    <row r="3725" spans="1:1" x14ac:dyDescent="0.25">
      <c r="A3725"/>
    </row>
    <row r="3726" spans="1:1" x14ac:dyDescent="0.25">
      <c r="A3726"/>
    </row>
    <row r="3727" spans="1:1" x14ac:dyDescent="0.25">
      <c r="A3727"/>
    </row>
    <row r="3728" spans="1:1" x14ac:dyDescent="0.25">
      <c r="A3728"/>
    </row>
    <row r="3729" spans="1:1" x14ac:dyDescent="0.25">
      <c r="A3729"/>
    </row>
    <row r="3730" spans="1:1" x14ac:dyDescent="0.25">
      <c r="A3730"/>
    </row>
    <row r="3731" spans="1:1" x14ac:dyDescent="0.25">
      <c r="A3731"/>
    </row>
    <row r="3732" spans="1:1" x14ac:dyDescent="0.25">
      <c r="A3732"/>
    </row>
    <row r="3733" spans="1:1" x14ac:dyDescent="0.25">
      <c r="A3733"/>
    </row>
    <row r="3734" spans="1:1" x14ac:dyDescent="0.25">
      <c r="A3734"/>
    </row>
    <row r="3735" spans="1:1" x14ac:dyDescent="0.25">
      <c r="A3735"/>
    </row>
    <row r="3736" spans="1:1" x14ac:dyDescent="0.25">
      <c r="A3736"/>
    </row>
    <row r="3737" spans="1:1" x14ac:dyDescent="0.25">
      <c r="A3737"/>
    </row>
    <row r="3738" spans="1:1" x14ac:dyDescent="0.25">
      <c r="A3738"/>
    </row>
    <row r="3739" spans="1:1" x14ac:dyDescent="0.25">
      <c r="A3739"/>
    </row>
    <row r="3740" spans="1:1" x14ac:dyDescent="0.25">
      <c r="A3740"/>
    </row>
    <row r="3741" spans="1:1" x14ac:dyDescent="0.25">
      <c r="A3741"/>
    </row>
    <row r="3742" spans="1:1" x14ac:dyDescent="0.25">
      <c r="A3742"/>
    </row>
    <row r="3743" spans="1:1" x14ac:dyDescent="0.25">
      <c r="A3743"/>
    </row>
    <row r="3744" spans="1:1" x14ac:dyDescent="0.25">
      <c r="A3744"/>
    </row>
    <row r="3745" spans="1:1" x14ac:dyDescent="0.25">
      <c r="A3745"/>
    </row>
    <row r="3746" spans="1:1" x14ac:dyDescent="0.25">
      <c r="A3746"/>
    </row>
    <row r="3747" spans="1:1" x14ac:dyDescent="0.25">
      <c r="A3747"/>
    </row>
    <row r="3748" spans="1:1" x14ac:dyDescent="0.25">
      <c r="A3748"/>
    </row>
    <row r="3749" spans="1:1" x14ac:dyDescent="0.25">
      <c r="A3749"/>
    </row>
    <row r="3750" spans="1:1" x14ac:dyDescent="0.25">
      <c r="A3750"/>
    </row>
    <row r="3751" spans="1:1" x14ac:dyDescent="0.25">
      <c r="A3751"/>
    </row>
    <row r="3752" spans="1:1" x14ac:dyDescent="0.25">
      <c r="A3752"/>
    </row>
    <row r="3753" spans="1:1" x14ac:dyDescent="0.25">
      <c r="A3753"/>
    </row>
    <row r="3754" spans="1:1" x14ac:dyDescent="0.25">
      <c r="A3754"/>
    </row>
    <row r="3755" spans="1:1" x14ac:dyDescent="0.25">
      <c r="A3755"/>
    </row>
    <row r="3756" spans="1:1" x14ac:dyDescent="0.25">
      <c r="A3756"/>
    </row>
    <row r="3757" spans="1:1" x14ac:dyDescent="0.25">
      <c r="A3757"/>
    </row>
    <row r="3758" spans="1:1" x14ac:dyDescent="0.25">
      <c r="A3758"/>
    </row>
    <row r="3759" spans="1:1" x14ac:dyDescent="0.25">
      <c r="A3759"/>
    </row>
    <row r="3760" spans="1:1" x14ac:dyDescent="0.25">
      <c r="A3760"/>
    </row>
    <row r="3761" spans="1:1" x14ac:dyDescent="0.25">
      <c r="A3761"/>
    </row>
    <row r="3762" spans="1:1" x14ac:dyDescent="0.25">
      <c r="A3762"/>
    </row>
    <row r="3763" spans="1:1" x14ac:dyDescent="0.25">
      <c r="A3763"/>
    </row>
    <row r="3764" spans="1:1" x14ac:dyDescent="0.25">
      <c r="A3764"/>
    </row>
    <row r="3765" spans="1:1" x14ac:dyDescent="0.25">
      <c r="A3765"/>
    </row>
    <row r="3766" spans="1:1" x14ac:dyDescent="0.25">
      <c r="A3766"/>
    </row>
    <row r="3767" spans="1:1" x14ac:dyDescent="0.25">
      <c r="A3767"/>
    </row>
    <row r="3768" spans="1:1" x14ac:dyDescent="0.25">
      <c r="A3768"/>
    </row>
    <row r="3769" spans="1:1" x14ac:dyDescent="0.25">
      <c r="A3769"/>
    </row>
    <row r="3770" spans="1:1" x14ac:dyDescent="0.25">
      <c r="A3770"/>
    </row>
    <row r="3771" spans="1:1" x14ac:dyDescent="0.25">
      <c r="A3771"/>
    </row>
    <row r="3772" spans="1:1" x14ac:dyDescent="0.25">
      <c r="A3772"/>
    </row>
    <row r="3773" spans="1:1" x14ac:dyDescent="0.25">
      <c r="A3773"/>
    </row>
    <row r="3774" spans="1:1" x14ac:dyDescent="0.25">
      <c r="A3774"/>
    </row>
    <row r="3775" spans="1:1" x14ac:dyDescent="0.25">
      <c r="A3775"/>
    </row>
    <row r="3776" spans="1:1" x14ac:dyDescent="0.25">
      <c r="A3776"/>
    </row>
    <row r="3777" spans="1:1" x14ac:dyDescent="0.25">
      <c r="A3777"/>
    </row>
    <row r="3778" spans="1:1" x14ac:dyDescent="0.25">
      <c r="A3778"/>
    </row>
    <row r="3779" spans="1:1" x14ac:dyDescent="0.25">
      <c r="A3779"/>
    </row>
    <row r="3780" spans="1:1" x14ac:dyDescent="0.25">
      <c r="A3780"/>
    </row>
    <row r="3781" spans="1:1" x14ac:dyDescent="0.25">
      <c r="A3781"/>
    </row>
    <row r="3782" spans="1:1" x14ac:dyDescent="0.25">
      <c r="A3782"/>
    </row>
    <row r="3783" spans="1:1" x14ac:dyDescent="0.25">
      <c r="A3783"/>
    </row>
    <row r="3784" spans="1:1" x14ac:dyDescent="0.25">
      <c r="A3784"/>
    </row>
    <row r="3785" spans="1:1" x14ac:dyDescent="0.25">
      <c r="A3785"/>
    </row>
    <row r="3786" spans="1:1" x14ac:dyDescent="0.25">
      <c r="A3786"/>
    </row>
    <row r="3787" spans="1:1" x14ac:dyDescent="0.25">
      <c r="A3787"/>
    </row>
    <row r="3788" spans="1:1" x14ac:dyDescent="0.25">
      <c r="A3788"/>
    </row>
    <row r="3789" spans="1:1" x14ac:dyDescent="0.25">
      <c r="A3789"/>
    </row>
    <row r="3790" spans="1:1" x14ac:dyDescent="0.25">
      <c r="A3790"/>
    </row>
    <row r="3791" spans="1:1" x14ac:dyDescent="0.25">
      <c r="A3791"/>
    </row>
    <row r="3792" spans="1:1" x14ac:dyDescent="0.25">
      <c r="A3792"/>
    </row>
    <row r="3793" spans="1:1" x14ac:dyDescent="0.25">
      <c r="A3793"/>
    </row>
    <row r="3794" spans="1:1" x14ac:dyDescent="0.25">
      <c r="A3794"/>
    </row>
    <row r="3795" spans="1:1" x14ac:dyDescent="0.25">
      <c r="A3795"/>
    </row>
    <row r="3796" spans="1:1" x14ac:dyDescent="0.25">
      <c r="A3796"/>
    </row>
    <row r="3797" spans="1:1" x14ac:dyDescent="0.25">
      <c r="A3797"/>
    </row>
    <row r="3798" spans="1:1" x14ac:dyDescent="0.25">
      <c r="A3798"/>
    </row>
    <row r="3799" spans="1:1" x14ac:dyDescent="0.25">
      <c r="A3799"/>
    </row>
    <row r="3800" spans="1:1" x14ac:dyDescent="0.25">
      <c r="A3800"/>
    </row>
    <row r="3801" spans="1:1" x14ac:dyDescent="0.25">
      <c r="A3801"/>
    </row>
    <row r="3802" spans="1:1" x14ac:dyDescent="0.25">
      <c r="A3802"/>
    </row>
    <row r="3803" spans="1:1" x14ac:dyDescent="0.25">
      <c r="A3803"/>
    </row>
    <row r="3804" spans="1:1" x14ac:dyDescent="0.25">
      <c r="A3804"/>
    </row>
    <row r="3805" spans="1:1" x14ac:dyDescent="0.25">
      <c r="A3805"/>
    </row>
    <row r="3806" spans="1:1" x14ac:dyDescent="0.25">
      <c r="A3806"/>
    </row>
    <row r="3807" spans="1:1" x14ac:dyDescent="0.25">
      <c r="A3807"/>
    </row>
    <row r="3808" spans="1:1" x14ac:dyDescent="0.25">
      <c r="A3808"/>
    </row>
    <row r="3809" spans="1:1" x14ac:dyDescent="0.25">
      <c r="A3809"/>
    </row>
    <row r="3810" spans="1:1" x14ac:dyDescent="0.25">
      <c r="A3810"/>
    </row>
    <row r="3811" spans="1:1" x14ac:dyDescent="0.25">
      <c r="A3811"/>
    </row>
    <row r="3812" spans="1:1" x14ac:dyDescent="0.25">
      <c r="A3812"/>
    </row>
    <row r="3813" spans="1:1" x14ac:dyDescent="0.25">
      <c r="A3813"/>
    </row>
    <row r="3814" spans="1:1" x14ac:dyDescent="0.25">
      <c r="A3814"/>
    </row>
    <row r="3815" spans="1:1" x14ac:dyDescent="0.25">
      <c r="A3815"/>
    </row>
    <row r="3816" spans="1:1" x14ac:dyDescent="0.25">
      <c r="A3816"/>
    </row>
    <row r="3817" spans="1:1" x14ac:dyDescent="0.25">
      <c r="A3817"/>
    </row>
    <row r="3818" spans="1:1" x14ac:dyDescent="0.25">
      <c r="A3818"/>
    </row>
    <row r="3819" spans="1:1" x14ac:dyDescent="0.25">
      <c r="A3819"/>
    </row>
    <row r="3820" spans="1:1" x14ac:dyDescent="0.25">
      <c r="A3820"/>
    </row>
    <row r="3821" spans="1:1" x14ac:dyDescent="0.25">
      <c r="A3821"/>
    </row>
    <row r="3822" spans="1:1" x14ac:dyDescent="0.25">
      <c r="A3822"/>
    </row>
    <row r="3823" spans="1:1" x14ac:dyDescent="0.25">
      <c r="A3823"/>
    </row>
    <row r="3824" spans="1:1" x14ac:dyDescent="0.25">
      <c r="A3824"/>
    </row>
    <row r="3825" spans="1:1" x14ac:dyDescent="0.25">
      <c r="A3825"/>
    </row>
    <row r="3826" spans="1:1" x14ac:dyDescent="0.25">
      <c r="A3826"/>
    </row>
    <row r="3827" spans="1:1" x14ac:dyDescent="0.25">
      <c r="A3827"/>
    </row>
    <row r="3828" spans="1:1" x14ac:dyDescent="0.25">
      <c r="A3828"/>
    </row>
    <row r="3829" spans="1:1" x14ac:dyDescent="0.25">
      <c r="A3829"/>
    </row>
    <row r="3830" spans="1:1" x14ac:dyDescent="0.25">
      <c r="A3830"/>
    </row>
    <row r="3831" spans="1:1" x14ac:dyDescent="0.25">
      <c r="A3831"/>
    </row>
    <row r="3832" spans="1:1" x14ac:dyDescent="0.25">
      <c r="A3832"/>
    </row>
    <row r="3833" spans="1:1" x14ac:dyDescent="0.25">
      <c r="A3833"/>
    </row>
    <row r="3834" spans="1:1" x14ac:dyDescent="0.25">
      <c r="A3834"/>
    </row>
    <row r="3835" spans="1:1" x14ac:dyDescent="0.25">
      <c r="A3835"/>
    </row>
    <row r="3836" spans="1:1" x14ac:dyDescent="0.25">
      <c r="A3836"/>
    </row>
    <row r="3837" spans="1:1" x14ac:dyDescent="0.25">
      <c r="A3837"/>
    </row>
    <row r="3838" spans="1:1" x14ac:dyDescent="0.25">
      <c r="A3838"/>
    </row>
    <row r="3839" spans="1:1" x14ac:dyDescent="0.25">
      <c r="A3839"/>
    </row>
    <row r="3840" spans="1:1" x14ac:dyDescent="0.25">
      <c r="A3840"/>
    </row>
    <row r="3841" spans="1:1" x14ac:dyDescent="0.25">
      <c r="A3841"/>
    </row>
    <row r="3842" spans="1:1" x14ac:dyDescent="0.25">
      <c r="A3842"/>
    </row>
    <row r="3843" spans="1:1" x14ac:dyDescent="0.25">
      <c r="A3843"/>
    </row>
    <row r="3844" spans="1:1" x14ac:dyDescent="0.25">
      <c r="A3844"/>
    </row>
    <row r="3845" spans="1:1" x14ac:dyDescent="0.25">
      <c r="A3845"/>
    </row>
    <row r="3846" spans="1:1" x14ac:dyDescent="0.25">
      <c r="A3846"/>
    </row>
    <row r="3847" spans="1:1" x14ac:dyDescent="0.25">
      <c r="A3847"/>
    </row>
    <row r="3848" spans="1:1" x14ac:dyDescent="0.25">
      <c r="A3848"/>
    </row>
    <row r="3849" spans="1:1" x14ac:dyDescent="0.25">
      <c r="A3849"/>
    </row>
    <row r="3850" spans="1:1" x14ac:dyDescent="0.25">
      <c r="A3850"/>
    </row>
    <row r="3851" spans="1:1" x14ac:dyDescent="0.25">
      <c r="A3851"/>
    </row>
    <row r="3852" spans="1:1" x14ac:dyDescent="0.25">
      <c r="A3852"/>
    </row>
    <row r="3853" spans="1:1" x14ac:dyDescent="0.25">
      <c r="A3853"/>
    </row>
    <row r="3854" spans="1:1" x14ac:dyDescent="0.25">
      <c r="A3854"/>
    </row>
    <row r="3855" spans="1:1" x14ac:dyDescent="0.25">
      <c r="A3855"/>
    </row>
    <row r="3856" spans="1:1" x14ac:dyDescent="0.25">
      <c r="A3856"/>
    </row>
    <row r="3857" spans="1:1" x14ac:dyDescent="0.25">
      <c r="A3857"/>
    </row>
    <row r="3858" spans="1:1" x14ac:dyDescent="0.25">
      <c r="A3858"/>
    </row>
    <row r="3859" spans="1:1" x14ac:dyDescent="0.25">
      <c r="A3859"/>
    </row>
    <row r="3860" spans="1:1" x14ac:dyDescent="0.25">
      <c r="A3860"/>
    </row>
    <row r="3861" spans="1:1" x14ac:dyDescent="0.25">
      <c r="A3861"/>
    </row>
    <row r="3862" spans="1:1" x14ac:dyDescent="0.25">
      <c r="A3862"/>
    </row>
    <row r="3863" spans="1:1" x14ac:dyDescent="0.25">
      <c r="A3863"/>
    </row>
    <row r="3864" spans="1:1" x14ac:dyDescent="0.25">
      <c r="A3864"/>
    </row>
    <row r="3865" spans="1:1" x14ac:dyDescent="0.25">
      <c r="A3865"/>
    </row>
    <row r="3866" spans="1:1" x14ac:dyDescent="0.25">
      <c r="A3866"/>
    </row>
    <row r="3867" spans="1:1" x14ac:dyDescent="0.25">
      <c r="A3867"/>
    </row>
    <row r="3868" spans="1:1" x14ac:dyDescent="0.25">
      <c r="A3868"/>
    </row>
    <row r="3869" spans="1:1" x14ac:dyDescent="0.25">
      <c r="A3869"/>
    </row>
    <row r="3870" spans="1:1" x14ac:dyDescent="0.25">
      <c r="A3870"/>
    </row>
    <row r="3871" spans="1:1" x14ac:dyDescent="0.25">
      <c r="A3871"/>
    </row>
    <row r="3872" spans="1:1" x14ac:dyDescent="0.25">
      <c r="A3872"/>
    </row>
    <row r="3873" spans="1:1" x14ac:dyDescent="0.25">
      <c r="A3873"/>
    </row>
    <row r="3874" spans="1:1" x14ac:dyDescent="0.25">
      <c r="A3874"/>
    </row>
    <row r="3875" spans="1:1" x14ac:dyDescent="0.25">
      <c r="A3875"/>
    </row>
    <row r="3876" spans="1:1" x14ac:dyDescent="0.25">
      <c r="A3876"/>
    </row>
    <row r="3877" spans="1:1" x14ac:dyDescent="0.25">
      <c r="A3877"/>
    </row>
    <row r="3878" spans="1:1" x14ac:dyDescent="0.25">
      <c r="A3878"/>
    </row>
    <row r="3879" spans="1:1" x14ac:dyDescent="0.25">
      <c r="A3879"/>
    </row>
    <row r="3880" spans="1:1" x14ac:dyDescent="0.25">
      <c r="A3880"/>
    </row>
    <row r="3881" spans="1:1" x14ac:dyDescent="0.25">
      <c r="A3881"/>
    </row>
    <row r="3882" spans="1:1" x14ac:dyDescent="0.25">
      <c r="A3882"/>
    </row>
    <row r="3883" spans="1:1" x14ac:dyDescent="0.25">
      <c r="A3883"/>
    </row>
    <row r="3884" spans="1:1" x14ac:dyDescent="0.25">
      <c r="A3884"/>
    </row>
    <row r="3885" spans="1:1" x14ac:dyDescent="0.25">
      <c r="A3885"/>
    </row>
    <row r="3886" spans="1:1" x14ac:dyDescent="0.25">
      <c r="A3886"/>
    </row>
    <row r="3887" spans="1:1" x14ac:dyDescent="0.25">
      <c r="A3887"/>
    </row>
    <row r="3888" spans="1:1" x14ac:dyDescent="0.25">
      <c r="A3888"/>
    </row>
    <row r="3889" spans="1:1" x14ac:dyDescent="0.25">
      <c r="A3889"/>
    </row>
    <row r="3890" spans="1:1" x14ac:dyDescent="0.25">
      <c r="A3890"/>
    </row>
    <row r="3891" spans="1:1" x14ac:dyDescent="0.25">
      <c r="A3891"/>
    </row>
    <row r="3892" spans="1:1" x14ac:dyDescent="0.25">
      <c r="A3892"/>
    </row>
    <row r="3893" spans="1:1" x14ac:dyDescent="0.25">
      <c r="A3893"/>
    </row>
    <row r="3894" spans="1:1" x14ac:dyDescent="0.25">
      <c r="A3894"/>
    </row>
    <row r="3895" spans="1:1" x14ac:dyDescent="0.25">
      <c r="A3895"/>
    </row>
    <row r="3896" spans="1:1" x14ac:dyDescent="0.25">
      <c r="A3896"/>
    </row>
    <row r="3897" spans="1:1" x14ac:dyDescent="0.25">
      <c r="A3897"/>
    </row>
    <row r="3898" spans="1:1" x14ac:dyDescent="0.25">
      <c r="A3898"/>
    </row>
    <row r="3899" spans="1:1" x14ac:dyDescent="0.25">
      <c r="A3899"/>
    </row>
    <row r="3900" spans="1:1" x14ac:dyDescent="0.25">
      <c r="A3900"/>
    </row>
    <row r="3901" spans="1:1" x14ac:dyDescent="0.25">
      <c r="A3901"/>
    </row>
    <row r="3902" spans="1:1" x14ac:dyDescent="0.25">
      <c r="A3902"/>
    </row>
    <row r="3903" spans="1:1" x14ac:dyDescent="0.25">
      <c r="A3903"/>
    </row>
    <row r="3904" spans="1:1" x14ac:dyDescent="0.25">
      <c r="A3904"/>
    </row>
    <row r="3905" spans="1:1" x14ac:dyDescent="0.25">
      <c r="A3905"/>
    </row>
    <row r="3906" spans="1:1" x14ac:dyDescent="0.25">
      <c r="A3906"/>
    </row>
    <row r="3907" spans="1:1" x14ac:dyDescent="0.25">
      <c r="A3907"/>
    </row>
    <row r="3908" spans="1:1" x14ac:dyDescent="0.25">
      <c r="A3908"/>
    </row>
    <row r="3909" spans="1:1" x14ac:dyDescent="0.25">
      <c r="A3909"/>
    </row>
    <row r="3910" spans="1:1" x14ac:dyDescent="0.25">
      <c r="A3910"/>
    </row>
    <row r="3911" spans="1:1" x14ac:dyDescent="0.25">
      <c r="A3911"/>
    </row>
    <row r="3912" spans="1:1" x14ac:dyDescent="0.25">
      <c r="A3912"/>
    </row>
    <row r="3913" spans="1:1" x14ac:dyDescent="0.25">
      <c r="A3913"/>
    </row>
    <row r="3914" spans="1:1" x14ac:dyDescent="0.25">
      <c r="A3914"/>
    </row>
    <row r="3915" spans="1:1" x14ac:dyDescent="0.25">
      <c r="A3915"/>
    </row>
    <row r="3916" spans="1:1" x14ac:dyDescent="0.25">
      <c r="A3916"/>
    </row>
    <row r="3917" spans="1:1" x14ac:dyDescent="0.25">
      <c r="A3917"/>
    </row>
    <row r="3918" spans="1:1" x14ac:dyDescent="0.25">
      <c r="A3918"/>
    </row>
    <row r="3919" spans="1:1" x14ac:dyDescent="0.25">
      <c r="A3919"/>
    </row>
    <row r="3920" spans="1:1" x14ac:dyDescent="0.25">
      <c r="A3920"/>
    </row>
    <row r="3921" spans="1:1" x14ac:dyDescent="0.25">
      <c r="A3921"/>
    </row>
    <row r="3922" spans="1:1" x14ac:dyDescent="0.25">
      <c r="A3922"/>
    </row>
    <row r="3923" spans="1:1" x14ac:dyDescent="0.25">
      <c r="A3923"/>
    </row>
    <row r="3924" spans="1:1" x14ac:dyDescent="0.25">
      <c r="A3924"/>
    </row>
    <row r="3925" spans="1:1" x14ac:dyDescent="0.25">
      <c r="A3925"/>
    </row>
    <row r="3926" spans="1:1" x14ac:dyDescent="0.25">
      <c r="A3926"/>
    </row>
    <row r="3927" spans="1:1" x14ac:dyDescent="0.25">
      <c r="A3927"/>
    </row>
    <row r="3928" spans="1:1" x14ac:dyDescent="0.25">
      <c r="A3928"/>
    </row>
    <row r="3929" spans="1:1" x14ac:dyDescent="0.25">
      <c r="A3929"/>
    </row>
    <row r="3930" spans="1:1" x14ac:dyDescent="0.25">
      <c r="A3930"/>
    </row>
    <row r="3931" spans="1:1" x14ac:dyDescent="0.25">
      <c r="A3931"/>
    </row>
    <row r="3932" spans="1:1" x14ac:dyDescent="0.25">
      <c r="A3932"/>
    </row>
    <row r="3933" spans="1:1" x14ac:dyDescent="0.25">
      <c r="A3933"/>
    </row>
    <row r="3934" spans="1:1" x14ac:dyDescent="0.25">
      <c r="A3934"/>
    </row>
    <row r="3935" spans="1:1" x14ac:dyDescent="0.25">
      <c r="A3935"/>
    </row>
    <row r="3936" spans="1:1" x14ac:dyDescent="0.25">
      <c r="A3936"/>
    </row>
    <row r="3937" spans="1:1" x14ac:dyDescent="0.25">
      <c r="A3937"/>
    </row>
    <row r="3938" spans="1:1" x14ac:dyDescent="0.25">
      <c r="A3938"/>
    </row>
    <row r="3939" spans="1:1" x14ac:dyDescent="0.25">
      <c r="A3939"/>
    </row>
    <row r="3940" spans="1:1" x14ac:dyDescent="0.25">
      <c r="A3940"/>
    </row>
    <row r="3941" spans="1:1" x14ac:dyDescent="0.25">
      <c r="A3941"/>
    </row>
    <row r="3942" spans="1:1" x14ac:dyDescent="0.25">
      <c r="A3942"/>
    </row>
    <row r="3943" spans="1:1" x14ac:dyDescent="0.25">
      <c r="A3943"/>
    </row>
    <row r="3944" spans="1:1" x14ac:dyDescent="0.25">
      <c r="A3944"/>
    </row>
    <row r="3945" spans="1:1" x14ac:dyDescent="0.25">
      <c r="A3945"/>
    </row>
    <row r="3946" spans="1:1" x14ac:dyDescent="0.25">
      <c r="A3946"/>
    </row>
    <row r="3947" spans="1:1" x14ac:dyDescent="0.25">
      <c r="A3947"/>
    </row>
    <row r="3948" spans="1:1" x14ac:dyDescent="0.25">
      <c r="A3948"/>
    </row>
    <row r="3949" spans="1:1" x14ac:dyDescent="0.25">
      <c r="A3949"/>
    </row>
    <row r="3950" spans="1:1" x14ac:dyDescent="0.25">
      <c r="A3950"/>
    </row>
    <row r="3951" spans="1:1" x14ac:dyDescent="0.25">
      <c r="A3951"/>
    </row>
    <row r="3952" spans="1:1" x14ac:dyDescent="0.25">
      <c r="A3952"/>
    </row>
    <row r="3953" spans="1:1" x14ac:dyDescent="0.25">
      <c r="A3953"/>
    </row>
    <row r="3954" spans="1:1" x14ac:dyDescent="0.25">
      <c r="A3954"/>
    </row>
    <row r="3955" spans="1:1" x14ac:dyDescent="0.25">
      <c r="A3955"/>
    </row>
    <row r="3956" spans="1:1" x14ac:dyDescent="0.25">
      <c r="A3956"/>
    </row>
    <row r="3957" spans="1:1" x14ac:dyDescent="0.25">
      <c r="A3957"/>
    </row>
    <row r="3958" spans="1:1" x14ac:dyDescent="0.25">
      <c r="A3958"/>
    </row>
    <row r="3959" spans="1:1" x14ac:dyDescent="0.25">
      <c r="A3959"/>
    </row>
    <row r="3960" spans="1:1" x14ac:dyDescent="0.25">
      <c r="A3960"/>
    </row>
    <row r="3961" spans="1:1" x14ac:dyDescent="0.25">
      <c r="A3961"/>
    </row>
    <row r="3962" spans="1:1" x14ac:dyDescent="0.25">
      <c r="A3962"/>
    </row>
    <row r="3963" spans="1:1" x14ac:dyDescent="0.25">
      <c r="A3963"/>
    </row>
    <row r="3964" spans="1:1" x14ac:dyDescent="0.25">
      <c r="A3964"/>
    </row>
    <row r="3965" spans="1:1" x14ac:dyDescent="0.25">
      <c r="A3965"/>
    </row>
    <row r="3966" spans="1:1" x14ac:dyDescent="0.25">
      <c r="A3966"/>
    </row>
    <row r="3967" spans="1:1" x14ac:dyDescent="0.25">
      <c r="A3967"/>
    </row>
    <row r="3968" spans="1:1" x14ac:dyDescent="0.25">
      <c r="A3968"/>
    </row>
    <row r="3969" spans="1:1" x14ac:dyDescent="0.25">
      <c r="A3969"/>
    </row>
    <row r="3970" spans="1:1" x14ac:dyDescent="0.25">
      <c r="A3970"/>
    </row>
    <row r="3971" spans="1:1" x14ac:dyDescent="0.25">
      <c r="A3971"/>
    </row>
    <row r="3972" spans="1:1" x14ac:dyDescent="0.25">
      <c r="A3972"/>
    </row>
    <row r="3973" spans="1:1" x14ac:dyDescent="0.25">
      <c r="A3973"/>
    </row>
    <row r="3974" spans="1:1" x14ac:dyDescent="0.25">
      <c r="A3974"/>
    </row>
    <row r="3975" spans="1:1" x14ac:dyDescent="0.25">
      <c r="A3975"/>
    </row>
    <row r="3976" spans="1:1" x14ac:dyDescent="0.25">
      <c r="A3976"/>
    </row>
    <row r="3977" spans="1:1" x14ac:dyDescent="0.25">
      <c r="A3977"/>
    </row>
    <row r="3978" spans="1:1" x14ac:dyDescent="0.25">
      <c r="A3978"/>
    </row>
    <row r="3979" spans="1:1" x14ac:dyDescent="0.25">
      <c r="A3979"/>
    </row>
    <row r="3980" spans="1:1" x14ac:dyDescent="0.25">
      <c r="A3980"/>
    </row>
    <row r="3981" spans="1:1" x14ac:dyDescent="0.25">
      <c r="A3981"/>
    </row>
    <row r="3982" spans="1:1" x14ac:dyDescent="0.25">
      <c r="A3982"/>
    </row>
    <row r="3983" spans="1:1" x14ac:dyDescent="0.25">
      <c r="A3983"/>
    </row>
    <row r="3984" spans="1:1" x14ac:dyDescent="0.25">
      <c r="A3984"/>
    </row>
    <row r="3985" spans="1:1" x14ac:dyDescent="0.25">
      <c r="A3985"/>
    </row>
    <row r="3986" spans="1:1" x14ac:dyDescent="0.25">
      <c r="A3986"/>
    </row>
    <row r="3987" spans="1:1" x14ac:dyDescent="0.25">
      <c r="A3987"/>
    </row>
    <row r="3988" spans="1:1" x14ac:dyDescent="0.25">
      <c r="A3988"/>
    </row>
    <row r="3989" spans="1:1" x14ac:dyDescent="0.25">
      <c r="A3989"/>
    </row>
    <row r="3990" spans="1:1" x14ac:dyDescent="0.25">
      <c r="A3990"/>
    </row>
    <row r="3991" spans="1:1" x14ac:dyDescent="0.25">
      <c r="A3991"/>
    </row>
    <row r="3992" spans="1:1" x14ac:dyDescent="0.25">
      <c r="A3992"/>
    </row>
    <row r="3993" spans="1:1" x14ac:dyDescent="0.25">
      <c r="A3993"/>
    </row>
    <row r="3994" spans="1:1" x14ac:dyDescent="0.25">
      <c r="A3994"/>
    </row>
    <row r="3995" spans="1:1" x14ac:dyDescent="0.25">
      <c r="A3995"/>
    </row>
    <row r="3996" spans="1:1" x14ac:dyDescent="0.25">
      <c r="A3996"/>
    </row>
    <row r="3997" spans="1:1" x14ac:dyDescent="0.25">
      <c r="A3997"/>
    </row>
    <row r="3998" spans="1:1" x14ac:dyDescent="0.25">
      <c r="A3998"/>
    </row>
    <row r="3999" spans="1:1" x14ac:dyDescent="0.25">
      <c r="A3999"/>
    </row>
    <row r="4000" spans="1:1" x14ac:dyDescent="0.25">
      <c r="A4000"/>
    </row>
    <row r="4001" spans="1:1" x14ac:dyDescent="0.25">
      <c r="A4001"/>
    </row>
    <row r="4002" spans="1:1" x14ac:dyDescent="0.25">
      <c r="A4002"/>
    </row>
    <row r="4003" spans="1:1" x14ac:dyDescent="0.25">
      <c r="A4003"/>
    </row>
    <row r="4004" spans="1:1" x14ac:dyDescent="0.25">
      <c r="A4004"/>
    </row>
    <row r="4005" spans="1:1" x14ac:dyDescent="0.25">
      <c r="A4005"/>
    </row>
    <row r="4006" spans="1:1" x14ac:dyDescent="0.25">
      <c r="A4006"/>
    </row>
    <row r="4007" spans="1:1" x14ac:dyDescent="0.25">
      <c r="A4007"/>
    </row>
    <row r="4008" spans="1:1" x14ac:dyDescent="0.25">
      <c r="A4008"/>
    </row>
    <row r="4009" spans="1:1" x14ac:dyDescent="0.25">
      <c r="A4009"/>
    </row>
    <row r="4010" spans="1:1" x14ac:dyDescent="0.25">
      <c r="A4010"/>
    </row>
    <row r="4011" spans="1:1" x14ac:dyDescent="0.25">
      <c r="A4011"/>
    </row>
    <row r="4012" spans="1:1" x14ac:dyDescent="0.25">
      <c r="A4012"/>
    </row>
    <row r="4013" spans="1:1" x14ac:dyDescent="0.25">
      <c r="A4013"/>
    </row>
    <row r="4014" spans="1:1" x14ac:dyDescent="0.25">
      <c r="A4014"/>
    </row>
    <row r="4015" spans="1:1" x14ac:dyDescent="0.25">
      <c r="A4015"/>
    </row>
    <row r="4016" spans="1:1" x14ac:dyDescent="0.25">
      <c r="A4016"/>
    </row>
    <row r="4017" spans="1:1" x14ac:dyDescent="0.25">
      <c r="A4017"/>
    </row>
    <row r="4018" spans="1:1" x14ac:dyDescent="0.25">
      <c r="A4018"/>
    </row>
    <row r="4019" spans="1:1" x14ac:dyDescent="0.25">
      <c r="A4019"/>
    </row>
    <row r="4020" spans="1:1" x14ac:dyDescent="0.25">
      <c r="A4020"/>
    </row>
    <row r="4021" spans="1:1" x14ac:dyDescent="0.25">
      <c r="A4021"/>
    </row>
    <row r="4022" spans="1:1" x14ac:dyDescent="0.25">
      <c r="A4022"/>
    </row>
    <row r="4023" spans="1:1" x14ac:dyDescent="0.25">
      <c r="A4023"/>
    </row>
    <row r="4024" spans="1:1" x14ac:dyDescent="0.25">
      <c r="A4024"/>
    </row>
    <row r="4025" spans="1:1" x14ac:dyDescent="0.25">
      <c r="A4025"/>
    </row>
    <row r="4026" spans="1:1" x14ac:dyDescent="0.25">
      <c r="A4026"/>
    </row>
    <row r="4027" spans="1:1" x14ac:dyDescent="0.25">
      <c r="A4027"/>
    </row>
    <row r="4028" spans="1:1" x14ac:dyDescent="0.25">
      <c r="A4028"/>
    </row>
    <row r="4029" spans="1:1" x14ac:dyDescent="0.25">
      <c r="A4029"/>
    </row>
    <row r="4030" spans="1:1" x14ac:dyDescent="0.25">
      <c r="A4030"/>
    </row>
    <row r="4031" spans="1:1" x14ac:dyDescent="0.25">
      <c r="A4031"/>
    </row>
    <row r="4032" spans="1:1" x14ac:dyDescent="0.25">
      <c r="A4032"/>
    </row>
    <row r="4033" spans="1:1" x14ac:dyDescent="0.25">
      <c r="A4033"/>
    </row>
    <row r="4034" spans="1:1" x14ac:dyDescent="0.25">
      <c r="A4034"/>
    </row>
    <row r="4035" spans="1:1" x14ac:dyDescent="0.25">
      <c r="A4035"/>
    </row>
    <row r="4036" spans="1:1" x14ac:dyDescent="0.25">
      <c r="A4036"/>
    </row>
    <row r="4037" spans="1:1" x14ac:dyDescent="0.25">
      <c r="A4037"/>
    </row>
    <row r="4038" spans="1:1" x14ac:dyDescent="0.25">
      <c r="A4038"/>
    </row>
    <row r="4039" spans="1:1" x14ac:dyDescent="0.25">
      <c r="A4039"/>
    </row>
    <row r="4040" spans="1:1" x14ac:dyDescent="0.25">
      <c r="A4040"/>
    </row>
    <row r="4041" spans="1:1" x14ac:dyDescent="0.25">
      <c r="A4041"/>
    </row>
    <row r="4042" spans="1:1" x14ac:dyDescent="0.25">
      <c r="A4042"/>
    </row>
    <row r="4043" spans="1:1" x14ac:dyDescent="0.25">
      <c r="A4043"/>
    </row>
    <row r="4044" spans="1:1" x14ac:dyDescent="0.25">
      <c r="A4044"/>
    </row>
    <row r="4045" spans="1:1" x14ac:dyDescent="0.25">
      <c r="A4045"/>
    </row>
    <row r="4046" spans="1:1" x14ac:dyDescent="0.25">
      <c r="A4046"/>
    </row>
    <row r="4047" spans="1:1" x14ac:dyDescent="0.25">
      <c r="A4047"/>
    </row>
    <row r="4048" spans="1:1" x14ac:dyDescent="0.25">
      <c r="A4048"/>
    </row>
    <row r="4049" spans="1:1" x14ac:dyDescent="0.25">
      <c r="A4049"/>
    </row>
    <row r="4050" spans="1:1" x14ac:dyDescent="0.25">
      <c r="A4050"/>
    </row>
    <row r="4051" spans="1:1" x14ac:dyDescent="0.25">
      <c r="A4051"/>
    </row>
    <row r="4052" spans="1:1" x14ac:dyDescent="0.25">
      <c r="A4052"/>
    </row>
    <row r="4053" spans="1:1" x14ac:dyDescent="0.25">
      <c r="A4053"/>
    </row>
    <row r="4054" spans="1:1" x14ac:dyDescent="0.25">
      <c r="A4054"/>
    </row>
    <row r="4055" spans="1:1" x14ac:dyDescent="0.25">
      <c r="A4055"/>
    </row>
    <row r="4056" spans="1:1" x14ac:dyDescent="0.25">
      <c r="A4056"/>
    </row>
    <row r="4057" spans="1:1" x14ac:dyDescent="0.25">
      <c r="A4057"/>
    </row>
    <row r="4058" spans="1:1" x14ac:dyDescent="0.25">
      <c r="A4058"/>
    </row>
    <row r="4059" spans="1:1" x14ac:dyDescent="0.25">
      <c r="A4059"/>
    </row>
    <row r="4060" spans="1:1" x14ac:dyDescent="0.25">
      <c r="A4060"/>
    </row>
    <row r="4061" spans="1:1" x14ac:dyDescent="0.25">
      <c r="A4061"/>
    </row>
    <row r="4062" spans="1:1" x14ac:dyDescent="0.25">
      <c r="A4062"/>
    </row>
    <row r="4063" spans="1:1" x14ac:dyDescent="0.25">
      <c r="A4063"/>
    </row>
    <row r="4064" spans="1:1" x14ac:dyDescent="0.25">
      <c r="A4064"/>
    </row>
    <row r="4065" spans="1:1" x14ac:dyDescent="0.25">
      <c r="A4065"/>
    </row>
    <row r="4066" spans="1:1" x14ac:dyDescent="0.25">
      <c r="A4066"/>
    </row>
    <row r="4067" spans="1:1" x14ac:dyDescent="0.25">
      <c r="A4067"/>
    </row>
    <row r="4068" spans="1:1" x14ac:dyDescent="0.25">
      <c r="A4068"/>
    </row>
    <row r="4069" spans="1:1" x14ac:dyDescent="0.25">
      <c r="A4069"/>
    </row>
    <row r="4070" spans="1:1" x14ac:dyDescent="0.25">
      <c r="A4070"/>
    </row>
    <row r="4071" spans="1:1" x14ac:dyDescent="0.25">
      <c r="A4071"/>
    </row>
    <row r="4072" spans="1:1" x14ac:dyDescent="0.25">
      <c r="A4072"/>
    </row>
    <row r="4073" spans="1:1" x14ac:dyDescent="0.25">
      <c r="A4073"/>
    </row>
    <row r="4074" spans="1:1" x14ac:dyDescent="0.25">
      <c r="A4074"/>
    </row>
    <row r="4075" spans="1:1" x14ac:dyDescent="0.25">
      <c r="A4075"/>
    </row>
    <row r="4076" spans="1:1" x14ac:dyDescent="0.25">
      <c r="A4076"/>
    </row>
    <row r="4077" spans="1:1" x14ac:dyDescent="0.25">
      <c r="A4077"/>
    </row>
    <row r="4078" spans="1:1" x14ac:dyDescent="0.25">
      <c r="A4078"/>
    </row>
    <row r="4079" spans="1:1" x14ac:dyDescent="0.25">
      <c r="A4079"/>
    </row>
    <row r="4080" spans="1:1" x14ac:dyDescent="0.25">
      <c r="A4080"/>
    </row>
    <row r="4081" spans="1:1" x14ac:dyDescent="0.25">
      <c r="A4081"/>
    </row>
    <row r="4082" spans="1:1" x14ac:dyDescent="0.25">
      <c r="A4082"/>
    </row>
    <row r="4083" spans="1:1" x14ac:dyDescent="0.25">
      <c r="A4083"/>
    </row>
    <row r="4084" spans="1:1" x14ac:dyDescent="0.25">
      <c r="A4084"/>
    </row>
    <row r="4085" spans="1:1" x14ac:dyDescent="0.25">
      <c r="A4085"/>
    </row>
    <row r="4086" spans="1:1" x14ac:dyDescent="0.25">
      <c r="A4086"/>
    </row>
    <row r="4087" spans="1:1" x14ac:dyDescent="0.25">
      <c r="A4087"/>
    </row>
    <row r="4088" spans="1:1" x14ac:dyDescent="0.25">
      <c r="A4088"/>
    </row>
    <row r="4089" spans="1:1" x14ac:dyDescent="0.25">
      <c r="A4089"/>
    </row>
    <row r="4090" spans="1:1" x14ac:dyDescent="0.25">
      <c r="A4090"/>
    </row>
    <row r="4091" spans="1:1" x14ac:dyDescent="0.25">
      <c r="A4091"/>
    </row>
    <row r="4092" spans="1:1" x14ac:dyDescent="0.25">
      <c r="A4092"/>
    </row>
    <row r="4093" spans="1:1" x14ac:dyDescent="0.25">
      <c r="A4093"/>
    </row>
    <row r="4094" spans="1:1" x14ac:dyDescent="0.25">
      <c r="A4094"/>
    </row>
    <row r="4095" spans="1:1" x14ac:dyDescent="0.25">
      <c r="A4095"/>
    </row>
    <row r="4096" spans="1:1" x14ac:dyDescent="0.25">
      <c r="A4096"/>
    </row>
    <row r="4097" spans="1:1" x14ac:dyDescent="0.25">
      <c r="A4097"/>
    </row>
    <row r="4098" spans="1:1" x14ac:dyDescent="0.25">
      <c r="A4098"/>
    </row>
    <row r="4099" spans="1:1" x14ac:dyDescent="0.25">
      <c r="A4099"/>
    </row>
    <row r="4100" spans="1:1" x14ac:dyDescent="0.25">
      <c r="A4100"/>
    </row>
    <row r="4101" spans="1:1" x14ac:dyDescent="0.25">
      <c r="A4101"/>
    </row>
    <row r="4102" spans="1:1" x14ac:dyDescent="0.25">
      <c r="A4102"/>
    </row>
    <row r="4103" spans="1:1" x14ac:dyDescent="0.25">
      <c r="A4103"/>
    </row>
    <row r="4104" spans="1:1" x14ac:dyDescent="0.25">
      <c r="A4104"/>
    </row>
    <row r="4105" spans="1:1" x14ac:dyDescent="0.25">
      <c r="A4105"/>
    </row>
    <row r="4106" spans="1:1" x14ac:dyDescent="0.25">
      <c r="A4106"/>
    </row>
    <row r="4107" spans="1:1" x14ac:dyDescent="0.25">
      <c r="A4107"/>
    </row>
    <row r="4108" spans="1:1" x14ac:dyDescent="0.25">
      <c r="A4108"/>
    </row>
    <row r="4109" spans="1:1" x14ac:dyDescent="0.25">
      <c r="A4109"/>
    </row>
    <row r="4110" spans="1:1" x14ac:dyDescent="0.25">
      <c r="A4110"/>
    </row>
    <row r="4111" spans="1:1" x14ac:dyDescent="0.25">
      <c r="A4111"/>
    </row>
    <row r="4112" spans="1:1" x14ac:dyDescent="0.25">
      <c r="A4112"/>
    </row>
    <row r="4113" spans="1:1" x14ac:dyDescent="0.25">
      <c r="A4113"/>
    </row>
    <row r="4114" spans="1:1" x14ac:dyDescent="0.25">
      <c r="A4114"/>
    </row>
    <row r="4115" spans="1:1" x14ac:dyDescent="0.25">
      <c r="A4115"/>
    </row>
    <row r="4116" spans="1:1" x14ac:dyDescent="0.25">
      <c r="A4116"/>
    </row>
    <row r="4117" spans="1:1" x14ac:dyDescent="0.25">
      <c r="A4117"/>
    </row>
    <row r="4118" spans="1:1" x14ac:dyDescent="0.25">
      <c r="A4118"/>
    </row>
    <row r="4119" spans="1:1" x14ac:dyDescent="0.25">
      <c r="A4119"/>
    </row>
    <row r="4120" spans="1:1" x14ac:dyDescent="0.25">
      <c r="A4120"/>
    </row>
    <row r="4121" spans="1:1" x14ac:dyDescent="0.25">
      <c r="A4121"/>
    </row>
    <row r="4122" spans="1:1" x14ac:dyDescent="0.25">
      <c r="A4122"/>
    </row>
    <row r="4123" spans="1:1" x14ac:dyDescent="0.25">
      <c r="A4123"/>
    </row>
    <row r="4124" spans="1:1" x14ac:dyDescent="0.25">
      <c r="A4124"/>
    </row>
    <row r="4125" spans="1:1" x14ac:dyDescent="0.25">
      <c r="A4125"/>
    </row>
    <row r="4126" spans="1:1" x14ac:dyDescent="0.25">
      <c r="A4126"/>
    </row>
    <row r="4127" spans="1:1" x14ac:dyDescent="0.25">
      <c r="A4127"/>
    </row>
    <row r="4128" spans="1:1" x14ac:dyDescent="0.25">
      <c r="A4128"/>
    </row>
    <row r="4129" spans="1:1" x14ac:dyDescent="0.25">
      <c r="A4129"/>
    </row>
    <row r="4130" spans="1:1" x14ac:dyDescent="0.25">
      <c r="A4130"/>
    </row>
    <row r="4131" spans="1:1" x14ac:dyDescent="0.25">
      <c r="A4131"/>
    </row>
    <row r="4132" spans="1:1" x14ac:dyDescent="0.25">
      <c r="A4132"/>
    </row>
    <row r="4133" spans="1:1" x14ac:dyDescent="0.25">
      <c r="A4133"/>
    </row>
    <row r="4134" spans="1:1" x14ac:dyDescent="0.25">
      <c r="A4134"/>
    </row>
    <row r="4135" spans="1:1" x14ac:dyDescent="0.25">
      <c r="A4135"/>
    </row>
    <row r="4136" spans="1:1" x14ac:dyDescent="0.25">
      <c r="A4136"/>
    </row>
    <row r="4137" spans="1:1" x14ac:dyDescent="0.25">
      <c r="A4137"/>
    </row>
    <row r="4138" spans="1:1" x14ac:dyDescent="0.25">
      <c r="A4138"/>
    </row>
    <row r="4139" spans="1:1" x14ac:dyDescent="0.25">
      <c r="A4139"/>
    </row>
    <row r="4140" spans="1:1" x14ac:dyDescent="0.25">
      <c r="A4140"/>
    </row>
    <row r="4141" spans="1:1" x14ac:dyDescent="0.25">
      <c r="A4141"/>
    </row>
    <row r="4142" spans="1:1" x14ac:dyDescent="0.25">
      <c r="A4142"/>
    </row>
    <row r="4143" spans="1:1" x14ac:dyDescent="0.25">
      <c r="A4143"/>
    </row>
    <row r="4144" spans="1:1" x14ac:dyDescent="0.25">
      <c r="A4144"/>
    </row>
    <row r="4145" spans="1:1" x14ac:dyDescent="0.25">
      <c r="A4145"/>
    </row>
    <row r="4146" spans="1:1" x14ac:dyDescent="0.25">
      <c r="A4146"/>
    </row>
    <row r="4147" spans="1:1" x14ac:dyDescent="0.25">
      <c r="A4147"/>
    </row>
    <row r="4148" spans="1:1" x14ac:dyDescent="0.25">
      <c r="A4148"/>
    </row>
    <row r="4149" spans="1:1" x14ac:dyDescent="0.25">
      <c r="A4149"/>
    </row>
    <row r="4150" spans="1:1" x14ac:dyDescent="0.25">
      <c r="A4150"/>
    </row>
    <row r="4151" spans="1:1" x14ac:dyDescent="0.25">
      <c r="A4151"/>
    </row>
    <row r="4152" spans="1:1" x14ac:dyDescent="0.25">
      <c r="A4152"/>
    </row>
    <row r="4153" spans="1:1" x14ac:dyDescent="0.25">
      <c r="A4153"/>
    </row>
    <row r="4154" spans="1:1" x14ac:dyDescent="0.25">
      <c r="A4154"/>
    </row>
    <row r="4155" spans="1:1" x14ac:dyDescent="0.25">
      <c r="A4155"/>
    </row>
    <row r="4156" spans="1:1" x14ac:dyDescent="0.25">
      <c r="A4156"/>
    </row>
    <row r="4157" spans="1:1" x14ac:dyDescent="0.25">
      <c r="A4157"/>
    </row>
    <row r="4158" spans="1:1" x14ac:dyDescent="0.25">
      <c r="A4158"/>
    </row>
    <row r="4159" spans="1:1" x14ac:dyDescent="0.25">
      <c r="A4159"/>
    </row>
    <row r="4160" spans="1:1" x14ac:dyDescent="0.25">
      <c r="A4160"/>
    </row>
    <row r="4161" spans="1:1" x14ac:dyDescent="0.25">
      <c r="A4161"/>
    </row>
    <row r="4162" spans="1:1" x14ac:dyDescent="0.25">
      <c r="A4162"/>
    </row>
    <row r="4163" spans="1:1" x14ac:dyDescent="0.25">
      <c r="A4163"/>
    </row>
    <row r="4164" spans="1:1" x14ac:dyDescent="0.25">
      <c r="A4164"/>
    </row>
    <row r="4165" spans="1:1" x14ac:dyDescent="0.25">
      <c r="A4165"/>
    </row>
    <row r="4166" spans="1:1" x14ac:dyDescent="0.25">
      <c r="A4166"/>
    </row>
    <row r="4167" spans="1:1" x14ac:dyDescent="0.25">
      <c r="A4167"/>
    </row>
    <row r="4168" spans="1:1" x14ac:dyDescent="0.25">
      <c r="A4168"/>
    </row>
    <row r="4169" spans="1:1" x14ac:dyDescent="0.25">
      <c r="A4169"/>
    </row>
    <row r="4170" spans="1:1" x14ac:dyDescent="0.25">
      <c r="A4170"/>
    </row>
    <row r="4171" spans="1:1" x14ac:dyDescent="0.25">
      <c r="A4171"/>
    </row>
    <row r="4172" spans="1:1" x14ac:dyDescent="0.25">
      <c r="A4172"/>
    </row>
    <row r="4173" spans="1:1" x14ac:dyDescent="0.25">
      <c r="A4173"/>
    </row>
    <row r="4174" spans="1:1" x14ac:dyDescent="0.25">
      <c r="A4174"/>
    </row>
    <row r="4175" spans="1:1" x14ac:dyDescent="0.25">
      <c r="A4175"/>
    </row>
    <row r="4176" spans="1:1" x14ac:dyDescent="0.25">
      <c r="A4176"/>
    </row>
    <row r="4177" spans="1:1" x14ac:dyDescent="0.25">
      <c r="A4177"/>
    </row>
    <row r="4178" spans="1:1" x14ac:dyDescent="0.25">
      <c r="A4178"/>
    </row>
    <row r="4179" spans="1:1" x14ac:dyDescent="0.25">
      <c r="A4179"/>
    </row>
    <row r="4180" spans="1:1" x14ac:dyDescent="0.25">
      <c r="A4180"/>
    </row>
    <row r="4181" spans="1:1" x14ac:dyDescent="0.25">
      <c r="A4181"/>
    </row>
    <row r="4182" spans="1:1" x14ac:dyDescent="0.25">
      <c r="A4182"/>
    </row>
    <row r="4183" spans="1:1" x14ac:dyDescent="0.25">
      <c r="A4183"/>
    </row>
    <row r="4184" spans="1:1" x14ac:dyDescent="0.25">
      <c r="A4184"/>
    </row>
    <row r="4185" spans="1:1" x14ac:dyDescent="0.25">
      <c r="A4185"/>
    </row>
    <row r="4186" spans="1:1" x14ac:dyDescent="0.25">
      <c r="A4186"/>
    </row>
    <row r="4187" spans="1:1" x14ac:dyDescent="0.25">
      <c r="A4187"/>
    </row>
    <row r="4188" spans="1:1" x14ac:dyDescent="0.25">
      <c r="A4188"/>
    </row>
    <row r="4189" spans="1:1" x14ac:dyDescent="0.25">
      <c r="A4189"/>
    </row>
    <row r="4190" spans="1:1" x14ac:dyDescent="0.25">
      <c r="A4190"/>
    </row>
    <row r="4191" spans="1:1" x14ac:dyDescent="0.25">
      <c r="A4191"/>
    </row>
    <row r="4192" spans="1:1" x14ac:dyDescent="0.25">
      <c r="A4192"/>
    </row>
    <row r="4193" spans="1:1" x14ac:dyDescent="0.25">
      <c r="A4193"/>
    </row>
    <row r="4194" spans="1:1" x14ac:dyDescent="0.25">
      <c r="A4194"/>
    </row>
    <row r="4195" spans="1:1" x14ac:dyDescent="0.25">
      <c r="A4195"/>
    </row>
    <row r="4196" spans="1:1" x14ac:dyDescent="0.25">
      <c r="A4196"/>
    </row>
    <row r="4197" spans="1:1" x14ac:dyDescent="0.25">
      <c r="A4197"/>
    </row>
    <row r="4198" spans="1:1" x14ac:dyDescent="0.25">
      <c r="A4198"/>
    </row>
    <row r="4199" spans="1:1" x14ac:dyDescent="0.25">
      <c r="A4199"/>
    </row>
    <row r="4200" spans="1:1" x14ac:dyDescent="0.25">
      <c r="A4200"/>
    </row>
    <row r="4201" spans="1:1" x14ac:dyDescent="0.25">
      <c r="A4201"/>
    </row>
    <row r="4202" spans="1:1" x14ac:dyDescent="0.25">
      <c r="A4202"/>
    </row>
    <row r="4203" spans="1:1" x14ac:dyDescent="0.25">
      <c r="A4203"/>
    </row>
    <row r="4204" spans="1:1" x14ac:dyDescent="0.25">
      <c r="A4204"/>
    </row>
    <row r="4205" spans="1:1" x14ac:dyDescent="0.25">
      <c r="A4205"/>
    </row>
    <row r="4206" spans="1:1" x14ac:dyDescent="0.25">
      <c r="A4206"/>
    </row>
    <row r="4207" spans="1:1" x14ac:dyDescent="0.25">
      <c r="A4207"/>
    </row>
    <row r="4208" spans="1:1" x14ac:dyDescent="0.25">
      <c r="A4208"/>
    </row>
    <row r="4209" spans="1:1" x14ac:dyDescent="0.25">
      <c r="A4209"/>
    </row>
    <row r="4210" spans="1:1" x14ac:dyDescent="0.25">
      <c r="A4210"/>
    </row>
    <row r="4211" spans="1:1" x14ac:dyDescent="0.25">
      <c r="A4211"/>
    </row>
    <row r="4212" spans="1:1" x14ac:dyDescent="0.25">
      <c r="A4212"/>
    </row>
    <row r="4213" spans="1:1" x14ac:dyDescent="0.25">
      <c r="A4213"/>
    </row>
    <row r="4214" spans="1:1" x14ac:dyDescent="0.25">
      <c r="A4214"/>
    </row>
    <row r="4215" spans="1:1" x14ac:dyDescent="0.25">
      <c r="A4215"/>
    </row>
    <row r="4216" spans="1:1" x14ac:dyDescent="0.25">
      <c r="A4216"/>
    </row>
    <row r="4217" spans="1:1" x14ac:dyDescent="0.25">
      <c r="A4217"/>
    </row>
    <row r="4218" spans="1:1" x14ac:dyDescent="0.25">
      <c r="A4218"/>
    </row>
    <row r="4219" spans="1:1" x14ac:dyDescent="0.25">
      <c r="A4219"/>
    </row>
    <row r="4220" spans="1:1" x14ac:dyDescent="0.25">
      <c r="A4220"/>
    </row>
    <row r="4221" spans="1:1" x14ac:dyDescent="0.25">
      <c r="A4221"/>
    </row>
    <row r="4222" spans="1:1" x14ac:dyDescent="0.25">
      <c r="A4222"/>
    </row>
    <row r="4223" spans="1:1" x14ac:dyDescent="0.25">
      <c r="A4223"/>
    </row>
    <row r="4224" spans="1:1" x14ac:dyDescent="0.25">
      <c r="A4224"/>
    </row>
    <row r="4225" spans="1:1" x14ac:dyDescent="0.25">
      <c r="A4225"/>
    </row>
    <row r="4226" spans="1:1" x14ac:dyDescent="0.25">
      <c r="A4226"/>
    </row>
    <row r="4227" spans="1:1" x14ac:dyDescent="0.25">
      <c r="A4227"/>
    </row>
    <row r="4228" spans="1:1" x14ac:dyDescent="0.25">
      <c r="A4228"/>
    </row>
    <row r="4229" spans="1:1" x14ac:dyDescent="0.25">
      <c r="A4229"/>
    </row>
    <row r="4230" spans="1:1" x14ac:dyDescent="0.25">
      <c r="A4230"/>
    </row>
    <row r="4231" spans="1:1" x14ac:dyDescent="0.25">
      <c r="A4231"/>
    </row>
    <row r="4232" spans="1:1" x14ac:dyDescent="0.25">
      <c r="A4232"/>
    </row>
    <row r="4233" spans="1:1" x14ac:dyDescent="0.25">
      <c r="A4233"/>
    </row>
    <row r="4234" spans="1:1" x14ac:dyDescent="0.25">
      <c r="A4234"/>
    </row>
    <row r="4235" spans="1:1" x14ac:dyDescent="0.25">
      <c r="A4235"/>
    </row>
    <row r="4236" spans="1:1" x14ac:dyDescent="0.25">
      <c r="A4236"/>
    </row>
    <row r="4237" spans="1:1" x14ac:dyDescent="0.25">
      <c r="A4237"/>
    </row>
    <row r="4238" spans="1:1" x14ac:dyDescent="0.25">
      <c r="A4238"/>
    </row>
    <row r="4239" spans="1:1" x14ac:dyDescent="0.25">
      <c r="A4239"/>
    </row>
    <row r="4240" spans="1:1" x14ac:dyDescent="0.25">
      <c r="A4240"/>
    </row>
    <row r="4241" spans="1:1" x14ac:dyDescent="0.25">
      <c r="A4241"/>
    </row>
    <row r="4242" spans="1:1" x14ac:dyDescent="0.25">
      <c r="A4242"/>
    </row>
    <row r="4243" spans="1:1" x14ac:dyDescent="0.25">
      <c r="A4243"/>
    </row>
    <row r="4244" spans="1:1" x14ac:dyDescent="0.25">
      <c r="A4244"/>
    </row>
    <row r="4245" spans="1:1" x14ac:dyDescent="0.25">
      <c r="A4245"/>
    </row>
    <row r="4246" spans="1:1" x14ac:dyDescent="0.25">
      <c r="A4246"/>
    </row>
    <row r="4247" spans="1:1" x14ac:dyDescent="0.25">
      <c r="A4247"/>
    </row>
    <row r="4248" spans="1:1" x14ac:dyDescent="0.25">
      <c r="A4248"/>
    </row>
    <row r="4249" spans="1:1" x14ac:dyDescent="0.25">
      <c r="A4249"/>
    </row>
    <row r="4250" spans="1:1" x14ac:dyDescent="0.25">
      <c r="A4250"/>
    </row>
    <row r="4251" spans="1:1" x14ac:dyDescent="0.25">
      <c r="A4251"/>
    </row>
    <row r="4252" spans="1:1" x14ac:dyDescent="0.25">
      <c r="A4252"/>
    </row>
    <row r="4253" spans="1:1" x14ac:dyDescent="0.25">
      <c r="A4253"/>
    </row>
    <row r="4254" spans="1:1" x14ac:dyDescent="0.25">
      <c r="A4254"/>
    </row>
    <row r="4255" spans="1:1" x14ac:dyDescent="0.25">
      <c r="A4255"/>
    </row>
    <row r="4256" spans="1:1" x14ac:dyDescent="0.25">
      <c r="A4256"/>
    </row>
    <row r="4257" spans="1:1" x14ac:dyDescent="0.25">
      <c r="A4257"/>
    </row>
    <row r="4258" spans="1:1" x14ac:dyDescent="0.25">
      <c r="A4258"/>
    </row>
    <row r="4259" spans="1:1" x14ac:dyDescent="0.25">
      <c r="A4259"/>
    </row>
    <row r="4260" spans="1:1" x14ac:dyDescent="0.25">
      <c r="A4260"/>
    </row>
    <row r="4261" spans="1:1" x14ac:dyDescent="0.25">
      <c r="A4261"/>
    </row>
    <row r="4262" spans="1:1" x14ac:dyDescent="0.25">
      <c r="A4262"/>
    </row>
    <row r="4263" spans="1:1" x14ac:dyDescent="0.25">
      <c r="A4263"/>
    </row>
    <row r="4264" spans="1:1" x14ac:dyDescent="0.25">
      <c r="A4264"/>
    </row>
    <row r="4265" spans="1:1" x14ac:dyDescent="0.25">
      <c r="A4265"/>
    </row>
    <row r="4266" spans="1:1" x14ac:dyDescent="0.25">
      <c r="A4266"/>
    </row>
    <row r="4267" spans="1:1" x14ac:dyDescent="0.25">
      <c r="A4267"/>
    </row>
    <row r="4268" spans="1:1" x14ac:dyDescent="0.25">
      <c r="A4268"/>
    </row>
    <row r="4269" spans="1:1" x14ac:dyDescent="0.25">
      <c r="A4269"/>
    </row>
    <row r="4270" spans="1:1" x14ac:dyDescent="0.25">
      <c r="A4270"/>
    </row>
    <row r="4271" spans="1:1" x14ac:dyDescent="0.25">
      <c r="A4271"/>
    </row>
    <row r="4272" spans="1:1" x14ac:dyDescent="0.25">
      <c r="A4272"/>
    </row>
    <row r="4273" spans="1:1" x14ac:dyDescent="0.25">
      <c r="A4273"/>
    </row>
    <row r="4274" spans="1:1" x14ac:dyDescent="0.25">
      <c r="A4274"/>
    </row>
    <row r="4275" spans="1:1" x14ac:dyDescent="0.25">
      <c r="A4275"/>
    </row>
    <row r="4276" spans="1:1" x14ac:dyDescent="0.25">
      <c r="A4276"/>
    </row>
    <row r="4277" spans="1:1" x14ac:dyDescent="0.25">
      <c r="A4277"/>
    </row>
    <row r="4278" spans="1:1" x14ac:dyDescent="0.25">
      <c r="A4278"/>
    </row>
    <row r="4279" spans="1:1" x14ac:dyDescent="0.25">
      <c r="A4279"/>
    </row>
    <row r="4280" spans="1:1" x14ac:dyDescent="0.25">
      <c r="A4280"/>
    </row>
    <row r="4281" spans="1:1" x14ac:dyDescent="0.25">
      <c r="A4281"/>
    </row>
    <row r="4282" spans="1:1" x14ac:dyDescent="0.25">
      <c r="A4282"/>
    </row>
    <row r="4283" spans="1:1" x14ac:dyDescent="0.25">
      <c r="A4283"/>
    </row>
    <row r="4284" spans="1:1" x14ac:dyDescent="0.25">
      <c r="A4284"/>
    </row>
    <row r="4285" spans="1:1" x14ac:dyDescent="0.25">
      <c r="A4285"/>
    </row>
    <row r="4286" spans="1:1" x14ac:dyDescent="0.25">
      <c r="A4286"/>
    </row>
    <row r="4287" spans="1:1" x14ac:dyDescent="0.25">
      <c r="A4287"/>
    </row>
    <row r="4288" spans="1:1" x14ac:dyDescent="0.25">
      <c r="A4288"/>
    </row>
    <row r="4289" spans="1:1" x14ac:dyDescent="0.25">
      <c r="A4289"/>
    </row>
    <row r="4290" spans="1:1" x14ac:dyDescent="0.25">
      <c r="A4290"/>
    </row>
    <row r="4291" spans="1:1" x14ac:dyDescent="0.25">
      <c r="A4291"/>
    </row>
    <row r="4292" spans="1:1" x14ac:dyDescent="0.25">
      <c r="A4292"/>
    </row>
    <row r="4293" spans="1:1" x14ac:dyDescent="0.25">
      <c r="A4293"/>
    </row>
    <row r="4294" spans="1:1" x14ac:dyDescent="0.25">
      <c r="A4294"/>
    </row>
    <row r="4295" spans="1:1" x14ac:dyDescent="0.25">
      <c r="A4295"/>
    </row>
    <row r="4296" spans="1:1" x14ac:dyDescent="0.25">
      <c r="A4296"/>
    </row>
    <row r="4297" spans="1:1" x14ac:dyDescent="0.25">
      <c r="A4297"/>
    </row>
    <row r="4298" spans="1:1" x14ac:dyDescent="0.25">
      <c r="A4298"/>
    </row>
    <row r="4299" spans="1:1" x14ac:dyDescent="0.25">
      <c r="A4299"/>
    </row>
    <row r="4300" spans="1:1" x14ac:dyDescent="0.25">
      <c r="A4300"/>
    </row>
    <row r="4301" spans="1:1" x14ac:dyDescent="0.25">
      <c r="A4301"/>
    </row>
    <row r="4302" spans="1:1" x14ac:dyDescent="0.25">
      <c r="A4302"/>
    </row>
    <row r="4303" spans="1:1" x14ac:dyDescent="0.25">
      <c r="A4303"/>
    </row>
    <row r="4304" spans="1:1" x14ac:dyDescent="0.25">
      <c r="A4304"/>
    </row>
    <row r="4305" spans="1:1" x14ac:dyDescent="0.25">
      <c r="A4305"/>
    </row>
    <row r="4306" spans="1:1" x14ac:dyDescent="0.25">
      <c r="A4306"/>
    </row>
    <row r="4307" spans="1:1" x14ac:dyDescent="0.25">
      <c r="A4307"/>
    </row>
    <row r="4308" spans="1:1" x14ac:dyDescent="0.25">
      <c r="A4308"/>
    </row>
    <row r="4309" spans="1:1" x14ac:dyDescent="0.25">
      <c r="A4309"/>
    </row>
    <row r="4310" spans="1:1" x14ac:dyDescent="0.25">
      <c r="A4310"/>
    </row>
    <row r="4311" spans="1:1" x14ac:dyDescent="0.25">
      <c r="A4311"/>
    </row>
    <row r="4312" spans="1:1" x14ac:dyDescent="0.25">
      <c r="A4312"/>
    </row>
    <row r="4313" spans="1:1" x14ac:dyDescent="0.25">
      <c r="A4313"/>
    </row>
    <row r="4314" spans="1:1" x14ac:dyDescent="0.25">
      <c r="A4314"/>
    </row>
    <row r="4315" spans="1:1" x14ac:dyDescent="0.25">
      <c r="A4315"/>
    </row>
    <row r="4316" spans="1:1" x14ac:dyDescent="0.25">
      <c r="A4316"/>
    </row>
    <row r="4317" spans="1:1" x14ac:dyDescent="0.25">
      <c r="A4317"/>
    </row>
    <row r="4318" spans="1:1" x14ac:dyDescent="0.25">
      <c r="A4318"/>
    </row>
    <row r="4319" spans="1:1" x14ac:dyDescent="0.25">
      <c r="A4319"/>
    </row>
    <row r="4320" spans="1:1" x14ac:dyDescent="0.25">
      <c r="A4320"/>
    </row>
    <row r="4321" spans="1:1" x14ac:dyDescent="0.25">
      <c r="A4321"/>
    </row>
    <row r="4322" spans="1:1" x14ac:dyDescent="0.25">
      <c r="A4322"/>
    </row>
    <row r="4323" spans="1:1" x14ac:dyDescent="0.25">
      <c r="A4323"/>
    </row>
    <row r="4324" spans="1:1" x14ac:dyDescent="0.25">
      <c r="A4324"/>
    </row>
    <row r="4325" spans="1:1" x14ac:dyDescent="0.25">
      <c r="A4325"/>
    </row>
    <row r="4326" spans="1:1" x14ac:dyDescent="0.25">
      <c r="A4326"/>
    </row>
    <row r="4327" spans="1:1" x14ac:dyDescent="0.25">
      <c r="A4327"/>
    </row>
    <row r="4328" spans="1:1" x14ac:dyDescent="0.25">
      <c r="A4328"/>
    </row>
    <row r="4329" spans="1:1" x14ac:dyDescent="0.25">
      <c r="A4329"/>
    </row>
    <row r="4330" spans="1:1" x14ac:dyDescent="0.25">
      <c r="A4330"/>
    </row>
    <row r="4331" spans="1:1" x14ac:dyDescent="0.25">
      <c r="A4331"/>
    </row>
    <row r="4332" spans="1:1" x14ac:dyDescent="0.25">
      <c r="A4332"/>
    </row>
    <row r="4333" spans="1:1" x14ac:dyDescent="0.25">
      <c r="A4333"/>
    </row>
    <row r="4334" spans="1:1" x14ac:dyDescent="0.25">
      <c r="A4334"/>
    </row>
    <row r="4335" spans="1:1" x14ac:dyDescent="0.25">
      <c r="A4335"/>
    </row>
    <row r="4336" spans="1:1" x14ac:dyDescent="0.25">
      <c r="A4336"/>
    </row>
    <row r="4337" spans="1:1" x14ac:dyDescent="0.25">
      <c r="A4337"/>
    </row>
    <row r="4338" spans="1:1" x14ac:dyDescent="0.25">
      <c r="A4338"/>
    </row>
    <row r="4339" spans="1:1" x14ac:dyDescent="0.25">
      <c r="A4339"/>
    </row>
    <row r="4340" spans="1:1" x14ac:dyDescent="0.25">
      <c r="A4340"/>
    </row>
    <row r="4341" spans="1:1" x14ac:dyDescent="0.25">
      <c r="A4341"/>
    </row>
    <row r="4342" spans="1:1" x14ac:dyDescent="0.25">
      <c r="A4342"/>
    </row>
    <row r="4343" spans="1:1" x14ac:dyDescent="0.25">
      <c r="A4343"/>
    </row>
    <row r="4344" spans="1:1" x14ac:dyDescent="0.25">
      <c r="A4344"/>
    </row>
    <row r="4345" spans="1:1" x14ac:dyDescent="0.25">
      <c r="A4345"/>
    </row>
    <row r="4346" spans="1:1" x14ac:dyDescent="0.25">
      <c r="A4346"/>
    </row>
    <row r="4347" spans="1:1" x14ac:dyDescent="0.25">
      <c r="A4347"/>
    </row>
    <row r="4348" spans="1:1" x14ac:dyDescent="0.25">
      <c r="A4348"/>
    </row>
    <row r="4349" spans="1:1" x14ac:dyDescent="0.25">
      <c r="A4349"/>
    </row>
    <row r="4350" spans="1:1" x14ac:dyDescent="0.25">
      <c r="A4350"/>
    </row>
    <row r="4351" spans="1:1" x14ac:dyDescent="0.25">
      <c r="A4351"/>
    </row>
    <row r="4352" spans="1:1" x14ac:dyDescent="0.25">
      <c r="A4352"/>
    </row>
    <row r="4353" spans="1:1" x14ac:dyDescent="0.25">
      <c r="A4353"/>
    </row>
    <row r="4354" spans="1:1" x14ac:dyDescent="0.25">
      <c r="A4354"/>
    </row>
    <row r="4355" spans="1:1" x14ac:dyDescent="0.25">
      <c r="A4355"/>
    </row>
    <row r="4356" spans="1:1" x14ac:dyDescent="0.25">
      <c r="A4356"/>
    </row>
    <row r="4357" spans="1:1" x14ac:dyDescent="0.25">
      <c r="A4357"/>
    </row>
    <row r="4358" spans="1:1" x14ac:dyDescent="0.25">
      <c r="A4358"/>
    </row>
    <row r="4359" spans="1:1" x14ac:dyDescent="0.25">
      <c r="A4359"/>
    </row>
    <row r="4360" spans="1:1" x14ac:dyDescent="0.25">
      <c r="A4360"/>
    </row>
    <row r="4361" spans="1:1" x14ac:dyDescent="0.25">
      <c r="A4361"/>
    </row>
    <row r="4362" spans="1:1" x14ac:dyDescent="0.25">
      <c r="A4362"/>
    </row>
    <row r="4363" spans="1:1" x14ac:dyDescent="0.25">
      <c r="A4363"/>
    </row>
    <row r="4364" spans="1:1" x14ac:dyDescent="0.25">
      <c r="A4364"/>
    </row>
    <row r="4365" spans="1:1" x14ac:dyDescent="0.25">
      <c r="A4365"/>
    </row>
    <row r="4366" spans="1:1" x14ac:dyDescent="0.25">
      <c r="A4366"/>
    </row>
    <row r="4367" spans="1:1" x14ac:dyDescent="0.25">
      <c r="A4367"/>
    </row>
    <row r="4368" spans="1:1" x14ac:dyDescent="0.25">
      <c r="A4368"/>
    </row>
    <row r="4369" spans="1:1" x14ac:dyDescent="0.25">
      <c r="A4369"/>
    </row>
    <row r="4370" spans="1:1" x14ac:dyDescent="0.25">
      <c r="A4370"/>
    </row>
    <row r="4371" spans="1:1" x14ac:dyDescent="0.25">
      <c r="A4371"/>
    </row>
    <row r="4372" spans="1:1" x14ac:dyDescent="0.25">
      <c r="A4372"/>
    </row>
    <row r="4373" spans="1:1" x14ac:dyDescent="0.25">
      <c r="A4373"/>
    </row>
    <row r="4374" spans="1:1" x14ac:dyDescent="0.25">
      <c r="A4374"/>
    </row>
    <row r="4375" spans="1:1" x14ac:dyDescent="0.25">
      <c r="A4375"/>
    </row>
    <row r="4376" spans="1:1" x14ac:dyDescent="0.25">
      <c r="A4376"/>
    </row>
    <row r="4377" spans="1:1" x14ac:dyDescent="0.25">
      <c r="A4377"/>
    </row>
    <row r="4378" spans="1:1" x14ac:dyDescent="0.25">
      <c r="A4378"/>
    </row>
    <row r="4379" spans="1:1" x14ac:dyDescent="0.25">
      <c r="A4379"/>
    </row>
    <row r="4380" spans="1:1" x14ac:dyDescent="0.25">
      <c r="A4380"/>
    </row>
    <row r="4381" spans="1:1" x14ac:dyDescent="0.25">
      <c r="A4381"/>
    </row>
    <row r="4382" spans="1:1" x14ac:dyDescent="0.25">
      <c r="A4382"/>
    </row>
    <row r="4383" spans="1:1" x14ac:dyDescent="0.25">
      <c r="A4383"/>
    </row>
    <row r="4384" spans="1:1" x14ac:dyDescent="0.25">
      <c r="A4384"/>
    </row>
    <row r="4385" spans="1:1" x14ac:dyDescent="0.25">
      <c r="A4385"/>
    </row>
    <row r="4386" spans="1:1" x14ac:dyDescent="0.25">
      <c r="A4386"/>
    </row>
    <row r="4387" spans="1:1" x14ac:dyDescent="0.25">
      <c r="A4387"/>
    </row>
    <row r="4388" spans="1:1" x14ac:dyDescent="0.25">
      <c r="A4388"/>
    </row>
    <row r="4389" spans="1:1" x14ac:dyDescent="0.25">
      <c r="A4389"/>
    </row>
    <row r="4390" spans="1:1" x14ac:dyDescent="0.25">
      <c r="A4390"/>
    </row>
    <row r="4391" spans="1:1" x14ac:dyDescent="0.25">
      <c r="A4391"/>
    </row>
    <row r="4392" spans="1:1" x14ac:dyDescent="0.25">
      <c r="A4392"/>
    </row>
    <row r="4393" spans="1:1" x14ac:dyDescent="0.25">
      <c r="A4393"/>
    </row>
    <row r="4394" spans="1:1" x14ac:dyDescent="0.25">
      <c r="A4394"/>
    </row>
    <row r="4395" spans="1:1" x14ac:dyDescent="0.25">
      <c r="A4395"/>
    </row>
    <row r="4396" spans="1:1" x14ac:dyDescent="0.25">
      <c r="A4396"/>
    </row>
    <row r="4397" spans="1:1" x14ac:dyDescent="0.25">
      <c r="A4397"/>
    </row>
    <row r="4398" spans="1:1" x14ac:dyDescent="0.25">
      <c r="A4398"/>
    </row>
    <row r="4399" spans="1:1" x14ac:dyDescent="0.25">
      <c r="A4399"/>
    </row>
    <row r="4400" spans="1:1" x14ac:dyDescent="0.25">
      <c r="A4400"/>
    </row>
    <row r="4401" spans="1:1" x14ac:dyDescent="0.25">
      <c r="A4401"/>
    </row>
    <row r="4402" spans="1:1" x14ac:dyDescent="0.25">
      <c r="A4402"/>
    </row>
    <row r="4403" spans="1:1" x14ac:dyDescent="0.25">
      <c r="A4403"/>
    </row>
    <row r="4404" spans="1:1" x14ac:dyDescent="0.25">
      <c r="A4404"/>
    </row>
    <row r="4405" spans="1:1" x14ac:dyDescent="0.25">
      <c r="A4405"/>
    </row>
    <row r="4406" spans="1:1" x14ac:dyDescent="0.25">
      <c r="A4406"/>
    </row>
    <row r="4407" spans="1:1" x14ac:dyDescent="0.25">
      <c r="A4407"/>
    </row>
    <row r="4408" spans="1:1" x14ac:dyDescent="0.25">
      <c r="A4408"/>
    </row>
    <row r="4409" spans="1:1" x14ac:dyDescent="0.25">
      <c r="A4409"/>
    </row>
    <row r="4410" spans="1:1" x14ac:dyDescent="0.25">
      <c r="A4410"/>
    </row>
    <row r="4411" spans="1:1" x14ac:dyDescent="0.25">
      <c r="A4411"/>
    </row>
    <row r="4412" spans="1:1" x14ac:dyDescent="0.25">
      <c r="A4412"/>
    </row>
    <row r="4413" spans="1:1" x14ac:dyDescent="0.25">
      <c r="A4413"/>
    </row>
    <row r="4414" spans="1:1" x14ac:dyDescent="0.25">
      <c r="A4414"/>
    </row>
    <row r="4415" spans="1:1" x14ac:dyDescent="0.25">
      <c r="A4415"/>
    </row>
    <row r="4416" spans="1:1" x14ac:dyDescent="0.25">
      <c r="A4416"/>
    </row>
    <row r="4417" spans="1:1" x14ac:dyDescent="0.25">
      <c r="A4417"/>
    </row>
    <row r="4418" spans="1:1" x14ac:dyDescent="0.25">
      <c r="A4418"/>
    </row>
    <row r="4419" spans="1:1" x14ac:dyDescent="0.25">
      <c r="A4419"/>
    </row>
    <row r="4420" spans="1:1" x14ac:dyDescent="0.25">
      <c r="A4420"/>
    </row>
    <row r="4421" spans="1:1" x14ac:dyDescent="0.25">
      <c r="A4421"/>
    </row>
    <row r="4422" spans="1:1" x14ac:dyDescent="0.25">
      <c r="A4422"/>
    </row>
    <row r="4423" spans="1:1" x14ac:dyDescent="0.25">
      <c r="A4423"/>
    </row>
    <row r="4424" spans="1:1" x14ac:dyDescent="0.25">
      <c r="A4424"/>
    </row>
    <row r="4425" spans="1:1" x14ac:dyDescent="0.25">
      <c r="A4425"/>
    </row>
    <row r="4426" spans="1:1" x14ac:dyDescent="0.25">
      <c r="A4426"/>
    </row>
    <row r="4427" spans="1:1" x14ac:dyDescent="0.25">
      <c r="A4427"/>
    </row>
    <row r="4428" spans="1:1" x14ac:dyDescent="0.25">
      <c r="A4428"/>
    </row>
    <row r="4429" spans="1:1" x14ac:dyDescent="0.25">
      <c r="A4429"/>
    </row>
    <row r="4430" spans="1:1" x14ac:dyDescent="0.25">
      <c r="A4430"/>
    </row>
    <row r="4431" spans="1:1" x14ac:dyDescent="0.25">
      <c r="A4431"/>
    </row>
    <row r="4432" spans="1:1" x14ac:dyDescent="0.25">
      <c r="A4432"/>
    </row>
    <row r="4433" spans="1:1" x14ac:dyDescent="0.25">
      <c r="A4433"/>
    </row>
    <row r="4434" spans="1:1" x14ac:dyDescent="0.25">
      <c r="A4434"/>
    </row>
    <row r="4435" spans="1:1" x14ac:dyDescent="0.25">
      <c r="A4435"/>
    </row>
    <row r="4436" spans="1:1" x14ac:dyDescent="0.25">
      <c r="A4436"/>
    </row>
    <row r="4437" spans="1:1" x14ac:dyDescent="0.25">
      <c r="A4437"/>
    </row>
    <row r="4438" spans="1:1" x14ac:dyDescent="0.25">
      <c r="A4438"/>
    </row>
    <row r="4439" spans="1:1" x14ac:dyDescent="0.25">
      <c r="A4439"/>
    </row>
    <row r="4440" spans="1:1" x14ac:dyDescent="0.25">
      <c r="A4440"/>
    </row>
    <row r="4441" spans="1:1" x14ac:dyDescent="0.25">
      <c r="A4441"/>
    </row>
    <row r="4442" spans="1:1" x14ac:dyDescent="0.25">
      <c r="A4442"/>
    </row>
    <row r="4443" spans="1:1" x14ac:dyDescent="0.25">
      <c r="A4443"/>
    </row>
    <row r="4444" spans="1:1" x14ac:dyDescent="0.25">
      <c r="A4444"/>
    </row>
    <row r="4445" spans="1:1" x14ac:dyDescent="0.25">
      <c r="A4445"/>
    </row>
    <row r="4446" spans="1:1" x14ac:dyDescent="0.25">
      <c r="A4446"/>
    </row>
    <row r="4447" spans="1:1" x14ac:dyDescent="0.25">
      <c r="A4447"/>
    </row>
    <row r="4448" spans="1:1" x14ac:dyDescent="0.25">
      <c r="A4448"/>
    </row>
    <row r="4449" spans="1:1" x14ac:dyDescent="0.25">
      <c r="A4449"/>
    </row>
    <row r="4450" spans="1:1" x14ac:dyDescent="0.25">
      <c r="A4450"/>
    </row>
    <row r="4451" spans="1:1" x14ac:dyDescent="0.25">
      <c r="A4451"/>
    </row>
    <row r="4452" spans="1:1" x14ac:dyDescent="0.25">
      <c r="A4452"/>
    </row>
    <row r="4453" spans="1:1" x14ac:dyDescent="0.25">
      <c r="A4453"/>
    </row>
    <row r="4454" spans="1:1" x14ac:dyDescent="0.25">
      <c r="A4454"/>
    </row>
    <row r="4455" spans="1:1" x14ac:dyDescent="0.25">
      <c r="A4455"/>
    </row>
    <row r="4456" spans="1:1" x14ac:dyDescent="0.25">
      <c r="A4456"/>
    </row>
    <row r="4457" spans="1:1" x14ac:dyDescent="0.25">
      <c r="A4457"/>
    </row>
    <row r="4458" spans="1:1" x14ac:dyDescent="0.25">
      <c r="A4458"/>
    </row>
    <row r="4459" spans="1:1" x14ac:dyDescent="0.25">
      <c r="A4459"/>
    </row>
    <row r="4460" spans="1:1" x14ac:dyDescent="0.25">
      <c r="A4460"/>
    </row>
    <row r="4461" spans="1:1" x14ac:dyDescent="0.25">
      <c r="A4461"/>
    </row>
    <row r="4462" spans="1:1" x14ac:dyDescent="0.25">
      <c r="A4462"/>
    </row>
    <row r="4463" spans="1:1" x14ac:dyDescent="0.25">
      <c r="A4463"/>
    </row>
    <row r="4464" spans="1:1" x14ac:dyDescent="0.25">
      <c r="A4464"/>
    </row>
    <row r="4465" spans="1:1" x14ac:dyDescent="0.25">
      <c r="A4465"/>
    </row>
    <row r="4466" spans="1:1" x14ac:dyDescent="0.25">
      <c r="A4466"/>
    </row>
    <row r="4467" spans="1:1" x14ac:dyDescent="0.25">
      <c r="A4467"/>
    </row>
    <row r="4468" spans="1:1" x14ac:dyDescent="0.25">
      <c r="A4468"/>
    </row>
    <row r="4469" spans="1:1" x14ac:dyDescent="0.25">
      <c r="A4469"/>
    </row>
    <row r="4470" spans="1:1" x14ac:dyDescent="0.25">
      <c r="A4470"/>
    </row>
    <row r="4471" spans="1:1" x14ac:dyDescent="0.25">
      <c r="A4471"/>
    </row>
    <row r="4472" spans="1:1" x14ac:dyDescent="0.25">
      <c r="A4472"/>
    </row>
    <row r="4473" spans="1:1" x14ac:dyDescent="0.25">
      <c r="A4473"/>
    </row>
    <row r="4474" spans="1:1" x14ac:dyDescent="0.25">
      <c r="A4474"/>
    </row>
    <row r="4475" spans="1:1" x14ac:dyDescent="0.25">
      <c r="A4475"/>
    </row>
    <row r="4476" spans="1:1" x14ac:dyDescent="0.25">
      <c r="A4476"/>
    </row>
    <row r="4477" spans="1:1" x14ac:dyDescent="0.25">
      <c r="A4477"/>
    </row>
    <row r="4478" spans="1:1" x14ac:dyDescent="0.25">
      <c r="A4478"/>
    </row>
    <row r="4479" spans="1:1" x14ac:dyDescent="0.25">
      <c r="A4479"/>
    </row>
    <row r="4480" spans="1:1" x14ac:dyDescent="0.25">
      <c r="A4480"/>
    </row>
    <row r="4481" spans="1:1" x14ac:dyDescent="0.25">
      <c r="A4481"/>
    </row>
    <row r="4482" spans="1:1" x14ac:dyDescent="0.25">
      <c r="A4482"/>
    </row>
    <row r="4483" spans="1:1" x14ac:dyDescent="0.25">
      <c r="A4483"/>
    </row>
    <row r="4484" spans="1:1" x14ac:dyDescent="0.25">
      <c r="A4484"/>
    </row>
    <row r="4485" spans="1:1" x14ac:dyDescent="0.25">
      <c r="A4485"/>
    </row>
    <row r="4486" spans="1:1" x14ac:dyDescent="0.25">
      <c r="A4486"/>
    </row>
    <row r="4487" spans="1:1" x14ac:dyDescent="0.25">
      <c r="A4487"/>
    </row>
    <row r="4488" spans="1:1" x14ac:dyDescent="0.25">
      <c r="A4488"/>
    </row>
    <row r="4489" spans="1:1" x14ac:dyDescent="0.25">
      <c r="A4489"/>
    </row>
    <row r="4490" spans="1:1" x14ac:dyDescent="0.25">
      <c r="A4490"/>
    </row>
    <row r="4491" spans="1:1" x14ac:dyDescent="0.25">
      <c r="A4491"/>
    </row>
    <row r="4492" spans="1:1" x14ac:dyDescent="0.25">
      <c r="A4492"/>
    </row>
    <row r="4493" spans="1:1" x14ac:dyDescent="0.25">
      <c r="A4493"/>
    </row>
    <row r="4494" spans="1:1" x14ac:dyDescent="0.25">
      <c r="A4494"/>
    </row>
    <row r="4495" spans="1:1" x14ac:dyDescent="0.25">
      <c r="A4495"/>
    </row>
    <row r="4496" spans="1:1" x14ac:dyDescent="0.25">
      <c r="A4496"/>
    </row>
    <row r="4497" spans="1:1" x14ac:dyDescent="0.25">
      <c r="A4497"/>
    </row>
    <row r="4498" spans="1:1" x14ac:dyDescent="0.25">
      <c r="A4498"/>
    </row>
    <row r="4499" spans="1:1" x14ac:dyDescent="0.25">
      <c r="A4499"/>
    </row>
    <row r="4500" spans="1:1" x14ac:dyDescent="0.25">
      <c r="A4500"/>
    </row>
    <row r="4501" spans="1:1" x14ac:dyDescent="0.25">
      <c r="A4501"/>
    </row>
    <row r="4502" spans="1:1" x14ac:dyDescent="0.25">
      <c r="A4502"/>
    </row>
    <row r="4503" spans="1:1" x14ac:dyDescent="0.25">
      <c r="A4503"/>
    </row>
    <row r="4504" spans="1:1" x14ac:dyDescent="0.25">
      <c r="A4504"/>
    </row>
    <row r="4505" spans="1:1" x14ac:dyDescent="0.25">
      <c r="A4505"/>
    </row>
    <row r="4506" spans="1:1" x14ac:dyDescent="0.25">
      <c r="A4506"/>
    </row>
    <row r="4507" spans="1:1" x14ac:dyDescent="0.25">
      <c r="A4507"/>
    </row>
    <row r="4508" spans="1:1" x14ac:dyDescent="0.25">
      <c r="A4508"/>
    </row>
    <row r="4509" spans="1:1" x14ac:dyDescent="0.25">
      <c r="A4509"/>
    </row>
    <row r="4510" spans="1:1" x14ac:dyDescent="0.25">
      <c r="A4510"/>
    </row>
    <row r="4511" spans="1:1" x14ac:dyDescent="0.25">
      <c r="A4511"/>
    </row>
    <row r="4512" spans="1:1" x14ac:dyDescent="0.25">
      <c r="A4512"/>
    </row>
    <row r="4513" spans="1:1" x14ac:dyDescent="0.25">
      <c r="A4513"/>
    </row>
    <row r="4514" spans="1:1" x14ac:dyDescent="0.25">
      <c r="A4514"/>
    </row>
    <row r="4515" spans="1:1" x14ac:dyDescent="0.25">
      <c r="A4515"/>
    </row>
    <row r="4516" spans="1:1" x14ac:dyDescent="0.25">
      <c r="A4516"/>
    </row>
    <row r="4517" spans="1:1" x14ac:dyDescent="0.25">
      <c r="A4517"/>
    </row>
    <row r="4518" spans="1:1" x14ac:dyDescent="0.25">
      <c r="A4518"/>
    </row>
    <row r="4519" spans="1:1" x14ac:dyDescent="0.25">
      <c r="A4519"/>
    </row>
    <row r="4520" spans="1:1" x14ac:dyDescent="0.25">
      <c r="A4520"/>
    </row>
    <row r="4521" spans="1:1" x14ac:dyDescent="0.25">
      <c r="A4521"/>
    </row>
    <row r="4522" spans="1:1" x14ac:dyDescent="0.25">
      <c r="A4522"/>
    </row>
    <row r="4523" spans="1:1" x14ac:dyDescent="0.25">
      <c r="A4523"/>
    </row>
    <row r="4524" spans="1:1" x14ac:dyDescent="0.25">
      <c r="A4524"/>
    </row>
    <row r="4525" spans="1:1" x14ac:dyDescent="0.25">
      <c r="A4525"/>
    </row>
    <row r="4526" spans="1:1" x14ac:dyDescent="0.25">
      <c r="A4526"/>
    </row>
    <row r="4527" spans="1:1" x14ac:dyDescent="0.25">
      <c r="A4527"/>
    </row>
    <row r="4528" spans="1:1" x14ac:dyDescent="0.25">
      <c r="A4528"/>
    </row>
    <row r="4529" spans="1:1" x14ac:dyDescent="0.25">
      <c r="A4529"/>
    </row>
    <row r="4530" spans="1:1" x14ac:dyDescent="0.25">
      <c r="A4530"/>
    </row>
    <row r="4531" spans="1:1" x14ac:dyDescent="0.25">
      <c r="A4531"/>
    </row>
    <row r="4532" spans="1:1" x14ac:dyDescent="0.25">
      <c r="A4532"/>
    </row>
    <row r="4533" spans="1:1" x14ac:dyDescent="0.25">
      <c r="A4533"/>
    </row>
    <row r="4534" spans="1:1" x14ac:dyDescent="0.25">
      <c r="A4534"/>
    </row>
    <row r="4535" spans="1:1" x14ac:dyDescent="0.25">
      <c r="A4535"/>
    </row>
    <row r="4536" spans="1:1" x14ac:dyDescent="0.25">
      <c r="A4536"/>
    </row>
    <row r="4537" spans="1:1" x14ac:dyDescent="0.25">
      <c r="A4537"/>
    </row>
    <row r="4538" spans="1:1" x14ac:dyDescent="0.25">
      <c r="A4538"/>
    </row>
    <row r="4539" spans="1:1" x14ac:dyDescent="0.25">
      <c r="A4539"/>
    </row>
    <row r="4540" spans="1:1" x14ac:dyDescent="0.25">
      <c r="A4540"/>
    </row>
    <row r="4541" spans="1:1" x14ac:dyDescent="0.25">
      <c r="A4541"/>
    </row>
    <row r="4542" spans="1:1" x14ac:dyDescent="0.25">
      <c r="A4542"/>
    </row>
    <row r="4543" spans="1:1" x14ac:dyDescent="0.25">
      <c r="A4543"/>
    </row>
    <row r="4544" spans="1:1" x14ac:dyDescent="0.25">
      <c r="A4544"/>
    </row>
    <row r="4545" spans="1:1" x14ac:dyDescent="0.25">
      <c r="A4545"/>
    </row>
    <row r="4546" spans="1:1" x14ac:dyDescent="0.25">
      <c r="A4546"/>
    </row>
    <row r="4547" spans="1:1" x14ac:dyDescent="0.25">
      <c r="A4547"/>
    </row>
    <row r="4548" spans="1:1" x14ac:dyDescent="0.25">
      <c r="A4548"/>
    </row>
    <row r="4549" spans="1:1" x14ac:dyDescent="0.25">
      <c r="A4549"/>
    </row>
    <row r="4550" spans="1:1" x14ac:dyDescent="0.25">
      <c r="A4550"/>
    </row>
    <row r="4551" spans="1:1" x14ac:dyDescent="0.25">
      <c r="A4551"/>
    </row>
    <row r="4552" spans="1:1" x14ac:dyDescent="0.25">
      <c r="A4552"/>
    </row>
    <row r="4553" spans="1:1" x14ac:dyDescent="0.25">
      <c r="A4553"/>
    </row>
    <row r="4554" spans="1:1" x14ac:dyDescent="0.25">
      <c r="A4554"/>
    </row>
    <row r="4555" spans="1:1" x14ac:dyDescent="0.25">
      <c r="A4555"/>
    </row>
    <row r="4556" spans="1:1" x14ac:dyDescent="0.25">
      <c r="A4556"/>
    </row>
    <row r="4557" spans="1:1" x14ac:dyDescent="0.25">
      <c r="A4557"/>
    </row>
    <row r="4558" spans="1:1" x14ac:dyDescent="0.25">
      <c r="A4558"/>
    </row>
    <row r="4559" spans="1:1" x14ac:dyDescent="0.25">
      <c r="A4559"/>
    </row>
    <row r="4560" spans="1:1" x14ac:dyDescent="0.25">
      <c r="A4560"/>
    </row>
    <row r="4561" spans="1:1" x14ac:dyDescent="0.25">
      <c r="A4561"/>
    </row>
    <row r="4562" spans="1:1" x14ac:dyDescent="0.25">
      <c r="A4562"/>
    </row>
    <row r="4563" spans="1:1" x14ac:dyDescent="0.25">
      <c r="A4563"/>
    </row>
    <row r="4564" spans="1:1" x14ac:dyDescent="0.25">
      <c r="A4564"/>
    </row>
    <row r="4565" spans="1:1" x14ac:dyDescent="0.25">
      <c r="A4565"/>
    </row>
    <row r="4566" spans="1:1" x14ac:dyDescent="0.25">
      <c r="A4566"/>
    </row>
    <row r="4567" spans="1:1" x14ac:dyDescent="0.25">
      <c r="A4567"/>
    </row>
    <row r="4568" spans="1:1" x14ac:dyDescent="0.25">
      <c r="A4568"/>
    </row>
    <row r="4569" spans="1:1" x14ac:dyDescent="0.25">
      <c r="A4569"/>
    </row>
    <row r="4570" spans="1:1" x14ac:dyDescent="0.25">
      <c r="A4570"/>
    </row>
    <row r="4571" spans="1:1" x14ac:dyDescent="0.25">
      <c r="A4571"/>
    </row>
    <row r="4572" spans="1:1" x14ac:dyDescent="0.25">
      <c r="A4572"/>
    </row>
    <row r="4573" spans="1:1" x14ac:dyDescent="0.25">
      <c r="A4573"/>
    </row>
    <row r="4574" spans="1:1" x14ac:dyDescent="0.25">
      <c r="A4574"/>
    </row>
    <row r="4575" spans="1:1" x14ac:dyDescent="0.25">
      <c r="A4575"/>
    </row>
    <row r="4576" spans="1:1" x14ac:dyDescent="0.25">
      <c r="A4576"/>
    </row>
    <row r="4577" spans="1:1" x14ac:dyDescent="0.25">
      <c r="A4577"/>
    </row>
    <row r="4578" spans="1:1" x14ac:dyDescent="0.25">
      <c r="A4578"/>
    </row>
    <row r="4579" spans="1:1" x14ac:dyDescent="0.25">
      <c r="A4579"/>
    </row>
    <row r="4580" spans="1:1" x14ac:dyDescent="0.25">
      <c r="A4580"/>
    </row>
    <row r="4581" spans="1:1" x14ac:dyDescent="0.25">
      <c r="A4581"/>
    </row>
    <row r="4582" spans="1:1" x14ac:dyDescent="0.25">
      <c r="A4582"/>
    </row>
    <row r="4583" spans="1:1" x14ac:dyDescent="0.25">
      <c r="A4583"/>
    </row>
    <row r="4584" spans="1:1" x14ac:dyDescent="0.25">
      <c r="A4584"/>
    </row>
    <row r="4585" spans="1:1" x14ac:dyDescent="0.25">
      <c r="A4585"/>
    </row>
    <row r="4586" spans="1:1" x14ac:dyDescent="0.25">
      <c r="A4586"/>
    </row>
    <row r="4587" spans="1:1" x14ac:dyDescent="0.25">
      <c r="A4587"/>
    </row>
    <row r="4588" spans="1:1" x14ac:dyDescent="0.25">
      <c r="A4588"/>
    </row>
    <row r="4589" spans="1:1" x14ac:dyDescent="0.25">
      <c r="A4589"/>
    </row>
    <row r="4590" spans="1:1" x14ac:dyDescent="0.25">
      <c r="A4590"/>
    </row>
    <row r="4591" spans="1:1" x14ac:dyDescent="0.25">
      <c r="A4591"/>
    </row>
    <row r="4592" spans="1:1" x14ac:dyDescent="0.25">
      <c r="A4592"/>
    </row>
    <row r="4593" spans="1:1" x14ac:dyDescent="0.25">
      <c r="A4593"/>
    </row>
    <row r="4594" spans="1:1" x14ac:dyDescent="0.25">
      <c r="A4594"/>
    </row>
    <row r="4595" spans="1:1" x14ac:dyDescent="0.25">
      <c r="A4595"/>
    </row>
    <row r="4596" spans="1:1" x14ac:dyDescent="0.25">
      <c r="A4596"/>
    </row>
    <row r="4597" spans="1:1" x14ac:dyDescent="0.25">
      <c r="A4597"/>
    </row>
    <row r="4598" spans="1:1" x14ac:dyDescent="0.25">
      <c r="A4598"/>
    </row>
    <row r="4599" spans="1:1" x14ac:dyDescent="0.25">
      <c r="A4599"/>
    </row>
    <row r="4600" spans="1:1" x14ac:dyDescent="0.25">
      <c r="A4600"/>
    </row>
    <row r="4601" spans="1:1" x14ac:dyDescent="0.25">
      <c r="A4601"/>
    </row>
    <row r="4602" spans="1:1" x14ac:dyDescent="0.25">
      <c r="A4602"/>
    </row>
    <row r="4603" spans="1:1" x14ac:dyDescent="0.25">
      <c r="A4603"/>
    </row>
    <row r="4604" spans="1:1" x14ac:dyDescent="0.25">
      <c r="A4604"/>
    </row>
    <row r="4605" spans="1:1" x14ac:dyDescent="0.25">
      <c r="A4605"/>
    </row>
    <row r="4606" spans="1:1" x14ac:dyDescent="0.25">
      <c r="A4606"/>
    </row>
    <row r="4607" spans="1:1" x14ac:dyDescent="0.25">
      <c r="A4607"/>
    </row>
    <row r="4608" spans="1:1" x14ac:dyDescent="0.25">
      <c r="A4608"/>
    </row>
    <row r="4609" spans="1:1" x14ac:dyDescent="0.25">
      <c r="A4609"/>
    </row>
    <row r="4610" spans="1:1" x14ac:dyDescent="0.25">
      <c r="A4610"/>
    </row>
    <row r="4611" spans="1:1" x14ac:dyDescent="0.25">
      <c r="A4611"/>
    </row>
    <row r="4612" spans="1:1" x14ac:dyDescent="0.25">
      <c r="A4612"/>
    </row>
    <row r="4613" spans="1:1" x14ac:dyDescent="0.25">
      <c r="A4613"/>
    </row>
    <row r="4614" spans="1:1" x14ac:dyDescent="0.25">
      <c r="A4614"/>
    </row>
    <row r="4615" spans="1:1" x14ac:dyDescent="0.25">
      <c r="A4615"/>
    </row>
    <row r="4616" spans="1:1" x14ac:dyDescent="0.25">
      <c r="A4616"/>
    </row>
    <row r="4617" spans="1:1" x14ac:dyDescent="0.25">
      <c r="A4617"/>
    </row>
    <row r="4618" spans="1:1" x14ac:dyDescent="0.25">
      <c r="A4618"/>
    </row>
    <row r="4619" spans="1:1" x14ac:dyDescent="0.25">
      <c r="A4619"/>
    </row>
    <row r="4620" spans="1:1" x14ac:dyDescent="0.25">
      <c r="A4620"/>
    </row>
    <row r="4621" spans="1:1" x14ac:dyDescent="0.25">
      <c r="A4621"/>
    </row>
    <row r="4622" spans="1:1" x14ac:dyDescent="0.25">
      <c r="A4622"/>
    </row>
    <row r="4623" spans="1:1" x14ac:dyDescent="0.25">
      <c r="A4623"/>
    </row>
    <row r="4624" spans="1:1" x14ac:dyDescent="0.25">
      <c r="A4624"/>
    </row>
    <row r="4625" spans="1:1" x14ac:dyDescent="0.25">
      <c r="A4625"/>
    </row>
    <row r="4626" spans="1:1" x14ac:dyDescent="0.25">
      <c r="A4626"/>
    </row>
    <row r="4627" spans="1:1" x14ac:dyDescent="0.25">
      <c r="A4627"/>
    </row>
    <row r="4628" spans="1:1" x14ac:dyDescent="0.25">
      <c r="A4628"/>
    </row>
    <row r="4629" spans="1:1" x14ac:dyDescent="0.25">
      <c r="A4629"/>
    </row>
    <row r="4630" spans="1:1" x14ac:dyDescent="0.25">
      <c r="A4630"/>
    </row>
    <row r="4631" spans="1:1" x14ac:dyDescent="0.25">
      <c r="A4631"/>
    </row>
    <row r="4632" spans="1:1" x14ac:dyDescent="0.25">
      <c r="A4632"/>
    </row>
    <row r="4633" spans="1:1" x14ac:dyDescent="0.25">
      <c r="A4633"/>
    </row>
    <row r="4634" spans="1:1" x14ac:dyDescent="0.25">
      <c r="A4634"/>
    </row>
    <row r="4635" spans="1:1" x14ac:dyDescent="0.25">
      <c r="A4635"/>
    </row>
    <row r="4636" spans="1:1" x14ac:dyDescent="0.25">
      <c r="A4636"/>
    </row>
    <row r="4637" spans="1:1" x14ac:dyDescent="0.25">
      <c r="A4637"/>
    </row>
    <row r="4638" spans="1:1" x14ac:dyDescent="0.25">
      <c r="A4638"/>
    </row>
    <row r="4639" spans="1:1" x14ac:dyDescent="0.25">
      <c r="A4639"/>
    </row>
    <row r="4640" spans="1:1" x14ac:dyDescent="0.25">
      <c r="A4640"/>
    </row>
    <row r="4641" spans="1:1" x14ac:dyDescent="0.25">
      <c r="A4641"/>
    </row>
    <row r="4642" spans="1:1" x14ac:dyDescent="0.25">
      <c r="A4642"/>
    </row>
    <row r="4643" spans="1:1" x14ac:dyDescent="0.25">
      <c r="A4643"/>
    </row>
    <row r="4644" spans="1:1" x14ac:dyDescent="0.25">
      <c r="A4644"/>
    </row>
    <row r="4645" spans="1:1" x14ac:dyDescent="0.25">
      <c r="A4645"/>
    </row>
    <row r="4646" spans="1:1" x14ac:dyDescent="0.25">
      <c r="A4646"/>
    </row>
    <row r="4647" spans="1:1" x14ac:dyDescent="0.25">
      <c r="A4647"/>
    </row>
    <row r="4648" spans="1:1" x14ac:dyDescent="0.25">
      <c r="A4648"/>
    </row>
    <row r="4649" spans="1:1" x14ac:dyDescent="0.25">
      <c r="A4649"/>
    </row>
    <row r="4650" spans="1:1" x14ac:dyDescent="0.25">
      <c r="A4650"/>
    </row>
    <row r="4651" spans="1:1" x14ac:dyDescent="0.25">
      <c r="A4651"/>
    </row>
    <row r="4652" spans="1:1" x14ac:dyDescent="0.25">
      <c r="A4652"/>
    </row>
    <row r="4653" spans="1:1" x14ac:dyDescent="0.25">
      <c r="A4653"/>
    </row>
    <row r="4654" spans="1:1" x14ac:dyDescent="0.25">
      <c r="A4654"/>
    </row>
    <row r="4655" spans="1:1" x14ac:dyDescent="0.25">
      <c r="A4655"/>
    </row>
    <row r="4656" spans="1:1" x14ac:dyDescent="0.25">
      <c r="A4656"/>
    </row>
    <row r="4657" spans="1:1" x14ac:dyDescent="0.25">
      <c r="A4657"/>
    </row>
    <row r="4658" spans="1:1" x14ac:dyDescent="0.25">
      <c r="A4658"/>
    </row>
    <row r="4659" spans="1:1" x14ac:dyDescent="0.25">
      <c r="A4659"/>
    </row>
    <row r="4660" spans="1:1" x14ac:dyDescent="0.25">
      <c r="A4660"/>
    </row>
    <row r="4661" spans="1:1" x14ac:dyDescent="0.25">
      <c r="A4661"/>
    </row>
    <row r="4662" spans="1:1" x14ac:dyDescent="0.25">
      <c r="A4662"/>
    </row>
    <row r="4663" spans="1:1" x14ac:dyDescent="0.25">
      <c r="A4663"/>
    </row>
    <row r="4664" spans="1:1" x14ac:dyDescent="0.25">
      <c r="A4664"/>
    </row>
    <row r="4665" spans="1:1" x14ac:dyDescent="0.25">
      <c r="A4665"/>
    </row>
    <row r="4666" spans="1:1" x14ac:dyDescent="0.25">
      <c r="A4666"/>
    </row>
    <row r="4667" spans="1:1" x14ac:dyDescent="0.25">
      <c r="A4667"/>
    </row>
    <row r="4668" spans="1:1" x14ac:dyDescent="0.25">
      <c r="A4668"/>
    </row>
    <row r="4669" spans="1:1" x14ac:dyDescent="0.25">
      <c r="A4669"/>
    </row>
    <row r="4670" spans="1:1" x14ac:dyDescent="0.25">
      <c r="A4670"/>
    </row>
    <row r="4671" spans="1:1" x14ac:dyDescent="0.25">
      <c r="A4671"/>
    </row>
    <row r="4672" spans="1:1" x14ac:dyDescent="0.25">
      <c r="A4672"/>
    </row>
    <row r="4673" spans="1:1" x14ac:dyDescent="0.25">
      <c r="A4673"/>
    </row>
    <row r="4674" spans="1:1" x14ac:dyDescent="0.25">
      <c r="A4674"/>
    </row>
    <row r="4675" spans="1:1" x14ac:dyDescent="0.25">
      <c r="A4675"/>
    </row>
    <row r="4676" spans="1:1" x14ac:dyDescent="0.25">
      <c r="A4676"/>
    </row>
    <row r="4677" spans="1:1" x14ac:dyDescent="0.25">
      <c r="A4677"/>
    </row>
    <row r="4678" spans="1:1" x14ac:dyDescent="0.25">
      <c r="A4678"/>
    </row>
    <row r="4679" spans="1:1" x14ac:dyDescent="0.25">
      <c r="A4679"/>
    </row>
    <row r="4680" spans="1:1" x14ac:dyDescent="0.25">
      <c r="A4680"/>
    </row>
    <row r="4681" spans="1:1" x14ac:dyDescent="0.25">
      <c r="A4681"/>
    </row>
    <row r="4682" spans="1:1" x14ac:dyDescent="0.25">
      <c r="A4682"/>
    </row>
    <row r="4683" spans="1:1" x14ac:dyDescent="0.25">
      <c r="A4683"/>
    </row>
    <row r="4684" spans="1:1" x14ac:dyDescent="0.25">
      <c r="A4684"/>
    </row>
    <row r="4685" spans="1:1" x14ac:dyDescent="0.25">
      <c r="A4685"/>
    </row>
    <row r="4686" spans="1:1" x14ac:dyDescent="0.25">
      <c r="A4686"/>
    </row>
    <row r="4687" spans="1:1" x14ac:dyDescent="0.25">
      <c r="A4687"/>
    </row>
    <row r="4688" spans="1:1" x14ac:dyDescent="0.25">
      <c r="A4688"/>
    </row>
    <row r="4689" spans="1:1" x14ac:dyDescent="0.25">
      <c r="A4689"/>
    </row>
    <row r="4690" spans="1:1" x14ac:dyDescent="0.25">
      <c r="A4690"/>
    </row>
    <row r="4691" spans="1:1" x14ac:dyDescent="0.25">
      <c r="A4691"/>
    </row>
    <row r="4692" spans="1:1" x14ac:dyDescent="0.25">
      <c r="A4692"/>
    </row>
    <row r="4693" spans="1:1" x14ac:dyDescent="0.25">
      <c r="A4693"/>
    </row>
    <row r="4694" spans="1:1" x14ac:dyDescent="0.25">
      <c r="A4694"/>
    </row>
    <row r="4695" spans="1:1" x14ac:dyDescent="0.25">
      <c r="A4695"/>
    </row>
    <row r="4696" spans="1:1" x14ac:dyDescent="0.25">
      <c r="A4696"/>
    </row>
    <row r="4697" spans="1:1" x14ac:dyDescent="0.25">
      <c r="A4697"/>
    </row>
    <row r="4698" spans="1:1" x14ac:dyDescent="0.25">
      <c r="A4698"/>
    </row>
    <row r="4699" spans="1:1" x14ac:dyDescent="0.25">
      <c r="A4699"/>
    </row>
    <row r="4700" spans="1:1" x14ac:dyDescent="0.25">
      <c r="A4700"/>
    </row>
    <row r="4701" spans="1:1" x14ac:dyDescent="0.25">
      <c r="A4701"/>
    </row>
    <row r="4702" spans="1:1" x14ac:dyDescent="0.25">
      <c r="A4702"/>
    </row>
    <row r="4703" spans="1:1" x14ac:dyDescent="0.25">
      <c r="A4703"/>
    </row>
    <row r="4704" spans="1:1" x14ac:dyDescent="0.25">
      <c r="A4704"/>
    </row>
    <row r="4705" spans="1:1" x14ac:dyDescent="0.25">
      <c r="A4705"/>
    </row>
    <row r="4706" spans="1:1" x14ac:dyDescent="0.25">
      <c r="A4706"/>
    </row>
    <row r="4707" spans="1:1" x14ac:dyDescent="0.25">
      <c r="A4707"/>
    </row>
    <row r="4708" spans="1:1" x14ac:dyDescent="0.25">
      <c r="A4708"/>
    </row>
    <row r="4709" spans="1:1" x14ac:dyDescent="0.25">
      <c r="A4709"/>
    </row>
    <row r="4710" spans="1:1" x14ac:dyDescent="0.25">
      <c r="A4710"/>
    </row>
    <row r="4711" spans="1:1" x14ac:dyDescent="0.25">
      <c r="A4711"/>
    </row>
    <row r="4712" spans="1:1" x14ac:dyDescent="0.25">
      <c r="A4712"/>
    </row>
    <row r="4713" spans="1:1" x14ac:dyDescent="0.25">
      <c r="A4713"/>
    </row>
    <row r="4714" spans="1:1" x14ac:dyDescent="0.25">
      <c r="A4714"/>
    </row>
    <row r="4715" spans="1:1" x14ac:dyDescent="0.25">
      <c r="A4715"/>
    </row>
    <row r="4716" spans="1:1" x14ac:dyDescent="0.25">
      <c r="A4716"/>
    </row>
    <row r="4717" spans="1:1" x14ac:dyDescent="0.25">
      <c r="A4717"/>
    </row>
    <row r="4718" spans="1:1" x14ac:dyDescent="0.25">
      <c r="A4718"/>
    </row>
    <row r="4719" spans="1:1" x14ac:dyDescent="0.25">
      <c r="A4719"/>
    </row>
    <row r="4720" spans="1:1" x14ac:dyDescent="0.25">
      <c r="A4720"/>
    </row>
    <row r="4721" spans="1:1" x14ac:dyDescent="0.25">
      <c r="A4721"/>
    </row>
    <row r="4722" spans="1:1" x14ac:dyDescent="0.25">
      <c r="A4722"/>
    </row>
    <row r="4723" spans="1:1" x14ac:dyDescent="0.25">
      <c r="A4723"/>
    </row>
    <row r="4724" spans="1:1" x14ac:dyDescent="0.25">
      <c r="A4724"/>
    </row>
    <row r="4725" spans="1:1" x14ac:dyDescent="0.25">
      <c r="A4725"/>
    </row>
    <row r="4726" spans="1:1" x14ac:dyDescent="0.25">
      <c r="A4726"/>
    </row>
    <row r="4727" spans="1:1" x14ac:dyDescent="0.25">
      <c r="A4727"/>
    </row>
    <row r="4728" spans="1:1" x14ac:dyDescent="0.25">
      <c r="A4728"/>
    </row>
    <row r="4729" spans="1:1" x14ac:dyDescent="0.25">
      <c r="A4729"/>
    </row>
    <row r="4730" spans="1:1" x14ac:dyDescent="0.25">
      <c r="A4730"/>
    </row>
    <row r="4731" spans="1:1" x14ac:dyDescent="0.25">
      <c r="A4731"/>
    </row>
    <row r="4732" spans="1:1" x14ac:dyDescent="0.25">
      <c r="A4732"/>
    </row>
    <row r="4733" spans="1:1" x14ac:dyDescent="0.25">
      <c r="A4733"/>
    </row>
    <row r="4734" spans="1:1" x14ac:dyDescent="0.25">
      <c r="A4734"/>
    </row>
    <row r="4735" spans="1:1" x14ac:dyDescent="0.25">
      <c r="A4735"/>
    </row>
    <row r="4736" spans="1:1" x14ac:dyDescent="0.25">
      <c r="A4736"/>
    </row>
    <row r="4737" spans="1:1" x14ac:dyDescent="0.25">
      <c r="A4737"/>
    </row>
    <row r="4738" spans="1:1" x14ac:dyDescent="0.25">
      <c r="A4738"/>
    </row>
    <row r="4739" spans="1:1" x14ac:dyDescent="0.25">
      <c r="A4739"/>
    </row>
    <row r="4740" spans="1:1" x14ac:dyDescent="0.25">
      <c r="A4740"/>
    </row>
    <row r="4741" spans="1:1" x14ac:dyDescent="0.25">
      <c r="A4741"/>
    </row>
    <row r="4742" spans="1:1" x14ac:dyDescent="0.25">
      <c r="A4742"/>
    </row>
    <row r="4743" spans="1:1" x14ac:dyDescent="0.25">
      <c r="A4743"/>
    </row>
    <row r="4744" spans="1:1" x14ac:dyDescent="0.25">
      <c r="A4744"/>
    </row>
    <row r="4745" spans="1:1" x14ac:dyDescent="0.25">
      <c r="A4745"/>
    </row>
    <row r="4746" spans="1:1" x14ac:dyDescent="0.25">
      <c r="A4746"/>
    </row>
    <row r="4747" spans="1:1" x14ac:dyDescent="0.25">
      <c r="A4747"/>
    </row>
    <row r="4748" spans="1:1" x14ac:dyDescent="0.25">
      <c r="A4748"/>
    </row>
    <row r="4749" spans="1:1" x14ac:dyDescent="0.25">
      <c r="A4749"/>
    </row>
    <row r="4750" spans="1:1" x14ac:dyDescent="0.25">
      <c r="A4750"/>
    </row>
    <row r="4751" spans="1:1" x14ac:dyDescent="0.25">
      <c r="A4751"/>
    </row>
    <row r="4752" spans="1:1" x14ac:dyDescent="0.25">
      <c r="A4752"/>
    </row>
    <row r="4753" spans="1:1" x14ac:dyDescent="0.25">
      <c r="A4753"/>
    </row>
    <row r="4754" spans="1:1" x14ac:dyDescent="0.25">
      <c r="A4754"/>
    </row>
    <row r="4755" spans="1:1" x14ac:dyDescent="0.25">
      <c r="A4755"/>
    </row>
    <row r="4756" spans="1:1" x14ac:dyDescent="0.25">
      <c r="A4756"/>
    </row>
    <row r="4757" spans="1:1" x14ac:dyDescent="0.25">
      <c r="A4757"/>
    </row>
    <row r="4758" spans="1:1" x14ac:dyDescent="0.25">
      <c r="A4758"/>
    </row>
    <row r="4759" spans="1:1" x14ac:dyDescent="0.25">
      <c r="A4759"/>
    </row>
    <row r="4760" spans="1:1" x14ac:dyDescent="0.25">
      <c r="A4760"/>
    </row>
    <row r="4761" spans="1:1" x14ac:dyDescent="0.25">
      <c r="A4761"/>
    </row>
    <row r="4762" spans="1:1" x14ac:dyDescent="0.25">
      <c r="A4762"/>
    </row>
    <row r="4763" spans="1:1" x14ac:dyDescent="0.25">
      <c r="A4763"/>
    </row>
    <row r="4764" spans="1:1" x14ac:dyDescent="0.25">
      <c r="A4764"/>
    </row>
    <row r="4765" spans="1:1" x14ac:dyDescent="0.25">
      <c r="A4765"/>
    </row>
    <row r="4766" spans="1:1" x14ac:dyDescent="0.25">
      <c r="A4766"/>
    </row>
    <row r="4767" spans="1:1" x14ac:dyDescent="0.25">
      <c r="A4767"/>
    </row>
    <row r="4768" spans="1:1" x14ac:dyDescent="0.25">
      <c r="A4768"/>
    </row>
    <row r="4769" spans="1:1" x14ac:dyDescent="0.25">
      <c r="A4769"/>
    </row>
    <row r="4770" spans="1:1" x14ac:dyDescent="0.25">
      <c r="A4770"/>
    </row>
    <row r="4771" spans="1:1" x14ac:dyDescent="0.25">
      <c r="A4771"/>
    </row>
    <row r="4772" spans="1:1" x14ac:dyDescent="0.25">
      <c r="A4772"/>
    </row>
    <row r="4773" spans="1:1" x14ac:dyDescent="0.25">
      <c r="A4773"/>
    </row>
    <row r="4774" spans="1:1" x14ac:dyDescent="0.25">
      <c r="A4774"/>
    </row>
    <row r="4775" spans="1:1" x14ac:dyDescent="0.25">
      <c r="A4775"/>
    </row>
    <row r="4776" spans="1:1" x14ac:dyDescent="0.25">
      <c r="A4776"/>
    </row>
    <row r="4777" spans="1:1" x14ac:dyDescent="0.25">
      <c r="A4777"/>
    </row>
    <row r="4778" spans="1:1" x14ac:dyDescent="0.25">
      <c r="A4778"/>
    </row>
    <row r="4779" spans="1:1" x14ac:dyDescent="0.25">
      <c r="A4779"/>
    </row>
    <row r="4780" spans="1:1" x14ac:dyDescent="0.25">
      <c r="A4780"/>
    </row>
    <row r="4781" spans="1:1" x14ac:dyDescent="0.25">
      <c r="A4781"/>
    </row>
    <row r="4782" spans="1:1" x14ac:dyDescent="0.25">
      <c r="A4782"/>
    </row>
    <row r="4783" spans="1:1" x14ac:dyDescent="0.25">
      <c r="A4783"/>
    </row>
    <row r="4784" spans="1:1" x14ac:dyDescent="0.25">
      <c r="A4784"/>
    </row>
    <row r="4785" spans="1:1" x14ac:dyDescent="0.25">
      <c r="A4785"/>
    </row>
    <row r="4786" spans="1:1" x14ac:dyDescent="0.25">
      <c r="A4786"/>
    </row>
    <row r="4787" spans="1:1" x14ac:dyDescent="0.25">
      <c r="A4787"/>
    </row>
    <row r="4788" spans="1:1" x14ac:dyDescent="0.25">
      <c r="A4788"/>
    </row>
    <row r="4789" spans="1:1" x14ac:dyDescent="0.25">
      <c r="A4789"/>
    </row>
    <row r="4790" spans="1:1" x14ac:dyDescent="0.25">
      <c r="A4790"/>
    </row>
    <row r="4791" spans="1:1" x14ac:dyDescent="0.25">
      <c r="A4791"/>
    </row>
    <row r="4792" spans="1:1" x14ac:dyDescent="0.25">
      <c r="A4792"/>
    </row>
    <row r="4793" spans="1:1" x14ac:dyDescent="0.25">
      <c r="A4793"/>
    </row>
    <row r="4794" spans="1:1" x14ac:dyDescent="0.25">
      <c r="A4794"/>
    </row>
    <row r="4795" spans="1:1" x14ac:dyDescent="0.25">
      <c r="A4795"/>
    </row>
    <row r="4796" spans="1:1" x14ac:dyDescent="0.25">
      <c r="A4796"/>
    </row>
    <row r="4797" spans="1:1" x14ac:dyDescent="0.25">
      <c r="A4797"/>
    </row>
    <row r="4798" spans="1:1" x14ac:dyDescent="0.25">
      <c r="A4798"/>
    </row>
    <row r="4799" spans="1:1" x14ac:dyDescent="0.25">
      <c r="A4799"/>
    </row>
    <row r="4800" spans="1:1" x14ac:dyDescent="0.25">
      <c r="A4800"/>
    </row>
    <row r="4801" spans="1:1" x14ac:dyDescent="0.25">
      <c r="A4801"/>
    </row>
    <row r="4802" spans="1:1" x14ac:dyDescent="0.25">
      <c r="A4802"/>
    </row>
    <row r="4803" spans="1:1" x14ac:dyDescent="0.25">
      <c r="A4803"/>
    </row>
    <row r="4804" spans="1:1" x14ac:dyDescent="0.25">
      <c r="A4804"/>
    </row>
    <row r="4805" spans="1:1" x14ac:dyDescent="0.25">
      <c r="A4805"/>
    </row>
    <row r="4806" spans="1:1" x14ac:dyDescent="0.25">
      <c r="A4806"/>
    </row>
    <row r="4807" spans="1:1" x14ac:dyDescent="0.25">
      <c r="A4807"/>
    </row>
    <row r="4808" spans="1:1" x14ac:dyDescent="0.25">
      <c r="A4808"/>
    </row>
    <row r="4809" spans="1:1" x14ac:dyDescent="0.25">
      <c r="A4809"/>
    </row>
    <row r="4810" spans="1:1" x14ac:dyDescent="0.25">
      <c r="A4810"/>
    </row>
    <row r="4811" spans="1:1" x14ac:dyDescent="0.25">
      <c r="A4811"/>
    </row>
    <row r="4812" spans="1:1" x14ac:dyDescent="0.25">
      <c r="A4812"/>
    </row>
    <row r="4813" spans="1:1" x14ac:dyDescent="0.25">
      <c r="A4813"/>
    </row>
    <row r="4814" spans="1:1" x14ac:dyDescent="0.25">
      <c r="A4814"/>
    </row>
    <row r="4815" spans="1:1" x14ac:dyDescent="0.25">
      <c r="A4815"/>
    </row>
    <row r="4816" spans="1:1" x14ac:dyDescent="0.25">
      <c r="A4816"/>
    </row>
    <row r="4817" spans="1:1" x14ac:dyDescent="0.25">
      <c r="A4817"/>
    </row>
    <row r="4818" spans="1:1" x14ac:dyDescent="0.25">
      <c r="A4818"/>
    </row>
    <row r="4819" spans="1:1" x14ac:dyDescent="0.25">
      <c r="A4819"/>
    </row>
    <row r="4820" spans="1:1" x14ac:dyDescent="0.25">
      <c r="A4820"/>
    </row>
    <row r="4821" spans="1:1" x14ac:dyDescent="0.25">
      <c r="A4821"/>
    </row>
    <row r="4822" spans="1:1" x14ac:dyDescent="0.25">
      <c r="A4822"/>
    </row>
    <row r="4823" spans="1:1" x14ac:dyDescent="0.25">
      <c r="A4823"/>
    </row>
    <row r="4824" spans="1:1" x14ac:dyDescent="0.25">
      <c r="A4824"/>
    </row>
    <row r="4825" spans="1:1" x14ac:dyDescent="0.25">
      <c r="A4825"/>
    </row>
    <row r="4826" spans="1:1" x14ac:dyDescent="0.25">
      <c r="A4826"/>
    </row>
    <row r="4827" spans="1:1" x14ac:dyDescent="0.25">
      <c r="A4827"/>
    </row>
    <row r="4828" spans="1:1" x14ac:dyDescent="0.25">
      <c r="A4828"/>
    </row>
    <row r="4829" spans="1:1" x14ac:dyDescent="0.25">
      <c r="A4829"/>
    </row>
    <row r="4830" spans="1:1" x14ac:dyDescent="0.25">
      <c r="A4830"/>
    </row>
    <row r="4831" spans="1:1" x14ac:dyDescent="0.25">
      <c r="A4831"/>
    </row>
    <row r="4832" spans="1:1" x14ac:dyDescent="0.25">
      <c r="A4832"/>
    </row>
    <row r="4833" spans="1:1" x14ac:dyDescent="0.25">
      <c r="A4833"/>
    </row>
    <row r="4834" spans="1:1" x14ac:dyDescent="0.25">
      <c r="A4834"/>
    </row>
    <row r="4835" spans="1:1" x14ac:dyDescent="0.25">
      <c r="A4835"/>
    </row>
    <row r="4836" spans="1:1" x14ac:dyDescent="0.25">
      <c r="A4836"/>
    </row>
    <row r="4837" spans="1:1" x14ac:dyDescent="0.25">
      <c r="A4837"/>
    </row>
    <row r="4838" spans="1:1" x14ac:dyDescent="0.25">
      <c r="A4838"/>
    </row>
    <row r="4839" spans="1:1" x14ac:dyDescent="0.25">
      <c r="A4839"/>
    </row>
    <row r="4840" spans="1:1" x14ac:dyDescent="0.25">
      <c r="A4840"/>
    </row>
    <row r="4841" spans="1:1" x14ac:dyDescent="0.25">
      <c r="A4841"/>
    </row>
    <row r="4842" spans="1:1" x14ac:dyDescent="0.25">
      <c r="A4842"/>
    </row>
    <row r="4843" spans="1:1" x14ac:dyDescent="0.25">
      <c r="A4843"/>
    </row>
    <row r="4844" spans="1:1" x14ac:dyDescent="0.25">
      <c r="A4844"/>
    </row>
    <row r="4845" spans="1:1" x14ac:dyDescent="0.25">
      <c r="A4845"/>
    </row>
    <row r="4846" spans="1:1" x14ac:dyDescent="0.25">
      <c r="A4846"/>
    </row>
    <row r="4847" spans="1:1" x14ac:dyDescent="0.25">
      <c r="A4847"/>
    </row>
    <row r="4848" spans="1:1" x14ac:dyDescent="0.25">
      <c r="A4848"/>
    </row>
    <row r="4849" spans="1:1" x14ac:dyDescent="0.25">
      <c r="A4849"/>
    </row>
    <row r="4850" spans="1:1" x14ac:dyDescent="0.25">
      <c r="A4850"/>
    </row>
    <row r="4851" spans="1:1" x14ac:dyDescent="0.25">
      <c r="A4851"/>
    </row>
    <row r="4852" spans="1:1" x14ac:dyDescent="0.25">
      <c r="A4852"/>
    </row>
    <row r="4853" spans="1:1" x14ac:dyDescent="0.25">
      <c r="A4853"/>
    </row>
    <row r="4854" spans="1:1" x14ac:dyDescent="0.25">
      <c r="A4854"/>
    </row>
    <row r="4855" spans="1:1" x14ac:dyDescent="0.25">
      <c r="A4855"/>
    </row>
    <row r="4856" spans="1:1" x14ac:dyDescent="0.25">
      <c r="A4856"/>
    </row>
    <row r="4857" spans="1:1" x14ac:dyDescent="0.25">
      <c r="A4857"/>
    </row>
    <row r="4858" spans="1:1" x14ac:dyDescent="0.25">
      <c r="A4858"/>
    </row>
    <row r="4859" spans="1:1" x14ac:dyDescent="0.25">
      <c r="A4859"/>
    </row>
    <row r="4860" spans="1:1" x14ac:dyDescent="0.25">
      <c r="A4860"/>
    </row>
    <row r="4861" spans="1:1" x14ac:dyDescent="0.25">
      <c r="A4861"/>
    </row>
    <row r="4862" spans="1:1" x14ac:dyDescent="0.25">
      <c r="A4862"/>
    </row>
    <row r="4863" spans="1:1" x14ac:dyDescent="0.25">
      <c r="A4863"/>
    </row>
    <row r="4864" spans="1:1" x14ac:dyDescent="0.25">
      <c r="A4864"/>
    </row>
    <row r="4865" spans="1:1" x14ac:dyDescent="0.25">
      <c r="A4865"/>
    </row>
    <row r="4866" spans="1:1" x14ac:dyDescent="0.25">
      <c r="A4866"/>
    </row>
    <row r="4867" spans="1:1" x14ac:dyDescent="0.25">
      <c r="A4867"/>
    </row>
    <row r="4868" spans="1:1" x14ac:dyDescent="0.25">
      <c r="A4868"/>
    </row>
    <row r="4869" spans="1:1" x14ac:dyDescent="0.25">
      <c r="A4869"/>
    </row>
    <row r="4870" spans="1:1" x14ac:dyDescent="0.25">
      <c r="A4870"/>
    </row>
    <row r="4871" spans="1:1" x14ac:dyDescent="0.25">
      <c r="A4871"/>
    </row>
    <row r="4872" spans="1:1" x14ac:dyDescent="0.25">
      <c r="A4872"/>
    </row>
    <row r="4873" spans="1:1" x14ac:dyDescent="0.25">
      <c r="A4873"/>
    </row>
    <row r="4874" spans="1:1" x14ac:dyDescent="0.25">
      <c r="A4874"/>
    </row>
    <row r="4875" spans="1:1" x14ac:dyDescent="0.25">
      <c r="A4875"/>
    </row>
    <row r="4876" spans="1:1" x14ac:dyDescent="0.25">
      <c r="A4876"/>
    </row>
    <row r="4877" spans="1:1" x14ac:dyDescent="0.25">
      <c r="A4877"/>
    </row>
    <row r="4878" spans="1:1" x14ac:dyDescent="0.25">
      <c r="A4878"/>
    </row>
    <row r="4879" spans="1:1" x14ac:dyDescent="0.25">
      <c r="A4879"/>
    </row>
    <row r="4880" spans="1:1" x14ac:dyDescent="0.25">
      <c r="A4880"/>
    </row>
    <row r="4881" spans="1:1" x14ac:dyDescent="0.25">
      <c r="A4881"/>
    </row>
    <row r="4882" spans="1:1" x14ac:dyDescent="0.25">
      <c r="A4882"/>
    </row>
    <row r="4883" spans="1:1" x14ac:dyDescent="0.25">
      <c r="A4883"/>
    </row>
    <row r="4884" spans="1:1" x14ac:dyDescent="0.25">
      <c r="A4884"/>
    </row>
    <row r="4885" spans="1:1" x14ac:dyDescent="0.25">
      <c r="A4885"/>
    </row>
    <row r="4886" spans="1:1" x14ac:dyDescent="0.25">
      <c r="A4886"/>
    </row>
    <row r="4887" spans="1:1" x14ac:dyDescent="0.25">
      <c r="A4887"/>
    </row>
    <row r="4888" spans="1:1" x14ac:dyDescent="0.25">
      <c r="A4888"/>
    </row>
    <row r="4889" spans="1:1" x14ac:dyDescent="0.25">
      <c r="A4889"/>
    </row>
    <row r="4890" spans="1:1" x14ac:dyDescent="0.25">
      <c r="A4890"/>
    </row>
    <row r="4891" spans="1:1" x14ac:dyDescent="0.25">
      <c r="A4891"/>
    </row>
    <row r="4892" spans="1:1" x14ac:dyDescent="0.25">
      <c r="A4892"/>
    </row>
    <row r="4893" spans="1:1" x14ac:dyDescent="0.25">
      <c r="A4893"/>
    </row>
    <row r="4894" spans="1:1" x14ac:dyDescent="0.25">
      <c r="A4894"/>
    </row>
    <row r="4895" spans="1:1" x14ac:dyDescent="0.25">
      <c r="A4895"/>
    </row>
    <row r="4896" spans="1:1" x14ac:dyDescent="0.25">
      <c r="A4896"/>
    </row>
    <row r="4897" spans="1:1" x14ac:dyDescent="0.25">
      <c r="A4897"/>
    </row>
    <row r="4898" spans="1:1" x14ac:dyDescent="0.25">
      <c r="A4898"/>
    </row>
    <row r="4899" spans="1:1" x14ac:dyDescent="0.25">
      <c r="A4899"/>
    </row>
    <row r="4900" spans="1:1" x14ac:dyDescent="0.25">
      <c r="A4900"/>
    </row>
    <row r="4901" spans="1:1" x14ac:dyDescent="0.25">
      <c r="A4901"/>
    </row>
    <row r="4902" spans="1:1" x14ac:dyDescent="0.25">
      <c r="A4902"/>
    </row>
    <row r="4903" spans="1:1" x14ac:dyDescent="0.25">
      <c r="A4903"/>
    </row>
    <row r="4904" spans="1:1" x14ac:dyDescent="0.25">
      <c r="A4904"/>
    </row>
    <row r="4905" spans="1:1" x14ac:dyDescent="0.25">
      <c r="A4905"/>
    </row>
    <row r="4906" spans="1:1" x14ac:dyDescent="0.25">
      <c r="A4906"/>
    </row>
    <row r="4907" spans="1:1" x14ac:dyDescent="0.25">
      <c r="A4907"/>
    </row>
    <row r="4908" spans="1:1" x14ac:dyDescent="0.25">
      <c r="A4908"/>
    </row>
    <row r="4909" spans="1:1" x14ac:dyDescent="0.25">
      <c r="A4909"/>
    </row>
    <row r="4910" spans="1:1" x14ac:dyDescent="0.25">
      <c r="A4910"/>
    </row>
    <row r="4911" spans="1:1" x14ac:dyDescent="0.25">
      <c r="A4911"/>
    </row>
    <row r="4912" spans="1:1" x14ac:dyDescent="0.25">
      <c r="A4912"/>
    </row>
    <row r="4913" spans="1:1" x14ac:dyDescent="0.25">
      <c r="A4913"/>
    </row>
    <row r="4914" spans="1:1" x14ac:dyDescent="0.25">
      <c r="A4914"/>
    </row>
    <row r="4915" spans="1:1" x14ac:dyDescent="0.25">
      <c r="A4915"/>
    </row>
    <row r="4916" spans="1:1" x14ac:dyDescent="0.25">
      <c r="A4916"/>
    </row>
    <row r="4917" spans="1:1" x14ac:dyDescent="0.25">
      <c r="A4917"/>
    </row>
    <row r="4918" spans="1:1" x14ac:dyDescent="0.25">
      <c r="A4918"/>
    </row>
    <row r="4919" spans="1:1" x14ac:dyDescent="0.25">
      <c r="A4919"/>
    </row>
    <row r="4920" spans="1:1" x14ac:dyDescent="0.25">
      <c r="A4920"/>
    </row>
    <row r="4921" spans="1:1" x14ac:dyDescent="0.25">
      <c r="A4921"/>
    </row>
    <row r="4922" spans="1:1" x14ac:dyDescent="0.25">
      <c r="A4922"/>
    </row>
    <row r="4923" spans="1:1" x14ac:dyDescent="0.25">
      <c r="A4923"/>
    </row>
    <row r="4924" spans="1:1" x14ac:dyDescent="0.25">
      <c r="A4924"/>
    </row>
    <row r="4925" spans="1:1" x14ac:dyDescent="0.25">
      <c r="A4925"/>
    </row>
    <row r="4926" spans="1:1" x14ac:dyDescent="0.25">
      <c r="A4926"/>
    </row>
    <row r="4927" spans="1:1" x14ac:dyDescent="0.25">
      <c r="A4927"/>
    </row>
    <row r="4928" spans="1:1" x14ac:dyDescent="0.25">
      <c r="A4928"/>
    </row>
    <row r="4929" spans="1:1" x14ac:dyDescent="0.25">
      <c r="A4929"/>
    </row>
    <row r="4930" spans="1:1" x14ac:dyDescent="0.25">
      <c r="A4930"/>
    </row>
    <row r="4931" spans="1:1" x14ac:dyDescent="0.25">
      <c r="A4931"/>
    </row>
    <row r="4932" spans="1:1" x14ac:dyDescent="0.25">
      <c r="A4932"/>
    </row>
    <row r="4933" spans="1:1" x14ac:dyDescent="0.25">
      <c r="A4933"/>
    </row>
    <row r="4934" spans="1:1" x14ac:dyDescent="0.25">
      <c r="A4934"/>
    </row>
    <row r="4935" spans="1:1" x14ac:dyDescent="0.25">
      <c r="A4935"/>
    </row>
    <row r="4936" spans="1:1" x14ac:dyDescent="0.25">
      <c r="A4936"/>
    </row>
    <row r="4937" spans="1:1" x14ac:dyDescent="0.25">
      <c r="A4937"/>
    </row>
    <row r="4938" spans="1:1" x14ac:dyDescent="0.25">
      <c r="A4938"/>
    </row>
    <row r="4939" spans="1:1" x14ac:dyDescent="0.25">
      <c r="A4939"/>
    </row>
    <row r="4940" spans="1:1" x14ac:dyDescent="0.25">
      <c r="A4940"/>
    </row>
    <row r="4941" spans="1:1" x14ac:dyDescent="0.25">
      <c r="A4941"/>
    </row>
    <row r="4942" spans="1:1" x14ac:dyDescent="0.25">
      <c r="A4942"/>
    </row>
    <row r="4943" spans="1:1" x14ac:dyDescent="0.25">
      <c r="A4943"/>
    </row>
    <row r="4944" spans="1:1" x14ac:dyDescent="0.25">
      <c r="A4944"/>
    </row>
    <row r="4945" spans="1:1" x14ac:dyDescent="0.25">
      <c r="A4945"/>
    </row>
    <row r="4946" spans="1:1" x14ac:dyDescent="0.25">
      <c r="A4946"/>
    </row>
    <row r="4947" spans="1:1" x14ac:dyDescent="0.25">
      <c r="A4947"/>
    </row>
    <row r="4948" spans="1:1" x14ac:dyDescent="0.25">
      <c r="A4948"/>
    </row>
    <row r="4949" spans="1:1" x14ac:dyDescent="0.25">
      <c r="A4949"/>
    </row>
    <row r="4950" spans="1:1" x14ac:dyDescent="0.25">
      <c r="A4950"/>
    </row>
    <row r="4951" spans="1:1" x14ac:dyDescent="0.25">
      <c r="A4951"/>
    </row>
    <row r="4952" spans="1:1" x14ac:dyDescent="0.25">
      <c r="A4952"/>
    </row>
    <row r="4953" spans="1:1" x14ac:dyDescent="0.25">
      <c r="A4953"/>
    </row>
    <row r="4954" spans="1:1" x14ac:dyDescent="0.25">
      <c r="A4954"/>
    </row>
    <row r="4955" spans="1:1" x14ac:dyDescent="0.25">
      <c r="A4955"/>
    </row>
    <row r="4956" spans="1:1" x14ac:dyDescent="0.25">
      <c r="A4956"/>
    </row>
    <row r="4957" spans="1:1" x14ac:dyDescent="0.25">
      <c r="A4957"/>
    </row>
    <row r="4958" spans="1:1" x14ac:dyDescent="0.25">
      <c r="A4958"/>
    </row>
    <row r="4959" spans="1:1" x14ac:dyDescent="0.25">
      <c r="A4959"/>
    </row>
    <row r="4960" spans="1:1" x14ac:dyDescent="0.25">
      <c r="A4960"/>
    </row>
    <row r="4961" spans="1:1" x14ac:dyDescent="0.25">
      <c r="A4961"/>
    </row>
    <row r="4962" spans="1:1" x14ac:dyDescent="0.25">
      <c r="A4962"/>
    </row>
    <row r="4963" spans="1:1" x14ac:dyDescent="0.25">
      <c r="A4963"/>
    </row>
    <row r="4964" spans="1:1" x14ac:dyDescent="0.25">
      <c r="A4964"/>
    </row>
    <row r="4965" spans="1:1" x14ac:dyDescent="0.25">
      <c r="A4965"/>
    </row>
    <row r="4966" spans="1:1" x14ac:dyDescent="0.25">
      <c r="A4966"/>
    </row>
    <row r="4967" spans="1:1" x14ac:dyDescent="0.25">
      <c r="A4967"/>
    </row>
    <row r="4968" spans="1:1" x14ac:dyDescent="0.25">
      <c r="A4968"/>
    </row>
    <row r="4969" spans="1:1" x14ac:dyDescent="0.25">
      <c r="A4969"/>
    </row>
    <row r="4970" spans="1:1" x14ac:dyDescent="0.25">
      <c r="A4970"/>
    </row>
    <row r="4971" spans="1:1" x14ac:dyDescent="0.25">
      <c r="A4971"/>
    </row>
    <row r="4972" spans="1:1" x14ac:dyDescent="0.25">
      <c r="A4972"/>
    </row>
    <row r="4973" spans="1:1" x14ac:dyDescent="0.25">
      <c r="A4973"/>
    </row>
    <row r="4974" spans="1:1" x14ac:dyDescent="0.25">
      <c r="A4974"/>
    </row>
    <row r="4975" spans="1:1" x14ac:dyDescent="0.25">
      <c r="A4975"/>
    </row>
    <row r="4976" spans="1:1" x14ac:dyDescent="0.25">
      <c r="A4976"/>
    </row>
    <row r="4977" spans="1:1" x14ac:dyDescent="0.25">
      <c r="A4977"/>
    </row>
    <row r="4978" spans="1:1" x14ac:dyDescent="0.25">
      <c r="A4978"/>
    </row>
    <row r="4979" spans="1:1" x14ac:dyDescent="0.25">
      <c r="A4979"/>
    </row>
    <row r="4980" spans="1:1" x14ac:dyDescent="0.25">
      <c r="A4980"/>
    </row>
    <row r="4981" spans="1:1" x14ac:dyDescent="0.25">
      <c r="A4981"/>
    </row>
    <row r="4982" spans="1:1" x14ac:dyDescent="0.25">
      <c r="A4982"/>
    </row>
    <row r="4983" spans="1:1" x14ac:dyDescent="0.25">
      <c r="A4983"/>
    </row>
    <row r="4984" spans="1:1" x14ac:dyDescent="0.25">
      <c r="A4984"/>
    </row>
    <row r="4985" spans="1:1" x14ac:dyDescent="0.25">
      <c r="A4985"/>
    </row>
    <row r="4986" spans="1:1" x14ac:dyDescent="0.25">
      <c r="A4986"/>
    </row>
    <row r="4987" spans="1:1" x14ac:dyDescent="0.25">
      <c r="A4987"/>
    </row>
    <row r="4988" spans="1:1" x14ac:dyDescent="0.25">
      <c r="A4988"/>
    </row>
    <row r="4989" spans="1:1" x14ac:dyDescent="0.25">
      <c r="A4989"/>
    </row>
    <row r="4990" spans="1:1" x14ac:dyDescent="0.25">
      <c r="A4990"/>
    </row>
    <row r="4991" spans="1:1" x14ac:dyDescent="0.25">
      <c r="A4991"/>
    </row>
    <row r="4992" spans="1:1" x14ac:dyDescent="0.25">
      <c r="A4992"/>
    </row>
    <row r="4993" spans="1:1" x14ac:dyDescent="0.25">
      <c r="A4993"/>
    </row>
    <row r="4994" spans="1:1" x14ac:dyDescent="0.25">
      <c r="A4994"/>
    </row>
    <row r="4995" spans="1:1" x14ac:dyDescent="0.25">
      <c r="A4995"/>
    </row>
    <row r="4996" spans="1:1" x14ac:dyDescent="0.25">
      <c r="A4996"/>
    </row>
    <row r="4997" spans="1:1" x14ac:dyDescent="0.25">
      <c r="A4997"/>
    </row>
    <row r="4998" spans="1:1" x14ac:dyDescent="0.25">
      <c r="A4998"/>
    </row>
    <row r="4999" spans="1:1" x14ac:dyDescent="0.25">
      <c r="A4999"/>
    </row>
    <row r="5000" spans="1:1" x14ac:dyDescent="0.25">
      <c r="A5000"/>
    </row>
    <row r="5001" spans="1:1" x14ac:dyDescent="0.25">
      <c r="A5001"/>
    </row>
    <row r="5002" spans="1:1" x14ac:dyDescent="0.25">
      <c r="A5002"/>
    </row>
    <row r="5003" spans="1:1" x14ac:dyDescent="0.25">
      <c r="A5003"/>
    </row>
    <row r="5004" spans="1:1" x14ac:dyDescent="0.25">
      <c r="A5004"/>
    </row>
    <row r="5005" spans="1:1" x14ac:dyDescent="0.25">
      <c r="A5005"/>
    </row>
    <row r="5006" spans="1:1" x14ac:dyDescent="0.25">
      <c r="A5006"/>
    </row>
    <row r="5007" spans="1:1" x14ac:dyDescent="0.25">
      <c r="A5007"/>
    </row>
    <row r="5008" spans="1:1" x14ac:dyDescent="0.25">
      <c r="A5008"/>
    </row>
    <row r="5009" spans="1:1" x14ac:dyDescent="0.25">
      <c r="A5009"/>
    </row>
    <row r="5010" spans="1:1" x14ac:dyDescent="0.25">
      <c r="A5010"/>
    </row>
    <row r="5011" spans="1:1" x14ac:dyDescent="0.25">
      <c r="A5011"/>
    </row>
    <row r="5012" spans="1:1" x14ac:dyDescent="0.25">
      <c r="A5012"/>
    </row>
    <row r="5013" spans="1:1" x14ac:dyDescent="0.25">
      <c r="A5013"/>
    </row>
    <row r="5014" spans="1:1" x14ac:dyDescent="0.25">
      <c r="A5014"/>
    </row>
    <row r="5015" spans="1:1" x14ac:dyDescent="0.25">
      <c r="A5015"/>
    </row>
    <row r="5016" spans="1:1" x14ac:dyDescent="0.25">
      <c r="A5016"/>
    </row>
    <row r="5017" spans="1:1" x14ac:dyDescent="0.25">
      <c r="A5017"/>
    </row>
    <row r="5018" spans="1:1" x14ac:dyDescent="0.25">
      <c r="A5018"/>
    </row>
    <row r="5019" spans="1:1" x14ac:dyDescent="0.25">
      <c r="A5019"/>
    </row>
    <row r="5020" spans="1:1" x14ac:dyDescent="0.25">
      <c r="A5020"/>
    </row>
    <row r="5021" spans="1:1" x14ac:dyDescent="0.25">
      <c r="A5021"/>
    </row>
    <row r="5022" spans="1:1" x14ac:dyDescent="0.25">
      <c r="A5022"/>
    </row>
    <row r="5023" spans="1:1" x14ac:dyDescent="0.25">
      <c r="A5023"/>
    </row>
    <row r="5024" spans="1:1" x14ac:dyDescent="0.25">
      <c r="A5024"/>
    </row>
    <row r="5025" spans="1:1" x14ac:dyDescent="0.25">
      <c r="A5025"/>
    </row>
    <row r="5026" spans="1:1" x14ac:dyDescent="0.25">
      <c r="A5026"/>
    </row>
    <row r="5027" spans="1:1" x14ac:dyDescent="0.25">
      <c r="A5027"/>
    </row>
    <row r="5028" spans="1:1" x14ac:dyDescent="0.25">
      <c r="A5028"/>
    </row>
    <row r="5029" spans="1:1" x14ac:dyDescent="0.25">
      <c r="A5029"/>
    </row>
    <row r="5030" spans="1:1" x14ac:dyDescent="0.25">
      <c r="A5030"/>
    </row>
    <row r="5031" spans="1:1" x14ac:dyDescent="0.25">
      <c r="A5031"/>
    </row>
    <row r="5032" spans="1:1" x14ac:dyDescent="0.25">
      <c r="A5032"/>
    </row>
    <row r="5033" spans="1:1" x14ac:dyDescent="0.25">
      <c r="A5033"/>
    </row>
    <row r="5034" spans="1:1" x14ac:dyDescent="0.25">
      <c r="A5034"/>
    </row>
    <row r="5035" spans="1:1" x14ac:dyDescent="0.25">
      <c r="A5035"/>
    </row>
    <row r="5036" spans="1:1" x14ac:dyDescent="0.25">
      <c r="A5036"/>
    </row>
    <row r="5037" spans="1:1" x14ac:dyDescent="0.25">
      <c r="A5037"/>
    </row>
    <row r="5038" spans="1:1" x14ac:dyDescent="0.25">
      <c r="A5038"/>
    </row>
    <row r="5039" spans="1:1" x14ac:dyDescent="0.25">
      <c r="A5039"/>
    </row>
    <row r="5040" spans="1:1" x14ac:dyDescent="0.25">
      <c r="A5040"/>
    </row>
    <row r="5041" spans="1:1" x14ac:dyDescent="0.25">
      <c r="A5041"/>
    </row>
    <row r="5042" spans="1:1" x14ac:dyDescent="0.25">
      <c r="A5042"/>
    </row>
    <row r="5043" spans="1:1" x14ac:dyDescent="0.25">
      <c r="A5043"/>
    </row>
    <row r="5044" spans="1:1" x14ac:dyDescent="0.25">
      <c r="A5044"/>
    </row>
    <row r="5045" spans="1:1" x14ac:dyDescent="0.25">
      <c r="A5045"/>
    </row>
    <row r="5046" spans="1:1" x14ac:dyDescent="0.25">
      <c r="A5046"/>
    </row>
    <row r="5047" spans="1:1" x14ac:dyDescent="0.25">
      <c r="A5047"/>
    </row>
    <row r="5048" spans="1:1" x14ac:dyDescent="0.25">
      <c r="A5048"/>
    </row>
    <row r="5049" spans="1:1" x14ac:dyDescent="0.25">
      <c r="A5049"/>
    </row>
    <row r="5050" spans="1:1" x14ac:dyDescent="0.25">
      <c r="A5050"/>
    </row>
    <row r="5051" spans="1:1" x14ac:dyDescent="0.25">
      <c r="A5051"/>
    </row>
    <row r="5052" spans="1:1" x14ac:dyDescent="0.25">
      <c r="A5052"/>
    </row>
    <row r="5053" spans="1:1" x14ac:dyDescent="0.25">
      <c r="A5053"/>
    </row>
    <row r="5054" spans="1:1" x14ac:dyDescent="0.25">
      <c r="A5054"/>
    </row>
    <row r="5055" spans="1:1" x14ac:dyDescent="0.25">
      <c r="A5055"/>
    </row>
    <row r="5056" spans="1:1" x14ac:dyDescent="0.25">
      <c r="A5056"/>
    </row>
    <row r="5057" spans="1:1" x14ac:dyDescent="0.25">
      <c r="A5057"/>
    </row>
    <row r="5058" spans="1:1" x14ac:dyDescent="0.25">
      <c r="A5058"/>
    </row>
    <row r="5059" spans="1:1" x14ac:dyDescent="0.25">
      <c r="A5059"/>
    </row>
    <row r="5060" spans="1:1" x14ac:dyDescent="0.25">
      <c r="A5060"/>
    </row>
    <row r="5061" spans="1:1" x14ac:dyDescent="0.25">
      <c r="A5061"/>
    </row>
    <row r="5062" spans="1:1" x14ac:dyDescent="0.25">
      <c r="A5062"/>
    </row>
    <row r="5063" spans="1:1" x14ac:dyDescent="0.25">
      <c r="A5063"/>
    </row>
    <row r="5064" spans="1:1" x14ac:dyDescent="0.25">
      <c r="A5064"/>
    </row>
    <row r="5065" spans="1:1" x14ac:dyDescent="0.25">
      <c r="A5065"/>
    </row>
    <row r="5066" spans="1:1" x14ac:dyDescent="0.25">
      <c r="A5066"/>
    </row>
    <row r="5067" spans="1:1" x14ac:dyDescent="0.25">
      <c r="A5067"/>
    </row>
    <row r="5068" spans="1:1" x14ac:dyDescent="0.25">
      <c r="A5068"/>
    </row>
    <row r="5069" spans="1:1" x14ac:dyDescent="0.25">
      <c r="A5069"/>
    </row>
    <row r="5070" spans="1:1" x14ac:dyDescent="0.25">
      <c r="A5070"/>
    </row>
    <row r="5071" spans="1:1" x14ac:dyDescent="0.25">
      <c r="A5071"/>
    </row>
    <row r="5072" spans="1:1" x14ac:dyDescent="0.25">
      <c r="A5072"/>
    </row>
    <row r="5073" spans="1:1" x14ac:dyDescent="0.25">
      <c r="A5073"/>
    </row>
    <row r="5074" spans="1:1" x14ac:dyDescent="0.25">
      <c r="A5074"/>
    </row>
    <row r="5075" spans="1:1" x14ac:dyDescent="0.25">
      <c r="A5075"/>
    </row>
    <row r="5076" spans="1:1" x14ac:dyDescent="0.25">
      <c r="A5076"/>
    </row>
    <row r="5077" spans="1:1" x14ac:dyDescent="0.25">
      <c r="A5077"/>
    </row>
    <row r="5078" spans="1:1" x14ac:dyDescent="0.25">
      <c r="A5078"/>
    </row>
    <row r="5079" spans="1:1" x14ac:dyDescent="0.25">
      <c r="A5079"/>
    </row>
    <row r="5080" spans="1:1" x14ac:dyDescent="0.25">
      <c r="A5080"/>
    </row>
    <row r="5081" spans="1:1" x14ac:dyDescent="0.25">
      <c r="A5081"/>
    </row>
    <row r="5082" spans="1:1" x14ac:dyDescent="0.25">
      <c r="A5082"/>
    </row>
    <row r="5083" spans="1:1" x14ac:dyDescent="0.25">
      <c r="A5083"/>
    </row>
    <row r="5084" spans="1:1" x14ac:dyDescent="0.25">
      <c r="A5084"/>
    </row>
    <row r="5085" spans="1:1" x14ac:dyDescent="0.25">
      <c r="A5085"/>
    </row>
    <row r="5086" spans="1:1" x14ac:dyDescent="0.25">
      <c r="A5086"/>
    </row>
    <row r="5087" spans="1:1" x14ac:dyDescent="0.25">
      <c r="A5087"/>
    </row>
    <row r="5088" spans="1:1" x14ac:dyDescent="0.25">
      <c r="A5088"/>
    </row>
    <row r="5089" spans="1:1" x14ac:dyDescent="0.25">
      <c r="A5089"/>
    </row>
    <row r="5090" spans="1:1" x14ac:dyDescent="0.25">
      <c r="A5090"/>
    </row>
    <row r="5091" spans="1:1" x14ac:dyDescent="0.25">
      <c r="A5091"/>
    </row>
    <row r="5092" spans="1:1" x14ac:dyDescent="0.25">
      <c r="A5092"/>
    </row>
    <row r="5093" spans="1:1" x14ac:dyDescent="0.25">
      <c r="A5093"/>
    </row>
    <row r="5094" spans="1:1" x14ac:dyDescent="0.25">
      <c r="A5094"/>
    </row>
    <row r="5095" spans="1:1" x14ac:dyDescent="0.25">
      <c r="A5095"/>
    </row>
    <row r="5096" spans="1:1" x14ac:dyDescent="0.25">
      <c r="A5096"/>
    </row>
    <row r="5097" spans="1:1" x14ac:dyDescent="0.25">
      <c r="A5097"/>
    </row>
    <row r="5098" spans="1:1" x14ac:dyDescent="0.25">
      <c r="A5098"/>
    </row>
    <row r="5099" spans="1:1" x14ac:dyDescent="0.25">
      <c r="A5099"/>
    </row>
    <row r="5100" spans="1:1" x14ac:dyDescent="0.25">
      <c r="A5100"/>
    </row>
    <row r="5101" spans="1:1" x14ac:dyDescent="0.25">
      <c r="A5101"/>
    </row>
    <row r="5102" spans="1:1" x14ac:dyDescent="0.25">
      <c r="A5102"/>
    </row>
    <row r="5103" spans="1:1" x14ac:dyDescent="0.25">
      <c r="A5103"/>
    </row>
    <row r="5104" spans="1:1" x14ac:dyDescent="0.25">
      <c r="A5104"/>
    </row>
    <row r="5105" spans="1:1" x14ac:dyDescent="0.25">
      <c r="A5105"/>
    </row>
    <row r="5106" spans="1:1" x14ac:dyDescent="0.25">
      <c r="A5106"/>
    </row>
    <row r="5107" spans="1:1" x14ac:dyDescent="0.25">
      <c r="A5107"/>
    </row>
    <row r="5108" spans="1:1" x14ac:dyDescent="0.25">
      <c r="A5108"/>
    </row>
    <row r="5109" spans="1:1" x14ac:dyDescent="0.25">
      <c r="A5109"/>
    </row>
    <row r="5110" spans="1:1" x14ac:dyDescent="0.25">
      <c r="A5110"/>
    </row>
    <row r="5111" spans="1:1" x14ac:dyDescent="0.25">
      <c r="A5111"/>
    </row>
    <row r="5112" spans="1:1" x14ac:dyDescent="0.25">
      <c r="A5112"/>
    </row>
    <row r="5113" spans="1:1" x14ac:dyDescent="0.25">
      <c r="A5113"/>
    </row>
    <row r="5114" spans="1:1" x14ac:dyDescent="0.25">
      <c r="A5114"/>
    </row>
    <row r="5115" spans="1:1" x14ac:dyDescent="0.25">
      <c r="A5115"/>
    </row>
    <row r="5116" spans="1:1" x14ac:dyDescent="0.25">
      <c r="A5116"/>
    </row>
    <row r="5117" spans="1:1" x14ac:dyDescent="0.25">
      <c r="A5117"/>
    </row>
    <row r="5118" spans="1:1" x14ac:dyDescent="0.25">
      <c r="A5118"/>
    </row>
    <row r="5119" spans="1:1" x14ac:dyDescent="0.25">
      <c r="A5119"/>
    </row>
    <row r="5120" spans="1:1" x14ac:dyDescent="0.25">
      <c r="A5120"/>
    </row>
    <row r="5121" spans="1:1" x14ac:dyDescent="0.25">
      <c r="A5121"/>
    </row>
    <row r="5122" spans="1:1" x14ac:dyDescent="0.25">
      <c r="A5122"/>
    </row>
    <row r="5123" spans="1:1" x14ac:dyDescent="0.25">
      <c r="A5123"/>
    </row>
    <row r="5124" spans="1:1" x14ac:dyDescent="0.25">
      <c r="A5124"/>
    </row>
    <row r="5125" spans="1:1" x14ac:dyDescent="0.25">
      <c r="A5125"/>
    </row>
    <row r="5126" spans="1:1" x14ac:dyDescent="0.25">
      <c r="A5126"/>
    </row>
    <row r="5127" spans="1:1" x14ac:dyDescent="0.25">
      <c r="A5127"/>
    </row>
    <row r="5128" spans="1:1" x14ac:dyDescent="0.25">
      <c r="A5128"/>
    </row>
    <row r="5129" spans="1:1" x14ac:dyDescent="0.25">
      <c r="A5129"/>
    </row>
    <row r="5130" spans="1:1" x14ac:dyDescent="0.25">
      <c r="A5130"/>
    </row>
    <row r="5131" spans="1:1" x14ac:dyDescent="0.25">
      <c r="A5131"/>
    </row>
    <row r="5132" spans="1:1" x14ac:dyDescent="0.25">
      <c r="A5132"/>
    </row>
    <row r="5133" spans="1:1" x14ac:dyDescent="0.25">
      <c r="A5133"/>
    </row>
    <row r="5134" spans="1:1" x14ac:dyDescent="0.25">
      <c r="A5134"/>
    </row>
    <row r="5135" spans="1:1" x14ac:dyDescent="0.25">
      <c r="A5135"/>
    </row>
    <row r="5136" spans="1:1" x14ac:dyDescent="0.25">
      <c r="A5136"/>
    </row>
    <row r="5137" spans="1:1" x14ac:dyDescent="0.25">
      <c r="A5137"/>
    </row>
    <row r="5138" spans="1:1" x14ac:dyDescent="0.25">
      <c r="A5138"/>
    </row>
    <row r="5139" spans="1:1" x14ac:dyDescent="0.25">
      <c r="A5139"/>
    </row>
    <row r="5140" spans="1:1" x14ac:dyDescent="0.25">
      <c r="A5140"/>
    </row>
    <row r="5141" spans="1:1" x14ac:dyDescent="0.25">
      <c r="A5141"/>
    </row>
    <row r="5142" spans="1:1" x14ac:dyDescent="0.25">
      <c r="A5142"/>
    </row>
    <row r="5143" spans="1:1" x14ac:dyDescent="0.25">
      <c r="A5143"/>
    </row>
    <row r="5144" spans="1:1" x14ac:dyDescent="0.25">
      <c r="A5144"/>
    </row>
    <row r="5145" spans="1:1" x14ac:dyDescent="0.25">
      <c r="A5145"/>
    </row>
    <row r="5146" spans="1:1" x14ac:dyDescent="0.25">
      <c r="A5146"/>
    </row>
    <row r="5147" spans="1:1" x14ac:dyDescent="0.25">
      <c r="A5147"/>
    </row>
    <row r="5148" spans="1:1" x14ac:dyDescent="0.25">
      <c r="A5148"/>
    </row>
    <row r="5149" spans="1:1" x14ac:dyDescent="0.25">
      <c r="A5149"/>
    </row>
    <row r="5150" spans="1:1" x14ac:dyDescent="0.25">
      <c r="A5150"/>
    </row>
    <row r="5151" spans="1:1" x14ac:dyDescent="0.25">
      <c r="A5151"/>
    </row>
    <row r="5152" spans="1:1" x14ac:dyDescent="0.25">
      <c r="A5152"/>
    </row>
    <row r="5153" spans="1:1" x14ac:dyDescent="0.25">
      <c r="A5153"/>
    </row>
    <row r="5154" spans="1:1" x14ac:dyDescent="0.25">
      <c r="A5154"/>
    </row>
    <row r="5155" spans="1:1" x14ac:dyDescent="0.25">
      <c r="A5155"/>
    </row>
    <row r="5156" spans="1:1" x14ac:dyDescent="0.25">
      <c r="A5156"/>
    </row>
    <row r="5157" spans="1:1" x14ac:dyDescent="0.25">
      <c r="A5157"/>
    </row>
    <row r="5158" spans="1:1" x14ac:dyDescent="0.25">
      <c r="A5158"/>
    </row>
    <row r="5159" spans="1:1" x14ac:dyDescent="0.25">
      <c r="A5159"/>
    </row>
    <row r="5160" spans="1:1" x14ac:dyDescent="0.25">
      <c r="A5160"/>
    </row>
    <row r="5161" spans="1:1" x14ac:dyDescent="0.25">
      <c r="A5161"/>
    </row>
    <row r="5162" spans="1:1" x14ac:dyDescent="0.25">
      <c r="A5162"/>
    </row>
    <row r="5163" spans="1:1" x14ac:dyDescent="0.25">
      <c r="A5163"/>
    </row>
    <row r="5164" spans="1:1" x14ac:dyDescent="0.25">
      <c r="A5164"/>
    </row>
    <row r="5165" spans="1:1" x14ac:dyDescent="0.25">
      <c r="A5165"/>
    </row>
    <row r="5166" spans="1:1" x14ac:dyDescent="0.25">
      <c r="A5166"/>
    </row>
    <row r="5167" spans="1:1" x14ac:dyDescent="0.25">
      <c r="A5167"/>
    </row>
    <row r="5168" spans="1:1" x14ac:dyDescent="0.25">
      <c r="A5168"/>
    </row>
    <row r="5169" spans="1:1" x14ac:dyDescent="0.25">
      <c r="A5169"/>
    </row>
    <row r="5170" spans="1:1" x14ac:dyDescent="0.25">
      <c r="A5170"/>
    </row>
    <row r="5171" spans="1:1" x14ac:dyDescent="0.25">
      <c r="A5171"/>
    </row>
    <row r="5172" spans="1:1" x14ac:dyDescent="0.25">
      <c r="A5172"/>
    </row>
    <row r="5173" spans="1:1" x14ac:dyDescent="0.25">
      <c r="A5173"/>
    </row>
    <row r="5174" spans="1:1" x14ac:dyDescent="0.25">
      <c r="A5174"/>
    </row>
    <row r="5175" spans="1:1" x14ac:dyDescent="0.25">
      <c r="A5175"/>
    </row>
    <row r="5176" spans="1:1" x14ac:dyDescent="0.25">
      <c r="A5176"/>
    </row>
    <row r="5177" spans="1:1" x14ac:dyDescent="0.25">
      <c r="A5177"/>
    </row>
    <row r="5178" spans="1:1" x14ac:dyDescent="0.25">
      <c r="A5178"/>
    </row>
    <row r="5179" spans="1:1" x14ac:dyDescent="0.25">
      <c r="A5179"/>
    </row>
    <row r="5180" spans="1:1" x14ac:dyDescent="0.25">
      <c r="A5180"/>
    </row>
    <row r="5181" spans="1:1" x14ac:dyDescent="0.25">
      <c r="A5181"/>
    </row>
    <row r="5182" spans="1:1" x14ac:dyDescent="0.25">
      <c r="A5182"/>
    </row>
    <row r="5183" spans="1:1" x14ac:dyDescent="0.25">
      <c r="A5183"/>
    </row>
    <row r="5184" spans="1:1" x14ac:dyDescent="0.25">
      <c r="A5184"/>
    </row>
    <row r="5185" spans="1:1" x14ac:dyDescent="0.25">
      <c r="A5185"/>
    </row>
    <row r="5186" spans="1:1" x14ac:dyDescent="0.25">
      <c r="A5186"/>
    </row>
    <row r="5187" spans="1:1" x14ac:dyDescent="0.25">
      <c r="A5187"/>
    </row>
    <row r="5188" spans="1:1" x14ac:dyDescent="0.25">
      <c r="A5188"/>
    </row>
    <row r="5189" spans="1:1" x14ac:dyDescent="0.25">
      <c r="A5189"/>
    </row>
    <row r="5190" spans="1:1" x14ac:dyDescent="0.25">
      <c r="A5190"/>
    </row>
    <row r="5191" spans="1:1" x14ac:dyDescent="0.25">
      <c r="A5191"/>
    </row>
    <row r="5192" spans="1:1" x14ac:dyDescent="0.25">
      <c r="A5192"/>
    </row>
    <row r="5193" spans="1:1" x14ac:dyDescent="0.25">
      <c r="A5193"/>
    </row>
    <row r="5194" spans="1:1" x14ac:dyDescent="0.25">
      <c r="A5194"/>
    </row>
    <row r="5195" spans="1:1" x14ac:dyDescent="0.25">
      <c r="A5195"/>
    </row>
    <row r="5196" spans="1:1" x14ac:dyDescent="0.25">
      <c r="A5196"/>
    </row>
    <row r="5197" spans="1:1" x14ac:dyDescent="0.25">
      <c r="A5197"/>
    </row>
    <row r="5198" spans="1:1" x14ac:dyDescent="0.25">
      <c r="A5198"/>
    </row>
    <row r="5199" spans="1:1" x14ac:dyDescent="0.25">
      <c r="A5199"/>
    </row>
    <row r="5200" spans="1:1" x14ac:dyDescent="0.25">
      <c r="A5200"/>
    </row>
    <row r="5201" spans="1:1" x14ac:dyDescent="0.25">
      <c r="A5201"/>
    </row>
    <row r="5202" spans="1:1" x14ac:dyDescent="0.25">
      <c r="A5202"/>
    </row>
    <row r="5203" spans="1:1" x14ac:dyDescent="0.25">
      <c r="A5203"/>
    </row>
    <row r="5204" spans="1:1" x14ac:dyDescent="0.25">
      <c r="A5204"/>
    </row>
    <row r="5205" spans="1:1" x14ac:dyDescent="0.25">
      <c r="A5205"/>
    </row>
    <row r="5206" spans="1:1" x14ac:dyDescent="0.25">
      <c r="A5206"/>
    </row>
    <row r="5207" spans="1:1" x14ac:dyDescent="0.25">
      <c r="A5207"/>
    </row>
    <row r="5208" spans="1:1" x14ac:dyDescent="0.25">
      <c r="A5208"/>
    </row>
    <row r="5209" spans="1:1" x14ac:dyDescent="0.25">
      <c r="A5209"/>
    </row>
    <row r="5210" spans="1:1" x14ac:dyDescent="0.25">
      <c r="A5210"/>
    </row>
    <row r="5211" spans="1:1" x14ac:dyDescent="0.25">
      <c r="A5211"/>
    </row>
    <row r="5212" spans="1:1" x14ac:dyDescent="0.25">
      <c r="A5212"/>
    </row>
    <row r="5213" spans="1:1" x14ac:dyDescent="0.25">
      <c r="A5213"/>
    </row>
    <row r="5214" spans="1:1" x14ac:dyDescent="0.25">
      <c r="A5214"/>
    </row>
    <row r="5215" spans="1:1" x14ac:dyDescent="0.25">
      <c r="A5215"/>
    </row>
    <row r="5216" spans="1:1" x14ac:dyDescent="0.25">
      <c r="A5216"/>
    </row>
    <row r="5217" spans="1:1" x14ac:dyDescent="0.25">
      <c r="A5217"/>
    </row>
    <row r="5218" spans="1:1" x14ac:dyDescent="0.25">
      <c r="A5218"/>
    </row>
    <row r="5219" spans="1:1" x14ac:dyDescent="0.25">
      <c r="A5219"/>
    </row>
    <row r="5220" spans="1:1" x14ac:dyDescent="0.25">
      <c r="A5220"/>
    </row>
    <row r="5221" spans="1:1" x14ac:dyDescent="0.25">
      <c r="A5221"/>
    </row>
    <row r="5222" spans="1:1" x14ac:dyDescent="0.25">
      <c r="A5222"/>
    </row>
    <row r="5223" spans="1:1" x14ac:dyDescent="0.25">
      <c r="A5223"/>
    </row>
    <row r="5224" spans="1:1" x14ac:dyDescent="0.25">
      <c r="A5224"/>
    </row>
    <row r="5225" spans="1:1" x14ac:dyDescent="0.25">
      <c r="A5225"/>
    </row>
    <row r="5226" spans="1:1" x14ac:dyDescent="0.25">
      <c r="A5226"/>
    </row>
    <row r="5227" spans="1:1" x14ac:dyDescent="0.25">
      <c r="A5227"/>
    </row>
    <row r="5228" spans="1:1" x14ac:dyDescent="0.25">
      <c r="A5228"/>
    </row>
    <row r="5229" spans="1:1" x14ac:dyDescent="0.25">
      <c r="A5229"/>
    </row>
    <row r="5230" spans="1:1" x14ac:dyDescent="0.25">
      <c r="A5230"/>
    </row>
    <row r="5231" spans="1:1" x14ac:dyDescent="0.25">
      <c r="A5231"/>
    </row>
    <row r="5232" spans="1:1" x14ac:dyDescent="0.25">
      <c r="A5232"/>
    </row>
    <row r="5233" spans="1:1" x14ac:dyDescent="0.25">
      <c r="A5233"/>
    </row>
    <row r="5234" spans="1:1" x14ac:dyDescent="0.25">
      <c r="A5234"/>
    </row>
    <row r="5235" spans="1:1" x14ac:dyDescent="0.25">
      <c r="A5235"/>
    </row>
    <row r="5236" spans="1:1" x14ac:dyDescent="0.25">
      <c r="A5236"/>
    </row>
    <row r="5237" spans="1:1" x14ac:dyDescent="0.25">
      <c r="A5237"/>
    </row>
    <row r="5238" spans="1:1" x14ac:dyDescent="0.25">
      <c r="A5238"/>
    </row>
    <row r="5239" spans="1:1" x14ac:dyDescent="0.25">
      <c r="A5239"/>
    </row>
    <row r="5240" spans="1:1" x14ac:dyDescent="0.25">
      <c r="A5240"/>
    </row>
    <row r="5241" spans="1:1" x14ac:dyDescent="0.25">
      <c r="A5241"/>
    </row>
    <row r="5242" spans="1:1" x14ac:dyDescent="0.25">
      <c r="A5242"/>
    </row>
    <row r="5243" spans="1:1" x14ac:dyDescent="0.25">
      <c r="A5243"/>
    </row>
    <row r="5244" spans="1:1" x14ac:dyDescent="0.25">
      <c r="A5244"/>
    </row>
    <row r="5245" spans="1:1" x14ac:dyDescent="0.25">
      <c r="A5245"/>
    </row>
    <row r="5246" spans="1:1" x14ac:dyDescent="0.25">
      <c r="A5246"/>
    </row>
    <row r="5247" spans="1:1" x14ac:dyDescent="0.25">
      <c r="A5247"/>
    </row>
    <row r="5248" spans="1:1" x14ac:dyDescent="0.25">
      <c r="A5248"/>
    </row>
    <row r="5249" spans="1:1" x14ac:dyDescent="0.25">
      <c r="A5249"/>
    </row>
    <row r="5250" spans="1:1" x14ac:dyDescent="0.25">
      <c r="A5250"/>
    </row>
    <row r="5251" spans="1:1" x14ac:dyDescent="0.25">
      <c r="A5251"/>
    </row>
    <row r="5252" spans="1:1" x14ac:dyDescent="0.25">
      <c r="A5252"/>
    </row>
    <row r="5253" spans="1:1" x14ac:dyDescent="0.25">
      <c r="A5253"/>
    </row>
    <row r="5254" spans="1:1" x14ac:dyDescent="0.25">
      <c r="A5254"/>
    </row>
    <row r="5255" spans="1:1" x14ac:dyDescent="0.25">
      <c r="A5255"/>
    </row>
    <row r="5256" spans="1:1" x14ac:dyDescent="0.25">
      <c r="A5256"/>
    </row>
    <row r="5257" spans="1:1" x14ac:dyDescent="0.25">
      <c r="A5257"/>
    </row>
    <row r="5258" spans="1:1" x14ac:dyDescent="0.25">
      <c r="A5258"/>
    </row>
    <row r="5259" spans="1:1" x14ac:dyDescent="0.25">
      <c r="A5259"/>
    </row>
    <row r="5260" spans="1:1" x14ac:dyDescent="0.25">
      <c r="A5260"/>
    </row>
    <row r="5261" spans="1:1" x14ac:dyDescent="0.25">
      <c r="A5261"/>
    </row>
    <row r="5262" spans="1:1" x14ac:dyDescent="0.25">
      <c r="A5262"/>
    </row>
    <row r="5263" spans="1:1" x14ac:dyDescent="0.25">
      <c r="A5263"/>
    </row>
    <row r="5264" spans="1:1" x14ac:dyDescent="0.25">
      <c r="A5264"/>
    </row>
    <row r="5265" spans="1:1" x14ac:dyDescent="0.25">
      <c r="A5265"/>
    </row>
    <row r="5266" spans="1:1" x14ac:dyDescent="0.25">
      <c r="A5266"/>
    </row>
    <row r="5267" spans="1:1" x14ac:dyDescent="0.25">
      <c r="A5267"/>
    </row>
    <row r="5268" spans="1:1" x14ac:dyDescent="0.25">
      <c r="A5268"/>
    </row>
    <row r="5269" spans="1:1" x14ac:dyDescent="0.25">
      <c r="A5269"/>
    </row>
    <row r="5270" spans="1:1" x14ac:dyDescent="0.25">
      <c r="A5270"/>
    </row>
    <row r="5271" spans="1:1" x14ac:dyDescent="0.25">
      <c r="A5271"/>
    </row>
    <row r="5272" spans="1:1" x14ac:dyDescent="0.25">
      <c r="A5272"/>
    </row>
    <row r="5273" spans="1:1" x14ac:dyDescent="0.25">
      <c r="A5273"/>
    </row>
    <row r="5274" spans="1:1" x14ac:dyDescent="0.25">
      <c r="A5274"/>
    </row>
    <row r="5275" spans="1:1" x14ac:dyDescent="0.25">
      <c r="A5275"/>
    </row>
    <row r="5276" spans="1:1" x14ac:dyDescent="0.25">
      <c r="A5276"/>
    </row>
    <row r="5277" spans="1:1" x14ac:dyDescent="0.25">
      <c r="A5277"/>
    </row>
    <row r="5278" spans="1:1" x14ac:dyDescent="0.25">
      <c r="A5278"/>
    </row>
    <row r="5279" spans="1:1" x14ac:dyDescent="0.25">
      <c r="A5279"/>
    </row>
    <row r="5280" spans="1:1" x14ac:dyDescent="0.25">
      <c r="A5280"/>
    </row>
    <row r="5281" spans="1:1" x14ac:dyDescent="0.25">
      <c r="A5281"/>
    </row>
    <row r="5282" spans="1:1" x14ac:dyDescent="0.25">
      <c r="A5282"/>
    </row>
    <row r="5283" spans="1:1" x14ac:dyDescent="0.25">
      <c r="A5283"/>
    </row>
    <row r="5284" spans="1:1" x14ac:dyDescent="0.25">
      <c r="A5284"/>
    </row>
    <row r="5285" spans="1:1" x14ac:dyDescent="0.25">
      <c r="A5285"/>
    </row>
    <row r="5286" spans="1:1" x14ac:dyDescent="0.25">
      <c r="A5286"/>
    </row>
    <row r="5287" spans="1:1" x14ac:dyDescent="0.25">
      <c r="A5287"/>
    </row>
    <row r="5288" spans="1:1" x14ac:dyDescent="0.25">
      <c r="A5288"/>
    </row>
    <row r="5289" spans="1:1" x14ac:dyDescent="0.25">
      <c r="A5289"/>
    </row>
    <row r="5290" spans="1:1" x14ac:dyDescent="0.25">
      <c r="A5290"/>
    </row>
    <row r="5291" spans="1:1" x14ac:dyDescent="0.25">
      <c r="A5291"/>
    </row>
    <row r="5292" spans="1:1" x14ac:dyDescent="0.25">
      <c r="A5292"/>
    </row>
    <row r="5293" spans="1:1" x14ac:dyDescent="0.25">
      <c r="A5293"/>
    </row>
    <row r="5294" spans="1:1" x14ac:dyDescent="0.25">
      <c r="A5294"/>
    </row>
    <row r="5295" spans="1:1" x14ac:dyDescent="0.25">
      <c r="A5295"/>
    </row>
    <row r="5296" spans="1:1" x14ac:dyDescent="0.25">
      <c r="A5296"/>
    </row>
    <row r="5297" spans="1:1" x14ac:dyDescent="0.25">
      <c r="A5297"/>
    </row>
    <row r="5298" spans="1:1" x14ac:dyDescent="0.25">
      <c r="A5298"/>
    </row>
    <row r="5299" spans="1:1" x14ac:dyDescent="0.25">
      <c r="A5299"/>
    </row>
    <row r="5300" spans="1:1" x14ac:dyDescent="0.25">
      <c r="A5300"/>
    </row>
    <row r="5301" spans="1:1" x14ac:dyDescent="0.25">
      <c r="A5301"/>
    </row>
    <row r="5302" spans="1:1" x14ac:dyDescent="0.25">
      <c r="A5302"/>
    </row>
    <row r="5303" spans="1:1" x14ac:dyDescent="0.25">
      <c r="A5303"/>
    </row>
    <row r="5304" spans="1:1" x14ac:dyDescent="0.25">
      <c r="A5304"/>
    </row>
    <row r="5305" spans="1:1" x14ac:dyDescent="0.25">
      <c r="A5305"/>
    </row>
    <row r="5306" spans="1:1" x14ac:dyDescent="0.25">
      <c r="A5306"/>
    </row>
    <row r="5307" spans="1:1" x14ac:dyDescent="0.25">
      <c r="A5307"/>
    </row>
    <row r="5308" spans="1:1" x14ac:dyDescent="0.25">
      <c r="A5308"/>
    </row>
    <row r="5309" spans="1:1" x14ac:dyDescent="0.25">
      <c r="A5309"/>
    </row>
    <row r="5310" spans="1:1" x14ac:dyDescent="0.25">
      <c r="A5310"/>
    </row>
    <row r="5311" spans="1:1" x14ac:dyDescent="0.25">
      <c r="A5311"/>
    </row>
    <row r="5312" spans="1:1" x14ac:dyDescent="0.25">
      <c r="A5312"/>
    </row>
    <row r="5313" spans="1:1" x14ac:dyDescent="0.25">
      <c r="A5313"/>
    </row>
    <row r="5314" spans="1:1" x14ac:dyDescent="0.25">
      <c r="A5314"/>
    </row>
    <row r="5315" spans="1:1" x14ac:dyDescent="0.25">
      <c r="A5315"/>
    </row>
    <row r="5316" spans="1:1" x14ac:dyDescent="0.25">
      <c r="A5316"/>
    </row>
    <row r="5317" spans="1:1" x14ac:dyDescent="0.25">
      <c r="A5317"/>
    </row>
    <row r="5318" spans="1:1" x14ac:dyDescent="0.25">
      <c r="A5318"/>
    </row>
    <row r="5319" spans="1:1" x14ac:dyDescent="0.25">
      <c r="A5319"/>
    </row>
    <row r="5320" spans="1:1" x14ac:dyDescent="0.25">
      <c r="A5320"/>
    </row>
    <row r="5321" spans="1:1" x14ac:dyDescent="0.25">
      <c r="A5321"/>
    </row>
    <row r="5322" spans="1:1" x14ac:dyDescent="0.25">
      <c r="A5322"/>
    </row>
    <row r="5323" spans="1:1" x14ac:dyDescent="0.25">
      <c r="A5323"/>
    </row>
    <row r="5324" spans="1:1" x14ac:dyDescent="0.25">
      <c r="A5324"/>
    </row>
    <row r="5325" spans="1:1" x14ac:dyDescent="0.25">
      <c r="A5325"/>
    </row>
    <row r="5326" spans="1:1" x14ac:dyDescent="0.25">
      <c r="A5326"/>
    </row>
    <row r="5327" spans="1:1" x14ac:dyDescent="0.25">
      <c r="A5327"/>
    </row>
    <row r="5328" spans="1:1" x14ac:dyDescent="0.25">
      <c r="A5328"/>
    </row>
    <row r="5329" spans="1:1" x14ac:dyDescent="0.25">
      <c r="A5329"/>
    </row>
    <row r="5330" spans="1:1" x14ac:dyDescent="0.25">
      <c r="A5330"/>
    </row>
    <row r="5331" spans="1:1" x14ac:dyDescent="0.25">
      <c r="A5331"/>
    </row>
    <row r="5332" spans="1:1" x14ac:dyDescent="0.25">
      <c r="A5332"/>
    </row>
    <row r="5333" spans="1:1" x14ac:dyDescent="0.25">
      <c r="A5333"/>
    </row>
    <row r="5334" spans="1:1" x14ac:dyDescent="0.25">
      <c r="A5334"/>
    </row>
    <row r="5335" spans="1:1" x14ac:dyDescent="0.25">
      <c r="A5335"/>
    </row>
    <row r="5336" spans="1:1" x14ac:dyDescent="0.25">
      <c r="A5336"/>
    </row>
    <row r="5337" spans="1:1" x14ac:dyDescent="0.25">
      <c r="A5337"/>
    </row>
    <row r="5338" spans="1:1" x14ac:dyDescent="0.25">
      <c r="A5338"/>
    </row>
    <row r="5339" spans="1:1" x14ac:dyDescent="0.25">
      <c r="A5339"/>
    </row>
    <row r="5340" spans="1:1" x14ac:dyDescent="0.25">
      <c r="A5340"/>
    </row>
    <row r="5341" spans="1:1" x14ac:dyDescent="0.25">
      <c r="A5341"/>
    </row>
    <row r="5342" spans="1:1" x14ac:dyDescent="0.25">
      <c r="A5342"/>
    </row>
    <row r="5343" spans="1:1" x14ac:dyDescent="0.25">
      <c r="A5343"/>
    </row>
    <row r="5344" spans="1:1" x14ac:dyDescent="0.25">
      <c r="A5344"/>
    </row>
    <row r="5345" spans="1:1" x14ac:dyDescent="0.25">
      <c r="A5345"/>
    </row>
    <row r="5346" spans="1:1" x14ac:dyDescent="0.25">
      <c r="A5346"/>
    </row>
    <row r="5347" spans="1:1" x14ac:dyDescent="0.25">
      <c r="A5347"/>
    </row>
    <row r="5348" spans="1:1" x14ac:dyDescent="0.25">
      <c r="A5348"/>
    </row>
    <row r="5349" spans="1:1" x14ac:dyDescent="0.25">
      <c r="A5349"/>
    </row>
    <row r="5350" spans="1:1" x14ac:dyDescent="0.25">
      <c r="A5350"/>
    </row>
    <row r="5351" spans="1:1" x14ac:dyDescent="0.25">
      <c r="A5351"/>
    </row>
    <row r="5352" spans="1:1" x14ac:dyDescent="0.25">
      <c r="A5352"/>
    </row>
    <row r="5353" spans="1:1" x14ac:dyDescent="0.25">
      <c r="A5353"/>
    </row>
    <row r="5354" spans="1:1" x14ac:dyDescent="0.25">
      <c r="A5354"/>
    </row>
    <row r="5355" spans="1:1" x14ac:dyDescent="0.25">
      <c r="A5355"/>
    </row>
    <row r="5356" spans="1:1" x14ac:dyDescent="0.25">
      <c r="A5356"/>
    </row>
    <row r="5357" spans="1:1" x14ac:dyDescent="0.25">
      <c r="A5357"/>
    </row>
    <row r="5358" spans="1:1" x14ac:dyDescent="0.25">
      <c r="A5358"/>
    </row>
    <row r="5359" spans="1:1" x14ac:dyDescent="0.25">
      <c r="A5359"/>
    </row>
    <row r="5360" spans="1:1" x14ac:dyDescent="0.25">
      <c r="A5360"/>
    </row>
    <row r="5361" spans="1:1" x14ac:dyDescent="0.25">
      <c r="A5361"/>
    </row>
    <row r="5362" spans="1:1" x14ac:dyDescent="0.25">
      <c r="A5362"/>
    </row>
    <row r="5363" spans="1:1" x14ac:dyDescent="0.25">
      <c r="A5363"/>
    </row>
    <row r="5364" spans="1:1" x14ac:dyDescent="0.25">
      <c r="A5364"/>
    </row>
    <row r="5365" spans="1:1" x14ac:dyDescent="0.25">
      <c r="A5365"/>
    </row>
    <row r="5366" spans="1:1" x14ac:dyDescent="0.25">
      <c r="A5366"/>
    </row>
    <row r="5367" spans="1:1" x14ac:dyDescent="0.25">
      <c r="A5367"/>
    </row>
    <row r="5368" spans="1:1" x14ac:dyDescent="0.25">
      <c r="A5368"/>
    </row>
    <row r="5369" spans="1:1" x14ac:dyDescent="0.25">
      <c r="A5369"/>
    </row>
    <row r="5370" spans="1:1" x14ac:dyDescent="0.25">
      <c r="A5370"/>
    </row>
    <row r="5371" spans="1:1" x14ac:dyDescent="0.25">
      <c r="A5371"/>
    </row>
    <row r="5372" spans="1:1" x14ac:dyDescent="0.25">
      <c r="A5372"/>
    </row>
    <row r="5373" spans="1:1" x14ac:dyDescent="0.25">
      <c r="A5373"/>
    </row>
    <row r="5374" spans="1:1" x14ac:dyDescent="0.25">
      <c r="A5374"/>
    </row>
    <row r="5375" spans="1:1" x14ac:dyDescent="0.25">
      <c r="A5375"/>
    </row>
    <row r="5376" spans="1:1" x14ac:dyDescent="0.25">
      <c r="A5376"/>
    </row>
    <row r="5377" spans="1:1" x14ac:dyDescent="0.25">
      <c r="A5377"/>
    </row>
    <row r="5378" spans="1:1" x14ac:dyDescent="0.25">
      <c r="A5378"/>
    </row>
    <row r="5379" spans="1:1" x14ac:dyDescent="0.25">
      <c r="A5379"/>
    </row>
    <row r="5380" spans="1:1" x14ac:dyDescent="0.25">
      <c r="A5380"/>
    </row>
    <row r="5381" spans="1:1" x14ac:dyDescent="0.25">
      <c r="A5381"/>
    </row>
    <row r="5382" spans="1:1" x14ac:dyDescent="0.25">
      <c r="A5382"/>
    </row>
    <row r="5383" spans="1:1" x14ac:dyDescent="0.25">
      <c r="A5383"/>
    </row>
    <row r="5384" spans="1:1" x14ac:dyDescent="0.25">
      <c r="A5384"/>
    </row>
    <row r="5385" spans="1:1" x14ac:dyDescent="0.25">
      <c r="A5385"/>
    </row>
    <row r="5386" spans="1:1" x14ac:dyDescent="0.25">
      <c r="A5386"/>
    </row>
    <row r="5387" spans="1:1" x14ac:dyDescent="0.25">
      <c r="A5387"/>
    </row>
    <row r="5388" spans="1:1" x14ac:dyDescent="0.25">
      <c r="A5388"/>
    </row>
    <row r="5389" spans="1:1" x14ac:dyDescent="0.25">
      <c r="A5389"/>
    </row>
    <row r="5390" spans="1:1" x14ac:dyDescent="0.25">
      <c r="A5390"/>
    </row>
    <row r="5391" spans="1:1" x14ac:dyDescent="0.25">
      <c r="A5391"/>
    </row>
    <row r="5392" spans="1:1" x14ac:dyDescent="0.25">
      <c r="A5392"/>
    </row>
    <row r="5393" spans="1:1" x14ac:dyDescent="0.25">
      <c r="A5393"/>
    </row>
    <row r="5394" spans="1:1" x14ac:dyDescent="0.25">
      <c r="A5394"/>
    </row>
    <row r="5395" spans="1:1" x14ac:dyDescent="0.25">
      <c r="A5395"/>
    </row>
    <row r="5396" spans="1:1" x14ac:dyDescent="0.25">
      <c r="A5396"/>
    </row>
    <row r="5397" spans="1:1" x14ac:dyDescent="0.25">
      <c r="A5397"/>
    </row>
    <row r="5398" spans="1:1" x14ac:dyDescent="0.25">
      <c r="A5398"/>
    </row>
    <row r="5399" spans="1:1" x14ac:dyDescent="0.25">
      <c r="A5399"/>
    </row>
    <row r="5400" spans="1:1" x14ac:dyDescent="0.25">
      <c r="A5400"/>
    </row>
    <row r="5401" spans="1:1" x14ac:dyDescent="0.25">
      <c r="A5401"/>
    </row>
    <row r="5402" spans="1:1" x14ac:dyDescent="0.25">
      <c r="A5402"/>
    </row>
    <row r="5403" spans="1:1" x14ac:dyDescent="0.25">
      <c r="A5403"/>
    </row>
    <row r="5404" spans="1:1" x14ac:dyDescent="0.25">
      <c r="A5404"/>
    </row>
    <row r="5405" spans="1:1" x14ac:dyDescent="0.25">
      <c r="A5405"/>
    </row>
    <row r="5406" spans="1:1" x14ac:dyDescent="0.25">
      <c r="A5406"/>
    </row>
    <row r="5407" spans="1:1" x14ac:dyDescent="0.25">
      <c r="A5407"/>
    </row>
    <row r="5408" spans="1:1" x14ac:dyDescent="0.25">
      <c r="A5408"/>
    </row>
    <row r="5409" spans="1:1" x14ac:dyDescent="0.25">
      <c r="A5409"/>
    </row>
    <row r="5410" spans="1:1" x14ac:dyDescent="0.25">
      <c r="A5410"/>
    </row>
    <row r="5411" spans="1:1" x14ac:dyDescent="0.25">
      <c r="A5411"/>
    </row>
    <row r="5412" spans="1:1" x14ac:dyDescent="0.25">
      <c r="A5412"/>
    </row>
    <row r="5413" spans="1:1" x14ac:dyDescent="0.25">
      <c r="A5413"/>
    </row>
    <row r="5414" spans="1:1" x14ac:dyDescent="0.25">
      <c r="A5414"/>
    </row>
    <row r="5415" spans="1:1" x14ac:dyDescent="0.25">
      <c r="A5415"/>
    </row>
    <row r="5416" spans="1:1" x14ac:dyDescent="0.25">
      <c r="A5416"/>
    </row>
    <row r="5417" spans="1:1" x14ac:dyDescent="0.25">
      <c r="A5417"/>
    </row>
    <row r="5418" spans="1:1" x14ac:dyDescent="0.25">
      <c r="A5418"/>
    </row>
    <row r="5419" spans="1:1" x14ac:dyDescent="0.25">
      <c r="A5419"/>
    </row>
    <row r="5420" spans="1:1" x14ac:dyDescent="0.25">
      <c r="A5420"/>
    </row>
    <row r="5421" spans="1:1" x14ac:dyDescent="0.25">
      <c r="A5421"/>
    </row>
    <row r="5422" spans="1:1" x14ac:dyDescent="0.25">
      <c r="A5422"/>
    </row>
    <row r="5423" spans="1:1" x14ac:dyDescent="0.25">
      <c r="A5423"/>
    </row>
    <row r="5424" spans="1:1" x14ac:dyDescent="0.25">
      <c r="A5424"/>
    </row>
    <row r="5425" spans="1:1" x14ac:dyDescent="0.25">
      <c r="A5425"/>
    </row>
    <row r="5426" spans="1:1" x14ac:dyDescent="0.25">
      <c r="A5426"/>
    </row>
    <row r="5427" spans="1:1" x14ac:dyDescent="0.25">
      <c r="A5427"/>
    </row>
    <row r="5428" spans="1:1" x14ac:dyDescent="0.25">
      <c r="A5428"/>
    </row>
    <row r="5429" spans="1:1" x14ac:dyDescent="0.25">
      <c r="A5429"/>
    </row>
    <row r="5430" spans="1:1" x14ac:dyDescent="0.25">
      <c r="A5430"/>
    </row>
    <row r="5431" spans="1:1" x14ac:dyDescent="0.25">
      <c r="A5431"/>
    </row>
    <row r="5432" spans="1:1" x14ac:dyDescent="0.25">
      <c r="A5432"/>
    </row>
    <row r="5433" spans="1:1" x14ac:dyDescent="0.25">
      <c r="A5433"/>
    </row>
    <row r="5434" spans="1:1" x14ac:dyDescent="0.25">
      <c r="A5434"/>
    </row>
    <row r="5435" spans="1:1" x14ac:dyDescent="0.25">
      <c r="A5435"/>
    </row>
    <row r="5436" spans="1:1" x14ac:dyDescent="0.25">
      <c r="A5436"/>
    </row>
    <row r="5437" spans="1:1" x14ac:dyDescent="0.25">
      <c r="A5437"/>
    </row>
    <row r="5438" spans="1:1" x14ac:dyDescent="0.25">
      <c r="A5438"/>
    </row>
    <row r="5439" spans="1:1" x14ac:dyDescent="0.25">
      <c r="A5439"/>
    </row>
    <row r="5440" spans="1:1" x14ac:dyDescent="0.25">
      <c r="A5440"/>
    </row>
    <row r="5441" spans="1:1" x14ac:dyDescent="0.25">
      <c r="A5441"/>
    </row>
    <row r="5442" spans="1:1" x14ac:dyDescent="0.25">
      <c r="A5442"/>
    </row>
    <row r="5443" spans="1:1" x14ac:dyDescent="0.25">
      <c r="A5443"/>
    </row>
    <row r="5444" spans="1:1" x14ac:dyDescent="0.25">
      <c r="A5444"/>
    </row>
    <row r="5445" spans="1:1" x14ac:dyDescent="0.25">
      <c r="A5445"/>
    </row>
    <row r="5446" spans="1:1" x14ac:dyDescent="0.25">
      <c r="A5446"/>
    </row>
    <row r="5447" spans="1:1" x14ac:dyDescent="0.25">
      <c r="A5447"/>
    </row>
    <row r="5448" spans="1:1" x14ac:dyDescent="0.25">
      <c r="A5448"/>
    </row>
    <row r="5449" spans="1:1" x14ac:dyDescent="0.25">
      <c r="A5449"/>
    </row>
    <row r="5450" spans="1:1" x14ac:dyDescent="0.25">
      <c r="A5450"/>
    </row>
    <row r="5451" spans="1:1" x14ac:dyDescent="0.25">
      <c r="A5451"/>
    </row>
    <row r="5452" spans="1:1" x14ac:dyDescent="0.25">
      <c r="A5452"/>
    </row>
    <row r="5453" spans="1:1" x14ac:dyDescent="0.25">
      <c r="A5453"/>
    </row>
    <row r="5454" spans="1:1" x14ac:dyDescent="0.25">
      <c r="A5454"/>
    </row>
    <row r="5455" spans="1:1" x14ac:dyDescent="0.25">
      <c r="A5455"/>
    </row>
    <row r="5456" spans="1:1" x14ac:dyDescent="0.25">
      <c r="A5456"/>
    </row>
    <row r="5457" spans="1:1" x14ac:dyDescent="0.25">
      <c r="A5457"/>
    </row>
    <row r="5458" spans="1:1" x14ac:dyDescent="0.25">
      <c r="A5458"/>
    </row>
    <row r="5459" spans="1:1" x14ac:dyDescent="0.25">
      <c r="A5459"/>
    </row>
    <row r="5460" spans="1:1" x14ac:dyDescent="0.25">
      <c r="A5460"/>
    </row>
    <row r="5461" spans="1:1" x14ac:dyDescent="0.25">
      <c r="A5461"/>
    </row>
    <row r="5462" spans="1:1" x14ac:dyDescent="0.25">
      <c r="A5462"/>
    </row>
    <row r="5463" spans="1:1" x14ac:dyDescent="0.25">
      <c r="A5463"/>
    </row>
    <row r="5464" spans="1:1" x14ac:dyDescent="0.25">
      <c r="A5464"/>
    </row>
    <row r="5465" spans="1:1" x14ac:dyDescent="0.25">
      <c r="A5465"/>
    </row>
    <row r="5466" spans="1:1" x14ac:dyDescent="0.25">
      <c r="A5466"/>
    </row>
    <row r="5467" spans="1:1" x14ac:dyDescent="0.25">
      <c r="A5467"/>
    </row>
    <row r="5468" spans="1:1" x14ac:dyDescent="0.25">
      <c r="A5468"/>
    </row>
    <row r="5469" spans="1:1" x14ac:dyDescent="0.25">
      <c r="A5469"/>
    </row>
    <row r="5470" spans="1:1" x14ac:dyDescent="0.25">
      <c r="A5470"/>
    </row>
    <row r="5471" spans="1:1" x14ac:dyDescent="0.25">
      <c r="A5471"/>
    </row>
    <row r="5472" spans="1:1" x14ac:dyDescent="0.25">
      <c r="A5472"/>
    </row>
    <row r="5473" spans="1:1" x14ac:dyDescent="0.25">
      <c r="A5473"/>
    </row>
    <row r="5474" spans="1:1" x14ac:dyDescent="0.25">
      <c r="A5474"/>
    </row>
    <row r="5475" spans="1:1" x14ac:dyDescent="0.25">
      <c r="A5475"/>
    </row>
    <row r="5476" spans="1:1" x14ac:dyDescent="0.25">
      <c r="A5476"/>
    </row>
    <row r="5477" spans="1:1" x14ac:dyDescent="0.25">
      <c r="A5477"/>
    </row>
    <row r="5478" spans="1:1" x14ac:dyDescent="0.25">
      <c r="A5478"/>
    </row>
    <row r="5479" spans="1:1" x14ac:dyDescent="0.25">
      <c r="A5479"/>
    </row>
    <row r="5480" spans="1:1" x14ac:dyDescent="0.25">
      <c r="A5480"/>
    </row>
    <row r="5481" spans="1:1" x14ac:dyDescent="0.25">
      <c r="A5481"/>
    </row>
    <row r="5482" spans="1:1" x14ac:dyDescent="0.25">
      <c r="A5482"/>
    </row>
    <row r="5483" spans="1:1" x14ac:dyDescent="0.25">
      <c r="A5483"/>
    </row>
    <row r="5484" spans="1:1" x14ac:dyDescent="0.25">
      <c r="A5484"/>
    </row>
    <row r="5485" spans="1:1" x14ac:dyDescent="0.25">
      <c r="A5485"/>
    </row>
    <row r="5486" spans="1:1" x14ac:dyDescent="0.25">
      <c r="A5486"/>
    </row>
    <row r="5487" spans="1:1" x14ac:dyDescent="0.25">
      <c r="A5487"/>
    </row>
    <row r="5488" spans="1:1" x14ac:dyDescent="0.25">
      <c r="A5488"/>
    </row>
    <row r="5489" spans="1:1" x14ac:dyDescent="0.25">
      <c r="A5489"/>
    </row>
    <row r="5490" spans="1:1" x14ac:dyDescent="0.25">
      <c r="A5490"/>
    </row>
    <row r="5491" spans="1:1" x14ac:dyDescent="0.25">
      <c r="A5491"/>
    </row>
    <row r="5492" spans="1:1" x14ac:dyDescent="0.25">
      <c r="A5492"/>
    </row>
    <row r="5493" spans="1:1" x14ac:dyDescent="0.25">
      <c r="A5493"/>
    </row>
    <row r="5494" spans="1:1" x14ac:dyDescent="0.25">
      <c r="A5494"/>
    </row>
    <row r="5495" spans="1:1" x14ac:dyDescent="0.25">
      <c r="A5495"/>
    </row>
    <row r="5496" spans="1:1" x14ac:dyDescent="0.25">
      <c r="A5496"/>
    </row>
    <row r="5497" spans="1:1" x14ac:dyDescent="0.25">
      <c r="A5497"/>
    </row>
    <row r="5498" spans="1:1" x14ac:dyDescent="0.25">
      <c r="A5498"/>
    </row>
    <row r="5499" spans="1:1" x14ac:dyDescent="0.25">
      <c r="A5499"/>
    </row>
    <row r="5500" spans="1:1" x14ac:dyDescent="0.25">
      <c r="A5500"/>
    </row>
    <row r="5501" spans="1:1" x14ac:dyDescent="0.25">
      <c r="A5501"/>
    </row>
    <row r="5502" spans="1:1" x14ac:dyDescent="0.25">
      <c r="A5502"/>
    </row>
    <row r="5503" spans="1:1" x14ac:dyDescent="0.25">
      <c r="A5503"/>
    </row>
    <row r="5504" spans="1:1" x14ac:dyDescent="0.25">
      <c r="A5504"/>
    </row>
    <row r="5505" spans="1:1" x14ac:dyDescent="0.25">
      <c r="A5505"/>
    </row>
    <row r="5506" spans="1:1" x14ac:dyDescent="0.25">
      <c r="A5506"/>
    </row>
    <row r="5507" spans="1:1" x14ac:dyDescent="0.25">
      <c r="A5507"/>
    </row>
    <row r="5508" spans="1:1" x14ac:dyDescent="0.25">
      <c r="A5508"/>
    </row>
    <row r="5509" spans="1:1" x14ac:dyDescent="0.25">
      <c r="A5509"/>
    </row>
    <row r="5510" spans="1:1" x14ac:dyDescent="0.25">
      <c r="A5510"/>
    </row>
    <row r="5511" spans="1:1" x14ac:dyDescent="0.25">
      <c r="A5511"/>
    </row>
    <row r="5512" spans="1:1" x14ac:dyDescent="0.25">
      <c r="A5512"/>
    </row>
    <row r="5513" spans="1:1" x14ac:dyDescent="0.25">
      <c r="A5513"/>
    </row>
    <row r="5514" spans="1:1" x14ac:dyDescent="0.25">
      <c r="A5514"/>
    </row>
    <row r="5515" spans="1:1" x14ac:dyDescent="0.25">
      <c r="A5515"/>
    </row>
    <row r="5516" spans="1:1" x14ac:dyDescent="0.25">
      <c r="A5516"/>
    </row>
    <row r="5517" spans="1:1" x14ac:dyDescent="0.25">
      <c r="A5517"/>
    </row>
    <row r="5518" spans="1:1" x14ac:dyDescent="0.25">
      <c r="A5518"/>
    </row>
    <row r="5519" spans="1:1" x14ac:dyDescent="0.25">
      <c r="A5519"/>
    </row>
    <row r="5520" spans="1:1" x14ac:dyDescent="0.25">
      <c r="A5520"/>
    </row>
    <row r="5521" spans="1:1" x14ac:dyDescent="0.25">
      <c r="A5521"/>
    </row>
    <row r="5522" spans="1:1" x14ac:dyDescent="0.25">
      <c r="A5522"/>
    </row>
    <row r="5523" spans="1:1" x14ac:dyDescent="0.25">
      <c r="A5523"/>
    </row>
    <row r="5524" spans="1:1" x14ac:dyDescent="0.25">
      <c r="A5524"/>
    </row>
    <row r="5525" spans="1:1" x14ac:dyDescent="0.25">
      <c r="A5525"/>
    </row>
    <row r="5526" spans="1:1" x14ac:dyDescent="0.25">
      <c r="A5526"/>
    </row>
    <row r="5527" spans="1:1" x14ac:dyDescent="0.25">
      <c r="A5527"/>
    </row>
    <row r="5528" spans="1:1" x14ac:dyDescent="0.25">
      <c r="A5528"/>
    </row>
    <row r="5529" spans="1:1" x14ac:dyDescent="0.25">
      <c r="A5529"/>
    </row>
    <row r="5530" spans="1:1" x14ac:dyDescent="0.25">
      <c r="A5530"/>
    </row>
    <row r="5531" spans="1:1" x14ac:dyDescent="0.25">
      <c r="A5531"/>
    </row>
    <row r="5532" spans="1:1" x14ac:dyDescent="0.25">
      <c r="A5532"/>
    </row>
    <row r="5533" spans="1:1" x14ac:dyDescent="0.25">
      <c r="A5533"/>
    </row>
    <row r="5534" spans="1:1" x14ac:dyDescent="0.25">
      <c r="A5534"/>
    </row>
    <row r="5535" spans="1:1" x14ac:dyDescent="0.25">
      <c r="A5535"/>
    </row>
    <row r="5536" spans="1:1" x14ac:dyDescent="0.25">
      <c r="A5536"/>
    </row>
    <row r="5537" spans="1:1" x14ac:dyDescent="0.25">
      <c r="A5537"/>
    </row>
    <row r="5538" spans="1:1" x14ac:dyDescent="0.25">
      <c r="A5538"/>
    </row>
    <row r="5539" spans="1:1" x14ac:dyDescent="0.25">
      <c r="A5539"/>
    </row>
    <row r="5540" spans="1:1" x14ac:dyDescent="0.25">
      <c r="A5540"/>
    </row>
    <row r="5541" spans="1:1" x14ac:dyDescent="0.25">
      <c r="A5541"/>
    </row>
    <row r="5542" spans="1:1" x14ac:dyDescent="0.25">
      <c r="A5542"/>
    </row>
    <row r="5543" spans="1:1" x14ac:dyDescent="0.25">
      <c r="A5543"/>
    </row>
    <row r="5544" spans="1:1" x14ac:dyDescent="0.25">
      <c r="A5544"/>
    </row>
    <row r="5545" spans="1:1" x14ac:dyDescent="0.25">
      <c r="A5545"/>
    </row>
    <row r="5546" spans="1:1" x14ac:dyDescent="0.25">
      <c r="A5546"/>
    </row>
    <row r="5547" spans="1:1" x14ac:dyDescent="0.25">
      <c r="A5547"/>
    </row>
    <row r="5548" spans="1:1" x14ac:dyDescent="0.25">
      <c r="A5548"/>
    </row>
    <row r="5549" spans="1:1" x14ac:dyDescent="0.25">
      <c r="A5549"/>
    </row>
    <row r="5550" spans="1:1" x14ac:dyDescent="0.25">
      <c r="A5550"/>
    </row>
    <row r="5551" spans="1:1" x14ac:dyDescent="0.25">
      <c r="A5551"/>
    </row>
    <row r="5552" spans="1:1" x14ac:dyDescent="0.25">
      <c r="A5552"/>
    </row>
    <row r="5553" spans="1:1" x14ac:dyDescent="0.25">
      <c r="A5553"/>
    </row>
    <row r="5554" spans="1:1" x14ac:dyDescent="0.25">
      <c r="A5554"/>
    </row>
    <row r="5555" spans="1:1" x14ac:dyDescent="0.25">
      <c r="A5555"/>
    </row>
    <row r="5556" spans="1:1" x14ac:dyDescent="0.25">
      <c r="A5556"/>
    </row>
    <row r="5557" spans="1:1" x14ac:dyDescent="0.25">
      <c r="A5557"/>
    </row>
    <row r="5558" spans="1:1" x14ac:dyDescent="0.25">
      <c r="A5558"/>
    </row>
    <row r="5559" spans="1:1" x14ac:dyDescent="0.25">
      <c r="A5559"/>
    </row>
    <row r="5560" spans="1:1" x14ac:dyDescent="0.25">
      <c r="A5560"/>
    </row>
    <row r="5561" spans="1:1" x14ac:dyDescent="0.25">
      <c r="A5561"/>
    </row>
    <row r="5562" spans="1:1" x14ac:dyDescent="0.25">
      <c r="A5562"/>
    </row>
    <row r="5563" spans="1:1" x14ac:dyDescent="0.25">
      <c r="A5563"/>
    </row>
    <row r="5564" spans="1:1" x14ac:dyDescent="0.25">
      <c r="A5564"/>
    </row>
    <row r="5565" spans="1:1" x14ac:dyDescent="0.25">
      <c r="A5565"/>
    </row>
    <row r="5566" spans="1:1" x14ac:dyDescent="0.25">
      <c r="A5566"/>
    </row>
    <row r="5567" spans="1:1" x14ac:dyDescent="0.25">
      <c r="A5567"/>
    </row>
    <row r="5568" spans="1:1" x14ac:dyDescent="0.25">
      <c r="A5568"/>
    </row>
    <row r="5569" spans="1:1" x14ac:dyDescent="0.25">
      <c r="A5569"/>
    </row>
    <row r="5570" spans="1:1" x14ac:dyDescent="0.25">
      <c r="A5570"/>
    </row>
    <row r="5571" spans="1:1" x14ac:dyDescent="0.25">
      <c r="A5571"/>
    </row>
    <row r="5572" spans="1:1" x14ac:dyDescent="0.25">
      <c r="A5572"/>
    </row>
    <row r="5573" spans="1:1" x14ac:dyDescent="0.25">
      <c r="A5573"/>
    </row>
    <row r="5574" spans="1:1" x14ac:dyDescent="0.25">
      <c r="A5574"/>
    </row>
    <row r="5575" spans="1:1" x14ac:dyDescent="0.25">
      <c r="A5575"/>
    </row>
    <row r="5576" spans="1:1" x14ac:dyDescent="0.25">
      <c r="A5576"/>
    </row>
    <row r="5577" spans="1:1" x14ac:dyDescent="0.25">
      <c r="A5577"/>
    </row>
    <row r="5578" spans="1:1" x14ac:dyDescent="0.25">
      <c r="A5578"/>
    </row>
    <row r="5579" spans="1:1" x14ac:dyDescent="0.25">
      <c r="A5579"/>
    </row>
    <row r="5580" spans="1:1" x14ac:dyDescent="0.25">
      <c r="A5580"/>
    </row>
    <row r="5581" spans="1:1" x14ac:dyDescent="0.25">
      <c r="A5581"/>
    </row>
    <row r="5582" spans="1:1" x14ac:dyDescent="0.25">
      <c r="A5582"/>
    </row>
    <row r="5583" spans="1:1" x14ac:dyDescent="0.25">
      <c r="A5583"/>
    </row>
    <row r="5584" spans="1:1" x14ac:dyDescent="0.25">
      <c r="A5584"/>
    </row>
    <row r="5585" spans="1:1" x14ac:dyDescent="0.25">
      <c r="A5585"/>
    </row>
    <row r="5586" spans="1:1" x14ac:dyDescent="0.25">
      <c r="A5586"/>
    </row>
    <row r="5587" spans="1:1" x14ac:dyDescent="0.25">
      <c r="A5587"/>
    </row>
    <row r="5588" spans="1:1" x14ac:dyDescent="0.25">
      <c r="A5588"/>
    </row>
    <row r="5589" spans="1:1" x14ac:dyDescent="0.25">
      <c r="A5589"/>
    </row>
    <row r="5590" spans="1:1" x14ac:dyDescent="0.25">
      <c r="A5590"/>
    </row>
    <row r="5591" spans="1:1" x14ac:dyDescent="0.25">
      <c r="A5591"/>
    </row>
    <row r="5592" spans="1:1" x14ac:dyDescent="0.25">
      <c r="A5592"/>
    </row>
    <row r="5593" spans="1:1" x14ac:dyDescent="0.25">
      <c r="A5593"/>
    </row>
    <row r="5594" spans="1:1" x14ac:dyDescent="0.25">
      <c r="A5594"/>
    </row>
    <row r="5595" spans="1:1" x14ac:dyDescent="0.25">
      <c r="A5595"/>
    </row>
    <row r="5596" spans="1:1" x14ac:dyDescent="0.25">
      <c r="A5596"/>
    </row>
    <row r="5597" spans="1:1" x14ac:dyDescent="0.25">
      <c r="A5597"/>
    </row>
    <row r="5598" spans="1:1" x14ac:dyDescent="0.25">
      <c r="A5598"/>
    </row>
    <row r="5599" spans="1:1" x14ac:dyDescent="0.25">
      <c r="A5599"/>
    </row>
    <row r="5600" spans="1:1" x14ac:dyDescent="0.25">
      <c r="A5600"/>
    </row>
    <row r="5601" spans="1:1" x14ac:dyDescent="0.25">
      <c r="A5601"/>
    </row>
    <row r="5602" spans="1:1" x14ac:dyDescent="0.25">
      <c r="A5602"/>
    </row>
    <row r="5603" spans="1:1" x14ac:dyDescent="0.25">
      <c r="A5603"/>
    </row>
    <row r="5604" spans="1:1" x14ac:dyDescent="0.25">
      <c r="A5604"/>
    </row>
    <row r="5605" spans="1:1" x14ac:dyDescent="0.25">
      <c r="A5605"/>
    </row>
    <row r="5606" spans="1:1" x14ac:dyDescent="0.25">
      <c r="A5606"/>
    </row>
    <row r="5607" spans="1:1" x14ac:dyDescent="0.25">
      <c r="A5607"/>
    </row>
    <row r="5608" spans="1:1" x14ac:dyDescent="0.25">
      <c r="A5608"/>
    </row>
    <row r="5609" spans="1:1" x14ac:dyDescent="0.25">
      <c r="A5609"/>
    </row>
    <row r="5610" spans="1:1" x14ac:dyDescent="0.25">
      <c r="A5610"/>
    </row>
    <row r="5611" spans="1:1" x14ac:dyDescent="0.25">
      <c r="A5611"/>
    </row>
    <row r="5612" spans="1:1" x14ac:dyDescent="0.25">
      <c r="A5612"/>
    </row>
    <row r="5613" spans="1:1" x14ac:dyDescent="0.25">
      <c r="A5613"/>
    </row>
    <row r="5614" spans="1:1" x14ac:dyDescent="0.25">
      <c r="A5614"/>
    </row>
    <row r="5615" spans="1:1" x14ac:dyDescent="0.25">
      <c r="A5615"/>
    </row>
    <row r="5616" spans="1:1" x14ac:dyDescent="0.25">
      <c r="A5616"/>
    </row>
    <row r="5617" spans="1:1" x14ac:dyDescent="0.25">
      <c r="A5617"/>
    </row>
    <row r="5618" spans="1:1" x14ac:dyDescent="0.25">
      <c r="A5618"/>
    </row>
    <row r="5619" spans="1:1" x14ac:dyDescent="0.25">
      <c r="A5619"/>
    </row>
    <row r="5620" spans="1:1" x14ac:dyDescent="0.25">
      <c r="A5620"/>
    </row>
    <row r="5621" spans="1:1" x14ac:dyDescent="0.25">
      <c r="A5621"/>
    </row>
    <row r="5622" spans="1:1" x14ac:dyDescent="0.25">
      <c r="A5622"/>
    </row>
    <row r="5623" spans="1:1" x14ac:dyDescent="0.25">
      <c r="A5623"/>
    </row>
    <row r="5624" spans="1:1" x14ac:dyDescent="0.25">
      <c r="A5624"/>
    </row>
    <row r="5625" spans="1:1" x14ac:dyDescent="0.25">
      <c r="A5625"/>
    </row>
    <row r="5626" spans="1:1" x14ac:dyDescent="0.25">
      <c r="A5626"/>
    </row>
    <row r="5627" spans="1:1" x14ac:dyDescent="0.25">
      <c r="A5627"/>
    </row>
    <row r="5628" spans="1:1" x14ac:dyDescent="0.25">
      <c r="A5628"/>
    </row>
    <row r="5629" spans="1:1" x14ac:dyDescent="0.25">
      <c r="A5629"/>
    </row>
    <row r="5630" spans="1:1" x14ac:dyDescent="0.25">
      <c r="A5630"/>
    </row>
    <row r="5631" spans="1:1" x14ac:dyDescent="0.25">
      <c r="A5631"/>
    </row>
    <row r="5632" spans="1:1" x14ac:dyDescent="0.25">
      <c r="A5632"/>
    </row>
    <row r="5633" spans="1:1" x14ac:dyDescent="0.25">
      <c r="A5633"/>
    </row>
    <row r="5634" spans="1:1" x14ac:dyDescent="0.25">
      <c r="A5634"/>
    </row>
    <row r="5635" spans="1:1" x14ac:dyDescent="0.25">
      <c r="A5635"/>
    </row>
    <row r="5636" spans="1:1" x14ac:dyDescent="0.25">
      <c r="A5636"/>
    </row>
    <row r="5637" spans="1:1" x14ac:dyDescent="0.25">
      <c r="A5637"/>
    </row>
    <row r="5638" spans="1:1" x14ac:dyDescent="0.25">
      <c r="A5638"/>
    </row>
    <row r="5639" spans="1:1" x14ac:dyDescent="0.25">
      <c r="A5639"/>
    </row>
    <row r="5640" spans="1:1" x14ac:dyDescent="0.25">
      <c r="A5640"/>
    </row>
    <row r="5641" spans="1:1" x14ac:dyDescent="0.25">
      <c r="A5641"/>
    </row>
    <row r="5642" spans="1:1" x14ac:dyDescent="0.25">
      <c r="A5642"/>
    </row>
    <row r="5643" spans="1:1" x14ac:dyDescent="0.25">
      <c r="A5643"/>
    </row>
    <row r="5644" spans="1:1" x14ac:dyDescent="0.25">
      <c r="A5644"/>
    </row>
    <row r="5645" spans="1:1" x14ac:dyDescent="0.25">
      <c r="A5645"/>
    </row>
    <row r="5646" spans="1:1" x14ac:dyDescent="0.25">
      <c r="A5646"/>
    </row>
    <row r="5647" spans="1:1" x14ac:dyDescent="0.25">
      <c r="A5647"/>
    </row>
    <row r="5648" spans="1:1" x14ac:dyDescent="0.25">
      <c r="A5648"/>
    </row>
    <row r="5649" spans="1:1" x14ac:dyDescent="0.25">
      <c r="A5649"/>
    </row>
    <row r="5650" spans="1:1" x14ac:dyDescent="0.25">
      <c r="A5650"/>
    </row>
    <row r="5651" spans="1:1" x14ac:dyDescent="0.25">
      <c r="A5651"/>
    </row>
    <row r="5652" spans="1:1" x14ac:dyDescent="0.25">
      <c r="A5652"/>
    </row>
    <row r="5653" spans="1:1" x14ac:dyDescent="0.25">
      <c r="A5653"/>
    </row>
    <row r="5654" spans="1:1" x14ac:dyDescent="0.25">
      <c r="A5654"/>
    </row>
    <row r="5655" spans="1:1" x14ac:dyDescent="0.25">
      <c r="A5655"/>
    </row>
    <row r="5656" spans="1:1" x14ac:dyDescent="0.25">
      <c r="A5656"/>
    </row>
    <row r="5657" spans="1:1" x14ac:dyDescent="0.25">
      <c r="A5657"/>
    </row>
    <row r="5658" spans="1:1" x14ac:dyDescent="0.25">
      <c r="A5658"/>
    </row>
    <row r="5659" spans="1:1" x14ac:dyDescent="0.25">
      <c r="A5659"/>
    </row>
    <row r="5660" spans="1:1" x14ac:dyDescent="0.25">
      <c r="A5660"/>
    </row>
    <row r="5661" spans="1:1" x14ac:dyDescent="0.25">
      <c r="A5661"/>
    </row>
    <row r="5662" spans="1:1" x14ac:dyDescent="0.25">
      <c r="A5662"/>
    </row>
    <row r="5663" spans="1:1" x14ac:dyDescent="0.25">
      <c r="A5663"/>
    </row>
    <row r="5664" spans="1:1" x14ac:dyDescent="0.25">
      <c r="A5664"/>
    </row>
    <row r="5665" spans="1:1" x14ac:dyDescent="0.25">
      <c r="A5665"/>
    </row>
    <row r="5666" spans="1:1" x14ac:dyDescent="0.25">
      <c r="A5666"/>
    </row>
    <row r="5667" spans="1:1" x14ac:dyDescent="0.25">
      <c r="A5667"/>
    </row>
    <row r="5668" spans="1:1" x14ac:dyDescent="0.25">
      <c r="A5668"/>
    </row>
    <row r="5669" spans="1:1" x14ac:dyDescent="0.25">
      <c r="A5669"/>
    </row>
    <row r="5670" spans="1:1" x14ac:dyDescent="0.25">
      <c r="A5670"/>
    </row>
    <row r="5671" spans="1:1" x14ac:dyDescent="0.25">
      <c r="A5671"/>
    </row>
    <row r="5672" spans="1:1" x14ac:dyDescent="0.25">
      <c r="A5672"/>
    </row>
    <row r="5673" spans="1:1" x14ac:dyDescent="0.25">
      <c r="A5673"/>
    </row>
    <row r="5674" spans="1:1" x14ac:dyDescent="0.25">
      <c r="A5674"/>
    </row>
    <row r="5675" spans="1:1" x14ac:dyDescent="0.25">
      <c r="A5675"/>
    </row>
    <row r="5676" spans="1:1" x14ac:dyDescent="0.25">
      <c r="A5676"/>
    </row>
    <row r="5677" spans="1:1" x14ac:dyDescent="0.25">
      <c r="A5677"/>
    </row>
    <row r="5678" spans="1:1" x14ac:dyDescent="0.25">
      <c r="A5678"/>
    </row>
    <row r="5679" spans="1:1" x14ac:dyDescent="0.25">
      <c r="A5679"/>
    </row>
    <row r="5680" spans="1:1" x14ac:dyDescent="0.25">
      <c r="A5680"/>
    </row>
    <row r="5681" spans="1:1" x14ac:dyDescent="0.25">
      <c r="A5681"/>
    </row>
    <row r="5682" spans="1:1" x14ac:dyDescent="0.25">
      <c r="A5682"/>
    </row>
    <row r="5683" spans="1:1" x14ac:dyDescent="0.25">
      <c r="A5683"/>
    </row>
    <row r="5684" spans="1:1" x14ac:dyDescent="0.25">
      <c r="A5684"/>
    </row>
    <row r="5685" spans="1:1" x14ac:dyDescent="0.25">
      <c r="A5685"/>
    </row>
    <row r="5686" spans="1:1" x14ac:dyDescent="0.25">
      <c r="A5686"/>
    </row>
    <row r="5687" spans="1:1" x14ac:dyDescent="0.25">
      <c r="A5687"/>
    </row>
    <row r="5688" spans="1:1" x14ac:dyDescent="0.25">
      <c r="A5688"/>
    </row>
    <row r="5689" spans="1:1" x14ac:dyDescent="0.25">
      <c r="A5689"/>
    </row>
    <row r="5690" spans="1:1" x14ac:dyDescent="0.25">
      <c r="A5690"/>
    </row>
    <row r="5691" spans="1:1" x14ac:dyDescent="0.25">
      <c r="A5691"/>
    </row>
    <row r="5692" spans="1:1" x14ac:dyDescent="0.25">
      <c r="A5692"/>
    </row>
    <row r="5693" spans="1:1" x14ac:dyDescent="0.25">
      <c r="A5693"/>
    </row>
    <row r="5694" spans="1:1" x14ac:dyDescent="0.25">
      <c r="A5694"/>
    </row>
    <row r="5695" spans="1:1" x14ac:dyDescent="0.25">
      <c r="A5695"/>
    </row>
    <row r="5696" spans="1:1" x14ac:dyDescent="0.25">
      <c r="A5696"/>
    </row>
    <row r="5697" spans="1:1" x14ac:dyDescent="0.25">
      <c r="A5697"/>
    </row>
    <row r="5698" spans="1:1" x14ac:dyDescent="0.25">
      <c r="A5698"/>
    </row>
    <row r="5699" spans="1:1" x14ac:dyDescent="0.25">
      <c r="A5699"/>
    </row>
    <row r="5700" spans="1:1" x14ac:dyDescent="0.25">
      <c r="A5700"/>
    </row>
    <row r="5701" spans="1:1" x14ac:dyDescent="0.25">
      <c r="A5701"/>
    </row>
    <row r="5702" spans="1:1" x14ac:dyDescent="0.25">
      <c r="A5702"/>
    </row>
    <row r="5703" spans="1:1" x14ac:dyDescent="0.25">
      <c r="A5703"/>
    </row>
    <row r="5704" spans="1:1" x14ac:dyDescent="0.25">
      <c r="A5704"/>
    </row>
    <row r="5705" spans="1:1" x14ac:dyDescent="0.25">
      <c r="A5705"/>
    </row>
    <row r="5706" spans="1:1" x14ac:dyDescent="0.25">
      <c r="A5706"/>
    </row>
    <row r="5707" spans="1:1" x14ac:dyDescent="0.25">
      <c r="A5707"/>
    </row>
    <row r="5708" spans="1:1" x14ac:dyDescent="0.25">
      <c r="A5708"/>
    </row>
    <row r="5709" spans="1:1" x14ac:dyDescent="0.25">
      <c r="A5709"/>
    </row>
    <row r="5710" spans="1:1" x14ac:dyDescent="0.25">
      <c r="A5710"/>
    </row>
    <row r="5711" spans="1:1" x14ac:dyDescent="0.25">
      <c r="A5711"/>
    </row>
    <row r="5712" spans="1:1" x14ac:dyDescent="0.25">
      <c r="A5712"/>
    </row>
    <row r="5713" spans="1:1" x14ac:dyDescent="0.25">
      <c r="A5713"/>
    </row>
    <row r="5714" spans="1:1" x14ac:dyDescent="0.25">
      <c r="A5714"/>
    </row>
    <row r="5715" spans="1:1" x14ac:dyDescent="0.25">
      <c r="A5715"/>
    </row>
    <row r="5716" spans="1:1" x14ac:dyDescent="0.25">
      <c r="A5716"/>
    </row>
    <row r="5717" spans="1:1" x14ac:dyDescent="0.25">
      <c r="A5717"/>
    </row>
    <row r="5718" spans="1:1" x14ac:dyDescent="0.25">
      <c r="A5718"/>
    </row>
    <row r="5719" spans="1:1" x14ac:dyDescent="0.25">
      <c r="A5719"/>
    </row>
    <row r="5720" spans="1:1" x14ac:dyDescent="0.25">
      <c r="A5720"/>
    </row>
    <row r="5721" spans="1:1" x14ac:dyDescent="0.25">
      <c r="A5721"/>
    </row>
    <row r="5722" spans="1:1" x14ac:dyDescent="0.25">
      <c r="A5722"/>
    </row>
    <row r="5723" spans="1:1" x14ac:dyDescent="0.25">
      <c r="A5723"/>
    </row>
    <row r="5724" spans="1:1" x14ac:dyDescent="0.25">
      <c r="A5724"/>
    </row>
    <row r="5725" spans="1:1" x14ac:dyDescent="0.25">
      <c r="A5725"/>
    </row>
    <row r="5726" spans="1:1" x14ac:dyDescent="0.25">
      <c r="A5726"/>
    </row>
    <row r="5727" spans="1:1" x14ac:dyDescent="0.25">
      <c r="A5727"/>
    </row>
    <row r="5728" spans="1:1" x14ac:dyDescent="0.25">
      <c r="A5728"/>
    </row>
    <row r="5729" spans="1:1" x14ac:dyDescent="0.25">
      <c r="A5729"/>
    </row>
    <row r="5730" spans="1:1" x14ac:dyDescent="0.25">
      <c r="A5730"/>
    </row>
    <row r="5731" spans="1:1" x14ac:dyDescent="0.25">
      <c r="A5731"/>
    </row>
    <row r="5732" spans="1:1" x14ac:dyDescent="0.25">
      <c r="A5732"/>
    </row>
    <row r="5733" spans="1:1" x14ac:dyDescent="0.25">
      <c r="A5733"/>
    </row>
    <row r="5734" spans="1:1" x14ac:dyDescent="0.25">
      <c r="A5734"/>
    </row>
    <row r="5735" spans="1:1" x14ac:dyDescent="0.25">
      <c r="A5735"/>
    </row>
    <row r="5736" spans="1:1" x14ac:dyDescent="0.25">
      <c r="A5736"/>
    </row>
    <row r="5737" spans="1:1" x14ac:dyDescent="0.25">
      <c r="A5737"/>
    </row>
    <row r="5738" spans="1:1" x14ac:dyDescent="0.25">
      <c r="A5738"/>
    </row>
    <row r="5739" spans="1:1" x14ac:dyDescent="0.25">
      <c r="A5739"/>
    </row>
    <row r="5740" spans="1:1" x14ac:dyDescent="0.25">
      <c r="A5740"/>
    </row>
    <row r="5741" spans="1:1" x14ac:dyDescent="0.25">
      <c r="A5741"/>
    </row>
    <row r="5742" spans="1:1" x14ac:dyDescent="0.25">
      <c r="A5742"/>
    </row>
    <row r="5743" spans="1:1" x14ac:dyDescent="0.25">
      <c r="A5743"/>
    </row>
    <row r="5744" spans="1:1" x14ac:dyDescent="0.25">
      <c r="A5744"/>
    </row>
    <row r="5745" spans="1:1" x14ac:dyDescent="0.25">
      <c r="A5745"/>
    </row>
    <row r="5746" spans="1:1" x14ac:dyDescent="0.25">
      <c r="A5746"/>
    </row>
    <row r="5747" spans="1:1" x14ac:dyDescent="0.25">
      <c r="A5747"/>
    </row>
    <row r="5748" spans="1:1" x14ac:dyDescent="0.25">
      <c r="A5748"/>
    </row>
    <row r="5749" spans="1:1" x14ac:dyDescent="0.25">
      <c r="A5749"/>
    </row>
    <row r="5750" spans="1:1" x14ac:dyDescent="0.25">
      <c r="A5750"/>
    </row>
    <row r="5751" spans="1:1" x14ac:dyDescent="0.25">
      <c r="A5751"/>
    </row>
    <row r="5752" spans="1:1" x14ac:dyDescent="0.25">
      <c r="A5752"/>
    </row>
    <row r="5753" spans="1:1" x14ac:dyDescent="0.25">
      <c r="A5753"/>
    </row>
    <row r="5754" spans="1:1" x14ac:dyDescent="0.25">
      <c r="A5754"/>
    </row>
    <row r="5755" spans="1:1" x14ac:dyDescent="0.25">
      <c r="A5755"/>
    </row>
    <row r="5756" spans="1:1" x14ac:dyDescent="0.25">
      <c r="A5756"/>
    </row>
    <row r="5757" spans="1:1" x14ac:dyDescent="0.25">
      <c r="A5757"/>
    </row>
    <row r="5758" spans="1:1" x14ac:dyDescent="0.25">
      <c r="A5758"/>
    </row>
    <row r="5759" spans="1:1" x14ac:dyDescent="0.25">
      <c r="A5759"/>
    </row>
    <row r="5760" spans="1:1" x14ac:dyDescent="0.25">
      <c r="A5760"/>
    </row>
    <row r="5761" spans="1:1" x14ac:dyDescent="0.25">
      <c r="A5761"/>
    </row>
    <row r="5762" spans="1:1" x14ac:dyDescent="0.25">
      <c r="A5762"/>
    </row>
    <row r="5763" spans="1:1" x14ac:dyDescent="0.25">
      <c r="A5763"/>
    </row>
    <row r="5764" spans="1:1" x14ac:dyDescent="0.25">
      <c r="A5764"/>
    </row>
    <row r="5765" spans="1:1" x14ac:dyDescent="0.25">
      <c r="A5765"/>
    </row>
    <row r="5766" spans="1:1" x14ac:dyDescent="0.25">
      <c r="A5766"/>
    </row>
    <row r="5767" spans="1:1" x14ac:dyDescent="0.25">
      <c r="A5767"/>
    </row>
    <row r="5768" spans="1:1" x14ac:dyDescent="0.25">
      <c r="A5768"/>
    </row>
    <row r="5769" spans="1:1" x14ac:dyDescent="0.25">
      <c r="A5769"/>
    </row>
    <row r="5770" spans="1:1" x14ac:dyDescent="0.25">
      <c r="A5770"/>
    </row>
    <row r="5771" spans="1:1" x14ac:dyDescent="0.25">
      <c r="A5771"/>
    </row>
    <row r="5772" spans="1:1" x14ac:dyDescent="0.25">
      <c r="A5772"/>
    </row>
    <row r="5773" spans="1:1" x14ac:dyDescent="0.25">
      <c r="A5773"/>
    </row>
    <row r="5774" spans="1:1" x14ac:dyDescent="0.25">
      <c r="A5774"/>
    </row>
    <row r="5775" spans="1:1" x14ac:dyDescent="0.25">
      <c r="A5775"/>
    </row>
    <row r="5776" spans="1:1" x14ac:dyDescent="0.25">
      <c r="A5776"/>
    </row>
    <row r="5777" spans="1:1" x14ac:dyDescent="0.25">
      <c r="A5777"/>
    </row>
    <row r="5778" spans="1:1" x14ac:dyDescent="0.25">
      <c r="A5778"/>
    </row>
    <row r="5779" spans="1:1" x14ac:dyDescent="0.25">
      <c r="A5779"/>
    </row>
    <row r="5780" spans="1:1" x14ac:dyDescent="0.25">
      <c r="A5780"/>
    </row>
    <row r="5781" spans="1:1" x14ac:dyDescent="0.25">
      <c r="A5781"/>
    </row>
    <row r="5782" spans="1:1" x14ac:dyDescent="0.25">
      <c r="A5782"/>
    </row>
    <row r="5783" spans="1:1" x14ac:dyDescent="0.25">
      <c r="A5783"/>
    </row>
    <row r="5784" spans="1:1" x14ac:dyDescent="0.25">
      <c r="A5784"/>
    </row>
    <row r="5785" spans="1:1" x14ac:dyDescent="0.25">
      <c r="A5785"/>
    </row>
    <row r="5786" spans="1:1" x14ac:dyDescent="0.25">
      <c r="A5786"/>
    </row>
    <row r="5787" spans="1:1" x14ac:dyDescent="0.25">
      <c r="A5787"/>
    </row>
    <row r="5788" spans="1:1" x14ac:dyDescent="0.25">
      <c r="A5788"/>
    </row>
    <row r="5789" spans="1:1" x14ac:dyDescent="0.25">
      <c r="A5789"/>
    </row>
    <row r="5790" spans="1:1" x14ac:dyDescent="0.25">
      <c r="A5790"/>
    </row>
    <row r="5791" spans="1:1" x14ac:dyDescent="0.25">
      <c r="A5791"/>
    </row>
    <row r="5792" spans="1:1" x14ac:dyDescent="0.25">
      <c r="A5792"/>
    </row>
    <row r="5793" spans="1:1" x14ac:dyDescent="0.25">
      <c r="A5793"/>
    </row>
    <row r="5794" spans="1:1" x14ac:dyDescent="0.25">
      <c r="A5794"/>
    </row>
    <row r="5795" spans="1:1" x14ac:dyDescent="0.25">
      <c r="A5795"/>
    </row>
    <row r="5796" spans="1:1" x14ac:dyDescent="0.25">
      <c r="A5796"/>
    </row>
    <row r="5797" spans="1:1" x14ac:dyDescent="0.25">
      <c r="A5797"/>
    </row>
    <row r="5798" spans="1:1" x14ac:dyDescent="0.25">
      <c r="A5798"/>
    </row>
    <row r="5799" spans="1:1" x14ac:dyDescent="0.25">
      <c r="A5799"/>
    </row>
    <row r="5800" spans="1:1" x14ac:dyDescent="0.25">
      <c r="A5800"/>
    </row>
    <row r="5801" spans="1:1" x14ac:dyDescent="0.25">
      <c r="A5801"/>
    </row>
    <row r="5802" spans="1:1" x14ac:dyDescent="0.25">
      <c r="A5802"/>
    </row>
    <row r="5803" spans="1:1" x14ac:dyDescent="0.25">
      <c r="A5803"/>
    </row>
    <row r="5804" spans="1:1" x14ac:dyDescent="0.25">
      <c r="A5804"/>
    </row>
    <row r="5805" spans="1:1" x14ac:dyDescent="0.25">
      <c r="A5805"/>
    </row>
    <row r="5806" spans="1:1" x14ac:dyDescent="0.25">
      <c r="A5806"/>
    </row>
    <row r="5807" spans="1:1" x14ac:dyDescent="0.25">
      <c r="A5807"/>
    </row>
    <row r="5808" spans="1:1" x14ac:dyDescent="0.25">
      <c r="A5808"/>
    </row>
    <row r="5809" spans="1:1" x14ac:dyDescent="0.25">
      <c r="A5809"/>
    </row>
    <row r="5810" spans="1:1" x14ac:dyDescent="0.25">
      <c r="A5810"/>
    </row>
    <row r="5811" spans="1:1" x14ac:dyDescent="0.25">
      <c r="A5811"/>
    </row>
    <row r="5812" spans="1:1" x14ac:dyDescent="0.25">
      <c r="A5812"/>
    </row>
    <row r="5813" spans="1:1" x14ac:dyDescent="0.25">
      <c r="A5813"/>
    </row>
    <row r="5814" spans="1:1" x14ac:dyDescent="0.25">
      <c r="A5814"/>
    </row>
    <row r="5815" spans="1:1" x14ac:dyDescent="0.25">
      <c r="A5815"/>
    </row>
    <row r="5816" spans="1:1" x14ac:dyDescent="0.25">
      <c r="A5816"/>
    </row>
    <row r="5817" spans="1:1" x14ac:dyDescent="0.25">
      <c r="A5817"/>
    </row>
    <row r="5818" spans="1:1" x14ac:dyDescent="0.25">
      <c r="A5818"/>
    </row>
    <row r="5819" spans="1:1" x14ac:dyDescent="0.25">
      <c r="A5819"/>
    </row>
    <row r="5820" spans="1:1" x14ac:dyDescent="0.25">
      <c r="A5820"/>
    </row>
    <row r="5821" spans="1:1" x14ac:dyDescent="0.25">
      <c r="A5821"/>
    </row>
    <row r="5822" spans="1:1" x14ac:dyDescent="0.25">
      <c r="A5822"/>
    </row>
    <row r="5823" spans="1:1" x14ac:dyDescent="0.25">
      <c r="A5823"/>
    </row>
    <row r="5824" spans="1:1" x14ac:dyDescent="0.25">
      <c r="A5824"/>
    </row>
    <row r="5825" spans="1:1" x14ac:dyDescent="0.25">
      <c r="A5825"/>
    </row>
    <row r="5826" spans="1:1" x14ac:dyDescent="0.25">
      <c r="A5826"/>
    </row>
    <row r="5827" spans="1:1" x14ac:dyDescent="0.25">
      <c r="A5827"/>
    </row>
    <row r="5828" spans="1:1" x14ac:dyDescent="0.25">
      <c r="A5828"/>
    </row>
    <row r="5829" spans="1:1" x14ac:dyDescent="0.25">
      <c r="A5829"/>
    </row>
    <row r="5830" spans="1:1" x14ac:dyDescent="0.25">
      <c r="A5830"/>
    </row>
    <row r="5831" spans="1:1" x14ac:dyDescent="0.25">
      <c r="A5831"/>
    </row>
    <row r="5832" spans="1:1" x14ac:dyDescent="0.25">
      <c r="A5832"/>
    </row>
    <row r="5833" spans="1:1" x14ac:dyDescent="0.25">
      <c r="A5833"/>
    </row>
    <row r="5834" spans="1:1" x14ac:dyDescent="0.25">
      <c r="A5834"/>
    </row>
    <row r="5835" spans="1:1" x14ac:dyDescent="0.25">
      <c r="A5835"/>
    </row>
    <row r="5836" spans="1:1" x14ac:dyDescent="0.25">
      <c r="A5836"/>
    </row>
    <row r="5837" spans="1:1" x14ac:dyDescent="0.25">
      <c r="A5837"/>
    </row>
    <row r="5838" spans="1:1" x14ac:dyDescent="0.25">
      <c r="A5838"/>
    </row>
    <row r="5839" spans="1:1" x14ac:dyDescent="0.25">
      <c r="A5839"/>
    </row>
    <row r="5840" spans="1:1" x14ac:dyDescent="0.25">
      <c r="A5840"/>
    </row>
    <row r="5841" spans="1:1" x14ac:dyDescent="0.25">
      <c r="A5841"/>
    </row>
    <row r="5842" spans="1:1" x14ac:dyDescent="0.25">
      <c r="A5842"/>
    </row>
    <row r="5843" spans="1:1" x14ac:dyDescent="0.25">
      <c r="A5843"/>
    </row>
    <row r="5844" spans="1:1" x14ac:dyDescent="0.25">
      <c r="A5844"/>
    </row>
    <row r="5845" spans="1:1" x14ac:dyDescent="0.25">
      <c r="A5845"/>
    </row>
    <row r="5846" spans="1:1" x14ac:dyDescent="0.25">
      <c r="A5846"/>
    </row>
    <row r="5847" spans="1:1" x14ac:dyDescent="0.25">
      <c r="A5847"/>
    </row>
    <row r="5848" spans="1:1" x14ac:dyDescent="0.25">
      <c r="A5848"/>
    </row>
    <row r="5849" spans="1:1" x14ac:dyDescent="0.25">
      <c r="A5849"/>
    </row>
    <row r="5850" spans="1:1" x14ac:dyDescent="0.25">
      <c r="A5850"/>
    </row>
    <row r="5851" spans="1:1" x14ac:dyDescent="0.25">
      <c r="A5851"/>
    </row>
    <row r="5852" spans="1:1" x14ac:dyDescent="0.25">
      <c r="A5852"/>
    </row>
    <row r="5853" spans="1:1" x14ac:dyDescent="0.25">
      <c r="A5853"/>
    </row>
    <row r="5854" spans="1:1" x14ac:dyDescent="0.25">
      <c r="A5854"/>
    </row>
    <row r="5855" spans="1:1" x14ac:dyDescent="0.25">
      <c r="A5855"/>
    </row>
    <row r="5856" spans="1:1" x14ac:dyDescent="0.25">
      <c r="A5856"/>
    </row>
    <row r="5857" spans="1:1" x14ac:dyDescent="0.25">
      <c r="A5857"/>
    </row>
    <row r="5858" spans="1:1" x14ac:dyDescent="0.25">
      <c r="A5858"/>
    </row>
    <row r="5859" spans="1:1" x14ac:dyDescent="0.25">
      <c r="A5859"/>
    </row>
    <row r="5860" spans="1:1" x14ac:dyDescent="0.25">
      <c r="A5860"/>
    </row>
    <row r="5861" spans="1:1" x14ac:dyDescent="0.25">
      <c r="A5861"/>
    </row>
    <row r="5862" spans="1:1" x14ac:dyDescent="0.25">
      <c r="A5862"/>
    </row>
    <row r="5863" spans="1:1" x14ac:dyDescent="0.25">
      <c r="A5863"/>
    </row>
    <row r="5864" spans="1:1" x14ac:dyDescent="0.25">
      <c r="A5864"/>
    </row>
    <row r="5865" spans="1:1" x14ac:dyDescent="0.25">
      <c r="A5865"/>
    </row>
    <row r="5866" spans="1:1" x14ac:dyDescent="0.25">
      <c r="A5866"/>
    </row>
    <row r="5867" spans="1:1" x14ac:dyDescent="0.25">
      <c r="A5867"/>
    </row>
    <row r="5868" spans="1:1" x14ac:dyDescent="0.25">
      <c r="A5868"/>
    </row>
    <row r="5869" spans="1:1" x14ac:dyDescent="0.25">
      <c r="A5869"/>
    </row>
    <row r="5870" spans="1:1" x14ac:dyDescent="0.25">
      <c r="A5870"/>
    </row>
    <row r="5871" spans="1:1" x14ac:dyDescent="0.25">
      <c r="A5871"/>
    </row>
    <row r="5872" spans="1:1" x14ac:dyDescent="0.25">
      <c r="A5872"/>
    </row>
    <row r="5873" spans="1:1" x14ac:dyDescent="0.25">
      <c r="A5873"/>
    </row>
    <row r="5874" spans="1:1" x14ac:dyDescent="0.25">
      <c r="A5874"/>
    </row>
    <row r="5875" spans="1:1" x14ac:dyDescent="0.25">
      <c r="A5875"/>
    </row>
    <row r="5876" spans="1:1" x14ac:dyDescent="0.25">
      <c r="A5876"/>
    </row>
    <row r="5877" spans="1:1" x14ac:dyDescent="0.25">
      <c r="A5877"/>
    </row>
    <row r="5878" spans="1:1" x14ac:dyDescent="0.25">
      <c r="A5878"/>
    </row>
    <row r="5879" spans="1:1" x14ac:dyDescent="0.25">
      <c r="A5879"/>
    </row>
    <row r="5880" spans="1:1" x14ac:dyDescent="0.25">
      <c r="A5880"/>
    </row>
    <row r="5881" spans="1:1" x14ac:dyDescent="0.25">
      <c r="A5881"/>
    </row>
    <row r="5882" spans="1:1" x14ac:dyDescent="0.25">
      <c r="A5882"/>
    </row>
    <row r="5883" spans="1:1" x14ac:dyDescent="0.25">
      <c r="A5883"/>
    </row>
    <row r="5884" spans="1:1" x14ac:dyDescent="0.25">
      <c r="A5884"/>
    </row>
    <row r="5885" spans="1:1" x14ac:dyDescent="0.25">
      <c r="A5885"/>
    </row>
    <row r="5886" spans="1:1" x14ac:dyDescent="0.25">
      <c r="A5886"/>
    </row>
    <row r="5887" spans="1:1" x14ac:dyDescent="0.25">
      <c r="A5887"/>
    </row>
    <row r="5888" spans="1:1" x14ac:dyDescent="0.25">
      <c r="A5888"/>
    </row>
    <row r="5889" spans="1:1" x14ac:dyDescent="0.25">
      <c r="A5889"/>
    </row>
    <row r="5890" spans="1:1" x14ac:dyDescent="0.25">
      <c r="A5890"/>
    </row>
    <row r="5891" spans="1:1" x14ac:dyDescent="0.25">
      <c r="A5891"/>
    </row>
    <row r="5892" spans="1:1" x14ac:dyDescent="0.25">
      <c r="A5892"/>
    </row>
    <row r="5893" spans="1:1" x14ac:dyDescent="0.25">
      <c r="A5893"/>
    </row>
    <row r="5894" spans="1:1" x14ac:dyDescent="0.25">
      <c r="A5894"/>
    </row>
    <row r="5895" spans="1:1" x14ac:dyDescent="0.25">
      <c r="A5895"/>
    </row>
    <row r="5896" spans="1:1" x14ac:dyDescent="0.25">
      <c r="A5896"/>
    </row>
    <row r="5897" spans="1:1" x14ac:dyDescent="0.25">
      <c r="A5897"/>
    </row>
    <row r="5898" spans="1:1" x14ac:dyDescent="0.25">
      <c r="A5898"/>
    </row>
    <row r="5899" spans="1:1" x14ac:dyDescent="0.25">
      <c r="A5899"/>
    </row>
    <row r="5900" spans="1:1" x14ac:dyDescent="0.25">
      <c r="A5900"/>
    </row>
    <row r="5901" spans="1:1" x14ac:dyDescent="0.25">
      <c r="A5901"/>
    </row>
    <row r="5902" spans="1:1" x14ac:dyDescent="0.25">
      <c r="A5902"/>
    </row>
    <row r="5903" spans="1:1" x14ac:dyDescent="0.25">
      <c r="A5903"/>
    </row>
    <row r="5904" spans="1:1" x14ac:dyDescent="0.25">
      <c r="A5904"/>
    </row>
    <row r="5905" spans="1:1" x14ac:dyDescent="0.25">
      <c r="A5905"/>
    </row>
    <row r="5906" spans="1:1" x14ac:dyDescent="0.25">
      <c r="A5906"/>
    </row>
    <row r="5907" spans="1:1" x14ac:dyDescent="0.25">
      <c r="A5907"/>
    </row>
    <row r="5908" spans="1:1" x14ac:dyDescent="0.25">
      <c r="A5908"/>
    </row>
    <row r="5909" spans="1:1" x14ac:dyDescent="0.25">
      <c r="A5909"/>
    </row>
    <row r="5910" spans="1:1" x14ac:dyDescent="0.25">
      <c r="A5910"/>
    </row>
    <row r="5911" spans="1:1" x14ac:dyDescent="0.25">
      <c r="A5911"/>
    </row>
    <row r="5912" spans="1:1" x14ac:dyDescent="0.25">
      <c r="A5912"/>
    </row>
    <row r="5913" spans="1:1" x14ac:dyDescent="0.25">
      <c r="A5913"/>
    </row>
    <row r="5914" spans="1:1" x14ac:dyDescent="0.25">
      <c r="A5914"/>
    </row>
    <row r="5915" spans="1:1" x14ac:dyDescent="0.25">
      <c r="A5915"/>
    </row>
    <row r="5916" spans="1:1" x14ac:dyDescent="0.25">
      <c r="A5916"/>
    </row>
    <row r="5917" spans="1:1" x14ac:dyDescent="0.25">
      <c r="A5917"/>
    </row>
    <row r="5918" spans="1:1" x14ac:dyDescent="0.25">
      <c r="A5918"/>
    </row>
    <row r="5919" spans="1:1" x14ac:dyDescent="0.25">
      <c r="A5919"/>
    </row>
    <row r="5920" spans="1:1" x14ac:dyDescent="0.25">
      <c r="A5920"/>
    </row>
    <row r="5921" spans="1:1" x14ac:dyDescent="0.25">
      <c r="A5921"/>
    </row>
    <row r="5922" spans="1:1" x14ac:dyDescent="0.25">
      <c r="A5922"/>
    </row>
    <row r="5923" spans="1:1" x14ac:dyDescent="0.25">
      <c r="A5923"/>
    </row>
    <row r="5924" spans="1:1" x14ac:dyDescent="0.25">
      <c r="A5924"/>
    </row>
    <row r="5925" spans="1:1" x14ac:dyDescent="0.25">
      <c r="A5925"/>
    </row>
    <row r="5926" spans="1:1" x14ac:dyDescent="0.25">
      <c r="A5926"/>
    </row>
    <row r="5927" spans="1:1" x14ac:dyDescent="0.25">
      <c r="A5927"/>
    </row>
    <row r="5928" spans="1:1" x14ac:dyDescent="0.25">
      <c r="A5928"/>
    </row>
    <row r="5929" spans="1:1" x14ac:dyDescent="0.25">
      <c r="A5929"/>
    </row>
    <row r="5930" spans="1:1" x14ac:dyDescent="0.25">
      <c r="A5930"/>
    </row>
    <row r="5931" spans="1:1" x14ac:dyDescent="0.25">
      <c r="A5931"/>
    </row>
    <row r="5932" spans="1:1" x14ac:dyDescent="0.25">
      <c r="A5932"/>
    </row>
    <row r="5933" spans="1:1" x14ac:dyDescent="0.25">
      <c r="A5933"/>
    </row>
    <row r="5934" spans="1:1" x14ac:dyDescent="0.25">
      <c r="A5934"/>
    </row>
    <row r="5935" spans="1:1" x14ac:dyDescent="0.25">
      <c r="A5935"/>
    </row>
    <row r="5936" spans="1:1" x14ac:dyDescent="0.25">
      <c r="A5936"/>
    </row>
    <row r="5937" spans="1:1" x14ac:dyDescent="0.25">
      <c r="A5937"/>
    </row>
    <row r="5938" spans="1:1" x14ac:dyDescent="0.25">
      <c r="A5938"/>
    </row>
    <row r="5939" spans="1:1" x14ac:dyDescent="0.25">
      <c r="A5939"/>
    </row>
    <row r="5940" spans="1:1" x14ac:dyDescent="0.25">
      <c r="A5940"/>
    </row>
    <row r="5941" spans="1:1" x14ac:dyDescent="0.25">
      <c r="A5941"/>
    </row>
    <row r="5942" spans="1:1" x14ac:dyDescent="0.25">
      <c r="A5942"/>
    </row>
    <row r="5943" spans="1:1" x14ac:dyDescent="0.25">
      <c r="A5943"/>
    </row>
    <row r="5944" spans="1:1" x14ac:dyDescent="0.25">
      <c r="A5944"/>
    </row>
    <row r="5945" spans="1:1" x14ac:dyDescent="0.25">
      <c r="A5945"/>
    </row>
    <row r="5946" spans="1:1" x14ac:dyDescent="0.25">
      <c r="A5946"/>
    </row>
    <row r="5947" spans="1:1" x14ac:dyDescent="0.25">
      <c r="A5947"/>
    </row>
    <row r="5948" spans="1:1" x14ac:dyDescent="0.25">
      <c r="A5948"/>
    </row>
    <row r="5949" spans="1:1" x14ac:dyDescent="0.25">
      <c r="A5949"/>
    </row>
    <row r="5950" spans="1:1" x14ac:dyDescent="0.25">
      <c r="A5950"/>
    </row>
    <row r="5951" spans="1:1" x14ac:dyDescent="0.25">
      <c r="A5951"/>
    </row>
    <row r="5952" spans="1:1" x14ac:dyDescent="0.25">
      <c r="A5952"/>
    </row>
    <row r="5953" spans="1:1" x14ac:dyDescent="0.25">
      <c r="A5953"/>
    </row>
    <row r="5954" spans="1:1" x14ac:dyDescent="0.25">
      <c r="A5954"/>
    </row>
    <row r="5955" spans="1:1" x14ac:dyDescent="0.25">
      <c r="A5955"/>
    </row>
    <row r="5956" spans="1:1" x14ac:dyDescent="0.25">
      <c r="A5956"/>
    </row>
    <row r="5957" spans="1:1" x14ac:dyDescent="0.25">
      <c r="A5957"/>
    </row>
  </sheetData>
  <pageMargins left="0.7" right="0.7" top="0.75" bottom="0.75" header="0.3" footer="0.3"/>
  <pageSetup orientation="portrait" verticalDpi="300"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A6E816-7B6F-4509-B9F5-D960635840BB}">
  <sheetPr>
    <tabColor rgb="FF92D050"/>
  </sheetPr>
  <dimension ref="A1:AM32"/>
  <sheetViews>
    <sheetView workbookViewId="0">
      <selection activeCellId="3" sqref="A37:XFD1048576 K36:XFD36 A36:I36 A1:XFD1048576"/>
    </sheetView>
  </sheetViews>
  <sheetFormatPr defaultRowHeight="12.75" x14ac:dyDescent="0.25"/>
  <cols>
    <col min="1" max="1" width="2" style="318" customWidth="1"/>
    <col min="2" max="2" width="20.5703125" style="318" customWidth="1"/>
    <col min="3" max="3" width="13.42578125" style="318" customWidth="1"/>
    <col min="4" max="8" width="11.7109375" style="318" customWidth="1"/>
    <col min="9" max="9" width="17" style="318" customWidth="1"/>
    <col min="10" max="10" width="11.7109375" style="318" customWidth="1"/>
    <col min="11" max="11" width="8.7109375" style="318" customWidth="1"/>
    <col min="12" max="12" width="7" style="318" hidden="1" customWidth="1"/>
    <col min="13" max="13" width="6.7109375" style="318" hidden="1" customWidth="1"/>
    <col min="14" max="14" width="7.140625" style="318" hidden="1" customWidth="1"/>
    <col min="15" max="15" width="8.140625" style="318" customWidth="1"/>
    <col min="16" max="16" width="8.5703125" style="318" customWidth="1"/>
    <col min="17" max="17" width="8.7109375" style="318" customWidth="1"/>
    <col min="18" max="16384" width="9.140625" style="318"/>
  </cols>
  <sheetData>
    <row r="1" spans="1:39" x14ac:dyDescent="0.25">
      <c r="B1" s="319"/>
      <c r="C1" s="370" t="s">
        <v>1519</v>
      </c>
      <c r="D1" s="370"/>
      <c r="E1" s="370"/>
      <c r="F1" s="370"/>
      <c r="G1" s="370"/>
      <c r="H1" s="370"/>
      <c r="I1" s="319"/>
      <c r="J1" s="319"/>
      <c r="K1" s="320"/>
      <c r="L1" s="320"/>
      <c r="M1" s="320"/>
      <c r="N1" s="320"/>
      <c r="O1" s="320"/>
      <c r="P1" s="320"/>
      <c r="Q1" s="320"/>
      <c r="R1" s="320"/>
      <c r="S1" s="320"/>
    </row>
    <row r="2" spans="1:39" x14ac:dyDescent="0.25">
      <c r="B2" s="319"/>
      <c r="C2" s="370"/>
      <c r="D2" s="370"/>
      <c r="E2" s="370"/>
      <c r="F2" s="370"/>
      <c r="G2" s="370"/>
      <c r="H2" s="370"/>
      <c r="I2" s="319"/>
      <c r="J2" s="319"/>
      <c r="K2" s="320"/>
      <c r="L2" s="320"/>
      <c r="M2" s="320"/>
      <c r="N2" s="320"/>
      <c r="O2" s="320"/>
      <c r="P2" s="320"/>
      <c r="Q2" s="320"/>
      <c r="R2" s="320"/>
      <c r="S2" s="320"/>
    </row>
    <row r="4" spans="1:39" ht="13.5" thickBot="1" x14ac:dyDescent="0.3">
      <c r="B4" s="371" t="s">
        <v>1520</v>
      </c>
      <c r="C4" s="372"/>
      <c r="D4" s="372"/>
      <c r="E4" s="372"/>
      <c r="F4" s="372"/>
      <c r="G4" s="372"/>
      <c r="H4" s="372"/>
      <c r="I4" s="372"/>
      <c r="J4" s="372"/>
    </row>
    <row r="5" spans="1:39" ht="26.25" thickBot="1" x14ac:dyDescent="0.3">
      <c r="B5" s="321" t="s">
        <v>1521</v>
      </c>
      <c r="C5" s="322" t="s">
        <v>1522</v>
      </c>
      <c r="D5" s="323" t="s">
        <v>1523</v>
      </c>
      <c r="E5" s="323" t="s">
        <v>1524</v>
      </c>
      <c r="F5" s="323" t="s">
        <v>1525</v>
      </c>
      <c r="G5" s="323" t="s">
        <v>1526</v>
      </c>
      <c r="H5" s="323" t="s">
        <v>1527</v>
      </c>
      <c r="I5" s="324" t="s">
        <v>1528</v>
      </c>
      <c r="J5" s="325" t="s">
        <v>1529</v>
      </c>
      <c r="K5" s="326"/>
      <c r="L5" s="326"/>
      <c r="M5" s="326"/>
      <c r="N5" s="326"/>
    </row>
    <row r="6" spans="1:39" s="331" customFormat="1" x14ac:dyDescent="0.25">
      <c r="A6" s="318"/>
      <c r="B6" s="327" t="s">
        <v>1530</v>
      </c>
      <c r="C6" s="328">
        <v>84</v>
      </c>
      <c r="D6" s="328">
        <v>7</v>
      </c>
      <c r="E6" s="328">
        <v>3</v>
      </c>
      <c r="F6" s="328"/>
      <c r="G6" s="328">
        <v>1</v>
      </c>
      <c r="H6" s="328">
        <v>2</v>
      </c>
      <c r="I6" s="329"/>
      <c r="J6" s="330">
        <f>SUM(C6:I6)</f>
        <v>97</v>
      </c>
      <c r="K6" s="318"/>
      <c r="L6" s="318"/>
      <c r="M6" s="318"/>
      <c r="N6" s="318"/>
      <c r="O6" s="318"/>
      <c r="P6" s="318"/>
      <c r="Q6" s="318"/>
      <c r="R6" s="318"/>
      <c r="S6" s="318"/>
      <c r="T6" s="318"/>
      <c r="U6" s="318"/>
      <c r="V6" s="318"/>
      <c r="W6" s="318"/>
      <c r="X6" s="318"/>
      <c r="Y6" s="318"/>
      <c r="Z6" s="318"/>
      <c r="AA6" s="318"/>
      <c r="AB6" s="318"/>
      <c r="AC6" s="318"/>
      <c r="AD6" s="318"/>
      <c r="AE6" s="318"/>
      <c r="AF6" s="318"/>
      <c r="AG6" s="318"/>
      <c r="AH6" s="318"/>
      <c r="AI6" s="318"/>
      <c r="AJ6" s="318"/>
      <c r="AK6" s="318"/>
      <c r="AL6" s="318"/>
      <c r="AM6" s="318"/>
    </row>
    <row r="7" spans="1:39" s="337" customFormat="1" ht="13.5" thickBot="1" x14ac:dyDescent="0.3">
      <c r="A7" s="332"/>
      <c r="B7" s="333" t="s">
        <v>1531</v>
      </c>
      <c r="C7" s="334">
        <f>+C6/$J$6</f>
        <v>0.865979381443299</v>
      </c>
      <c r="D7" s="334">
        <f>+D6/J6</f>
        <v>7.2164948453608241E-2</v>
      </c>
      <c r="E7" s="334">
        <f t="shared" ref="E7:H7" si="0">+E6/$J$6</f>
        <v>3.0927835051546393E-2</v>
      </c>
      <c r="F7" s="334">
        <f t="shared" si="0"/>
        <v>0</v>
      </c>
      <c r="G7" s="334">
        <f t="shared" si="0"/>
        <v>1.0309278350515464E-2</v>
      </c>
      <c r="H7" s="334">
        <f t="shared" si="0"/>
        <v>2.0618556701030927E-2</v>
      </c>
      <c r="I7" s="335"/>
      <c r="J7" s="336"/>
      <c r="K7" s="332"/>
      <c r="L7" s="332"/>
      <c r="M7" s="332"/>
      <c r="N7" s="332"/>
      <c r="O7" s="332"/>
      <c r="P7" s="332"/>
      <c r="Q7" s="332"/>
      <c r="R7" s="332"/>
      <c r="S7" s="332"/>
      <c r="T7" s="332"/>
      <c r="U7" s="332"/>
      <c r="V7" s="332"/>
      <c r="W7" s="332"/>
      <c r="X7" s="332"/>
      <c r="Y7" s="332"/>
      <c r="Z7" s="332"/>
      <c r="AA7" s="332"/>
      <c r="AB7" s="332"/>
      <c r="AC7" s="332"/>
      <c r="AD7" s="332"/>
      <c r="AE7" s="332"/>
      <c r="AF7" s="332"/>
      <c r="AG7" s="332"/>
      <c r="AH7" s="332"/>
      <c r="AI7" s="332"/>
      <c r="AJ7" s="332"/>
      <c r="AK7" s="332"/>
      <c r="AL7" s="332"/>
      <c r="AM7" s="332"/>
    </row>
    <row r="8" spans="1:39" s="343" customFormat="1" x14ac:dyDescent="0.25">
      <c r="A8" s="326"/>
      <c r="B8" s="338" t="s">
        <v>134</v>
      </c>
      <c r="C8" s="339">
        <v>48</v>
      </c>
      <c r="D8" s="340">
        <v>13</v>
      </c>
      <c r="E8" s="340">
        <v>3</v>
      </c>
      <c r="F8" s="340"/>
      <c r="G8" s="340"/>
      <c r="H8" s="340"/>
      <c r="I8" s="341"/>
      <c r="J8" s="342">
        <f>SUM(C8:I8)</f>
        <v>64</v>
      </c>
      <c r="K8" s="326"/>
      <c r="L8" s="326"/>
      <c r="M8" s="326"/>
      <c r="N8" s="326"/>
      <c r="O8" s="326"/>
      <c r="P8" s="326"/>
      <c r="Q8" s="326"/>
      <c r="R8" s="326"/>
      <c r="S8" s="326"/>
      <c r="T8" s="326"/>
      <c r="U8" s="326"/>
      <c r="V8" s="326"/>
      <c r="W8" s="326"/>
      <c r="X8" s="326"/>
      <c r="Y8" s="326"/>
      <c r="Z8" s="326"/>
      <c r="AA8" s="326"/>
      <c r="AB8" s="326"/>
      <c r="AC8" s="326"/>
      <c r="AD8" s="326"/>
      <c r="AE8" s="326"/>
      <c r="AF8" s="326"/>
      <c r="AG8" s="326"/>
      <c r="AH8" s="326"/>
      <c r="AI8" s="326"/>
      <c r="AJ8" s="326"/>
      <c r="AK8" s="326"/>
      <c r="AL8" s="326"/>
      <c r="AM8" s="326"/>
    </row>
    <row r="9" spans="1:39" s="337" customFormat="1" ht="13.5" thickBot="1" x14ac:dyDescent="0.3">
      <c r="A9" s="332"/>
      <c r="B9" s="344" t="s">
        <v>1531</v>
      </c>
      <c r="C9" s="334">
        <f>+C8/$J$8</f>
        <v>0.75</v>
      </c>
      <c r="D9" s="334">
        <f>+D8/J8</f>
        <v>0.203125</v>
      </c>
      <c r="E9" s="334">
        <f t="shared" ref="E9:H9" si="1">+E8/$J$8</f>
        <v>4.6875E-2</v>
      </c>
      <c r="F9" s="334">
        <f t="shared" si="1"/>
        <v>0</v>
      </c>
      <c r="G9" s="334">
        <f t="shared" si="1"/>
        <v>0</v>
      </c>
      <c r="H9" s="334">
        <f t="shared" si="1"/>
        <v>0</v>
      </c>
      <c r="I9" s="335"/>
      <c r="J9" s="345"/>
      <c r="K9" s="332"/>
      <c r="L9" s="332"/>
      <c r="M9" s="332"/>
      <c r="N9" s="332"/>
      <c r="O9" s="332"/>
      <c r="P9" s="332"/>
      <c r="Q9" s="332"/>
      <c r="R9" s="332"/>
      <c r="S9" s="332"/>
      <c r="T9" s="332"/>
      <c r="U9" s="332"/>
      <c r="V9" s="332"/>
      <c r="W9" s="332"/>
      <c r="X9" s="332"/>
      <c r="Y9" s="332"/>
      <c r="Z9" s="332"/>
      <c r="AA9" s="332"/>
      <c r="AB9" s="332"/>
      <c r="AC9" s="332"/>
      <c r="AD9" s="332"/>
      <c r="AE9" s="332"/>
      <c r="AF9" s="332"/>
      <c r="AG9" s="332"/>
      <c r="AH9" s="332"/>
      <c r="AI9" s="332"/>
      <c r="AJ9" s="332"/>
      <c r="AK9" s="332"/>
      <c r="AL9" s="332"/>
      <c r="AM9" s="332"/>
    </row>
    <row r="10" spans="1:39" s="343" customFormat="1" x14ac:dyDescent="0.25">
      <c r="A10" s="326"/>
      <c r="B10" s="327" t="s">
        <v>127</v>
      </c>
      <c r="C10" s="328">
        <v>7</v>
      </c>
      <c r="D10" s="346">
        <v>9</v>
      </c>
      <c r="E10" s="346"/>
      <c r="F10" s="346"/>
      <c r="G10" s="347"/>
      <c r="H10" s="347"/>
      <c r="I10" s="348"/>
      <c r="J10" s="330">
        <f>SUM(C10:I10)</f>
        <v>16</v>
      </c>
      <c r="K10" s="349"/>
      <c r="L10" s="326"/>
      <c r="M10" s="326"/>
      <c r="N10" s="326"/>
      <c r="O10" s="326"/>
      <c r="P10" s="326"/>
      <c r="Q10" s="326"/>
      <c r="R10" s="326"/>
      <c r="S10" s="326"/>
      <c r="T10" s="326"/>
      <c r="U10" s="326"/>
      <c r="V10" s="326"/>
      <c r="W10" s="326"/>
      <c r="X10" s="326"/>
      <c r="Y10" s="326"/>
      <c r="Z10" s="326"/>
      <c r="AA10" s="326"/>
      <c r="AB10" s="326"/>
      <c r="AC10" s="326"/>
      <c r="AD10" s="326"/>
      <c r="AE10" s="326"/>
      <c r="AF10" s="326"/>
      <c r="AG10" s="326"/>
      <c r="AH10" s="326"/>
      <c r="AI10" s="326"/>
      <c r="AJ10" s="326"/>
      <c r="AK10" s="326"/>
      <c r="AL10" s="326"/>
      <c r="AM10" s="326"/>
    </row>
    <row r="11" spans="1:39" s="337" customFormat="1" ht="13.5" thickBot="1" x14ac:dyDescent="0.3">
      <c r="A11" s="332"/>
      <c r="B11" s="333" t="s">
        <v>1531</v>
      </c>
      <c r="C11" s="334">
        <f>+C10/$J$10</f>
        <v>0.4375</v>
      </c>
      <c r="D11" s="334">
        <f t="shared" ref="D11:H11" si="2">+D10/$J$10</f>
        <v>0.5625</v>
      </c>
      <c r="E11" s="334">
        <f t="shared" si="2"/>
        <v>0</v>
      </c>
      <c r="F11" s="334">
        <f t="shared" si="2"/>
        <v>0</v>
      </c>
      <c r="G11" s="334">
        <f t="shared" si="2"/>
        <v>0</v>
      </c>
      <c r="H11" s="334">
        <f t="shared" si="2"/>
        <v>0</v>
      </c>
      <c r="I11" s="335"/>
      <c r="J11" s="336"/>
      <c r="K11" s="332"/>
      <c r="L11" s="332"/>
      <c r="M11" s="332"/>
      <c r="N11" s="332"/>
      <c r="O11" s="332"/>
      <c r="P11" s="332"/>
      <c r="Q11" s="332"/>
      <c r="R11" s="332"/>
      <c r="S11" s="332"/>
      <c r="T11" s="332"/>
      <c r="U11" s="332"/>
      <c r="V11" s="332"/>
      <c r="W11" s="332"/>
      <c r="X11" s="332"/>
      <c r="Y11" s="332"/>
      <c r="Z11" s="332"/>
      <c r="AA11" s="332"/>
      <c r="AB11" s="332"/>
      <c r="AC11" s="332"/>
      <c r="AD11" s="332"/>
      <c r="AE11" s="332"/>
      <c r="AF11" s="332"/>
      <c r="AG11" s="332"/>
      <c r="AH11" s="332"/>
      <c r="AI11" s="332"/>
      <c r="AJ11" s="332"/>
      <c r="AK11" s="332"/>
      <c r="AL11" s="332"/>
      <c r="AM11" s="332"/>
    </row>
    <row r="12" spans="1:39" s="331" customFormat="1" x14ac:dyDescent="0.25">
      <c r="A12" s="318"/>
      <c r="B12" s="327" t="s">
        <v>116</v>
      </c>
      <c r="C12" s="328">
        <v>14</v>
      </c>
      <c r="D12" s="328">
        <v>3</v>
      </c>
      <c r="E12" s="328"/>
      <c r="F12" s="328"/>
      <c r="G12" s="328"/>
      <c r="H12" s="328"/>
      <c r="I12" s="329"/>
      <c r="J12" s="330">
        <f>SUM(C12:I12)</f>
        <v>17</v>
      </c>
      <c r="K12" s="318"/>
      <c r="L12" s="318"/>
      <c r="M12" s="318"/>
      <c r="N12" s="318"/>
      <c r="O12" s="318"/>
      <c r="P12" s="318"/>
      <c r="Q12" s="318"/>
      <c r="R12" s="318"/>
      <c r="S12" s="318"/>
      <c r="T12" s="318"/>
      <c r="U12" s="318"/>
      <c r="V12" s="318"/>
      <c r="W12" s="318"/>
      <c r="X12" s="318"/>
      <c r="Y12" s="318"/>
      <c r="Z12" s="318"/>
      <c r="AA12" s="318"/>
      <c r="AB12" s="318"/>
      <c r="AC12" s="318"/>
      <c r="AD12" s="318"/>
      <c r="AE12" s="318"/>
      <c r="AF12" s="318"/>
      <c r="AG12" s="318"/>
      <c r="AH12" s="318"/>
      <c r="AI12" s="318"/>
      <c r="AJ12" s="318"/>
      <c r="AK12" s="318"/>
      <c r="AL12" s="318"/>
      <c r="AM12" s="318"/>
    </row>
    <row r="13" spans="1:39" s="337" customFormat="1" ht="13.5" thickBot="1" x14ac:dyDescent="0.3">
      <c r="A13" s="332"/>
      <c r="B13" s="333" t="s">
        <v>1531</v>
      </c>
      <c r="C13" s="334">
        <f>+C12/$J$12</f>
        <v>0.82352941176470584</v>
      </c>
      <c r="D13" s="334">
        <f t="shared" ref="D13:H13" si="3">+D12/$J$12</f>
        <v>0.17647058823529413</v>
      </c>
      <c r="E13" s="334">
        <f t="shared" si="3"/>
        <v>0</v>
      </c>
      <c r="F13" s="334">
        <f t="shared" si="3"/>
        <v>0</v>
      </c>
      <c r="G13" s="334">
        <f t="shared" si="3"/>
        <v>0</v>
      </c>
      <c r="H13" s="334">
        <f t="shared" si="3"/>
        <v>0</v>
      </c>
      <c r="I13" s="335"/>
      <c r="J13" s="336"/>
      <c r="K13" s="332"/>
      <c r="L13" s="332"/>
      <c r="M13" s="332"/>
      <c r="N13" s="332"/>
      <c r="O13" s="332"/>
      <c r="P13" s="332"/>
      <c r="Q13" s="332"/>
      <c r="R13" s="332"/>
      <c r="S13" s="332"/>
      <c r="T13" s="332"/>
      <c r="U13" s="332"/>
      <c r="V13" s="332"/>
      <c r="W13" s="332"/>
      <c r="X13" s="332"/>
      <c r="Y13" s="332"/>
      <c r="Z13" s="332"/>
      <c r="AA13" s="332"/>
      <c r="AB13" s="332"/>
      <c r="AC13" s="332"/>
      <c r="AD13" s="332"/>
      <c r="AE13" s="332"/>
      <c r="AF13" s="332"/>
      <c r="AG13" s="332"/>
      <c r="AH13" s="332"/>
      <c r="AI13" s="332"/>
      <c r="AJ13" s="332"/>
      <c r="AK13" s="332"/>
      <c r="AL13" s="332"/>
      <c r="AM13" s="332"/>
    </row>
    <row r="14" spans="1:39" s="343" customFormat="1" x14ac:dyDescent="0.25">
      <c r="A14" s="326"/>
      <c r="B14" s="338" t="s">
        <v>1532</v>
      </c>
      <c r="C14" s="339">
        <v>12</v>
      </c>
      <c r="D14" s="340"/>
      <c r="E14" s="340"/>
      <c r="F14" s="340"/>
      <c r="G14" s="340"/>
      <c r="H14" s="340"/>
      <c r="I14" s="341"/>
      <c r="J14" s="342">
        <f>SUM(C14:I14)</f>
        <v>12</v>
      </c>
      <c r="K14" s="326"/>
      <c r="L14" s="326"/>
      <c r="M14" s="326"/>
      <c r="N14" s="326"/>
      <c r="O14" s="326"/>
      <c r="P14" s="326"/>
      <c r="Q14" s="326"/>
      <c r="R14" s="326"/>
      <c r="S14" s="326"/>
      <c r="T14" s="326"/>
      <c r="U14" s="326"/>
      <c r="V14" s="326"/>
      <c r="W14" s="326"/>
      <c r="X14" s="326"/>
      <c r="Y14" s="326"/>
      <c r="Z14" s="326"/>
      <c r="AA14" s="326"/>
      <c r="AB14" s="326"/>
      <c r="AC14" s="326"/>
      <c r="AD14" s="326"/>
      <c r="AE14" s="326"/>
      <c r="AF14" s="326"/>
      <c r="AG14" s="326"/>
      <c r="AH14" s="326"/>
      <c r="AI14" s="326"/>
      <c r="AJ14" s="326"/>
      <c r="AK14" s="326"/>
      <c r="AL14" s="326"/>
      <c r="AM14" s="326"/>
    </row>
    <row r="15" spans="1:39" s="337" customFormat="1" ht="13.5" thickBot="1" x14ac:dyDescent="0.3">
      <c r="A15" s="332"/>
      <c r="B15" s="344" t="s">
        <v>1531</v>
      </c>
      <c r="C15" s="334">
        <f>+C14/$J$14</f>
        <v>1</v>
      </c>
      <c r="D15" s="334">
        <f>+D14/J14</f>
        <v>0</v>
      </c>
      <c r="E15" s="334">
        <f t="shared" ref="E15:H15" si="4">+E14/$J$6</f>
        <v>0</v>
      </c>
      <c r="F15" s="334">
        <f t="shared" si="4"/>
        <v>0</v>
      </c>
      <c r="G15" s="334">
        <f t="shared" si="4"/>
        <v>0</v>
      </c>
      <c r="H15" s="334">
        <f t="shared" si="4"/>
        <v>0</v>
      </c>
      <c r="I15" s="335"/>
      <c r="J15" s="345"/>
      <c r="K15" s="332"/>
      <c r="L15" s="332"/>
      <c r="M15" s="332"/>
      <c r="N15" s="332"/>
      <c r="O15" s="332"/>
      <c r="P15" s="332"/>
      <c r="Q15" s="332"/>
      <c r="R15" s="332"/>
      <c r="S15" s="332"/>
      <c r="T15" s="332"/>
      <c r="U15" s="332"/>
      <c r="V15" s="332"/>
      <c r="W15" s="332"/>
      <c r="X15" s="332"/>
      <c r="Y15" s="332"/>
      <c r="Z15" s="332"/>
      <c r="AA15" s="332"/>
      <c r="AB15" s="332"/>
      <c r="AC15" s="332"/>
      <c r="AD15" s="332"/>
      <c r="AE15" s="332"/>
      <c r="AF15" s="332"/>
      <c r="AG15" s="332"/>
      <c r="AH15" s="332"/>
      <c r="AI15" s="332"/>
      <c r="AJ15" s="332"/>
      <c r="AK15" s="332"/>
      <c r="AL15" s="332"/>
      <c r="AM15" s="332"/>
    </row>
    <row r="16" spans="1:39" s="343" customFormat="1" x14ac:dyDescent="0.25">
      <c r="A16" s="326"/>
      <c r="B16" s="327" t="s">
        <v>120</v>
      </c>
      <c r="C16" s="328">
        <v>8</v>
      </c>
      <c r="D16" s="346"/>
      <c r="E16" s="346"/>
      <c r="F16" s="346"/>
      <c r="G16" s="347"/>
      <c r="H16" s="347"/>
      <c r="I16" s="348"/>
      <c r="J16" s="330">
        <f>SUM(C16:I16)</f>
        <v>8</v>
      </c>
      <c r="K16" s="349"/>
      <c r="L16" s="326"/>
      <c r="M16" s="326"/>
      <c r="N16" s="326"/>
      <c r="O16" s="326"/>
      <c r="P16" s="326"/>
      <c r="Q16" s="326"/>
      <c r="R16" s="326"/>
      <c r="S16" s="326"/>
      <c r="T16" s="326"/>
      <c r="U16" s="326"/>
      <c r="V16" s="326"/>
      <c r="W16" s="326"/>
      <c r="X16" s="326"/>
      <c r="Y16" s="326"/>
      <c r="Z16" s="326"/>
      <c r="AA16" s="326"/>
      <c r="AB16" s="326"/>
      <c r="AC16" s="326"/>
      <c r="AD16" s="326"/>
      <c r="AE16" s="326"/>
      <c r="AF16" s="326"/>
      <c r="AG16" s="326"/>
      <c r="AH16" s="326"/>
      <c r="AI16" s="326"/>
      <c r="AJ16" s="326"/>
      <c r="AK16" s="326"/>
      <c r="AL16" s="326"/>
      <c r="AM16" s="326"/>
    </row>
    <row r="17" spans="1:39" s="337" customFormat="1" ht="13.5" thickBot="1" x14ac:dyDescent="0.3">
      <c r="A17" s="332"/>
      <c r="B17" s="333" t="s">
        <v>1531</v>
      </c>
      <c r="C17" s="334">
        <f>+C16/$J$16</f>
        <v>1</v>
      </c>
      <c r="D17" s="334">
        <f>+D16/J16</f>
        <v>0</v>
      </c>
      <c r="E17" s="334">
        <f t="shared" ref="E17:H17" si="5">+E16/$J$6</f>
        <v>0</v>
      </c>
      <c r="F17" s="334">
        <f t="shared" si="5"/>
        <v>0</v>
      </c>
      <c r="G17" s="334">
        <f t="shared" si="5"/>
        <v>0</v>
      </c>
      <c r="H17" s="334">
        <f t="shared" si="5"/>
        <v>0</v>
      </c>
      <c r="I17" s="335"/>
      <c r="J17" s="336"/>
      <c r="K17" s="332"/>
      <c r="L17" s="332"/>
      <c r="M17" s="332"/>
      <c r="N17" s="332"/>
      <c r="O17" s="332"/>
      <c r="P17" s="332"/>
      <c r="Q17" s="332"/>
      <c r="R17" s="332"/>
      <c r="S17" s="332"/>
      <c r="T17" s="332"/>
      <c r="U17" s="332"/>
      <c r="V17" s="332"/>
      <c r="W17" s="332"/>
      <c r="X17" s="332"/>
      <c r="Y17" s="332"/>
      <c r="Z17" s="332"/>
      <c r="AA17" s="332"/>
      <c r="AB17" s="332"/>
      <c r="AC17" s="332"/>
      <c r="AD17" s="332"/>
      <c r="AE17" s="332"/>
      <c r="AF17" s="332"/>
      <c r="AG17" s="332"/>
      <c r="AH17" s="332"/>
      <c r="AI17" s="332"/>
      <c r="AJ17" s="332"/>
      <c r="AK17" s="332"/>
      <c r="AL17" s="332"/>
      <c r="AM17" s="332"/>
    </row>
    <row r="18" spans="1:39" s="343" customFormat="1" x14ac:dyDescent="0.25">
      <c r="A18" s="326"/>
      <c r="B18" s="327" t="s">
        <v>103</v>
      </c>
      <c r="C18" s="328">
        <v>11</v>
      </c>
      <c r="D18" s="346"/>
      <c r="E18" s="346"/>
      <c r="F18" s="346"/>
      <c r="G18" s="347"/>
      <c r="H18" s="347"/>
      <c r="I18" s="348"/>
      <c r="J18" s="330">
        <f>SUM(C18:I18)</f>
        <v>11</v>
      </c>
      <c r="K18" s="349"/>
      <c r="L18" s="326"/>
      <c r="M18" s="326"/>
      <c r="N18" s="326"/>
      <c r="O18" s="326"/>
      <c r="P18" s="326"/>
      <c r="Q18" s="326"/>
      <c r="R18" s="326"/>
      <c r="S18" s="326"/>
      <c r="T18" s="326"/>
      <c r="U18" s="326"/>
      <c r="V18" s="326"/>
      <c r="W18" s="326"/>
      <c r="X18" s="326"/>
      <c r="Y18" s="326"/>
      <c r="Z18" s="326"/>
      <c r="AA18" s="326"/>
      <c r="AB18" s="326"/>
      <c r="AC18" s="326"/>
      <c r="AD18" s="326"/>
      <c r="AE18" s="326"/>
      <c r="AF18" s="326"/>
      <c r="AG18" s="326"/>
      <c r="AH18" s="326"/>
      <c r="AI18" s="326"/>
      <c r="AJ18" s="326"/>
      <c r="AK18" s="326"/>
      <c r="AL18" s="326"/>
      <c r="AM18" s="326"/>
    </row>
    <row r="19" spans="1:39" s="337" customFormat="1" ht="13.5" thickBot="1" x14ac:dyDescent="0.3">
      <c r="A19" s="332"/>
      <c r="B19" s="333" t="s">
        <v>1531</v>
      </c>
      <c r="C19" s="334">
        <f>+C18/$J$18</f>
        <v>1</v>
      </c>
      <c r="D19" s="334">
        <f>+D18/J18</f>
        <v>0</v>
      </c>
      <c r="E19" s="334">
        <f t="shared" ref="E19:H19" si="6">+E18/$J$6</f>
        <v>0</v>
      </c>
      <c r="F19" s="334">
        <f t="shared" si="6"/>
        <v>0</v>
      </c>
      <c r="G19" s="334">
        <f t="shared" si="6"/>
        <v>0</v>
      </c>
      <c r="H19" s="334">
        <f t="shared" si="6"/>
        <v>0</v>
      </c>
      <c r="I19" s="335"/>
      <c r="J19" s="336"/>
      <c r="K19" s="332"/>
      <c r="L19" s="332"/>
      <c r="M19" s="332"/>
      <c r="N19" s="332"/>
      <c r="O19" s="332"/>
      <c r="P19" s="332"/>
      <c r="Q19" s="332"/>
      <c r="R19" s="332"/>
      <c r="S19" s="332"/>
      <c r="T19" s="332"/>
      <c r="U19" s="332"/>
      <c r="V19" s="332"/>
      <c r="W19" s="332"/>
      <c r="X19" s="332"/>
      <c r="Y19" s="332"/>
      <c r="Z19" s="332"/>
      <c r="AA19" s="332"/>
      <c r="AB19" s="332"/>
      <c r="AC19" s="332"/>
      <c r="AD19" s="332"/>
      <c r="AE19" s="332"/>
      <c r="AF19" s="332"/>
      <c r="AG19" s="332"/>
      <c r="AH19" s="332"/>
      <c r="AI19" s="332"/>
      <c r="AJ19" s="332"/>
      <c r="AK19" s="332"/>
      <c r="AL19" s="332"/>
      <c r="AM19" s="332"/>
    </row>
    <row r="20" spans="1:39" s="343" customFormat="1" x14ac:dyDescent="0.25">
      <c r="A20" s="326"/>
      <c r="B20" s="327" t="s">
        <v>130</v>
      </c>
      <c r="C20" s="328">
        <v>17</v>
      </c>
      <c r="D20" s="346"/>
      <c r="E20" s="346"/>
      <c r="F20" s="346"/>
      <c r="G20" s="347"/>
      <c r="H20" s="347"/>
      <c r="I20" s="348"/>
      <c r="J20" s="330">
        <f>SUM(C20:I20)</f>
        <v>17</v>
      </c>
      <c r="K20" s="349"/>
      <c r="L20" s="326"/>
      <c r="M20" s="326"/>
      <c r="N20" s="326"/>
      <c r="O20" s="326"/>
      <c r="P20" s="326"/>
      <c r="Q20" s="326"/>
      <c r="R20" s="326"/>
      <c r="S20" s="326"/>
      <c r="T20" s="326"/>
      <c r="U20" s="326"/>
      <c r="V20" s="326"/>
      <c r="W20" s="326"/>
      <c r="X20" s="326"/>
      <c r="Y20" s="326"/>
      <c r="Z20" s="326"/>
      <c r="AA20" s="326"/>
      <c r="AB20" s="326"/>
      <c r="AC20" s="326"/>
      <c r="AD20" s="326"/>
      <c r="AE20" s="326"/>
      <c r="AF20" s="326"/>
      <c r="AG20" s="326"/>
      <c r="AH20" s="326"/>
      <c r="AI20" s="326"/>
      <c r="AJ20" s="326"/>
      <c r="AK20" s="326"/>
      <c r="AL20" s="326"/>
      <c r="AM20" s="326"/>
    </row>
    <row r="21" spans="1:39" s="337" customFormat="1" ht="13.5" thickBot="1" x14ac:dyDescent="0.3">
      <c r="A21" s="332"/>
      <c r="B21" s="333" t="s">
        <v>1531</v>
      </c>
      <c r="C21" s="334">
        <f>+C20/$J$20</f>
        <v>1</v>
      </c>
      <c r="D21" s="334">
        <f>+D20/J20</f>
        <v>0</v>
      </c>
      <c r="E21" s="334">
        <f t="shared" ref="E21:H21" si="7">+E20/$J$6</f>
        <v>0</v>
      </c>
      <c r="F21" s="334">
        <f t="shared" si="7"/>
        <v>0</v>
      </c>
      <c r="G21" s="334">
        <f t="shared" si="7"/>
        <v>0</v>
      </c>
      <c r="H21" s="334">
        <f t="shared" si="7"/>
        <v>0</v>
      </c>
      <c r="I21" s="335"/>
      <c r="J21" s="336"/>
      <c r="K21" s="332"/>
      <c r="L21" s="332"/>
      <c r="M21" s="332"/>
      <c r="N21" s="332"/>
      <c r="O21" s="332"/>
      <c r="P21" s="332"/>
      <c r="Q21" s="332"/>
      <c r="R21" s="332"/>
      <c r="S21" s="332"/>
      <c r="T21" s="332"/>
      <c r="U21" s="332"/>
      <c r="V21" s="332"/>
      <c r="W21" s="332"/>
      <c r="X21" s="332"/>
      <c r="Y21" s="332"/>
      <c r="Z21" s="332"/>
      <c r="AA21" s="332"/>
      <c r="AB21" s="332"/>
      <c r="AC21" s="332"/>
      <c r="AD21" s="332"/>
      <c r="AE21" s="332"/>
      <c r="AF21" s="332"/>
      <c r="AG21" s="332"/>
      <c r="AH21" s="332"/>
      <c r="AI21" s="332"/>
      <c r="AJ21" s="332"/>
      <c r="AK21" s="332"/>
      <c r="AL21" s="332"/>
      <c r="AM21" s="332"/>
    </row>
    <row r="22" spans="1:39" s="343" customFormat="1" x14ac:dyDescent="0.25">
      <c r="A22" s="326"/>
      <c r="B22" s="327" t="s">
        <v>123</v>
      </c>
      <c r="C22" s="328">
        <v>15</v>
      </c>
      <c r="D22" s="346"/>
      <c r="E22" s="346"/>
      <c r="F22" s="346"/>
      <c r="G22" s="347"/>
      <c r="H22" s="347"/>
      <c r="I22" s="348"/>
      <c r="J22" s="330">
        <f>SUM(C22:I22)</f>
        <v>15</v>
      </c>
      <c r="K22" s="349"/>
      <c r="L22" s="326"/>
      <c r="M22" s="326"/>
      <c r="N22" s="326"/>
      <c r="O22" s="326"/>
      <c r="P22" s="326"/>
      <c r="Q22" s="326"/>
      <c r="R22" s="326"/>
      <c r="S22" s="326"/>
      <c r="T22" s="326"/>
      <c r="U22" s="326"/>
      <c r="V22" s="326"/>
      <c r="W22" s="326"/>
      <c r="X22" s="326"/>
      <c r="Y22" s="326"/>
      <c r="Z22" s="326"/>
      <c r="AA22" s="326"/>
      <c r="AB22" s="326"/>
      <c r="AC22" s="326"/>
      <c r="AD22" s="326"/>
      <c r="AE22" s="326"/>
      <c r="AF22" s="326"/>
      <c r="AG22" s="326"/>
      <c r="AH22" s="326"/>
      <c r="AI22" s="326"/>
      <c r="AJ22" s="326"/>
      <c r="AK22" s="326"/>
      <c r="AL22" s="326"/>
      <c r="AM22" s="326"/>
    </row>
    <row r="23" spans="1:39" s="337" customFormat="1" ht="13.5" thickBot="1" x14ac:dyDescent="0.3">
      <c r="A23" s="332"/>
      <c r="B23" s="333" t="s">
        <v>1531</v>
      </c>
      <c r="C23" s="334">
        <f>+C22/$J$22</f>
        <v>1</v>
      </c>
      <c r="D23" s="334">
        <f>+D22/J22</f>
        <v>0</v>
      </c>
      <c r="E23" s="334">
        <f t="shared" ref="E23:H23" si="8">+E22/$J$6</f>
        <v>0</v>
      </c>
      <c r="F23" s="334">
        <f t="shared" si="8"/>
        <v>0</v>
      </c>
      <c r="G23" s="334">
        <f t="shared" si="8"/>
        <v>0</v>
      </c>
      <c r="H23" s="334">
        <f t="shared" si="8"/>
        <v>0</v>
      </c>
      <c r="I23" s="335"/>
      <c r="J23" s="336"/>
      <c r="K23" s="332"/>
      <c r="L23" s="332"/>
      <c r="M23" s="332"/>
      <c r="N23" s="332"/>
      <c r="O23" s="332"/>
      <c r="P23" s="332"/>
      <c r="Q23" s="332"/>
      <c r="R23" s="332"/>
      <c r="S23" s="332"/>
      <c r="T23" s="332"/>
      <c r="U23" s="332"/>
      <c r="V23" s="332"/>
      <c r="W23" s="332"/>
      <c r="X23" s="332"/>
      <c r="Y23" s="332"/>
      <c r="Z23" s="332"/>
      <c r="AA23" s="332"/>
      <c r="AB23" s="332"/>
      <c r="AC23" s="332"/>
      <c r="AD23" s="332"/>
      <c r="AE23" s="332"/>
      <c r="AF23" s="332"/>
      <c r="AG23" s="332"/>
      <c r="AH23" s="332"/>
      <c r="AI23" s="332"/>
      <c r="AJ23" s="332"/>
      <c r="AK23" s="332"/>
      <c r="AL23" s="332"/>
      <c r="AM23" s="332"/>
    </row>
    <row r="24" spans="1:39" s="343" customFormat="1" x14ac:dyDescent="0.25">
      <c r="A24" s="326"/>
      <c r="B24" s="327" t="s">
        <v>108</v>
      </c>
      <c r="C24" s="328">
        <v>11</v>
      </c>
      <c r="D24" s="346"/>
      <c r="E24" s="346"/>
      <c r="F24" s="346"/>
      <c r="G24" s="347"/>
      <c r="H24" s="347"/>
      <c r="I24" s="348"/>
      <c r="J24" s="330">
        <f>SUM(C24:I24)</f>
        <v>11</v>
      </c>
      <c r="K24" s="349"/>
      <c r="L24" s="326"/>
      <c r="M24" s="326"/>
      <c r="N24" s="326"/>
      <c r="O24" s="326"/>
      <c r="P24" s="326"/>
      <c r="Q24" s="326"/>
      <c r="R24" s="326"/>
      <c r="S24" s="326"/>
      <c r="T24" s="326"/>
      <c r="U24" s="326"/>
      <c r="V24" s="326"/>
      <c r="W24" s="326"/>
      <c r="X24" s="326"/>
      <c r="Y24" s="326"/>
      <c r="Z24" s="326"/>
      <c r="AA24" s="326"/>
      <c r="AB24" s="326"/>
      <c r="AC24" s="326"/>
      <c r="AD24" s="326"/>
      <c r="AE24" s="326"/>
      <c r="AF24" s="326"/>
      <c r="AG24" s="326"/>
      <c r="AH24" s="326"/>
      <c r="AI24" s="326"/>
      <c r="AJ24" s="326"/>
      <c r="AK24" s="326"/>
      <c r="AL24" s="326"/>
      <c r="AM24" s="326"/>
    </row>
    <row r="25" spans="1:39" s="337" customFormat="1" ht="13.5" thickBot="1" x14ac:dyDescent="0.3">
      <c r="A25" s="332"/>
      <c r="B25" s="333" t="s">
        <v>1531</v>
      </c>
      <c r="C25" s="334">
        <f>+C24/$J$24</f>
        <v>1</v>
      </c>
      <c r="D25" s="334">
        <f>+D24/J24</f>
        <v>0</v>
      </c>
      <c r="E25" s="334">
        <f t="shared" ref="E25:H25" si="9">+E24/$J$6</f>
        <v>0</v>
      </c>
      <c r="F25" s="334">
        <f t="shared" si="9"/>
        <v>0</v>
      </c>
      <c r="G25" s="334">
        <f t="shared" si="9"/>
        <v>0</v>
      </c>
      <c r="H25" s="334">
        <f t="shared" si="9"/>
        <v>0</v>
      </c>
      <c r="I25" s="335"/>
      <c r="J25" s="336"/>
      <c r="K25" s="332"/>
      <c r="L25" s="332"/>
      <c r="M25" s="332"/>
      <c r="N25" s="332"/>
      <c r="O25" s="332"/>
      <c r="P25" s="332"/>
      <c r="Q25" s="332"/>
      <c r="R25" s="332"/>
      <c r="S25" s="332"/>
      <c r="T25" s="332"/>
      <c r="U25" s="332"/>
      <c r="V25" s="332"/>
      <c r="W25" s="332"/>
      <c r="X25" s="332"/>
      <c r="Y25" s="332"/>
      <c r="Z25" s="332"/>
      <c r="AA25" s="332"/>
      <c r="AB25" s="332"/>
      <c r="AC25" s="332"/>
      <c r="AD25" s="332"/>
      <c r="AE25" s="332"/>
      <c r="AF25" s="332"/>
      <c r="AG25" s="332"/>
      <c r="AH25" s="332"/>
      <c r="AI25" s="332"/>
      <c r="AJ25" s="332"/>
      <c r="AK25" s="332"/>
      <c r="AL25" s="332"/>
      <c r="AM25" s="332"/>
    </row>
    <row r="26" spans="1:39" s="343" customFormat="1" x14ac:dyDescent="0.25">
      <c r="A26" s="326"/>
      <c r="B26" s="327" t="s">
        <v>113</v>
      </c>
      <c r="C26" s="328">
        <v>11</v>
      </c>
      <c r="D26" s="346">
        <v>7</v>
      </c>
      <c r="E26" s="346">
        <v>2</v>
      </c>
      <c r="F26" s="346"/>
      <c r="G26" s="347"/>
      <c r="H26" s="347"/>
      <c r="I26" s="348"/>
      <c r="J26" s="330">
        <f>SUM(C26:I26)</f>
        <v>20</v>
      </c>
      <c r="K26" s="349"/>
      <c r="L26" s="326"/>
      <c r="M26" s="326"/>
      <c r="N26" s="326"/>
      <c r="O26" s="326"/>
      <c r="P26" s="326"/>
      <c r="Q26" s="326"/>
      <c r="R26" s="326"/>
      <c r="S26" s="326"/>
      <c r="T26" s="326"/>
      <c r="U26" s="326"/>
      <c r="V26" s="326"/>
      <c r="W26" s="326"/>
      <c r="X26" s="326"/>
      <c r="Y26" s="326"/>
      <c r="Z26" s="326"/>
      <c r="AA26" s="326"/>
      <c r="AB26" s="326"/>
      <c r="AC26" s="326"/>
      <c r="AD26" s="326"/>
      <c r="AE26" s="326"/>
      <c r="AF26" s="326"/>
      <c r="AG26" s="326"/>
      <c r="AH26" s="326"/>
      <c r="AI26" s="326"/>
      <c r="AJ26" s="326"/>
      <c r="AK26" s="326"/>
      <c r="AL26" s="326"/>
      <c r="AM26" s="326"/>
    </row>
    <row r="27" spans="1:39" s="337" customFormat="1" ht="13.5" thickBot="1" x14ac:dyDescent="0.3">
      <c r="A27" s="332"/>
      <c r="B27" s="333" t="s">
        <v>1531</v>
      </c>
      <c r="C27" s="334">
        <f>+C26/J26</f>
        <v>0.55000000000000004</v>
      </c>
      <c r="D27" s="334">
        <f>+D26/J26</f>
        <v>0.35</v>
      </c>
      <c r="E27" s="334">
        <f>+E26/J26</f>
        <v>0.1</v>
      </c>
      <c r="F27" s="334">
        <f t="shared" ref="F27:H27" si="10">+F26/$J$6</f>
        <v>0</v>
      </c>
      <c r="G27" s="334">
        <f t="shared" si="10"/>
        <v>0</v>
      </c>
      <c r="H27" s="334">
        <f t="shared" si="10"/>
        <v>0</v>
      </c>
      <c r="I27" s="335"/>
      <c r="J27" s="336"/>
      <c r="K27" s="332"/>
      <c r="L27" s="332"/>
      <c r="M27" s="332"/>
      <c r="N27" s="332"/>
      <c r="O27" s="332"/>
      <c r="P27" s="332"/>
      <c r="Q27" s="332"/>
      <c r="R27" s="332"/>
      <c r="S27" s="332"/>
      <c r="T27" s="332"/>
      <c r="U27" s="332"/>
      <c r="V27" s="332"/>
      <c r="W27" s="332"/>
      <c r="X27" s="332"/>
      <c r="Y27" s="332"/>
      <c r="Z27" s="332"/>
      <c r="AA27" s="332"/>
      <c r="AB27" s="332"/>
      <c r="AC27" s="332"/>
      <c r="AD27" s="332"/>
      <c r="AE27" s="332"/>
      <c r="AF27" s="332"/>
      <c r="AG27" s="332"/>
      <c r="AH27" s="332"/>
      <c r="AI27" s="332"/>
      <c r="AJ27" s="332"/>
      <c r="AK27" s="332"/>
      <c r="AL27" s="332"/>
      <c r="AM27" s="332"/>
    </row>
    <row r="28" spans="1:39" s="343" customFormat="1" x14ac:dyDescent="0.25">
      <c r="A28" s="326"/>
      <c r="B28" s="327" t="s">
        <v>1533</v>
      </c>
      <c r="C28" s="328">
        <v>7</v>
      </c>
      <c r="D28" s="346">
        <v>7</v>
      </c>
      <c r="E28" s="346"/>
      <c r="F28" s="346"/>
      <c r="G28" s="347"/>
      <c r="H28" s="347"/>
      <c r="I28" s="348"/>
      <c r="J28" s="330">
        <f>SUM(C28:I28)</f>
        <v>14</v>
      </c>
      <c r="K28" s="349"/>
      <c r="L28" s="326"/>
      <c r="M28" s="326"/>
      <c r="N28" s="326"/>
      <c r="O28" s="326"/>
      <c r="P28" s="326"/>
      <c r="Q28" s="326"/>
      <c r="R28" s="326"/>
      <c r="S28" s="326"/>
      <c r="T28" s="326"/>
      <c r="U28" s="326"/>
      <c r="V28" s="326"/>
      <c r="W28" s="326"/>
      <c r="X28" s="326"/>
      <c r="Y28" s="326"/>
      <c r="Z28" s="326"/>
      <c r="AA28" s="326"/>
      <c r="AB28" s="326"/>
      <c r="AC28" s="326"/>
      <c r="AD28" s="326"/>
      <c r="AE28" s="326"/>
      <c r="AF28" s="326"/>
      <c r="AG28" s="326"/>
      <c r="AH28" s="326"/>
      <c r="AI28" s="326"/>
      <c r="AJ28" s="326"/>
      <c r="AK28" s="326"/>
      <c r="AL28" s="326"/>
      <c r="AM28" s="326"/>
    </row>
    <row r="29" spans="1:39" s="337" customFormat="1" ht="13.5" thickBot="1" x14ac:dyDescent="0.3">
      <c r="A29" s="332"/>
      <c r="B29" s="333" t="s">
        <v>1531</v>
      </c>
      <c r="C29" s="334">
        <f>+C28/$J$28</f>
        <v>0.5</v>
      </c>
      <c r="D29" s="334">
        <f>+D28/$J$28</f>
        <v>0.5</v>
      </c>
      <c r="E29" s="334">
        <f t="shared" ref="E29:H29" si="11">+E28/$J$6</f>
        <v>0</v>
      </c>
      <c r="F29" s="334">
        <f t="shared" si="11"/>
        <v>0</v>
      </c>
      <c r="G29" s="334">
        <f t="shared" si="11"/>
        <v>0</v>
      </c>
      <c r="H29" s="334">
        <f t="shared" si="11"/>
        <v>0</v>
      </c>
      <c r="I29" s="335"/>
      <c r="J29" s="336"/>
      <c r="K29" s="332"/>
      <c r="L29" s="332"/>
      <c r="M29" s="332"/>
      <c r="N29" s="332"/>
      <c r="O29" s="332"/>
      <c r="P29" s="332"/>
      <c r="Q29" s="332"/>
      <c r="R29" s="332"/>
      <c r="S29" s="332"/>
      <c r="T29" s="332"/>
      <c r="U29" s="332"/>
      <c r="V29" s="332"/>
      <c r="W29" s="332"/>
      <c r="X29" s="332"/>
      <c r="Y29" s="332"/>
      <c r="Z29" s="332"/>
      <c r="AA29" s="332"/>
      <c r="AB29" s="332"/>
      <c r="AC29" s="332"/>
      <c r="AD29" s="332"/>
      <c r="AE29" s="332"/>
      <c r="AF29" s="332"/>
      <c r="AG29" s="332"/>
      <c r="AH29" s="332"/>
      <c r="AI29" s="332"/>
      <c r="AJ29" s="332"/>
      <c r="AK29" s="332"/>
      <c r="AL29" s="332"/>
      <c r="AM29" s="332"/>
    </row>
    <row r="30" spans="1:39" s="343" customFormat="1" x14ac:dyDescent="0.25">
      <c r="A30" s="326"/>
      <c r="B30" s="327" t="s">
        <v>1534</v>
      </c>
      <c r="C30" s="328">
        <v>5</v>
      </c>
      <c r="D30" s="346"/>
      <c r="E30" s="346"/>
      <c r="F30" s="346"/>
      <c r="G30" s="347"/>
      <c r="H30" s="347"/>
      <c r="I30" s="348"/>
      <c r="J30" s="330">
        <f>SUM(C30:I30)</f>
        <v>5</v>
      </c>
      <c r="K30" s="349"/>
      <c r="L30" s="326"/>
      <c r="M30" s="326"/>
      <c r="N30" s="326"/>
      <c r="O30" s="326"/>
      <c r="P30" s="326"/>
      <c r="Q30" s="326"/>
      <c r="R30" s="326"/>
      <c r="S30" s="326"/>
      <c r="T30" s="326"/>
      <c r="U30" s="326"/>
      <c r="V30" s="326"/>
      <c r="W30" s="326"/>
      <c r="X30" s="326"/>
      <c r="Y30" s="326"/>
      <c r="Z30" s="326"/>
      <c r="AA30" s="326"/>
      <c r="AB30" s="326"/>
      <c r="AC30" s="326"/>
      <c r="AD30" s="326"/>
      <c r="AE30" s="326"/>
      <c r="AF30" s="326"/>
      <c r="AG30" s="326"/>
      <c r="AH30" s="326"/>
      <c r="AI30" s="326"/>
      <c r="AJ30" s="326"/>
      <c r="AK30" s="326"/>
      <c r="AL30" s="326"/>
      <c r="AM30" s="326"/>
    </row>
    <row r="31" spans="1:39" s="337" customFormat="1" ht="13.5" thickBot="1" x14ac:dyDescent="0.3">
      <c r="A31" s="332"/>
      <c r="B31" s="333" t="s">
        <v>1531</v>
      </c>
      <c r="C31" s="334">
        <f>+C30/$J$30</f>
        <v>1</v>
      </c>
      <c r="D31" s="334">
        <f>+D30/J30</f>
        <v>0</v>
      </c>
      <c r="E31" s="334">
        <f t="shared" ref="E31:H31" si="12">+E30/$J$6</f>
        <v>0</v>
      </c>
      <c r="F31" s="334">
        <f t="shared" si="12"/>
        <v>0</v>
      </c>
      <c r="G31" s="334">
        <f t="shared" si="12"/>
        <v>0</v>
      </c>
      <c r="H31" s="334">
        <f t="shared" si="12"/>
        <v>0</v>
      </c>
      <c r="I31" s="335"/>
      <c r="J31" s="336"/>
      <c r="K31" s="332"/>
      <c r="L31" s="332"/>
      <c r="M31" s="332"/>
      <c r="N31" s="332"/>
      <c r="O31" s="332"/>
      <c r="P31" s="332"/>
      <c r="Q31" s="332"/>
      <c r="R31" s="332"/>
      <c r="S31" s="332"/>
      <c r="T31" s="332"/>
      <c r="U31" s="332"/>
      <c r="V31" s="332"/>
      <c r="W31" s="332"/>
      <c r="X31" s="332"/>
      <c r="Y31" s="332"/>
      <c r="Z31" s="332"/>
      <c r="AA31" s="332"/>
      <c r="AB31" s="332"/>
      <c r="AC31" s="332"/>
      <c r="AD31" s="332"/>
      <c r="AE31" s="332"/>
      <c r="AF31" s="332"/>
      <c r="AG31" s="332"/>
      <c r="AH31" s="332"/>
      <c r="AI31" s="332"/>
      <c r="AJ31" s="332"/>
      <c r="AK31" s="332"/>
      <c r="AL31" s="332"/>
      <c r="AM31" s="332"/>
    </row>
    <row r="32" spans="1:39" x14ac:dyDescent="0.25">
      <c r="C32" s="350"/>
      <c r="J32" s="351"/>
    </row>
  </sheetData>
  <sheetProtection algorithmName="SHA-512" hashValue="QlCFawAvR+r63B81dthtLxJaVHn3pg/+tyBSU5ynM8BWHZ4BICQV5LdKKJRdHZXbAkBxYQrhxS/aqZYFYnPMoA==" saltValue="b0qkBJ0KNMRx3m9kTmXpog==" spinCount="100000" sheet="1" objects="1" scenarios="1"/>
  <mergeCells count="2">
    <mergeCell ref="C1:H2"/>
    <mergeCell ref="B4:J4"/>
  </mergeCell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8">
    <tabColor rgb="FF92D050"/>
    <pageSetUpPr fitToPage="1"/>
  </sheetPr>
  <dimension ref="A2:F5862"/>
  <sheetViews>
    <sheetView showGridLines="0" zoomScale="110" zoomScaleNormal="110" workbookViewId="0">
      <selection activeCell="A2" sqref="A1:XFD1048576"/>
    </sheetView>
  </sheetViews>
  <sheetFormatPr defaultRowHeight="15" x14ac:dyDescent="0.25"/>
  <cols>
    <col min="1" max="1" width="49" style="2" bestFit="1" customWidth="1"/>
    <col min="2" max="4" width="12.42578125" bestFit="1" customWidth="1"/>
    <col min="5" max="5" width="12.42578125" customWidth="1"/>
    <col min="6" max="6" width="13.42578125" customWidth="1"/>
    <col min="7" max="7" width="11.140625" customWidth="1"/>
    <col min="8" max="9" width="11.140625" bestFit="1" customWidth="1"/>
    <col min="10" max="14" width="10.140625" bestFit="1" customWidth="1"/>
    <col min="15" max="15" width="11.28515625" bestFit="1" customWidth="1"/>
    <col min="16" max="17" width="11.140625" bestFit="1" customWidth="1"/>
    <col min="18" max="20" width="12.7109375" bestFit="1" customWidth="1"/>
    <col min="21" max="21" width="8.42578125" bestFit="1" customWidth="1"/>
    <col min="22" max="22" width="9.42578125" bestFit="1" customWidth="1"/>
    <col min="23" max="24" width="8.42578125" bestFit="1" customWidth="1"/>
    <col min="26" max="26" width="11.28515625" bestFit="1" customWidth="1"/>
  </cols>
  <sheetData>
    <row r="2" spans="1:6" x14ac:dyDescent="0.25">
      <c r="A2" s="35"/>
      <c r="E2" s="78" t="s">
        <v>325</v>
      </c>
    </row>
    <row r="3" spans="1:6" s="15" customFormat="1" ht="30" x14ac:dyDescent="0.25">
      <c r="A3" s="33" t="s">
        <v>195</v>
      </c>
      <c r="B3" s="64" t="str" vm="1476">
        <f>CUBEMEMBER("ThisWorkbookDataModel","[Calendar].[Квартал].&amp;[2023-03-31T00:00:00]")</f>
        <v>3/31/2023</v>
      </c>
      <c r="C3" s="64" t="str" vm="1475">
        <f>CUBEMEMBER("ThisWorkbookDataModel","[Calendar].[Квартал].&amp;[2023-06-30T00:00:00]")</f>
        <v>6/30/2023</v>
      </c>
      <c r="D3" s="64" t="str" vm="1477">
        <f>CUBEMEMBER("ThisWorkbookDataModel","[Calendar].[Квартал].&amp;[2023-09-30T00:00:00]")</f>
        <v>9/30/2023</v>
      </c>
      <c r="E3" s="70" t="str" vm="1478">
        <f>CUBEMEMBER("ThisWorkbookDataModel","[Calendar].[Квартал].&amp;[2023-12-31T00:00:00]")</f>
        <v>12/31/2023</v>
      </c>
    </row>
    <row r="4" spans="1:6" s="15" customFormat="1" x14ac:dyDescent="0.25">
      <c r="A4" s="67" t="s">
        <v>208</v>
      </c>
      <c r="B4" s="82">
        <f>'1. BilansNaSostojba'!B23</f>
        <v>126859046</v>
      </c>
      <c r="C4" s="82">
        <f t="shared" ref="C4:E5" si="0">B4</f>
        <v>126859046</v>
      </c>
      <c r="D4" s="82">
        <f t="shared" si="0"/>
        <v>126859046</v>
      </c>
      <c r="E4" s="83">
        <f t="shared" si="0"/>
        <v>126859046</v>
      </c>
    </row>
    <row r="5" spans="1:6" s="15" customFormat="1" ht="30" x14ac:dyDescent="0.25">
      <c r="A5" s="67" t="s">
        <v>189</v>
      </c>
      <c r="B5" s="82">
        <f>'1. BilansNaSostojba'!B24+'1. BilansNaSostojba'!B27</f>
        <v>346450276</v>
      </c>
      <c r="C5" s="82">
        <f t="shared" si="0"/>
        <v>346450276</v>
      </c>
      <c r="D5" s="82">
        <f t="shared" si="0"/>
        <v>346450276</v>
      </c>
      <c r="E5" s="83">
        <f t="shared" si="0"/>
        <v>346450276</v>
      </c>
      <c r="F5" s="76"/>
    </row>
    <row r="6" spans="1:6" x14ac:dyDescent="0.25">
      <c r="A6" s="43" t="s">
        <v>190</v>
      </c>
      <c r="B6" s="82">
        <f>'1. BilansNaSostojba'!C27</f>
        <v>121468081</v>
      </c>
      <c r="C6" s="82">
        <f>'1. BilansNaSostojba'!D27</f>
        <v>87513538</v>
      </c>
      <c r="D6" s="82">
        <f>'1. BilansNaSostojba'!E27</f>
        <v>35948743</v>
      </c>
      <c r="E6" s="83">
        <f>'1. BilansNaSostojba'!F27</f>
        <v>1378822</v>
      </c>
    </row>
    <row r="7" spans="1:6" x14ac:dyDescent="0.25">
      <c r="A7" s="43" t="s">
        <v>191</v>
      </c>
      <c r="B7" s="82">
        <f>'1. BilansNaSostojba'!C25</f>
        <v>162977979</v>
      </c>
      <c r="C7" s="82">
        <f>'1. BilansNaSostojba'!D25</f>
        <v>162977979</v>
      </c>
      <c r="D7" s="82">
        <f>'1. BilansNaSostojba'!E25</f>
        <v>162977979</v>
      </c>
      <c r="E7" s="83">
        <f>'1. BilansNaSostojba'!F25</f>
        <v>162977979</v>
      </c>
    </row>
    <row r="8" spans="1:6" s="8" customFormat="1" x14ac:dyDescent="0.25">
      <c r="A8" s="43" t="s">
        <v>192</v>
      </c>
      <c r="B8" s="82">
        <f>SUMIF(БС!$A$11:$A$41,$A8,БС!$F$11:$F$41)</f>
        <v>0</v>
      </c>
      <c r="C8" s="82">
        <f>SUMIF(БС!$A$11:$A$41,$A8,БС!$I$11:$I$41)</f>
        <v>0</v>
      </c>
      <c r="D8" s="82">
        <f>SUMIF(БС!$A$11:$A$41,$A8,БС!$L$11:$L$41)</f>
        <v>0</v>
      </c>
      <c r="E8" s="83">
        <f>SUMIF(БС!$A$11:$A$41,$A8,БС!$O$11:$O$41)</f>
        <v>0</v>
      </c>
    </row>
    <row r="9" spans="1:6" s="8" customFormat="1" x14ac:dyDescent="0.25">
      <c r="A9" s="43" t="s">
        <v>193</v>
      </c>
      <c r="B9" s="82">
        <f>SUMIF(БС!$A$11:$A$41,$A9,БС!$F$11:$F$41)</f>
        <v>0</v>
      </c>
      <c r="C9" s="82">
        <f>SUMIF(БС!$A$11:$A$41,$A9,БС!$I$11:$I$41)</f>
        <v>0</v>
      </c>
      <c r="D9" s="82">
        <f>SUMIF(БС!$A$11:$A$41,$A9,БС!$L$11:$L$41)</f>
        <v>0</v>
      </c>
      <c r="E9" s="83">
        <f>SUMIF(БС!$A$11:$A$41,$A9,БС!$O$11:$O$41)</f>
        <v>0</v>
      </c>
    </row>
    <row r="10" spans="1:6" s="8" customFormat="1" x14ac:dyDescent="0.25">
      <c r="A10" s="43" t="s">
        <v>194</v>
      </c>
      <c r="B10" s="82">
        <f>SUMIF(БС!$A$11:$A$41,$A10,БС!$F$11:$F$41)</f>
        <v>0</v>
      </c>
      <c r="C10" s="82">
        <f>SUMIF(БС!$A$11:$A$41,$A10,БС!$I$11:$I$41)</f>
        <v>0</v>
      </c>
      <c r="D10" s="82">
        <f>SUMIF(БС!$A$11:$A$41,$A10,БС!$L$11:$L$41)</f>
        <v>0</v>
      </c>
      <c r="E10" s="83">
        <f>SUMIF(БС!$A$11:$A$41,$A10,БС!$O$11:$O$41)</f>
        <v>0</v>
      </c>
    </row>
    <row r="11" spans="1:6" s="8" customFormat="1" x14ac:dyDescent="0.25">
      <c r="A11" s="69" t="s">
        <v>231</v>
      </c>
      <c r="B11" s="88">
        <f>SUM(B4:B10)</f>
        <v>757755382</v>
      </c>
      <c r="C11" s="88">
        <f>SUM(C4:C10)</f>
        <v>723800839</v>
      </c>
      <c r="D11" s="88">
        <f>SUM(D4:D10)</f>
        <v>672236044</v>
      </c>
      <c r="E11" s="89">
        <f>SUM(E4:E10)</f>
        <v>637666123</v>
      </c>
    </row>
    <row r="12" spans="1:6" x14ac:dyDescent="0.25">
      <c r="A12"/>
    </row>
    <row r="13" spans="1:6" x14ac:dyDescent="0.25">
      <c r="A13"/>
      <c r="B13" s="1">
        <f>'1. BilansNaSostojba'!C28</f>
        <v>757755382</v>
      </c>
      <c r="C13" s="1">
        <f>'1. BilansNaSostojba'!D28</f>
        <v>723800839</v>
      </c>
      <c r="D13" s="1">
        <f>'1. BilansNaSostojba'!E28</f>
        <v>672236044</v>
      </c>
      <c r="E13" s="1">
        <f>'1. BilansNaSostojba'!F28</f>
        <v>637666123</v>
      </c>
    </row>
    <row r="14" spans="1:6" x14ac:dyDescent="0.25">
      <c r="A14" t="s">
        <v>230</v>
      </c>
      <c r="B14" s="1">
        <f>B13-B11</f>
        <v>0</v>
      </c>
      <c r="C14" s="1">
        <f>C13-C11</f>
        <v>0</v>
      </c>
      <c r="D14" s="1">
        <f>D13-D11</f>
        <v>0</v>
      </c>
      <c r="E14" s="1">
        <f>E13-E11</f>
        <v>0</v>
      </c>
    </row>
    <row r="15" spans="1:6" x14ac:dyDescent="0.25">
      <c r="A15"/>
    </row>
    <row r="16" spans="1:6" x14ac:dyDescent="0.25">
      <c r="A16"/>
    </row>
    <row r="17" spans="1:1" x14ac:dyDescent="0.25">
      <c r="A17"/>
    </row>
    <row r="18" spans="1:1" x14ac:dyDescent="0.25">
      <c r="A18"/>
    </row>
    <row r="19" spans="1:1" x14ac:dyDescent="0.25">
      <c r="A19"/>
    </row>
    <row r="20" spans="1:1" x14ac:dyDescent="0.25">
      <c r="A20"/>
    </row>
    <row r="21" spans="1:1" x14ac:dyDescent="0.25">
      <c r="A21"/>
    </row>
    <row r="22" spans="1:1" x14ac:dyDescent="0.25">
      <c r="A22"/>
    </row>
    <row r="23" spans="1:1" x14ac:dyDescent="0.25">
      <c r="A23"/>
    </row>
    <row r="24" spans="1:1" x14ac:dyDescent="0.25">
      <c r="A24"/>
    </row>
    <row r="25" spans="1:1" x14ac:dyDescent="0.25">
      <c r="A25"/>
    </row>
    <row r="26" spans="1:1" x14ac:dyDescent="0.25">
      <c r="A26"/>
    </row>
    <row r="27" spans="1:1" x14ac:dyDescent="0.25">
      <c r="A27"/>
    </row>
    <row r="28" spans="1:1" x14ac:dyDescent="0.25">
      <c r="A28"/>
    </row>
    <row r="29" spans="1:1" x14ac:dyDescent="0.25">
      <c r="A29"/>
    </row>
    <row r="30" spans="1:1" x14ac:dyDescent="0.25">
      <c r="A30"/>
    </row>
    <row r="31" spans="1:1" x14ac:dyDescent="0.25">
      <c r="A31"/>
    </row>
    <row r="32" spans="1:1" x14ac:dyDescent="0.25">
      <c r="A32"/>
    </row>
    <row r="33" spans="1:1" x14ac:dyDescent="0.25">
      <c r="A33"/>
    </row>
    <row r="34" spans="1:1" x14ac:dyDescent="0.25">
      <c r="A34"/>
    </row>
    <row r="35" spans="1:1" x14ac:dyDescent="0.25">
      <c r="A35"/>
    </row>
    <row r="36" spans="1:1" x14ac:dyDescent="0.25">
      <c r="A36"/>
    </row>
    <row r="37" spans="1:1" x14ac:dyDescent="0.25">
      <c r="A37"/>
    </row>
    <row r="38" spans="1:1" x14ac:dyDescent="0.25">
      <c r="A38"/>
    </row>
    <row r="39" spans="1:1" x14ac:dyDescent="0.25">
      <c r="A39"/>
    </row>
    <row r="40" spans="1:1" x14ac:dyDescent="0.25">
      <c r="A40"/>
    </row>
    <row r="41" spans="1:1" x14ac:dyDescent="0.25">
      <c r="A41"/>
    </row>
    <row r="42" spans="1:1" x14ac:dyDescent="0.25">
      <c r="A42"/>
    </row>
    <row r="43" spans="1:1" x14ac:dyDescent="0.25">
      <c r="A43"/>
    </row>
    <row r="44" spans="1:1" x14ac:dyDescent="0.25">
      <c r="A44"/>
    </row>
    <row r="45" spans="1:1" x14ac:dyDescent="0.25">
      <c r="A45"/>
    </row>
    <row r="46" spans="1:1" x14ac:dyDescent="0.25">
      <c r="A46"/>
    </row>
    <row r="47" spans="1:1" x14ac:dyDescent="0.25">
      <c r="A47"/>
    </row>
    <row r="48" spans="1:1" x14ac:dyDescent="0.25">
      <c r="A48"/>
    </row>
    <row r="49" spans="1:1" x14ac:dyDescent="0.25">
      <c r="A49"/>
    </row>
    <row r="50" spans="1:1" x14ac:dyDescent="0.25">
      <c r="A50"/>
    </row>
    <row r="51" spans="1:1" x14ac:dyDescent="0.25">
      <c r="A51"/>
    </row>
    <row r="52" spans="1:1" x14ac:dyDescent="0.25">
      <c r="A52"/>
    </row>
    <row r="53" spans="1:1" x14ac:dyDescent="0.25">
      <c r="A53"/>
    </row>
    <row r="54" spans="1:1" x14ac:dyDescent="0.25">
      <c r="A54"/>
    </row>
    <row r="55" spans="1:1" x14ac:dyDescent="0.25">
      <c r="A55"/>
    </row>
    <row r="56" spans="1:1" x14ac:dyDescent="0.25">
      <c r="A56"/>
    </row>
    <row r="57" spans="1:1" x14ac:dyDescent="0.25">
      <c r="A57"/>
    </row>
    <row r="58" spans="1:1" x14ac:dyDescent="0.25">
      <c r="A58"/>
    </row>
    <row r="59" spans="1:1" x14ac:dyDescent="0.25">
      <c r="A59"/>
    </row>
    <row r="60" spans="1:1" x14ac:dyDescent="0.25">
      <c r="A60"/>
    </row>
    <row r="61" spans="1:1" x14ac:dyDescent="0.25">
      <c r="A61"/>
    </row>
    <row r="62" spans="1:1" x14ac:dyDescent="0.25">
      <c r="A62"/>
    </row>
    <row r="63" spans="1:1" x14ac:dyDescent="0.25">
      <c r="A63"/>
    </row>
    <row r="64" spans="1:1" x14ac:dyDescent="0.25">
      <c r="A64"/>
    </row>
    <row r="65" spans="1:1" x14ac:dyDescent="0.25">
      <c r="A65"/>
    </row>
    <row r="66" spans="1:1" x14ac:dyDescent="0.25">
      <c r="A66"/>
    </row>
    <row r="67" spans="1:1" x14ac:dyDescent="0.25">
      <c r="A67"/>
    </row>
    <row r="68" spans="1:1" x14ac:dyDescent="0.25">
      <c r="A68"/>
    </row>
    <row r="69" spans="1:1" x14ac:dyDescent="0.25">
      <c r="A69"/>
    </row>
    <row r="70" spans="1:1" x14ac:dyDescent="0.25">
      <c r="A70"/>
    </row>
    <row r="71" spans="1:1" x14ac:dyDescent="0.25">
      <c r="A71"/>
    </row>
    <row r="72" spans="1:1" x14ac:dyDescent="0.25">
      <c r="A72"/>
    </row>
    <row r="73" spans="1:1" x14ac:dyDescent="0.25">
      <c r="A73"/>
    </row>
    <row r="74" spans="1:1" x14ac:dyDescent="0.25">
      <c r="A74"/>
    </row>
    <row r="75" spans="1:1" x14ac:dyDescent="0.25">
      <c r="A75"/>
    </row>
    <row r="76" spans="1:1" x14ac:dyDescent="0.25">
      <c r="A76"/>
    </row>
    <row r="77" spans="1:1" x14ac:dyDescent="0.25">
      <c r="A77"/>
    </row>
    <row r="78" spans="1:1" x14ac:dyDescent="0.25">
      <c r="A78"/>
    </row>
    <row r="79" spans="1:1" x14ac:dyDescent="0.25">
      <c r="A79"/>
    </row>
    <row r="80" spans="1:1" x14ac:dyDescent="0.25">
      <c r="A80"/>
    </row>
    <row r="81" spans="1:1" x14ac:dyDescent="0.25">
      <c r="A81"/>
    </row>
    <row r="82" spans="1:1" x14ac:dyDescent="0.25">
      <c r="A82"/>
    </row>
    <row r="83" spans="1:1" x14ac:dyDescent="0.25">
      <c r="A83"/>
    </row>
    <row r="84" spans="1:1" x14ac:dyDescent="0.25">
      <c r="A84"/>
    </row>
    <row r="85" spans="1:1" x14ac:dyDescent="0.25">
      <c r="A85"/>
    </row>
    <row r="86" spans="1:1" x14ac:dyDescent="0.25">
      <c r="A86"/>
    </row>
    <row r="87" spans="1:1" x14ac:dyDescent="0.25">
      <c r="A87"/>
    </row>
    <row r="88" spans="1:1" x14ac:dyDescent="0.25">
      <c r="A88"/>
    </row>
    <row r="89" spans="1:1" x14ac:dyDescent="0.25">
      <c r="A89"/>
    </row>
    <row r="90" spans="1:1" x14ac:dyDescent="0.25">
      <c r="A90"/>
    </row>
    <row r="91" spans="1:1" x14ac:dyDescent="0.25">
      <c r="A91"/>
    </row>
    <row r="92" spans="1:1" x14ac:dyDescent="0.25">
      <c r="A92"/>
    </row>
    <row r="93" spans="1:1" x14ac:dyDescent="0.25">
      <c r="A93"/>
    </row>
    <row r="94" spans="1:1" x14ac:dyDescent="0.25">
      <c r="A94"/>
    </row>
    <row r="95" spans="1:1" x14ac:dyDescent="0.25">
      <c r="A95"/>
    </row>
    <row r="96" spans="1:1" x14ac:dyDescent="0.25">
      <c r="A96"/>
    </row>
    <row r="97" spans="1:1" x14ac:dyDescent="0.25">
      <c r="A97"/>
    </row>
    <row r="98" spans="1:1" x14ac:dyDescent="0.25">
      <c r="A98"/>
    </row>
    <row r="99" spans="1:1" x14ac:dyDescent="0.25">
      <c r="A99"/>
    </row>
    <row r="100" spans="1:1" x14ac:dyDescent="0.25">
      <c r="A100"/>
    </row>
    <row r="101" spans="1:1" x14ac:dyDescent="0.25">
      <c r="A101"/>
    </row>
    <row r="102" spans="1:1" x14ac:dyDescent="0.25">
      <c r="A102"/>
    </row>
    <row r="103" spans="1:1" x14ac:dyDescent="0.25">
      <c r="A103"/>
    </row>
    <row r="104" spans="1:1" x14ac:dyDescent="0.25">
      <c r="A104"/>
    </row>
    <row r="105" spans="1:1" x14ac:dyDescent="0.25">
      <c r="A105"/>
    </row>
    <row r="106" spans="1:1" x14ac:dyDescent="0.25">
      <c r="A106"/>
    </row>
    <row r="107" spans="1:1" x14ac:dyDescent="0.25">
      <c r="A107"/>
    </row>
    <row r="108" spans="1:1" x14ac:dyDescent="0.25">
      <c r="A108"/>
    </row>
    <row r="109" spans="1:1" x14ac:dyDescent="0.25">
      <c r="A109"/>
    </row>
    <row r="110" spans="1:1" x14ac:dyDescent="0.25">
      <c r="A110"/>
    </row>
    <row r="111" spans="1:1" x14ac:dyDescent="0.25">
      <c r="A111"/>
    </row>
    <row r="112" spans="1:1" x14ac:dyDescent="0.25">
      <c r="A112"/>
    </row>
    <row r="113" spans="1:1" x14ac:dyDescent="0.25">
      <c r="A113"/>
    </row>
    <row r="114" spans="1:1" x14ac:dyDescent="0.25">
      <c r="A114"/>
    </row>
    <row r="115" spans="1:1" x14ac:dyDescent="0.25">
      <c r="A115"/>
    </row>
    <row r="116" spans="1:1" x14ac:dyDescent="0.25">
      <c r="A116"/>
    </row>
    <row r="117" spans="1:1" x14ac:dyDescent="0.25">
      <c r="A117"/>
    </row>
    <row r="118" spans="1:1" x14ac:dyDescent="0.25">
      <c r="A118"/>
    </row>
    <row r="119" spans="1:1" x14ac:dyDescent="0.25">
      <c r="A119"/>
    </row>
    <row r="120" spans="1:1" x14ac:dyDescent="0.25">
      <c r="A120"/>
    </row>
    <row r="121" spans="1:1" x14ac:dyDescent="0.25">
      <c r="A121"/>
    </row>
    <row r="122" spans="1:1" x14ac:dyDescent="0.25">
      <c r="A122"/>
    </row>
    <row r="123" spans="1:1" x14ac:dyDescent="0.25">
      <c r="A123"/>
    </row>
    <row r="124" spans="1:1" x14ac:dyDescent="0.25">
      <c r="A124"/>
    </row>
    <row r="125" spans="1:1" x14ac:dyDescent="0.25">
      <c r="A125"/>
    </row>
    <row r="126" spans="1:1" x14ac:dyDescent="0.25">
      <c r="A126"/>
    </row>
    <row r="127" spans="1:1" x14ac:dyDescent="0.25">
      <c r="A127"/>
    </row>
    <row r="128" spans="1:1" x14ac:dyDescent="0.25">
      <c r="A128"/>
    </row>
    <row r="129" spans="1:1" x14ac:dyDescent="0.25">
      <c r="A129"/>
    </row>
    <row r="130" spans="1:1" x14ac:dyDescent="0.25">
      <c r="A130"/>
    </row>
    <row r="131" spans="1:1" x14ac:dyDescent="0.25">
      <c r="A131"/>
    </row>
    <row r="132" spans="1:1" x14ac:dyDescent="0.25">
      <c r="A132"/>
    </row>
    <row r="133" spans="1:1" x14ac:dyDescent="0.25">
      <c r="A133"/>
    </row>
    <row r="134" spans="1:1" x14ac:dyDescent="0.25">
      <c r="A134"/>
    </row>
    <row r="135" spans="1:1" x14ac:dyDescent="0.25">
      <c r="A135"/>
    </row>
    <row r="136" spans="1:1" x14ac:dyDescent="0.25">
      <c r="A136"/>
    </row>
    <row r="137" spans="1:1" x14ac:dyDescent="0.25">
      <c r="A137"/>
    </row>
    <row r="138" spans="1:1" x14ac:dyDescent="0.25">
      <c r="A138"/>
    </row>
    <row r="139" spans="1:1" x14ac:dyDescent="0.25">
      <c r="A139"/>
    </row>
    <row r="140" spans="1:1" x14ac:dyDescent="0.25">
      <c r="A140"/>
    </row>
    <row r="141" spans="1:1" x14ac:dyDescent="0.25">
      <c r="A141"/>
    </row>
    <row r="142" spans="1:1" x14ac:dyDescent="0.25">
      <c r="A142"/>
    </row>
    <row r="143" spans="1:1" x14ac:dyDescent="0.25">
      <c r="A143"/>
    </row>
    <row r="144" spans="1:1" x14ac:dyDescent="0.25">
      <c r="A144"/>
    </row>
    <row r="145" spans="1:1" x14ac:dyDescent="0.25">
      <c r="A145"/>
    </row>
    <row r="146" spans="1:1" x14ac:dyDescent="0.25">
      <c r="A146"/>
    </row>
    <row r="147" spans="1:1" x14ac:dyDescent="0.25">
      <c r="A147"/>
    </row>
    <row r="148" spans="1:1" x14ac:dyDescent="0.25">
      <c r="A148"/>
    </row>
    <row r="149" spans="1:1" x14ac:dyDescent="0.25">
      <c r="A149"/>
    </row>
    <row r="150" spans="1:1" x14ac:dyDescent="0.25">
      <c r="A150"/>
    </row>
    <row r="151" spans="1:1" x14ac:dyDescent="0.25">
      <c r="A151"/>
    </row>
    <row r="152" spans="1:1" x14ac:dyDescent="0.25">
      <c r="A152"/>
    </row>
    <row r="153" spans="1:1" x14ac:dyDescent="0.25">
      <c r="A153"/>
    </row>
    <row r="154" spans="1:1" x14ac:dyDescent="0.25">
      <c r="A154"/>
    </row>
    <row r="155" spans="1:1" x14ac:dyDescent="0.25">
      <c r="A155"/>
    </row>
    <row r="156" spans="1:1" x14ac:dyDescent="0.25">
      <c r="A156"/>
    </row>
    <row r="157" spans="1:1" x14ac:dyDescent="0.25">
      <c r="A157"/>
    </row>
    <row r="158" spans="1:1" x14ac:dyDescent="0.25">
      <c r="A158"/>
    </row>
    <row r="159" spans="1:1" x14ac:dyDescent="0.25">
      <c r="A159"/>
    </row>
    <row r="160" spans="1:1" x14ac:dyDescent="0.25">
      <c r="A160"/>
    </row>
    <row r="161" spans="1:1" x14ac:dyDescent="0.25">
      <c r="A161"/>
    </row>
    <row r="162" spans="1:1" x14ac:dyDescent="0.25">
      <c r="A162"/>
    </row>
    <row r="163" spans="1:1" x14ac:dyDescent="0.25">
      <c r="A163"/>
    </row>
    <row r="164" spans="1:1" x14ac:dyDescent="0.25">
      <c r="A164"/>
    </row>
    <row r="165" spans="1:1" x14ac:dyDescent="0.25">
      <c r="A165"/>
    </row>
    <row r="166" spans="1:1" x14ac:dyDescent="0.25">
      <c r="A166"/>
    </row>
    <row r="167" spans="1:1" x14ac:dyDescent="0.25">
      <c r="A167"/>
    </row>
    <row r="168" spans="1:1" x14ac:dyDescent="0.25">
      <c r="A168"/>
    </row>
    <row r="169" spans="1:1" x14ac:dyDescent="0.25">
      <c r="A169"/>
    </row>
    <row r="170" spans="1:1" x14ac:dyDescent="0.25">
      <c r="A170"/>
    </row>
    <row r="171" spans="1:1" x14ac:dyDescent="0.25">
      <c r="A171"/>
    </row>
    <row r="172" spans="1:1" x14ac:dyDescent="0.25">
      <c r="A172"/>
    </row>
    <row r="173" spans="1:1" x14ac:dyDescent="0.25">
      <c r="A173"/>
    </row>
    <row r="174" spans="1:1" x14ac:dyDescent="0.25">
      <c r="A174"/>
    </row>
    <row r="175" spans="1:1" x14ac:dyDescent="0.25">
      <c r="A175"/>
    </row>
    <row r="176" spans="1:1" x14ac:dyDescent="0.25">
      <c r="A176"/>
    </row>
    <row r="177" spans="1:1" x14ac:dyDescent="0.25">
      <c r="A177"/>
    </row>
    <row r="178" spans="1:1" x14ac:dyDescent="0.25">
      <c r="A178"/>
    </row>
    <row r="179" spans="1:1" x14ac:dyDescent="0.25">
      <c r="A179"/>
    </row>
    <row r="180" spans="1:1" x14ac:dyDescent="0.25">
      <c r="A180"/>
    </row>
    <row r="181" spans="1:1" x14ac:dyDescent="0.25">
      <c r="A181"/>
    </row>
    <row r="182" spans="1:1" x14ac:dyDescent="0.25">
      <c r="A182"/>
    </row>
    <row r="183" spans="1:1" x14ac:dyDescent="0.25">
      <c r="A183"/>
    </row>
    <row r="184" spans="1:1" x14ac:dyDescent="0.25">
      <c r="A184"/>
    </row>
    <row r="185" spans="1:1" x14ac:dyDescent="0.25">
      <c r="A185"/>
    </row>
    <row r="186" spans="1:1" x14ac:dyDescent="0.25">
      <c r="A186"/>
    </row>
    <row r="187" spans="1:1" x14ac:dyDescent="0.25">
      <c r="A187"/>
    </row>
    <row r="188" spans="1:1" x14ac:dyDescent="0.25">
      <c r="A188"/>
    </row>
    <row r="189" spans="1:1" x14ac:dyDescent="0.25">
      <c r="A189"/>
    </row>
    <row r="190" spans="1:1" x14ac:dyDescent="0.25">
      <c r="A190"/>
    </row>
    <row r="191" spans="1:1" x14ac:dyDescent="0.25">
      <c r="A191"/>
    </row>
    <row r="192" spans="1:1" x14ac:dyDescent="0.25">
      <c r="A192"/>
    </row>
    <row r="193" spans="1:1" x14ac:dyDescent="0.25">
      <c r="A193"/>
    </row>
    <row r="194" spans="1:1" x14ac:dyDescent="0.25">
      <c r="A194"/>
    </row>
    <row r="195" spans="1:1" x14ac:dyDescent="0.25">
      <c r="A195"/>
    </row>
    <row r="196" spans="1:1" x14ac:dyDescent="0.25">
      <c r="A196"/>
    </row>
    <row r="197" spans="1:1" x14ac:dyDescent="0.25">
      <c r="A197"/>
    </row>
    <row r="198" spans="1:1" x14ac:dyDescent="0.25">
      <c r="A198"/>
    </row>
    <row r="199" spans="1:1" x14ac:dyDescent="0.25">
      <c r="A199"/>
    </row>
    <row r="200" spans="1:1" x14ac:dyDescent="0.25">
      <c r="A200"/>
    </row>
    <row r="201" spans="1:1" x14ac:dyDescent="0.25">
      <c r="A201"/>
    </row>
    <row r="202" spans="1:1" x14ac:dyDescent="0.25">
      <c r="A202"/>
    </row>
    <row r="203" spans="1:1" x14ac:dyDescent="0.25">
      <c r="A203"/>
    </row>
    <row r="204" spans="1:1" x14ac:dyDescent="0.25">
      <c r="A204"/>
    </row>
    <row r="205" spans="1:1" x14ac:dyDescent="0.25">
      <c r="A205"/>
    </row>
    <row r="206" spans="1:1" x14ac:dyDescent="0.25">
      <c r="A206"/>
    </row>
    <row r="207" spans="1:1" x14ac:dyDescent="0.25">
      <c r="A207"/>
    </row>
    <row r="208" spans="1:1" x14ac:dyDescent="0.25">
      <c r="A208"/>
    </row>
    <row r="209" spans="1:1" x14ac:dyDescent="0.25">
      <c r="A209"/>
    </row>
    <row r="210" spans="1:1" x14ac:dyDescent="0.25">
      <c r="A210"/>
    </row>
    <row r="211" spans="1:1" x14ac:dyDescent="0.25">
      <c r="A211"/>
    </row>
    <row r="212" spans="1:1" x14ac:dyDescent="0.25">
      <c r="A212"/>
    </row>
    <row r="213" spans="1:1" x14ac:dyDescent="0.25">
      <c r="A213"/>
    </row>
    <row r="214" spans="1:1" x14ac:dyDescent="0.25">
      <c r="A214"/>
    </row>
    <row r="215" spans="1:1" x14ac:dyDescent="0.25">
      <c r="A215"/>
    </row>
    <row r="216" spans="1:1" x14ac:dyDescent="0.25">
      <c r="A216"/>
    </row>
    <row r="217" spans="1:1" x14ac:dyDescent="0.25">
      <c r="A217"/>
    </row>
    <row r="218" spans="1:1" x14ac:dyDescent="0.25">
      <c r="A218"/>
    </row>
    <row r="219" spans="1:1" x14ac:dyDescent="0.25">
      <c r="A219"/>
    </row>
    <row r="220" spans="1:1" x14ac:dyDescent="0.25">
      <c r="A220"/>
    </row>
    <row r="221" spans="1:1" x14ac:dyDescent="0.25">
      <c r="A221"/>
    </row>
    <row r="222" spans="1:1" x14ac:dyDescent="0.25">
      <c r="A222"/>
    </row>
    <row r="223" spans="1:1" x14ac:dyDescent="0.25">
      <c r="A223"/>
    </row>
    <row r="224" spans="1:1" x14ac:dyDescent="0.25">
      <c r="A224"/>
    </row>
    <row r="225" spans="1:1" x14ac:dyDescent="0.25">
      <c r="A225"/>
    </row>
    <row r="226" spans="1:1" x14ac:dyDescent="0.25">
      <c r="A226"/>
    </row>
    <row r="227" spans="1:1" x14ac:dyDescent="0.25">
      <c r="A227"/>
    </row>
    <row r="228" spans="1:1" x14ac:dyDescent="0.25">
      <c r="A228"/>
    </row>
    <row r="229" spans="1:1" x14ac:dyDescent="0.25">
      <c r="A229"/>
    </row>
    <row r="230" spans="1:1" x14ac:dyDescent="0.25">
      <c r="A230"/>
    </row>
    <row r="231" spans="1:1" x14ac:dyDescent="0.25">
      <c r="A231"/>
    </row>
    <row r="232" spans="1:1" x14ac:dyDescent="0.25">
      <c r="A232"/>
    </row>
    <row r="233" spans="1:1" x14ac:dyDescent="0.25">
      <c r="A233"/>
    </row>
    <row r="234" spans="1:1" x14ac:dyDescent="0.25">
      <c r="A234"/>
    </row>
    <row r="235" spans="1:1" x14ac:dyDescent="0.25">
      <c r="A235"/>
    </row>
    <row r="236" spans="1:1" x14ac:dyDescent="0.25">
      <c r="A236"/>
    </row>
    <row r="237" spans="1:1" x14ac:dyDescent="0.25">
      <c r="A237"/>
    </row>
    <row r="238" spans="1:1" x14ac:dyDescent="0.25">
      <c r="A238"/>
    </row>
    <row r="239" spans="1:1" x14ac:dyDescent="0.25">
      <c r="A239"/>
    </row>
    <row r="240" spans="1:1" x14ac:dyDescent="0.25">
      <c r="A240"/>
    </row>
    <row r="241" spans="1:1" x14ac:dyDescent="0.25">
      <c r="A241"/>
    </row>
    <row r="242" spans="1:1" x14ac:dyDescent="0.25">
      <c r="A242"/>
    </row>
    <row r="243" spans="1:1" x14ac:dyDescent="0.25">
      <c r="A243"/>
    </row>
    <row r="244" spans="1:1" x14ac:dyDescent="0.25">
      <c r="A244"/>
    </row>
    <row r="245" spans="1:1" x14ac:dyDescent="0.25">
      <c r="A245"/>
    </row>
    <row r="246" spans="1:1" x14ac:dyDescent="0.25">
      <c r="A246"/>
    </row>
    <row r="247" spans="1:1" x14ac:dyDescent="0.25">
      <c r="A247"/>
    </row>
    <row r="248" spans="1:1" x14ac:dyDescent="0.25">
      <c r="A248"/>
    </row>
    <row r="249" spans="1:1" x14ac:dyDescent="0.25">
      <c r="A249"/>
    </row>
    <row r="250" spans="1:1" x14ac:dyDescent="0.25">
      <c r="A250"/>
    </row>
    <row r="251" spans="1:1" x14ac:dyDescent="0.25">
      <c r="A251"/>
    </row>
    <row r="252" spans="1:1" x14ac:dyDescent="0.25">
      <c r="A252"/>
    </row>
    <row r="253" spans="1:1" x14ac:dyDescent="0.25">
      <c r="A253"/>
    </row>
    <row r="254" spans="1:1" x14ac:dyDescent="0.25">
      <c r="A254"/>
    </row>
    <row r="255" spans="1:1" x14ac:dyDescent="0.25">
      <c r="A255"/>
    </row>
    <row r="256" spans="1:1" x14ac:dyDescent="0.25">
      <c r="A256"/>
    </row>
    <row r="257" spans="1:1" x14ac:dyDescent="0.25">
      <c r="A257"/>
    </row>
    <row r="258" spans="1:1" x14ac:dyDescent="0.25">
      <c r="A258"/>
    </row>
    <row r="259" spans="1:1" x14ac:dyDescent="0.25">
      <c r="A259"/>
    </row>
    <row r="260" spans="1:1" x14ac:dyDescent="0.25">
      <c r="A260"/>
    </row>
    <row r="261" spans="1:1" x14ac:dyDescent="0.25">
      <c r="A261"/>
    </row>
    <row r="262" spans="1:1" x14ac:dyDescent="0.25">
      <c r="A262"/>
    </row>
    <row r="263" spans="1:1" x14ac:dyDescent="0.25">
      <c r="A263"/>
    </row>
    <row r="264" spans="1:1" x14ac:dyDescent="0.25">
      <c r="A264"/>
    </row>
    <row r="265" spans="1:1" x14ac:dyDescent="0.25">
      <c r="A265"/>
    </row>
    <row r="266" spans="1:1" x14ac:dyDescent="0.25">
      <c r="A266"/>
    </row>
    <row r="267" spans="1:1" x14ac:dyDescent="0.25">
      <c r="A267"/>
    </row>
    <row r="268" spans="1:1" x14ac:dyDescent="0.25">
      <c r="A268"/>
    </row>
    <row r="269" spans="1:1" x14ac:dyDescent="0.25">
      <c r="A269"/>
    </row>
    <row r="270" spans="1:1" x14ac:dyDescent="0.25">
      <c r="A270"/>
    </row>
    <row r="271" spans="1:1" x14ac:dyDescent="0.25">
      <c r="A271"/>
    </row>
    <row r="272" spans="1:1" x14ac:dyDescent="0.25">
      <c r="A272"/>
    </row>
    <row r="273" spans="1:1" x14ac:dyDescent="0.25">
      <c r="A273"/>
    </row>
    <row r="274" spans="1:1" x14ac:dyDescent="0.25">
      <c r="A274"/>
    </row>
    <row r="275" spans="1:1" x14ac:dyDescent="0.25">
      <c r="A275"/>
    </row>
    <row r="276" spans="1:1" x14ac:dyDescent="0.25">
      <c r="A276"/>
    </row>
    <row r="277" spans="1:1" x14ac:dyDescent="0.25">
      <c r="A277"/>
    </row>
    <row r="278" spans="1:1" x14ac:dyDescent="0.25">
      <c r="A278"/>
    </row>
    <row r="279" spans="1:1" x14ac:dyDescent="0.25">
      <c r="A279"/>
    </row>
    <row r="280" spans="1:1" x14ac:dyDescent="0.25">
      <c r="A280"/>
    </row>
    <row r="281" spans="1:1" x14ac:dyDescent="0.25">
      <c r="A281"/>
    </row>
    <row r="282" spans="1:1" x14ac:dyDescent="0.25">
      <c r="A282"/>
    </row>
    <row r="283" spans="1:1" x14ac:dyDescent="0.25">
      <c r="A283"/>
    </row>
    <row r="284" spans="1:1" x14ac:dyDescent="0.25">
      <c r="A284"/>
    </row>
    <row r="285" spans="1:1" x14ac:dyDescent="0.25">
      <c r="A285"/>
    </row>
    <row r="286" spans="1:1" x14ac:dyDescent="0.25">
      <c r="A286"/>
    </row>
    <row r="287" spans="1:1" x14ac:dyDescent="0.25">
      <c r="A287"/>
    </row>
    <row r="288" spans="1:1" x14ac:dyDescent="0.25">
      <c r="A288"/>
    </row>
    <row r="289" spans="1:1" x14ac:dyDescent="0.25">
      <c r="A289"/>
    </row>
    <row r="290" spans="1:1" x14ac:dyDescent="0.25">
      <c r="A290"/>
    </row>
    <row r="291" spans="1:1" x14ac:dyDescent="0.25">
      <c r="A291"/>
    </row>
    <row r="292" spans="1:1" x14ac:dyDescent="0.25">
      <c r="A292"/>
    </row>
    <row r="293" spans="1:1" x14ac:dyDescent="0.25">
      <c r="A293"/>
    </row>
    <row r="294" spans="1:1" x14ac:dyDescent="0.25">
      <c r="A294"/>
    </row>
    <row r="295" spans="1:1" x14ac:dyDescent="0.25">
      <c r="A295"/>
    </row>
    <row r="296" spans="1:1" x14ac:dyDescent="0.25">
      <c r="A296"/>
    </row>
    <row r="297" spans="1:1" x14ac:dyDescent="0.25">
      <c r="A297"/>
    </row>
    <row r="298" spans="1:1" x14ac:dyDescent="0.25">
      <c r="A298"/>
    </row>
    <row r="299" spans="1:1" x14ac:dyDescent="0.25">
      <c r="A299"/>
    </row>
    <row r="300" spans="1:1" x14ac:dyDescent="0.25">
      <c r="A300"/>
    </row>
    <row r="301" spans="1:1" x14ac:dyDescent="0.25">
      <c r="A301"/>
    </row>
    <row r="302" spans="1:1" x14ac:dyDescent="0.25">
      <c r="A302"/>
    </row>
    <row r="303" spans="1:1" x14ac:dyDescent="0.25">
      <c r="A303"/>
    </row>
    <row r="304" spans="1:1" x14ac:dyDescent="0.25">
      <c r="A304"/>
    </row>
    <row r="305" spans="1:1" x14ac:dyDescent="0.25">
      <c r="A305"/>
    </row>
    <row r="306" spans="1:1" x14ac:dyDescent="0.25">
      <c r="A306"/>
    </row>
    <row r="307" spans="1:1" x14ac:dyDescent="0.25">
      <c r="A307"/>
    </row>
    <row r="308" spans="1:1" x14ac:dyDescent="0.25">
      <c r="A308"/>
    </row>
    <row r="309" spans="1:1" x14ac:dyDescent="0.25">
      <c r="A309"/>
    </row>
    <row r="310" spans="1:1" x14ac:dyDescent="0.25">
      <c r="A310"/>
    </row>
    <row r="311" spans="1:1" x14ac:dyDescent="0.25">
      <c r="A311"/>
    </row>
    <row r="312" spans="1:1" x14ac:dyDescent="0.25">
      <c r="A312"/>
    </row>
    <row r="313" spans="1:1" x14ac:dyDescent="0.25">
      <c r="A313"/>
    </row>
    <row r="314" spans="1:1" x14ac:dyDescent="0.25">
      <c r="A314"/>
    </row>
    <row r="315" spans="1:1" x14ac:dyDescent="0.25">
      <c r="A315"/>
    </row>
    <row r="316" spans="1:1" x14ac:dyDescent="0.25">
      <c r="A316"/>
    </row>
    <row r="317" spans="1:1" x14ac:dyDescent="0.25">
      <c r="A317"/>
    </row>
    <row r="318" spans="1:1" x14ac:dyDescent="0.25">
      <c r="A318"/>
    </row>
    <row r="319" spans="1:1" x14ac:dyDescent="0.25">
      <c r="A319"/>
    </row>
    <row r="320" spans="1:1" x14ac:dyDescent="0.25">
      <c r="A320"/>
    </row>
    <row r="321" spans="1:1" x14ac:dyDescent="0.25">
      <c r="A321"/>
    </row>
    <row r="322" spans="1:1" x14ac:dyDescent="0.25">
      <c r="A322"/>
    </row>
    <row r="323" spans="1:1" x14ac:dyDescent="0.25">
      <c r="A323"/>
    </row>
    <row r="324" spans="1:1" x14ac:dyDescent="0.25">
      <c r="A324"/>
    </row>
    <row r="325" spans="1:1" x14ac:dyDescent="0.25">
      <c r="A325"/>
    </row>
    <row r="326" spans="1:1" x14ac:dyDescent="0.25">
      <c r="A326"/>
    </row>
    <row r="327" spans="1:1" x14ac:dyDescent="0.25">
      <c r="A327"/>
    </row>
    <row r="328" spans="1:1" x14ac:dyDescent="0.25">
      <c r="A328"/>
    </row>
    <row r="329" spans="1:1" x14ac:dyDescent="0.25">
      <c r="A329"/>
    </row>
    <row r="330" spans="1:1" x14ac:dyDescent="0.25">
      <c r="A330"/>
    </row>
    <row r="331" spans="1:1" x14ac:dyDescent="0.25">
      <c r="A331"/>
    </row>
    <row r="332" spans="1:1" x14ac:dyDescent="0.25">
      <c r="A332"/>
    </row>
    <row r="333" spans="1:1" x14ac:dyDescent="0.25">
      <c r="A333"/>
    </row>
    <row r="334" spans="1:1" x14ac:dyDescent="0.25">
      <c r="A334"/>
    </row>
    <row r="335" spans="1:1" x14ac:dyDescent="0.25">
      <c r="A335"/>
    </row>
    <row r="336" spans="1:1" x14ac:dyDescent="0.25">
      <c r="A336"/>
    </row>
    <row r="337" spans="1:1" x14ac:dyDescent="0.25">
      <c r="A337"/>
    </row>
    <row r="338" spans="1:1" x14ac:dyDescent="0.25">
      <c r="A338"/>
    </row>
    <row r="339" spans="1:1" x14ac:dyDescent="0.25">
      <c r="A339"/>
    </row>
    <row r="340" spans="1:1" x14ac:dyDescent="0.25">
      <c r="A340"/>
    </row>
    <row r="341" spans="1:1" x14ac:dyDescent="0.25">
      <c r="A341"/>
    </row>
    <row r="342" spans="1:1" x14ac:dyDescent="0.25">
      <c r="A342"/>
    </row>
    <row r="343" spans="1:1" x14ac:dyDescent="0.25">
      <c r="A343"/>
    </row>
    <row r="344" spans="1:1" x14ac:dyDescent="0.25">
      <c r="A344"/>
    </row>
    <row r="345" spans="1:1" x14ac:dyDescent="0.25">
      <c r="A345"/>
    </row>
    <row r="346" spans="1:1" x14ac:dyDescent="0.25">
      <c r="A346"/>
    </row>
    <row r="347" spans="1:1" x14ac:dyDescent="0.25">
      <c r="A347"/>
    </row>
    <row r="348" spans="1:1" x14ac:dyDescent="0.25">
      <c r="A348"/>
    </row>
    <row r="349" spans="1:1" x14ac:dyDescent="0.25">
      <c r="A349"/>
    </row>
    <row r="350" spans="1:1" x14ac:dyDescent="0.25">
      <c r="A350"/>
    </row>
    <row r="351" spans="1:1" x14ac:dyDescent="0.25">
      <c r="A351"/>
    </row>
    <row r="352" spans="1:1" x14ac:dyDescent="0.25">
      <c r="A352"/>
    </row>
    <row r="353" spans="1:1" x14ac:dyDescent="0.25">
      <c r="A353"/>
    </row>
    <row r="354" spans="1:1" x14ac:dyDescent="0.25">
      <c r="A354"/>
    </row>
    <row r="355" spans="1:1" x14ac:dyDescent="0.25">
      <c r="A355"/>
    </row>
    <row r="356" spans="1:1" x14ac:dyDescent="0.25">
      <c r="A356"/>
    </row>
    <row r="357" spans="1:1" x14ac:dyDescent="0.25">
      <c r="A357"/>
    </row>
    <row r="358" spans="1:1" x14ac:dyDescent="0.25">
      <c r="A358"/>
    </row>
    <row r="359" spans="1:1" x14ac:dyDescent="0.25">
      <c r="A359"/>
    </row>
    <row r="360" spans="1:1" x14ac:dyDescent="0.25">
      <c r="A360"/>
    </row>
    <row r="361" spans="1:1" x14ac:dyDescent="0.25">
      <c r="A361"/>
    </row>
    <row r="362" spans="1:1" x14ac:dyDescent="0.25">
      <c r="A362"/>
    </row>
    <row r="363" spans="1:1" x14ac:dyDescent="0.25">
      <c r="A363"/>
    </row>
    <row r="364" spans="1:1" x14ac:dyDescent="0.25">
      <c r="A364"/>
    </row>
    <row r="365" spans="1:1" x14ac:dyDescent="0.25">
      <c r="A365"/>
    </row>
    <row r="366" spans="1:1" x14ac:dyDescent="0.25">
      <c r="A366"/>
    </row>
    <row r="367" spans="1:1" x14ac:dyDescent="0.25">
      <c r="A367"/>
    </row>
    <row r="368" spans="1:1" x14ac:dyDescent="0.25">
      <c r="A368"/>
    </row>
    <row r="369" spans="1:1" x14ac:dyDescent="0.25">
      <c r="A369"/>
    </row>
    <row r="370" spans="1:1" x14ac:dyDescent="0.25">
      <c r="A370"/>
    </row>
    <row r="371" spans="1:1" x14ac:dyDescent="0.25">
      <c r="A371"/>
    </row>
    <row r="372" spans="1:1" x14ac:dyDescent="0.25">
      <c r="A372"/>
    </row>
    <row r="373" spans="1:1" x14ac:dyDescent="0.25">
      <c r="A373"/>
    </row>
    <row r="374" spans="1:1" x14ac:dyDescent="0.25">
      <c r="A374"/>
    </row>
    <row r="375" spans="1:1" x14ac:dyDescent="0.25">
      <c r="A375"/>
    </row>
    <row r="376" spans="1:1" x14ac:dyDescent="0.25">
      <c r="A376"/>
    </row>
    <row r="377" spans="1:1" x14ac:dyDescent="0.25">
      <c r="A377"/>
    </row>
    <row r="378" spans="1:1" x14ac:dyDescent="0.25">
      <c r="A378"/>
    </row>
    <row r="379" spans="1:1" x14ac:dyDescent="0.25">
      <c r="A379"/>
    </row>
    <row r="380" spans="1:1" x14ac:dyDescent="0.25">
      <c r="A380"/>
    </row>
    <row r="381" spans="1:1" x14ac:dyDescent="0.25">
      <c r="A381"/>
    </row>
    <row r="382" spans="1:1" x14ac:dyDescent="0.25">
      <c r="A382"/>
    </row>
    <row r="383" spans="1:1" x14ac:dyDescent="0.25">
      <c r="A383"/>
    </row>
    <row r="384" spans="1:1" x14ac:dyDescent="0.25">
      <c r="A384"/>
    </row>
    <row r="385" spans="1:1" x14ac:dyDescent="0.25">
      <c r="A385"/>
    </row>
    <row r="386" spans="1:1" x14ac:dyDescent="0.25">
      <c r="A386"/>
    </row>
    <row r="387" spans="1:1" x14ac:dyDescent="0.25">
      <c r="A387"/>
    </row>
    <row r="388" spans="1:1" x14ac:dyDescent="0.25">
      <c r="A388"/>
    </row>
    <row r="389" spans="1:1" x14ac:dyDescent="0.25">
      <c r="A389"/>
    </row>
    <row r="390" spans="1:1" x14ac:dyDescent="0.25">
      <c r="A390"/>
    </row>
    <row r="391" spans="1:1" x14ac:dyDescent="0.25">
      <c r="A391"/>
    </row>
    <row r="392" spans="1:1" x14ac:dyDescent="0.25">
      <c r="A392"/>
    </row>
    <row r="393" spans="1:1" x14ac:dyDescent="0.25">
      <c r="A393"/>
    </row>
    <row r="394" spans="1:1" x14ac:dyDescent="0.25">
      <c r="A394"/>
    </row>
    <row r="395" spans="1:1" x14ac:dyDescent="0.25">
      <c r="A395"/>
    </row>
    <row r="396" spans="1:1" x14ac:dyDescent="0.25">
      <c r="A396"/>
    </row>
    <row r="397" spans="1:1" x14ac:dyDescent="0.25">
      <c r="A397"/>
    </row>
    <row r="398" spans="1:1" x14ac:dyDescent="0.25">
      <c r="A398"/>
    </row>
    <row r="399" spans="1:1" x14ac:dyDescent="0.25">
      <c r="A399"/>
    </row>
    <row r="400" spans="1:1" x14ac:dyDescent="0.25">
      <c r="A400"/>
    </row>
    <row r="401" spans="1:1" x14ac:dyDescent="0.25">
      <c r="A401"/>
    </row>
    <row r="402" spans="1:1" x14ac:dyDescent="0.25">
      <c r="A402"/>
    </row>
    <row r="403" spans="1:1" x14ac:dyDescent="0.25">
      <c r="A403"/>
    </row>
    <row r="404" spans="1:1" x14ac:dyDescent="0.25">
      <c r="A404"/>
    </row>
    <row r="405" spans="1:1" x14ac:dyDescent="0.25">
      <c r="A405"/>
    </row>
    <row r="406" spans="1:1" x14ac:dyDescent="0.25">
      <c r="A406"/>
    </row>
    <row r="407" spans="1:1" x14ac:dyDescent="0.25">
      <c r="A407"/>
    </row>
    <row r="408" spans="1:1" x14ac:dyDescent="0.25">
      <c r="A408"/>
    </row>
    <row r="409" spans="1:1" x14ac:dyDescent="0.25">
      <c r="A409"/>
    </row>
    <row r="410" spans="1:1" x14ac:dyDescent="0.25">
      <c r="A410"/>
    </row>
    <row r="411" spans="1:1" x14ac:dyDescent="0.25">
      <c r="A411"/>
    </row>
    <row r="412" spans="1:1" x14ac:dyDescent="0.25">
      <c r="A412"/>
    </row>
    <row r="413" spans="1:1" x14ac:dyDescent="0.25">
      <c r="A413"/>
    </row>
    <row r="414" spans="1:1" x14ac:dyDescent="0.25">
      <c r="A414"/>
    </row>
    <row r="415" spans="1:1" x14ac:dyDescent="0.25">
      <c r="A415"/>
    </row>
    <row r="416" spans="1:1" x14ac:dyDescent="0.25">
      <c r="A416"/>
    </row>
    <row r="417" spans="1:1" x14ac:dyDescent="0.25">
      <c r="A417"/>
    </row>
    <row r="418" spans="1:1" x14ac:dyDescent="0.25">
      <c r="A418"/>
    </row>
    <row r="419" spans="1:1" x14ac:dyDescent="0.25">
      <c r="A419"/>
    </row>
    <row r="420" spans="1:1" x14ac:dyDescent="0.25">
      <c r="A420"/>
    </row>
    <row r="421" spans="1:1" x14ac:dyDescent="0.25">
      <c r="A421"/>
    </row>
    <row r="422" spans="1:1" x14ac:dyDescent="0.25">
      <c r="A422"/>
    </row>
    <row r="423" spans="1:1" x14ac:dyDescent="0.25">
      <c r="A423"/>
    </row>
    <row r="424" spans="1:1" x14ac:dyDescent="0.25">
      <c r="A424"/>
    </row>
    <row r="425" spans="1:1" x14ac:dyDescent="0.25">
      <c r="A425"/>
    </row>
    <row r="426" spans="1:1" x14ac:dyDescent="0.25">
      <c r="A426"/>
    </row>
    <row r="427" spans="1:1" x14ac:dyDescent="0.25">
      <c r="A427"/>
    </row>
    <row r="428" spans="1:1" x14ac:dyDescent="0.25">
      <c r="A428"/>
    </row>
    <row r="429" spans="1:1" x14ac:dyDescent="0.25">
      <c r="A429"/>
    </row>
    <row r="430" spans="1:1" x14ac:dyDescent="0.25">
      <c r="A430"/>
    </row>
    <row r="431" spans="1:1" x14ac:dyDescent="0.25">
      <c r="A431"/>
    </row>
    <row r="432" spans="1:1" x14ac:dyDescent="0.25">
      <c r="A432"/>
    </row>
    <row r="433" spans="1:1" x14ac:dyDescent="0.25">
      <c r="A433"/>
    </row>
    <row r="434" spans="1:1" x14ac:dyDescent="0.25">
      <c r="A434"/>
    </row>
    <row r="435" spans="1:1" x14ac:dyDescent="0.25">
      <c r="A435"/>
    </row>
    <row r="436" spans="1:1" x14ac:dyDescent="0.25">
      <c r="A436"/>
    </row>
    <row r="437" spans="1:1" x14ac:dyDescent="0.25">
      <c r="A437"/>
    </row>
    <row r="438" spans="1:1" x14ac:dyDescent="0.25">
      <c r="A438"/>
    </row>
    <row r="439" spans="1:1" x14ac:dyDescent="0.25">
      <c r="A439"/>
    </row>
    <row r="440" spans="1:1" x14ac:dyDescent="0.25">
      <c r="A440"/>
    </row>
    <row r="441" spans="1:1" x14ac:dyDescent="0.25">
      <c r="A441"/>
    </row>
    <row r="442" spans="1:1" x14ac:dyDescent="0.25">
      <c r="A442"/>
    </row>
    <row r="443" spans="1:1" x14ac:dyDescent="0.25">
      <c r="A443"/>
    </row>
    <row r="444" spans="1:1" x14ac:dyDescent="0.25">
      <c r="A444"/>
    </row>
    <row r="445" spans="1:1" x14ac:dyDescent="0.25">
      <c r="A445"/>
    </row>
    <row r="446" spans="1:1" x14ac:dyDescent="0.25">
      <c r="A446"/>
    </row>
    <row r="447" spans="1:1" x14ac:dyDescent="0.25">
      <c r="A447"/>
    </row>
    <row r="448" spans="1:1" x14ac:dyDescent="0.25">
      <c r="A448"/>
    </row>
    <row r="449" spans="1:1" x14ac:dyDescent="0.25">
      <c r="A449"/>
    </row>
    <row r="450" spans="1:1" x14ac:dyDescent="0.25">
      <c r="A450"/>
    </row>
    <row r="451" spans="1:1" x14ac:dyDescent="0.25">
      <c r="A451"/>
    </row>
    <row r="452" spans="1:1" x14ac:dyDescent="0.25">
      <c r="A452"/>
    </row>
    <row r="453" spans="1:1" x14ac:dyDescent="0.25">
      <c r="A453"/>
    </row>
    <row r="454" spans="1:1" x14ac:dyDescent="0.25">
      <c r="A454"/>
    </row>
    <row r="455" spans="1:1" x14ac:dyDescent="0.25">
      <c r="A455"/>
    </row>
    <row r="456" spans="1:1" x14ac:dyDescent="0.25">
      <c r="A456"/>
    </row>
    <row r="457" spans="1:1" x14ac:dyDescent="0.25">
      <c r="A457"/>
    </row>
    <row r="458" spans="1:1" x14ac:dyDescent="0.25">
      <c r="A458"/>
    </row>
    <row r="459" spans="1:1" x14ac:dyDescent="0.25">
      <c r="A459"/>
    </row>
    <row r="460" spans="1:1" x14ac:dyDescent="0.25">
      <c r="A460"/>
    </row>
    <row r="461" spans="1:1" x14ac:dyDescent="0.25">
      <c r="A461"/>
    </row>
    <row r="462" spans="1:1" x14ac:dyDescent="0.25">
      <c r="A462"/>
    </row>
    <row r="463" spans="1:1" x14ac:dyDescent="0.25">
      <c r="A463"/>
    </row>
    <row r="464" spans="1:1" x14ac:dyDescent="0.25">
      <c r="A464"/>
    </row>
    <row r="465" spans="1:1" x14ac:dyDescent="0.25">
      <c r="A465"/>
    </row>
    <row r="466" spans="1:1" x14ac:dyDescent="0.25">
      <c r="A466"/>
    </row>
    <row r="467" spans="1:1" x14ac:dyDescent="0.25">
      <c r="A467"/>
    </row>
    <row r="468" spans="1:1" x14ac:dyDescent="0.25">
      <c r="A468"/>
    </row>
    <row r="469" spans="1:1" x14ac:dyDescent="0.25">
      <c r="A469"/>
    </row>
    <row r="470" spans="1:1" x14ac:dyDescent="0.25">
      <c r="A470"/>
    </row>
    <row r="471" spans="1:1" x14ac:dyDescent="0.25">
      <c r="A471"/>
    </row>
    <row r="472" spans="1:1" x14ac:dyDescent="0.25">
      <c r="A472"/>
    </row>
    <row r="473" spans="1:1" x14ac:dyDescent="0.25">
      <c r="A473"/>
    </row>
    <row r="474" spans="1:1" x14ac:dyDescent="0.25">
      <c r="A474"/>
    </row>
    <row r="475" spans="1:1" x14ac:dyDescent="0.25">
      <c r="A475"/>
    </row>
    <row r="476" spans="1:1" x14ac:dyDescent="0.25">
      <c r="A476"/>
    </row>
    <row r="477" spans="1:1" x14ac:dyDescent="0.25">
      <c r="A477"/>
    </row>
    <row r="478" spans="1:1" x14ac:dyDescent="0.25">
      <c r="A478"/>
    </row>
    <row r="479" spans="1:1" x14ac:dyDescent="0.25">
      <c r="A479"/>
    </row>
    <row r="480" spans="1:1" x14ac:dyDescent="0.25">
      <c r="A480"/>
    </row>
    <row r="481" spans="1:1" x14ac:dyDescent="0.25">
      <c r="A481"/>
    </row>
    <row r="482" spans="1:1" x14ac:dyDescent="0.25">
      <c r="A482"/>
    </row>
    <row r="483" spans="1:1" x14ac:dyDescent="0.25">
      <c r="A483"/>
    </row>
    <row r="484" spans="1:1" x14ac:dyDescent="0.25">
      <c r="A484"/>
    </row>
    <row r="485" spans="1:1" x14ac:dyDescent="0.25">
      <c r="A485"/>
    </row>
    <row r="486" spans="1:1" x14ac:dyDescent="0.25">
      <c r="A486"/>
    </row>
    <row r="487" spans="1:1" x14ac:dyDescent="0.25">
      <c r="A487"/>
    </row>
    <row r="488" spans="1:1" x14ac:dyDescent="0.25">
      <c r="A488"/>
    </row>
    <row r="489" spans="1:1" x14ac:dyDescent="0.25">
      <c r="A489"/>
    </row>
    <row r="490" spans="1:1" x14ac:dyDescent="0.25">
      <c r="A490"/>
    </row>
    <row r="491" spans="1:1" x14ac:dyDescent="0.25">
      <c r="A491"/>
    </row>
    <row r="492" spans="1:1" x14ac:dyDescent="0.25">
      <c r="A492"/>
    </row>
    <row r="493" spans="1:1" x14ac:dyDescent="0.25">
      <c r="A493"/>
    </row>
    <row r="494" spans="1:1" x14ac:dyDescent="0.25">
      <c r="A494"/>
    </row>
    <row r="495" spans="1:1" x14ac:dyDescent="0.25">
      <c r="A495"/>
    </row>
    <row r="496" spans="1:1" x14ac:dyDescent="0.25">
      <c r="A496"/>
    </row>
    <row r="497" spans="1:1" x14ac:dyDescent="0.25">
      <c r="A497"/>
    </row>
    <row r="498" spans="1:1" x14ac:dyDescent="0.25">
      <c r="A498"/>
    </row>
    <row r="499" spans="1:1" x14ac:dyDescent="0.25">
      <c r="A499"/>
    </row>
    <row r="500" spans="1:1" x14ac:dyDescent="0.25">
      <c r="A500"/>
    </row>
    <row r="501" spans="1:1" x14ac:dyDescent="0.25">
      <c r="A501"/>
    </row>
    <row r="502" spans="1:1" x14ac:dyDescent="0.25">
      <c r="A502"/>
    </row>
    <row r="503" spans="1:1" x14ac:dyDescent="0.25">
      <c r="A503"/>
    </row>
    <row r="504" spans="1:1" x14ac:dyDescent="0.25">
      <c r="A504"/>
    </row>
    <row r="505" spans="1:1" x14ac:dyDescent="0.25">
      <c r="A505"/>
    </row>
    <row r="506" spans="1:1" x14ac:dyDescent="0.25">
      <c r="A506"/>
    </row>
    <row r="507" spans="1:1" x14ac:dyDescent="0.25">
      <c r="A507"/>
    </row>
    <row r="508" spans="1:1" x14ac:dyDescent="0.25">
      <c r="A508"/>
    </row>
    <row r="509" spans="1:1" x14ac:dyDescent="0.25">
      <c r="A509"/>
    </row>
    <row r="510" spans="1:1" x14ac:dyDescent="0.25">
      <c r="A510"/>
    </row>
    <row r="511" spans="1:1" x14ac:dyDescent="0.25">
      <c r="A511"/>
    </row>
    <row r="512" spans="1:1" x14ac:dyDescent="0.25">
      <c r="A512"/>
    </row>
    <row r="513" spans="1:1" x14ac:dyDescent="0.25">
      <c r="A513"/>
    </row>
    <row r="514" spans="1:1" x14ac:dyDescent="0.25">
      <c r="A514"/>
    </row>
    <row r="515" spans="1:1" x14ac:dyDescent="0.25">
      <c r="A515"/>
    </row>
    <row r="516" spans="1:1" x14ac:dyDescent="0.25">
      <c r="A516"/>
    </row>
    <row r="517" spans="1:1" x14ac:dyDescent="0.25">
      <c r="A517"/>
    </row>
    <row r="518" spans="1:1" x14ac:dyDescent="0.25">
      <c r="A518"/>
    </row>
    <row r="519" spans="1:1" x14ac:dyDescent="0.25">
      <c r="A519"/>
    </row>
    <row r="520" spans="1:1" x14ac:dyDescent="0.25">
      <c r="A520"/>
    </row>
    <row r="521" spans="1:1" x14ac:dyDescent="0.25">
      <c r="A521"/>
    </row>
    <row r="522" spans="1:1" x14ac:dyDescent="0.25">
      <c r="A522"/>
    </row>
    <row r="523" spans="1:1" x14ac:dyDescent="0.25">
      <c r="A523"/>
    </row>
    <row r="524" spans="1:1" x14ac:dyDescent="0.25">
      <c r="A524"/>
    </row>
    <row r="525" spans="1:1" x14ac:dyDescent="0.25">
      <c r="A525"/>
    </row>
    <row r="526" spans="1:1" x14ac:dyDescent="0.25">
      <c r="A526"/>
    </row>
    <row r="527" spans="1:1" x14ac:dyDescent="0.25">
      <c r="A527"/>
    </row>
    <row r="528" spans="1:1" x14ac:dyDescent="0.25">
      <c r="A528"/>
    </row>
    <row r="529" spans="1:1" x14ac:dyDescent="0.25">
      <c r="A529"/>
    </row>
    <row r="530" spans="1:1" x14ac:dyDescent="0.25">
      <c r="A530"/>
    </row>
    <row r="531" spans="1:1" x14ac:dyDescent="0.25">
      <c r="A531"/>
    </row>
    <row r="532" spans="1:1" x14ac:dyDescent="0.25">
      <c r="A532"/>
    </row>
    <row r="533" spans="1:1" x14ac:dyDescent="0.25">
      <c r="A533"/>
    </row>
    <row r="534" spans="1:1" x14ac:dyDescent="0.25">
      <c r="A534"/>
    </row>
    <row r="535" spans="1:1" x14ac:dyDescent="0.25">
      <c r="A535"/>
    </row>
    <row r="536" spans="1:1" x14ac:dyDescent="0.25">
      <c r="A536"/>
    </row>
    <row r="537" spans="1:1" x14ac:dyDescent="0.25">
      <c r="A537"/>
    </row>
    <row r="538" spans="1:1" x14ac:dyDescent="0.25">
      <c r="A538"/>
    </row>
    <row r="539" spans="1:1" x14ac:dyDescent="0.25">
      <c r="A539"/>
    </row>
    <row r="540" spans="1:1" x14ac:dyDescent="0.25">
      <c r="A540"/>
    </row>
    <row r="541" spans="1:1" x14ac:dyDescent="0.25">
      <c r="A541"/>
    </row>
    <row r="542" spans="1:1" x14ac:dyDescent="0.25">
      <c r="A542"/>
    </row>
    <row r="543" spans="1:1" x14ac:dyDescent="0.25">
      <c r="A543"/>
    </row>
    <row r="544" spans="1:1" x14ac:dyDescent="0.25">
      <c r="A544"/>
    </row>
    <row r="545" spans="1:1" x14ac:dyDescent="0.25">
      <c r="A545"/>
    </row>
    <row r="546" spans="1:1" x14ac:dyDescent="0.25">
      <c r="A546"/>
    </row>
    <row r="547" spans="1:1" x14ac:dyDescent="0.25">
      <c r="A547"/>
    </row>
    <row r="548" spans="1:1" x14ac:dyDescent="0.25">
      <c r="A548"/>
    </row>
    <row r="549" spans="1:1" x14ac:dyDescent="0.25">
      <c r="A549"/>
    </row>
    <row r="550" spans="1:1" x14ac:dyDescent="0.25">
      <c r="A550"/>
    </row>
    <row r="551" spans="1:1" x14ac:dyDescent="0.25">
      <c r="A551"/>
    </row>
    <row r="552" spans="1:1" x14ac:dyDescent="0.25">
      <c r="A552"/>
    </row>
    <row r="553" spans="1:1" x14ac:dyDescent="0.25">
      <c r="A553"/>
    </row>
    <row r="554" spans="1:1" x14ac:dyDescent="0.25">
      <c r="A554"/>
    </row>
    <row r="555" spans="1:1" x14ac:dyDescent="0.25">
      <c r="A555"/>
    </row>
    <row r="556" spans="1:1" x14ac:dyDescent="0.25">
      <c r="A556"/>
    </row>
    <row r="557" spans="1:1" x14ac:dyDescent="0.25">
      <c r="A557"/>
    </row>
    <row r="558" spans="1:1" x14ac:dyDescent="0.25">
      <c r="A558"/>
    </row>
    <row r="559" spans="1:1" x14ac:dyDescent="0.25">
      <c r="A559"/>
    </row>
    <row r="560" spans="1:1" x14ac:dyDescent="0.25">
      <c r="A560"/>
    </row>
    <row r="561" spans="1:1" x14ac:dyDescent="0.25">
      <c r="A561"/>
    </row>
    <row r="562" spans="1:1" x14ac:dyDescent="0.25">
      <c r="A562"/>
    </row>
    <row r="563" spans="1:1" x14ac:dyDescent="0.25">
      <c r="A563"/>
    </row>
    <row r="564" spans="1:1" x14ac:dyDescent="0.25">
      <c r="A564"/>
    </row>
    <row r="565" spans="1:1" x14ac:dyDescent="0.25">
      <c r="A565"/>
    </row>
    <row r="566" spans="1:1" x14ac:dyDescent="0.25">
      <c r="A566"/>
    </row>
    <row r="567" spans="1:1" x14ac:dyDescent="0.25">
      <c r="A567"/>
    </row>
    <row r="568" spans="1:1" x14ac:dyDescent="0.25">
      <c r="A568"/>
    </row>
    <row r="569" spans="1:1" x14ac:dyDescent="0.25">
      <c r="A569"/>
    </row>
    <row r="570" spans="1:1" x14ac:dyDescent="0.25">
      <c r="A570"/>
    </row>
    <row r="571" spans="1:1" x14ac:dyDescent="0.25">
      <c r="A571"/>
    </row>
    <row r="572" spans="1:1" x14ac:dyDescent="0.25">
      <c r="A572"/>
    </row>
    <row r="573" spans="1:1" x14ac:dyDescent="0.25">
      <c r="A573"/>
    </row>
    <row r="574" spans="1:1" x14ac:dyDescent="0.25">
      <c r="A574"/>
    </row>
    <row r="575" spans="1:1" x14ac:dyDescent="0.25">
      <c r="A575"/>
    </row>
    <row r="576" spans="1:1" x14ac:dyDescent="0.25">
      <c r="A576"/>
    </row>
    <row r="577" spans="1:1" x14ac:dyDescent="0.25">
      <c r="A577"/>
    </row>
    <row r="578" spans="1:1" x14ac:dyDescent="0.25">
      <c r="A578"/>
    </row>
    <row r="579" spans="1:1" x14ac:dyDescent="0.25">
      <c r="A579"/>
    </row>
    <row r="580" spans="1:1" x14ac:dyDescent="0.25">
      <c r="A580"/>
    </row>
    <row r="581" spans="1:1" x14ac:dyDescent="0.25">
      <c r="A581"/>
    </row>
    <row r="582" spans="1:1" x14ac:dyDescent="0.25">
      <c r="A582"/>
    </row>
    <row r="583" spans="1:1" x14ac:dyDescent="0.25">
      <c r="A583"/>
    </row>
    <row r="584" spans="1:1" x14ac:dyDescent="0.25">
      <c r="A584"/>
    </row>
    <row r="585" spans="1:1" x14ac:dyDescent="0.25">
      <c r="A585"/>
    </row>
    <row r="586" spans="1:1" x14ac:dyDescent="0.25">
      <c r="A586"/>
    </row>
    <row r="587" spans="1:1" x14ac:dyDescent="0.25">
      <c r="A587"/>
    </row>
    <row r="588" spans="1:1" x14ac:dyDescent="0.25">
      <c r="A588"/>
    </row>
    <row r="589" spans="1:1" x14ac:dyDescent="0.25">
      <c r="A589"/>
    </row>
    <row r="590" spans="1:1" x14ac:dyDescent="0.25">
      <c r="A590"/>
    </row>
    <row r="591" spans="1:1" x14ac:dyDescent="0.25">
      <c r="A591"/>
    </row>
    <row r="592" spans="1:1" x14ac:dyDescent="0.25">
      <c r="A592"/>
    </row>
    <row r="593" spans="1:1" x14ac:dyDescent="0.25">
      <c r="A593"/>
    </row>
    <row r="594" spans="1:1" x14ac:dyDescent="0.25">
      <c r="A594"/>
    </row>
    <row r="595" spans="1:1" x14ac:dyDescent="0.25">
      <c r="A595"/>
    </row>
    <row r="596" spans="1:1" x14ac:dyDescent="0.25">
      <c r="A596"/>
    </row>
    <row r="597" spans="1:1" x14ac:dyDescent="0.25">
      <c r="A597"/>
    </row>
    <row r="598" spans="1:1" x14ac:dyDescent="0.25">
      <c r="A598"/>
    </row>
    <row r="599" spans="1:1" x14ac:dyDescent="0.25">
      <c r="A599"/>
    </row>
    <row r="600" spans="1:1" x14ac:dyDescent="0.25">
      <c r="A600"/>
    </row>
    <row r="601" spans="1:1" x14ac:dyDescent="0.25">
      <c r="A601"/>
    </row>
    <row r="602" spans="1:1" x14ac:dyDescent="0.25">
      <c r="A602"/>
    </row>
    <row r="603" spans="1:1" x14ac:dyDescent="0.25">
      <c r="A603"/>
    </row>
    <row r="604" spans="1:1" x14ac:dyDescent="0.25">
      <c r="A604"/>
    </row>
    <row r="605" spans="1:1" x14ac:dyDescent="0.25">
      <c r="A605"/>
    </row>
    <row r="606" spans="1:1" x14ac:dyDescent="0.25">
      <c r="A606"/>
    </row>
    <row r="607" spans="1:1" x14ac:dyDescent="0.25">
      <c r="A607"/>
    </row>
    <row r="608" spans="1:1" x14ac:dyDescent="0.25">
      <c r="A608"/>
    </row>
    <row r="609" spans="1:1" x14ac:dyDescent="0.25">
      <c r="A609"/>
    </row>
    <row r="610" spans="1:1" x14ac:dyDescent="0.25">
      <c r="A610"/>
    </row>
    <row r="611" spans="1:1" x14ac:dyDescent="0.25">
      <c r="A611"/>
    </row>
    <row r="612" spans="1:1" x14ac:dyDescent="0.25">
      <c r="A612"/>
    </row>
    <row r="613" spans="1:1" x14ac:dyDescent="0.25">
      <c r="A613"/>
    </row>
    <row r="614" spans="1:1" x14ac:dyDescent="0.25">
      <c r="A614"/>
    </row>
    <row r="615" spans="1:1" x14ac:dyDescent="0.25">
      <c r="A615"/>
    </row>
    <row r="616" spans="1:1" x14ac:dyDescent="0.25">
      <c r="A616"/>
    </row>
    <row r="617" spans="1:1" x14ac:dyDescent="0.25">
      <c r="A617"/>
    </row>
    <row r="618" spans="1:1" x14ac:dyDescent="0.25">
      <c r="A618"/>
    </row>
    <row r="619" spans="1:1" x14ac:dyDescent="0.25">
      <c r="A619"/>
    </row>
    <row r="620" spans="1:1" x14ac:dyDescent="0.25">
      <c r="A620"/>
    </row>
    <row r="621" spans="1:1" x14ac:dyDescent="0.25">
      <c r="A621"/>
    </row>
    <row r="622" spans="1:1" x14ac:dyDescent="0.25">
      <c r="A622"/>
    </row>
    <row r="623" spans="1:1" x14ac:dyDescent="0.25">
      <c r="A623"/>
    </row>
    <row r="624" spans="1:1" x14ac:dyDescent="0.25">
      <c r="A624"/>
    </row>
    <row r="625" spans="1:1" x14ac:dyDescent="0.25">
      <c r="A625"/>
    </row>
    <row r="626" spans="1:1" x14ac:dyDescent="0.25">
      <c r="A626"/>
    </row>
    <row r="627" spans="1:1" x14ac:dyDescent="0.25">
      <c r="A627"/>
    </row>
    <row r="628" spans="1:1" x14ac:dyDescent="0.25">
      <c r="A628"/>
    </row>
    <row r="629" spans="1:1" x14ac:dyDescent="0.25">
      <c r="A629"/>
    </row>
    <row r="630" spans="1:1" x14ac:dyDescent="0.25">
      <c r="A630"/>
    </row>
    <row r="631" spans="1:1" x14ac:dyDescent="0.25">
      <c r="A631"/>
    </row>
    <row r="632" spans="1:1" x14ac:dyDescent="0.25">
      <c r="A632"/>
    </row>
    <row r="633" spans="1:1" x14ac:dyDescent="0.25">
      <c r="A633"/>
    </row>
    <row r="634" spans="1:1" x14ac:dyDescent="0.25">
      <c r="A634"/>
    </row>
    <row r="635" spans="1:1" x14ac:dyDescent="0.25">
      <c r="A635"/>
    </row>
    <row r="636" spans="1:1" x14ac:dyDescent="0.25">
      <c r="A636"/>
    </row>
    <row r="637" spans="1:1" x14ac:dyDescent="0.25">
      <c r="A637"/>
    </row>
    <row r="638" spans="1:1" x14ac:dyDescent="0.25">
      <c r="A638"/>
    </row>
    <row r="639" spans="1:1" x14ac:dyDescent="0.25">
      <c r="A639"/>
    </row>
    <row r="640" spans="1:1" x14ac:dyDescent="0.25">
      <c r="A640"/>
    </row>
    <row r="641" spans="1:1" x14ac:dyDescent="0.25">
      <c r="A641"/>
    </row>
    <row r="642" spans="1:1" x14ac:dyDescent="0.25">
      <c r="A642"/>
    </row>
    <row r="643" spans="1:1" x14ac:dyDescent="0.25">
      <c r="A643"/>
    </row>
    <row r="644" spans="1:1" x14ac:dyDescent="0.25">
      <c r="A644"/>
    </row>
    <row r="645" spans="1:1" x14ac:dyDescent="0.25">
      <c r="A645"/>
    </row>
    <row r="646" spans="1:1" x14ac:dyDescent="0.25">
      <c r="A646"/>
    </row>
    <row r="647" spans="1:1" x14ac:dyDescent="0.25">
      <c r="A647"/>
    </row>
    <row r="648" spans="1:1" x14ac:dyDescent="0.25">
      <c r="A648"/>
    </row>
    <row r="649" spans="1:1" x14ac:dyDescent="0.25">
      <c r="A649"/>
    </row>
    <row r="650" spans="1:1" x14ac:dyDescent="0.25">
      <c r="A650"/>
    </row>
    <row r="651" spans="1:1" x14ac:dyDescent="0.25">
      <c r="A651"/>
    </row>
    <row r="652" spans="1:1" x14ac:dyDescent="0.25">
      <c r="A652"/>
    </row>
    <row r="653" spans="1:1" x14ac:dyDescent="0.25">
      <c r="A653"/>
    </row>
    <row r="654" spans="1:1" x14ac:dyDescent="0.25">
      <c r="A654"/>
    </row>
    <row r="655" spans="1:1" x14ac:dyDescent="0.25">
      <c r="A655"/>
    </row>
    <row r="656" spans="1:1" x14ac:dyDescent="0.25">
      <c r="A656"/>
    </row>
    <row r="657" spans="1:1" x14ac:dyDescent="0.25">
      <c r="A657"/>
    </row>
    <row r="658" spans="1:1" x14ac:dyDescent="0.25">
      <c r="A658"/>
    </row>
    <row r="659" spans="1:1" x14ac:dyDescent="0.25">
      <c r="A659"/>
    </row>
    <row r="660" spans="1:1" x14ac:dyDescent="0.25">
      <c r="A660"/>
    </row>
    <row r="661" spans="1:1" x14ac:dyDescent="0.25">
      <c r="A661"/>
    </row>
    <row r="662" spans="1:1" x14ac:dyDescent="0.25">
      <c r="A662"/>
    </row>
    <row r="663" spans="1:1" x14ac:dyDescent="0.25">
      <c r="A663"/>
    </row>
    <row r="664" spans="1:1" x14ac:dyDescent="0.25">
      <c r="A664"/>
    </row>
    <row r="665" spans="1:1" x14ac:dyDescent="0.25">
      <c r="A665"/>
    </row>
    <row r="666" spans="1:1" x14ac:dyDescent="0.25">
      <c r="A666"/>
    </row>
    <row r="667" spans="1:1" x14ac:dyDescent="0.25">
      <c r="A667"/>
    </row>
    <row r="668" spans="1:1" x14ac:dyDescent="0.25">
      <c r="A668"/>
    </row>
    <row r="669" spans="1:1" x14ac:dyDescent="0.25">
      <c r="A669"/>
    </row>
    <row r="670" spans="1:1" x14ac:dyDescent="0.25">
      <c r="A670"/>
    </row>
    <row r="671" spans="1:1" x14ac:dyDescent="0.25">
      <c r="A671"/>
    </row>
    <row r="672" spans="1:1" x14ac:dyDescent="0.25">
      <c r="A672"/>
    </row>
    <row r="673" spans="1:1" x14ac:dyDescent="0.25">
      <c r="A673"/>
    </row>
    <row r="674" spans="1:1" x14ac:dyDescent="0.25">
      <c r="A674"/>
    </row>
    <row r="675" spans="1:1" x14ac:dyDescent="0.25">
      <c r="A675"/>
    </row>
    <row r="676" spans="1:1" x14ac:dyDescent="0.25">
      <c r="A676"/>
    </row>
    <row r="677" spans="1:1" x14ac:dyDescent="0.25">
      <c r="A677"/>
    </row>
    <row r="678" spans="1:1" x14ac:dyDescent="0.25">
      <c r="A678"/>
    </row>
    <row r="679" spans="1:1" x14ac:dyDescent="0.25">
      <c r="A679"/>
    </row>
    <row r="680" spans="1:1" x14ac:dyDescent="0.25">
      <c r="A680"/>
    </row>
    <row r="681" spans="1:1" x14ac:dyDescent="0.25">
      <c r="A681"/>
    </row>
    <row r="682" spans="1:1" x14ac:dyDescent="0.25">
      <c r="A682"/>
    </row>
    <row r="683" spans="1:1" x14ac:dyDescent="0.25">
      <c r="A683"/>
    </row>
    <row r="684" spans="1:1" x14ac:dyDescent="0.25">
      <c r="A684"/>
    </row>
    <row r="685" spans="1:1" x14ac:dyDescent="0.25">
      <c r="A685"/>
    </row>
    <row r="686" spans="1:1" x14ac:dyDescent="0.25">
      <c r="A686"/>
    </row>
    <row r="687" spans="1:1" x14ac:dyDescent="0.25">
      <c r="A687"/>
    </row>
    <row r="688" spans="1:1" x14ac:dyDescent="0.25">
      <c r="A688"/>
    </row>
    <row r="689" spans="1:1" x14ac:dyDescent="0.25">
      <c r="A689"/>
    </row>
    <row r="690" spans="1:1" x14ac:dyDescent="0.25">
      <c r="A690"/>
    </row>
    <row r="691" spans="1:1" x14ac:dyDescent="0.25">
      <c r="A691"/>
    </row>
    <row r="692" spans="1:1" x14ac:dyDescent="0.25">
      <c r="A692"/>
    </row>
    <row r="693" spans="1:1" x14ac:dyDescent="0.25">
      <c r="A693"/>
    </row>
    <row r="694" spans="1:1" x14ac:dyDescent="0.25">
      <c r="A694"/>
    </row>
    <row r="695" spans="1:1" x14ac:dyDescent="0.25">
      <c r="A695"/>
    </row>
    <row r="696" spans="1:1" x14ac:dyDescent="0.25">
      <c r="A696"/>
    </row>
    <row r="697" spans="1:1" x14ac:dyDescent="0.25">
      <c r="A697"/>
    </row>
    <row r="698" spans="1:1" x14ac:dyDescent="0.25">
      <c r="A698"/>
    </row>
    <row r="699" spans="1:1" x14ac:dyDescent="0.25">
      <c r="A699"/>
    </row>
    <row r="700" spans="1:1" x14ac:dyDescent="0.25">
      <c r="A700"/>
    </row>
    <row r="701" spans="1:1" x14ac:dyDescent="0.25">
      <c r="A701"/>
    </row>
    <row r="702" spans="1:1" x14ac:dyDescent="0.25">
      <c r="A702"/>
    </row>
    <row r="703" spans="1:1" x14ac:dyDescent="0.25">
      <c r="A703"/>
    </row>
    <row r="704" spans="1:1" x14ac:dyDescent="0.25">
      <c r="A704"/>
    </row>
    <row r="705" spans="1:1" x14ac:dyDescent="0.25">
      <c r="A705"/>
    </row>
    <row r="706" spans="1:1" x14ac:dyDescent="0.25">
      <c r="A706"/>
    </row>
    <row r="707" spans="1:1" x14ac:dyDescent="0.25">
      <c r="A707"/>
    </row>
    <row r="708" spans="1:1" x14ac:dyDescent="0.25">
      <c r="A708"/>
    </row>
    <row r="709" spans="1:1" x14ac:dyDescent="0.25">
      <c r="A709"/>
    </row>
    <row r="710" spans="1:1" x14ac:dyDescent="0.25">
      <c r="A710"/>
    </row>
    <row r="711" spans="1:1" x14ac:dyDescent="0.25">
      <c r="A711"/>
    </row>
    <row r="712" spans="1:1" x14ac:dyDescent="0.25">
      <c r="A712"/>
    </row>
    <row r="713" spans="1:1" x14ac:dyDescent="0.25">
      <c r="A713"/>
    </row>
    <row r="714" spans="1:1" x14ac:dyDescent="0.25">
      <c r="A714"/>
    </row>
    <row r="715" spans="1:1" x14ac:dyDescent="0.25">
      <c r="A715"/>
    </row>
    <row r="716" spans="1:1" x14ac:dyDescent="0.25">
      <c r="A716"/>
    </row>
    <row r="717" spans="1:1" x14ac:dyDescent="0.25">
      <c r="A717"/>
    </row>
    <row r="718" spans="1:1" x14ac:dyDescent="0.25">
      <c r="A718"/>
    </row>
    <row r="719" spans="1:1" x14ac:dyDescent="0.25">
      <c r="A719"/>
    </row>
    <row r="720" spans="1:1" x14ac:dyDescent="0.25">
      <c r="A720"/>
    </row>
    <row r="721" spans="1:1" x14ac:dyDescent="0.25">
      <c r="A721"/>
    </row>
    <row r="722" spans="1:1" x14ac:dyDescent="0.25">
      <c r="A722"/>
    </row>
    <row r="723" spans="1:1" x14ac:dyDescent="0.25">
      <c r="A723"/>
    </row>
    <row r="724" spans="1:1" x14ac:dyDescent="0.25">
      <c r="A724"/>
    </row>
    <row r="725" spans="1:1" x14ac:dyDescent="0.25">
      <c r="A725"/>
    </row>
    <row r="726" spans="1:1" x14ac:dyDescent="0.25">
      <c r="A726"/>
    </row>
    <row r="727" spans="1:1" x14ac:dyDescent="0.25">
      <c r="A727"/>
    </row>
    <row r="728" spans="1:1" x14ac:dyDescent="0.25">
      <c r="A728"/>
    </row>
    <row r="729" spans="1:1" x14ac:dyDescent="0.25">
      <c r="A729"/>
    </row>
    <row r="730" spans="1:1" x14ac:dyDescent="0.25">
      <c r="A730"/>
    </row>
    <row r="731" spans="1:1" x14ac:dyDescent="0.25">
      <c r="A731"/>
    </row>
    <row r="732" spans="1:1" x14ac:dyDescent="0.25">
      <c r="A732"/>
    </row>
    <row r="733" spans="1:1" x14ac:dyDescent="0.25">
      <c r="A733"/>
    </row>
    <row r="734" spans="1:1" x14ac:dyDescent="0.25">
      <c r="A734"/>
    </row>
    <row r="735" spans="1:1" x14ac:dyDescent="0.25">
      <c r="A735"/>
    </row>
    <row r="736" spans="1:1" x14ac:dyDescent="0.25">
      <c r="A736"/>
    </row>
    <row r="737" spans="1:1" x14ac:dyDescent="0.25">
      <c r="A737"/>
    </row>
    <row r="738" spans="1:1" x14ac:dyDescent="0.25">
      <c r="A738"/>
    </row>
    <row r="739" spans="1:1" x14ac:dyDescent="0.25">
      <c r="A739"/>
    </row>
    <row r="740" spans="1:1" x14ac:dyDescent="0.25">
      <c r="A740"/>
    </row>
    <row r="741" spans="1:1" x14ac:dyDescent="0.25">
      <c r="A741"/>
    </row>
    <row r="742" spans="1:1" x14ac:dyDescent="0.25">
      <c r="A742"/>
    </row>
    <row r="743" spans="1:1" x14ac:dyDescent="0.25">
      <c r="A743"/>
    </row>
    <row r="744" spans="1:1" x14ac:dyDescent="0.25">
      <c r="A744"/>
    </row>
    <row r="745" spans="1:1" x14ac:dyDescent="0.25">
      <c r="A745"/>
    </row>
    <row r="746" spans="1:1" x14ac:dyDescent="0.25">
      <c r="A746"/>
    </row>
    <row r="747" spans="1:1" x14ac:dyDescent="0.25">
      <c r="A747"/>
    </row>
    <row r="748" spans="1:1" x14ac:dyDescent="0.25">
      <c r="A748"/>
    </row>
    <row r="749" spans="1:1" x14ac:dyDescent="0.25">
      <c r="A749"/>
    </row>
    <row r="750" spans="1:1" x14ac:dyDescent="0.25">
      <c r="A750"/>
    </row>
    <row r="751" spans="1:1" x14ac:dyDescent="0.25">
      <c r="A751"/>
    </row>
    <row r="752" spans="1:1" x14ac:dyDescent="0.25">
      <c r="A752"/>
    </row>
    <row r="753" spans="1:1" x14ac:dyDescent="0.25">
      <c r="A753"/>
    </row>
    <row r="754" spans="1:1" x14ac:dyDescent="0.25">
      <c r="A754"/>
    </row>
    <row r="755" spans="1:1" x14ac:dyDescent="0.25">
      <c r="A755"/>
    </row>
    <row r="756" spans="1:1" x14ac:dyDescent="0.25">
      <c r="A756"/>
    </row>
    <row r="757" spans="1:1" x14ac:dyDescent="0.25">
      <c r="A757"/>
    </row>
    <row r="758" spans="1:1" x14ac:dyDescent="0.25">
      <c r="A758"/>
    </row>
    <row r="759" spans="1:1" x14ac:dyDescent="0.25">
      <c r="A759"/>
    </row>
    <row r="760" spans="1:1" x14ac:dyDescent="0.25">
      <c r="A760"/>
    </row>
    <row r="761" spans="1:1" x14ac:dyDescent="0.25">
      <c r="A761"/>
    </row>
    <row r="762" spans="1:1" x14ac:dyDescent="0.25">
      <c r="A762"/>
    </row>
    <row r="763" spans="1:1" x14ac:dyDescent="0.25">
      <c r="A763"/>
    </row>
    <row r="764" spans="1:1" x14ac:dyDescent="0.25">
      <c r="A764"/>
    </row>
    <row r="765" spans="1:1" x14ac:dyDescent="0.25">
      <c r="A765"/>
    </row>
    <row r="766" spans="1:1" x14ac:dyDescent="0.25">
      <c r="A766"/>
    </row>
    <row r="767" spans="1:1" x14ac:dyDescent="0.25">
      <c r="A767"/>
    </row>
    <row r="768" spans="1:1" x14ac:dyDescent="0.25">
      <c r="A768"/>
    </row>
    <row r="769" spans="1:1" x14ac:dyDescent="0.25">
      <c r="A769"/>
    </row>
    <row r="770" spans="1:1" x14ac:dyDescent="0.25">
      <c r="A770"/>
    </row>
    <row r="771" spans="1:1" x14ac:dyDescent="0.25">
      <c r="A771"/>
    </row>
    <row r="772" spans="1:1" x14ac:dyDescent="0.25">
      <c r="A772"/>
    </row>
    <row r="773" spans="1:1" x14ac:dyDescent="0.25">
      <c r="A773"/>
    </row>
    <row r="774" spans="1:1" x14ac:dyDescent="0.25">
      <c r="A774"/>
    </row>
    <row r="775" spans="1:1" x14ac:dyDescent="0.25">
      <c r="A775"/>
    </row>
    <row r="776" spans="1:1" x14ac:dyDescent="0.25">
      <c r="A776"/>
    </row>
    <row r="777" spans="1:1" x14ac:dyDescent="0.25">
      <c r="A777"/>
    </row>
    <row r="778" spans="1:1" x14ac:dyDescent="0.25">
      <c r="A778"/>
    </row>
    <row r="779" spans="1:1" x14ac:dyDescent="0.25">
      <c r="A779"/>
    </row>
    <row r="780" spans="1:1" x14ac:dyDescent="0.25">
      <c r="A780"/>
    </row>
    <row r="781" spans="1:1" x14ac:dyDescent="0.25">
      <c r="A781"/>
    </row>
    <row r="782" spans="1:1" x14ac:dyDescent="0.25">
      <c r="A782"/>
    </row>
    <row r="783" spans="1:1" x14ac:dyDescent="0.25">
      <c r="A783"/>
    </row>
    <row r="784" spans="1:1" x14ac:dyDescent="0.25">
      <c r="A784"/>
    </row>
    <row r="785" spans="1:1" x14ac:dyDescent="0.25">
      <c r="A785"/>
    </row>
    <row r="786" spans="1:1" x14ac:dyDescent="0.25">
      <c r="A786"/>
    </row>
    <row r="787" spans="1:1" x14ac:dyDescent="0.25">
      <c r="A787"/>
    </row>
    <row r="788" spans="1:1" x14ac:dyDescent="0.25">
      <c r="A788"/>
    </row>
    <row r="789" spans="1:1" x14ac:dyDescent="0.25">
      <c r="A789"/>
    </row>
    <row r="790" spans="1:1" x14ac:dyDescent="0.25">
      <c r="A790"/>
    </row>
    <row r="791" spans="1:1" x14ac:dyDescent="0.25">
      <c r="A791"/>
    </row>
    <row r="792" spans="1:1" x14ac:dyDescent="0.25">
      <c r="A792"/>
    </row>
    <row r="793" spans="1:1" x14ac:dyDescent="0.25">
      <c r="A793"/>
    </row>
    <row r="794" spans="1:1" x14ac:dyDescent="0.25">
      <c r="A794"/>
    </row>
    <row r="795" spans="1:1" x14ac:dyDescent="0.25">
      <c r="A795"/>
    </row>
    <row r="796" spans="1:1" x14ac:dyDescent="0.25">
      <c r="A796"/>
    </row>
    <row r="797" spans="1:1" x14ac:dyDescent="0.25">
      <c r="A797"/>
    </row>
    <row r="798" spans="1:1" x14ac:dyDescent="0.25">
      <c r="A798"/>
    </row>
    <row r="799" spans="1:1" x14ac:dyDescent="0.25">
      <c r="A799"/>
    </row>
    <row r="800" spans="1:1" x14ac:dyDescent="0.25">
      <c r="A800"/>
    </row>
    <row r="801" spans="1:1" x14ac:dyDescent="0.25">
      <c r="A801"/>
    </row>
    <row r="802" spans="1:1" x14ac:dyDescent="0.25">
      <c r="A802"/>
    </row>
    <row r="803" spans="1:1" x14ac:dyDescent="0.25">
      <c r="A803"/>
    </row>
    <row r="804" spans="1:1" x14ac:dyDescent="0.25">
      <c r="A804"/>
    </row>
    <row r="805" spans="1:1" x14ac:dyDescent="0.25">
      <c r="A805"/>
    </row>
    <row r="806" spans="1:1" x14ac:dyDescent="0.25">
      <c r="A806"/>
    </row>
    <row r="807" spans="1:1" x14ac:dyDescent="0.25">
      <c r="A807"/>
    </row>
    <row r="808" spans="1:1" x14ac:dyDescent="0.25">
      <c r="A808"/>
    </row>
    <row r="809" spans="1:1" x14ac:dyDescent="0.25">
      <c r="A809"/>
    </row>
    <row r="810" spans="1:1" x14ac:dyDescent="0.25">
      <c r="A810"/>
    </row>
    <row r="811" spans="1:1" x14ac:dyDescent="0.25">
      <c r="A811"/>
    </row>
    <row r="812" spans="1:1" x14ac:dyDescent="0.25">
      <c r="A812"/>
    </row>
    <row r="813" spans="1:1" x14ac:dyDescent="0.25">
      <c r="A813"/>
    </row>
    <row r="814" spans="1:1" x14ac:dyDescent="0.25">
      <c r="A814"/>
    </row>
    <row r="815" spans="1:1" x14ac:dyDescent="0.25">
      <c r="A815"/>
    </row>
    <row r="816" spans="1:1" x14ac:dyDescent="0.25">
      <c r="A816"/>
    </row>
    <row r="817" spans="1:1" x14ac:dyDescent="0.25">
      <c r="A817"/>
    </row>
    <row r="818" spans="1:1" x14ac:dyDescent="0.25">
      <c r="A818"/>
    </row>
    <row r="819" spans="1:1" x14ac:dyDescent="0.25">
      <c r="A819"/>
    </row>
    <row r="820" spans="1:1" x14ac:dyDescent="0.25">
      <c r="A820"/>
    </row>
    <row r="821" spans="1:1" x14ac:dyDescent="0.25">
      <c r="A821"/>
    </row>
    <row r="822" spans="1:1" x14ac:dyDescent="0.25">
      <c r="A822"/>
    </row>
    <row r="823" spans="1:1" x14ac:dyDescent="0.25">
      <c r="A823"/>
    </row>
    <row r="824" spans="1:1" x14ac:dyDescent="0.25">
      <c r="A824"/>
    </row>
    <row r="825" spans="1:1" x14ac:dyDescent="0.25">
      <c r="A825"/>
    </row>
    <row r="826" spans="1:1" x14ac:dyDescent="0.25">
      <c r="A826"/>
    </row>
    <row r="827" spans="1:1" x14ac:dyDescent="0.25">
      <c r="A827"/>
    </row>
    <row r="828" spans="1:1" x14ac:dyDescent="0.25">
      <c r="A828"/>
    </row>
    <row r="829" spans="1:1" x14ac:dyDescent="0.25">
      <c r="A829"/>
    </row>
    <row r="830" spans="1:1" x14ac:dyDescent="0.25">
      <c r="A830"/>
    </row>
    <row r="831" spans="1:1" x14ac:dyDescent="0.25">
      <c r="A831"/>
    </row>
    <row r="832" spans="1:1" x14ac:dyDescent="0.25">
      <c r="A832"/>
    </row>
    <row r="833" spans="1:1" x14ac:dyDescent="0.25">
      <c r="A833"/>
    </row>
    <row r="834" spans="1:1" x14ac:dyDescent="0.25">
      <c r="A834"/>
    </row>
    <row r="835" spans="1:1" x14ac:dyDescent="0.25">
      <c r="A835"/>
    </row>
    <row r="836" spans="1:1" x14ac:dyDescent="0.25">
      <c r="A836"/>
    </row>
    <row r="837" spans="1:1" x14ac:dyDescent="0.25">
      <c r="A837"/>
    </row>
    <row r="838" spans="1:1" x14ac:dyDescent="0.25">
      <c r="A838"/>
    </row>
    <row r="839" spans="1:1" x14ac:dyDescent="0.25">
      <c r="A839"/>
    </row>
    <row r="840" spans="1:1" x14ac:dyDescent="0.25">
      <c r="A840"/>
    </row>
    <row r="841" spans="1:1" x14ac:dyDescent="0.25">
      <c r="A841"/>
    </row>
    <row r="842" spans="1:1" x14ac:dyDescent="0.25">
      <c r="A842"/>
    </row>
    <row r="843" spans="1:1" x14ac:dyDescent="0.25">
      <c r="A843"/>
    </row>
    <row r="844" spans="1:1" x14ac:dyDescent="0.25">
      <c r="A844"/>
    </row>
    <row r="845" spans="1:1" x14ac:dyDescent="0.25">
      <c r="A845"/>
    </row>
    <row r="846" spans="1:1" x14ac:dyDescent="0.25">
      <c r="A846"/>
    </row>
    <row r="847" spans="1:1" x14ac:dyDescent="0.25">
      <c r="A847"/>
    </row>
    <row r="848" spans="1:1" x14ac:dyDescent="0.25">
      <c r="A848"/>
    </row>
    <row r="849" spans="1:1" x14ac:dyDescent="0.25">
      <c r="A849"/>
    </row>
    <row r="850" spans="1:1" x14ac:dyDescent="0.25">
      <c r="A850"/>
    </row>
    <row r="851" spans="1:1" x14ac:dyDescent="0.25">
      <c r="A851"/>
    </row>
    <row r="852" spans="1:1" x14ac:dyDescent="0.25">
      <c r="A852"/>
    </row>
    <row r="853" spans="1:1" x14ac:dyDescent="0.25">
      <c r="A853"/>
    </row>
    <row r="854" spans="1:1" x14ac:dyDescent="0.25">
      <c r="A854"/>
    </row>
    <row r="855" spans="1:1" x14ac:dyDescent="0.25">
      <c r="A855"/>
    </row>
    <row r="856" spans="1:1" x14ac:dyDescent="0.25">
      <c r="A856"/>
    </row>
    <row r="857" spans="1:1" x14ac:dyDescent="0.25">
      <c r="A857"/>
    </row>
    <row r="858" spans="1:1" x14ac:dyDescent="0.25">
      <c r="A858"/>
    </row>
    <row r="859" spans="1:1" x14ac:dyDescent="0.25">
      <c r="A859"/>
    </row>
    <row r="860" spans="1:1" x14ac:dyDescent="0.25">
      <c r="A860"/>
    </row>
    <row r="861" spans="1:1" x14ac:dyDescent="0.25">
      <c r="A861"/>
    </row>
    <row r="862" spans="1:1" x14ac:dyDescent="0.25">
      <c r="A862"/>
    </row>
    <row r="863" spans="1:1" x14ac:dyDescent="0.25">
      <c r="A863"/>
    </row>
    <row r="864" spans="1:1" x14ac:dyDescent="0.25">
      <c r="A864"/>
    </row>
    <row r="865" spans="1:1" x14ac:dyDescent="0.25">
      <c r="A865"/>
    </row>
    <row r="866" spans="1:1" x14ac:dyDescent="0.25">
      <c r="A866"/>
    </row>
    <row r="867" spans="1:1" x14ac:dyDescent="0.25">
      <c r="A867"/>
    </row>
    <row r="868" spans="1:1" x14ac:dyDescent="0.25">
      <c r="A868"/>
    </row>
    <row r="869" spans="1:1" x14ac:dyDescent="0.25">
      <c r="A869"/>
    </row>
    <row r="870" spans="1:1" x14ac:dyDescent="0.25">
      <c r="A870"/>
    </row>
    <row r="871" spans="1:1" x14ac:dyDescent="0.25">
      <c r="A871"/>
    </row>
    <row r="872" spans="1:1" x14ac:dyDescent="0.25">
      <c r="A872"/>
    </row>
    <row r="873" spans="1:1" x14ac:dyDescent="0.25">
      <c r="A873"/>
    </row>
    <row r="874" spans="1:1" x14ac:dyDescent="0.25">
      <c r="A874"/>
    </row>
    <row r="875" spans="1:1" x14ac:dyDescent="0.25">
      <c r="A875"/>
    </row>
    <row r="876" spans="1:1" x14ac:dyDescent="0.25">
      <c r="A876"/>
    </row>
    <row r="877" spans="1:1" x14ac:dyDescent="0.25">
      <c r="A877"/>
    </row>
    <row r="878" spans="1:1" x14ac:dyDescent="0.25">
      <c r="A878"/>
    </row>
    <row r="879" spans="1:1" x14ac:dyDescent="0.25">
      <c r="A879"/>
    </row>
    <row r="880" spans="1:1" x14ac:dyDescent="0.25">
      <c r="A880"/>
    </row>
    <row r="881" spans="1:1" x14ac:dyDescent="0.25">
      <c r="A881"/>
    </row>
    <row r="882" spans="1:1" x14ac:dyDescent="0.25">
      <c r="A882"/>
    </row>
    <row r="883" spans="1:1" x14ac:dyDescent="0.25">
      <c r="A883"/>
    </row>
    <row r="884" spans="1:1" x14ac:dyDescent="0.25">
      <c r="A884"/>
    </row>
    <row r="885" spans="1:1" x14ac:dyDescent="0.25">
      <c r="A885"/>
    </row>
    <row r="886" spans="1:1" x14ac:dyDescent="0.25">
      <c r="A886"/>
    </row>
    <row r="887" spans="1:1" x14ac:dyDescent="0.25">
      <c r="A887"/>
    </row>
    <row r="888" spans="1:1" x14ac:dyDescent="0.25">
      <c r="A888"/>
    </row>
    <row r="889" spans="1:1" x14ac:dyDescent="0.25">
      <c r="A889"/>
    </row>
    <row r="890" spans="1:1" x14ac:dyDescent="0.25">
      <c r="A890"/>
    </row>
    <row r="891" spans="1:1" x14ac:dyDescent="0.25">
      <c r="A891"/>
    </row>
    <row r="892" spans="1:1" x14ac:dyDescent="0.25">
      <c r="A892"/>
    </row>
    <row r="893" spans="1:1" x14ac:dyDescent="0.25">
      <c r="A893"/>
    </row>
    <row r="894" spans="1:1" x14ac:dyDescent="0.25">
      <c r="A894"/>
    </row>
    <row r="895" spans="1:1" x14ac:dyDescent="0.25">
      <c r="A895"/>
    </row>
    <row r="896" spans="1:1" x14ac:dyDescent="0.25">
      <c r="A896"/>
    </row>
    <row r="897" spans="1:1" x14ac:dyDescent="0.25">
      <c r="A897"/>
    </row>
    <row r="898" spans="1:1" x14ac:dyDescent="0.25">
      <c r="A898"/>
    </row>
    <row r="899" spans="1:1" x14ac:dyDescent="0.25">
      <c r="A899"/>
    </row>
    <row r="900" spans="1:1" x14ac:dyDescent="0.25">
      <c r="A900"/>
    </row>
    <row r="901" spans="1:1" x14ac:dyDescent="0.25">
      <c r="A901"/>
    </row>
    <row r="902" spans="1:1" x14ac:dyDescent="0.25">
      <c r="A902"/>
    </row>
    <row r="903" spans="1:1" x14ac:dyDescent="0.25">
      <c r="A903"/>
    </row>
    <row r="904" spans="1:1" x14ac:dyDescent="0.25">
      <c r="A904"/>
    </row>
    <row r="905" spans="1:1" x14ac:dyDescent="0.25">
      <c r="A905"/>
    </row>
    <row r="906" spans="1:1" x14ac:dyDescent="0.25">
      <c r="A906"/>
    </row>
    <row r="907" spans="1:1" x14ac:dyDescent="0.25">
      <c r="A907"/>
    </row>
    <row r="908" spans="1:1" x14ac:dyDescent="0.25">
      <c r="A908"/>
    </row>
    <row r="909" spans="1:1" x14ac:dyDescent="0.25">
      <c r="A909"/>
    </row>
    <row r="910" spans="1:1" x14ac:dyDescent="0.25">
      <c r="A910"/>
    </row>
    <row r="911" spans="1:1" x14ac:dyDescent="0.25">
      <c r="A911"/>
    </row>
    <row r="912" spans="1:1" x14ac:dyDescent="0.25">
      <c r="A912"/>
    </row>
    <row r="913" spans="1:1" x14ac:dyDescent="0.25">
      <c r="A913"/>
    </row>
    <row r="914" spans="1:1" x14ac:dyDescent="0.25">
      <c r="A914"/>
    </row>
    <row r="915" spans="1:1" x14ac:dyDescent="0.25">
      <c r="A915"/>
    </row>
    <row r="916" spans="1:1" x14ac:dyDescent="0.25">
      <c r="A916"/>
    </row>
    <row r="917" spans="1:1" x14ac:dyDescent="0.25">
      <c r="A917"/>
    </row>
    <row r="918" spans="1:1" x14ac:dyDescent="0.25">
      <c r="A918"/>
    </row>
    <row r="919" spans="1:1" x14ac:dyDescent="0.25">
      <c r="A919"/>
    </row>
    <row r="920" spans="1:1" x14ac:dyDescent="0.25">
      <c r="A920"/>
    </row>
    <row r="921" spans="1:1" x14ac:dyDescent="0.25">
      <c r="A921"/>
    </row>
    <row r="922" spans="1:1" x14ac:dyDescent="0.25">
      <c r="A922"/>
    </row>
    <row r="923" spans="1:1" x14ac:dyDescent="0.25">
      <c r="A923"/>
    </row>
    <row r="924" spans="1:1" x14ac:dyDescent="0.25">
      <c r="A924"/>
    </row>
    <row r="925" spans="1:1" x14ac:dyDescent="0.25">
      <c r="A925"/>
    </row>
    <row r="926" spans="1:1" x14ac:dyDescent="0.25">
      <c r="A926"/>
    </row>
    <row r="927" spans="1:1" x14ac:dyDescent="0.25">
      <c r="A927"/>
    </row>
    <row r="928" spans="1:1" x14ac:dyDescent="0.25">
      <c r="A928"/>
    </row>
    <row r="929" spans="1:1" x14ac:dyDescent="0.25">
      <c r="A929"/>
    </row>
    <row r="930" spans="1:1" x14ac:dyDescent="0.25">
      <c r="A930"/>
    </row>
    <row r="931" spans="1:1" x14ac:dyDescent="0.25">
      <c r="A931"/>
    </row>
    <row r="932" spans="1:1" x14ac:dyDescent="0.25">
      <c r="A932"/>
    </row>
    <row r="933" spans="1:1" x14ac:dyDescent="0.25">
      <c r="A933"/>
    </row>
    <row r="934" spans="1:1" x14ac:dyDescent="0.25">
      <c r="A934"/>
    </row>
    <row r="935" spans="1:1" x14ac:dyDescent="0.25">
      <c r="A935"/>
    </row>
    <row r="936" spans="1:1" x14ac:dyDescent="0.25">
      <c r="A936"/>
    </row>
    <row r="937" spans="1:1" x14ac:dyDescent="0.25">
      <c r="A937"/>
    </row>
    <row r="938" spans="1:1" x14ac:dyDescent="0.25">
      <c r="A938"/>
    </row>
    <row r="939" spans="1:1" x14ac:dyDescent="0.25">
      <c r="A939"/>
    </row>
    <row r="940" spans="1:1" x14ac:dyDescent="0.25">
      <c r="A940"/>
    </row>
    <row r="941" spans="1:1" x14ac:dyDescent="0.25">
      <c r="A941"/>
    </row>
    <row r="942" spans="1:1" x14ac:dyDescent="0.25">
      <c r="A942"/>
    </row>
    <row r="943" spans="1:1" x14ac:dyDescent="0.25">
      <c r="A943"/>
    </row>
    <row r="944" spans="1:1" x14ac:dyDescent="0.25">
      <c r="A944"/>
    </row>
    <row r="945" spans="1:1" x14ac:dyDescent="0.25">
      <c r="A945"/>
    </row>
    <row r="946" spans="1:1" x14ac:dyDescent="0.25">
      <c r="A946"/>
    </row>
    <row r="947" spans="1:1" x14ac:dyDescent="0.25">
      <c r="A947"/>
    </row>
    <row r="948" spans="1:1" x14ac:dyDescent="0.25">
      <c r="A948"/>
    </row>
    <row r="949" spans="1:1" x14ac:dyDescent="0.25">
      <c r="A949"/>
    </row>
    <row r="950" spans="1:1" x14ac:dyDescent="0.25">
      <c r="A950"/>
    </row>
    <row r="951" spans="1:1" x14ac:dyDescent="0.25">
      <c r="A951"/>
    </row>
    <row r="952" spans="1:1" x14ac:dyDescent="0.25">
      <c r="A952"/>
    </row>
    <row r="953" spans="1:1" x14ac:dyDescent="0.25">
      <c r="A953"/>
    </row>
    <row r="954" spans="1:1" x14ac:dyDescent="0.25">
      <c r="A954"/>
    </row>
    <row r="955" spans="1:1" x14ac:dyDescent="0.25">
      <c r="A955"/>
    </row>
    <row r="956" spans="1:1" x14ac:dyDescent="0.25">
      <c r="A956"/>
    </row>
    <row r="957" spans="1:1" x14ac:dyDescent="0.25">
      <c r="A957"/>
    </row>
    <row r="958" spans="1:1" x14ac:dyDescent="0.25">
      <c r="A958"/>
    </row>
    <row r="959" spans="1:1" x14ac:dyDescent="0.25">
      <c r="A959"/>
    </row>
    <row r="960" spans="1:1" x14ac:dyDescent="0.25">
      <c r="A960"/>
    </row>
    <row r="961" spans="1:1" x14ac:dyDescent="0.25">
      <c r="A961"/>
    </row>
    <row r="962" spans="1:1" x14ac:dyDescent="0.25">
      <c r="A962"/>
    </row>
    <row r="963" spans="1:1" x14ac:dyDescent="0.25">
      <c r="A963"/>
    </row>
    <row r="964" spans="1:1" x14ac:dyDescent="0.25">
      <c r="A964"/>
    </row>
    <row r="965" spans="1:1" x14ac:dyDescent="0.25">
      <c r="A965"/>
    </row>
    <row r="966" spans="1:1" x14ac:dyDescent="0.25">
      <c r="A966"/>
    </row>
    <row r="967" spans="1:1" x14ac:dyDescent="0.25">
      <c r="A967"/>
    </row>
    <row r="968" spans="1:1" x14ac:dyDescent="0.25">
      <c r="A968"/>
    </row>
    <row r="969" spans="1:1" x14ac:dyDescent="0.25">
      <c r="A969"/>
    </row>
    <row r="970" spans="1:1" x14ac:dyDescent="0.25">
      <c r="A970"/>
    </row>
    <row r="971" spans="1:1" x14ac:dyDescent="0.25">
      <c r="A971"/>
    </row>
    <row r="972" spans="1:1" x14ac:dyDescent="0.25">
      <c r="A972"/>
    </row>
    <row r="973" spans="1:1" x14ac:dyDescent="0.25">
      <c r="A973"/>
    </row>
    <row r="974" spans="1:1" x14ac:dyDescent="0.25">
      <c r="A974"/>
    </row>
    <row r="975" spans="1:1" x14ac:dyDescent="0.25">
      <c r="A975"/>
    </row>
    <row r="976" spans="1:1" x14ac:dyDescent="0.25">
      <c r="A976"/>
    </row>
    <row r="977" spans="1:1" x14ac:dyDescent="0.25">
      <c r="A977"/>
    </row>
    <row r="978" spans="1:1" x14ac:dyDescent="0.25">
      <c r="A978"/>
    </row>
    <row r="979" spans="1:1" x14ac:dyDescent="0.25">
      <c r="A979"/>
    </row>
    <row r="980" spans="1:1" x14ac:dyDescent="0.25">
      <c r="A980"/>
    </row>
    <row r="981" spans="1:1" x14ac:dyDescent="0.25">
      <c r="A981"/>
    </row>
    <row r="982" spans="1:1" x14ac:dyDescent="0.25">
      <c r="A982"/>
    </row>
    <row r="983" spans="1:1" x14ac:dyDescent="0.25">
      <c r="A983"/>
    </row>
    <row r="984" spans="1:1" x14ac:dyDescent="0.25">
      <c r="A984"/>
    </row>
    <row r="985" spans="1:1" x14ac:dyDescent="0.25">
      <c r="A985"/>
    </row>
    <row r="986" spans="1:1" x14ac:dyDescent="0.25">
      <c r="A986"/>
    </row>
    <row r="987" spans="1:1" x14ac:dyDescent="0.25">
      <c r="A987"/>
    </row>
    <row r="988" spans="1:1" x14ac:dyDescent="0.25">
      <c r="A988"/>
    </row>
    <row r="989" spans="1:1" x14ac:dyDescent="0.25">
      <c r="A989"/>
    </row>
    <row r="990" spans="1:1" x14ac:dyDescent="0.25">
      <c r="A990"/>
    </row>
    <row r="991" spans="1:1" x14ac:dyDescent="0.25">
      <c r="A991"/>
    </row>
    <row r="992" spans="1:1" x14ac:dyDescent="0.25">
      <c r="A992"/>
    </row>
    <row r="993" spans="1:1" x14ac:dyDescent="0.25">
      <c r="A993"/>
    </row>
    <row r="994" spans="1:1" x14ac:dyDescent="0.25">
      <c r="A994"/>
    </row>
    <row r="995" spans="1:1" x14ac:dyDescent="0.25">
      <c r="A995"/>
    </row>
    <row r="996" spans="1:1" x14ac:dyDescent="0.25">
      <c r="A996"/>
    </row>
    <row r="997" spans="1:1" x14ac:dyDescent="0.25">
      <c r="A997"/>
    </row>
    <row r="998" spans="1:1" x14ac:dyDescent="0.25">
      <c r="A998"/>
    </row>
    <row r="999" spans="1:1" x14ac:dyDescent="0.25">
      <c r="A999"/>
    </row>
    <row r="1000" spans="1:1" x14ac:dyDescent="0.25">
      <c r="A1000"/>
    </row>
    <row r="1001" spans="1:1" x14ac:dyDescent="0.25">
      <c r="A1001"/>
    </row>
    <row r="1002" spans="1:1" x14ac:dyDescent="0.25">
      <c r="A1002"/>
    </row>
    <row r="1003" spans="1:1" x14ac:dyDescent="0.25">
      <c r="A1003"/>
    </row>
    <row r="1004" spans="1:1" x14ac:dyDescent="0.25">
      <c r="A1004"/>
    </row>
    <row r="1005" spans="1:1" x14ac:dyDescent="0.25">
      <c r="A1005"/>
    </row>
    <row r="1006" spans="1:1" x14ac:dyDescent="0.25">
      <c r="A1006"/>
    </row>
    <row r="1007" spans="1:1" x14ac:dyDescent="0.25">
      <c r="A1007"/>
    </row>
    <row r="1008" spans="1:1" x14ac:dyDescent="0.25">
      <c r="A1008"/>
    </row>
    <row r="1009" spans="1:1" x14ac:dyDescent="0.25">
      <c r="A1009"/>
    </row>
    <row r="1010" spans="1:1" x14ac:dyDescent="0.25">
      <c r="A1010"/>
    </row>
    <row r="1011" spans="1:1" x14ac:dyDescent="0.25">
      <c r="A1011"/>
    </row>
    <row r="1012" spans="1:1" x14ac:dyDescent="0.25">
      <c r="A1012"/>
    </row>
    <row r="1013" spans="1:1" x14ac:dyDescent="0.25">
      <c r="A1013"/>
    </row>
    <row r="1014" spans="1:1" x14ac:dyDescent="0.25">
      <c r="A1014"/>
    </row>
    <row r="1015" spans="1:1" x14ac:dyDescent="0.25">
      <c r="A1015"/>
    </row>
    <row r="1016" spans="1:1" x14ac:dyDescent="0.25">
      <c r="A1016"/>
    </row>
    <row r="1017" spans="1:1" x14ac:dyDescent="0.25">
      <c r="A1017"/>
    </row>
    <row r="1018" spans="1:1" x14ac:dyDescent="0.25">
      <c r="A1018"/>
    </row>
    <row r="1019" spans="1:1" x14ac:dyDescent="0.25">
      <c r="A1019"/>
    </row>
    <row r="1020" spans="1:1" x14ac:dyDescent="0.25">
      <c r="A1020"/>
    </row>
    <row r="1021" spans="1:1" x14ac:dyDescent="0.25">
      <c r="A1021"/>
    </row>
    <row r="1022" spans="1:1" x14ac:dyDescent="0.25">
      <c r="A1022"/>
    </row>
    <row r="1023" spans="1:1" x14ac:dyDescent="0.25">
      <c r="A1023"/>
    </row>
    <row r="1024" spans="1:1" x14ac:dyDescent="0.25">
      <c r="A1024"/>
    </row>
    <row r="1025" spans="1:1" x14ac:dyDescent="0.25">
      <c r="A1025"/>
    </row>
    <row r="1026" spans="1:1" x14ac:dyDescent="0.25">
      <c r="A1026"/>
    </row>
    <row r="1027" spans="1:1" x14ac:dyDescent="0.25">
      <c r="A1027"/>
    </row>
    <row r="1028" spans="1:1" x14ac:dyDescent="0.25">
      <c r="A1028"/>
    </row>
    <row r="1029" spans="1:1" x14ac:dyDescent="0.25">
      <c r="A1029"/>
    </row>
    <row r="1030" spans="1:1" x14ac:dyDescent="0.25">
      <c r="A1030"/>
    </row>
    <row r="1031" spans="1:1" x14ac:dyDescent="0.25">
      <c r="A1031"/>
    </row>
    <row r="1032" spans="1:1" x14ac:dyDescent="0.25">
      <c r="A1032"/>
    </row>
    <row r="1033" spans="1:1" x14ac:dyDescent="0.25">
      <c r="A1033"/>
    </row>
    <row r="1034" spans="1:1" x14ac:dyDescent="0.25">
      <c r="A1034"/>
    </row>
    <row r="1035" spans="1:1" x14ac:dyDescent="0.25">
      <c r="A1035"/>
    </row>
    <row r="1036" spans="1:1" x14ac:dyDescent="0.25">
      <c r="A1036"/>
    </row>
    <row r="1037" spans="1:1" x14ac:dyDescent="0.25">
      <c r="A1037"/>
    </row>
    <row r="1038" spans="1:1" x14ac:dyDescent="0.25">
      <c r="A1038"/>
    </row>
    <row r="1039" spans="1:1" x14ac:dyDescent="0.25">
      <c r="A1039"/>
    </row>
    <row r="1040" spans="1:1" x14ac:dyDescent="0.25">
      <c r="A1040"/>
    </row>
    <row r="1041" spans="1:1" x14ac:dyDescent="0.25">
      <c r="A1041"/>
    </row>
    <row r="1042" spans="1:1" x14ac:dyDescent="0.25">
      <c r="A1042"/>
    </row>
    <row r="1043" spans="1:1" x14ac:dyDescent="0.25">
      <c r="A1043"/>
    </row>
    <row r="1044" spans="1:1" x14ac:dyDescent="0.25">
      <c r="A1044"/>
    </row>
    <row r="1045" spans="1:1" x14ac:dyDescent="0.25">
      <c r="A1045"/>
    </row>
    <row r="1046" spans="1:1" x14ac:dyDescent="0.25">
      <c r="A1046"/>
    </row>
    <row r="1047" spans="1:1" x14ac:dyDescent="0.25">
      <c r="A1047"/>
    </row>
    <row r="1048" spans="1:1" x14ac:dyDescent="0.25">
      <c r="A1048"/>
    </row>
    <row r="1049" spans="1:1" x14ac:dyDescent="0.25">
      <c r="A1049"/>
    </row>
    <row r="1050" spans="1:1" x14ac:dyDescent="0.25">
      <c r="A1050"/>
    </row>
    <row r="1051" spans="1:1" x14ac:dyDescent="0.25">
      <c r="A1051"/>
    </row>
    <row r="1052" spans="1:1" x14ac:dyDescent="0.25">
      <c r="A1052"/>
    </row>
    <row r="1053" spans="1:1" x14ac:dyDescent="0.25">
      <c r="A1053"/>
    </row>
    <row r="1054" spans="1:1" x14ac:dyDescent="0.25">
      <c r="A1054"/>
    </row>
    <row r="1055" spans="1:1" x14ac:dyDescent="0.25">
      <c r="A1055"/>
    </row>
    <row r="1056" spans="1:1" x14ac:dyDescent="0.25">
      <c r="A1056"/>
    </row>
    <row r="1057" spans="1:1" x14ac:dyDescent="0.25">
      <c r="A1057"/>
    </row>
    <row r="1058" spans="1:1" x14ac:dyDescent="0.25">
      <c r="A1058"/>
    </row>
    <row r="1059" spans="1:1" x14ac:dyDescent="0.25">
      <c r="A1059"/>
    </row>
    <row r="1060" spans="1:1" x14ac:dyDescent="0.25">
      <c r="A1060"/>
    </row>
    <row r="1061" spans="1:1" x14ac:dyDescent="0.25">
      <c r="A1061"/>
    </row>
    <row r="1062" spans="1:1" x14ac:dyDescent="0.25">
      <c r="A1062"/>
    </row>
    <row r="1063" spans="1:1" x14ac:dyDescent="0.25">
      <c r="A1063"/>
    </row>
    <row r="1064" spans="1:1" x14ac:dyDescent="0.25">
      <c r="A1064"/>
    </row>
    <row r="1065" spans="1:1" x14ac:dyDescent="0.25">
      <c r="A1065"/>
    </row>
    <row r="1066" spans="1:1" x14ac:dyDescent="0.25">
      <c r="A1066"/>
    </row>
    <row r="1067" spans="1:1" x14ac:dyDescent="0.25">
      <c r="A1067"/>
    </row>
    <row r="1068" spans="1:1" x14ac:dyDescent="0.25">
      <c r="A1068"/>
    </row>
    <row r="1069" spans="1:1" x14ac:dyDescent="0.25">
      <c r="A1069"/>
    </row>
    <row r="1070" spans="1:1" x14ac:dyDescent="0.25">
      <c r="A1070"/>
    </row>
    <row r="1071" spans="1:1" x14ac:dyDescent="0.25">
      <c r="A1071"/>
    </row>
    <row r="1072" spans="1:1" x14ac:dyDescent="0.25">
      <c r="A1072"/>
    </row>
    <row r="1073" spans="1:1" x14ac:dyDescent="0.25">
      <c r="A1073"/>
    </row>
    <row r="1074" spans="1:1" x14ac:dyDescent="0.25">
      <c r="A1074"/>
    </row>
    <row r="1075" spans="1:1" x14ac:dyDescent="0.25">
      <c r="A1075"/>
    </row>
    <row r="1076" spans="1:1" x14ac:dyDescent="0.25">
      <c r="A1076"/>
    </row>
    <row r="1077" spans="1:1" x14ac:dyDescent="0.25">
      <c r="A1077"/>
    </row>
    <row r="1078" spans="1:1" x14ac:dyDescent="0.25">
      <c r="A1078"/>
    </row>
    <row r="1079" spans="1:1" x14ac:dyDescent="0.25">
      <c r="A1079"/>
    </row>
    <row r="1080" spans="1:1" x14ac:dyDescent="0.25">
      <c r="A1080"/>
    </row>
    <row r="1081" spans="1:1" x14ac:dyDescent="0.25">
      <c r="A1081"/>
    </row>
    <row r="1082" spans="1:1" x14ac:dyDescent="0.25">
      <c r="A1082"/>
    </row>
    <row r="1083" spans="1:1" x14ac:dyDescent="0.25">
      <c r="A1083"/>
    </row>
    <row r="1084" spans="1:1" x14ac:dyDescent="0.25">
      <c r="A1084"/>
    </row>
    <row r="1085" spans="1:1" x14ac:dyDescent="0.25">
      <c r="A1085"/>
    </row>
    <row r="1086" spans="1:1" x14ac:dyDescent="0.25">
      <c r="A1086"/>
    </row>
    <row r="1087" spans="1:1" x14ac:dyDescent="0.25">
      <c r="A1087"/>
    </row>
    <row r="1088" spans="1:1" x14ac:dyDescent="0.25">
      <c r="A1088"/>
    </row>
    <row r="1089" spans="1:1" x14ac:dyDescent="0.25">
      <c r="A1089"/>
    </row>
    <row r="1090" spans="1:1" x14ac:dyDescent="0.25">
      <c r="A1090"/>
    </row>
    <row r="1091" spans="1:1" x14ac:dyDescent="0.25">
      <c r="A1091"/>
    </row>
    <row r="1092" spans="1:1" x14ac:dyDescent="0.25">
      <c r="A1092"/>
    </row>
    <row r="1093" spans="1:1" x14ac:dyDescent="0.25">
      <c r="A1093"/>
    </row>
    <row r="1094" spans="1:1" x14ac:dyDescent="0.25">
      <c r="A1094"/>
    </row>
    <row r="1095" spans="1:1" x14ac:dyDescent="0.25">
      <c r="A1095"/>
    </row>
    <row r="1096" spans="1:1" x14ac:dyDescent="0.25">
      <c r="A1096"/>
    </row>
    <row r="1097" spans="1:1" x14ac:dyDescent="0.25">
      <c r="A1097"/>
    </row>
    <row r="1098" spans="1:1" x14ac:dyDescent="0.25">
      <c r="A1098"/>
    </row>
    <row r="1099" spans="1:1" x14ac:dyDescent="0.25">
      <c r="A1099"/>
    </row>
    <row r="1100" spans="1:1" x14ac:dyDescent="0.25">
      <c r="A1100"/>
    </row>
    <row r="1101" spans="1:1" x14ac:dyDescent="0.25">
      <c r="A1101"/>
    </row>
    <row r="1102" spans="1:1" x14ac:dyDescent="0.25">
      <c r="A1102"/>
    </row>
    <row r="1103" spans="1:1" x14ac:dyDescent="0.25">
      <c r="A1103"/>
    </row>
    <row r="1104" spans="1:1" x14ac:dyDescent="0.25">
      <c r="A1104"/>
    </row>
    <row r="1105" spans="1:1" x14ac:dyDescent="0.25">
      <c r="A1105"/>
    </row>
    <row r="1106" spans="1:1" x14ac:dyDescent="0.25">
      <c r="A1106"/>
    </row>
    <row r="1107" spans="1:1" x14ac:dyDescent="0.25">
      <c r="A1107"/>
    </row>
    <row r="1108" spans="1:1" x14ac:dyDescent="0.25">
      <c r="A1108"/>
    </row>
    <row r="1109" spans="1:1" x14ac:dyDescent="0.25">
      <c r="A1109"/>
    </row>
    <row r="1110" spans="1:1" x14ac:dyDescent="0.25">
      <c r="A1110"/>
    </row>
    <row r="1111" spans="1:1" x14ac:dyDescent="0.25">
      <c r="A1111"/>
    </row>
    <row r="1112" spans="1:1" x14ac:dyDescent="0.25">
      <c r="A1112"/>
    </row>
    <row r="1113" spans="1:1" x14ac:dyDescent="0.25">
      <c r="A1113"/>
    </row>
    <row r="1114" spans="1:1" x14ac:dyDescent="0.25">
      <c r="A1114"/>
    </row>
    <row r="1115" spans="1:1" x14ac:dyDescent="0.25">
      <c r="A1115"/>
    </row>
    <row r="1116" spans="1:1" x14ac:dyDescent="0.25">
      <c r="A1116"/>
    </row>
    <row r="1117" spans="1:1" x14ac:dyDescent="0.25">
      <c r="A1117"/>
    </row>
    <row r="1118" spans="1:1" x14ac:dyDescent="0.25">
      <c r="A1118"/>
    </row>
    <row r="1119" spans="1:1" x14ac:dyDescent="0.25">
      <c r="A1119"/>
    </row>
    <row r="1120" spans="1:1" x14ac:dyDescent="0.25">
      <c r="A1120"/>
    </row>
    <row r="1121" spans="1:1" x14ac:dyDescent="0.25">
      <c r="A1121"/>
    </row>
    <row r="1122" spans="1:1" x14ac:dyDescent="0.25">
      <c r="A1122"/>
    </row>
    <row r="1123" spans="1:1" x14ac:dyDescent="0.25">
      <c r="A1123"/>
    </row>
    <row r="1124" spans="1:1" x14ac:dyDescent="0.25">
      <c r="A1124"/>
    </row>
    <row r="1125" spans="1:1" x14ac:dyDescent="0.25">
      <c r="A1125"/>
    </row>
    <row r="1126" spans="1:1" x14ac:dyDescent="0.25">
      <c r="A1126"/>
    </row>
    <row r="1127" spans="1:1" x14ac:dyDescent="0.25">
      <c r="A1127"/>
    </row>
    <row r="1128" spans="1:1" x14ac:dyDescent="0.25">
      <c r="A1128"/>
    </row>
    <row r="1129" spans="1:1" x14ac:dyDescent="0.25">
      <c r="A1129"/>
    </row>
    <row r="1130" spans="1:1" x14ac:dyDescent="0.25">
      <c r="A1130"/>
    </row>
    <row r="1131" spans="1:1" x14ac:dyDescent="0.25">
      <c r="A1131"/>
    </row>
    <row r="1132" spans="1:1" x14ac:dyDescent="0.25">
      <c r="A1132"/>
    </row>
    <row r="1133" spans="1:1" x14ac:dyDescent="0.25">
      <c r="A1133"/>
    </row>
    <row r="1134" spans="1:1" x14ac:dyDescent="0.25">
      <c r="A1134"/>
    </row>
    <row r="1135" spans="1:1" x14ac:dyDescent="0.25">
      <c r="A1135"/>
    </row>
    <row r="1136" spans="1:1" x14ac:dyDescent="0.25">
      <c r="A1136"/>
    </row>
    <row r="1137" spans="1:1" x14ac:dyDescent="0.25">
      <c r="A1137"/>
    </row>
    <row r="1138" spans="1:1" x14ac:dyDescent="0.25">
      <c r="A1138"/>
    </row>
    <row r="1139" spans="1:1" x14ac:dyDescent="0.25">
      <c r="A1139"/>
    </row>
    <row r="1140" spans="1:1" x14ac:dyDescent="0.25">
      <c r="A1140"/>
    </row>
    <row r="1141" spans="1:1" x14ac:dyDescent="0.25">
      <c r="A1141"/>
    </row>
    <row r="1142" spans="1:1" x14ac:dyDescent="0.25">
      <c r="A1142"/>
    </row>
    <row r="1143" spans="1:1" x14ac:dyDescent="0.25">
      <c r="A1143"/>
    </row>
    <row r="1144" spans="1:1" x14ac:dyDescent="0.25">
      <c r="A1144"/>
    </row>
    <row r="1145" spans="1:1" x14ac:dyDescent="0.25">
      <c r="A1145"/>
    </row>
    <row r="1146" spans="1:1" x14ac:dyDescent="0.25">
      <c r="A1146"/>
    </row>
    <row r="1147" spans="1:1" x14ac:dyDescent="0.25">
      <c r="A1147"/>
    </row>
    <row r="1148" spans="1:1" x14ac:dyDescent="0.25">
      <c r="A1148"/>
    </row>
    <row r="1149" spans="1:1" x14ac:dyDescent="0.25">
      <c r="A1149"/>
    </row>
    <row r="1150" spans="1:1" x14ac:dyDescent="0.25">
      <c r="A1150"/>
    </row>
    <row r="1151" spans="1:1" x14ac:dyDescent="0.25">
      <c r="A1151"/>
    </row>
    <row r="1152" spans="1:1" x14ac:dyDescent="0.25">
      <c r="A1152"/>
    </row>
    <row r="1153" spans="1:1" x14ac:dyDescent="0.25">
      <c r="A1153"/>
    </row>
    <row r="1154" spans="1:1" x14ac:dyDescent="0.25">
      <c r="A1154"/>
    </row>
    <row r="1155" spans="1:1" x14ac:dyDescent="0.25">
      <c r="A1155"/>
    </row>
    <row r="1156" spans="1:1" x14ac:dyDescent="0.25">
      <c r="A1156"/>
    </row>
    <row r="1157" spans="1:1" x14ac:dyDescent="0.25">
      <c r="A1157"/>
    </row>
    <row r="1158" spans="1:1" x14ac:dyDescent="0.25">
      <c r="A1158"/>
    </row>
    <row r="1159" spans="1:1" x14ac:dyDescent="0.25">
      <c r="A1159"/>
    </row>
    <row r="1160" spans="1:1" x14ac:dyDescent="0.25">
      <c r="A1160"/>
    </row>
    <row r="1161" spans="1:1" x14ac:dyDescent="0.25">
      <c r="A1161"/>
    </row>
    <row r="1162" spans="1:1" x14ac:dyDescent="0.25">
      <c r="A1162"/>
    </row>
    <row r="1163" spans="1:1" x14ac:dyDescent="0.25">
      <c r="A1163"/>
    </row>
    <row r="1164" spans="1:1" x14ac:dyDescent="0.25">
      <c r="A1164"/>
    </row>
    <row r="1165" spans="1:1" x14ac:dyDescent="0.25">
      <c r="A1165"/>
    </row>
    <row r="1166" spans="1:1" x14ac:dyDescent="0.25">
      <c r="A1166"/>
    </row>
    <row r="1167" spans="1:1" x14ac:dyDescent="0.25">
      <c r="A1167"/>
    </row>
    <row r="1168" spans="1:1" x14ac:dyDescent="0.25">
      <c r="A1168"/>
    </row>
    <row r="1169" spans="1:1" x14ac:dyDescent="0.25">
      <c r="A1169"/>
    </row>
    <row r="1170" spans="1:1" x14ac:dyDescent="0.25">
      <c r="A1170"/>
    </row>
    <row r="1171" spans="1:1" x14ac:dyDescent="0.25">
      <c r="A1171"/>
    </row>
    <row r="1172" spans="1:1" x14ac:dyDescent="0.25">
      <c r="A1172"/>
    </row>
    <row r="1173" spans="1:1" x14ac:dyDescent="0.25">
      <c r="A1173"/>
    </row>
    <row r="1174" spans="1:1" x14ac:dyDescent="0.25">
      <c r="A1174"/>
    </row>
    <row r="1175" spans="1:1" x14ac:dyDescent="0.25">
      <c r="A1175"/>
    </row>
    <row r="1176" spans="1:1" x14ac:dyDescent="0.25">
      <c r="A1176"/>
    </row>
    <row r="1177" spans="1:1" x14ac:dyDescent="0.25">
      <c r="A1177"/>
    </row>
    <row r="1178" spans="1:1" x14ac:dyDescent="0.25">
      <c r="A1178"/>
    </row>
    <row r="1179" spans="1:1" x14ac:dyDescent="0.25">
      <c r="A1179"/>
    </row>
    <row r="1180" spans="1:1" x14ac:dyDescent="0.25">
      <c r="A1180"/>
    </row>
    <row r="1181" spans="1:1" x14ac:dyDescent="0.25">
      <c r="A1181"/>
    </row>
    <row r="1182" spans="1:1" x14ac:dyDescent="0.25">
      <c r="A1182"/>
    </row>
    <row r="1183" spans="1:1" x14ac:dyDescent="0.25">
      <c r="A1183"/>
    </row>
    <row r="1184" spans="1:1" x14ac:dyDescent="0.25">
      <c r="A1184"/>
    </row>
    <row r="1185" spans="1:1" x14ac:dyDescent="0.25">
      <c r="A1185"/>
    </row>
    <row r="1186" spans="1:1" x14ac:dyDescent="0.25">
      <c r="A1186"/>
    </row>
    <row r="1187" spans="1:1" x14ac:dyDescent="0.25">
      <c r="A1187"/>
    </row>
    <row r="1188" spans="1:1" x14ac:dyDescent="0.25">
      <c r="A1188"/>
    </row>
    <row r="1189" spans="1:1" x14ac:dyDescent="0.25">
      <c r="A1189"/>
    </row>
    <row r="1190" spans="1:1" x14ac:dyDescent="0.25">
      <c r="A1190"/>
    </row>
    <row r="1191" spans="1:1" x14ac:dyDescent="0.25">
      <c r="A1191"/>
    </row>
    <row r="1192" spans="1:1" x14ac:dyDescent="0.25">
      <c r="A1192"/>
    </row>
    <row r="1193" spans="1:1" x14ac:dyDescent="0.25">
      <c r="A1193"/>
    </row>
    <row r="1194" spans="1:1" x14ac:dyDescent="0.25">
      <c r="A1194"/>
    </row>
    <row r="1195" spans="1:1" x14ac:dyDescent="0.25">
      <c r="A1195"/>
    </row>
    <row r="1196" spans="1:1" x14ac:dyDescent="0.25">
      <c r="A1196"/>
    </row>
    <row r="1197" spans="1:1" x14ac:dyDescent="0.25">
      <c r="A1197"/>
    </row>
    <row r="1198" spans="1:1" x14ac:dyDescent="0.25">
      <c r="A1198"/>
    </row>
    <row r="1199" spans="1:1" x14ac:dyDescent="0.25">
      <c r="A1199"/>
    </row>
    <row r="1200" spans="1:1" x14ac:dyDescent="0.25">
      <c r="A1200"/>
    </row>
    <row r="1201" spans="1:1" x14ac:dyDescent="0.25">
      <c r="A1201"/>
    </row>
    <row r="1202" spans="1:1" x14ac:dyDescent="0.25">
      <c r="A1202"/>
    </row>
    <row r="1203" spans="1:1" x14ac:dyDescent="0.25">
      <c r="A1203"/>
    </row>
    <row r="1204" spans="1:1" x14ac:dyDescent="0.25">
      <c r="A1204"/>
    </row>
    <row r="1205" spans="1:1" x14ac:dyDescent="0.25">
      <c r="A1205"/>
    </row>
    <row r="1206" spans="1:1" x14ac:dyDescent="0.25">
      <c r="A1206"/>
    </row>
    <row r="1207" spans="1:1" x14ac:dyDescent="0.25">
      <c r="A1207"/>
    </row>
    <row r="1208" spans="1:1" x14ac:dyDescent="0.25">
      <c r="A1208"/>
    </row>
    <row r="1209" spans="1:1" x14ac:dyDescent="0.25">
      <c r="A1209"/>
    </row>
    <row r="1210" spans="1:1" x14ac:dyDescent="0.25">
      <c r="A1210"/>
    </row>
    <row r="1211" spans="1:1" x14ac:dyDescent="0.25">
      <c r="A1211"/>
    </row>
    <row r="1212" spans="1:1" x14ac:dyDescent="0.25">
      <c r="A1212"/>
    </row>
    <row r="1213" spans="1:1" x14ac:dyDescent="0.25">
      <c r="A1213"/>
    </row>
    <row r="1214" spans="1:1" x14ac:dyDescent="0.25">
      <c r="A1214"/>
    </row>
    <row r="1215" spans="1:1" x14ac:dyDescent="0.25">
      <c r="A1215"/>
    </row>
    <row r="1216" spans="1:1" x14ac:dyDescent="0.25">
      <c r="A1216"/>
    </row>
    <row r="1217" spans="1:1" x14ac:dyDescent="0.25">
      <c r="A1217"/>
    </row>
    <row r="1218" spans="1:1" x14ac:dyDescent="0.25">
      <c r="A1218"/>
    </row>
    <row r="1219" spans="1:1" x14ac:dyDescent="0.25">
      <c r="A1219"/>
    </row>
    <row r="1220" spans="1:1" x14ac:dyDescent="0.25">
      <c r="A1220"/>
    </row>
    <row r="1221" spans="1:1" x14ac:dyDescent="0.25">
      <c r="A1221"/>
    </row>
    <row r="1222" spans="1:1" x14ac:dyDescent="0.25">
      <c r="A1222"/>
    </row>
    <row r="1223" spans="1:1" x14ac:dyDescent="0.25">
      <c r="A1223"/>
    </row>
    <row r="1224" spans="1:1" x14ac:dyDescent="0.25">
      <c r="A1224"/>
    </row>
    <row r="1225" spans="1:1" x14ac:dyDescent="0.25">
      <c r="A1225"/>
    </row>
    <row r="1226" spans="1:1" x14ac:dyDescent="0.25">
      <c r="A1226"/>
    </row>
    <row r="1227" spans="1:1" x14ac:dyDescent="0.25">
      <c r="A1227"/>
    </row>
    <row r="1228" spans="1:1" x14ac:dyDescent="0.25">
      <c r="A1228"/>
    </row>
    <row r="1229" spans="1:1" x14ac:dyDescent="0.25">
      <c r="A1229"/>
    </row>
    <row r="1230" spans="1:1" x14ac:dyDescent="0.25">
      <c r="A1230"/>
    </row>
    <row r="1231" spans="1:1" x14ac:dyDescent="0.25">
      <c r="A1231"/>
    </row>
    <row r="1232" spans="1:1" x14ac:dyDescent="0.25">
      <c r="A1232"/>
    </row>
    <row r="1233" spans="1:1" x14ac:dyDescent="0.25">
      <c r="A1233"/>
    </row>
    <row r="1234" spans="1:1" x14ac:dyDescent="0.25">
      <c r="A1234"/>
    </row>
    <row r="1235" spans="1:1" x14ac:dyDescent="0.25">
      <c r="A1235"/>
    </row>
    <row r="1236" spans="1:1" x14ac:dyDescent="0.25">
      <c r="A1236"/>
    </row>
    <row r="1237" spans="1:1" x14ac:dyDescent="0.25">
      <c r="A1237"/>
    </row>
    <row r="1238" spans="1:1" x14ac:dyDescent="0.25">
      <c r="A1238"/>
    </row>
    <row r="1239" spans="1:1" x14ac:dyDescent="0.25">
      <c r="A1239"/>
    </row>
    <row r="1240" spans="1:1" x14ac:dyDescent="0.25">
      <c r="A1240"/>
    </row>
    <row r="1241" spans="1:1" x14ac:dyDescent="0.25">
      <c r="A1241"/>
    </row>
    <row r="1242" spans="1:1" x14ac:dyDescent="0.25">
      <c r="A1242"/>
    </row>
    <row r="1243" spans="1:1" x14ac:dyDescent="0.25">
      <c r="A1243"/>
    </row>
    <row r="1244" spans="1:1" x14ac:dyDescent="0.25">
      <c r="A1244"/>
    </row>
    <row r="1245" spans="1:1" x14ac:dyDescent="0.25">
      <c r="A1245"/>
    </row>
    <row r="1246" spans="1:1" x14ac:dyDescent="0.25">
      <c r="A1246"/>
    </row>
    <row r="1247" spans="1:1" x14ac:dyDescent="0.25">
      <c r="A1247"/>
    </row>
    <row r="1248" spans="1:1" x14ac:dyDescent="0.25">
      <c r="A1248"/>
    </row>
    <row r="1249" spans="1:1" x14ac:dyDescent="0.25">
      <c r="A1249"/>
    </row>
    <row r="1250" spans="1:1" x14ac:dyDescent="0.25">
      <c r="A1250"/>
    </row>
    <row r="1251" spans="1:1" x14ac:dyDescent="0.25">
      <c r="A1251"/>
    </row>
    <row r="1252" spans="1:1" x14ac:dyDescent="0.25">
      <c r="A1252"/>
    </row>
    <row r="1253" spans="1:1" x14ac:dyDescent="0.25">
      <c r="A1253"/>
    </row>
    <row r="1254" spans="1:1" x14ac:dyDescent="0.25">
      <c r="A1254"/>
    </row>
    <row r="1255" spans="1:1" x14ac:dyDescent="0.25">
      <c r="A1255"/>
    </row>
    <row r="1256" spans="1:1" x14ac:dyDescent="0.25">
      <c r="A1256"/>
    </row>
    <row r="1257" spans="1:1" x14ac:dyDescent="0.25">
      <c r="A1257"/>
    </row>
    <row r="1258" spans="1:1" x14ac:dyDescent="0.25">
      <c r="A1258"/>
    </row>
    <row r="1259" spans="1:1" x14ac:dyDescent="0.25">
      <c r="A1259"/>
    </row>
    <row r="1260" spans="1:1" x14ac:dyDescent="0.25">
      <c r="A1260"/>
    </row>
    <row r="1261" spans="1:1" x14ac:dyDescent="0.25">
      <c r="A1261"/>
    </row>
    <row r="1262" spans="1:1" x14ac:dyDescent="0.25">
      <c r="A1262"/>
    </row>
    <row r="1263" spans="1:1" x14ac:dyDescent="0.25">
      <c r="A1263"/>
    </row>
    <row r="1264" spans="1:1" x14ac:dyDescent="0.25">
      <c r="A1264"/>
    </row>
    <row r="1265" spans="1:1" x14ac:dyDescent="0.25">
      <c r="A1265"/>
    </row>
    <row r="1266" spans="1:1" x14ac:dyDescent="0.25">
      <c r="A1266"/>
    </row>
    <row r="1267" spans="1:1" x14ac:dyDescent="0.25">
      <c r="A1267"/>
    </row>
    <row r="1268" spans="1:1" x14ac:dyDescent="0.25">
      <c r="A1268"/>
    </row>
    <row r="1269" spans="1:1" x14ac:dyDescent="0.25">
      <c r="A1269"/>
    </row>
    <row r="1270" spans="1:1" x14ac:dyDescent="0.25">
      <c r="A1270"/>
    </row>
    <row r="1271" spans="1:1" x14ac:dyDescent="0.25">
      <c r="A1271"/>
    </row>
    <row r="1272" spans="1:1" x14ac:dyDescent="0.25">
      <c r="A1272"/>
    </row>
    <row r="1273" spans="1:1" x14ac:dyDescent="0.25">
      <c r="A1273"/>
    </row>
    <row r="1274" spans="1:1" x14ac:dyDescent="0.25">
      <c r="A1274"/>
    </row>
    <row r="1275" spans="1:1" x14ac:dyDescent="0.25">
      <c r="A1275"/>
    </row>
    <row r="1276" spans="1:1" x14ac:dyDescent="0.25">
      <c r="A1276"/>
    </row>
    <row r="1277" spans="1:1" x14ac:dyDescent="0.25">
      <c r="A1277"/>
    </row>
    <row r="1278" spans="1:1" x14ac:dyDescent="0.25">
      <c r="A1278"/>
    </row>
    <row r="1279" spans="1:1" x14ac:dyDescent="0.25">
      <c r="A1279"/>
    </row>
    <row r="1280" spans="1:1" x14ac:dyDescent="0.25">
      <c r="A1280"/>
    </row>
    <row r="1281" spans="1:1" x14ac:dyDescent="0.25">
      <c r="A1281"/>
    </row>
    <row r="1282" spans="1:1" x14ac:dyDescent="0.25">
      <c r="A1282"/>
    </row>
    <row r="1283" spans="1:1" x14ac:dyDescent="0.25">
      <c r="A1283"/>
    </row>
    <row r="1284" spans="1:1" x14ac:dyDescent="0.25">
      <c r="A1284"/>
    </row>
    <row r="1285" spans="1:1" x14ac:dyDescent="0.25">
      <c r="A1285"/>
    </row>
    <row r="1286" spans="1:1" x14ac:dyDescent="0.25">
      <c r="A1286"/>
    </row>
    <row r="1287" spans="1:1" x14ac:dyDescent="0.25">
      <c r="A1287"/>
    </row>
    <row r="1288" spans="1:1" x14ac:dyDescent="0.25">
      <c r="A1288"/>
    </row>
    <row r="1289" spans="1:1" x14ac:dyDescent="0.25">
      <c r="A1289"/>
    </row>
    <row r="1290" spans="1:1" x14ac:dyDescent="0.25">
      <c r="A1290"/>
    </row>
    <row r="1291" spans="1:1" x14ac:dyDescent="0.25">
      <c r="A1291"/>
    </row>
    <row r="1292" spans="1:1" x14ac:dyDescent="0.25">
      <c r="A1292"/>
    </row>
    <row r="1293" spans="1:1" x14ac:dyDescent="0.25">
      <c r="A1293"/>
    </row>
    <row r="1294" spans="1:1" x14ac:dyDescent="0.25">
      <c r="A1294"/>
    </row>
    <row r="1295" spans="1:1" x14ac:dyDescent="0.25">
      <c r="A1295"/>
    </row>
    <row r="1296" spans="1:1" x14ac:dyDescent="0.25">
      <c r="A1296"/>
    </row>
    <row r="1297" spans="1:1" x14ac:dyDescent="0.25">
      <c r="A1297"/>
    </row>
    <row r="1298" spans="1:1" x14ac:dyDescent="0.25">
      <c r="A1298"/>
    </row>
    <row r="1299" spans="1:1" x14ac:dyDescent="0.25">
      <c r="A1299"/>
    </row>
    <row r="1300" spans="1:1" x14ac:dyDescent="0.25">
      <c r="A1300"/>
    </row>
    <row r="1301" spans="1:1" x14ac:dyDescent="0.25">
      <c r="A1301"/>
    </row>
    <row r="1302" spans="1:1" x14ac:dyDescent="0.25">
      <c r="A1302"/>
    </row>
    <row r="1303" spans="1:1" x14ac:dyDescent="0.25">
      <c r="A1303"/>
    </row>
    <row r="1304" spans="1:1" x14ac:dyDescent="0.25">
      <c r="A1304"/>
    </row>
    <row r="1305" spans="1:1" x14ac:dyDescent="0.25">
      <c r="A1305"/>
    </row>
    <row r="1306" spans="1:1" x14ac:dyDescent="0.25">
      <c r="A1306"/>
    </row>
    <row r="1307" spans="1:1" x14ac:dyDescent="0.25">
      <c r="A1307"/>
    </row>
    <row r="1308" spans="1:1" x14ac:dyDescent="0.25">
      <c r="A1308"/>
    </row>
    <row r="1309" spans="1:1" x14ac:dyDescent="0.25">
      <c r="A1309"/>
    </row>
    <row r="1310" spans="1:1" x14ac:dyDescent="0.25">
      <c r="A1310"/>
    </row>
    <row r="1311" spans="1:1" x14ac:dyDescent="0.25">
      <c r="A1311"/>
    </row>
    <row r="1312" spans="1:1" x14ac:dyDescent="0.25">
      <c r="A1312"/>
    </row>
    <row r="1313" spans="1:1" x14ac:dyDescent="0.25">
      <c r="A1313"/>
    </row>
    <row r="1314" spans="1:1" x14ac:dyDescent="0.25">
      <c r="A1314"/>
    </row>
    <row r="1315" spans="1:1" x14ac:dyDescent="0.25">
      <c r="A1315"/>
    </row>
    <row r="1316" spans="1:1" x14ac:dyDescent="0.25">
      <c r="A1316"/>
    </row>
    <row r="1317" spans="1:1" x14ac:dyDescent="0.25">
      <c r="A1317"/>
    </row>
    <row r="1318" spans="1:1" x14ac:dyDescent="0.25">
      <c r="A1318"/>
    </row>
    <row r="1319" spans="1:1" x14ac:dyDescent="0.25">
      <c r="A1319"/>
    </row>
    <row r="1320" spans="1:1" x14ac:dyDescent="0.25">
      <c r="A1320"/>
    </row>
    <row r="1321" spans="1:1" x14ac:dyDescent="0.25">
      <c r="A1321"/>
    </row>
    <row r="1322" spans="1:1" x14ac:dyDescent="0.25">
      <c r="A1322"/>
    </row>
    <row r="1323" spans="1:1" x14ac:dyDescent="0.25">
      <c r="A1323"/>
    </row>
    <row r="1324" spans="1:1" x14ac:dyDescent="0.25">
      <c r="A1324"/>
    </row>
    <row r="1325" spans="1:1" x14ac:dyDescent="0.25">
      <c r="A1325"/>
    </row>
    <row r="1326" spans="1:1" x14ac:dyDescent="0.25">
      <c r="A1326"/>
    </row>
    <row r="1327" spans="1:1" x14ac:dyDescent="0.25">
      <c r="A1327"/>
    </row>
    <row r="1328" spans="1:1" x14ac:dyDescent="0.25">
      <c r="A1328"/>
    </row>
    <row r="1329" spans="1:1" x14ac:dyDescent="0.25">
      <c r="A1329"/>
    </row>
    <row r="1330" spans="1:1" x14ac:dyDescent="0.25">
      <c r="A1330"/>
    </row>
    <row r="1331" spans="1:1" x14ac:dyDescent="0.25">
      <c r="A1331"/>
    </row>
    <row r="1332" spans="1:1" x14ac:dyDescent="0.25">
      <c r="A1332"/>
    </row>
    <row r="1333" spans="1:1" x14ac:dyDescent="0.25">
      <c r="A1333"/>
    </row>
    <row r="1334" spans="1:1" x14ac:dyDescent="0.25">
      <c r="A1334"/>
    </row>
    <row r="1335" spans="1:1" x14ac:dyDescent="0.25">
      <c r="A1335"/>
    </row>
    <row r="1336" spans="1:1" x14ac:dyDescent="0.25">
      <c r="A1336"/>
    </row>
    <row r="1337" spans="1:1" x14ac:dyDescent="0.25">
      <c r="A1337"/>
    </row>
    <row r="1338" spans="1:1" x14ac:dyDescent="0.25">
      <c r="A1338"/>
    </row>
    <row r="1339" spans="1:1" x14ac:dyDescent="0.25">
      <c r="A1339"/>
    </row>
    <row r="1340" spans="1:1" x14ac:dyDescent="0.25">
      <c r="A1340"/>
    </row>
    <row r="1341" spans="1:1" x14ac:dyDescent="0.25">
      <c r="A1341"/>
    </row>
    <row r="1342" spans="1:1" x14ac:dyDescent="0.25">
      <c r="A1342"/>
    </row>
    <row r="1343" spans="1:1" x14ac:dyDescent="0.25">
      <c r="A1343"/>
    </row>
    <row r="1344" spans="1:1" x14ac:dyDescent="0.25">
      <c r="A1344"/>
    </row>
    <row r="1345" spans="1:1" x14ac:dyDescent="0.25">
      <c r="A1345"/>
    </row>
    <row r="1346" spans="1:1" x14ac:dyDescent="0.25">
      <c r="A1346"/>
    </row>
    <row r="1347" spans="1:1" x14ac:dyDescent="0.25">
      <c r="A1347"/>
    </row>
    <row r="1348" spans="1:1" x14ac:dyDescent="0.25">
      <c r="A1348"/>
    </row>
    <row r="1349" spans="1:1" x14ac:dyDescent="0.25">
      <c r="A1349"/>
    </row>
    <row r="1350" spans="1:1" x14ac:dyDescent="0.25">
      <c r="A1350"/>
    </row>
    <row r="1351" spans="1:1" x14ac:dyDescent="0.25">
      <c r="A1351"/>
    </row>
    <row r="1352" spans="1:1" x14ac:dyDescent="0.25">
      <c r="A1352"/>
    </row>
    <row r="1353" spans="1:1" x14ac:dyDescent="0.25">
      <c r="A1353"/>
    </row>
    <row r="1354" spans="1:1" x14ac:dyDescent="0.25">
      <c r="A1354"/>
    </row>
    <row r="1355" spans="1:1" x14ac:dyDescent="0.25">
      <c r="A1355"/>
    </row>
    <row r="1356" spans="1:1" x14ac:dyDescent="0.25">
      <c r="A1356"/>
    </row>
    <row r="1357" spans="1:1" x14ac:dyDescent="0.25">
      <c r="A1357"/>
    </row>
    <row r="1358" spans="1:1" x14ac:dyDescent="0.25">
      <c r="A1358"/>
    </row>
    <row r="1359" spans="1:1" x14ac:dyDescent="0.25">
      <c r="A1359"/>
    </row>
    <row r="1360" spans="1:1" x14ac:dyDescent="0.25">
      <c r="A1360"/>
    </row>
    <row r="1361" spans="1:1" x14ac:dyDescent="0.25">
      <c r="A1361"/>
    </row>
    <row r="1362" spans="1:1" x14ac:dyDescent="0.25">
      <c r="A1362"/>
    </row>
    <row r="1363" spans="1:1" x14ac:dyDescent="0.25">
      <c r="A1363"/>
    </row>
    <row r="1364" spans="1:1" x14ac:dyDescent="0.25">
      <c r="A1364"/>
    </row>
    <row r="1365" spans="1:1" x14ac:dyDescent="0.25">
      <c r="A1365"/>
    </row>
    <row r="1366" spans="1:1" x14ac:dyDescent="0.25">
      <c r="A1366"/>
    </row>
    <row r="1367" spans="1:1" x14ac:dyDescent="0.25">
      <c r="A1367"/>
    </row>
    <row r="1368" spans="1:1" x14ac:dyDescent="0.25">
      <c r="A1368"/>
    </row>
    <row r="1369" spans="1:1" x14ac:dyDescent="0.25">
      <c r="A1369"/>
    </row>
    <row r="1370" spans="1:1" x14ac:dyDescent="0.25">
      <c r="A1370"/>
    </row>
    <row r="1371" spans="1:1" x14ac:dyDescent="0.25">
      <c r="A1371"/>
    </row>
    <row r="1372" spans="1:1" x14ac:dyDescent="0.25">
      <c r="A1372"/>
    </row>
    <row r="1373" spans="1:1" x14ac:dyDescent="0.25">
      <c r="A1373"/>
    </row>
    <row r="1374" spans="1:1" x14ac:dyDescent="0.25">
      <c r="A1374"/>
    </row>
    <row r="1375" spans="1:1" x14ac:dyDescent="0.25">
      <c r="A1375"/>
    </row>
    <row r="1376" spans="1:1" x14ac:dyDescent="0.25">
      <c r="A1376"/>
    </row>
    <row r="1377" spans="1:1" x14ac:dyDescent="0.25">
      <c r="A1377"/>
    </row>
    <row r="1378" spans="1:1" x14ac:dyDescent="0.25">
      <c r="A1378"/>
    </row>
    <row r="1379" spans="1:1" x14ac:dyDescent="0.25">
      <c r="A1379"/>
    </row>
    <row r="1380" spans="1:1" x14ac:dyDescent="0.25">
      <c r="A1380"/>
    </row>
    <row r="1381" spans="1:1" x14ac:dyDescent="0.25">
      <c r="A1381"/>
    </row>
    <row r="1382" spans="1:1" x14ac:dyDescent="0.25">
      <c r="A1382"/>
    </row>
    <row r="1383" spans="1:1" x14ac:dyDescent="0.25">
      <c r="A1383"/>
    </row>
    <row r="1384" spans="1:1" x14ac:dyDescent="0.25">
      <c r="A1384"/>
    </row>
    <row r="1385" spans="1:1" x14ac:dyDescent="0.25">
      <c r="A1385"/>
    </row>
    <row r="1386" spans="1:1" x14ac:dyDescent="0.25">
      <c r="A1386"/>
    </row>
    <row r="1387" spans="1:1" x14ac:dyDescent="0.25">
      <c r="A1387"/>
    </row>
    <row r="1388" spans="1:1" x14ac:dyDescent="0.25">
      <c r="A1388"/>
    </row>
    <row r="1389" spans="1:1" x14ac:dyDescent="0.25">
      <c r="A1389"/>
    </row>
    <row r="1390" spans="1:1" x14ac:dyDescent="0.25">
      <c r="A1390"/>
    </row>
    <row r="1391" spans="1:1" x14ac:dyDescent="0.25">
      <c r="A1391"/>
    </row>
    <row r="1392" spans="1:1" x14ac:dyDescent="0.25">
      <c r="A1392"/>
    </row>
    <row r="1393" spans="1:1" x14ac:dyDescent="0.25">
      <c r="A1393"/>
    </row>
    <row r="1394" spans="1:1" x14ac:dyDescent="0.25">
      <c r="A1394"/>
    </row>
    <row r="1395" spans="1:1" x14ac:dyDescent="0.25">
      <c r="A1395"/>
    </row>
    <row r="1396" spans="1:1" x14ac:dyDescent="0.25">
      <c r="A1396"/>
    </row>
    <row r="1397" spans="1:1" x14ac:dyDescent="0.25">
      <c r="A1397"/>
    </row>
    <row r="1398" spans="1:1" x14ac:dyDescent="0.25">
      <c r="A1398"/>
    </row>
    <row r="1399" spans="1:1" x14ac:dyDescent="0.25">
      <c r="A1399"/>
    </row>
    <row r="1400" spans="1:1" x14ac:dyDescent="0.25">
      <c r="A1400"/>
    </row>
    <row r="1401" spans="1:1" x14ac:dyDescent="0.25">
      <c r="A1401"/>
    </row>
    <row r="1402" spans="1:1" x14ac:dyDescent="0.25">
      <c r="A1402"/>
    </row>
    <row r="1403" spans="1:1" x14ac:dyDescent="0.25">
      <c r="A1403"/>
    </row>
    <row r="1404" spans="1:1" x14ac:dyDescent="0.25">
      <c r="A1404"/>
    </row>
    <row r="1405" spans="1:1" x14ac:dyDescent="0.25">
      <c r="A1405"/>
    </row>
    <row r="1406" spans="1:1" x14ac:dyDescent="0.25">
      <c r="A1406"/>
    </row>
    <row r="1407" spans="1:1" x14ac:dyDescent="0.25">
      <c r="A1407"/>
    </row>
    <row r="1408" spans="1:1" x14ac:dyDescent="0.25">
      <c r="A1408"/>
    </row>
    <row r="1409" spans="1:1" x14ac:dyDescent="0.25">
      <c r="A1409"/>
    </row>
    <row r="1410" spans="1:1" x14ac:dyDescent="0.25">
      <c r="A1410"/>
    </row>
    <row r="1411" spans="1:1" x14ac:dyDescent="0.25">
      <c r="A1411"/>
    </row>
    <row r="1412" spans="1:1" x14ac:dyDescent="0.25">
      <c r="A1412"/>
    </row>
    <row r="1413" spans="1:1" x14ac:dyDescent="0.25">
      <c r="A1413"/>
    </row>
    <row r="1414" spans="1:1" x14ac:dyDescent="0.25">
      <c r="A1414"/>
    </row>
    <row r="1415" spans="1:1" x14ac:dyDescent="0.25">
      <c r="A1415"/>
    </row>
    <row r="1416" spans="1:1" x14ac:dyDescent="0.25">
      <c r="A1416"/>
    </row>
    <row r="1417" spans="1:1" x14ac:dyDescent="0.25">
      <c r="A1417"/>
    </row>
    <row r="1418" spans="1:1" x14ac:dyDescent="0.25">
      <c r="A1418"/>
    </row>
    <row r="1419" spans="1:1" x14ac:dyDescent="0.25">
      <c r="A1419"/>
    </row>
    <row r="1420" spans="1:1" x14ac:dyDescent="0.25">
      <c r="A1420"/>
    </row>
    <row r="1421" spans="1:1" x14ac:dyDescent="0.25">
      <c r="A1421"/>
    </row>
    <row r="1422" spans="1:1" x14ac:dyDescent="0.25">
      <c r="A1422"/>
    </row>
    <row r="1423" spans="1:1" x14ac:dyDescent="0.25">
      <c r="A1423"/>
    </row>
    <row r="1424" spans="1:1" x14ac:dyDescent="0.25">
      <c r="A1424"/>
    </row>
    <row r="1425" spans="1:1" x14ac:dyDescent="0.25">
      <c r="A1425"/>
    </row>
    <row r="1426" spans="1:1" x14ac:dyDescent="0.25">
      <c r="A1426"/>
    </row>
    <row r="1427" spans="1:1" x14ac:dyDescent="0.25">
      <c r="A1427"/>
    </row>
    <row r="1428" spans="1:1" x14ac:dyDescent="0.25">
      <c r="A1428"/>
    </row>
    <row r="1429" spans="1:1" x14ac:dyDescent="0.25">
      <c r="A1429"/>
    </row>
    <row r="1430" spans="1:1" x14ac:dyDescent="0.25">
      <c r="A1430"/>
    </row>
    <row r="1431" spans="1:1" x14ac:dyDescent="0.25">
      <c r="A1431"/>
    </row>
    <row r="1432" spans="1:1" x14ac:dyDescent="0.25">
      <c r="A1432"/>
    </row>
    <row r="1433" spans="1:1" x14ac:dyDescent="0.25">
      <c r="A1433"/>
    </row>
    <row r="1434" spans="1:1" x14ac:dyDescent="0.25">
      <c r="A1434"/>
    </row>
    <row r="1435" spans="1:1" x14ac:dyDescent="0.25">
      <c r="A1435"/>
    </row>
    <row r="1436" spans="1:1" x14ac:dyDescent="0.25">
      <c r="A1436"/>
    </row>
    <row r="1437" spans="1:1" x14ac:dyDescent="0.25">
      <c r="A1437"/>
    </row>
    <row r="1438" spans="1:1" x14ac:dyDescent="0.25">
      <c r="A1438"/>
    </row>
    <row r="1439" spans="1:1" x14ac:dyDescent="0.25">
      <c r="A1439"/>
    </row>
    <row r="1440" spans="1:1" x14ac:dyDescent="0.25">
      <c r="A1440"/>
    </row>
    <row r="1441" spans="1:1" x14ac:dyDescent="0.25">
      <c r="A1441"/>
    </row>
    <row r="1442" spans="1:1" x14ac:dyDescent="0.25">
      <c r="A1442"/>
    </row>
    <row r="1443" spans="1:1" x14ac:dyDescent="0.25">
      <c r="A1443"/>
    </row>
    <row r="1444" spans="1:1" x14ac:dyDescent="0.25">
      <c r="A1444"/>
    </row>
    <row r="1445" spans="1:1" x14ac:dyDescent="0.25">
      <c r="A1445"/>
    </row>
    <row r="1446" spans="1:1" x14ac:dyDescent="0.25">
      <c r="A1446"/>
    </row>
    <row r="1447" spans="1:1" x14ac:dyDescent="0.25">
      <c r="A1447"/>
    </row>
    <row r="1448" spans="1:1" x14ac:dyDescent="0.25">
      <c r="A1448"/>
    </row>
    <row r="1449" spans="1:1" x14ac:dyDescent="0.25">
      <c r="A1449"/>
    </row>
    <row r="1450" spans="1:1" x14ac:dyDescent="0.25">
      <c r="A1450"/>
    </row>
    <row r="1451" spans="1:1" x14ac:dyDescent="0.25">
      <c r="A1451"/>
    </row>
    <row r="1452" spans="1:1" x14ac:dyDescent="0.25">
      <c r="A1452"/>
    </row>
    <row r="1453" spans="1:1" x14ac:dyDescent="0.25">
      <c r="A1453"/>
    </row>
    <row r="1454" spans="1:1" x14ac:dyDescent="0.25">
      <c r="A1454"/>
    </row>
    <row r="1455" spans="1:1" x14ac:dyDescent="0.25">
      <c r="A1455"/>
    </row>
    <row r="1456" spans="1:1" x14ac:dyDescent="0.25">
      <c r="A1456"/>
    </row>
    <row r="1457" spans="1:1" x14ac:dyDescent="0.25">
      <c r="A1457"/>
    </row>
    <row r="1458" spans="1:1" x14ac:dyDescent="0.25">
      <c r="A1458"/>
    </row>
    <row r="1459" spans="1:1" x14ac:dyDescent="0.25">
      <c r="A1459"/>
    </row>
    <row r="1460" spans="1:1" x14ac:dyDescent="0.25">
      <c r="A1460"/>
    </row>
    <row r="1461" spans="1:1" x14ac:dyDescent="0.25">
      <c r="A1461"/>
    </row>
    <row r="1462" spans="1:1" x14ac:dyDescent="0.25">
      <c r="A1462"/>
    </row>
    <row r="1463" spans="1:1" x14ac:dyDescent="0.25">
      <c r="A1463"/>
    </row>
    <row r="1464" spans="1:1" x14ac:dyDescent="0.25">
      <c r="A1464"/>
    </row>
    <row r="1465" spans="1:1" x14ac:dyDescent="0.25">
      <c r="A1465"/>
    </row>
    <row r="1466" spans="1:1" x14ac:dyDescent="0.25">
      <c r="A1466"/>
    </row>
    <row r="1467" spans="1:1" x14ac:dyDescent="0.25">
      <c r="A1467"/>
    </row>
    <row r="1468" spans="1:1" x14ac:dyDescent="0.25">
      <c r="A1468"/>
    </row>
    <row r="1469" spans="1:1" x14ac:dyDescent="0.25">
      <c r="A1469"/>
    </row>
    <row r="1470" spans="1:1" x14ac:dyDescent="0.25">
      <c r="A1470"/>
    </row>
    <row r="1471" spans="1:1" x14ac:dyDescent="0.25">
      <c r="A1471"/>
    </row>
    <row r="1472" spans="1:1" x14ac:dyDescent="0.25">
      <c r="A1472"/>
    </row>
    <row r="1473" spans="1:1" x14ac:dyDescent="0.25">
      <c r="A1473"/>
    </row>
    <row r="1474" spans="1:1" x14ac:dyDescent="0.25">
      <c r="A1474"/>
    </row>
    <row r="1475" spans="1:1" x14ac:dyDescent="0.25">
      <c r="A1475"/>
    </row>
    <row r="1476" spans="1:1" x14ac:dyDescent="0.25">
      <c r="A1476"/>
    </row>
    <row r="1477" spans="1:1" x14ac:dyDescent="0.25">
      <c r="A1477"/>
    </row>
    <row r="1478" spans="1:1" x14ac:dyDescent="0.25">
      <c r="A1478"/>
    </row>
    <row r="1479" spans="1:1" x14ac:dyDescent="0.25">
      <c r="A1479"/>
    </row>
    <row r="1480" spans="1:1" x14ac:dyDescent="0.25">
      <c r="A1480"/>
    </row>
    <row r="1481" spans="1:1" x14ac:dyDescent="0.25">
      <c r="A1481"/>
    </row>
    <row r="1482" spans="1:1" x14ac:dyDescent="0.25">
      <c r="A1482"/>
    </row>
    <row r="1483" spans="1:1" x14ac:dyDescent="0.25">
      <c r="A1483"/>
    </row>
    <row r="1484" spans="1:1" x14ac:dyDescent="0.25">
      <c r="A1484"/>
    </row>
    <row r="1485" spans="1:1" x14ac:dyDescent="0.25">
      <c r="A1485"/>
    </row>
    <row r="1486" spans="1:1" x14ac:dyDescent="0.25">
      <c r="A1486"/>
    </row>
    <row r="1487" spans="1:1" x14ac:dyDescent="0.25">
      <c r="A1487"/>
    </row>
    <row r="1488" spans="1:1" x14ac:dyDescent="0.25">
      <c r="A1488"/>
    </row>
    <row r="1489" spans="1:1" x14ac:dyDescent="0.25">
      <c r="A1489"/>
    </row>
    <row r="1490" spans="1:1" x14ac:dyDescent="0.25">
      <c r="A1490"/>
    </row>
    <row r="1491" spans="1:1" x14ac:dyDescent="0.25">
      <c r="A1491"/>
    </row>
    <row r="1492" spans="1:1" x14ac:dyDescent="0.25">
      <c r="A1492"/>
    </row>
    <row r="1493" spans="1:1" x14ac:dyDescent="0.25">
      <c r="A1493"/>
    </row>
    <row r="1494" spans="1:1" x14ac:dyDescent="0.25">
      <c r="A1494"/>
    </row>
    <row r="1495" spans="1:1" x14ac:dyDescent="0.25">
      <c r="A1495"/>
    </row>
    <row r="1496" spans="1:1" x14ac:dyDescent="0.25">
      <c r="A1496"/>
    </row>
    <row r="1497" spans="1:1" x14ac:dyDescent="0.25">
      <c r="A1497"/>
    </row>
    <row r="1498" spans="1:1" x14ac:dyDescent="0.25">
      <c r="A1498"/>
    </row>
    <row r="1499" spans="1:1" x14ac:dyDescent="0.25">
      <c r="A1499"/>
    </row>
    <row r="1500" spans="1:1" x14ac:dyDescent="0.25">
      <c r="A1500"/>
    </row>
    <row r="1501" spans="1:1" x14ac:dyDescent="0.25">
      <c r="A1501"/>
    </row>
    <row r="1502" spans="1:1" x14ac:dyDescent="0.25">
      <c r="A1502"/>
    </row>
    <row r="1503" spans="1:1" x14ac:dyDescent="0.25">
      <c r="A1503"/>
    </row>
    <row r="1504" spans="1:1" x14ac:dyDescent="0.25">
      <c r="A1504"/>
    </row>
    <row r="1505" spans="1:1" x14ac:dyDescent="0.25">
      <c r="A1505"/>
    </row>
    <row r="1506" spans="1:1" x14ac:dyDescent="0.25">
      <c r="A1506"/>
    </row>
    <row r="1507" spans="1:1" x14ac:dyDescent="0.25">
      <c r="A1507"/>
    </row>
    <row r="1508" spans="1:1" x14ac:dyDescent="0.25">
      <c r="A1508"/>
    </row>
    <row r="1509" spans="1:1" x14ac:dyDescent="0.25">
      <c r="A1509"/>
    </row>
    <row r="1510" spans="1:1" x14ac:dyDescent="0.25">
      <c r="A1510"/>
    </row>
    <row r="1511" spans="1:1" x14ac:dyDescent="0.25">
      <c r="A1511"/>
    </row>
    <row r="1512" spans="1:1" x14ac:dyDescent="0.25">
      <c r="A1512"/>
    </row>
    <row r="1513" spans="1:1" x14ac:dyDescent="0.25">
      <c r="A1513"/>
    </row>
    <row r="1514" spans="1:1" x14ac:dyDescent="0.25">
      <c r="A1514"/>
    </row>
    <row r="1515" spans="1:1" x14ac:dyDescent="0.25">
      <c r="A1515"/>
    </row>
    <row r="1516" spans="1:1" x14ac:dyDescent="0.25">
      <c r="A1516"/>
    </row>
    <row r="1517" spans="1:1" x14ac:dyDescent="0.25">
      <c r="A1517"/>
    </row>
    <row r="1518" spans="1:1" x14ac:dyDescent="0.25">
      <c r="A1518"/>
    </row>
    <row r="1519" spans="1:1" x14ac:dyDescent="0.25">
      <c r="A1519"/>
    </row>
    <row r="1520" spans="1:1" x14ac:dyDescent="0.25">
      <c r="A1520"/>
    </row>
    <row r="1521" spans="1:1" x14ac:dyDescent="0.25">
      <c r="A1521"/>
    </row>
    <row r="1522" spans="1:1" x14ac:dyDescent="0.25">
      <c r="A1522"/>
    </row>
    <row r="1523" spans="1:1" x14ac:dyDescent="0.25">
      <c r="A1523"/>
    </row>
    <row r="1524" spans="1:1" x14ac:dyDescent="0.25">
      <c r="A1524"/>
    </row>
    <row r="1525" spans="1:1" x14ac:dyDescent="0.25">
      <c r="A1525"/>
    </row>
    <row r="1526" spans="1:1" x14ac:dyDescent="0.25">
      <c r="A1526"/>
    </row>
    <row r="1527" spans="1:1" x14ac:dyDescent="0.25">
      <c r="A1527"/>
    </row>
    <row r="1528" spans="1:1" x14ac:dyDescent="0.25">
      <c r="A1528"/>
    </row>
    <row r="1529" spans="1:1" x14ac:dyDescent="0.25">
      <c r="A1529"/>
    </row>
    <row r="1530" spans="1:1" x14ac:dyDescent="0.25">
      <c r="A1530"/>
    </row>
    <row r="1531" spans="1:1" x14ac:dyDescent="0.25">
      <c r="A1531"/>
    </row>
    <row r="1532" spans="1:1" x14ac:dyDescent="0.25">
      <c r="A1532"/>
    </row>
    <row r="1533" spans="1:1" x14ac:dyDescent="0.25">
      <c r="A1533"/>
    </row>
    <row r="1534" spans="1:1" x14ac:dyDescent="0.25">
      <c r="A1534"/>
    </row>
    <row r="1535" spans="1:1" x14ac:dyDescent="0.25">
      <c r="A1535"/>
    </row>
    <row r="1536" spans="1:1" x14ac:dyDescent="0.25">
      <c r="A1536"/>
    </row>
    <row r="1537" spans="1:1" x14ac:dyDescent="0.25">
      <c r="A1537"/>
    </row>
    <row r="1538" spans="1:1" x14ac:dyDescent="0.25">
      <c r="A1538"/>
    </row>
    <row r="1539" spans="1:1" x14ac:dyDescent="0.25">
      <c r="A1539"/>
    </row>
    <row r="1540" spans="1:1" x14ac:dyDescent="0.25">
      <c r="A1540"/>
    </row>
    <row r="1541" spans="1:1" x14ac:dyDescent="0.25">
      <c r="A1541"/>
    </row>
    <row r="1542" spans="1:1" x14ac:dyDescent="0.25">
      <c r="A1542"/>
    </row>
    <row r="1543" spans="1:1" x14ac:dyDescent="0.25">
      <c r="A1543"/>
    </row>
    <row r="1544" spans="1:1" x14ac:dyDescent="0.25">
      <c r="A1544"/>
    </row>
    <row r="1545" spans="1:1" x14ac:dyDescent="0.25">
      <c r="A1545"/>
    </row>
    <row r="1546" spans="1:1" x14ac:dyDescent="0.25">
      <c r="A1546"/>
    </row>
    <row r="1547" spans="1:1" x14ac:dyDescent="0.25">
      <c r="A1547"/>
    </row>
    <row r="1548" spans="1:1" x14ac:dyDescent="0.25">
      <c r="A1548"/>
    </row>
    <row r="1549" spans="1:1" x14ac:dyDescent="0.25">
      <c r="A1549"/>
    </row>
    <row r="1550" spans="1:1" x14ac:dyDescent="0.25">
      <c r="A1550"/>
    </row>
    <row r="1551" spans="1:1" x14ac:dyDescent="0.25">
      <c r="A1551"/>
    </row>
    <row r="1552" spans="1:1" x14ac:dyDescent="0.25">
      <c r="A1552"/>
    </row>
    <row r="1553" spans="1:1" x14ac:dyDescent="0.25">
      <c r="A1553"/>
    </row>
    <row r="1554" spans="1:1" x14ac:dyDescent="0.25">
      <c r="A1554"/>
    </row>
    <row r="1555" spans="1:1" x14ac:dyDescent="0.25">
      <c r="A1555"/>
    </row>
    <row r="1556" spans="1:1" x14ac:dyDescent="0.25">
      <c r="A1556"/>
    </row>
    <row r="1557" spans="1:1" x14ac:dyDescent="0.25">
      <c r="A1557"/>
    </row>
    <row r="1558" spans="1:1" x14ac:dyDescent="0.25">
      <c r="A1558"/>
    </row>
    <row r="1559" spans="1:1" x14ac:dyDescent="0.25">
      <c r="A1559"/>
    </row>
    <row r="1560" spans="1:1" x14ac:dyDescent="0.25">
      <c r="A1560"/>
    </row>
    <row r="1561" spans="1:1" x14ac:dyDescent="0.25">
      <c r="A1561"/>
    </row>
    <row r="1562" spans="1:1" x14ac:dyDescent="0.25">
      <c r="A1562"/>
    </row>
    <row r="1563" spans="1:1" x14ac:dyDescent="0.25">
      <c r="A1563"/>
    </row>
    <row r="1564" spans="1:1" x14ac:dyDescent="0.25">
      <c r="A1564"/>
    </row>
    <row r="1565" spans="1:1" x14ac:dyDescent="0.25">
      <c r="A1565"/>
    </row>
    <row r="1566" spans="1:1" x14ac:dyDescent="0.25">
      <c r="A1566"/>
    </row>
    <row r="1567" spans="1:1" x14ac:dyDescent="0.25">
      <c r="A1567"/>
    </row>
    <row r="1568" spans="1:1" x14ac:dyDescent="0.25">
      <c r="A1568"/>
    </row>
    <row r="1569" spans="1:1" x14ac:dyDescent="0.25">
      <c r="A1569"/>
    </row>
    <row r="1570" spans="1:1" x14ac:dyDescent="0.25">
      <c r="A1570"/>
    </row>
    <row r="1571" spans="1:1" x14ac:dyDescent="0.25">
      <c r="A1571"/>
    </row>
    <row r="1572" spans="1:1" x14ac:dyDescent="0.25">
      <c r="A1572"/>
    </row>
    <row r="1573" spans="1:1" x14ac:dyDescent="0.25">
      <c r="A1573"/>
    </row>
    <row r="1574" spans="1:1" x14ac:dyDescent="0.25">
      <c r="A1574"/>
    </row>
    <row r="1575" spans="1:1" x14ac:dyDescent="0.25">
      <c r="A1575"/>
    </row>
    <row r="1576" spans="1:1" x14ac:dyDescent="0.25">
      <c r="A1576"/>
    </row>
    <row r="1577" spans="1:1" x14ac:dyDescent="0.25">
      <c r="A1577"/>
    </row>
    <row r="1578" spans="1:1" x14ac:dyDescent="0.25">
      <c r="A1578"/>
    </row>
    <row r="1579" spans="1:1" x14ac:dyDescent="0.25">
      <c r="A1579"/>
    </row>
    <row r="1580" spans="1:1" x14ac:dyDescent="0.25">
      <c r="A1580"/>
    </row>
    <row r="1581" spans="1:1" x14ac:dyDescent="0.25">
      <c r="A1581"/>
    </row>
    <row r="1582" spans="1:1" x14ac:dyDescent="0.25">
      <c r="A1582"/>
    </row>
    <row r="1583" spans="1:1" x14ac:dyDescent="0.25">
      <c r="A1583"/>
    </row>
    <row r="1584" spans="1:1" x14ac:dyDescent="0.25">
      <c r="A1584"/>
    </row>
    <row r="1585" spans="1:1" x14ac:dyDescent="0.25">
      <c r="A1585"/>
    </row>
    <row r="1586" spans="1:1" x14ac:dyDescent="0.25">
      <c r="A1586"/>
    </row>
    <row r="1587" spans="1:1" x14ac:dyDescent="0.25">
      <c r="A1587"/>
    </row>
    <row r="1588" spans="1:1" x14ac:dyDescent="0.25">
      <c r="A1588"/>
    </row>
    <row r="1589" spans="1:1" x14ac:dyDescent="0.25">
      <c r="A1589"/>
    </row>
    <row r="1590" spans="1:1" x14ac:dyDescent="0.25">
      <c r="A1590"/>
    </row>
    <row r="1591" spans="1:1" x14ac:dyDescent="0.25">
      <c r="A1591"/>
    </row>
    <row r="1592" spans="1:1" x14ac:dyDescent="0.25">
      <c r="A1592"/>
    </row>
    <row r="1593" spans="1:1" x14ac:dyDescent="0.25">
      <c r="A1593"/>
    </row>
    <row r="1594" spans="1:1" x14ac:dyDescent="0.25">
      <c r="A1594"/>
    </row>
    <row r="1595" spans="1:1" x14ac:dyDescent="0.25">
      <c r="A1595"/>
    </row>
    <row r="1596" spans="1:1" x14ac:dyDescent="0.25">
      <c r="A1596"/>
    </row>
    <row r="1597" spans="1:1" x14ac:dyDescent="0.25">
      <c r="A1597"/>
    </row>
    <row r="1598" spans="1:1" x14ac:dyDescent="0.25">
      <c r="A1598"/>
    </row>
    <row r="1599" spans="1:1" x14ac:dyDescent="0.25">
      <c r="A1599"/>
    </row>
    <row r="1600" spans="1:1" x14ac:dyDescent="0.25">
      <c r="A1600"/>
    </row>
    <row r="1601" spans="1:1" x14ac:dyDescent="0.25">
      <c r="A1601"/>
    </row>
    <row r="1602" spans="1:1" x14ac:dyDescent="0.25">
      <c r="A1602"/>
    </row>
    <row r="1603" spans="1:1" x14ac:dyDescent="0.25">
      <c r="A1603"/>
    </row>
    <row r="1604" spans="1:1" x14ac:dyDescent="0.25">
      <c r="A1604"/>
    </row>
    <row r="1605" spans="1:1" x14ac:dyDescent="0.25">
      <c r="A1605"/>
    </row>
    <row r="1606" spans="1:1" x14ac:dyDescent="0.25">
      <c r="A1606"/>
    </row>
    <row r="1607" spans="1:1" x14ac:dyDescent="0.25">
      <c r="A1607"/>
    </row>
    <row r="1608" spans="1:1" x14ac:dyDescent="0.25">
      <c r="A1608"/>
    </row>
    <row r="1609" spans="1:1" x14ac:dyDescent="0.25">
      <c r="A1609"/>
    </row>
    <row r="1610" spans="1:1" x14ac:dyDescent="0.25">
      <c r="A1610"/>
    </row>
    <row r="1611" spans="1:1" x14ac:dyDescent="0.25">
      <c r="A1611"/>
    </row>
    <row r="1612" spans="1:1" x14ac:dyDescent="0.25">
      <c r="A1612"/>
    </row>
    <row r="1613" spans="1:1" x14ac:dyDescent="0.25">
      <c r="A1613"/>
    </row>
    <row r="1614" spans="1:1" x14ac:dyDescent="0.25">
      <c r="A1614"/>
    </row>
    <row r="1615" spans="1:1" x14ac:dyDescent="0.25">
      <c r="A1615"/>
    </row>
    <row r="1616" spans="1:1" x14ac:dyDescent="0.25">
      <c r="A1616"/>
    </row>
    <row r="1617" spans="1:1" x14ac:dyDescent="0.25">
      <c r="A1617"/>
    </row>
    <row r="1618" spans="1:1" x14ac:dyDescent="0.25">
      <c r="A1618"/>
    </row>
    <row r="1619" spans="1:1" x14ac:dyDescent="0.25">
      <c r="A1619"/>
    </row>
    <row r="1620" spans="1:1" x14ac:dyDescent="0.25">
      <c r="A1620"/>
    </row>
    <row r="1621" spans="1:1" x14ac:dyDescent="0.25">
      <c r="A1621"/>
    </row>
    <row r="1622" spans="1:1" x14ac:dyDescent="0.25">
      <c r="A1622"/>
    </row>
    <row r="1623" spans="1:1" x14ac:dyDescent="0.25">
      <c r="A1623"/>
    </row>
    <row r="1624" spans="1:1" x14ac:dyDescent="0.25">
      <c r="A1624"/>
    </row>
    <row r="1625" spans="1:1" x14ac:dyDescent="0.25">
      <c r="A1625"/>
    </row>
    <row r="1626" spans="1:1" x14ac:dyDescent="0.25">
      <c r="A1626"/>
    </row>
    <row r="1627" spans="1:1" x14ac:dyDescent="0.25">
      <c r="A1627"/>
    </row>
    <row r="1628" spans="1:1" x14ac:dyDescent="0.25">
      <c r="A1628"/>
    </row>
    <row r="1629" spans="1:1" x14ac:dyDescent="0.25">
      <c r="A1629"/>
    </row>
    <row r="1630" spans="1:1" x14ac:dyDescent="0.25">
      <c r="A1630"/>
    </row>
    <row r="1631" spans="1:1" x14ac:dyDescent="0.25">
      <c r="A1631"/>
    </row>
    <row r="1632" spans="1:1" x14ac:dyDescent="0.25">
      <c r="A1632"/>
    </row>
    <row r="1633" spans="1:1" x14ac:dyDescent="0.25">
      <c r="A1633"/>
    </row>
    <row r="1634" spans="1:1" x14ac:dyDescent="0.25">
      <c r="A1634"/>
    </row>
    <row r="1635" spans="1:1" x14ac:dyDescent="0.25">
      <c r="A1635"/>
    </row>
    <row r="1636" spans="1:1" x14ac:dyDescent="0.25">
      <c r="A1636"/>
    </row>
    <row r="1637" spans="1:1" x14ac:dyDescent="0.25">
      <c r="A1637"/>
    </row>
    <row r="1638" spans="1:1" x14ac:dyDescent="0.25">
      <c r="A1638"/>
    </row>
    <row r="1639" spans="1:1" x14ac:dyDescent="0.25">
      <c r="A1639"/>
    </row>
    <row r="1640" spans="1:1" x14ac:dyDescent="0.25">
      <c r="A1640"/>
    </row>
    <row r="1641" spans="1:1" x14ac:dyDescent="0.25">
      <c r="A1641"/>
    </row>
    <row r="1642" spans="1:1" x14ac:dyDescent="0.25">
      <c r="A1642"/>
    </row>
    <row r="1643" spans="1:1" x14ac:dyDescent="0.25">
      <c r="A1643"/>
    </row>
    <row r="1644" spans="1:1" x14ac:dyDescent="0.25">
      <c r="A1644"/>
    </row>
    <row r="1645" spans="1:1" x14ac:dyDescent="0.25">
      <c r="A1645"/>
    </row>
    <row r="1646" spans="1:1" x14ac:dyDescent="0.25">
      <c r="A1646"/>
    </row>
    <row r="1647" spans="1:1" x14ac:dyDescent="0.25">
      <c r="A1647"/>
    </row>
    <row r="1648" spans="1:1" x14ac:dyDescent="0.25">
      <c r="A1648"/>
    </row>
    <row r="1649" spans="1:1" x14ac:dyDescent="0.25">
      <c r="A1649"/>
    </row>
    <row r="1650" spans="1:1" x14ac:dyDescent="0.25">
      <c r="A1650"/>
    </row>
    <row r="1651" spans="1:1" x14ac:dyDescent="0.25">
      <c r="A1651"/>
    </row>
    <row r="1652" spans="1:1" x14ac:dyDescent="0.25">
      <c r="A1652"/>
    </row>
    <row r="1653" spans="1:1" x14ac:dyDescent="0.25">
      <c r="A1653"/>
    </row>
    <row r="1654" spans="1:1" x14ac:dyDescent="0.25">
      <c r="A1654"/>
    </row>
    <row r="1655" spans="1:1" x14ac:dyDescent="0.25">
      <c r="A1655"/>
    </row>
    <row r="1656" spans="1:1" x14ac:dyDescent="0.25">
      <c r="A1656"/>
    </row>
    <row r="1657" spans="1:1" x14ac:dyDescent="0.25">
      <c r="A1657"/>
    </row>
    <row r="1658" spans="1:1" x14ac:dyDescent="0.25">
      <c r="A1658"/>
    </row>
    <row r="1659" spans="1:1" x14ac:dyDescent="0.25">
      <c r="A1659"/>
    </row>
    <row r="1660" spans="1:1" x14ac:dyDescent="0.25">
      <c r="A1660"/>
    </row>
    <row r="1661" spans="1:1" x14ac:dyDescent="0.25">
      <c r="A1661"/>
    </row>
    <row r="1662" spans="1:1" x14ac:dyDescent="0.25">
      <c r="A1662"/>
    </row>
    <row r="1663" spans="1:1" x14ac:dyDescent="0.25">
      <c r="A1663"/>
    </row>
    <row r="1664" spans="1:1" x14ac:dyDescent="0.25">
      <c r="A1664"/>
    </row>
    <row r="1665" spans="1:1" x14ac:dyDescent="0.25">
      <c r="A1665"/>
    </row>
    <row r="1666" spans="1:1" x14ac:dyDescent="0.25">
      <c r="A1666"/>
    </row>
    <row r="1667" spans="1:1" x14ac:dyDescent="0.25">
      <c r="A1667"/>
    </row>
    <row r="1668" spans="1:1" x14ac:dyDescent="0.25">
      <c r="A1668"/>
    </row>
    <row r="1669" spans="1:1" x14ac:dyDescent="0.25">
      <c r="A1669"/>
    </row>
    <row r="1670" spans="1:1" x14ac:dyDescent="0.25">
      <c r="A1670"/>
    </row>
    <row r="1671" spans="1:1" x14ac:dyDescent="0.25">
      <c r="A1671"/>
    </row>
    <row r="1672" spans="1:1" x14ac:dyDescent="0.25">
      <c r="A1672"/>
    </row>
    <row r="1673" spans="1:1" x14ac:dyDescent="0.25">
      <c r="A1673"/>
    </row>
    <row r="1674" spans="1:1" x14ac:dyDescent="0.25">
      <c r="A1674"/>
    </row>
    <row r="1675" spans="1:1" x14ac:dyDescent="0.25">
      <c r="A1675"/>
    </row>
    <row r="1676" spans="1:1" x14ac:dyDescent="0.25">
      <c r="A1676"/>
    </row>
    <row r="1677" spans="1:1" x14ac:dyDescent="0.25">
      <c r="A1677"/>
    </row>
    <row r="1678" spans="1:1" x14ac:dyDescent="0.25">
      <c r="A1678"/>
    </row>
    <row r="1679" spans="1:1" x14ac:dyDescent="0.25">
      <c r="A1679"/>
    </row>
    <row r="1680" spans="1:1" x14ac:dyDescent="0.25">
      <c r="A1680"/>
    </row>
    <row r="1681" spans="1:1" x14ac:dyDescent="0.25">
      <c r="A1681"/>
    </row>
    <row r="1682" spans="1:1" x14ac:dyDescent="0.25">
      <c r="A1682"/>
    </row>
    <row r="1683" spans="1:1" x14ac:dyDescent="0.25">
      <c r="A1683"/>
    </row>
    <row r="1684" spans="1:1" x14ac:dyDescent="0.25">
      <c r="A1684"/>
    </row>
    <row r="1685" spans="1:1" x14ac:dyDescent="0.25">
      <c r="A1685"/>
    </row>
    <row r="1686" spans="1:1" x14ac:dyDescent="0.25">
      <c r="A1686"/>
    </row>
    <row r="1687" spans="1:1" x14ac:dyDescent="0.25">
      <c r="A1687"/>
    </row>
    <row r="1688" spans="1:1" x14ac:dyDescent="0.25">
      <c r="A1688"/>
    </row>
    <row r="1689" spans="1:1" x14ac:dyDescent="0.25">
      <c r="A1689"/>
    </row>
    <row r="1690" spans="1:1" x14ac:dyDescent="0.25">
      <c r="A1690"/>
    </row>
    <row r="1691" spans="1:1" x14ac:dyDescent="0.25">
      <c r="A1691"/>
    </row>
    <row r="1692" spans="1:1" x14ac:dyDescent="0.25">
      <c r="A1692"/>
    </row>
    <row r="1693" spans="1:1" x14ac:dyDescent="0.25">
      <c r="A1693"/>
    </row>
    <row r="1694" spans="1:1" x14ac:dyDescent="0.25">
      <c r="A1694"/>
    </row>
    <row r="1695" spans="1:1" x14ac:dyDescent="0.25">
      <c r="A1695"/>
    </row>
    <row r="1696" spans="1:1" x14ac:dyDescent="0.25">
      <c r="A1696"/>
    </row>
    <row r="1697" spans="1:1" x14ac:dyDescent="0.25">
      <c r="A1697"/>
    </row>
    <row r="1698" spans="1:1" x14ac:dyDescent="0.25">
      <c r="A1698"/>
    </row>
    <row r="1699" spans="1:1" x14ac:dyDescent="0.25">
      <c r="A1699"/>
    </row>
    <row r="1700" spans="1:1" x14ac:dyDescent="0.25">
      <c r="A1700"/>
    </row>
    <row r="1701" spans="1:1" x14ac:dyDescent="0.25">
      <c r="A1701"/>
    </row>
    <row r="1702" spans="1:1" x14ac:dyDescent="0.25">
      <c r="A1702"/>
    </row>
    <row r="1703" spans="1:1" x14ac:dyDescent="0.25">
      <c r="A1703"/>
    </row>
    <row r="1704" spans="1:1" x14ac:dyDescent="0.25">
      <c r="A1704"/>
    </row>
    <row r="1705" spans="1:1" x14ac:dyDescent="0.25">
      <c r="A1705"/>
    </row>
    <row r="1706" spans="1:1" x14ac:dyDescent="0.25">
      <c r="A1706"/>
    </row>
    <row r="1707" spans="1:1" x14ac:dyDescent="0.25">
      <c r="A1707"/>
    </row>
    <row r="1708" spans="1:1" x14ac:dyDescent="0.25">
      <c r="A1708"/>
    </row>
    <row r="1709" spans="1:1" x14ac:dyDescent="0.25">
      <c r="A1709"/>
    </row>
    <row r="1710" spans="1:1" x14ac:dyDescent="0.25">
      <c r="A1710"/>
    </row>
    <row r="1711" spans="1:1" x14ac:dyDescent="0.25">
      <c r="A1711"/>
    </row>
    <row r="1712" spans="1:1" x14ac:dyDescent="0.25">
      <c r="A1712"/>
    </row>
    <row r="1713" spans="1:1" x14ac:dyDescent="0.25">
      <c r="A1713"/>
    </row>
    <row r="1714" spans="1:1" x14ac:dyDescent="0.25">
      <c r="A1714"/>
    </row>
    <row r="1715" spans="1:1" x14ac:dyDescent="0.25">
      <c r="A1715"/>
    </row>
    <row r="1716" spans="1:1" x14ac:dyDescent="0.25">
      <c r="A1716"/>
    </row>
    <row r="1717" spans="1:1" x14ac:dyDescent="0.25">
      <c r="A1717"/>
    </row>
    <row r="1718" spans="1:1" x14ac:dyDescent="0.25">
      <c r="A1718"/>
    </row>
    <row r="1719" spans="1:1" x14ac:dyDescent="0.25">
      <c r="A1719"/>
    </row>
    <row r="1720" spans="1:1" x14ac:dyDescent="0.25">
      <c r="A1720"/>
    </row>
    <row r="1721" spans="1:1" x14ac:dyDescent="0.25">
      <c r="A1721"/>
    </row>
    <row r="1722" spans="1:1" x14ac:dyDescent="0.25">
      <c r="A1722"/>
    </row>
    <row r="1723" spans="1:1" x14ac:dyDescent="0.25">
      <c r="A1723"/>
    </row>
    <row r="1724" spans="1:1" x14ac:dyDescent="0.25">
      <c r="A1724"/>
    </row>
    <row r="1725" spans="1:1" x14ac:dyDescent="0.25">
      <c r="A1725"/>
    </row>
    <row r="1726" spans="1:1" x14ac:dyDescent="0.25">
      <c r="A1726"/>
    </row>
    <row r="1727" spans="1:1" x14ac:dyDescent="0.25">
      <c r="A1727"/>
    </row>
    <row r="1728" spans="1:1" x14ac:dyDescent="0.25">
      <c r="A1728"/>
    </row>
    <row r="1729" spans="1:1" x14ac:dyDescent="0.25">
      <c r="A1729"/>
    </row>
    <row r="1730" spans="1:1" x14ac:dyDescent="0.25">
      <c r="A1730"/>
    </row>
    <row r="1731" spans="1:1" x14ac:dyDescent="0.25">
      <c r="A1731"/>
    </row>
    <row r="1732" spans="1:1" x14ac:dyDescent="0.25">
      <c r="A1732"/>
    </row>
    <row r="1733" spans="1:1" x14ac:dyDescent="0.25">
      <c r="A1733"/>
    </row>
    <row r="1734" spans="1:1" x14ac:dyDescent="0.25">
      <c r="A1734"/>
    </row>
    <row r="1735" spans="1:1" x14ac:dyDescent="0.25">
      <c r="A1735"/>
    </row>
    <row r="1736" spans="1:1" x14ac:dyDescent="0.25">
      <c r="A1736"/>
    </row>
    <row r="1737" spans="1:1" x14ac:dyDescent="0.25">
      <c r="A1737"/>
    </row>
    <row r="1738" spans="1:1" x14ac:dyDescent="0.25">
      <c r="A1738"/>
    </row>
    <row r="1739" spans="1:1" x14ac:dyDescent="0.25">
      <c r="A1739"/>
    </row>
    <row r="1740" spans="1:1" x14ac:dyDescent="0.25">
      <c r="A1740"/>
    </row>
    <row r="1741" spans="1:1" x14ac:dyDescent="0.25">
      <c r="A1741"/>
    </row>
    <row r="1742" spans="1:1" x14ac:dyDescent="0.25">
      <c r="A1742"/>
    </row>
    <row r="1743" spans="1:1" x14ac:dyDescent="0.25">
      <c r="A1743"/>
    </row>
    <row r="1744" spans="1:1" x14ac:dyDescent="0.25">
      <c r="A1744"/>
    </row>
    <row r="1745" spans="1:1" x14ac:dyDescent="0.25">
      <c r="A1745"/>
    </row>
    <row r="1746" spans="1:1" x14ac:dyDescent="0.25">
      <c r="A1746"/>
    </row>
    <row r="1747" spans="1:1" x14ac:dyDescent="0.25">
      <c r="A1747"/>
    </row>
    <row r="1748" spans="1:1" x14ac:dyDescent="0.25">
      <c r="A1748"/>
    </row>
    <row r="1749" spans="1:1" x14ac:dyDescent="0.25">
      <c r="A1749"/>
    </row>
    <row r="1750" spans="1:1" x14ac:dyDescent="0.25">
      <c r="A1750"/>
    </row>
    <row r="1751" spans="1:1" x14ac:dyDescent="0.25">
      <c r="A1751"/>
    </row>
    <row r="1752" spans="1:1" x14ac:dyDescent="0.25">
      <c r="A1752"/>
    </row>
    <row r="1753" spans="1:1" x14ac:dyDescent="0.25">
      <c r="A1753"/>
    </row>
    <row r="1754" spans="1:1" x14ac:dyDescent="0.25">
      <c r="A1754"/>
    </row>
    <row r="1755" spans="1:1" x14ac:dyDescent="0.25">
      <c r="A1755"/>
    </row>
    <row r="1756" spans="1:1" x14ac:dyDescent="0.25">
      <c r="A1756"/>
    </row>
    <row r="1757" spans="1:1" x14ac:dyDescent="0.25">
      <c r="A1757"/>
    </row>
    <row r="1758" spans="1:1" x14ac:dyDescent="0.25">
      <c r="A1758"/>
    </row>
    <row r="1759" spans="1:1" x14ac:dyDescent="0.25">
      <c r="A1759"/>
    </row>
    <row r="1760" spans="1:1" x14ac:dyDescent="0.25">
      <c r="A1760"/>
    </row>
    <row r="1761" spans="1:1" x14ac:dyDescent="0.25">
      <c r="A1761"/>
    </row>
    <row r="1762" spans="1:1" x14ac:dyDescent="0.25">
      <c r="A1762"/>
    </row>
    <row r="1763" spans="1:1" x14ac:dyDescent="0.25">
      <c r="A1763"/>
    </row>
    <row r="1764" spans="1:1" x14ac:dyDescent="0.25">
      <c r="A1764"/>
    </row>
    <row r="1765" spans="1:1" x14ac:dyDescent="0.25">
      <c r="A1765"/>
    </row>
    <row r="1766" spans="1:1" x14ac:dyDescent="0.25">
      <c r="A1766"/>
    </row>
    <row r="1767" spans="1:1" x14ac:dyDescent="0.25">
      <c r="A1767"/>
    </row>
    <row r="1768" spans="1:1" x14ac:dyDescent="0.25">
      <c r="A1768"/>
    </row>
    <row r="1769" spans="1:1" x14ac:dyDescent="0.25">
      <c r="A1769"/>
    </row>
    <row r="1770" spans="1:1" x14ac:dyDescent="0.25">
      <c r="A1770"/>
    </row>
    <row r="1771" spans="1:1" x14ac:dyDescent="0.25">
      <c r="A1771"/>
    </row>
    <row r="1772" spans="1:1" x14ac:dyDescent="0.25">
      <c r="A1772"/>
    </row>
    <row r="1773" spans="1:1" x14ac:dyDescent="0.25">
      <c r="A1773"/>
    </row>
    <row r="1774" spans="1:1" x14ac:dyDescent="0.25">
      <c r="A1774"/>
    </row>
    <row r="1775" spans="1:1" x14ac:dyDescent="0.25">
      <c r="A1775"/>
    </row>
    <row r="1776" spans="1:1" x14ac:dyDescent="0.25">
      <c r="A1776"/>
    </row>
    <row r="1777" spans="1:1" x14ac:dyDescent="0.25">
      <c r="A1777"/>
    </row>
    <row r="1778" spans="1:1" x14ac:dyDescent="0.25">
      <c r="A1778"/>
    </row>
    <row r="1779" spans="1:1" x14ac:dyDescent="0.25">
      <c r="A1779"/>
    </row>
    <row r="1780" spans="1:1" x14ac:dyDescent="0.25">
      <c r="A1780"/>
    </row>
    <row r="1781" spans="1:1" x14ac:dyDescent="0.25">
      <c r="A1781"/>
    </row>
    <row r="1782" spans="1:1" x14ac:dyDescent="0.25">
      <c r="A1782"/>
    </row>
    <row r="1783" spans="1:1" x14ac:dyDescent="0.25">
      <c r="A1783"/>
    </row>
    <row r="1784" spans="1:1" x14ac:dyDescent="0.25">
      <c r="A1784"/>
    </row>
    <row r="1785" spans="1:1" x14ac:dyDescent="0.25">
      <c r="A1785"/>
    </row>
    <row r="1786" spans="1:1" x14ac:dyDescent="0.25">
      <c r="A1786"/>
    </row>
    <row r="1787" spans="1:1" x14ac:dyDescent="0.25">
      <c r="A1787"/>
    </row>
    <row r="1788" spans="1:1" x14ac:dyDescent="0.25">
      <c r="A1788"/>
    </row>
    <row r="1789" spans="1:1" x14ac:dyDescent="0.25">
      <c r="A1789"/>
    </row>
    <row r="1790" spans="1:1" x14ac:dyDescent="0.25">
      <c r="A1790"/>
    </row>
    <row r="1791" spans="1:1" x14ac:dyDescent="0.25">
      <c r="A1791"/>
    </row>
    <row r="1792" spans="1:1" x14ac:dyDescent="0.25">
      <c r="A1792"/>
    </row>
    <row r="1793" spans="1:1" x14ac:dyDescent="0.25">
      <c r="A1793"/>
    </row>
    <row r="1794" spans="1:1" x14ac:dyDescent="0.25">
      <c r="A1794"/>
    </row>
    <row r="1795" spans="1:1" x14ac:dyDescent="0.25">
      <c r="A1795"/>
    </row>
    <row r="1796" spans="1:1" x14ac:dyDescent="0.25">
      <c r="A1796"/>
    </row>
    <row r="1797" spans="1:1" x14ac:dyDescent="0.25">
      <c r="A1797"/>
    </row>
    <row r="1798" spans="1:1" x14ac:dyDescent="0.25">
      <c r="A1798"/>
    </row>
    <row r="1799" spans="1:1" x14ac:dyDescent="0.25">
      <c r="A1799"/>
    </row>
    <row r="1800" spans="1:1" x14ac:dyDescent="0.25">
      <c r="A1800"/>
    </row>
    <row r="1801" spans="1:1" x14ac:dyDescent="0.25">
      <c r="A1801"/>
    </row>
    <row r="1802" spans="1:1" x14ac:dyDescent="0.25">
      <c r="A1802"/>
    </row>
    <row r="1803" spans="1:1" x14ac:dyDescent="0.25">
      <c r="A1803"/>
    </row>
    <row r="1804" spans="1:1" x14ac:dyDescent="0.25">
      <c r="A1804"/>
    </row>
    <row r="1805" spans="1:1" x14ac:dyDescent="0.25">
      <c r="A1805"/>
    </row>
    <row r="1806" spans="1:1" x14ac:dyDescent="0.25">
      <c r="A1806"/>
    </row>
    <row r="1807" spans="1:1" x14ac:dyDescent="0.25">
      <c r="A1807"/>
    </row>
    <row r="1808" spans="1:1" x14ac:dyDescent="0.25">
      <c r="A1808"/>
    </row>
    <row r="1809" spans="1:1" x14ac:dyDescent="0.25">
      <c r="A1809"/>
    </row>
    <row r="1810" spans="1:1" x14ac:dyDescent="0.25">
      <c r="A1810"/>
    </row>
    <row r="1811" spans="1:1" x14ac:dyDescent="0.25">
      <c r="A1811"/>
    </row>
    <row r="1812" spans="1:1" x14ac:dyDescent="0.25">
      <c r="A1812"/>
    </row>
    <row r="1813" spans="1:1" x14ac:dyDescent="0.25">
      <c r="A1813"/>
    </row>
    <row r="1814" spans="1:1" x14ac:dyDescent="0.25">
      <c r="A1814"/>
    </row>
    <row r="1815" spans="1:1" x14ac:dyDescent="0.25">
      <c r="A1815"/>
    </row>
    <row r="1816" spans="1:1" x14ac:dyDescent="0.25">
      <c r="A1816"/>
    </row>
    <row r="1817" spans="1:1" x14ac:dyDescent="0.25">
      <c r="A1817"/>
    </row>
    <row r="1818" spans="1:1" x14ac:dyDescent="0.25">
      <c r="A1818"/>
    </row>
    <row r="1819" spans="1:1" x14ac:dyDescent="0.25">
      <c r="A1819"/>
    </row>
    <row r="1820" spans="1:1" x14ac:dyDescent="0.25">
      <c r="A1820"/>
    </row>
    <row r="1821" spans="1:1" x14ac:dyDescent="0.25">
      <c r="A1821"/>
    </row>
    <row r="1822" spans="1:1" x14ac:dyDescent="0.25">
      <c r="A1822"/>
    </row>
    <row r="1823" spans="1:1" x14ac:dyDescent="0.25">
      <c r="A1823"/>
    </row>
    <row r="1824" spans="1:1" x14ac:dyDescent="0.25">
      <c r="A1824"/>
    </row>
    <row r="1825" spans="1:1" x14ac:dyDescent="0.25">
      <c r="A1825"/>
    </row>
    <row r="1826" spans="1:1" x14ac:dyDescent="0.25">
      <c r="A1826"/>
    </row>
    <row r="1827" spans="1:1" x14ac:dyDescent="0.25">
      <c r="A1827"/>
    </row>
    <row r="1828" spans="1:1" x14ac:dyDescent="0.25">
      <c r="A1828"/>
    </row>
    <row r="1829" spans="1:1" x14ac:dyDescent="0.25">
      <c r="A1829"/>
    </row>
    <row r="1830" spans="1:1" x14ac:dyDescent="0.25">
      <c r="A1830"/>
    </row>
    <row r="1831" spans="1:1" x14ac:dyDescent="0.25">
      <c r="A1831"/>
    </row>
    <row r="1832" spans="1:1" x14ac:dyDescent="0.25">
      <c r="A1832"/>
    </row>
    <row r="1833" spans="1:1" x14ac:dyDescent="0.25">
      <c r="A1833"/>
    </row>
    <row r="1834" spans="1:1" x14ac:dyDescent="0.25">
      <c r="A1834"/>
    </row>
    <row r="1835" spans="1:1" x14ac:dyDescent="0.25">
      <c r="A1835"/>
    </row>
    <row r="1836" spans="1:1" x14ac:dyDescent="0.25">
      <c r="A1836"/>
    </row>
    <row r="1837" spans="1:1" x14ac:dyDescent="0.25">
      <c r="A1837"/>
    </row>
    <row r="1838" spans="1:1" x14ac:dyDescent="0.25">
      <c r="A1838"/>
    </row>
    <row r="1839" spans="1:1" x14ac:dyDescent="0.25">
      <c r="A1839"/>
    </row>
    <row r="1840" spans="1:1" x14ac:dyDescent="0.25">
      <c r="A1840"/>
    </row>
    <row r="1841" spans="1:1" x14ac:dyDescent="0.25">
      <c r="A1841"/>
    </row>
    <row r="1842" spans="1:1" x14ac:dyDescent="0.25">
      <c r="A1842"/>
    </row>
    <row r="1843" spans="1:1" x14ac:dyDescent="0.25">
      <c r="A1843"/>
    </row>
    <row r="1844" spans="1:1" x14ac:dyDescent="0.25">
      <c r="A1844"/>
    </row>
    <row r="1845" spans="1:1" x14ac:dyDescent="0.25">
      <c r="A1845"/>
    </row>
    <row r="1846" spans="1:1" x14ac:dyDescent="0.25">
      <c r="A1846"/>
    </row>
    <row r="1847" spans="1:1" x14ac:dyDescent="0.25">
      <c r="A1847"/>
    </row>
    <row r="1848" spans="1:1" x14ac:dyDescent="0.25">
      <c r="A1848"/>
    </row>
    <row r="1849" spans="1:1" x14ac:dyDescent="0.25">
      <c r="A1849"/>
    </row>
    <row r="1850" spans="1:1" x14ac:dyDescent="0.25">
      <c r="A1850"/>
    </row>
    <row r="1851" spans="1:1" x14ac:dyDescent="0.25">
      <c r="A1851"/>
    </row>
    <row r="1852" spans="1:1" x14ac:dyDescent="0.25">
      <c r="A1852"/>
    </row>
    <row r="1853" spans="1:1" x14ac:dyDescent="0.25">
      <c r="A1853"/>
    </row>
    <row r="1854" spans="1:1" x14ac:dyDescent="0.25">
      <c r="A1854"/>
    </row>
    <row r="1855" spans="1:1" x14ac:dyDescent="0.25">
      <c r="A1855"/>
    </row>
    <row r="1856" spans="1:1" x14ac:dyDescent="0.25">
      <c r="A1856"/>
    </row>
    <row r="1857" spans="1:1" x14ac:dyDescent="0.25">
      <c r="A1857"/>
    </row>
    <row r="1858" spans="1:1" x14ac:dyDescent="0.25">
      <c r="A1858"/>
    </row>
    <row r="1859" spans="1:1" x14ac:dyDescent="0.25">
      <c r="A1859"/>
    </row>
    <row r="1860" spans="1:1" x14ac:dyDescent="0.25">
      <c r="A1860"/>
    </row>
    <row r="1861" spans="1:1" x14ac:dyDescent="0.25">
      <c r="A1861"/>
    </row>
    <row r="1862" spans="1:1" x14ac:dyDescent="0.25">
      <c r="A1862"/>
    </row>
    <row r="1863" spans="1:1" x14ac:dyDescent="0.25">
      <c r="A1863"/>
    </row>
    <row r="1864" spans="1:1" x14ac:dyDescent="0.25">
      <c r="A1864"/>
    </row>
    <row r="1865" spans="1:1" x14ac:dyDescent="0.25">
      <c r="A1865"/>
    </row>
    <row r="1866" spans="1:1" x14ac:dyDescent="0.25">
      <c r="A1866"/>
    </row>
    <row r="1867" spans="1:1" x14ac:dyDescent="0.25">
      <c r="A1867"/>
    </row>
    <row r="1868" spans="1:1" x14ac:dyDescent="0.25">
      <c r="A1868"/>
    </row>
    <row r="1869" spans="1:1" x14ac:dyDescent="0.25">
      <c r="A1869"/>
    </row>
    <row r="1870" spans="1:1" x14ac:dyDescent="0.25">
      <c r="A1870"/>
    </row>
    <row r="1871" spans="1:1" x14ac:dyDescent="0.25">
      <c r="A1871"/>
    </row>
    <row r="1872" spans="1:1" x14ac:dyDescent="0.25">
      <c r="A1872"/>
    </row>
    <row r="1873" spans="1:1" x14ac:dyDescent="0.25">
      <c r="A1873"/>
    </row>
    <row r="1874" spans="1:1" x14ac:dyDescent="0.25">
      <c r="A1874"/>
    </row>
    <row r="1875" spans="1:1" x14ac:dyDescent="0.25">
      <c r="A1875"/>
    </row>
    <row r="1876" spans="1:1" x14ac:dyDescent="0.25">
      <c r="A1876"/>
    </row>
    <row r="1877" spans="1:1" x14ac:dyDescent="0.25">
      <c r="A1877"/>
    </row>
    <row r="1878" spans="1:1" x14ac:dyDescent="0.25">
      <c r="A1878"/>
    </row>
    <row r="1879" spans="1:1" x14ac:dyDescent="0.25">
      <c r="A1879"/>
    </row>
    <row r="1880" spans="1:1" x14ac:dyDescent="0.25">
      <c r="A1880"/>
    </row>
    <row r="1881" spans="1:1" x14ac:dyDescent="0.25">
      <c r="A1881"/>
    </row>
    <row r="1882" spans="1:1" x14ac:dyDescent="0.25">
      <c r="A1882"/>
    </row>
    <row r="1883" spans="1:1" x14ac:dyDescent="0.25">
      <c r="A1883"/>
    </row>
    <row r="1884" spans="1:1" x14ac:dyDescent="0.25">
      <c r="A1884"/>
    </row>
    <row r="1885" spans="1:1" x14ac:dyDescent="0.25">
      <c r="A1885"/>
    </row>
    <row r="1886" spans="1:1" x14ac:dyDescent="0.25">
      <c r="A1886"/>
    </row>
    <row r="1887" spans="1:1" x14ac:dyDescent="0.25">
      <c r="A1887"/>
    </row>
    <row r="1888" spans="1:1" x14ac:dyDescent="0.25">
      <c r="A1888"/>
    </row>
    <row r="1889" spans="1:1" x14ac:dyDescent="0.25">
      <c r="A1889"/>
    </row>
    <row r="1890" spans="1:1" x14ac:dyDescent="0.25">
      <c r="A1890"/>
    </row>
    <row r="1891" spans="1:1" x14ac:dyDescent="0.25">
      <c r="A1891"/>
    </row>
    <row r="1892" spans="1:1" x14ac:dyDescent="0.25">
      <c r="A1892"/>
    </row>
    <row r="1893" spans="1:1" x14ac:dyDescent="0.25">
      <c r="A1893"/>
    </row>
    <row r="1894" spans="1:1" x14ac:dyDescent="0.25">
      <c r="A1894"/>
    </row>
    <row r="1895" spans="1:1" x14ac:dyDescent="0.25">
      <c r="A1895"/>
    </row>
    <row r="1896" spans="1:1" x14ac:dyDescent="0.25">
      <c r="A1896"/>
    </row>
    <row r="1897" spans="1:1" x14ac:dyDescent="0.25">
      <c r="A1897"/>
    </row>
    <row r="1898" spans="1:1" x14ac:dyDescent="0.25">
      <c r="A1898"/>
    </row>
    <row r="1899" spans="1:1" x14ac:dyDescent="0.25">
      <c r="A1899"/>
    </row>
    <row r="1900" spans="1:1" x14ac:dyDescent="0.25">
      <c r="A1900"/>
    </row>
    <row r="1901" spans="1:1" x14ac:dyDescent="0.25">
      <c r="A1901"/>
    </row>
    <row r="1902" spans="1:1" x14ac:dyDescent="0.25">
      <c r="A1902"/>
    </row>
    <row r="1903" spans="1:1" x14ac:dyDescent="0.25">
      <c r="A1903"/>
    </row>
    <row r="1904" spans="1:1" x14ac:dyDescent="0.25">
      <c r="A1904"/>
    </row>
    <row r="1905" spans="1:1" x14ac:dyDescent="0.25">
      <c r="A1905"/>
    </row>
    <row r="1906" spans="1:1" x14ac:dyDescent="0.25">
      <c r="A1906"/>
    </row>
    <row r="1907" spans="1:1" x14ac:dyDescent="0.25">
      <c r="A1907"/>
    </row>
    <row r="1908" spans="1:1" x14ac:dyDescent="0.25">
      <c r="A1908"/>
    </row>
    <row r="1909" spans="1:1" x14ac:dyDescent="0.25">
      <c r="A1909"/>
    </row>
    <row r="1910" spans="1:1" x14ac:dyDescent="0.25">
      <c r="A1910"/>
    </row>
    <row r="1911" spans="1:1" x14ac:dyDescent="0.25">
      <c r="A1911"/>
    </row>
    <row r="1912" spans="1:1" x14ac:dyDescent="0.25">
      <c r="A1912"/>
    </row>
    <row r="1913" spans="1:1" x14ac:dyDescent="0.25">
      <c r="A1913"/>
    </row>
    <row r="1914" spans="1:1" x14ac:dyDescent="0.25">
      <c r="A1914"/>
    </row>
    <row r="1915" spans="1:1" x14ac:dyDescent="0.25">
      <c r="A1915"/>
    </row>
    <row r="1916" spans="1:1" x14ac:dyDescent="0.25">
      <c r="A1916"/>
    </row>
    <row r="1917" spans="1:1" x14ac:dyDescent="0.25">
      <c r="A1917"/>
    </row>
    <row r="1918" spans="1:1" x14ac:dyDescent="0.25">
      <c r="A1918"/>
    </row>
    <row r="1919" spans="1:1" x14ac:dyDescent="0.25">
      <c r="A1919"/>
    </row>
    <row r="1920" spans="1:1" x14ac:dyDescent="0.25">
      <c r="A1920"/>
    </row>
    <row r="1921" spans="1:1" x14ac:dyDescent="0.25">
      <c r="A1921"/>
    </row>
    <row r="1922" spans="1:1" x14ac:dyDescent="0.25">
      <c r="A1922"/>
    </row>
    <row r="1923" spans="1:1" x14ac:dyDescent="0.25">
      <c r="A1923"/>
    </row>
    <row r="1924" spans="1:1" x14ac:dyDescent="0.25">
      <c r="A1924"/>
    </row>
    <row r="1925" spans="1:1" x14ac:dyDescent="0.25">
      <c r="A1925"/>
    </row>
    <row r="1926" spans="1:1" x14ac:dyDescent="0.25">
      <c r="A1926"/>
    </row>
    <row r="1927" spans="1:1" x14ac:dyDescent="0.25">
      <c r="A1927"/>
    </row>
    <row r="1928" spans="1:1" x14ac:dyDescent="0.25">
      <c r="A1928"/>
    </row>
    <row r="1929" spans="1:1" x14ac:dyDescent="0.25">
      <c r="A1929"/>
    </row>
    <row r="1930" spans="1:1" x14ac:dyDescent="0.25">
      <c r="A1930"/>
    </row>
    <row r="1931" spans="1:1" x14ac:dyDescent="0.25">
      <c r="A1931"/>
    </row>
    <row r="1932" spans="1:1" x14ac:dyDescent="0.25">
      <c r="A1932"/>
    </row>
    <row r="1933" spans="1:1" x14ac:dyDescent="0.25">
      <c r="A1933"/>
    </row>
    <row r="1934" spans="1:1" x14ac:dyDescent="0.25">
      <c r="A1934"/>
    </row>
    <row r="1935" spans="1:1" x14ac:dyDescent="0.25">
      <c r="A1935"/>
    </row>
    <row r="1936" spans="1:1" x14ac:dyDescent="0.25">
      <c r="A1936"/>
    </row>
    <row r="1937" spans="1:1" x14ac:dyDescent="0.25">
      <c r="A1937"/>
    </row>
    <row r="1938" spans="1:1" x14ac:dyDescent="0.25">
      <c r="A1938"/>
    </row>
    <row r="1939" spans="1:1" x14ac:dyDescent="0.25">
      <c r="A1939"/>
    </row>
    <row r="1940" spans="1:1" x14ac:dyDescent="0.25">
      <c r="A1940"/>
    </row>
    <row r="1941" spans="1:1" x14ac:dyDescent="0.25">
      <c r="A1941"/>
    </row>
    <row r="1942" spans="1:1" x14ac:dyDescent="0.25">
      <c r="A1942"/>
    </row>
    <row r="1943" spans="1:1" x14ac:dyDescent="0.25">
      <c r="A1943"/>
    </row>
    <row r="1944" spans="1:1" x14ac:dyDescent="0.25">
      <c r="A1944"/>
    </row>
    <row r="1945" spans="1:1" x14ac:dyDescent="0.25">
      <c r="A1945"/>
    </row>
    <row r="1946" spans="1:1" x14ac:dyDescent="0.25">
      <c r="A1946"/>
    </row>
    <row r="1947" spans="1:1" x14ac:dyDescent="0.25">
      <c r="A1947"/>
    </row>
    <row r="1948" spans="1:1" x14ac:dyDescent="0.25">
      <c r="A1948"/>
    </row>
    <row r="1949" spans="1:1" x14ac:dyDescent="0.25">
      <c r="A1949"/>
    </row>
    <row r="1950" spans="1:1" x14ac:dyDescent="0.25">
      <c r="A1950"/>
    </row>
    <row r="1951" spans="1:1" x14ac:dyDescent="0.25">
      <c r="A1951"/>
    </row>
    <row r="1952" spans="1:1" x14ac:dyDescent="0.25">
      <c r="A1952"/>
    </row>
    <row r="1953" spans="1:1" x14ac:dyDescent="0.25">
      <c r="A1953"/>
    </row>
    <row r="1954" spans="1:1" x14ac:dyDescent="0.25">
      <c r="A1954"/>
    </row>
    <row r="1955" spans="1:1" x14ac:dyDescent="0.25">
      <c r="A1955"/>
    </row>
    <row r="1956" spans="1:1" x14ac:dyDescent="0.25">
      <c r="A1956"/>
    </row>
    <row r="1957" spans="1:1" x14ac:dyDescent="0.25">
      <c r="A1957"/>
    </row>
    <row r="1958" spans="1:1" x14ac:dyDescent="0.25">
      <c r="A1958"/>
    </row>
    <row r="1959" spans="1:1" x14ac:dyDescent="0.25">
      <c r="A1959"/>
    </row>
    <row r="1960" spans="1:1" x14ac:dyDescent="0.25">
      <c r="A1960"/>
    </row>
    <row r="1961" spans="1:1" x14ac:dyDescent="0.25">
      <c r="A1961"/>
    </row>
    <row r="1962" spans="1:1" x14ac:dyDescent="0.25">
      <c r="A1962"/>
    </row>
    <row r="1963" spans="1:1" x14ac:dyDescent="0.25">
      <c r="A1963"/>
    </row>
    <row r="1964" spans="1:1" x14ac:dyDescent="0.25">
      <c r="A1964"/>
    </row>
    <row r="1965" spans="1:1" x14ac:dyDescent="0.25">
      <c r="A1965"/>
    </row>
    <row r="1966" spans="1:1" x14ac:dyDescent="0.25">
      <c r="A1966"/>
    </row>
    <row r="1967" spans="1:1" x14ac:dyDescent="0.25">
      <c r="A1967"/>
    </row>
    <row r="1968" spans="1:1" x14ac:dyDescent="0.25">
      <c r="A1968"/>
    </row>
    <row r="1969" spans="1:1" x14ac:dyDescent="0.25">
      <c r="A1969"/>
    </row>
    <row r="1970" spans="1:1" x14ac:dyDescent="0.25">
      <c r="A1970"/>
    </row>
    <row r="1971" spans="1:1" x14ac:dyDescent="0.25">
      <c r="A1971"/>
    </row>
    <row r="1972" spans="1:1" x14ac:dyDescent="0.25">
      <c r="A1972"/>
    </row>
    <row r="1973" spans="1:1" x14ac:dyDescent="0.25">
      <c r="A1973"/>
    </row>
    <row r="1974" spans="1:1" x14ac:dyDescent="0.25">
      <c r="A1974"/>
    </row>
    <row r="1975" spans="1:1" x14ac:dyDescent="0.25">
      <c r="A1975"/>
    </row>
    <row r="1976" spans="1:1" x14ac:dyDescent="0.25">
      <c r="A1976"/>
    </row>
    <row r="1977" spans="1:1" x14ac:dyDescent="0.25">
      <c r="A1977"/>
    </row>
    <row r="1978" spans="1:1" x14ac:dyDescent="0.25">
      <c r="A1978"/>
    </row>
    <row r="1979" spans="1:1" x14ac:dyDescent="0.25">
      <c r="A1979"/>
    </row>
    <row r="1980" spans="1:1" x14ac:dyDescent="0.25">
      <c r="A1980"/>
    </row>
    <row r="1981" spans="1:1" x14ac:dyDescent="0.25">
      <c r="A1981"/>
    </row>
    <row r="1982" spans="1:1" x14ac:dyDescent="0.25">
      <c r="A1982"/>
    </row>
    <row r="1983" spans="1:1" x14ac:dyDescent="0.25">
      <c r="A1983"/>
    </row>
    <row r="1984" spans="1:1" x14ac:dyDescent="0.25">
      <c r="A1984"/>
    </row>
    <row r="1985" spans="1:1" x14ac:dyDescent="0.25">
      <c r="A1985"/>
    </row>
    <row r="1986" spans="1:1" x14ac:dyDescent="0.25">
      <c r="A1986"/>
    </row>
    <row r="1987" spans="1:1" x14ac:dyDescent="0.25">
      <c r="A1987"/>
    </row>
    <row r="1988" spans="1:1" x14ac:dyDescent="0.25">
      <c r="A1988"/>
    </row>
    <row r="1989" spans="1:1" x14ac:dyDescent="0.25">
      <c r="A1989"/>
    </row>
    <row r="1990" spans="1:1" x14ac:dyDescent="0.25">
      <c r="A1990"/>
    </row>
    <row r="1991" spans="1:1" x14ac:dyDescent="0.25">
      <c r="A1991"/>
    </row>
    <row r="1992" spans="1:1" x14ac:dyDescent="0.25">
      <c r="A1992"/>
    </row>
    <row r="1993" spans="1:1" x14ac:dyDescent="0.25">
      <c r="A1993"/>
    </row>
    <row r="1994" spans="1:1" x14ac:dyDescent="0.25">
      <c r="A1994"/>
    </row>
    <row r="1995" spans="1:1" x14ac:dyDescent="0.25">
      <c r="A1995"/>
    </row>
    <row r="1996" spans="1:1" x14ac:dyDescent="0.25">
      <c r="A1996"/>
    </row>
    <row r="1997" spans="1:1" x14ac:dyDescent="0.25">
      <c r="A1997"/>
    </row>
    <row r="1998" spans="1:1" x14ac:dyDescent="0.25">
      <c r="A1998"/>
    </row>
    <row r="1999" spans="1:1" x14ac:dyDescent="0.25">
      <c r="A1999"/>
    </row>
    <row r="2000" spans="1:1" x14ac:dyDescent="0.25">
      <c r="A2000"/>
    </row>
    <row r="2001" spans="1:1" x14ac:dyDescent="0.25">
      <c r="A2001"/>
    </row>
    <row r="2002" spans="1:1" x14ac:dyDescent="0.25">
      <c r="A2002"/>
    </row>
    <row r="2003" spans="1:1" x14ac:dyDescent="0.25">
      <c r="A2003"/>
    </row>
    <row r="2004" spans="1:1" x14ac:dyDescent="0.25">
      <c r="A2004"/>
    </row>
    <row r="2005" spans="1:1" x14ac:dyDescent="0.25">
      <c r="A2005"/>
    </row>
    <row r="2006" spans="1:1" x14ac:dyDescent="0.25">
      <c r="A2006"/>
    </row>
    <row r="2007" spans="1:1" x14ac:dyDescent="0.25">
      <c r="A2007"/>
    </row>
    <row r="2008" spans="1:1" x14ac:dyDescent="0.25">
      <c r="A2008"/>
    </row>
    <row r="2009" spans="1:1" x14ac:dyDescent="0.25">
      <c r="A2009"/>
    </row>
    <row r="2010" spans="1:1" x14ac:dyDescent="0.25">
      <c r="A2010"/>
    </row>
    <row r="2011" spans="1:1" x14ac:dyDescent="0.25">
      <c r="A2011"/>
    </row>
    <row r="2012" spans="1:1" x14ac:dyDescent="0.25">
      <c r="A2012"/>
    </row>
    <row r="2013" spans="1:1" x14ac:dyDescent="0.25">
      <c r="A2013"/>
    </row>
    <row r="2014" spans="1:1" x14ac:dyDescent="0.25">
      <c r="A2014"/>
    </row>
    <row r="2015" spans="1:1" x14ac:dyDescent="0.25">
      <c r="A2015"/>
    </row>
    <row r="2016" spans="1:1" x14ac:dyDescent="0.25">
      <c r="A2016"/>
    </row>
    <row r="2017" spans="1:1" x14ac:dyDescent="0.25">
      <c r="A2017"/>
    </row>
    <row r="2018" spans="1:1" x14ac:dyDescent="0.25">
      <c r="A2018"/>
    </row>
    <row r="2019" spans="1:1" x14ac:dyDescent="0.25">
      <c r="A2019"/>
    </row>
    <row r="2020" spans="1:1" x14ac:dyDescent="0.25">
      <c r="A2020"/>
    </row>
    <row r="2021" spans="1:1" x14ac:dyDescent="0.25">
      <c r="A2021"/>
    </row>
    <row r="2022" spans="1:1" x14ac:dyDescent="0.25">
      <c r="A2022"/>
    </row>
    <row r="2023" spans="1:1" x14ac:dyDescent="0.25">
      <c r="A2023"/>
    </row>
    <row r="2024" spans="1:1" x14ac:dyDescent="0.25">
      <c r="A2024"/>
    </row>
    <row r="2025" spans="1:1" x14ac:dyDescent="0.25">
      <c r="A2025"/>
    </row>
    <row r="2026" spans="1:1" x14ac:dyDescent="0.25">
      <c r="A2026"/>
    </row>
    <row r="2027" spans="1:1" x14ac:dyDescent="0.25">
      <c r="A2027"/>
    </row>
    <row r="2028" spans="1:1" x14ac:dyDescent="0.25">
      <c r="A2028"/>
    </row>
    <row r="2029" spans="1:1" x14ac:dyDescent="0.25">
      <c r="A2029"/>
    </row>
    <row r="2030" spans="1:1" x14ac:dyDescent="0.25">
      <c r="A2030"/>
    </row>
    <row r="2031" spans="1:1" x14ac:dyDescent="0.25">
      <c r="A2031"/>
    </row>
    <row r="2032" spans="1:1" x14ac:dyDescent="0.25">
      <c r="A2032"/>
    </row>
    <row r="2033" spans="1:1" x14ac:dyDescent="0.25">
      <c r="A2033"/>
    </row>
    <row r="2034" spans="1:1" x14ac:dyDescent="0.25">
      <c r="A2034"/>
    </row>
    <row r="2035" spans="1:1" x14ac:dyDescent="0.25">
      <c r="A2035"/>
    </row>
    <row r="2036" spans="1:1" x14ac:dyDescent="0.25">
      <c r="A2036"/>
    </row>
    <row r="2037" spans="1:1" x14ac:dyDescent="0.25">
      <c r="A2037"/>
    </row>
    <row r="2038" spans="1:1" x14ac:dyDescent="0.25">
      <c r="A2038"/>
    </row>
    <row r="2039" spans="1:1" x14ac:dyDescent="0.25">
      <c r="A2039"/>
    </row>
    <row r="2040" spans="1:1" x14ac:dyDescent="0.25">
      <c r="A2040"/>
    </row>
    <row r="2041" spans="1:1" x14ac:dyDescent="0.25">
      <c r="A2041"/>
    </row>
    <row r="2042" spans="1:1" x14ac:dyDescent="0.25">
      <c r="A2042"/>
    </row>
    <row r="2043" spans="1:1" x14ac:dyDescent="0.25">
      <c r="A2043"/>
    </row>
    <row r="2044" spans="1:1" x14ac:dyDescent="0.25">
      <c r="A2044"/>
    </row>
    <row r="2045" spans="1:1" x14ac:dyDescent="0.25">
      <c r="A2045"/>
    </row>
    <row r="2046" spans="1:1" x14ac:dyDescent="0.25">
      <c r="A2046"/>
    </row>
    <row r="2047" spans="1:1" x14ac:dyDescent="0.25">
      <c r="A2047"/>
    </row>
    <row r="2048" spans="1:1" x14ac:dyDescent="0.25">
      <c r="A2048"/>
    </row>
    <row r="2049" spans="1:1" x14ac:dyDescent="0.25">
      <c r="A2049"/>
    </row>
    <row r="2050" spans="1:1" x14ac:dyDescent="0.25">
      <c r="A2050"/>
    </row>
    <row r="2051" spans="1:1" x14ac:dyDescent="0.25">
      <c r="A2051"/>
    </row>
    <row r="2052" spans="1:1" x14ac:dyDescent="0.25">
      <c r="A2052"/>
    </row>
    <row r="2053" spans="1:1" x14ac:dyDescent="0.25">
      <c r="A2053"/>
    </row>
    <row r="2054" spans="1:1" x14ac:dyDescent="0.25">
      <c r="A2054"/>
    </row>
    <row r="2055" spans="1:1" x14ac:dyDescent="0.25">
      <c r="A2055"/>
    </row>
    <row r="2056" spans="1:1" x14ac:dyDescent="0.25">
      <c r="A2056"/>
    </row>
    <row r="2057" spans="1:1" x14ac:dyDescent="0.25">
      <c r="A2057"/>
    </row>
    <row r="2058" spans="1:1" x14ac:dyDescent="0.25">
      <c r="A2058"/>
    </row>
    <row r="2059" spans="1:1" x14ac:dyDescent="0.25">
      <c r="A2059"/>
    </row>
    <row r="2060" spans="1:1" x14ac:dyDescent="0.25">
      <c r="A2060"/>
    </row>
    <row r="2061" spans="1:1" x14ac:dyDescent="0.25">
      <c r="A2061"/>
    </row>
    <row r="2062" spans="1:1" x14ac:dyDescent="0.25">
      <c r="A2062"/>
    </row>
    <row r="2063" spans="1:1" x14ac:dyDescent="0.25">
      <c r="A2063"/>
    </row>
    <row r="2064" spans="1:1" x14ac:dyDescent="0.25">
      <c r="A2064"/>
    </row>
    <row r="2065" spans="1:1" x14ac:dyDescent="0.25">
      <c r="A2065"/>
    </row>
    <row r="2066" spans="1:1" x14ac:dyDescent="0.25">
      <c r="A2066"/>
    </row>
    <row r="2067" spans="1:1" x14ac:dyDescent="0.25">
      <c r="A2067"/>
    </row>
    <row r="2068" spans="1:1" x14ac:dyDescent="0.25">
      <c r="A2068"/>
    </row>
    <row r="2069" spans="1:1" x14ac:dyDescent="0.25">
      <c r="A2069"/>
    </row>
    <row r="2070" spans="1:1" x14ac:dyDescent="0.25">
      <c r="A2070"/>
    </row>
    <row r="2071" spans="1:1" x14ac:dyDescent="0.25">
      <c r="A2071"/>
    </row>
    <row r="2072" spans="1:1" x14ac:dyDescent="0.25">
      <c r="A2072"/>
    </row>
    <row r="2073" spans="1:1" x14ac:dyDescent="0.25">
      <c r="A2073"/>
    </row>
    <row r="2074" spans="1:1" x14ac:dyDescent="0.25">
      <c r="A2074"/>
    </row>
    <row r="2075" spans="1:1" x14ac:dyDescent="0.25">
      <c r="A2075"/>
    </row>
    <row r="2076" spans="1:1" x14ac:dyDescent="0.25">
      <c r="A2076"/>
    </row>
    <row r="2077" spans="1:1" x14ac:dyDescent="0.25">
      <c r="A2077"/>
    </row>
    <row r="2078" spans="1:1" x14ac:dyDescent="0.25">
      <c r="A2078"/>
    </row>
    <row r="2079" spans="1:1" x14ac:dyDescent="0.25">
      <c r="A2079"/>
    </row>
    <row r="2080" spans="1:1" x14ac:dyDescent="0.25">
      <c r="A2080"/>
    </row>
    <row r="2081" spans="1:1" x14ac:dyDescent="0.25">
      <c r="A2081"/>
    </row>
    <row r="2082" spans="1:1" x14ac:dyDescent="0.25">
      <c r="A2082"/>
    </row>
    <row r="2083" spans="1:1" x14ac:dyDescent="0.25">
      <c r="A2083"/>
    </row>
    <row r="2084" spans="1:1" x14ac:dyDescent="0.25">
      <c r="A2084"/>
    </row>
    <row r="2085" spans="1:1" x14ac:dyDescent="0.25">
      <c r="A2085"/>
    </row>
    <row r="2086" spans="1:1" x14ac:dyDescent="0.25">
      <c r="A2086"/>
    </row>
    <row r="2087" spans="1:1" x14ac:dyDescent="0.25">
      <c r="A2087"/>
    </row>
    <row r="2088" spans="1:1" x14ac:dyDescent="0.25">
      <c r="A2088"/>
    </row>
    <row r="2089" spans="1:1" x14ac:dyDescent="0.25">
      <c r="A2089"/>
    </row>
    <row r="2090" spans="1:1" x14ac:dyDescent="0.25">
      <c r="A2090"/>
    </row>
    <row r="2091" spans="1:1" x14ac:dyDescent="0.25">
      <c r="A2091"/>
    </row>
    <row r="2092" spans="1:1" x14ac:dyDescent="0.25">
      <c r="A2092"/>
    </row>
    <row r="2093" spans="1:1" x14ac:dyDescent="0.25">
      <c r="A2093"/>
    </row>
    <row r="2094" spans="1:1" x14ac:dyDescent="0.25">
      <c r="A2094"/>
    </row>
    <row r="2095" spans="1:1" x14ac:dyDescent="0.25">
      <c r="A2095"/>
    </row>
    <row r="2096" spans="1:1" x14ac:dyDescent="0.25">
      <c r="A2096"/>
    </row>
    <row r="2097" spans="1:1" x14ac:dyDescent="0.25">
      <c r="A2097"/>
    </row>
    <row r="2098" spans="1:1" x14ac:dyDescent="0.25">
      <c r="A2098"/>
    </row>
    <row r="2099" spans="1:1" x14ac:dyDescent="0.25">
      <c r="A2099"/>
    </row>
    <row r="2100" spans="1:1" x14ac:dyDescent="0.25">
      <c r="A2100"/>
    </row>
    <row r="2101" spans="1:1" x14ac:dyDescent="0.25">
      <c r="A2101"/>
    </row>
    <row r="2102" spans="1:1" x14ac:dyDescent="0.25">
      <c r="A2102"/>
    </row>
    <row r="2103" spans="1:1" x14ac:dyDescent="0.25">
      <c r="A2103"/>
    </row>
    <row r="2104" spans="1:1" x14ac:dyDescent="0.25">
      <c r="A2104"/>
    </row>
    <row r="2105" spans="1:1" x14ac:dyDescent="0.25">
      <c r="A2105"/>
    </row>
    <row r="2106" spans="1:1" x14ac:dyDescent="0.25">
      <c r="A2106"/>
    </row>
    <row r="2107" spans="1:1" x14ac:dyDescent="0.25">
      <c r="A2107"/>
    </row>
    <row r="2108" spans="1:1" x14ac:dyDescent="0.25">
      <c r="A2108"/>
    </row>
    <row r="2109" spans="1:1" x14ac:dyDescent="0.25">
      <c r="A2109"/>
    </row>
    <row r="2110" spans="1:1" x14ac:dyDescent="0.25">
      <c r="A2110"/>
    </row>
    <row r="2111" spans="1:1" x14ac:dyDescent="0.25">
      <c r="A2111"/>
    </row>
    <row r="2112" spans="1:1" x14ac:dyDescent="0.25">
      <c r="A2112"/>
    </row>
    <row r="2113" spans="1:1" x14ac:dyDescent="0.25">
      <c r="A2113"/>
    </row>
    <row r="2114" spans="1:1" x14ac:dyDescent="0.25">
      <c r="A2114"/>
    </row>
    <row r="2115" spans="1:1" x14ac:dyDescent="0.25">
      <c r="A2115"/>
    </row>
    <row r="2116" spans="1:1" x14ac:dyDescent="0.25">
      <c r="A2116"/>
    </row>
    <row r="2117" spans="1:1" x14ac:dyDescent="0.25">
      <c r="A2117"/>
    </row>
    <row r="2118" spans="1:1" x14ac:dyDescent="0.25">
      <c r="A2118"/>
    </row>
    <row r="2119" spans="1:1" x14ac:dyDescent="0.25">
      <c r="A2119"/>
    </row>
    <row r="2120" spans="1:1" x14ac:dyDescent="0.25">
      <c r="A2120"/>
    </row>
    <row r="2121" spans="1:1" x14ac:dyDescent="0.25">
      <c r="A2121"/>
    </row>
    <row r="2122" spans="1:1" x14ac:dyDescent="0.25">
      <c r="A2122"/>
    </row>
    <row r="2123" spans="1:1" x14ac:dyDescent="0.25">
      <c r="A2123"/>
    </row>
    <row r="2124" spans="1:1" x14ac:dyDescent="0.25">
      <c r="A2124"/>
    </row>
    <row r="2125" spans="1:1" x14ac:dyDescent="0.25">
      <c r="A2125"/>
    </row>
    <row r="2126" spans="1:1" x14ac:dyDescent="0.25">
      <c r="A2126"/>
    </row>
    <row r="2127" spans="1:1" x14ac:dyDescent="0.25">
      <c r="A2127"/>
    </row>
    <row r="2128" spans="1:1" x14ac:dyDescent="0.25">
      <c r="A2128"/>
    </row>
    <row r="2129" spans="1:1" x14ac:dyDescent="0.25">
      <c r="A2129"/>
    </row>
    <row r="2130" spans="1:1" x14ac:dyDescent="0.25">
      <c r="A2130"/>
    </row>
    <row r="2131" spans="1:1" x14ac:dyDescent="0.25">
      <c r="A2131"/>
    </row>
    <row r="2132" spans="1:1" x14ac:dyDescent="0.25">
      <c r="A2132"/>
    </row>
    <row r="2133" spans="1:1" x14ac:dyDescent="0.25">
      <c r="A2133"/>
    </row>
    <row r="2134" spans="1:1" x14ac:dyDescent="0.25">
      <c r="A2134"/>
    </row>
    <row r="2135" spans="1:1" x14ac:dyDescent="0.25">
      <c r="A2135"/>
    </row>
    <row r="2136" spans="1:1" x14ac:dyDescent="0.25">
      <c r="A2136"/>
    </row>
    <row r="2137" spans="1:1" x14ac:dyDescent="0.25">
      <c r="A2137"/>
    </row>
    <row r="2138" spans="1:1" x14ac:dyDescent="0.25">
      <c r="A2138"/>
    </row>
    <row r="2139" spans="1:1" x14ac:dyDescent="0.25">
      <c r="A2139"/>
    </row>
    <row r="2140" spans="1:1" x14ac:dyDescent="0.25">
      <c r="A2140"/>
    </row>
    <row r="2141" spans="1:1" x14ac:dyDescent="0.25">
      <c r="A2141"/>
    </row>
    <row r="2142" spans="1:1" x14ac:dyDescent="0.25">
      <c r="A2142"/>
    </row>
    <row r="2143" spans="1:1" x14ac:dyDescent="0.25">
      <c r="A2143"/>
    </row>
    <row r="2144" spans="1:1" x14ac:dyDescent="0.25">
      <c r="A2144"/>
    </row>
    <row r="2145" spans="1:1" x14ac:dyDescent="0.25">
      <c r="A2145"/>
    </row>
    <row r="2146" spans="1:1" x14ac:dyDescent="0.25">
      <c r="A2146"/>
    </row>
    <row r="2147" spans="1:1" x14ac:dyDescent="0.25">
      <c r="A2147"/>
    </row>
    <row r="2148" spans="1:1" x14ac:dyDescent="0.25">
      <c r="A2148"/>
    </row>
    <row r="2149" spans="1:1" x14ac:dyDescent="0.25">
      <c r="A2149"/>
    </row>
    <row r="2150" spans="1:1" x14ac:dyDescent="0.25">
      <c r="A2150"/>
    </row>
    <row r="2151" spans="1:1" x14ac:dyDescent="0.25">
      <c r="A2151"/>
    </row>
    <row r="2152" spans="1:1" x14ac:dyDescent="0.25">
      <c r="A2152"/>
    </row>
    <row r="2153" spans="1:1" x14ac:dyDescent="0.25">
      <c r="A2153"/>
    </row>
    <row r="2154" spans="1:1" x14ac:dyDescent="0.25">
      <c r="A2154"/>
    </row>
    <row r="2155" spans="1:1" x14ac:dyDescent="0.25">
      <c r="A2155"/>
    </row>
    <row r="2156" spans="1:1" x14ac:dyDescent="0.25">
      <c r="A2156"/>
    </row>
    <row r="2157" spans="1:1" x14ac:dyDescent="0.25">
      <c r="A2157"/>
    </row>
    <row r="2158" spans="1:1" x14ac:dyDescent="0.25">
      <c r="A2158"/>
    </row>
    <row r="2159" spans="1:1" x14ac:dyDescent="0.25">
      <c r="A2159"/>
    </row>
    <row r="2160" spans="1:1" x14ac:dyDescent="0.25">
      <c r="A2160"/>
    </row>
    <row r="2161" spans="1:1" x14ac:dyDescent="0.25">
      <c r="A2161"/>
    </row>
    <row r="2162" spans="1:1" x14ac:dyDescent="0.25">
      <c r="A2162"/>
    </row>
    <row r="2163" spans="1:1" x14ac:dyDescent="0.25">
      <c r="A2163"/>
    </row>
    <row r="2164" spans="1:1" x14ac:dyDescent="0.25">
      <c r="A2164"/>
    </row>
    <row r="2165" spans="1:1" x14ac:dyDescent="0.25">
      <c r="A2165"/>
    </row>
    <row r="2166" spans="1:1" x14ac:dyDescent="0.25">
      <c r="A2166"/>
    </row>
    <row r="2167" spans="1:1" x14ac:dyDescent="0.25">
      <c r="A2167"/>
    </row>
    <row r="2168" spans="1:1" x14ac:dyDescent="0.25">
      <c r="A2168"/>
    </row>
    <row r="2169" spans="1:1" x14ac:dyDescent="0.25">
      <c r="A2169"/>
    </row>
    <row r="2170" spans="1:1" x14ac:dyDescent="0.25">
      <c r="A2170"/>
    </row>
    <row r="2171" spans="1:1" x14ac:dyDescent="0.25">
      <c r="A2171"/>
    </row>
    <row r="2172" spans="1:1" x14ac:dyDescent="0.25">
      <c r="A2172"/>
    </row>
    <row r="2173" spans="1:1" x14ac:dyDescent="0.25">
      <c r="A2173"/>
    </row>
    <row r="2174" spans="1:1" x14ac:dyDescent="0.25">
      <c r="A2174"/>
    </row>
    <row r="2175" spans="1:1" x14ac:dyDescent="0.25">
      <c r="A2175"/>
    </row>
    <row r="2176" spans="1:1" x14ac:dyDescent="0.25">
      <c r="A2176"/>
    </row>
    <row r="2177" spans="1:1" x14ac:dyDescent="0.25">
      <c r="A2177"/>
    </row>
    <row r="2178" spans="1:1" x14ac:dyDescent="0.25">
      <c r="A2178"/>
    </row>
    <row r="2179" spans="1:1" x14ac:dyDescent="0.25">
      <c r="A2179"/>
    </row>
    <row r="2180" spans="1:1" x14ac:dyDescent="0.25">
      <c r="A2180"/>
    </row>
    <row r="2181" spans="1:1" x14ac:dyDescent="0.25">
      <c r="A2181"/>
    </row>
    <row r="2182" spans="1:1" x14ac:dyDescent="0.25">
      <c r="A2182"/>
    </row>
    <row r="2183" spans="1:1" x14ac:dyDescent="0.25">
      <c r="A2183"/>
    </row>
    <row r="2184" spans="1:1" x14ac:dyDescent="0.25">
      <c r="A2184"/>
    </row>
    <row r="2185" spans="1:1" x14ac:dyDescent="0.25">
      <c r="A2185"/>
    </row>
    <row r="2186" spans="1:1" x14ac:dyDescent="0.25">
      <c r="A2186"/>
    </row>
    <row r="2187" spans="1:1" x14ac:dyDescent="0.25">
      <c r="A2187"/>
    </row>
    <row r="2188" spans="1:1" x14ac:dyDescent="0.25">
      <c r="A2188"/>
    </row>
    <row r="2189" spans="1:1" x14ac:dyDescent="0.25">
      <c r="A2189"/>
    </row>
    <row r="2190" spans="1:1" x14ac:dyDescent="0.25">
      <c r="A2190"/>
    </row>
    <row r="2191" spans="1:1" x14ac:dyDescent="0.25">
      <c r="A2191"/>
    </row>
    <row r="2192" spans="1:1" x14ac:dyDescent="0.25">
      <c r="A2192"/>
    </row>
    <row r="2193" spans="1:1" x14ac:dyDescent="0.25">
      <c r="A2193"/>
    </row>
    <row r="2194" spans="1:1" x14ac:dyDescent="0.25">
      <c r="A2194"/>
    </row>
    <row r="2195" spans="1:1" x14ac:dyDescent="0.25">
      <c r="A2195"/>
    </row>
    <row r="2196" spans="1:1" x14ac:dyDescent="0.25">
      <c r="A2196"/>
    </row>
    <row r="2197" spans="1:1" x14ac:dyDescent="0.25">
      <c r="A2197"/>
    </row>
    <row r="2198" spans="1:1" x14ac:dyDescent="0.25">
      <c r="A2198"/>
    </row>
    <row r="2199" spans="1:1" x14ac:dyDescent="0.25">
      <c r="A2199"/>
    </row>
    <row r="2200" spans="1:1" x14ac:dyDescent="0.25">
      <c r="A2200"/>
    </row>
    <row r="2201" spans="1:1" x14ac:dyDescent="0.25">
      <c r="A2201"/>
    </row>
    <row r="2202" spans="1:1" x14ac:dyDescent="0.25">
      <c r="A2202"/>
    </row>
    <row r="2203" spans="1:1" x14ac:dyDescent="0.25">
      <c r="A2203"/>
    </row>
    <row r="2204" spans="1:1" x14ac:dyDescent="0.25">
      <c r="A2204"/>
    </row>
    <row r="2205" spans="1:1" x14ac:dyDescent="0.25">
      <c r="A2205"/>
    </row>
    <row r="2206" spans="1:1" x14ac:dyDescent="0.25">
      <c r="A2206"/>
    </row>
    <row r="2207" spans="1:1" x14ac:dyDescent="0.25">
      <c r="A2207"/>
    </row>
    <row r="2208" spans="1:1" x14ac:dyDescent="0.25">
      <c r="A2208"/>
    </row>
    <row r="2209" spans="1:1" x14ac:dyDescent="0.25">
      <c r="A2209"/>
    </row>
    <row r="2210" spans="1:1" x14ac:dyDescent="0.25">
      <c r="A2210"/>
    </row>
    <row r="2211" spans="1:1" x14ac:dyDescent="0.25">
      <c r="A2211"/>
    </row>
    <row r="2212" spans="1:1" x14ac:dyDescent="0.25">
      <c r="A2212"/>
    </row>
    <row r="2213" spans="1:1" x14ac:dyDescent="0.25">
      <c r="A2213"/>
    </row>
    <row r="2214" spans="1:1" x14ac:dyDescent="0.25">
      <c r="A2214"/>
    </row>
    <row r="2215" spans="1:1" x14ac:dyDescent="0.25">
      <c r="A2215"/>
    </row>
    <row r="2216" spans="1:1" x14ac:dyDescent="0.25">
      <c r="A2216"/>
    </row>
    <row r="2217" spans="1:1" x14ac:dyDescent="0.25">
      <c r="A2217"/>
    </row>
    <row r="2218" spans="1:1" x14ac:dyDescent="0.25">
      <c r="A2218"/>
    </row>
    <row r="2219" spans="1:1" x14ac:dyDescent="0.25">
      <c r="A2219"/>
    </row>
    <row r="2220" spans="1:1" x14ac:dyDescent="0.25">
      <c r="A2220"/>
    </row>
    <row r="2221" spans="1:1" x14ac:dyDescent="0.25">
      <c r="A2221"/>
    </row>
    <row r="2222" spans="1:1" x14ac:dyDescent="0.25">
      <c r="A2222"/>
    </row>
    <row r="2223" spans="1:1" x14ac:dyDescent="0.25">
      <c r="A2223"/>
    </row>
    <row r="2224" spans="1:1" x14ac:dyDescent="0.25">
      <c r="A2224"/>
    </row>
    <row r="2225" spans="1:1" x14ac:dyDescent="0.25">
      <c r="A2225"/>
    </row>
    <row r="2226" spans="1:1" x14ac:dyDescent="0.25">
      <c r="A2226"/>
    </row>
    <row r="2227" spans="1:1" x14ac:dyDescent="0.25">
      <c r="A2227"/>
    </row>
    <row r="2228" spans="1:1" x14ac:dyDescent="0.25">
      <c r="A2228"/>
    </row>
    <row r="2229" spans="1:1" x14ac:dyDescent="0.25">
      <c r="A2229"/>
    </row>
    <row r="2230" spans="1:1" x14ac:dyDescent="0.25">
      <c r="A2230"/>
    </row>
    <row r="2231" spans="1:1" x14ac:dyDescent="0.25">
      <c r="A2231"/>
    </row>
    <row r="2232" spans="1:1" x14ac:dyDescent="0.25">
      <c r="A2232"/>
    </row>
    <row r="2233" spans="1:1" x14ac:dyDescent="0.25">
      <c r="A2233"/>
    </row>
    <row r="2234" spans="1:1" x14ac:dyDescent="0.25">
      <c r="A2234"/>
    </row>
    <row r="2235" spans="1:1" x14ac:dyDescent="0.25">
      <c r="A2235"/>
    </row>
    <row r="2236" spans="1:1" x14ac:dyDescent="0.25">
      <c r="A2236"/>
    </row>
    <row r="2237" spans="1:1" x14ac:dyDescent="0.25">
      <c r="A2237"/>
    </row>
    <row r="2238" spans="1:1" x14ac:dyDescent="0.25">
      <c r="A2238"/>
    </row>
    <row r="2239" spans="1:1" x14ac:dyDescent="0.25">
      <c r="A2239"/>
    </row>
    <row r="2240" spans="1:1" x14ac:dyDescent="0.25">
      <c r="A2240"/>
    </row>
    <row r="2241" spans="1:1" x14ac:dyDescent="0.25">
      <c r="A2241"/>
    </row>
    <row r="2242" spans="1:1" x14ac:dyDescent="0.25">
      <c r="A2242"/>
    </row>
    <row r="2243" spans="1:1" x14ac:dyDescent="0.25">
      <c r="A2243"/>
    </row>
    <row r="2244" spans="1:1" x14ac:dyDescent="0.25">
      <c r="A2244"/>
    </row>
    <row r="2245" spans="1:1" x14ac:dyDescent="0.25">
      <c r="A2245"/>
    </row>
    <row r="2246" spans="1:1" x14ac:dyDescent="0.25">
      <c r="A2246"/>
    </row>
    <row r="2247" spans="1:1" x14ac:dyDescent="0.25">
      <c r="A2247"/>
    </row>
    <row r="2248" spans="1:1" x14ac:dyDescent="0.25">
      <c r="A2248"/>
    </row>
    <row r="2249" spans="1:1" x14ac:dyDescent="0.25">
      <c r="A2249"/>
    </row>
    <row r="2250" spans="1:1" x14ac:dyDescent="0.25">
      <c r="A2250"/>
    </row>
    <row r="2251" spans="1:1" x14ac:dyDescent="0.25">
      <c r="A2251"/>
    </row>
    <row r="2252" spans="1:1" x14ac:dyDescent="0.25">
      <c r="A2252"/>
    </row>
    <row r="2253" spans="1:1" x14ac:dyDescent="0.25">
      <c r="A2253"/>
    </row>
    <row r="2254" spans="1:1" x14ac:dyDescent="0.25">
      <c r="A2254"/>
    </row>
    <row r="2255" spans="1:1" x14ac:dyDescent="0.25">
      <c r="A2255"/>
    </row>
    <row r="2256" spans="1:1" x14ac:dyDescent="0.25">
      <c r="A2256"/>
    </row>
    <row r="2257" spans="1:1" x14ac:dyDescent="0.25">
      <c r="A2257"/>
    </row>
    <row r="2258" spans="1:1" x14ac:dyDescent="0.25">
      <c r="A2258"/>
    </row>
    <row r="2259" spans="1:1" x14ac:dyDescent="0.25">
      <c r="A2259"/>
    </row>
    <row r="2260" spans="1:1" x14ac:dyDescent="0.25">
      <c r="A2260"/>
    </row>
    <row r="2261" spans="1:1" x14ac:dyDescent="0.25">
      <c r="A2261"/>
    </row>
    <row r="2262" spans="1:1" x14ac:dyDescent="0.25">
      <c r="A2262"/>
    </row>
    <row r="2263" spans="1:1" x14ac:dyDescent="0.25">
      <c r="A2263"/>
    </row>
    <row r="2264" spans="1:1" x14ac:dyDescent="0.25">
      <c r="A2264"/>
    </row>
    <row r="2265" spans="1:1" x14ac:dyDescent="0.25">
      <c r="A2265"/>
    </row>
    <row r="2266" spans="1:1" x14ac:dyDescent="0.25">
      <c r="A2266"/>
    </row>
    <row r="2267" spans="1:1" x14ac:dyDescent="0.25">
      <c r="A2267"/>
    </row>
    <row r="2268" spans="1:1" x14ac:dyDescent="0.25">
      <c r="A2268"/>
    </row>
    <row r="2269" spans="1:1" x14ac:dyDescent="0.25">
      <c r="A2269"/>
    </row>
    <row r="2270" spans="1:1" x14ac:dyDescent="0.25">
      <c r="A2270"/>
    </row>
    <row r="2271" spans="1:1" x14ac:dyDescent="0.25">
      <c r="A2271"/>
    </row>
    <row r="2272" spans="1:1" x14ac:dyDescent="0.25">
      <c r="A2272"/>
    </row>
    <row r="2273" spans="1:1" x14ac:dyDescent="0.25">
      <c r="A2273"/>
    </row>
    <row r="2274" spans="1:1" x14ac:dyDescent="0.25">
      <c r="A2274"/>
    </row>
    <row r="2275" spans="1:1" x14ac:dyDescent="0.25">
      <c r="A2275"/>
    </row>
    <row r="2276" spans="1:1" x14ac:dyDescent="0.25">
      <c r="A2276"/>
    </row>
    <row r="2277" spans="1:1" x14ac:dyDescent="0.25">
      <c r="A2277"/>
    </row>
    <row r="2278" spans="1:1" x14ac:dyDescent="0.25">
      <c r="A2278"/>
    </row>
    <row r="2279" spans="1:1" x14ac:dyDescent="0.25">
      <c r="A2279"/>
    </row>
    <row r="2280" spans="1:1" x14ac:dyDescent="0.25">
      <c r="A2280"/>
    </row>
    <row r="2281" spans="1:1" x14ac:dyDescent="0.25">
      <c r="A2281"/>
    </row>
    <row r="2282" spans="1:1" x14ac:dyDescent="0.25">
      <c r="A2282"/>
    </row>
    <row r="2283" spans="1:1" x14ac:dyDescent="0.25">
      <c r="A2283"/>
    </row>
    <row r="2284" spans="1:1" x14ac:dyDescent="0.25">
      <c r="A2284"/>
    </row>
    <row r="2285" spans="1:1" x14ac:dyDescent="0.25">
      <c r="A2285"/>
    </row>
    <row r="2286" spans="1:1" x14ac:dyDescent="0.25">
      <c r="A2286"/>
    </row>
    <row r="2287" spans="1:1" x14ac:dyDescent="0.25">
      <c r="A2287"/>
    </row>
    <row r="2288" spans="1:1" x14ac:dyDescent="0.25">
      <c r="A2288"/>
    </row>
    <row r="2289" spans="1:1" x14ac:dyDescent="0.25">
      <c r="A2289"/>
    </row>
    <row r="2290" spans="1:1" x14ac:dyDescent="0.25">
      <c r="A2290"/>
    </row>
    <row r="2291" spans="1:1" x14ac:dyDescent="0.25">
      <c r="A2291"/>
    </row>
    <row r="2292" spans="1:1" x14ac:dyDescent="0.25">
      <c r="A2292"/>
    </row>
    <row r="2293" spans="1:1" x14ac:dyDescent="0.25">
      <c r="A2293"/>
    </row>
    <row r="2294" spans="1:1" x14ac:dyDescent="0.25">
      <c r="A2294"/>
    </row>
    <row r="2295" spans="1:1" x14ac:dyDescent="0.25">
      <c r="A2295"/>
    </row>
    <row r="2296" spans="1:1" x14ac:dyDescent="0.25">
      <c r="A2296"/>
    </row>
    <row r="2297" spans="1:1" x14ac:dyDescent="0.25">
      <c r="A2297"/>
    </row>
    <row r="2298" spans="1:1" x14ac:dyDescent="0.25">
      <c r="A2298"/>
    </row>
    <row r="2299" spans="1:1" x14ac:dyDescent="0.25">
      <c r="A2299"/>
    </row>
    <row r="2300" spans="1:1" x14ac:dyDescent="0.25">
      <c r="A2300"/>
    </row>
    <row r="2301" spans="1:1" x14ac:dyDescent="0.25">
      <c r="A2301"/>
    </row>
    <row r="2302" spans="1:1" x14ac:dyDescent="0.25">
      <c r="A2302"/>
    </row>
    <row r="2303" spans="1:1" x14ac:dyDescent="0.25">
      <c r="A2303"/>
    </row>
    <row r="2304" spans="1:1" x14ac:dyDescent="0.25">
      <c r="A2304"/>
    </row>
    <row r="2305" spans="1:1" x14ac:dyDescent="0.25">
      <c r="A2305"/>
    </row>
    <row r="2306" spans="1:1" x14ac:dyDescent="0.25">
      <c r="A2306"/>
    </row>
    <row r="2307" spans="1:1" x14ac:dyDescent="0.25">
      <c r="A2307"/>
    </row>
    <row r="2308" spans="1:1" x14ac:dyDescent="0.25">
      <c r="A2308"/>
    </row>
    <row r="2309" spans="1:1" x14ac:dyDescent="0.25">
      <c r="A2309"/>
    </row>
    <row r="2310" spans="1:1" x14ac:dyDescent="0.25">
      <c r="A2310"/>
    </row>
    <row r="2311" spans="1:1" x14ac:dyDescent="0.25">
      <c r="A2311"/>
    </row>
    <row r="2312" spans="1:1" x14ac:dyDescent="0.25">
      <c r="A2312"/>
    </row>
    <row r="2313" spans="1:1" x14ac:dyDescent="0.25">
      <c r="A2313"/>
    </row>
    <row r="2314" spans="1:1" x14ac:dyDescent="0.25">
      <c r="A2314"/>
    </row>
    <row r="2315" spans="1:1" x14ac:dyDescent="0.25">
      <c r="A2315"/>
    </row>
    <row r="2316" spans="1:1" x14ac:dyDescent="0.25">
      <c r="A2316"/>
    </row>
    <row r="2317" spans="1:1" x14ac:dyDescent="0.25">
      <c r="A2317"/>
    </row>
    <row r="2318" spans="1:1" x14ac:dyDescent="0.25">
      <c r="A2318"/>
    </row>
    <row r="2319" spans="1:1" x14ac:dyDescent="0.25">
      <c r="A2319"/>
    </row>
    <row r="2320" spans="1:1" x14ac:dyDescent="0.25">
      <c r="A2320"/>
    </row>
    <row r="2321" spans="1:1" x14ac:dyDescent="0.25">
      <c r="A2321"/>
    </row>
    <row r="2322" spans="1:1" x14ac:dyDescent="0.25">
      <c r="A2322"/>
    </row>
    <row r="2323" spans="1:1" x14ac:dyDescent="0.25">
      <c r="A2323"/>
    </row>
    <row r="2324" spans="1:1" x14ac:dyDescent="0.25">
      <c r="A2324"/>
    </row>
    <row r="2325" spans="1:1" x14ac:dyDescent="0.25">
      <c r="A2325"/>
    </row>
    <row r="2326" spans="1:1" x14ac:dyDescent="0.25">
      <c r="A2326"/>
    </row>
    <row r="2327" spans="1:1" x14ac:dyDescent="0.25">
      <c r="A2327"/>
    </row>
    <row r="2328" spans="1:1" x14ac:dyDescent="0.25">
      <c r="A2328"/>
    </row>
    <row r="2329" spans="1:1" x14ac:dyDescent="0.25">
      <c r="A2329"/>
    </row>
    <row r="2330" spans="1:1" x14ac:dyDescent="0.25">
      <c r="A2330"/>
    </row>
    <row r="2331" spans="1:1" x14ac:dyDescent="0.25">
      <c r="A2331"/>
    </row>
    <row r="2332" spans="1:1" x14ac:dyDescent="0.25">
      <c r="A2332"/>
    </row>
    <row r="2333" spans="1:1" x14ac:dyDescent="0.25">
      <c r="A2333"/>
    </row>
    <row r="2334" spans="1:1" x14ac:dyDescent="0.25">
      <c r="A2334"/>
    </row>
    <row r="2335" spans="1:1" x14ac:dyDescent="0.25">
      <c r="A2335"/>
    </row>
    <row r="2336" spans="1:1" x14ac:dyDescent="0.25">
      <c r="A2336"/>
    </row>
    <row r="2337" spans="1:1" x14ac:dyDescent="0.25">
      <c r="A2337"/>
    </row>
    <row r="2338" spans="1:1" x14ac:dyDescent="0.25">
      <c r="A2338"/>
    </row>
    <row r="2339" spans="1:1" x14ac:dyDescent="0.25">
      <c r="A2339"/>
    </row>
    <row r="2340" spans="1:1" x14ac:dyDescent="0.25">
      <c r="A2340"/>
    </row>
    <row r="2341" spans="1:1" x14ac:dyDescent="0.25">
      <c r="A2341"/>
    </row>
    <row r="2342" spans="1:1" x14ac:dyDescent="0.25">
      <c r="A2342"/>
    </row>
    <row r="2343" spans="1:1" x14ac:dyDescent="0.25">
      <c r="A2343"/>
    </row>
    <row r="2344" spans="1:1" x14ac:dyDescent="0.25">
      <c r="A2344"/>
    </row>
    <row r="2345" spans="1:1" x14ac:dyDescent="0.25">
      <c r="A2345"/>
    </row>
    <row r="2346" spans="1:1" x14ac:dyDescent="0.25">
      <c r="A2346"/>
    </row>
    <row r="2347" spans="1:1" x14ac:dyDescent="0.25">
      <c r="A2347"/>
    </row>
    <row r="2348" spans="1:1" x14ac:dyDescent="0.25">
      <c r="A2348"/>
    </row>
    <row r="2349" spans="1:1" x14ac:dyDescent="0.25">
      <c r="A2349"/>
    </row>
    <row r="2350" spans="1:1" x14ac:dyDescent="0.25">
      <c r="A2350"/>
    </row>
    <row r="2351" spans="1:1" x14ac:dyDescent="0.25">
      <c r="A2351"/>
    </row>
    <row r="2352" spans="1:1" x14ac:dyDescent="0.25">
      <c r="A2352"/>
    </row>
    <row r="2353" spans="1:1" x14ac:dyDescent="0.25">
      <c r="A2353"/>
    </row>
    <row r="2354" spans="1:1" x14ac:dyDescent="0.25">
      <c r="A2354"/>
    </row>
    <row r="2355" spans="1:1" x14ac:dyDescent="0.25">
      <c r="A2355"/>
    </row>
    <row r="2356" spans="1:1" x14ac:dyDescent="0.25">
      <c r="A2356"/>
    </row>
    <row r="2357" spans="1:1" x14ac:dyDescent="0.25">
      <c r="A2357"/>
    </row>
    <row r="2358" spans="1:1" x14ac:dyDescent="0.25">
      <c r="A2358"/>
    </row>
    <row r="2359" spans="1:1" x14ac:dyDescent="0.25">
      <c r="A2359"/>
    </row>
    <row r="2360" spans="1:1" x14ac:dyDescent="0.25">
      <c r="A2360"/>
    </row>
    <row r="2361" spans="1:1" x14ac:dyDescent="0.25">
      <c r="A2361"/>
    </row>
    <row r="2362" spans="1:1" x14ac:dyDescent="0.25">
      <c r="A2362"/>
    </row>
    <row r="2363" spans="1:1" x14ac:dyDescent="0.25">
      <c r="A2363"/>
    </row>
    <row r="2364" spans="1:1" x14ac:dyDescent="0.25">
      <c r="A2364"/>
    </row>
    <row r="2365" spans="1:1" x14ac:dyDescent="0.25">
      <c r="A2365"/>
    </row>
    <row r="2366" spans="1:1" x14ac:dyDescent="0.25">
      <c r="A2366"/>
    </row>
    <row r="2367" spans="1:1" x14ac:dyDescent="0.25">
      <c r="A2367"/>
    </row>
    <row r="2368" spans="1:1" x14ac:dyDescent="0.25">
      <c r="A2368"/>
    </row>
    <row r="2369" spans="1:1" x14ac:dyDescent="0.25">
      <c r="A2369"/>
    </row>
    <row r="2370" spans="1:1" x14ac:dyDescent="0.25">
      <c r="A2370"/>
    </row>
    <row r="2371" spans="1:1" x14ac:dyDescent="0.25">
      <c r="A2371"/>
    </row>
    <row r="2372" spans="1:1" x14ac:dyDescent="0.25">
      <c r="A2372"/>
    </row>
    <row r="2373" spans="1:1" x14ac:dyDescent="0.25">
      <c r="A2373"/>
    </row>
    <row r="2374" spans="1:1" x14ac:dyDescent="0.25">
      <c r="A2374"/>
    </row>
    <row r="2375" spans="1:1" x14ac:dyDescent="0.25">
      <c r="A2375"/>
    </row>
    <row r="2376" spans="1:1" x14ac:dyDescent="0.25">
      <c r="A2376"/>
    </row>
    <row r="2377" spans="1:1" x14ac:dyDescent="0.25">
      <c r="A2377"/>
    </row>
    <row r="2378" spans="1:1" x14ac:dyDescent="0.25">
      <c r="A2378"/>
    </row>
    <row r="2379" spans="1:1" x14ac:dyDescent="0.25">
      <c r="A2379"/>
    </row>
    <row r="2380" spans="1:1" x14ac:dyDescent="0.25">
      <c r="A2380"/>
    </row>
    <row r="2381" spans="1:1" x14ac:dyDescent="0.25">
      <c r="A2381"/>
    </row>
    <row r="2382" spans="1:1" x14ac:dyDescent="0.25">
      <c r="A2382"/>
    </row>
    <row r="2383" spans="1:1" x14ac:dyDescent="0.25">
      <c r="A2383"/>
    </row>
    <row r="2384" spans="1:1" x14ac:dyDescent="0.25">
      <c r="A2384"/>
    </row>
    <row r="2385" spans="1:1" x14ac:dyDescent="0.25">
      <c r="A2385"/>
    </row>
    <row r="2386" spans="1:1" x14ac:dyDescent="0.25">
      <c r="A2386"/>
    </row>
    <row r="2387" spans="1:1" x14ac:dyDescent="0.25">
      <c r="A2387"/>
    </row>
    <row r="2388" spans="1:1" x14ac:dyDescent="0.25">
      <c r="A2388"/>
    </row>
    <row r="2389" spans="1:1" x14ac:dyDescent="0.25">
      <c r="A2389"/>
    </row>
    <row r="2390" spans="1:1" x14ac:dyDescent="0.25">
      <c r="A2390"/>
    </row>
    <row r="2391" spans="1:1" x14ac:dyDescent="0.25">
      <c r="A2391"/>
    </row>
    <row r="2392" spans="1:1" x14ac:dyDescent="0.25">
      <c r="A2392"/>
    </row>
    <row r="2393" spans="1:1" x14ac:dyDescent="0.25">
      <c r="A2393"/>
    </row>
    <row r="2394" spans="1:1" x14ac:dyDescent="0.25">
      <c r="A2394"/>
    </row>
    <row r="2395" spans="1:1" x14ac:dyDescent="0.25">
      <c r="A2395"/>
    </row>
    <row r="2396" spans="1:1" x14ac:dyDescent="0.25">
      <c r="A2396"/>
    </row>
    <row r="2397" spans="1:1" x14ac:dyDescent="0.25">
      <c r="A2397"/>
    </row>
    <row r="2398" spans="1:1" x14ac:dyDescent="0.25">
      <c r="A2398"/>
    </row>
    <row r="2399" spans="1:1" x14ac:dyDescent="0.25">
      <c r="A2399"/>
    </row>
    <row r="2400" spans="1:1" x14ac:dyDescent="0.25">
      <c r="A2400"/>
    </row>
    <row r="2401" spans="1:1" x14ac:dyDescent="0.25">
      <c r="A2401"/>
    </row>
    <row r="2402" spans="1:1" x14ac:dyDescent="0.25">
      <c r="A2402"/>
    </row>
    <row r="2403" spans="1:1" x14ac:dyDescent="0.25">
      <c r="A2403"/>
    </row>
    <row r="2404" spans="1:1" x14ac:dyDescent="0.25">
      <c r="A2404"/>
    </row>
    <row r="2405" spans="1:1" x14ac:dyDescent="0.25">
      <c r="A2405"/>
    </row>
    <row r="2406" spans="1:1" x14ac:dyDescent="0.25">
      <c r="A2406"/>
    </row>
    <row r="2407" spans="1:1" x14ac:dyDescent="0.25">
      <c r="A2407"/>
    </row>
    <row r="2408" spans="1:1" x14ac:dyDescent="0.25">
      <c r="A2408"/>
    </row>
    <row r="2409" spans="1:1" x14ac:dyDescent="0.25">
      <c r="A2409"/>
    </row>
    <row r="2410" spans="1:1" x14ac:dyDescent="0.25">
      <c r="A2410"/>
    </row>
    <row r="2411" spans="1:1" x14ac:dyDescent="0.25">
      <c r="A2411"/>
    </row>
    <row r="2412" spans="1:1" x14ac:dyDescent="0.25">
      <c r="A2412"/>
    </row>
    <row r="2413" spans="1:1" x14ac:dyDescent="0.25">
      <c r="A2413"/>
    </row>
    <row r="2414" spans="1:1" x14ac:dyDescent="0.25">
      <c r="A2414"/>
    </row>
    <row r="2415" spans="1:1" x14ac:dyDescent="0.25">
      <c r="A2415"/>
    </row>
    <row r="2416" spans="1:1" x14ac:dyDescent="0.25">
      <c r="A2416"/>
    </row>
    <row r="2417" spans="1:1" x14ac:dyDescent="0.25">
      <c r="A2417"/>
    </row>
    <row r="2418" spans="1:1" x14ac:dyDescent="0.25">
      <c r="A2418"/>
    </row>
    <row r="2419" spans="1:1" x14ac:dyDescent="0.25">
      <c r="A2419"/>
    </row>
    <row r="2420" spans="1:1" x14ac:dyDescent="0.25">
      <c r="A2420"/>
    </row>
    <row r="2421" spans="1:1" x14ac:dyDescent="0.25">
      <c r="A2421"/>
    </row>
    <row r="2422" spans="1:1" x14ac:dyDescent="0.25">
      <c r="A2422"/>
    </row>
    <row r="2423" spans="1:1" x14ac:dyDescent="0.25">
      <c r="A2423"/>
    </row>
    <row r="2424" spans="1:1" x14ac:dyDescent="0.25">
      <c r="A2424"/>
    </row>
    <row r="2425" spans="1:1" x14ac:dyDescent="0.25">
      <c r="A2425"/>
    </row>
    <row r="2426" spans="1:1" x14ac:dyDescent="0.25">
      <c r="A2426"/>
    </row>
    <row r="2427" spans="1:1" x14ac:dyDescent="0.25">
      <c r="A2427"/>
    </row>
    <row r="2428" spans="1:1" x14ac:dyDescent="0.25">
      <c r="A2428"/>
    </row>
    <row r="2429" spans="1:1" x14ac:dyDescent="0.25">
      <c r="A2429"/>
    </row>
    <row r="2430" spans="1:1" x14ac:dyDescent="0.25">
      <c r="A2430"/>
    </row>
    <row r="2431" spans="1:1" x14ac:dyDescent="0.25">
      <c r="A2431"/>
    </row>
    <row r="2432" spans="1:1" x14ac:dyDescent="0.25">
      <c r="A2432"/>
    </row>
    <row r="2433" spans="1:1" x14ac:dyDescent="0.25">
      <c r="A2433"/>
    </row>
    <row r="2434" spans="1:1" x14ac:dyDescent="0.25">
      <c r="A2434"/>
    </row>
    <row r="2435" spans="1:1" x14ac:dyDescent="0.25">
      <c r="A2435"/>
    </row>
    <row r="2436" spans="1:1" x14ac:dyDescent="0.25">
      <c r="A2436"/>
    </row>
    <row r="2437" spans="1:1" x14ac:dyDescent="0.25">
      <c r="A2437"/>
    </row>
    <row r="2438" spans="1:1" x14ac:dyDescent="0.25">
      <c r="A2438"/>
    </row>
    <row r="2439" spans="1:1" x14ac:dyDescent="0.25">
      <c r="A2439"/>
    </row>
    <row r="2440" spans="1:1" x14ac:dyDescent="0.25">
      <c r="A2440"/>
    </row>
    <row r="2441" spans="1:1" x14ac:dyDescent="0.25">
      <c r="A2441"/>
    </row>
    <row r="2442" spans="1:1" x14ac:dyDescent="0.25">
      <c r="A2442"/>
    </row>
    <row r="2443" spans="1:1" x14ac:dyDescent="0.25">
      <c r="A2443"/>
    </row>
    <row r="2444" spans="1:1" x14ac:dyDescent="0.25">
      <c r="A2444"/>
    </row>
    <row r="2445" spans="1:1" x14ac:dyDescent="0.25">
      <c r="A2445"/>
    </row>
    <row r="2446" spans="1:1" x14ac:dyDescent="0.25">
      <c r="A2446"/>
    </row>
    <row r="2447" spans="1:1" x14ac:dyDescent="0.25">
      <c r="A2447"/>
    </row>
    <row r="2448" spans="1:1" x14ac:dyDescent="0.25">
      <c r="A2448"/>
    </row>
    <row r="2449" spans="1:1" x14ac:dyDescent="0.25">
      <c r="A2449"/>
    </row>
    <row r="2450" spans="1:1" x14ac:dyDescent="0.25">
      <c r="A2450"/>
    </row>
    <row r="2451" spans="1:1" x14ac:dyDescent="0.25">
      <c r="A2451"/>
    </row>
    <row r="2452" spans="1:1" x14ac:dyDescent="0.25">
      <c r="A2452"/>
    </row>
    <row r="2453" spans="1:1" x14ac:dyDescent="0.25">
      <c r="A2453"/>
    </row>
    <row r="2454" spans="1:1" x14ac:dyDescent="0.25">
      <c r="A2454"/>
    </row>
    <row r="2455" spans="1:1" x14ac:dyDescent="0.25">
      <c r="A2455"/>
    </row>
    <row r="2456" spans="1:1" x14ac:dyDescent="0.25">
      <c r="A2456"/>
    </row>
    <row r="2457" spans="1:1" x14ac:dyDescent="0.25">
      <c r="A2457"/>
    </row>
    <row r="2458" spans="1:1" x14ac:dyDescent="0.25">
      <c r="A2458"/>
    </row>
    <row r="2459" spans="1:1" x14ac:dyDescent="0.25">
      <c r="A2459"/>
    </row>
    <row r="2460" spans="1:1" x14ac:dyDescent="0.25">
      <c r="A2460"/>
    </row>
    <row r="2461" spans="1:1" x14ac:dyDescent="0.25">
      <c r="A2461"/>
    </row>
    <row r="2462" spans="1:1" x14ac:dyDescent="0.25">
      <c r="A2462"/>
    </row>
    <row r="2463" spans="1:1" x14ac:dyDescent="0.25">
      <c r="A2463"/>
    </row>
    <row r="2464" spans="1:1" x14ac:dyDescent="0.25">
      <c r="A2464"/>
    </row>
    <row r="2465" spans="1:1" x14ac:dyDescent="0.25">
      <c r="A2465"/>
    </row>
    <row r="2466" spans="1:1" x14ac:dyDescent="0.25">
      <c r="A2466"/>
    </row>
    <row r="2467" spans="1:1" x14ac:dyDescent="0.25">
      <c r="A2467"/>
    </row>
    <row r="2468" spans="1:1" x14ac:dyDescent="0.25">
      <c r="A2468"/>
    </row>
    <row r="2469" spans="1:1" x14ac:dyDescent="0.25">
      <c r="A2469"/>
    </row>
    <row r="2470" spans="1:1" x14ac:dyDescent="0.25">
      <c r="A2470"/>
    </row>
    <row r="2471" spans="1:1" x14ac:dyDescent="0.25">
      <c r="A2471"/>
    </row>
    <row r="2472" spans="1:1" x14ac:dyDescent="0.25">
      <c r="A2472"/>
    </row>
    <row r="2473" spans="1:1" x14ac:dyDescent="0.25">
      <c r="A2473"/>
    </row>
    <row r="2474" spans="1:1" x14ac:dyDescent="0.25">
      <c r="A2474"/>
    </row>
    <row r="2475" spans="1:1" x14ac:dyDescent="0.25">
      <c r="A2475"/>
    </row>
    <row r="2476" spans="1:1" x14ac:dyDescent="0.25">
      <c r="A2476"/>
    </row>
    <row r="2477" spans="1:1" x14ac:dyDescent="0.25">
      <c r="A2477"/>
    </row>
    <row r="2478" spans="1:1" x14ac:dyDescent="0.25">
      <c r="A2478"/>
    </row>
    <row r="2479" spans="1:1" x14ac:dyDescent="0.25">
      <c r="A2479"/>
    </row>
    <row r="2480" spans="1:1" x14ac:dyDescent="0.25">
      <c r="A2480"/>
    </row>
    <row r="2481" spans="1:1" x14ac:dyDescent="0.25">
      <c r="A2481"/>
    </row>
    <row r="2482" spans="1:1" x14ac:dyDescent="0.25">
      <c r="A2482"/>
    </row>
    <row r="2483" spans="1:1" x14ac:dyDescent="0.25">
      <c r="A2483"/>
    </row>
    <row r="2484" spans="1:1" x14ac:dyDescent="0.25">
      <c r="A2484"/>
    </row>
    <row r="2485" spans="1:1" x14ac:dyDescent="0.25">
      <c r="A2485"/>
    </row>
    <row r="2486" spans="1:1" x14ac:dyDescent="0.25">
      <c r="A2486"/>
    </row>
    <row r="2487" spans="1:1" x14ac:dyDescent="0.25">
      <c r="A2487"/>
    </row>
    <row r="2488" spans="1:1" x14ac:dyDescent="0.25">
      <c r="A2488"/>
    </row>
    <row r="2489" spans="1:1" x14ac:dyDescent="0.25">
      <c r="A2489"/>
    </row>
    <row r="2490" spans="1:1" x14ac:dyDescent="0.25">
      <c r="A2490"/>
    </row>
    <row r="2491" spans="1:1" x14ac:dyDescent="0.25">
      <c r="A2491"/>
    </row>
    <row r="2492" spans="1:1" x14ac:dyDescent="0.25">
      <c r="A2492"/>
    </row>
    <row r="2493" spans="1:1" x14ac:dyDescent="0.25">
      <c r="A2493"/>
    </row>
    <row r="2494" spans="1:1" x14ac:dyDescent="0.25">
      <c r="A2494"/>
    </row>
    <row r="2495" spans="1:1" x14ac:dyDescent="0.25">
      <c r="A2495"/>
    </row>
    <row r="2496" spans="1:1" x14ac:dyDescent="0.25">
      <c r="A2496"/>
    </row>
    <row r="2497" spans="1:1" x14ac:dyDescent="0.25">
      <c r="A2497"/>
    </row>
    <row r="2498" spans="1:1" x14ac:dyDescent="0.25">
      <c r="A2498"/>
    </row>
    <row r="2499" spans="1:1" x14ac:dyDescent="0.25">
      <c r="A2499"/>
    </row>
    <row r="2500" spans="1:1" x14ac:dyDescent="0.25">
      <c r="A2500"/>
    </row>
    <row r="2501" spans="1:1" x14ac:dyDescent="0.25">
      <c r="A2501"/>
    </row>
    <row r="2502" spans="1:1" x14ac:dyDescent="0.25">
      <c r="A2502"/>
    </row>
    <row r="2503" spans="1:1" x14ac:dyDescent="0.25">
      <c r="A2503"/>
    </row>
    <row r="2504" spans="1:1" x14ac:dyDescent="0.25">
      <c r="A2504"/>
    </row>
    <row r="2505" spans="1:1" x14ac:dyDescent="0.25">
      <c r="A2505"/>
    </row>
    <row r="2506" spans="1:1" x14ac:dyDescent="0.25">
      <c r="A2506"/>
    </row>
    <row r="2507" spans="1:1" x14ac:dyDescent="0.25">
      <c r="A2507"/>
    </row>
    <row r="2508" spans="1:1" x14ac:dyDescent="0.25">
      <c r="A2508"/>
    </row>
    <row r="2509" spans="1:1" x14ac:dyDescent="0.25">
      <c r="A2509"/>
    </row>
    <row r="2510" spans="1:1" x14ac:dyDescent="0.25">
      <c r="A2510"/>
    </row>
    <row r="2511" spans="1:1" x14ac:dyDescent="0.25">
      <c r="A2511"/>
    </row>
    <row r="2512" spans="1:1" x14ac:dyDescent="0.25">
      <c r="A2512"/>
    </row>
    <row r="2513" spans="1:1" x14ac:dyDescent="0.25">
      <c r="A2513"/>
    </row>
    <row r="2514" spans="1:1" x14ac:dyDescent="0.25">
      <c r="A2514"/>
    </row>
    <row r="2515" spans="1:1" x14ac:dyDescent="0.25">
      <c r="A2515"/>
    </row>
    <row r="2516" spans="1:1" x14ac:dyDescent="0.25">
      <c r="A2516"/>
    </row>
    <row r="2517" spans="1:1" x14ac:dyDescent="0.25">
      <c r="A2517"/>
    </row>
    <row r="2518" spans="1:1" x14ac:dyDescent="0.25">
      <c r="A2518"/>
    </row>
    <row r="2519" spans="1:1" x14ac:dyDescent="0.25">
      <c r="A2519"/>
    </row>
    <row r="2520" spans="1:1" x14ac:dyDescent="0.25">
      <c r="A2520"/>
    </row>
    <row r="2521" spans="1:1" x14ac:dyDescent="0.25">
      <c r="A2521"/>
    </row>
    <row r="2522" spans="1:1" x14ac:dyDescent="0.25">
      <c r="A2522"/>
    </row>
    <row r="2523" spans="1:1" x14ac:dyDescent="0.25">
      <c r="A2523"/>
    </row>
    <row r="2524" spans="1:1" x14ac:dyDescent="0.25">
      <c r="A2524"/>
    </row>
    <row r="2525" spans="1:1" x14ac:dyDescent="0.25">
      <c r="A2525"/>
    </row>
    <row r="2526" spans="1:1" x14ac:dyDescent="0.25">
      <c r="A2526"/>
    </row>
    <row r="2527" spans="1:1" x14ac:dyDescent="0.25">
      <c r="A2527"/>
    </row>
    <row r="2528" spans="1:1" x14ac:dyDescent="0.25">
      <c r="A2528"/>
    </row>
    <row r="2529" spans="1:1" x14ac:dyDescent="0.25">
      <c r="A2529"/>
    </row>
    <row r="2530" spans="1:1" x14ac:dyDescent="0.25">
      <c r="A2530"/>
    </row>
    <row r="2531" spans="1:1" x14ac:dyDescent="0.25">
      <c r="A2531"/>
    </row>
    <row r="2532" spans="1:1" x14ac:dyDescent="0.25">
      <c r="A2532"/>
    </row>
    <row r="2533" spans="1:1" x14ac:dyDescent="0.25">
      <c r="A2533"/>
    </row>
    <row r="2534" spans="1:1" x14ac:dyDescent="0.25">
      <c r="A2534"/>
    </row>
    <row r="2535" spans="1:1" x14ac:dyDescent="0.25">
      <c r="A2535"/>
    </row>
    <row r="2536" spans="1:1" x14ac:dyDescent="0.25">
      <c r="A2536"/>
    </row>
    <row r="2537" spans="1:1" x14ac:dyDescent="0.25">
      <c r="A2537"/>
    </row>
    <row r="2538" spans="1:1" x14ac:dyDescent="0.25">
      <c r="A2538"/>
    </row>
    <row r="2539" spans="1:1" x14ac:dyDescent="0.25">
      <c r="A2539"/>
    </row>
    <row r="2540" spans="1:1" x14ac:dyDescent="0.25">
      <c r="A2540"/>
    </row>
    <row r="2541" spans="1:1" x14ac:dyDescent="0.25">
      <c r="A2541"/>
    </row>
    <row r="2542" spans="1:1" x14ac:dyDescent="0.25">
      <c r="A2542"/>
    </row>
    <row r="2543" spans="1:1" x14ac:dyDescent="0.25">
      <c r="A2543"/>
    </row>
    <row r="2544" spans="1:1" x14ac:dyDescent="0.25">
      <c r="A2544"/>
    </row>
    <row r="2545" spans="1:1" x14ac:dyDescent="0.25">
      <c r="A2545"/>
    </row>
    <row r="2546" spans="1:1" x14ac:dyDescent="0.25">
      <c r="A2546"/>
    </row>
    <row r="2547" spans="1:1" x14ac:dyDescent="0.25">
      <c r="A2547"/>
    </row>
    <row r="2548" spans="1:1" x14ac:dyDescent="0.25">
      <c r="A2548"/>
    </row>
    <row r="2549" spans="1:1" x14ac:dyDescent="0.25">
      <c r="A2549"/>
    </row>
    <row r="2550" spans="1:1" x14ac:dyDescent="0.25">
      <c r="A2550"/>
    </row>
    <row r="2551" spans="1:1" x14ac:dyDescent="0.25">
      <c r="A2551"/>
    </row>
    <row r="2552" spans="1:1" x14ac:dyDescent="0.25">
      <c r="A2552"/>
    </row>
    <row r="2553" spans="1:1" x14ac:dyDescent="0.25">
      <c r="A2553"/>
    </row>
    <row r="2554" spans="1:1" x14ac:dyDescent="0.25">
      <c r="A2554"/>
    </row>
    <row r="2555" spans="1:1" x14ac:dyDescent="0.25">
      <c r="A2555"/>
    </row>
    <row r="2556" spans="1:1" x14ac:dyDescent="0.25">
      <c r="A2556"/>
    </row>
    <row r="2557" spans="1:1" x14ac:dyDescent="0.25">
      <c r="A2557"/>
    </row>
    <row r="2558" spans="1:1" x14ac:dyDescent="0.25">
      <c r="A2558"/>
    </row>
    <row r="2559" spans="1:1" x14ac:dyDescent="0.25">
      <c r="A2559"/>
    </row>
    <row r="2560" spans="1:1" x14ac:dyDescent="0.25">
      <c r="A2560"/>
    </row>
    <row r="2561" spans="1:1" x14ac:dyDescent="0.25">
      <c r="A2561"/>
    </row>
    <row r="2562" spans="1:1" x14ac:dyDescent="0.25">
      <c r="A2562"/>
    </row>
    <row r="2563" spans="1:1" x14ac:dyDescent="0.25">
      <c r="A2563"/>
    </row>
    <row r="2564" spans="1:1" x14ac:dyDescent="0.25">
      <c r="A2564"/>
    </row>
    <row r="2565" spans="1:1" x14ac:dyDescent="0.25">
      <c r="A2565"/>
    </row>
    <row r="2566" spans="1:1" x14ac:dyDescent="0.25">
      <c r="A2566"/>
    </row>
    <row r="2567" spans="1:1" x14ac:dyDescent="0.25">
      <c r="A2567"/>
    </row>
    <row r="2568" spans="1:1" x14ac:dyDescent="0.25">
      <c r="A2568"/>
    </row>
    <row r="2569" spans="1:1" x14ac:dyDescent="0.25">
      <c r="A2569"/>
    </row>
    <row r="2570" spans="1:1" x14ac:dyDescent="0.25">
      <c r="A2570"/>
    </row>
    <row r="2571" spans="1:1" x14ac:dyDescent="0.25">
      <c r="A2571"/>
    </row>
    <row r="2572" spans="1:1" x14ac:dyDescent="0.25">
      <c r="A2572"/>
    </row>
    <row r="2573" spans="1:1" x14ac:dyDescent="0.25">
      <c r="A2573"/>
    </row>
    <row r="2574" spans="1:1" x14ac:dyDescent="0.25">
      <c r="A2574"/>
    </row>
    <row r="2575" spans="1:1" x14ac:dyDescent="0.25">
      <c r="A2575"/>
    </row>
    <row r="2576" spans="1:1" x14ac:dyDescent="0.25">
      <c r="A2576"/>
    </row>
    <row r="2577" spans="1:1" x14ac:dyDescent="0.25">
      <c r="A2577"/>
    </row>
    <row r="2578" spans="1:1" x14ac:dyDescent="0.25">
      <c r="A2578"/>
    </row>
    <row r="2579" spans="1:1" x14ac:dyDescent="0.25">
      <c r="A2579"/>
    </row>
    <row r="2580" spans="1:1" x14ac:dyDescent="0.25">
      <c r="A2580"/>
    </row>
    <row r="2581" spans="1:1" x14ac:dyDescent="0.25">
      <c r="A2581"/>
    </row>
    <row r="2582" spans="1:1" x14ac:dyDescent="0.25">
      <c r="A2582"/>
    </row>
    <row r="2583" spans="1:1" x14ac:dyDescent="0.25">
      <c r="A2583"/>
    </row>
    <row r="2584" spans="1:1" x14ac:dyDescent="0.25">
      <c r="A2584"/>
    </row>
    <row r="2585" spans="1:1" x14ac:dyDescent="0.25">
      <c r="A2585"/>
    </row>
    <row r="2586" spans="1:1" x14ac:dyDescent="0.25">
      <c r="A2586"/>
    </row>
    <row r="2587" spans="1:1" x14ac:dyDescent="0.25">
      <c r="A2587"/>
    </row>
    <row r="2588" spans="1:1" x14ac:dyDescent="0.25">
      <c r="A2588"/>
    </row>
    <row r="2589" spans="1:1" x14ac:dyDescent="0.25">
      <c r="A2589"/>
    </row>
    <row r="2590" spans="1:1" x14ac:dyDescent="0.25">
      <c r="A2590"/>
    </row>
    <row r="2591" spans="1:1" x14ac:dyDescent="0.25">
      <c r="A2591"/>
    </row>
    <row r="2592" spans="1:1" x14ac:dyDescent="0.25">
      <c r="A2592"/>
    </row>
    <row r="2593" spans="1:1" x14ac:dyDescent="0.25">
      <c r="A2593"/>
    </row>
    <row r="2594" spans="1:1" x14ac:dyDescent="0.25">
      <c r="A2594"/>
    </row>
    <row r="2595" spans="1:1" x14ac:dyDescent="0.25">
      <c r="A2595"/>
    </row>
    <row r="2596" spans="1:1" x14ac:dyDescent="0.25">
      <c r="A2596"/>
    </row>
    <row r="2597" spans="1:1" x14ac:dyDescent="0.25">
      <c r="A2597"/>
    </row>
    <row r="2598" spans="1:1" x14ac:dyDescent="0.25">
      <c r="A2598"/>
    </row>
    <row r="2599" spans="1:1" x14ac:dyDescent="0.25">
      <c r="A2599"/>
    </row>
    <row r="2600" spans="1:1" x14ac:dyDescent="0.25">
      <c r="A2600"/>
    </row>
    <row r="2601" spans="1:1" x14ac:dyDescent="0.25">
      <c r="A2601"/>
    </row>
    <row r="2602" spans="1:1" x14ac:dyDescent="0.25">
      <c r="A2602"/>
    </row>
    <row r="2603" spans="1:1" x14ac:dyDescent="0.25">
      <c r="A2603"/>
    </row>
    <row r="2604" spans="1:1" x14ac:dyDescent="0.25">
      <c r="A2604"/>
    </row>
    <row r="2605" spans="1:1" x14ac:dyDescent="0.25">
      <c r="A2605"/>
    </row>
    <row r="2606" spans="1:1" x14ac:dyDescent="0.25">
      <c r="A2606"/>
    </row>
    <row r="2607" spans="1:1" x14ac:dyDescent="0.25">
      <c r="A2607"/>
    </row>
    <row r="2608" spans="1:1" x14ac:dyDescent="0.25">
      <c r="A2608"/>
    </row>
    <row r="2609" spans="1:1" x14ac:dyDescent="0.25">
      <c r="A2609"/>
    </row>
    <row r="2610" spans="1:1" x14ac:dyDescent="0.25">
      <c r="A2610"/>
    </row>
    <row r="2611" spans="1:1" x14ac:dyDescent="0.25">
      <c r="A2611"/>
    </row>
    <row r="2612" spans="1:1" x14ac:dyDescent="0.25">
      <c r="A2612"/>
    </row>
    <row r="2613" spans="1:1" x14ac:dyDescent="0.25">
      <c r="A2613"/>
    </row>
    <row r="2614" spans="1:1" x14ac:dyDescent="0.25">
      <c r="A2614"/>
    </row>
    <row r="2615" spans="1:1" x14ac:dyDescent="0.25">
      <c r="A2615"/>
    </row>
    <row r="2616" spans="1:1" x14ac:dyDescent="0.25">
      <c r="A2616"/>
    </row>
    <row r="2617" spans="1:1" x14ac:dyDescent="0.25">
      <c r="A2617"/>
    </row>
    <row r="2618" spans="1:1" x14ac:dyDescent="0.25">
      <c r="A2618"/>
    </row>
    <row r="2619" spans="1:1" x14ac:dyDescent="0.25">
      <c r="A2619"/>
    </row>
    <row r="2620" spans="1:1" x14ac:dyDescent="0.25">
      <c r="A2620"/>
    </row>
    <row r="2621" spans="1:1" x14ac:dyDescent="0.25">
      <c r="A2621"/>
    </row>
    <row r="2622" spans="1:1" x14ac:dyDescent="0.25">
      <c r="A2622"/>
    </row>
    <row r="2623" spans="1:1" x14ac:dyDescent="0.25">
      <c r="A2623"/>
    </row>
    <row r="2624" spans="1:1" x14ac:dyDescent="0.25">
      <c r="A2624"/>
    </row>
    <row r="2625" spans="1:1" x14ac:dyDescent="0.25">
      <c r="A2625"/>
    </row>
    <row r="2626" spans="1:1" x14ac:dyDescent="0.25">
      <c r="A2626"/>
    </row>
    <row r="2627" spans="1:1" x14ac:dyDescent="0.25">
      <c r="A2627"/>
    </row>
    <row r="2628" spans="1:1" x14ac:dyDescent="0.25">
      <c r="A2628"/>
    </row>
    <row r="2629" spans="1:1" x14ac:dyDescent="0.25">
      <c r="A2629"/>
    </row>
    <row r="2630" spans="1:1" x14ac:dyDescent="0.25">
      <c r="A2630"/>
    </row>
    <row r="2631" spans="1:1" x14ac:dyDescent="0.25">
      <c r="A2631"/>
    </row>
    <row r="2632" spans="1:1" x14ac:dyDescent="0.25">
      <c r="A2632"/>
    </row>
    <row r="2633" spans="1:1" x14ac:dyDescent="0.25">
      <c r="A2633"/>
    </row>
    <row r="2634" spans="1:1" x14ac:dyDescent="0.25">
      <c r="A2634"/>
    </row>
    <row r="2635" spans="1:1" x14ac:dyDescent="0.25">
      <c r="A2635"/>
    </row>
    <row r="2636" spans="1:1" x14ac:dyDescent="0.25">
      <c r="A2636"/>
    </row>
    <row r="2637" spans="1:1" x14ac:dyDescent="0.25">
      <c r="A2637"/>
    </row>
    <row r="2638" spans="1:1" x14ac:dyDescent="0.25">
      <c r="A2638"/>
    </row>
    <row r="2639" spans="1:1" x14ac:dyDescent="0.25">
      <c r="A2639"/>
    </row>
    <row r="2640" spans="1:1" x14ac:dyDescent="0.25">
      <c r="A2640"/>
    </row>
    <row r="2641" spans="1:1" x14ac:dyDescent="0.25">
      <c r="A2641"/>
    </row>
    <row r="2642" spans="1:1" x14ac:dyDescent="0.25">
      <c r="A2642"/>
    </row>
    <row r="2643" spans="1:1" x14ac:dyDescent="0.25">
      <c r="A2643"/>
    </row>
    <row r="2644" spans="1:1" x14ac:dyDescent="0.25">
      <c r="A2644"/>
    </row>
    <row r="2645" spans="1:1" x14ac:dyDescent="0.25">
      <c r="A2645"/>
    </row>
    <row r="2646" spans="1:1" x14ac:dyDescent="0.25">
      <c r="A2646"/>
    </row>
    <row r="2647" spans="1:1" x14ac:dyDescent="0.25">
      <c r="A2647"/>
    </row>
    <row r="2648" spans="1:1" x14ac:dyDescent="0.25">
      <c r="A2648"/>
    </row>
    <row r="2649" spans="1:1" x14ac:dyDescent="0.25">
      <c r="A2649"/>
    </row>
    <row r="2650" spans="1:1" x14ac:dyDescent="0.25">
      <c r="A2650"/>
    </row>
    <row r="2651" spans="1:1" x14ac:dyDescent="0.25">
      <c r="A2651"/>
    </row>
    <row r="2652" spans="1:1" x14ac:dyDescent="0.25">
      <c r="A2652"/>
    </row>
    <row r="2653" spans="1:1" x14ac:dyDescent="0.25">
      <c r="A2653"/>
    </row>
    <row r="2654" spans="1:1" x14ac:dyDescent="0.25">
      <c r="A2654"/>
    </row>
    <row r="2655" spans="1:1" x14ac:dyDescent="0.25">
      <c r="A2655"/>
    </row>
    <row r="2656" spans="1:1" x14ac:dyDescent="0.25">
      <c r="A2656"/>
    </row>
    <row r="2657" spans="1:1" x14ac:dyDescent="0.25">
      <c r="A2657"/>
    </row>
    <row r="2658" spans="1:1" x14ac:dyDescent="0.25">
      <c r="A2658"/>
    </row>
    <row r="2659" spans="1:1" x14ac:dyDescent="0.25">
      <c r="A2659"/>
    </row>
    <row r="2660" spans="1:1" x14ac:dyDescent="0.25">
      <c r="A2660"/>
    </row>
    <row r="2661" spans="1:1" x14ac:dyDescent="0.25">
      <c r="A2661"/>
    </row>
    <row r="2662" spans="1:1" x14ac:dyDescent="0.25">
      <c r="A2662"/>
    </row>
    <row r="2663" spans="1:1" x14ac:dyDescent="0.25">
      <c r="A2663"/>
    </row>
    <row r="2664" spans="1:1" x14ac:dyDescent="0.25">
      <c r="A2664"/>
    </row>
    <row r="2665" spans="1:1" x14ac:dyDescent="0.25">
      <c r="A2665"/>
    </row>
    <row r="2666" spans="1:1" x14ac:dyDescent="0.25">
      <c r="A2666"/>
    </row>
    <row r="2667" spans="1:1" x14ac:dyDescent="0.25">
      <c r="A2667"/>
    </row>
    <row r="2668" spans="1:1" x14ac:dyDescent="0.25">
      <c r="A2668"/>
    </row>
    <row r="2669" spans="1:1" x14ac:dyDescent="0.25">
      <c r="A2669"/>
    </row>
    <row r="2670" spans="1:1" x14ac:dyDescent="0.25">
      <c r="A2670"/>
    </row>
    <row r="2671" spans="1:1" x14ac:dyDescent="0.25">
      <c r="A2671"/>
    </row>
    <row r="2672" spans="1:1" x14ac:dyDescent="0.25">
      <c r="A2672"/>
    </row>
    <row r="2673" spans="1:1" x14ac:dyDescent="0.25">
      <c r="A2673"/>
    </row>
    <row r="2674" spans="1:1" x14ac:dyDescent="0.25">
      <c r="A2674"/>
    </row>
    <row r="2675" spans="1:1" x14ac:dyDescent="0.25">
      <c r="A2675"/>
    </row>
    <row r="2676" spans="1:1" x14ac:dyDescent="0.25">
      <c r="A2676"/>
    </row>
    <row r="2677" spans="1:1" x14ac:dyDescent="0.25">
      <c r="A2677"/>
    </row>
    <row r="2678" spans="1:1" x14ac:dyDescent="0.25">
      <c r="A2678"/>
    </row>
    <row r="2679" spans="1:1" x14ac:dyDescent="0.25">
      <c r="A2679"/>
    </row>
    <row r="2680" spans="1:1" x14ac:dyDescent="0.25">
      <c r="A2680"/>
    </row>
    <row r="2681" spans="1:1" x14ac:dyDescent="0.25">
      <c r="A2681"/>
    </row>
    <row r="2682" spans="1:1" x14ac:dyDescent="0.25">
      <c r="A2682"/>
    </row>
    <row r="2683" spans="1:1" x14ac:dyDescent="0.25">
      <c r="A2683"/>
    </row>
    <row r="2684" spans="1:1" x14ac:dyDescent="0.25">
      <c r="A2684"/>
    </row>
    <row r="2685" spans="1:1" x14ac:dyDescent="0.25">
      <c r="A2685"/>
    </row>
    <row r="2686" spans="1:1" x14ac:dyDescent="0.25">
      <c r="A2686"/>
    </row>
    <row r="2687" spans="1:1" x14ac:dyDescent="0.25">
      <c r="A2687"/>
    </row>
    <row r="2688" spans="1:1" x14ac:dyDescent="0.25">
      <c r="A2688"/>
    </row>
    <row r="2689" spans="1:1" x14ac:dyDescent="0.25">
      <c r="A2689"/>
    </row>
    <row r="2690" spans="1:1" x14ac:dyDescent="0.25">
      <c r="A2690"/>
    </row>
    <row r="2691" spans="1:1" x14ac:dyDescent="0.25">
      <c r="A2691"/>
    </row>
    <row r="2692" spans="1:1" x14ac:dyDescent="0.25">
      <c r="A2692"/>
    </row>
    <row r="2693" spans="1:1" x14ac:dyDescent="0.25">
      <c r="A2693"/>
    </row>
    <row r="2694" spans="1:1" x14ac:dyDescent="0.25">
      <c r="A2694"/>
    </row>
    <row r="2695" spans="1:1" x14ac:dyDescent="0.25">
      <c r="A2695"/>
    </row>
    <row r="2696" spans="1:1" x14ac:dyDescent="0.25">
      <c r="A2696"/>
    </row>
    <row r="2697" spans="1:1" x14ac:dyDescent="0.25">
      <c r="A2697"/>
    </row>
    <row r="2698" spans="1:1" x14ac:dyDescent="0.25">
      <c r="A2698"/>
    </row>
    <row r="2699" spans="1:1" x14ac:dyDescent="0.25">
      <c r="A2699"/>
    </row>
    <row r="2700" spans="1:1" x14ac:dyDescent="0.25">
      <c r="A2700"/>
    </row>
    <row r="2701" spans="1:1" x14ac:dyDescent="0.25">
      <c r="A2701"/>
    </row>
    <row r="2702" spans="1:1" x14ac:dyDescent="0.25">
      <c r="A2702"/>
    </row>
    <row r="2703" spans="1:1" x14ac:dyDescent="0.25">
      <c r="A2703"/>
    </row>
    <row r="2704" spans="1:1" x14ac:dyDescent="0.25">
      <c r="A2704"/>
    </row>
    <row r="2705" spans="1:1" x14ac:dyDescent="0.25">
      <c r="A2705"/>
    </row>
    <row r="2706" spans="1:1" x14ac:dyDescent="0.25">
      <c r="A2706"/>
    </row>
    <row r="2707" spans="1:1" x14ac:dyDescent="0.25">
      <c r="A2707"/>
    </row>
    <row r="2708" spans="1:1" x14ac:dyDescent="0.25">
      <c r="A2708"/>
    </row>
    <row r="2709" spans="1:1" x14ac:dyDescent="0.25">
      <c r="A2709"/>
    </row>
    <row r="2710" spans="1:1" x14ac:dyDescent="0.25">
      <c r="A2710"/>
    </row>
    <row r="2711" spans="1:1" x14ac:dyDescent="0.25">
      <c r="A2711"/>
    </row>
    <row r="2712" spans="1:1" x14ac:dyDescent="0.25">
      <c r="A2712"/>
    </row>
    <row r="2713" spans="1:1" x14ac:dyDescent="0.25">
      <c r="A2713"/>
    </row>
    <row r="2714" spans="1:1" x14ac:dyDescent="0.25">
      <c r="A2714"/>
    </row>
    <row r="2715" spans="1:1" x14ac:dyDescent="0.25">
      <c r="A2715"/>
    </row>
    <row r="2716" spans="1:1" x14ac:dyDescent="0.25">
      <c r="A2716"/>
    </row>
    <row r="2717" spans="1:1" x14ac:dyDescent="0.25">
      <c r="A2717"/>
    </row>
    <row r="2718" spans="1:1" x14ac:dyDescent="0.25">
      <c r="A2718"/>
    </row>
    <row r="2719" spans="1:1" x14ac:dyDescent="0.25">
      <c r="A2719"/>
    </row>
    <row r="2720" spans="1:1" x14ac:dyDescent="0.25">
      <c r="A2720"/>
    </row>
    <row r="2721" spans="1:1" x14ac:dyDescent="0.25">
      <c r="A2721"/>
    </row>
    <row r="2722" spans="1:1" x14ac:dyDescent="0.25">
      <c r="A2722"/>
    </row>
    <row r="2723" spans="1:1" x14ac:dyDescent="0.25">
      <c r="A2723"/>
    </row>
    <row r="2724" spans="1:1" x14ac:dyDescent="0.25">
      <c r="A2724"/>
    </row>
    <row r="2725" spans="1:1" x14ac:dyDescent="0.25">
      <c r="A2725"/>
    </row>
    <row r="2726" spans="1:1" x14ac:dyDescent="0.25">
      <c r="A2726"/>
    </row>
    <row r="2727" spans="1:1" x14ac:dyDescent="0.25">
      <c r="A2727"/>
    </row>
    <row r="2728" spans="1:1" x14ac:dyDescent="0.25">
      <c r="A2728"/>
    </row>
    <row r="2729" spans="1:1" x14ac:dyDescent="0.25">
      <c r="A2729"/>
    </row>
    <row r="2730" spans="1:1" x14ac:dyDescent="0.25">
      <c r="A2730"/>
    </row>
    <row r="2731" spans="1:1" x14ac:dyDescent="0.25">
      <c r="A2731"/>
    </row>
    <row r="2732" spans="1:1" x14ac:dyDescent="0.25">
      <c r="A2732"/>
    </row>
    <row r="2733" spans="1:1" x14ac:dyDescent="0.25">
      <c r="A2733"/>
    </row>
    <row r="2734" spans="1:1" x14ac:dyDescent="0.25">
      <c r="A2734"/>
    </row>
    <row r="2735" spans="1:1" x14ac:dyDescent="0.25">
      <c r="A2735"/>
    </row>
    <row r="2736" spans="1:1" x14ac:dyDescent="0.25">
      <c r="A2736"/>
    </row>
    <row r="2737" spans="1:1" x14ac:dyDescent="0.25">
      <c r="A2737"/>
    </row>
    <row r="2738" spans="1:1" x14ac:dyDescent="0.25">
      <c r="A2738"/>
    </row>
    <row r="2739" spans="1:1" x14ac:dyDescent="0.25">
      <c r="A2739"/>
    </row>
    <row r="2740" spans="1:1" x14ac:dyDescent="0.25">
      <c r="A2740"/>
    </row>
    <row r="2741" spans="1:1" x14ac:dyDescent="0.25">
      <c r="A2741"/>
    </row>
    <row r="2742" spans="1:1" x14ac:dyDescent="0.25">
      <c r="A2742"/>
    </row>
    <row r="2743" spans="1:1" x14ac:dyDescent="0.25">
      <c r="A2743"/>
    </row>
    <row r="2744" spans="1:1" x14ac:dyDescent="0.25">
      <c r="A2744"/>
    </row>
    <row r="2745" spans="1:1" x14ac:dyDescent="0.25">
      <c r="A2745"/>
    </row>
    <row r="2746" spans="1:1" x14ac:dyDescent="0.25">
      <c r="A2746"/>
    </row>
    <row r="2747" spans="1:1" x14ac:dyDescent="0.25">
      <c r="A2747"/>
    </row>
    <row r="2748" spans="1:1" x14ac:dyDescent="0.25">
      <c r="A2748"/>
    </row>
    <row r="2749" spans="1:1" x14ac:dyDescent="0.25">
      <c r="A2749"/>
    </row>
    <row r="2750" spans="1:1" x14ac:dyDescent="0.25">
      <c r="A2750"/>
    </row>
    <row r="2751" spans="1:1" x14ac:dyDescent="0.25">
      <c r="A2751"/>
    </row>
    <row r="2752" spans="1:1" x14ac:dyDescent="0.25">
      <c r="A2752"/>
    </row>
    <row r="2753" spans="1:1" x14ac:dyDescent="0.25">
      <c r="A2753"/>
    </row>
    <row r="2754" spans="1:1" x14ac:dyDescent="0.25">
      <c r="A2754"/>
    </row>
    <row r="2755" spans="1:1" x14ac:dyDescent="0.25">
      <c r="A2755"/>
    </row>
    <row r="2756" spans="1:1" x14ac:dyDescent="0.25">
      <c r="A2756"/>
    </row>
    <row r="2757" spans="1:1" x14ac:dyDescent="0.25">
      <c r="A2757"/>
    </row>
    <row r="2758" spans="1:1" x14ac:dyDescent="0.25">
      <c r="A2758"/>
    </row>
    <row r="2759" spans="1:1" x14ac:dyDescent="0.25">
      <c r="A2759"/>
    </row>
    <row r="2760" spans="1:1" x14ac:dyDescent="0.25">
      <c r="A2760"/>
    </row>
    <row r="2761" spans="1:1" x14ac:dyDescent="0.25">
      <c r="A2761"/>
    </row>
    <row r="2762" spans="1:1" x14ac:dyDescent="0.25">
      <c r="A2762"/>
    </row>
    <row r="2763" spans="1:1" x14ac:dyDescent="0.25">
      <c r="A2763"/>
    </row>
    <row r="2764" spans="1:1" x14ac:dyDescent="0.25">
      <c r="A2764"/>
    </row>
    <row r="2765" spans="1:1" x14ac:dyDescent="0.25">
      <c r="A2765"/>
    </row>
    <row r="2766" spans="1:1" x14ac:dyDescent="0.25">
      <c r="A2766"/>
    </row>
    <row r="2767" spans="1:1" x14ac:dyDescent="0.25">
      <c r="A2767"/>
    </row>
    <row r="2768" spans="1:1" x14ac:dyDescent="0.25">
      <c r="A2768"/>
    </row>
    <row r="2769" spans="1:1" x14ac:dyDescent="0.25">
      <c r="A2769"/>
    </row>
    <row r="2770" spans="1:1" x14ac:dyDescent="0.25">
      <c r="A2770"/>
    </row>
    <row r="2771" spans="1:1" x14ac:dyDescent="0.25">
      <c r="A2771"/>
    </row>
    <row r="2772" spans="1:1" x14ac:dyDescent="0.25">
      <c r="A2772"/>
    </row>
    <row r="2773" spans="1:1" x14ac:dyDescent="0.25">
      <c r="A2773"/>
    </row>
    <row r="2774" spans="1:1" x14ac:dyDescent="0.25">
      <c r="A2774"/>
    </row>
    <row r="2775" spans="1:1" x14ac:dyDescent="0.25">
      <c r="A2775"/>
    </row>
    <row r="2776" spans="1:1" x14ac:dyDescent="0.25">
      <c r="A2776"/>
    </row>
    <row r="2777" spans="1:1" x14ac:dyDescent="0.25">
      <c r="A2777"/>
    </row>
    <row r="2778" spans="1:1" x14ac:dyDescent="0.25">
      <c r="A2778"/>
    </row>
    <row r="2779" spans="1:1" x14ac:dyDescent="0.25">
      <c r="A2779"/>
    </row>
    <row r="2780" spans="1:1" x14ac:dyDescent="0.25">
      <c r="A2780"/>
    </row>
    <row r="2781" spans="1:1" x14ac:dyDescent="0.25">
      <c r="A2781"/>
    </row>
    <row r="2782" spans="1:1" x14ac:dyDescent="0.25">
      <c r="A2782"/>
    </row>
    <row r="2783" spans="1:1" x14ac:dyDescent="0.25">
      <c r="A2783"/>
    </row>
    <row r="2784" spans="1:1" x14ac:dyDescent="0.25">
      <c r="A2784"/>
    </row>
    <row r="2785" spans="1:1" x14ac:dyDescent="0.25">
      <c r="A2785"/>
    </row>
    <row r="2786" spans="1:1" x14ac:dyDescent="0.25">
      <c r="A2786"/>
    </row>
    <row r="2787" spans="1:1" x14ac:dyDescent="0.25">
      <c r="A2787"/>
    </row>
    <row r="2788" spans="1:1" x14ac:dyDescent="0.25">
      <c r="A2788"/>
    </row>
    <row r="2789" spans="1:1" x14ac:dyDescent="0.25">
      <c r="A2789"/>
    </row>
    <row r="2790" spans="1:1" x14ac:dyDescent="0.25">
      <c r="A2790"/>
    </row>
    <row r="2791" spans="1:1" x14ac:dyDescent="0.25">
      <c r="A2791"/>
    </row>
    <row r="2792" spans="1:1" x14ac:dyDescent="0.25">
      <c r="A2792"/>
    </row>
    <row r="2793" spans="1:1" x14ac:dyDescent="0.25">
      <c r="A2793"/>
    </row>
    <row r="2794" spans="1:1" x14ac:dyDescent="0.25">
      <c r="A2794"/>
    </row>
    <row r="2795" spans="1:1" x14ac:dyDescent="0.25">
      <c r="A2795"/>
    </row>
    <row r="2796" spans="1:1" x14ac:dyDescent="0.25">
      <c r="A2796"/>
    </row>
    <row r="2797" spans="1:1" x14ac:dyDescent="0.25">
      <c r="A2797"/>
    </row>
    <row r="2798" spans="1:1" x14ac:dyDescent="0.25">
      <c r="A2798"/>
    </row>
    <row r="2799" spans="1:1" x14ac:dyDescent="0.25">
      <c r="A2799"/>
    </row>
    <row r="2800" spans="1:1" x14ac:dyDescent="0.25">
      <c r="A2800"/>
    </row>
    <row r="2801" spans="1:1" x14ac:dyDescent="0.25">
      <c r="A2801"/>
    </row>
    <row r="2802" spans="1:1" x14ac:dyDescent="0.25">
      <c r="A2802"/>
    </row>
    <row r="2803" spans="1:1" x14ac:dyDescent="0.25">
      <c r="A2803"/>
    </row>
    <row r="2804" spans="1:1" x14ac:dyDescent="0.25">
      <c r="A2804"/>
    </row>
    <row r="2805" spans="1:1" x14ac:dyDescent="0.25">
      <c r="A2805"/>
    </row>
    <row r="2806" spans="1:1" x14ac:dyDescent="0.25">
      <c r="A2806"/>
    </row>
    <row r="2807" spans="1:1" x14ac:dyDescent="0.25">
      <c r="A2807"/>
    </row>
    <row r="2808" spans="1:1" x14ac:dyDescent="0.25">
      <c r="A2808"/>
    </row>
    <row r="2809" spans="1:1" x14ac:dyDescent="0.25">
      <c r="A2809"/>
    </row>
    <row r="2810" spans="1:1" x14ac:dyDescent="0.25">
      <c r="A2810"/>
    </row>
    <row r="2811" spans="1:1" x14ac:dyDescent="0.25">
      <c r="A2811"/>
    </row>
    <row r="2812" spans="1:1" x14ac:dyDescent="0.25">
      <c r="A2812"/>
    </row>
    <row r="2813" spans="1:1" x14ac:dyDescent="0.25">
      <c r="A2813"/>
    </row>
    <row r="2814" spans="1:1" x14ac:dyDescent="0.25">
      <c r="A2814"/>
    </row>
    <row r="2815" spans="1:1" x14ac:dyDescent="0.25">
      <c r="A2815"/>
    </row>
    <row r="2816" spans="1:1" x14ac:dyDescent="0.25">
      <c r="A2816"/>
    </row>
    <row r="2817" spans="1:1" x14ac:dyDescent="0.25">
      <c r="A2817"/>
    </row>
    <row r="2818" spans="1:1" x14ac:dyDescent="0.25">
      <c r="A2818"/>
    </row>
    <row r="2819" spans="1:1" x14ac:dyDescent="0.25">
      <c r="A2819"/>
    </row>
    <row r="2820" spans="1:1" x14ac:dyDescent="0.25">
      <c r="A2820"/>
    </row>
    <row r="2821" spans="1:1" x14ac:dyDescent="0.25">
      <c r="A2821"/>
    </row>
    <row r="2822" spans="1:1" x14ac:dyDescent="0.25">
      <c r="A2822"/>
    </row>
    <row r="2823" spans="1:1" x14ac:dyDescent="0.25">
      <c r="A2823"/>
    </row>
    <row r="2824" spans="1:1" x14ac:dyDescent="0.25">
      <c r="A2824"/>
    </row>
    <row r="2825" spans="1:1" x14ac:dyDescent="0.25">
      <c r="A2825"/>
    </row>
    <row r="2826" spans="1:1" x14ac:dyDescent="0.25">
      <c r="A2826"/>
    </row>
    <row r="2827" spans="1:1" x14ac:dyDescent="0.25">
      <c r="A2827"/>
    </row>
    <row r="2828" spans="1:1" x14ac:dyDescent="0.25">
      <c r="A2828"/>
    </row>
    <row r="2829" spans="1:1" x14ac:dyDescent="0.25">
      <c r="A2829"/>
    </row>
    <row r="2830" spans="1:1" x14ac:dyDescent="0.25">
      <c r="A2830"/>
    </row>
    <row r="2831" spans="1:1" x14ac:dyDescent="0.25">
      <c r="A2831"/>
    </row>
    <row r="2832" spans="1:1" x14ac:dyDescent="0.25">
      <c r="A2832"/>
    </row>
    <row r="2833" spans="1:1" x14ac:dyDescent="0.25">
      <c r="A2833"/>
    </row>
    <row r="2834" spans="1:1" x14ac:dyDescent="0.25">
      <c r="A2834"/>
    </row>
    <row r="2835" spans="1:1" x14ac:dyDescent="0.25">
      <c r="A2835"/>
    </row>
    <row r="2836" spans="1:1" x14ac:dyDescent="0.25">
      <c r="A2836"/>
    </row>
    <row r="2837" spans="1:1" x14ac:dyDescent="0.25">
      <c r="A2837"/>
    </row>
    <row r="2838" spans="1:1" x14ac:dyDescent="0.25">
      <c r="A2838"/>
    </row>
    <row r="2839" spans="1:1" x14ac:dyDescent="0.25">
      <c r="A2839"/>
    </row>
    <row r="2840" spans="1:1" x14ac:dyDescent="0.25">
      <c r="A2840"/>
    </row>
    <row r="2841" spans="1:1" x14ac:dyDescent="0.25">
      <c r="A2841"/>
    </row>
    <row r="2842" spans="1:1" x14ac:dyDescent="0.25">
      <c r="A2842"/>
    </row>
    <row r="2843" spans="1:1" x14ac:dyDescent="0.25">
      <c r="A2843"/>
    </row>
    <row r="2844" spans="1:1" x14ac:dyDescent="0.25">
      <c r="A2844"/>
    </row>
    <row r="2845" spans="1:1" x14ac:dyDescent="0.25">
      <c r="A2845"/>
    </row>
    <row r="2846" spans="1:1" x14ac:dyDescent="0.25">
      <c r="A2846"/>
    </row>
    <row r="2847" spans="1:1" x14ac:dyDescent="0.25">
      <c r="A2847"/>
    </row>
    <row r="2848" spans="1:1" x14ac:dyDescent="0.25">
      <c r="A2848"/>
    </row>
    <row r="2849" spans="1:1" x14ac:dyDescent="0.25">
      <c r="A2849"/>
    </row>
    <row r="2850" spans="1:1" x14ac:dyDescent="0.25">
      <c r="A2850"/>
    </row>
    <row r="2851" spans="1:1" x14ac:dyDescent="0.25">
      <c r="A2851"/>
    </row>
    <row r="2852" spans="1:1" x14ac:dyDescent="0.25">
      <c r="A2852"/>
    </row>
    <row r="2853" spans="1:1" x14ac:dyDescent="0.25">
      <c r="A2853"/>
    </row>
    <row r="2854" spans="1:1" x14ac:dyDescent="0.25">
      <c r="A2854"/>
    </row>
    <row r="2855" spans="1:1" x14ac:dyDescent="0.25">
      <c r="A2855"/>
    </row>
    <row r="2856" spans="1:1" x14ac:dyDescent="0.25">
      <c r="A2856"/>
    </row>
    <row r="2857" spans="1:1" x14ac:dyDescent="0.25">
      <c r="A2857"/>
    </row>
    <row r="2858" spans="1:1" x14ac:dyDescent="0.25">
      <c r="A2858"/>
    </row>
    <row r="2859" spans="1:1" x14ac:dyDescent="0.25">
      <c r="A2859"/>
    </row>
    <row r="2860" spans="1:1" x14ac:dyDescent="0.25">
      <c r="A2860"/>
    </row>
    <row r="2861" spans="1:1" x14ac:dyDescent="0.25">
      <c r="A2861"/>
    </row>
    <row r="2862" spans="1:1" x14ac:dyDescent="0.25">
      <c r="A2862"/>
    </row>
    <row r="2863" spans="1:1" x14ac:dyDescent="0.25">
      <c r="A2863"/>
    </row>
    <row r="2864" spans="1:1" x14ac:dyDescent="0.25">
      <c r="A2864"/>
    </row>
    <row r="2865" spans="1:1" x14ac:dyDescent="0.25">
      <c r="A2865"/>
    </row>
    <row r="2866" spans="1:1" x14ac:dyDescent="0.25">
      <c r="A2866"/>
    </row>
    <row r="2867" spans="1:1" x14ac:dyDescent="0.25">
      <c r="A2867"/>
    </row>
    <row r="2868" spans="1:1" x14ac:dyDescent="0.25">
      <c r="A2868"/>
    </row>
    <row r="2869" spans="1:1" x14ac:dyDescent="0.25">
      <c r="A2869"/>
    </row>
    <row r="2870" spans="1:1" x14ac:dyDescent="0.25">
      <c r="A2870"/>
    </row>
    <row r="2871" spans="1:1" x14ac:dyDescent="0.25">
      <c r="A2871"/>
    </row>
    <row r="2872" spans="1:1" x14ac:dyDescent="0.25">
      <c r="A2872"/>
    </row>
    <row r="2873" spans="1:1" x14ac:dyDescent="0.25">
      <c r="A2873"/>
    </row>
    <row r="2874" spans="1:1" x14ac:dyDescent="0.25">
      <c r="A2874"/>
    </row>
    <row r="2875" spans="1:1" x14ac:dyDescent="0.25">
      <c r="A2875"/>
    </row>
    <row r="2876" spans="1:1" x14ac:dyDescent="0.25">
      <c r="A2876"/>
    </row>
    <row r="2877" spans="1:1" x14ac:dyDescent="0.25">
      <c r="A2877"/>
    </row>
    <row r="2878" spans="1:1" x14ac:dyDescent="0.25">
      <c r="A2878"/>
    </row>
    <row r="2879" spans="1:1" x14ac:dyDescent="0.25">
      <c r="A2879"/>
    </row>
    <row r="2880" spans="1:1" x14ac:dyDescent="0.25">
      <c r="A2880"/>
    </row>
    <row r="2881" spans="1:1" x14ac:dyDescent="0.25">
      <c r="A2881"/>
    </row>
    <row r="2882" spans="1:1" x14ac:dyDescent="0.25">
      <c r="A2882"/>
    </row>
    <row r="2883" spans="1:1" x14ac:dyDescent="0.25">
      <c r="A2883"/>
    </row>
    <row r="2884" spans="1:1" x14ac:dyDescent="0.25">
      <c r="A2884"/>
    </row>
    <row r="2885" spans="1:1" x14ac:dyDescent="0.25">
      <c r="A2885"/>
    </row>
    <row r="2886" spans="1:1" x14ac:dyDescent="0.25">
      <c r="A2886"/>
    </row>
    <row r="2887" spans="1:1" x14ac:dyDescent="0.25">
      <c r="A2887"/>
    </row>
    <row r="2888" spans="1:1" x14ac:dyDescent="0.25">
      <c r="A2888"/>
    </row>
    <row r="2889" spans="1:1" x14ac:dyDescent="0.25">
      <c r="A2889"/>
    </row>
    <row r="2890" spans="1:1" x14ac:dyDescent="0.25">
      <c r="A2890"/>
    </row>
    <row r="2891" spans="1:1" x14ac:dyDescent="0.25">
      <c r="A2891"/>
    </row>
    <row r="2892" spans="1:1" x14ac:dyDescent="0.25">
      <c r="A2892"/>
    </row>
    <row r="2893" spans="1:1" x14ac:dyDescent="0.25">
      <c r="A2893"/>
    </row>
    <row r="2894" spans="1:1" x14ac:dyDescent="0.25">
      <c r="A2894"/>
    </row>
    <row r="2895" spans="1:1" x14ac:dyDescent="0.25">
      <c r="A2895"/>
    </row>
    <row r="2896" spans="1:1" x14ac:dyDescent="0.25">
      <c r="A2896"/>
    </row>
    <row r="2897" spans="1:1" x14ac:dyDescent="0.25">
      <c r="A2897"/>
    </row>
    <row r="2898" spans="1:1" x14ac:dyDescent="0.25">
      <c r="A2898"/>
    </row>
    <row r="2899" spans="1:1" x14ac:dyDescent="0.25">
      <c r="A2899"/>
    </row>
    <row r="2900" spans="1:1" x14ac:dyDescent="0.25">
      <c r="A2900"/>
    </row>
    <row r="2901" spans="1:1" x14ac:dyDescent="0.25">
      <c r="A2901"/>
    </row>
    <row r="2902" spans="1:1" x14ac:dyDescent="0.25">
      <c r="A2902"/>
    </row>
    <row r="2903" spans="1:1" x14ac:dyDescent="0.25">
      <c r="A2903"/>
    </row>
    <row r="2904" spans="1:1" x14ac:dyDescent="0.25">
      <c r="A2904"/>
    </row>
    <row r="2905" spans="1:1" x14ac:dyDescent="0.25">
      <c r="A2905"/>
    </row>
    <row r="2906" spans="1:1" x14ac:dyDescent="0.25">
      <c r="A2906"/>
    </row>
    <row r="2907" spans="1:1" x14ac:dyDescent="0.25">
      <c r="A2907"/>
    </row>
    <row r="2908" spans="1:1" x14ac:dyDescent="0.25">
      <c r="A2908"/>
    </row>
    <row r="2909" spans="1:1" x14ac:dyDescent="0.25">
      <c r="A2909"/>
    </row>
    <row r="2910" spans="1:1" x14ac:dyDescent="0.25">
      <c r="A2910"/>
    </row>
    <row r="2911" spans="1:1" x14ac:dyDescent="0.25">
      <c r="A2911"/>
    </row>
    <row r="2912" spans="1:1" x14ac:dyDescent="0.25">
      <c r="A2912"/>
    </row>
    <row r="2913" spans="1:1" x14ac:dyDescent="0.25">
      <c r="A2913"/>
    </row>
    <row r="2914" spans="1:1" x14ac:dyDescent="0.25">
      <c r="A2914"/>
    </row>
    <row r="2915" spans="1:1" x14ac:dyDescent="0.25">
      <c r="A2915"/>
    </row>
    <row r="2916" spans="1:1" x14ac:dyDescent="0.25">
      <c r="A2916"/>
    </row>
    <row r="2917" spans="1:1" x14ac:dyDescent="0.25">
      <c r="A2917"/>
    </row>
    <row r="2918" spans="1:1" x14ac:dyDescent="0.25">
      <c r="A2918"/>
    </row>
    <row r="2919" spans="1:1" x14ac:dyDescent="0.25">
      <c r="A2919"/>
    </row>
    <row r="2920" spans="1:1" x14ac:dyDescent="0.25">
      <c r="A2920"/>
    </row>
    <row r="2921" spans="1:1" x14ac:dyDescent="0.25">
      <c r="A2921"/>
    </row>
    <row r="2922" spans="1:1" x14ac:dyDescent="0.25">
      <c r="A2922"/>
    </row>
    <row r="2923" spans="1:1" x14ac:dyDescent="0.25">
      <c r="A2923"/>
    </row>
    <row r="2924" spans="1:1" x14ac:dyDescent="0.25">
      <c r="A2924"/>
    </row>
    <row r="2925" spans="1:1" x14ac:dyDescent="0.25">
      <c r="A2925"/>
    </row>
    <row r="2926" spans="1:1" x14ac:dyDescent="0.25">
      <c r="A2926"/>
    </row>
    <row r="2927" spans="1:1" x14ac:dyDescent="0.25">
      <c r="A2927"/>
    </row>
    <row r="2928" spans="1:1" x14ac:dyDescent="0.25">
      <c r="A2928"/>
    </row>
    <row r="2929" spans="1:1" x14ac:dyDescent="0.25">
      <c r="A2929"/>
    </row>
    <row r="2930" spans="1:1" x14ac:dyDescent="0.25">
      <c r="A2930"/>
    </row>
    <row r="2931" spans="1:1" x14ac:dyDescent="0.25">
      <c r="A2931"/>
    </row>
    <row r="2932" spans="1:1" x14ac:dyDescent="0.25">
      <c r="A2932"/>
    </row>
    <row r="2933" spans="1:1" x14ac:dyDescent="0.25">
      <c r="A2933"/>
    </row>
    <row r="2934" spans="1:1" x14ac:dyDescent="0.25">
      <c r="A2934"/>
    </row>
    <row r="2935" spans="1:1" x14ac:dyDescent="0.25">
      <c r="A2935"/>
    </row>
    <row r="2936" spans="1:1" x14ac:dyDescent="0.25">
      <c r="A2936"/>
    </row>
    <row r="2937" spans="1:1" x14ac:dyDescent="0.25">
      <c r="A2937"/>
    </row>
    <row r="2938" spans="1:1" x14ac:dyDescent="0.25">
      <c r="A2938"/>
    </row>
    <row r="2939" spans="1:1" x14ac:dyDescent="0.25">
      <c r="A2939"/>
    </row>
    <row r="2940" spans="1:1" x14ac:dyDescent="0.25">
      <c r="A2940"/>
    </row>
    <row r="2941" spans="1:1" x14ac:dyDescent="0.25">
      <c r="A2941"/>
    </row>
    <row r="2942" spans="1:1" x14ac:dyDescent="0.25">
      <c r="A2942"/>
    </row>
    <row r="2943" spans="1:1" x14ac:dyDescent="0.25">
      <c r="A2943"/>
    </row>
    <row r="2944" spans="1:1" x14ac:dyDescent="0.25">
      <c r="A2944"/>
    </row>
    <row r="2945" spans="1:1" x14ac:dyDescent="0.25">
      <c r="A2945"/>
    </row>
    <row r="2946" spans="1:1" x14ac:dyDescent="0.25">
      <c r="A2946"/>
    </row>
    <row r="2947" spans="1:1" x14ac:dyDescent="0.25">
      <c r="A2947"/>
    </row>
    <row r="2948" spans="1:1" x14ac:dyDescent="0.25">
      <c r="A2948"/>
    </row>
    <row r="2949" spans="1:1" x14ac:dyDescent="0.25">
      <c r="A2949"/>
    </row>
    <row r="2950" spans="1:1" x14ac:dyDescent="0.25">
      <c r="A2950"/>
    </row>
    <row r="2951" spans="1:1" x14ac:dyDescent="0.25">
      <c r="A2951"/>
    </row>
    <row r="2952" spans="1:1" x14ac:dyDescent="0.25">
      <c r="A2952"/>
    </row>
    <row r="2953" spans="1:1" x14ac:dyDescent="0.25">
      <c r="A2953"/>
    </row>
    <row r="2954" spans="1:1" x14ac:dyDescent="0.25">
      <c r="A2954"/>
    </row>
    <row r="2955" spans="1:1" x14ac:dyDescent="0.25">
      <c r="A2955"/>
    </row>
    <row r="2956" spans="1:1" x14ac:dyDescent="0.25">
      <c r="A2956"/>
    </row>
    <row r="2957" spans="1:1" x14ac:dyDescent="0.25">
      <c r="A2957"/>
    </row>
    <row r="2958" spans="1:1" x14ac:dyDescent="0.25">
      <c r="A2958"/>
    </row>
    <row r="2959" spans="1:1" x14ac:dyDescent="0.25">
      <c r="A2959"/>
    </row>
    <row r="2960" spans="1:1" x14ac:dyDescent="0.25">
      <c r="A2960"/>
    </row>
    <row r="2961" spans="1:1" x14ac:dyDescent="0.25">
      <c r="A2961"/>
    </row>
    <row r="2962" spans="1:1" x14ac:dyDescent="0.25">
      <c r="A2962"/>
    </row>
    <row r="2963" spans="1:1" x14ac:dyDescent="0.25">
      <c r="A2963"/>
    </row>
    <row r="2964" spans="1:1" x14ac:dyDescent="0.25">
      <c r="A2964"/>
    </row>
    <row r="2965" spans="1:1" x14ac:dyDescent="0.25">
      <c r="A2965"/>
    </row>
    <row r="2966" spans="1:1" x14ac:dyDescent="0.25">
      <c r="A2966"/>
    </row>
    <row r="2967" spans="1:1" x14ac:dyDescent="0.25">
      <c r="A2967"/>
    </row>
    <row r="2968" spans="1:1" x14ac:dyDescent="0.25">
      <c r="A2968"/>
    </row>
    <row r="2969" spans="1:1" x14ac:dyDescent="0.25">
      <c r="A2969"/>
    </row>
    <row r="2970" spans="1:1" x14ac:dyDescent="0.25">
      <c r="A2970"/>
    </row>
    <row r="2971" spans="1:1" x14ac:dyDescent="0.25">
      <c r="A2971"/>
    </row>
    <row r="2972" spans="1:1" x14ac:dyDescent="0.25">
      <c r="A2972"/>
    </row>
    <row r="2973" spans="1:1" x14ac:dyDescent="0.25">
      <c r="A2973"/>
    </row>
    <row r="2974" spans="1:1" x14ac:dyDescent="0.25">
      <c r="A2974"/>
    </row>
    <row r="2975" spans="1:1" x14ac:dyDescent="0.25">
      <c r="A2975"/>
    </row>
    <row r="2976" spans="1:1" x14ac:dyDescent="0.25">
      <c r="A2976"/>
    </row>
    <row r="2977" spans="1:1" x14ac:dyDescent="0.25">
      <c r="A2977"/>
    </row>
    <row r="2978" spans="1:1" x14ac:dyDescent="0.25">
      <c r="A2978"/>
    </row>
    <row r="2979" spans="1:1" x14ac:dyDescent="0.25">
      <c r="A2979"/>
    </row>
    <row r="2980" spans="1:1" x14ac:dyDescent="0.25">
      <c r="A2980"/>
    </row>
    <row r="2981" spans="1:1" x14ac:dyDescent="0.25">
      <c r="A2981"/>
    </row>
    <row r="2982" spans="1:1" x14ac:dyDescent="0.25">
      <c r="A2982"/>
    </row>
    <row r="2983" spans="1:1" x14ac:dyDescent="0.25">
      <c r="A2983"/>
    </row>
    <row r="2984" spans="1:1" x14ac:dyDescent="0.25">
      <c r="A2984"/>
    </row>
    <row r="2985" spans="1:1" x14ac:dyDescent="0.25">
      <c r="A2985"/>
    </row>
    <row r="2986" spans="1:1" x14ac:dyDescent="0.25">
      <c r="A2986"/>
    </row>
    <row r="2987" spans="1:1" x14ac:dyDescent="0.25">
      <c r="A2987"/>
    </row>
    <row r="2988" spans="1:1" x14ac:dyDescent="0.25">
      <c r="A2988"/>
    </row>
    <row r="2989" spans="1:1" x14ac:dyDescent="0.25">
      <c r="A2989"/>
    </row>
    <row r="2990" spans="1:1" x14ac:dyDescent="0.25">
      <c r="A2990"/>
    </row>
    <row r="2991" spans="1:1" x14ac:dyDescent="0.25">
      <c r="A2991"/>
    </row>
    <row r="2992" spans="1:1" x14ac:dyDescent="0.25">
      <c r="A2992"/>
    </row>
    <row r="2993" spans="1:1" x14ac:dyDescent="0.25">
      <c r="A2993"/>
    </row>
    <row r="2994" spans="1:1" x14ac:dyDescent="0.25">
      <c r="A2994"/>
    </row>
    <row r="2995" spans="1:1" x14ac:dyDescent="0.25">
      <c r="A2995"/>
    </row>
    <row r="2996" spans="1:1" x14ac:dyDescent="0.25">
      <c r="A2996"/>
    </row>
    <row r="2997" spans="1:1" x14ac:dyDescent="0.25">
      <c r="A2997"/>
    </row>
    <row r="2998" spans="1:1" x14ac:dyDescent="0.25">
      <c r="A2998"/>
    </row>
    <row r="2999" spans="1:1" x14ac:dyDescent="0.25">
      <c r="A2999"/>
    </row>
    <row r="3000" spans="1:1" x14ac:dyDescent="0.25">
      <c r="A3000"/>
    </row>
    <row r="3001" spans="1:1" x14ac:dyDescent="0.25">
      <c r="A3001"/>
    </row>
    <row r="3002" spans="1:1" x14ac:dyDescent="0.25">
      <c r="A3002"/>
    </row>
    <row r="3003" spans="1:1" x14ac:dyDescent="0.25">
      <c r="A3003"/>
    </row>
    <row r="3004" spans="1:1" x14ac:dyDescent="0.25">
      <c r="A3004"/>
    </row>
    <row r="3005" spans="1:1" x14ac:dyDescent="0.25">
      <c r="A3005"/>
    </row>
    <row r="3006" spans="1:1" x14ac:dyDescent="0.25">
      <c r="A3006"/>
    </row>
    <row r="3007" spans="1:1" x14ac:dyDescent="0.25">
      <c r="A3007"/>
    </row>
    <row r="3008" spans="1:1" x14ac:dyDescent="0.25">
      <c r="A3008"/>
    </row>
    <row r="3009" spans="1:1" x14ac:dyDescent="0.25">
      <c r="A3009"/>
    </row>
    <row r="3010" spans="1:1" x14ac:dyDescent="0.25">
      <c r="A3010"/>
    </row>
    <row r="3011" spans="1:1" x14ac:dyDescent="0.25">
      <c r="A3011"/>
    </row>
    <row r="3012" spans="1:1" x14ac:dyDescent="0.25">
      <c r="A3012"/>
    </row>
    <row r="3013" spans="1:1" x14ac:dyDescent="0.25">
      <c r="A3013"/>
    </row>
    <row r="3014" spans="1:1" x14ac:dyDescent="0.25">
      <c r="A3014"/>
    </row>
    <row r="3015" spans="1:1" x14ac:dyDescent="0.25">
      <c r="A3015"/>
    </row>
    <row r="3016" spans="1:1" x14ac:dyDescent="0.25">
      <c r="A3016"/>
    </row>
    <row r="3017" spans="1:1" x14ac:dyDescent="0.25">
      <c r="A3017"/>
    </row>
    <row r="3018" spans="1:1" x14ac:dyDescent="0.25">
      <c r="A3018"/>
    </row>
    <row r="3019" spans="1:1" x14ac:dyDescent="0.25">
      <c r="A3019"/>
    </row>
    <row r="3020" spans="1:1" x14ac:dyDescent="0.25">
      <c r="A3020"/>
    </row>
    <row r="3021" spans="1:1" x14ac:dyDescent="0.25">
      <c r="A3021"/>
    </row>
    <row r="3022" spans="1:1" x14ac:dyDescent="0.25">
      <c r="A3022"/>
    </row>
    <row r="3023" spans="1:1" x14ac:dyDescent="0.25">
      <c r="A3023"/>
    </row>
    <row r="3024" spans="1:1" x14ac:dyDescent="0.25">
      <c r="A3024"/>
    </row>
    <row r="3025" spans="1:1" x14ac:dyDescent="0.25">
      <c r="A3025"/>
    </row>
    <row r="3026" spans="1:1" x14ac:dyDescent="0.25">
      <c r="A3026"/>
    </row>
    <row r="3027" spans="1:1" x14ac:dyDescent="0.25">
      <c r="A3027"/>
    </row>
    <row r="3028" spans="1:1" x14ac:dyDescent="0.25">
      <c r="A3028"/>
    </row>
    <row r="3029" spans="1:1" x14ac:dyDescent="0.25">
      <c r="A3029"/>
    </row>
    <row r="3030" spans="1:1" x14ac:dyDescent="0.25">
      <c r="A3030"/>
    </row>
    <row r="3031" spans="1:1" x14ac:dyDescent="0.25">
      <c r="A3031"/>
    </row>
    <row r="3032" spans="1:1" x14ac:dyDescent="0.25">
      <c r="A3032"/>
    </row>
    <row r="3033" spans="1:1" x14ac:dyDescent="0.25">
      <c r="A3033"/>
    </row>
    <row r="3034" spans="1:1" x14ac:dyDescent="0.25">
      <c r="A3034"/>
    </row>
    <row r="3035" spans="1:1" x14ac:dyDescent="0.25">
      <c r="A3035"/>
    </row>
    <row r="3036" spans="1:1" x14ac:dyDescent="0.25">
      <c r="A3036"/>
    </row>
    <row r="3037" spans="1:1" x14ac:dyDescent="0.25">
      <c r="A3037"/>
    </row>
    <row r="3038" spans="1:1" x14ac:dyDescent="0.25">
      <c r="A3038"/>
    </row>
    <row r="3039" spans="1:1" x14ac:dyDescent="0.25">
      <c r="A3039"/>
    </row>
    <row r="3040" spans="1:1" x14ac:dyDescent="0.25">
      <c r="A3040"/>
    </row>
    <row r="3041" spans="1:1" x14ac:dyDescent="0.25">
      <c r="A3041"/>
    </row>
    <row r="3042" spans="1:1" x14ac:dyDescent="0.25">
      <c r="A3042"/>
    </row>
    <row r="3043" spans="1:1" x14ac:dyDescent="0.25">
      <c r="A3043"/>
    </row>
    <row r="3044" spans="1:1" x14ac:dyDescent="0.25">
      <c r="A3044"/>
    </row>
    <row r="3045" spans="1:1" x14ac:dyDescent="0.25">
      <c r="A3045"/>
    </row>
    <row r="3046" spans="1:1" x14ac:dyDescent="0.25">
      <c r="A3046"/>
    </row>
    <row r="3047" spans="1:1" x14ac:dyDescent="0.25">
      <c r="A3047"/>
    </row>
    <row r="3048" spans="1:1" x14ac:dyDescent="0.25">
      <c r="A3048"/>
    </row>
    <row r="3049" spans="1:1" x14ac:dyDescent="0.25">
      <c r="A3049"/>
    </row>
    <row r="3050" spans="1:1" x14ac:dyDescent="0.25">
      <c r="A3050"/>
    </row>
    <row r="3051" spans="1:1" x14ac:dyDescent="0.25">
      <c r="A3051"/>
    </row>
    <row r="3052" spans="1:1" x14ac:dyDescent="0.25">
      <c r="A3052"/>
    </row>
    <row r="3053" spans="1:1" x14ac:dyDescent="0.25">
      <c r="A3053"/>
    </row>
    <row r="3054" spans="1:1" x14ac:dyDescent="0.25">
      <c r="A3054"/>
    </row>
    <row r="3055" spans="1:1" x14ac:dyDescent="0.25">
      <c r="A3055"/>
    </row>
    <row r="3056" spans="1:1" x14ac:dyDescent="0.25">
      <c r="A3056"/>
    </row>
    <row r="3057" spans="1:1" x14ac:dyDescent="0.25">
      <c r="A3057"/>
    </row>
    <row r="3058" spans="1:1" x14ac:dyDescent="0.25">
      <c r="A3058"/>
    </row>
    <row r="3059" spans="1:1" x14ac:dyDescent="0.25">
      <c r="A3059"/>
    </row>
    <row r="3060" spans="1:1" x14ac:dyDescent="0.25">
      <c r="A3060"/>
    </row>
    <row r="3061" spans="1:1" x14ac:dyDescent="0.25">
      <c r="A3061"/>
    </row>
    <row r="3062" spans="1:1" x14ac:dyDescent="0.25">
      <c r="A3062"/>
    </row>
    <row r="3063" spans="1:1" x14ac:dyDescent="0.25">
      <c r="A3063"/>
    </row>
    <row r="3064" spans="1:1" x14ac:dyDescent="0.25">
      <c r="A3064"/>
    </row>
    <row r="3065" spans="1:1" x14ac:dyDescent="0.25">
      <c r="A3065"/>
    </row>
    <row r="3066" spans="1:1" x14ac:dyDescent="0.25">
      <c r="A3066"/>
    </row>
    <row r="3067" spans="1:1" x14ac:dyDescent="0.25">
      <c r="A3067"/>
    </row>
    <row r="3068" spans="1:1" x14ac:dyDescent="0.25">
      <c r="A3068"/>
    </row>
    <row r="3069" spans="1:1" x14ac:dyDescent="0.25">
      <c r="A3069"/>
    </row>
    <row r="3070" spans="1:1" x14ac:dyDescent="0.25">
      <c r="A3070"/>
    </row>
    <row r="3071" spans="1:1" x14ac:dyDescent="0.25">
      <c r="A3071"/>
    </row>
    <row r="3072" spans="1:1" x14ac:dyDescent="0.25">
      <c r="A3072"/>
    </row>
    <row r="3073" spans="1:1" x14ac:dyDescent="0.25">
      <c r="A3073"/>
    </row>
    <row r="3074" spans="1:1" x14ac:dyDescent="0.25">
      <c r="A3074"/>
    </row>
    <row r="3075" spans="1:1" x14ac:dyDescent="0.25">
      <c r="A3075"/>
    </row>
    <row r="3076" spans="1:1" x14ac:dyDescent="0.25">
      <c r="A3076"/>
    </row>
    <row r="3077" spans="1:1" x14ac:dyDescent="0.25">
      <c r="A3077"/>
    </row>
    <row r="3078" spans="1:1" x14ac:dyDescent="0.25">
      <c r="A3078"/>
    </row>
    <row r="3079" spans="1:1" x14ac:dyDescent="0.25">
      <c r="A3079"/>
    </row>
    <row r="3080" spans="1:1" x14ac:dyDescent="0.25">
      <c r="A3080"/>
    </row>
    <row r="3081" spans="1:1" x14ac:dyDescent="0.25">
      <c r="A3081"/>
    </row>
    <row r="3082" spans="1:1" x14ac:dyDescent="0.25">
      <c r="A3082"/>
    </row>
    <row r="3083" spans="1:1" x14ac:dyDescent="0.25">
      <c r="A3083"/>
    </row>
    <row r="3084" spans="1:1" x14ac:dyDescent="0.25">
      <c r="A3084"/>
    </row>
    <row r="3085" spans="1:1" x14ac:dyDescent="0.25">
      <c r="A3085"/>
    </row>
    <row r="3086" spans="1:1" x14ac:dyDescent="0.25">
      <c r="A3086"/>
    </row>
    <row r="3087" spans="1:1" x14ac:dyDescent="0.25">
      <c r="A3087"/>
    </row>
    <row r="3088" spans="1:1" x14ac:dyDescent="0.25">
      <c r="A3088"/>
    </row>
    <row r="3089" spans="1:1" x14ac:dyDescent="0.25">
      <c r="A3089"/>
    </row>
    <row r="3090" spans="1:1" x14ac:dyDescent="0.25">
      <c r="A3090"/>
    </row>
    <row r="3091" spans="1:1" x14ac:dyDescent="0.25">
      <c r="A3091"/>
    </row>
    <row r="3092" spans="1:1" x14ac:dyDescent="0.25">
      <c r="A3092"/>
    </row>
    <row r="3093" spans="1:1" x14ac:dyDescent="0.25">
      <c r="A3093"/>
    </row>
    <row r="3094" spans="1:1" x14ac:dyDescent="0.25">
      <c r="A3094"/>
    </row>
    <row r="3095" spans="1:1" x14ac:dyDescent="0.25">
      <c r="A3095"/>
    </row>
    <row r="3096" spans="1:1" x14ac:dyDescent="0.25">
      <c r="A3096"/>
    </row>
    <row r="3097" spans="1:1" x14ac:dyDescent="0.25">
      <c r="A3097"/>
    </row>
    <row r="3098" spans="1:1" x14ac:dyDescent="0.25">
      <c r="A3098"/>
    </row>
    <row r="3099" spans="1:1" x14ac:dyDescent="0.25">
      <c r="A3099"/>
    </row>
    <row r="3100" spans="1:1" x14ac:dyDescent="0.25">
      <c r="A3100"/>
    </row>
    <row r="3101" spans="1:1" x14ac:dyDescent="0.25">
      <c r="A3101"/>
    </row>
    <row r="3102" spans="1:1" x14ac:dyDescent="0.25">
      <c r="A3102"/>
    </row>
    <row r="3103" spans="1:1" x14ac:dyDescent="0.25">
      <c r="A3103"/>
    </row>
    <row r="3104" spans="1:1" x14ac:dyDescent="0.25">
      <c r="A3104"/>
    </row>
    <row r="3105" spans="1:1" x14ac:dyDescent="0.25">
      <c r="A3105"/>
    </row>
    <row r="3106" spans="1:1" x14ac:dyDescent="0.25">
      <c r="A3106"/>
    </row>
    <row r="3107" spans="1:1" x14ac:dyDescent="0.25">
      <c r="A3107"/>
    </row>
    <row r="3108" spans="1:1" x14ac:dyDescent="0.25">
      <c r="A3108"/>
    </row>
    <row r="3109" spans="1:1" x14ac:dyDescent="0.25">
      <c r="A3109"/>
    </row>
    <row r="3110" spans="1:1" x14ac:dyDescent="0.25">
      <c r="A3110"/>
    </row>
    <row r="3111" spans="1:1" x14ac:dyDescent="0.25">
      <c r="A3111"/>
    </row>
    <row r="3112" spans="1:1" x14ac:dyDescent="0.25">
      <c r="A3112"/>
    </row>
    <row r="3113" spans="1:1" x14ac:dyDescent="0.25">
      <c r="A3113"/>
    </row>
    <row r="3114" spans="1:1" x14ac:dyDescent="0.25">
      <c r="A3114"/>
    </row>
    <row r="3115" spans="1:1" x14ac:dyDescent="0.25">
      <c r="A3115"/>
    </row>
    <row r="3116" spans="1:1" x14ac:dyDescent="0.25">
      <c r="A3116"/>
    </row>
    <row r="3117" spans="1:1" x14ac:dyDescent="0.25">
      <c r="A3117"/>
    </row>
    <row r="3118" spans="1:1" x14ac:dyDescent="0.25">
      <c r="A3118"/>
    </row>
    <row r="3119" spans="1:1" x14ac:dyDescent="0.25">
      <c r="A3119"/>
    </row>
    <row r="3120" spans="1:1" x14ac:dyDescent="0.25">
      <c r="A3120"/>
    </row>
    <row r="3121" spans="1:1" x14ac:dyDescent="0.25">
      <c r="A3121"/>
    </row>
    <row r="3122" spans="1:1" x14ac:dyDescent="0.25">
      <c r="A3122"/>
    </row>
    <row r="3123" spans="1:1" x14ac:dyDescent="0.25">
      <c r="A3123"/>
    </row>
    <row r="3124" spans="1:1" x14ac:dyDescent="0.25">
      <c r="A3124"/>
    </row>
    <row r="3125" spans="1:1" x14ac:dyDescent="0.25">
      <c r="A3125"/>
    </row>
    <row r="3126" spans="1:1" x14ac:dyDescent="0.25">
      <c r="A3126"/>
    </row>
    <row r="3127" spans="1:1" x14ac:dyDescent="0.25">
      <c r="A3127"/>
    </row>
    <row r="3128" spans="1:1" x14ac:dyDescent="0.25">
      <c r="A3128"/>
    </row>
    <row r="3129" spans="1:1" x14ac:dyDescent="0.25">
      <c r="A3129"/>
    </row>
    <row r="3130" spans="1:1" x14ac:dyDescent="0.25">
      <c r="A3130"/>
    </row>
    <row r="3131" spans="1:1" x14ac:dyDescent="0.25">
      <c r="A3131"/>
    </row>
    <row r="3132" spans="1:1" x14ac:dyDescent="0.25">
      <c r="A3132"/>
    </row>
    <row r="3133" spans="1:1" x14ac:dyDescent="0.25">
      <c r="A3133"/>
    </row>
    <row r="3134" spans="1:1" x14ac:dyDescent="0.25">
      <c r="A3134"/>
    </row>
    <row r="3135" spans="1:1" x14ac:dyDescent="0.25">
      <c r="A3135"/>
    </row>
    <row r="3136" spans="1:1" x14ac:dyDescent="0.25">
      <c r="A3136"/>
    </row>
    <row r="3137" spans="1:1" x14ac:dyDescent="0.25">
      <c r="A3137"/>
    </row>
    <row r="3138" spans="1:1" x14ac:dyDescent="0.25">
      <c r="A3138"/>
    </row>
    <row r="3139" spans="1:1" x14ac:dyDescent="0.25">
      <c r="A3139"/>
    </row>
    <row r="3140" spans="1:1" x14ac:dyDescent="0.25">
      <c r="A3140"/>
    </row>
    <row r="3141" spans="1:1" x14ac:dyDescent="0.25">
      <c r="A3141"/>
    </row>
    <row r="3142" spans="1:1" x14ac:dyDescent="0.25">
      <c r="A3142"/>
    </row>
    <row r="3143" spans="1:1" x14ac:dyDescent="0.25">
      <c r="A3143"/>
    </row>
    <row r="3144" spans="1:1" x14ac:dyDescent="0.25">
      <c r="A3144"/>
    </row>
    <row r="3145" spans="1:1" x14ac:dyDescent="0.25">
      <c r="A3145"/>
    </row>
    <row r="3146" spans="1:1" x14ac:dyDescent="0.25">
      <c r="A3146"/>
    </row>
    <row r="3147" spans="1:1" x14ac:dyDescent="0.25">
      <c r="A3147"/>
    </row>
    <row r="3148" spans="1:1" x14ac:dyDescent="0.25">
      <c r="A3148"/>
    </row>
    <row r="3149" spans="1:1" x14ac:dyDescent="0.25">
      <c r="A3149"/>
    </row>
    <row r="3150" spans="1:1" x14ac:dyDescent="0.25">
      <c r="A3150"/>
    </row>
    <row r="3151" spans="1:1" x14ac:dyDescent="0.25">
      <c r="A3151"/>
    </row>
    <row r="3152" spans="1:1" x14ac:dyDescent="0.25">
      <c r="A3152"/>
    </row>
    <row r="3153" spans="1:1" x14ac:dyDescent="0.25">
      <c r="A3153"/>
    </row>
    <row r="3154" spans="1:1" x14ac:dyDescent="0.25">
      <c r="A3154"/>
    </row>
    <row r="3155" spans="1:1" x14ac:dyDescent="0.25">
      <c r="A3155"/>
    </row>
    <row r="3156" spans="1:1" x14ac:dyDescent="0.25">
      <c r="A3156"/>
    </row>
    <row r="3157" spans="1:1" x14ac:dyDescent="0.25">
      <c r="A3157"/>
    </row>
    <row r="3158" spans="1:1" x14ac:dyDescent="0.25">
      <c r="A3158"/>
    </row>
    <row r="3159" spans="1:1" x14ac:dyDescent="0.25">
      <c r="A3159"/>
    </row>
    <row r="3160" spans="1:1" x14ac:dyDescent="0.25">
      <c r="A3160"/>
    </row>
    <row r="3161" spans="1:1" x14ac:dyDescent="0.25">
      <c r="A3161"/>
    </row>
    <row r="3162" spans="1:1" x14ac:dyDescent="0.25">
      <c r="A3162"/>
    </row>
    <row r="3163" spans="1:1" x14ac:dyDescent="0.25">
      <c r="A3163"/>
    </row>
    <row r="3164" spans="1:1" x14ac:dyDescent="0.25">
      <c r="A3164"/>
    </row>
    <row r="3165" spans="1:1" x14ac:dyDescent="0.25">
      <c r="A3165"/>
    </row>
    <row r="3166" spans="1:1" x14ac:dyDescent="0.25">
      <c r="A3166"/>
    </row>
    <row r="3167" spans="1:1" x14ac:dyDescent="0.25">
      <c r="A3167"/>
    </row>
    <row r="3168" spans="1:1" x14ac:dyDescent="0.25">
      <c r="A3168"/>
    </row>
    <row r="3169" spans="1:1" x14ac:dyDescent="0.25">
      <c r="A3169"/>
    </row>
    <row r="3170" spans="1:1" x14ac:dyDescent="0.25">
      <c r="A3170"/>
    </row>
    <row r="3171" spans="1:1" x14ac:dyDescent="0.25">
      <c r="A3171"/>
    </row>
    <row r="3172" spans="1:1" x14ac:dyDescent="0.25">
      <c r="A3172"/>
    </row>
    <row r="3173" spans="1:1" x14ac:dyDescent="0.25">
      <c r="A3173"/>
    </row>
    <row r="3174" spans="1:1" x14ac:dyDescent="0.25">
      <c r="A3174"/>
    </row>
    <row r="3175" spans="1:1" x14ac:dyDescent="0.25">
      <c r="A3175"/>
    </row>
    <row r="3176" spans="1:1" x14ac:dyDescent="0.25">
      <c r="A3176"/>
    </row>
    <row r="3177" spans="1:1" x14ac:dyDescent="0.25">
      <c r="A3177"/>
    </row>
    <row r="3178" spans="1:1" x14ac:dyDescent="0.25">
      <c r="A3178"/>
    </row>
    <row r="3179" spans="1:1" x14ac:dyDescent="0.25">
      <c r="A3179"/>
    </row>
    <row r="3180" spans="1:1" x14ac:dyDescent="0.25">
      <c r="A3180"/>
    </row>
    <row r="3181" spans="1:1" x14ac:dyDescent="0.25">
      <c r="A3181"/>
    </row>
    <row r="3182" spans="1:1" x14ac:dyDescent="0.25">
      <c r="A3182"/>
    </row>
    <row r="3183" spans="1:1" x14ac:dyDescent="0.25">
      <c r="A3183"/>
    </row>
    <row r="3184" spans="1:1" x14ac:dyDescent="0.25">
      <c r="A3184"/>
    </row>
    <row r="3185" spans="1:1" x14ac:dyDescent="0.25">
      <c r="A3185"/>
    </row>
    <row r="3186" spans="1:1" x14ac:dyDescent="0.25">
      <c r="A3186"/>
    </row>
    <row r="3187" spans="1:1" x14ac:dyDescent="0.25">
      <c r="A3187"/>
    </row>
    <row r="3188" spans="1:1" x14ac:dyDescent="0.25">
      <c r="A3188"/>
    </row>
    <row r="3189" spans="1:1" x14ac:dyDescent="0.25">
      <c r="A3189"/>
    </row>
    <row r="3190" spans="1:1" x14ac:dyDescent="0.25">
      <c r="A3190"/>
    </row>
    <row r="3191" spans="1:1" x14ac:dyDescent="0.25">
      <c r="A3191"/>
    </row>
    <row r="3192" spans="1:1" x14ac:dyDescent="0.25">
      <c r="A3192"/>
    </row>
    <row r="3193" spans="1:1" x14ac:dyDescent="0.25">
      <c r="A3193"/>
    </row>
    <row r="3194" spans="1:1" x14ac:dyDescent="0.25">
      <c r="A3194"/>
    </row>
    <row r="3195" spans="1:1" x14ac:dyDescent="0.25">
      <c r="A3195"/>
    </row>
    <row r="3196" spans="1:1" x14ac:dyDescent="0.25">
      <c r="A3196"/>
    </row>
    <row r="3197" spans="1:1" x14ac:dyDescent="0.25">
      <c r="A3197"/>
    </row>
    <row r="3198" spans="1:1" x14ac:dyDescent="0.25">
      <c r="A3198"/>
    </row>
    <row r="3199" spans="1:1" x14ac:dyDescent="0.25">
      <c r="A3199"/>
    </row>
    <row r="3200" spans="1:1" x14ac:dyDescent="0.25">
      <c r="A3200"/>
    </row>
    <row r="3201" spans="1:1" x14ac:dyDescent="0.25">
      <c r="A3201"/>
    </row>
    <row r="3202" spans="1:1" x14ac:dyDescent="0.25">
      <c r="A3202"/>
    </row>
    <row r="3203" spans="1:1" x14ac:dyDescent="0.25">
      <c r="A3203"/>
    </row>
    <row r="3204" spans="1:1" x14ac:dyDescent="0.25">
      <c r="A3204"/>
    </row>
    <row r="3205" spans="1:1" x14ac:dyDescent="0.25">
      <c r="A3205"/>
    </row>
    <row r="3206" spans="1:1" x14ac:dyDescent="0.25">
      <c r="A3206"/>
    </row>
    <row r="3207" spans="1:1" x14ac:dyDescent="0.25">
      <c r="A3207"/>
    </row>
    <row r="3208" spans="1:1" x14ac:dyDescent="0.25">
      <c r="A3208"/>
    </row>
    <row r="3209" spans="1:1" x14ac:dyDescent="0.25">
      <c r="A3209"/>
    </row>
    <row r="3210" spans="1:1" x14ac:dyDescent="0.25">
      <c r="A3210"/>
    </row>
    <row r="3211" spans="1:1" x14ac:dyDescent="0.25">
      <c r="A3211"/>
    </row>
    <row r="3212" spans="1:1" x14ac:dyDescent="0.25">
      <c r="A3212"/>
    </row>
    <row r="3213" spans="1:1" x14ac:dyDescent="0.25">
      <c r="A3213"/>
    </row>
    <row r="3214" spans="1:1" x14ac:dyDescent="0.25">
      <c r="A3214"/>
    </row>
    <row r="3215" spans="1:1" x14ac:dyDescent="0.25">
      <c r="A3215"/>
    </row>
    <row r="3216" spans="1:1" x14ac:dyDescent="0.25">
      <c r="A3216"/>
    </row>
    <row r="3217" spans="1:1" x14ac:dyDescent="0.25">
      <c r="A3217"/>
    </row>
    <row r="3218" spans="1:1" x14ac:dyDescent="0.25">
      <c r="A3218"/>
    </row>
    <row r="3219" spans="1:1" x14ac:dyDescent="0.25">
      <c r="A3219"/>
    </row>
    <row r="3220" spans="1:1" x14ac:dyDescent="0.25">
      <c r="A3220"/>
    </row>
    <row r="3221" spans="1:1" x14ac:dyDescent="0.25">
      <c r="A3221"/>
    </row>
    <row r="3222" spans="1:1" x14ac:dyDescent="0.25">
      <c r="A3222"/>
    </row>
    <row r="3223" spans="1:1" x14ac:dyDescent="0.25">
      <c r="A3223"/>
    </row>
    <row r="3224" spans="1:1" x14ac:dyDescent="0.25">
      <c r="A3224"/>
    </row>
    <row r="3225" spans="1:1" x14ac:dyDescent="0.25">
      <c r="A3225"/>
    </row>
    <row r="3226" spans="1:1" x14ac:dyDescent="0.25">
      <c r="A3226"/>
    </row>
    <row r="3227" spans="1:1" x14ac:dyDescent="0.25">
      <c r="A3227"/>
    </row>
    <row r="3228" spans="1:1" x14ac:dyDescent="0.25">
      <c r="A3228"/>
    </row>
    <row r="3229" spans="1:1" x14ac:dyDescent="0.25">
      <c r="A3229"/>
    </row>
    <row r="3230" spans="1:1" x14ac:dyDescent="0.25">
      <c r="A3230"/>
    </row>
    <row r="3231" spans="1:1" x14ac:dyDescent="0.25">
      <c r="A3231"/>
    </row>
    <row r="3232" spans="1:1" x14ac:dyDescent="0.25">
      <c r="A3232"/>
    </row>
    <row r="3233" spans="1:1" x14ac:dyDescent="0.25">
      <c r="A3233"/>
    </row>
    <row r="3234" spans="1:1" x14ac:dyDescent="0.25">
      <c r="A3234"/>
    </row>
    <row r="3235" spans="1:1" x14ac:dyDescent="0.25">
      <c r="A3235"/>
    </row>
    <row r="3236" spans="1:1" x14ac:dyDescent="0.25">
      <c r="A3236"/>
    </row>
    <row r="3237" spans="1:1" x14ac:dyDescent="0.25">
      <c r="A3237"/>
    </row>
    <row r="3238" spans="1:1" x14ac:dyDescent="0.25">
      <c r="A3238"/>
    </row>
    <row r="3239" spans="1:1" x14ac:dyDescent="0.25">
      <c r="A3239"/>
    </row>
    <row r="3240" spans="1:1" x14ac:dyDescent="0.25">
      <c r="A3240"/>
    </row>
    <row r="3241" spans="1:1" x14ac:dyDescent="0.25">
      <c r="A3241"/>
    </row>
    <row r="3242" spans="1:1" x14ac:dyDescent="0.25">
      <c r="A3242"/>
    </row>
    <row r="3243" spans="1:1" x14ac:dyDescent="0.25">
      <c r="A3243"/>
    </row>
    <row r="3244" spans="1:1" x14ac:dyDescent="0.25">
      <c r="A3244"/>
    </row>
    <row r="3245" spans="1:1" x14ac:dyDescent="0.25">
      <c r="A3245"/>
    </row>
    <row r="3246" spans="1:1" x14ac:dyDescent="0.25">
      <c r="A3246"/>
    </row>
    <row r="3247" spans="1:1" x14ac:dyDescent="0.25">
      <c r="A3247"/>
    </row>
    <row r="3248" spans="1:1" x14ac:dyDescent="0.25">
      <c r="A3248"/>
    </row>
    <row r="3249" spans="1:1" x14ac:dyDescent="0.25">
      <c r="A3249"/>
    </row>
    <row r="3250" spans="1:1" x14ac:dyDescent="0.25">
      <c r="A3250"/>
    </row>
    <row r="3251" spans="1:1" x14ac:dyDescent="0.25">
      <c r="A3251"/>
    </row>
    <row r="3252" spans="1:1" x14ac:dyDescent="0.25">
      <c r="A3252"/>
    </row>
    <row r="3253" spans="1:1" x14ac:dyDescent="0.25">
      <c r="A3253"/>
    </row>
    <row r="3254" spans="1:1" x14ac:dyDescent="0.25">
      <c r="A3254"/>
    </row>
    <row r="3255" spans="1:1" x14ac:dyDescent="0.25">
      <c r="A3255"/>
    </row>
    <row r="3256" spans="1:1" x14ac:dyDescent="0.25">
      <c r="A3256"/>
    </row>
    <row r="3257" spans="1:1" x14ac:dyDescent="0.25">
      <c r="A3257"/>
    </row>
    <row r="3258" spans="1:1" x14ac:dyDescent="0.25">
      <c r="A3258"/>
    </row>
    <row r="3259" spans="1:1" x14ac:dyDescent="0.25">
      <c r="A3259"/>
    </row>
    <row r="3260" spans="1:1" x14ac:dyDescent="0.25">
      <c r="A3260"/>
    </row>
    <row r="3261" spans="1:1" x14ac:dyDescent="0.25">
      <c r="A3261"/>
    </row>
    <row r="3262" spans="1:1" x14ac:dyDescent="0.25">
      <c r="A3262"/>
    </row>
    <row r="3263" spans="1:1" x14ac:dyDescent="0.25">
      <c r="A3263"/>
    </row>
    <row r="3264" spans="1:1" x14ac:dyDescent="0.25">
      <c r="A3264"/>
    </row>
    <row r="3265" spans="1:1" x14ac:dyDescent="0.25">
      <c r="A3265"/>
    </row>
    <row r="3266" spans="1:1" x14ac:dyDescent="0.25">
      <c r="A3266"/>
    </row>
    <row r="3267" spans="1:1" x14ac:dyDescent="0.25">
      <c r="A3267"/>
    </row>
    <row r="3268" spans="1:1" x14ac:dyDescent="0.25">
      <c r="A3268"/>
    </row>
    <row r="3269" spans="1:1" x14ac:dyDescent="0.25">
      <c r="A3269"/>
    </row>
    <row r="3270" spans="1:1" x14ac:dyDescent="0.25">
      <c r="A3270"/>
    </row>
    <row r="3271" spans="1:1" x14ac:dyDescent="0.25">
      <c r="A3271"/>
    </row>
    <row r="3272" spans="1:1" x14ac:dyDescent="0.25">
      <c r="A3272"/>
    </row>
    <row r="3273" spans="1:1" x14ac:dyDescent="0.25">
      <c r="A3273"/>
    </row>
    <row r="3274" spans="1:1" x14ac:dyDescent="0.25">
      <c r="A3274"/>
    </row>
    <row r="3275" spans="1:1" x14ac:dyDescent="0.25">
      <c r="A3275"/>
    </row>
    <row r="3276" spans="1:1" x14ac:dyDescent="0.25">
      <c r="A3276"/>
    </row>
    <row r="3277" spans="1:1" x14ac:dyDescent="0.25">
      <c r="A3277"/>
    </row>
    <row r="3278" spans="1:1" x14ac:dyDescent="0.25">
      <c r="A3278"/>
    </row>
    <row r="3279" spans="1:1" x14ac:dyDescent="0.25">
      <c r="A3279"/>
    </row>
    <row r="3280" spans="1:1" x14ac:dyDescent="0.25">
      <c r="A3280"/>
    </row>
    <row r="3281" spans="1:1" x14ac:dyDescent="0.25">
      <c r="A3281"/>
    </row>
    <row r="3282" spans="1:1" x14ac:dyDescent="0.25">
      <c r="A3282"/>
    </row>
    <row r="3283" spans="1:1" x14ac:dyDescent="0.25">
      <c r="A3283"/>
    </row>
    <row r="3284" spans="1:1" x14ac:dyDescent="0.25">
      <c r="A3284"/>
    </row>
    <row r="3285" spans="1:1" x14ac:dyDescent="0.25">
      <c r="A3285"/>
    </row>
    <row r="3286" spans="1:1" x14ac:dyDescent="0.25">
      <c r="A3286"/>
    </row>
    <row r="3287" spans="1:1" x14ac:dyDescent="0.25">
      <c r="A3287"/>
    </row>
    <row r="3288" spans="1:1" x14ac:dyDescent="0.25">
      <c r="A3288"/>
    </row>
    <row r="3289" spans="1:1" x14ac:dyDescent="0.25">
      <c r="A3289"/>
    </row>
    <row r="3290" spans="1:1" x14ac:dyDescent="0.25">
      <c r="A3290"/>
    </row>
    <row r="3291" spans="1:1" x14ac:dyDescent="0.25">
      <c r="A3291"/>
    </row>
    <row r="3292" spans="1:1" x14ac:dyDescent="0.25">
      <c r="A3292"/>
    </row>
    <row r="3293" spans="1:1" x14ac:dyDescent="0.25">
      <c r="A3293"/>
    </row>
    <row r="3294" spans="1:1" x14ac:dyDescent="0.25">
      <c r="A3294"/>
    </row>
    <row r="3295" spans="1:1" x14ac:dyDescent="0.25">
      <c r="A3295"/>
    </row>
    <row r="3296" spans="1:1" x14ac:dyDescent="0.25">
      <c r="A3296"/>
    </row>
    <row r="3297" spans="1:1" x14ac:dyDescent="0.25">
      <c r="A3297"/>
    </row>
    <row r="3298" spans="1:1" x14ac:dyDescent="0.25">
      <c r="A3298"/>
    </row>
    <row r="3299" spans="1:1" x14ac:dyDescent="0.25">
      <c r="A3299"/>
    </row>
    <row r="3300" spans="1:1" x14ac:dyDescent="0.25">
      <c r="A3300"/>
    </row>
    <row r="3301" spans="1:1" x14ac:dyDescent="0.25">
      <c r="A3301"/>
    </row>
    <row r="3302" spans="1:1" x14ac:dyDescent="0.25">
      <c r="A3302"/>
    </row>
    <row r="3303" spans="1:1" x14ac:dyDescent="0.25">
      <c r="A3303"/>
    </row>
    <row r="3304" spans="1:1" x14ac:dyDescent="0.25">
      <c r="A3304"/>
    </row>
    <row r="3305" spans="1:1" x14ac:dyDescent="0.25">
      <c r="A3305"/>
    </row>
    <row r="3306" spans="1:1" x14ac:dyDescent="0.25">
      <c r="A3306"/>
    </row>
    <row r="3307" spans="1:1" x14ac:dyDescent="0.25">
      <c r="A3307"/>
    </row>
    <row r="3308" spans="1:1" x14ac:dyDescent="0.25">
      <c r="A3308"/>
    </row>
    <row r="3309" spans="1:1" x14ac:dyDescent="0.25">
      <c r="A3309"/>
    </row>
    <row r="3310" spans="1:1" x14ac:dyDescent="0.25">
      <c r="A3310"/>
    </row>
    <row r="3311" spans="1:1" x14ac:dyDescent="0.25">
      <c r="A3311"/>
    </row>
    <row r="3312" spans="1:1" x14ac:dyDescent="0.25">
      <c r="A3312"/>
    </row>
    <row r="3313" spans="1:1" x14ac:dyDescent="0.25">
      <c r="A3313"/>
    </row>
    <row r="3314" spans="1:1" x14ac:dyDescent="0.25">
      <c r="A3314"/>
    </row>
    <row r="3315" spans="1:1" x14ac:dyDescent="0.25">
      <c r="A3315"/>
    </row>
    <row r="3316" spans="1:1" x14ac:dyDescent="0.25">
      <c r="A3316"/>
    </row>
    <row r="3317" spans="1:1" x14ac:dyDescent="0.25">
      <c r="A3317"/>
    </row>
    <row r="3318" spans="1:1" x14ac:dyDescent="0.25">
      <c r="A3318"/>
    </row>
    <row r="3319" spans="1:1" x14ac:dyDescent="0.25">
      <c r="A3319"/>
    </row>
    <row r="3320" spans="1:1" x14ac:dyDescent="0.25">
      <c r="A3320"/>
    </row>
    <row r="3321" spans="1:1" x14ac:dyDescent="0.25">
      <c r="A3321"/>
    </row>
    <row r="3322" spans="1:1" x14ac:dyDescent="0.25">
      <c r="A3322"/>
    </row>
    <row r="3323" spans="1:1" x14ac:dyDescent="0.25">
      <c r="A3323"/>
    </row>
    <row r="3324" spans="1:1" x14ac:dyDescent="0.25">
      <c r="A3324"/>
    </row>
    <row r="3325" spans="1:1" x14ac:dyDescent="0.25">
      <c r="A3325"/>
    </row>
    <row r="3326" spans="1:1" x14ac:dyDescent="0.25">
      <c r="A3326"/>
    </row>
    <row r="3327" spans="1:1" x14ac:dyDescent="0.25">
      <c r="A3327"/>
    </row>
    <row r="3328" spans="1:1" x14ac:dyDescent="0.25">
      <c r="A3328"/>
    </row>
    <row r="3329" spans="1:1" x14ac:dyDescent="0.25">
      <c r="A3329"/>
    </row>
    <row r="3330" spans="1:1" x14ac:dyDescent="0.25">
      <c r="A3330"/>
    </row>
    <row r="3331" spans="1:1" x14ac:dyDescent="0.25">
      <c r="A3331"/>
    </row>
    <row r="3332" spans="1:1" x14ac:dyDescent="0.25">
      <c r="A3332"/>
    </row>
    <row r="3333" spans="1:1" x14ac:dyDescent="0.25">
      <c r="A3333"/>
    </row>
    <row r="3334" spans="1:1" x14ac:dyDescent="0.25">
      <c r="A3334"/>
    </row>
    <row r="3335" spans="1:1" x14ac:dyDescent="0.25">
      <c r="A3335"/>
    </row>
    <row r="3336" spans="1:1" x14ac:dyDescent="0.25">
      <c r="A3336"/>
    </row>
    <row r="3337" spans="1:1" x14ac:dyDescent="0.25">
      <c r="A3337"/>
    </row>
    <row r="3338" spans="1:1" x14ac:dyDescent="0.25">
      <c r="A3338"/>
    </row>
    <row r="3339" spans="1:1" x14ac:dyDescent="0.25">
      <c r="A3339"/>
    </row>
    <row r="3340" spans="1:1" x14ac:dyDescent="0.25">
      <c r="A3340"/>
    </row>
    <row r="3341" spans="1:1" x14ac:dyDescent="0.25">
      <c r="A3341"/>
    </row>
    <row r="3342" spans="1:1" x14ac:dyDescent="0.25">
      <c r="A3342"/>
    </row>
    <row r="3343" spans="1:1" x14ac:dyDescent="0.25">
      <c r="A3343"/>
    </row>
    <row r="3344" spans="1:1" x14ac:dyDescent="0.25">
      <c r="A3344"/>
    </row>
    <row r="3345" spans="1:1" x14ac:dyDescent="0.25">
      <c r="A3345"/>
    </row>
    <row r="3346" spans="1:1" x14ac:dyDescent="0.25">
      <c r="A3346"/>
    </row>
    <row r="3347" spans="1:1" x14ac:dyDescent="0.25">
      <c r="A3347"/>
    </row>
    <row r="3348" spans="1:1" x14ac:dyDescent="0.25">
      <c r="A3348"/>
    </row>
    <row r="3349" spans="1:1" x14ac:dyDescent="0.25">
      <c r="A3349"/>
    </row>
    <row r="3350" spans="1:1" x14ac:dyDescent="0.25">
      <c r="A3350"/>
    </row>
    <row r="3351" spans="1:1" x14ac:dyDescent="0.25">
      <c r="A3351"/>
    </row>
    <row r="3352" spans="1:1" x14ac:dyDescent="0.25">
      <c r="A3352"/>
    </row>
    <row r="3353" spans="1:1" x14ac:dyDescent="0.25">
      <c r="A3353"/>
    </row>
    <row r="3354" spans="1:1" x14ac:dyDescent="0.25">
      <c r="A3354"/>
    </row>
    <row r="3355" spans="1:1" x14ac:dyDescent="0.25">
      <c r="A3355"/>
    </row>
    <row r="3356" spans="1:1" x14ac:dyDescent="0.25">
      <c r="A3356"/>
    </row>
    <row r="3357" spans="1:1" x14ac:dyDescent="0.25">
      <c r="A3357"/>
    </row>
    <row r="3358" spans="1:1" x14ac:dyDescent="0.25">
      <c r="A3358"/>
    </row>
    <row r="3359" spans="1:1" x14ac:dyDescent="0.25">
      <c r="A3359"/>
    </row>
    <row r="3360" spans="1:1" x14ac:dyDescent="0.25">
      <c r="A3360"/>
    </row>
    <row r="3361" spans="1:1" x14ac:dyDescent="0.25">
      <c r="A3361"/>
    </row>
    <row r="3362" spans="1:1" x14ac:dyDescent="0.25">
      <c r="A3362"/>
    </row>
    <row r="3363" spans="1:1" x14ac:dyDescent="0.25">
      <c r="A3363"/>
    </row>
    <row r="3364" spans="1:1" x14ac:dyDescent="0.25">
      <c r="A3364"/>
    </row>
    <row r="3365" spans="1:1" x14ac:dyDescent="0.25">
      <c r="A3365"/>
    </row>
    <row r="3366" spans="1:1" x14ac:dyDescent="0.25">
      <c r="A3366"/>
    </row>
    <row r="3367" spans="1:1" x14ac:dyDescent="0.25">
      <c r="A3367"/>
    </row>
    <row r="3368" spans="1:1" x14ac:dyDescent="0.25">
      <c r="A3368"/>
    </row>
    <row r="3369" spans="1:1" x14ac:dyDescent="0.25">
      <c r="A3369"/>
    </row>
    <row r="3370" spans="1:1" x14ac:dyDescent="0.25">
      <c r="A3370"/>
    </row>
    <row r="3371" spans="1:1" x14ac:dyDescent="0.25">
      <c r="A3371"/>
    </row>
    <row r="3372" spans="1:1" x14ac:dyDescent="0.25">
      <c r="A3372"/>
    </row>
    <row r="3373" spans="1:1" x14ac:dyDescent="0.25">
      <c r="A3373"/>
    </row>
    <row r="3374" spans="1:1" x14ac:dyDescent="0.25">
      <c r="A3374"/>
    </row>
    <row r="3375" spans="1:1" x14ac:dyDescent="0.25">
      <c r="A3375"/>
    </row>
    <row r="3376" spans="1:1" x14ac:dyDescent="0.25">
      <c r="A3376"/>
    </row>
    <row r="3377" spans="1:1" x14ac:dyDescent="0.25">
      <c r="A3377"/>
    </row>
    <row r="3378" spans="1:1" x14ac:dyDescent="0.25">
      <c r="A3378"/>
    </row>
    <row r="3379" spans="1:1" x14ac:dyDescent="0.25">
      <c r="A3379"/>
    </row>
    <row r="3380" spans="1:1" x14ac:dyDescent="0.25">
      <c r="A3380"/>
    </row>
    <row r="3381" spans="1:1" x14ac:dyDescent="0.25">
      <c r="A3381"/>
    </row>
    <row r="3382" spans="1:1" x14ac:dyDescent="0.25">
      <c r="A3382"/>
    </row>
    <row r="3383" spans="1:1" x14ac:dyDescent="0.25">
      <c r="A3383"/>
    </row>
    <row r="3384" spans="1:1" x14ac:dyDescent="0.25">
      <c r="A3384"/>
    </row>
    <row r="3385" spans="1:1" x14ac:dyDescent="0.25">
      <c r="A3385"/>
    </row>
    <row r="3386" spans="1:1" x14ac:dyDescent="0.25">
      <c r="A3386"/>
    </row>
    <row r="3387" spans="1:1" x14ac:dyDescent="0.25">
      <c r="A3387"/>
    </row>
    <row r="3388" spans="1:1" x14ac:dyDescent="0.25">
      <c r="A3388"/>
    </row>
    <row r="3389" spans="1:1" x14ac:dyDescent="0.25">
      <c r="A3389"/>
    </row>
    <row r="3390" spans="1:1" x14ac:dyDescent="0.25">
      <c r="A3390"/>
    </row>
    <row r="3391" spans="1:1" x14ac:dyDescent="0.25">
      <c r="A3391"/>
    </row>
    <row r="3392" spans="1:1" x14ac:dyDescent="0.25">
      <c r="A3392"/>
    </row>
    <row r="3393" spans="1:1" x14ac:dyDescent="0.25">
      <c r="A3393"/>
    </row>
    <row r="3394" spans="1:1" x14ac:dyDescent="0.25">
      <c r="A3394"/>
    </row>
    <row r="3395" spans="1:1" x14ac:dyDescent="0.25">
      <c r="A3395"/>
    </row>
    <row r="3396" spans="1:1" x14ac:dyDescent="0.25">
      <c r="A3396"/>
    </row>
    <row r="3397" spans="1:1" x14ac:dyDescent="0.25">
      <c r="A3397"/>
    </row>
    <row r="3398" spans="1:1" x14ac:dyDescent="0.25">
      <c r="A3398"/>
    </row>
    <row r="3399" spans="1:1" x14ac:dyDescent="0.25">
      <c r="A3399"/>
    </row>
    <row r="3400" spans="1:1" x14ac:dyDescent="0.25">
      <c r="A3400"/>
    </row>
    <row r="3401" spans="1:1" x14ac:dyDescent="0.25">
      <c r="A3401"/>
    </row>
    <row r="3402" spans="1:1" x14ac:dyDescent="0.25">
      <c r="A3402"/>
    </row>
    <row r="3403" spans="1:1" x14ac:dyDescent="0.25">
      <c r="A3403"/>
    </row>
    <row r="3404" spans="1:1" x14ac:dyDescent="0.25">
      <c r="A3404"/>
    </row>
    <row r="3405" spans="1:1" x14ac:dyDescent="0.25">
      <c r="A3405"/>
    </row>
    <row r="3406" spans="1:1" x14ac:dyDescent="0.25">
      <c r="A3406"/>
    </row>
    <row r="3407" spans="1:1" x14ac:dyDescent="0.25">
      <c r="A3407"/>
    </row>
    <row r="3408" spans="1:1" x14ac:dyDescent="0.25">
      <c r="A3408"/>
    </row>
    <row r="3409" spans="1:1" x14ac:dyDescent="0.25">
      <c r="A3409"/>
    </row>
    <row r="3410" spans="1:1" x14ac:dyDescent="0.25">
      <c r="A3410"/>
    </row>
    <row r="3411" spans="1:1" x14ac:dyDescent="0.25">
      <c r="A3411"/>
    </row>
    <row r="3412" spans="1:1" x14ac:dyDescent="0.25">
      <c r="A3412"/>
    </row>
    <row r="3413" spans="1:1" x14ac:dyDescent="0.25">
      <c r="A3413"/>
    </row>
    <row r="3414" spans="1:1" x14ac:dyDescent="0.25">
      <c r="A3414"/>
    </row>
    <row r="3415" spans="1:1" x14ac:dyDescent="0.25">
      <c r="A3415"/>
    </row>
    <row r="3416" spans="1:1" x14ac:dyDescent="0.25">
      <c r="A3416"/>
    </row>
    <row r="3417" spans="1:1" x14ac:dyDescent="0.25">
      <c r="A3417"/>
    </row>
    <row r="3418" spans="1:1" x14ac:dyDescent="0.25">
      <c r="A3418"/>
    </row>
    <row r="3419" spans="1:1" x14ac:dyDescent="0.25">
      <c r="A3419"/>
    </row>
    <row r="3420" spans="1:1" x14ac:dyDescent="0.25">
      <c r="A3420"/>
    </row>
    <row r="3421" spans="1:1" x14ac:dyDescent="0.25">
      <c r="A3421"/>
    </row>
    <row r="3422" spans="1:1" x14ac:dyDescent="0.25">
      <c r="A3422"/>
    </row>
    <row r="3423" spans="1:1" x14ac:dyDescent="0.25">
      <c r="A3423"/>
    </row>
    <row r="3424" spans="1:1" x14ac:dyDescent="0.25">
      <c r="A3424"/>
    </row>
    <row r="3425" spans="1:1" x14ac:dyDescent="0.25">
      <c r="A3425"/>
    </row>
    <row r="3426" spans="1:1" x14ac:dyDescent="0.25">
      <c r="A3426"/>
    </row>
    <row r="3427" spans="1:1" x14ac:dyDescent="0.25">
      <c r="A3427"/>
    </row>
    <row r="3428" spans="1:1" x14ac:dyDescent="0.25">
      <c r="A3428"/>
    </row>
    <row r="3429" spans="1:1" x14ac:dyDescent="0.25">
      <c r="A3429"/>
    </row>
    <row r="3430" spans="1:1" x14ac:dyDescent="0.25">
      <c r="A3430"/>
    </row>
    <row r="3431" spans="1:1" x14ac:dyDescent="0.25">
      <c r="A3431"/>
    </row>
    <row r="3432" spans="1:1" x14ac:dyDescent="0.25">
      <c r="A3432"/>
    </row>
    <row r="3433" spans="1:1" x14ac:dyDescent="0.25">
      <c r="A3433"/>
    </row>
    <row r="3434" spans="1:1" x14ac:dyDescent="0.25">
      <c r="A3434"/>
    </row>
    <row r="3435" spans="1:1" x14ac:dyDescent="0.25">
      <c r="A3435"/>
    </row>
    <row r="3436" spans="1:1" x14ac:dyDescent="0.25">
      <c r="A3436"/>
    </row>
    <row r="3437" spans="1:1" x14ac:dyDescent="0.25">
      <c r="A3437"/>
    </row>
    <row r="3438" spans="1:1" x14ac:dyDescent="0.25">
      <c r="A3438"/>
    </row>
    <row r="3439" spans="1:1" x14ac:dyDescent="0.25">
      <c r="A3439"/>
    </row>
    <row r="3440" spans="1:1" x14ac:dyDescent="0.25">
      <c r="A3440"/>
    </row>
    <row r="3441" spans="1:1" x14ac:dyDescent="0.25">
      <c r="A3441"/>
    </row>
    <row r="3442" spans="1:1" x14ac:dyDescent="0.25">
      <c r="A3442"/>
    </row>
    <row r="3443" spans="1:1" x14ac:dyDescent="0.25">
      <c r="A3443"/>
    </row>
    <row r="3444" spans="1:1" x14ac:dyDescent="0.25">
      <c r="A3444"/>
    </row>
    <row r="3445" spans="1:1" x14ac:dyDescent="0.25">
      <c r="A3445"/>
    </row>
    <row r="3446" spans="1:1" x14ac:dyDescent="0.25">
      <c r="A3446"/>
    </row>
    <row r="3447" spans="1:1" x14ac:dyDescent="0.25">
      <c r="A3447"/>
    </row>
    <row r="3448" spans="1:1" x14ac:dyDescent="0.25">
      <c r="A3448"/>
    </row>
    <row r="3449" spans="1:1" x14ac:dyDescent="0.25">
      <c r="A3449"/>
    </row>
    <row r="3450" spans="1:1" x14ac:dyDescent="0.25">
      <c r="A3450"/>
    </row>
    <row r="3451" spans="1:1" x14ac:dyDescent="0.25">
      <c r="A3451"/>
    </row>
    <row r="3452" spans="1:1" x14ac:dyDescent="0.25">
      <c r="A3452"/>
    </row>
    <row r="3453" spans="1:1" x14ac:dyDescent="0.25">
      <c r="A3453"/>
    </row>
    <row r="3454" spans="1:1" x14ac:dyDescent="0.25">
      <c r="A3454"/>
    </row>
    <row r="3455" spans="1:1" x14ac:dyDescent="0.25">
      <c r="A3455"/>
    </row>
    <row r="3456" spans="1:1" x14ac:dyDescent="0.25">
      <c r="A3456"/>
    </row>
    <row r="3457" spans="1:1" x14ac:dyDescent="0.25">
      <c r="A3457"/>
    </row>
    <row r="3458" spans="1:1" x14ac:dyDescent="0.25">
      <c r="A3458"/>
    </row>
    <row r="3459" spans="1:1" x14ac:dyDescent="0.25">
      <c r="A3459"/>
    </row>
    <row r="3460" spans="1:1" x14ac:dyDescent="0.25">
      <c r="A3460"/>
    </row>
    <row r="3461" spans="1:1" x14ac:dyDescent="0.25">
      <c r="A3461"/>
    </row>
    <row r="3462" spans="1:1" x14ac:dyDescent="0.25">
      <c r="A3462"/>
    </row>
    <row r="3463" spans="1:1" x14ac:dyDescent="0.25">
      <c r="A3463"/>
    </row>
    <row r="3464" spans="1:1" x14ac:dyDescent="0.25">
      <c r="A3464"/>
    </row>
    <row r="3465" spans="1:1" x14ac:dyDescent="0.25">
      <c r="A3465"/>
    </row>
    <row r="3466" spans="1:1" x14ac:dyDescent="0.25">
      <c r="A3466"/>
    </row>
    <row r="3467" spans="1:1" x14ac:dyDescent="0.25">
      <c r="A3467"/>
    </row>
    <row r="3468" spans="1:1" x14ac:dyDescent="0.25">
      <c r="A3468"/>
    </row>
    <row r="3469" spans="1:1" x14ac:dyDescent="0.25">
      <c r="A3469"/>
    </row>
    <row r="3470" spans="1:1" x14ac:dyDescent="0.25">
      <c r="A3470"/>
    </row>
    <row r="3471" spans="1:1" x14ac:dyDescent="0.25">
      <c r="A3471"/>
    </row>
    <row r="3472" spans="1:1" x14ac:dyDescent="0.25">
      <c r="A3472"/>
    </row>
    <row r="3473" spans="1:1" x14ac:dyDescent="0.25">
      <c r="A3473"/>
    </row>
    <row r="3474" spans="1:1" x14ac:dyDescent="0.25">
      <c r="A3474"/>
    </row>
    <row r="3475" spans="1:1" x14ac:dyDescent="0.25">
      <c r="A3475"/>
    </row>
    <row r="3476" spans="1:1" x14ac:dyDescent="0.25">
      <c r="A3476"/>
    </row>
    <row r="3477" spans="1:1" x14ac:dyDescent="0.25">
      <c r="A3477"/>
    </row>
    <row r="3478" spans="1:1" x14ac:dyDescent="0.25">
      <c r="A3478"/>
    </row>
    <row r="3479" spans="1:1" x14ac:dyDescent="0.25">
      <c r="A3479"/>
    </row>
    <row r="3480" spans="1:1" x14ac:dyDescent="0.25">
      <c r="A3480"/>
    </row>
    <row r="3481" spans="1:1" x14ac:dyDescent="0.25">
      <c r="A3481"/>
    </row>
    <row r="3482" spans="1:1" x14ac:dyDescent="0.25">
      <c r="A3482"/>
    </row>
    <row r="3483" spans="1:1" x14ac:dyDescent="0.25">
      <c r="A3483"/>
    </row>
    <row r="3484" spans="1:1" x14ac:dyDescent="0.25">
      <c r="A3484"/>
    </row>
    <row r="3485" spans="1:1" x14ac:dyDescent="0.25">
      <c r="A3485"/>
    </row>
    <row r="3486" spans="1:1" x14ac:dyDescent="0.25">
      <c r="A3486"/>
    </row>
    <row r="3487" spans="1:1" x14ac:dyDescent="0.25">
      <c r="A3487"/>
    </row>
    <row r="3488" spans="1:1" x14ac:dyDescent="0.25">
      <c r="A3488"/>
    </row>
    <row r="3489" spans="1:1" x14ac:dyDescent="0.25">
      <c r="A3489"/>
    </row>
    <row r="3490" spans="1:1" x14ac:dyDescent="0.25">
      <c r="A3490"/>
    </row>
    <row r="3491" spans="1:1" x14ac:dyDescent="0.25">
      <c r="A3491"/>
    </row>
    <row r="3492" spans="1:1" x14ac:dyDescent="0.25">
      <c r="A3492"/>
    </row>
    <row r="3493" spans="1:1" x14ac:dyDescent="0.25">
      <c r="A3493"/>
    </row>
    <row r="3494" spans="1:1" x14ac:dyDescent="0.25">
      <c r="A3494"/>
    </row>
    <row r="3495" spans="1:1" x14ac:dyDescent="0.25">
      <c r="A3495"/>
    </row>
    <row r="3496" spans="1:1" x14ac:dyDescent="0.25">
      <c r="A3496"/>
    </row>
    <row r="3497" spans="1:1" x14ac:dyDescent="0.25">
      <c r="A3497"/>
    </row>
    <row r="3498" spans="1:1" x14ac:dyDescent="0.25">
      <c r="A3498"/>
    </row>
    <row r="3499" spans="1:1" x14ac:dyDescent="0.25">
      <c r="A3499"/>
    </row>
    <row r="3500" spans="1:1" x14ac:dyDescent="0.25">
      <c r="A3500"/>
    </row>
    <row r="3501" spans="1:1" x14ac:dyDescent="0.25">
      <c r="A3501"/>
    </row>
    <row r="3502" spans="1:1" x14ac:dyDescent="0.25">
      <c r="A3502"/>
    </row>
    <row r="3503" spans="1:1" x14ac:dyDescent="0.25">
      <c r="A3503"/>
    </row>
    <row r="3504" spans="1:1" x14ac:dyDescent="0.25">
      <c r="A3504"/>
    </row>
    <row r="3505" spans="1:1" x14ac:dyDescent="0.25">
      <c r="A3505"/>
    </row>
    <row r="3506" spans="1:1" x14ac:dyDescent="0.25">
      <c r="A3506"/>
    </row>
    <row r="3507" spans="1:1" x14ac:dyDescent="0.25">
      <c r="A3507"/>
    </row>
    <row r="3508" spans="1:1" x14ac:dyDescent="0.25">
      <c r="A3508"/>
    </row>
    <row r="3509" spans="1:1" x14ac:dyDescent="0.25">
      <c r="A3509"/>
    </row>
    <row r="3510" spans="1:1" x14ac:dyDescent="0.25">
      <c r="A3510"/>
    </row>
    <row r="3511" spans="1:1" x14ac:dyDescent="0.25">
      <c r="A3511"/>
    </row>
    <row r="3512" spans="1:1" x14ac:dyDescent="0.25">
      <c r="A3512"/>
    </row>
    <row r="3513" spans="1:1" x14ac:dyDescent="0.25">
      <c r="A3513"/>
    </row>
    <row r="3514" spans="1:1" x14ac:dyDescent="0.25">
      <c r="A3514"/>
    </row>
    <row r="3515" spans="1:1" x14ac:dyDescent="0.25">
      <c r="A3515"/>
    </row>
    <row r="3516" spans="1:1" x14ac:dyDescent="0.25">
      <c r="A3516"/>
    </row>
    <row r="3517" spans="1:1" x14ac:dyDescent="0.25">
      <c r="A3517"/>
    </row>
    <row r="3518" spans="1:1" x14ac:dyDescent="0.25">
      <c r="A3518"/>
    </row>
    <row r="3519" spans="1:1" x14ac:dyDescent="0.25">
      <c r="A3519"/>
    </row>
    <row r="3520" spans="1:1" x14ac:dyDescent="0.25">
      <c r="A3520"/>
    </row>
    <row r="3521" spans="1:1" x14ac:dyDescent="0.25">
      <c r="A3521"/>
    </row>
    <row r="3522" spans="1:1" x14ac:dyDescent="0.25">
      <c r="A3522"/>
    </row>
    <row r="3523" spans="1:1" x14ac:dyDescent="0.25">
      <c r="A3523"/>
    </row>
    <row r="3524" spans="1:1" x14ac:dyDescent="0.25">
      <c r="A3524"/>
    </row>
    <row r="3525" spans="1:1" x14ac:dyDescent="0.25">
      <c r="A3525"/>
    </row>
    <row r="3526" spans="1:1" x14ac:dyDescent="0.25">
      <c r="A3526"/>
    </row>
    <row r="3527" spans="1:1" x14ac:dyDescent="0.25">
      <c r="A3527"/>
    </row>
    <row r="3528" spans="1:1" x14ac:dyDescent="0.25">
      <c r="A3528"/>
    </row>
    <row r="3529" spans="1:1" x14ac:dyDescent="0.25">
      <c r="A3529"/>
    </row>
    <row r="3530" spans="1:1" x14ac:dyDescent="0.25">
      <c r="A3530"/>
    </row>
    <row r="3531" spans="1:1" x14ac:dyDescent="0.25">
      <c r="A3531"/>
    </row>
    <row r="3532" spans="1:1" x14ac:dyDescent="0.25">
      <c r="A3532"/>
    </row>
    <row r="3533" spans="1:1" x14ac:dyDescent="0.25">
      <c r="A3533"/>
    </row>
    <row r="3534" spans="1:1" x14ac:dyDescent="0.25">
      <c r="A3534"/>
    </row>
    <row r="3535" spans="1:1" x14ac:dyDescent="0.25">
      <c r="A3535"/>
    </row>
    <row r="3536" spans="1:1" x14ac:dyDescent="0.25">
      <c r="A3536"/>
    </row>
    <row r="3537" spans="1:1" x14ac:dyDescent="0.25">
      <c r="A3537"/>
    </row>
    <row r="3538" spans="1:1" x14ac:dyDescent="0.25">
      <c r="A3538"/>
    </row>
    <row r="3539" spans="1:1" x14ac:dyDescent="0.25">
      <c r="A3539"/>
    </row>
    <row r="3540" spans="1:1" x14ac:dyDescent="0.25">
      <c r="A3540"/>
    </row>
    <row r="3541" spans="1:1" x14ac:dyDescent="0.25">
      <c r="A3541"/>
    </row>
    <row r="3542" spans="1:1" x14ac:dyDescent="0.25">
      <c r="A3542"/>
    </row>
    <row r="3543" spans="1:1" x14ac:dyDescent="0.25">
      <c r="A3543"/>
    </row>
    <row r="3544" spans="1:1" x14ac:dyDescent="0.25">
      <c r="A3544"/>
    </row>
    <row r="3545" spans="1:1" x14ac:dyDescent="0.25">
      <c r="A3545"/>
    </row>
    <row r="3546" spans="1:1" x14ac:dyDescent="0.25">
      <c r="A3546"/>
    </row>
    <row r="3547" spans="1:1" x14ac:dyDescent="0.25">
      <c r="A3547"/>
    </row>
    <row r="3548" spans="1:1" x14ac:dyDescent="0.25">
      <c r="A3548"/>
    </row>
    <row r="3549" spans="1:1" x14ac:dyDescent="0.25">
      <c r="A3549"/>
    </row>
    <row r="3550" spans="1:1" x14ac:dyDescent="0.25">
      <c r="A3550"/>
    </row>
    <row r="3551" spans="1:1" x14ac:dyDescent="0.25">
      <c r="A3551"/>
    </row>
    <row r="3552" spans="1:1" x14ac:dyDescent="0.25">
      <c r="A3552"/>
    </row>
    <row r="3553" spans="1:1" x14ac:dyDescent="0.25">
      <c r="A3553"/>
    </row>
    <row r="3554" spans="1:1" x14ac:dyDescent="0.25">
      <c r="A3554"/>
    </row>
    <row r="3555" spans="1:1" x14ac:dyDescent="0.25">
      <c r="A3555"/>
    </row>
    <row r="3556" spans="1:1" x14ac:dyDescent="0.25">
      <c r="A3556"/>
    </row>
    <row r="3557" spans="1:1" x14ac:dyDescent="0.25">
      <c r="A3557"/>
    </row>
    <row r="3558" spans="1:1" x14ac:dyDescent="0.25">
      <c r="A3558"/>
    </row>
    <row r="3559" spans="1:1" x14ac:dyDescent="0.25">
      <c r="A3559"/>
    </row>
    <row r="3560" spans="1:1" x14ac:dyDescent="0.25">
      <c r="A3560"/>
    </row>
    <row r="3561" spans="1:1" x14ac:dyDescent="0.25">
      <c r="A3561"/>
    </row>
    <row r="3562" spans="1:1" x14ac:dyDescent="0.25">
      <c r="A3562"/>
    </row>
    <row r="3563" spans="1:1" x14ac:dyDescent="0.25">
      <c r="A3563"/>
    </row>
    <row r="3564" spans="1:1" x14ac:dyDescent="0.25">
      <c r="A3564"/>
    </row>
    <row r="3565" spans="1:1" x14ac:dyDescent="0.25">
      <c r="A3565"/>
    </row>
    <row r="3566" spans="1:1" x14ac:dyDescent="0.25">
      <c r="A3566"/>
    </row>
    <row r="3567" spans="1:1" x14ac:dyDescent="0.25">
      <c r="A3567"/>
    </row>
    <row r="3568" spans="1:1" x14ac:dyDescent="0.25">
      <c r="A3568"/>
    </row>
    <row r="3569" spans="1:1" x14ac:dyDescent="0.25">
      <c r="A3569"/>
    </row>
    <row r="3570" spans="1:1" x14ac:dyDescent="0.25">
      <c r="A3570"/>
    </row>
    <row r="3571" spans="1:1" x14ac:dyDescent="0.25">
      <c r="A3571"/>
    </row>
    <row r="3572" spans="1:1" x14ac:dyDescent="0.25">
      <c r="A3572"/>
    </row>
    <row r="3573" spans="1:1" x14ac:dyDescent="0.25">
      <c r="A3573"/>
    </row>
    <row r="3574" spans="1:1" x14ac:dyDescent="0.25">
      <c r="A3574"/>
    </row>
    <row r="3575" spans="1:1" x14ac:dyDescent="0.25">
      <c r="A3575"/>
    </row>
    <row r="3576" spans="1:1" x14ac:dyDescent="0.25">
      <c r="A3576"/>
    </row>
    <row r="3577" spans="1:1" x14ac:dyDescent="0.25">
      <c r="A3577"/>
    </row>
    <row r="3578" spans="1:1" x14ac:dyDescent="0.25">
      <c r="A3578"/>
    </row>
    <row r="3579" spans="1:1" x14ac:dyDescent="0.25">
      <c r="A3579"/>
    </row>
    <row r="3580" spans="1:1" x14ac:dyDescent="0.25">
      <c r="A3580"/>
    </row>
    <row r="3581" spans="1:1" x14ac:dyDescent="0.25">
      <c r="A3581"/>
    </row>
    <row r="3582" spans="1:1" x14ac:dyDescent="0.25">
      <c r="A3582"/>
    </row>
    <row r="3583" spans="1:1" x14ac:dyDescent="0.25">
      <c r="A3583"/>
    </row>
    <row r="3584" spans="1:1" x14ac:dyDescent="0.25">
      <c r="A3584"/>
    </row>
    <row r="3585" spans="1:1" x14ac:dyDescent="0.25">
      <c r="A3585"/>
    </row>
    <row r="3586" spans="1:1" x14ac:dyDescent="0.25">
      <c r="A3586"/>
    </row>
    <row r="3587" spans="1:1" x14ac:dyDescent="0.25">
      <c r="A3587"/>
    </row>
    <row r="3588" spans="1:1" x14ac:dyDescent="0.25">
      <c r="A3588"/>
    </row>
    <row r="3589" spans="1:1" x14ac:dyDescent="0.25">
      <c r="A3589"/>
    </row>
    <row r="3590" spans="1:1" x14ac:dyDescent="0.25">
      <c r="A3590"/>
    </row>
    <row r="3591" spans="1:1" x14ac:dyDescent="0.25">
      <c r="A3591"/>
    </row>
    <row r="3592" spans="1:1" x14ac:dyDescent="0.25">
      <c r="A3592"/>
    </row>
    <row r="3593" spans="1:1" x14ac:dyDescent="0.25">
      <c r="A3593"/>
    </row>
    <row r="3594" spans="1:1" x14ac:dyDescent="0.25">
      <c r="A3594"/>
    </row>
    <row r="3595" spans="1:1" x14ac:dyDescent="0.25">
      <c r="A3595"/>
    </row>
    <row r="3596" spans="1:1" x14ac:dyDescent="0.25">
      <c r="A3596"/>
    </row>
    <row r="3597" spans="1:1" x14ac:dyDescent="0.25">
      <c r="A3597"/>
    </row>
    <row r="3598" spans="1:1" x14ac:dyDescent="0.25">
      <c r="A3598"/>
    </row>
    <row r="3599" spans="1:1" x14ac:dyDescent="0.25">
      <c r="A3599"/>
    </row>
    <row r="3600" spans="1:1" x14ac:dyDescent="0.25">
      <c r="A3600"/>
    </row>
    <row r="3601" spans="1:1" x14ac:dyDescent="0.25">
      <c r="A3601"/>
    </row>
    <row r="3602" spans="1:1" x14ac:dyDescent="0.25">
      <c r="A3602"/>
    </row>
    <row r="3603" spans="1:1" x14ac:dyDescent="0.25">
      <c r="A3603"/>
    </row>
    <row r="3604" spans="1:1" x14ac:dyDescent="0.25">
      <c r="A3604"/>
    </row>
    <row r="3605" spans="1:1" x14ac:dyDescent="0.25">
      <c r="A3605"/>
    </row>
    <row r="3606" spans="1:1" x14ac:dyDescent="0.25">
      <c r="A3606"/>
    </row>
    <row r="3607" spans="1:1" x14ac:dyDescent="0.25">
      <c r="A3607"/>
    </row>
    <row r="3608" spans="1:1" x14ac:dyDescent="0.25">
      <c r="A3608"/>
    </row>
    <row r="3609" spans="1:1" x14ac:dyDescent="0.25">
      <c r="A3609"/>
    </row>
    <row r="3610" spans="1:1" x14ac:dyDescent="0.25">
      <c r="A3610"/>
    </row>
    <row r="3611" spans="1:1" x14ac:dyDescent="0.25">
      <c r="A3611"/>
    </row>
    <row r="3612" spans="1:1" x14ac:dyDescent="0.25">
      <c r="A3612"/>
    </row>
    <row r="3613" spans="1:1" x14ac:dyDescent="0.25">
      <c r="A3613"/>
    </row>
    <row r="3614" spans="1:1" x14ac:dyDescent="0.25">
      <c r="A3614"/>
    </row>
    <row r="3615" spans="1:1" x14ac:dyDescent="0.25">
      <c r="A3615"/>
    </row>
    <row r="3616" spans="1:1" x14ac:dyDescent="0.25">
      <c r="A3616"/>
    </row>
    <row r="3617" spans="1:1" x14ac:dyDescent="0.25">
      <c r="A3617"/>
    </row>
    <row r="3618" spans="1:1" x14ac:dyDescent="0.25">
      <c r="A3618"/>
    </row>
    <row r="3619" spans="1:1" x14ac:dyDescent="0.25">
      <c r="A3619"/>
    </row>
    <row r="3620" spans="1:1" x14ac:dyDescent="0.25">
      <c r="A3620"/>
    </row>
    <row r="3621" spans="1:1" x14ac:dyDescent="0.25">
      <c r="A3621"/>
    </row>
    <row r="3622" spans="1:1" x14ac:dyDescent="0.25">
      <c r="A3622"/>
    </row>
    <row r="3623" spans="1:1" x14ac:dyDescent="0.25">
      <c r="A3623"/>
    </row>
    <row r="3624" spans="1:1" x14ac:dyDescent="0.25">
      <c r="A3624"/>
    </row>
    <row r="3625" spans="1:1" x14ac:dyDescent="0.25">
      <c r="A3625"/>
    </row>
    <row r="3626" spans="1:1" x14ac:dyDescent="0.25">
      <c r="A3626"/>
    </row>
    <row r="3627" spans="1:1" x14ac:dyDescent="0.25">
      <c r="A3627"/>
    </row>
    <row r="3628" spans="1:1" x14ac:dyDescent="0.25">
      <c r="A3628"/>
    </row>
    <row r="3629" spans="1:1" x14ac:dyDescent="0.25">
      <c r="A3629"/>
    </row>
    <row r="3630" spans="1:1" x14ac:dyDescent="0.25">
      <c r="A3630"/>
    </row>
    <row r="3631" spans="1:1" x14ac:dyDescent="0.25">
      <c r="A3631"/>
    </row>
    <row r="3632" spans="1:1" x14ac:dyDescent="0.25">
      <c r="A3632"/>
    </row>
    <row r="3633" spans="1:1" x14ac:dyDescent="0.25">
      <c r="A3633"/>
    </row>
    <row r="3634" spans="1:1" x14ac:dyDescent="0.25">
      <c r="A3634"/>
    </row>
    <row r="3635" spans="1:1" x14ac:dyDescent="0.25">
      <c r="A3635"/>
    </row>
    <row r="3636" spans="1:1" x14ac:dyDescent="0.25">
      <c r="A3636"/>
    </row>
    <row r="3637" spans="1:1" x14ac:dyDescent="0.25">
      <c r="A3637"/>
    </row>
    <row r="3638" spans="1:1" x14ac:dyDescent="0.25">
      <c r="A3638"/>
    </row>
    <row r="3639" spans="1:1" x14ac:dyDescent="0.25">
      <c r="A3639"/>
    </row>
    <row r="3640" spans="1:1" x14ac:dyDescent="0.25">
      <c r="A3640"/>
    </row>
    <row r="3641" spans="1:1" x14ac:dyDescent="0.25">
      <c r="A3641"/>
    </row>
    <row r="3642" spans="1:1" x14ac:dyDescent="0.25">
      <c r="A3642"/>
    </row>
    <row r="3643" spans="1:1" x14ac:dyDescent="0.25">
      <c r="A3643"/>
    </row>
    <row r="3644" spans="1:1" x14ac:dyDescent="0.25">
      <c r="A3644"/>
    </row>
    <row r="3645" spans="1:1" x14ac:dyDescent="0.25">
      <c r="A3645"/>
    </row>
    <row r="3646" spans="1:1" x14ac:dyDescent="0.25">
      <c r="A3646"/>
    </row>
    <row r="3647" spans="1:1" x14ac:dyDescent="0.25">
      <c r="A3647"/>
    </row>
    <row r="3648" spans="1:1" x14ac:dyDescent="0.25">
      <c r="A3648"/>
    </row>
    <row r="3649" spans="1:1" x14ac:dyDescent="0.25">
      <c r="A3649"/>
    </row>
    <row r="3650" spans="1:1" x14ac:dyDescent="0.25">
      <c r="A3650"/>
    </row>
    <row r="3651" spans="1:1" x14ac:dyDescent="0.25">
      <c r="A3651"/>
    </row>
    <row r="3652" spans="1:1" x14ac:dyDescent="0.25">
      <c r="A3652"/>
    </row>
    <row r="3653" spans="1:1" x14ac:dyDescent="0.25">
      <c r="A3653"/>
    </row>
    <row r="3654" spans="1:1" x14ac:dyDescent="0.25">
      <c r="A3654"/>
    </row>
    <row r="3655" spans="1:1" x14ac:dyDescent="0.25">
      <c r="A3655"/>
    </row>
    <row r="3656" spans="1:1" x14ac:dyDescent="0.25">
      <c r="A3656"/>
    </row>
    <row r="3657" spans="1:1" x14ac:dyDescent="0.25">
      <c r="A3657"/>
    </row>
    <row r="3658" spans="1:1" x14ac:dyDescent="0.25">
      <c r="A3658"/>
    </row>
    <row r="3659" spans="1:1" x14ac:dyDescent="0.25">
      <c r="A3659"/>
    </row>
    <row r="3660" spans="1:1" x14ac:dyDescent="0.25">
      <c r="A3660"/>
    </row>
    <row r="3661" spans="1:1" x14ac:dyDescent="0.25">
      <c r="A3661"/>
    </row>
    <row r="3662" spans="1:1" x14ac:dyDescent="0.25">
      <c r="A3662"/>
    </row>
    <row r="3663" spans="1:1" x14ac:dyDescent="0.25">
      <c r="A3663"/>
    </row>
    <row r="3664" spans="1:1" x14ac:dyDescent="0.25">
      <c r="A3664"/>
    </row>
    <row r="3665" spans="1:1" x14ac:dyDescent="0.25">
      <c r="A3665"/>
    </row>
    <row r="3666" spans="1:1" x14ac:dyDescent="0.25">
      <c r="A3666"/>
    </row>
    <row r="3667" spans="1:1" x14ac:dyDescent="0.25">
      <c r="A3667"/>
    </row>
    <row r="3668" spans="1:1" x14ac:dyDescent="0.25">
      <c r="A3668"/>
    </row>
    <row r="3669" spans="1:1" x14ac:dyDescent="0.25">
      <c r="A3669"/>
    </row>
    <row r="3670" spans="1:1" x14ac:dyDescent="0.25">
      <c r="A3670"/>
    </row>
    <row r="3671" spans="1:1" x14ac:dyDescent="0.25">
      <c r="A3671"/>
    </row>
    <row r="3672" spans="1:1" x14ac:dyDescent="0.25">
      <c r="A3672"/>
    </row>
    <row r="3673" spans="1:1" x14ac:dyDescent="0.25">
      <c r="A3673"/>
    </row>
    <row r="3674" spans="1:1" x14ac:dyDescent="0.25">
      <c r="A3674"/>
    </row>
    <row r="3675" spans="1:1" x14ac:dyDescent="0.25">
      <c r="A3675"/>
    </row>
    <row r="3676" spans="1:1" x14ac:dyDescent="0.25">
      <c r="A3676"/>
    </row>
    <row r="3677" spans="1:1" x14ac:dyDescent="0.25">
      <c r="A3677"/>
    </row>
    <row r="3678" spans="1:1" x14ac:dyDescent="0.25">
      <c r="A3678"/>
    </row>
    <row r="3679" spans="1:1" x14ac:dyDescent="0.25">
      <c r="A3679"/>
    </row>
    <row r="3680" spans="1:1" x14ac:dyDescent="0.25">
      <c r="A3680"/>
    </row>
    <row r="3681" spans="1:1" x14ac:dyDescent="0.25">
      <c r="A3681"/>
    </row>
    <row r="3682" spans="1:1" x14ac:dyDescent="0.25">
      <c r="A3682"/>
    </row>
    <row r="3683" spans="1:1" x14ac:dyDescent="0.25">
      <c r="A3683"/>
    </row>
    <row r="3684" spans="1:1" x14ac:dyDescent="0.25">
      <c r="A3684"/>
    </row>
    <row r="3685" spans="1:1" x14ac:dyDescent="0.25">
      <c r="A3685"/>
    </row>
    <row r="3686" spans="1:1" x14ac:dyDescent="0.25">
      <c r="A3686"/>
    </row>
    <row r="3687" spans="1:1" x14ac:dyDescent="0.25">
      <c r="A3687"/>
    </row>
    <row r="3688" spans="1:1" x14ac:dyDescent="0.25">
      <c r="A3688"/>
    </row>
    <row r="3689" spans="1:1" x14ac:dyDescent="0.25">
      <c r="A3689"/>
    </row>
    <row r="3690" spans="1:1" x14ac:dyDescent="0.25">
      <c r="A3690"/>
    </row>
    <row r="3691" spans="1:1" x14ac:dyDescent="0.25">
      <c r="A3691"/>
    </row>
    <row r="3692" spans="1:1" x14ac:dyDescent="0.25">
      <c r="A3692"/>
    </row>
    <row r="3693" spans="1:1" x14ac:dyDescent="0.25">
      <c r="A3693"/>
    </row>
    <row r="3694" spans="1:1" x14ac:dyDescent="0.25">
      <c r="A3694"/>
    </row>
    <row r="3695" spans="1:1" x14ac:dyDescent="0.25">
      <c r="A3695"/>
    </row>
    <row r="3696" spans="1:1" x14ac:dyDescent="0.25">
      <c r="A3696"/>
    </row>
    <row r="3697" spans="1:1" x14ac:dyDescent="0.25">
      <c r="A3697"/>
    </row>
    <row r="3698" spans="1:1" x14ac:dyDescent="0.25">
      <c r="A3698"/>
    </row>
    <row r="3699" spans="1:1" x14ac:dyDescent="0.25">
      <c r="A3699"/>
    </row>
    <row r="3700" spans="1:1" x14ac:dyDescent="0.25">
      <c r="A3700"/>
    </row>
    <row r="3701" spans="1:1" x14ac:dyDescent="0.25">
      <c r="A3701"/>
    </row>
    <row r="3702" spans="1:1" x14ac:dyDescent="0.25">
      <c r="A3702"/>
    </row>
    <row r="3703" spans="1:1" x14ac:dyDescent="0.25">
      <c r="A3703"/>
    </row>
    <row r="3704" spans="1:1" x14ac:dyDescent="0.25">
      <c r="A3704"/>
    </row>
    <row r="3705" spans="1:1" x14ac:dyDescent="0.25">
      <c r="A3705"/>
    </row>
    <row r="3706" spans="1:1" x14ac:dyDescent="0.25">
      <c r="A3706"/>
    </row>
    <row r="3707" spans="1:1" x14ac:dyDescent="0.25">
      <c r="A3707"/>
    </row>
    <row r="3708" spans="1:1" x14ac:dyDescent="0.25">
      <c r="A3708"/>
    </row>
    <row r="3709" spans="1:1" x14ac:dyDescent="0.25">
      <c r="A3709"/>
    </row>
    <row r="3710" spans="1:1" x14ac:dyDescent="0.25">
      <c r="A3710"/>
    </row>
    <row r="3711" spans="1:1" x14ac:dyDescent="0.25">
      <c r="A3711"/>
    </row>
    <row r="3712" spans="1:1" x14ac:dyDescent="0.25">
      <c r="A3712"/>
    </row>
    <row r="3713" spans="1:1" x14ac:dyDescent="0.25">
      <c r="A3713"/>
    </row>
    <row r="3714" spans="1:1" x14ac:dyDescent="0.25">
      <c r="A3714"/>
    </row>
    <row r="3715" spans="1:1" x14ac:dyDescent="0.25">
      <c r="A3715"/>
    </row>
    <row r="3716" spans="1:1" x14ac:dyDescent="0.25">
      <c r="A3716"/>
    </row>
    <row r="3717" spans="1:1" x14ac:dyDescent="0.25">
      <c r="A3717"/>
    </row>
    <row r="3718" spans="1:1" x14ac:dyDescent="0.25">
      <c r="A3718"/>
    </row>
    <row r="3719" spans="1:1" x14ac:dyDescent="0.25">
      <c r="A3719"/>
    </row>
    <row r="3720" spans="1:1" x14ac:dyDescent="0.25">
      <c r="A3720"/>
    </row>
    <row r="3721" spans="1:1" x14ac:dyDescent="0.25">
      <c r="A3721"/>
    </row>
    <row r="3722" spans="1:1" x14ac:dyDescent="0.25">
      <c r="A3722"/>
    </row>
    <row r="3723" spans="1:1" x14ac:dyDescent="0.25">
      <c r="A3723"/>
    </row>
    <row r="3724" spans="1:1" x14ac:dyDescent="0.25">
      <c r="A3724"/>
    </row>
    <row r="3725" spans="1:1" x14ac:dyDescent="0.25">
      <c r="A3725"/>
    </row>
    <row r="3726" spans="1:1" x14ac:dyDescent="0.25">
      <c r="A3726"/>
    </row>
    <row r="3727" spans="1:1" x14ac:dyDescent="0.25">
      <c r="A3727"/>
    </row>
    <row r="3728" spans="1:1" x14ac:dyDescent="0.25">
      <c r="A3728"/>
    </row>
    <row r="3729" spans="1:1" x14ac:dyDescent="0.25">
      <c r="A3729"/>
    </row>
    <row r="3730" spans="1:1" x14ac:dyDescent="0.25">
      <c r="A3730"/>
    </row>
    <row r="3731" spans="1:1" x14ac:dyDescent="0.25">
      <c r="A3731"/>
    </row>
    <row r="3732" spans="1:1" x14ac:dyDescent="0.25">
      <c r="A3732"/>
    </row>
    <row r="3733" spans="1:1" x14ac:dyDescent="0.25">
      <c r="A3733"/>
    </row>
    <row r="3734" spans="1:1" x14ac:dyDescent="0.25">
      <c r="A3734"/>
    </row>
    <row r="3735" spans="1:1" x14ac:dyDescent="0.25">
      <c r="A3735"/>
    </row>
    <row r="3736" spans="1:1" x14ac:dyDescent="0.25">
      <c r="A3736"/>
    </row>
    <row r="3737" spans="1:1" x14ac:dyDescent="0.25">
      <c r="A3737"/>
    </row>
    <row r="3738" spans="1:1" x14ac:dyDescent="0.25">
      <c r="A3738"/>
    </row>
    <row r="3739" spans="1:1" x14ac:dyDescent="0.25">
      <c r="A3739"/>
    </row>
    <row r="3740" spans="1:1" x14ac:dyDescent="0.25">
      <c r="A3740"/>
    </row>
    <row r="3741" spans="1:1" x14ac:dyDescent="0.25">
      <c r="A3741"/>
    </row>
    <row r="3742" spans="1:1" x14ac:dyDescent="0.25">
      <c r="A3742"/>
    </row>
    <row r="3743" spans="1:1" x14ac:dyDescent="0.25">
      <c r="A3743"/>
    </row>
    <row r="3744" spans="1:1" x14ac:dyDescent="0.25">
      <c r="A3744"/>
    </row>
    <row r="3745" spans="1:1" x14ac:dyDescent="0.25">
      <c r="A3745"/>
    </row>
    <row r="3746" spans="1:1" x14ac:dyDescent="0.25">
      <c r="A3746"/>
    </row>
    <row r="3747" spans="1:1" x14ac:dyDescent="0.25">
      <c r="A3747"/>
    </row>
    <row r="3748" spans="1:1" x14ac:dyDescent="0.25">
      <c r="A3748"/>
    </row>
    <row r="3749" spans="1:1" x14ac:dyDescent="0.25">
      <c r="A3749"/>
    </row>
    <row r="3750" spans="1:1" x14ac:dyDescent="0.25">
      <c r="A3750"/>
    </row>
    <row r="3751" spans="1:1" x14ac:dyDescent="0.25">
      <c r="A3751"/>
    </row>
    <row r="3752" spans="1:1" x14ac:dyDescent="0.25">
      <c r="A3752"/>
    </row>
    <row r="3753" spans="1:1" x14ac:dyDescent="0.25">
      <c r="A3753"/>
    </row>
    <row r="3754" spans="1:1" x14ac:dyDescent="0.25">
      <c r="A3754"/>
    </row>
    <row r="3755" spans="1:1" x14ac:dyDescent="0.25">
      <c r="A3755"/>
    </row>
    <row r="3756" spans="1:1" x14ac:dyDescent="0.25">
      <c r="A3756"/>
    </row>
    <row r="3757" spans="1:1" x14ac:dyDescent="0.25">
      <c r="A3757"/>
    </row>
    <row r="3758" spans="1:1" x14ac:dyDescent="0.25">
      <c r="A3758"/>
    </row>
    <row r="3759" spans="1:1" x14ac:dyDescent="0.25">
      <c r="A3759"/>
    </row>
    <row r="3760" spans="1:1" x14ac:dyDescent="0.25">
      <c r="A3760"/>
    </row>
    <row r="3761" spans="1:1" x14ac:dyDescent="0.25">
      <c r="A3761"/>
    </row>
    <row r="3762" spans="1:1" x14ac:dyDescent="0.25">
      <c r="A3762"/>
    </row>
    <row r="3763" spans="1:1" x14ac:dyDescent="0.25">
      <c r="A3763"/>
    </row>
    <row r="3764" spans="1:1" x14ac:dyDescent="0.25">
      <c r="A3764"/>
    </row>
    <row r="3765" spans="1:1" x14ac:dyDescent="0.25">
      <c r="A3765"/>
    </row>
    <row r="3766" spans="1:1" x14ac:dyDescent="0.25">
      <c r="A3766"/>
    </row>
    <row r="3767" spans="1:1" x14ac:dyDescent="0.25">
      <c r="A3767"/>
    </row>
    <row r="3768" spans="1:1" x14ac:dyDescent="0.25">
      <c r="A3768"/>
    </row>
    <row r="3769" spans="1:1" x14ac:dyDescent="0.25">
      <c r="A3769"/>
    </row>
    <row r="3770" spans="1:1" x14ac:dyDescent="0.25">
      <c r="A3770"/>
    </row>
    <row r="3771" spans="1:1" x14ac:dyDescent="0.25">
      <c r="A3771"/>
    </row>
    <row r="3772" spans="1:1" x14ac:dyDescent="0.25">
      <c r="A3772"/>
    </row>
    <row r="3773" spans="1:1" x14ac:dyDescent="0.25">
      <c r="A3773"/>
    </row>
    <row r="3774" spans="1:1" x14ac:dyDescent="0.25">
      <c r="A3774"/>
    </row>
    <row r="3775" spans="1:1" x14ac:dyDescent="0.25">
      <c r="A3775"/>
    </row>
    <row r="3776" spans="1:1" x14ac:dyDescent="0.25">
      <c r="A3776"/>
    </row>
    <row r="3777" spans="1:1" x14ac:dyDescent="0.25">
      <c r="A3777"/>
    </row>
    <row r="3778" spans="1:1" x14ac:dyDescent="0.25">
      <c r="A3778"/>
    </row>
    <row r="3779" spans="1:1" x14ac:dyDescent="0.25">
      <c r="A3779"/>
    </row>
    <row r="3780" spans="1:1" x14ac:dyDescent="0.25">
      <c r="A3780"/>
    </row>
    <row r="3781" spans="1:1" x14ac:dyDescent="0.25">
      <c r="A3781"/>
    </row>
    <row r="3782" spans="1:1" x14ac:dyDescent="0.25">
      <c r="A3782"/>
    </row>
    <row r="3783" spans="1:1" x14ac:dyDescent="0.25">
      <c r="A3783"/>
    </row>
    <row r="3784" spans="1:1" x14ac:dyDescent="0.25">
      <c r="A3784"/>
    </row>
    <row r="3785" spans="1:1" x14ac:dyDescent="0.25">
      <c r="A3785"/>
    </row>
    <row r="3786" spans="1:1" x14ac:dyDescent="0.25">
      <c r="A3786"/>
    </row>
    <row r="3787" spans="1:1" x14ac:dyDescent="0.25">
      <c r="A3787"/>
    </row>
    <row r="3788" spans="1:1" x14ac:dyDescent="0.25">
      <c r="A3788"/>
    </row>
    <row r="3789" spans="1:1" x14ac:dyDescent="0.25">
      <c r="A3789"/>
    </row>
    <row r="3790" spans="1:1" x14ac:dyDescent="0.25">
      <c r="A3790"/>
    </row>
    <row r="3791" spans="1:1" x14ac:dyDescent="0.25">
      <c r="A3791"/>
    </row>
    <row r="3792" spans="1:1" x14ac:dyDescent="0.25">
      <c r="A3792"/>
    </row>
    <row r="3793" spans="1:1" x14ac:dyDescent="0.25">
      <c r="A3793"/>
    </row>
    <row r="3794" spans="1:1" x14ac:dyDescent="0.25">
      <c r="A3794"/>
    </row>
    <row r="3795" spans="1:1" x14ac:dyDescent="0.25">
      <c r="A3795"/>
    </row>
    <row r="3796" spans="1:1" x14ac:dyDescent="0.25">
      <c r="A3796"/>
    </row>
    <row r="3797" spans="1:1" x14ac:dyDescent="0.25">
      <c r="A3797"/>
    </row>
    <row r="3798" spans="1:1" x14ac:dyDescent="0.25">
      <c r="A3798"/>
    </row>
    <row r="3799" spans="1:1" x14ac:dyDescent="0.25">
      <c r="A3799"/>
    </row>
    <row r="3800" spans="1:1" x14ac:dyDescent="0.25">
      <c r="A3800"/>
    </row>
    <row r="3801" spans="1:1" x14ac:dyDescent="0.25">
      <c r="A3801"/>
    </row>
    <row r="3802" spans="1:1" x14ac:dyDescent="0.25">
      <c r="A3802"/>
    </row>
    <row r="3803" spans="1:1" x14ac:dyDescent="0.25">
      <c r="A3803"/>
    </row>
    <row r="3804" spans="1:1" x14ac:dyDescent="0.25">
      <c r="A3804"/>
    </row>
    <row r="3805" spans="1:1" x14ac:dyDescent="0.25">
      <c r="A3805"/>
    </row>
    <row r="3806" spans="1:1" x14ac:dyDescent="0.25">
      <c r="A3806"/>
    </row>
    <row r="3807" spans="1:1" x14ac:dyDescent="0.25">
      <c r="A3807"/>
    </row>
    <row r="3808" spans="1:1" x14ac:dyDescent="0.25">
      <c r="A3808"/>
    </row>
    <row r="3809" spans="1:1" x14ac:dyDescent="0.25">
      <c r="A3809"/>
    </row>
    <row r="3810" spans="1:1" x14ac:dyDescent="0.25">
      <c r="A3810"/>
    </row>
    <row r="3811" spans="1:1" x14ac:dyDescent="0.25">
      <c r="A3811"/>
    </row>
    <row r="3812" spans="1:1" x14ac:dyDescent="0.25">
      <c r="A3812"/>
    </row>
    <row r="3813" spans="1:1" x14ac:dyDescent="0.25">
      <c r="A3813"/>
    </row>
    <row r="3814" spans="1:1" x14ac:dyDescent="0.25">
      <c r="A3814"/>
    </row>
    <row r="3815" spans="1:1" x14ac:dyDescent="0.25">
      <c r="A3815"/>
    </row>
    <row r="3816" spans="1:1" x14ac:dyDescent="0.25">
      <c r="A3816"/>
    </row>
    <row r="3817" spans="1:1" x14ac:dyDescent="0.25">
      <c r="A3817"/>
    </row>
    <row r="3818" spans="1:1" x14ac:dyDescent="0.25">
      <c r="A3818"/>
    </row>
    <row r="3819" spans="1:1" x14ac:dyDescent="0.25">
      <c r="A3819"/>
    </row>
    <row r="3820" spans="1:1" x14ac:dyDescent="0.25">
      <c r="A3820"/>
    </row>
    <row r="3821" spans="1:1" x14ac:dyDescent="0.25">
      <c r="A3821"/>
    </row>
    <row r="3822" spans="1:1" x14ac:dyDescent="0.25">
      <c r="A3822"/>
    </row>
    <row r="3823" spans="1:1" x14ac:dyDescent="0.25">
      <c r="A3823"/>
    </row>
    <row r="3824" spans="1:1" x14ac:dyDescent="0.25">
      <c r="A3824"/>
    </row>
    <row r="3825" spans="1:1" x14ac:dyDescent="0.25">
      <c r="A3825"/>
    </row>
    <row r="3826" spans="1:1" x14ac:dyDescent="0.25">
      <c r="A3826"/>
    </row>
    <row r="3827" spans="1:1" x14ac:dyDescent="0.25">
      <c r="A3827"/>
    </row>
    <row r="3828" spans="1:1" x14ac:dyDescent="0.25">
      <c r="A3828"/>
    </row>
    <row r="3829" spans="1:1" x14ac:dyDescent="0.25">
      <c r="A3829"/>
    </row>
    <row r="3830" spans="1:1" x14ac:dyDescent="0.25">
      <c r="A3830"/>
    </row>
    <row r="3831" spans="1:1" x14ac:dyDescent="0.25">
      <c r="A3831"/>
    </row>
    <row r="3832" spans="1:1" x14ac:dyDescent="0.25">
      <c r="A3832"/>
    </row>
    <row r="3833" spans="1:1" x14ac:dyDescent="0.25">
      <c r="A3833"/>
    </row>
    <row r="3834" spans="1:1" x14ac:dyDescent="0.25">
      <c r="A3834"/>
    </row>
    <row r="3835" spans="1:1" x14ac:dyDescent="0.25">
      <c r="A3835"/>
    </row>
    <row r="3836" spans="1:1" x14ac:dyDescent="0.25">
      <c r="A3836"/>
    </row>
    <row r="3837" spans="1:1" x14ac:dyDescent="0.25">
      <c r="A3837"/>
    </row>
    <row r="3838" spans="1:1" x14ac:dyDescent="0.25">
      <c r="A3838"/>
    </row>
    <row r="3839" spans="1:1" x14ac:dyDescent="0.25">
      <c r="A3839"/>
    </row>
    <row r="3840" spans="1:1" x14ac:dyDescent="0.25">
      <c r="A3840"/>
    </row>
    <row r="3841" spans="1:1" x14ac:dyDescent="0.25">
      <c r="A3841"/>
    </row>
    <row r="3842" spans="1:1" x14ac:dyDescent="0.25">
      <c r="A3842"/>
    </row>
    <row r="3843" spans="1:1" x14ac:dyDescent="0.25">
      <c r="A3843"/>
    </row>
    <row r="3844" spans="1:1" x14ac:dyDescent="0.25">
      <c r="A3844"/>
    </row>
    <row r="3845" spans="1:1" x14ac:dyDescent="0.25">
      <c r="A3845"/>
    </row>
    <row r="3846" spans="1:1" x14ac:dyDescent="0.25">
      <c r="A3846"/>
    </row>
    <row r="3847" spans="1:1" x14ac:dyDescent="0.25">
      <c r="A3847"/>
    </row>
    <row r="3848" spans="1:1" x14ac:dyDescent="0.25">
      <c r="A3848"/>
    </row>
    <row r="3849" spans="1:1" x14ac:dyDescent="0.25">
      <c r="A3849"/>
    </row>
    <row r="3850" spans="1:1" x14ac:dyDescent="0.25">
      <c r="A3850"/>
    </row>
    <row r="3851" spans="1:1" x14ac:dyDescent="0.25">
      <c r="A3851"/>
    </row>
    <row r="3852" spans="1:1" x14ac:dyDescent="0.25">
      <c r="A3852"/>
    </row>
    <row r="3853" spans="1:1" x14ac:dyDescent="0.25">
      <c r="A3853"/>
    </row>
    <row r="3854" spans="1:1" x14ac:dyDescent="0.25">
      <c r="A3854"/>
    </row>
    <row r="3855" spans="1:1" x14ac:dyDescent="0.25">
      <c r="A3855"/>
    </row>
    <row r="3856" spans="1:1" x14ac:dyDescent="0.25">
      <c r="A3856"/>
    </row>
    <row r="3857" spans="1:1" x14ac:dyDescent="0.25">
      <c r="A3857"/>
    </row>
    <row r="3858" spans="1:1" x14ac:dyDescent="0.25">
      <c r="A3858"/>
    </row>
    <row r="3859" spans="1:1" x14ac:dyDescent="0.25">
      <c r="A3859"/>
    </row>
    <row r="3860" spans="1:1" x14ac:dyDescent="0.25">
      <c r="A3860"/>
    </row>
    <row r="3861" spans="1:1" x14ac:dyDescent="0.25">
      <c r="A3861"/>
    </row>
    <row r="3862" spans="1:1" x14ac:dyDescent="0.25">
      <c r="A3862"/>
    </row>
    <row r="3863" spans="1:1" x14ac:dyDescent="0.25">
      <c r="A3863"/>
    </row>
    <row r="3864" spans="1:1" x14ac:dyDescent="0.25">
      <c r="A3864"/>
    </row>
    <row r="3865" spans="1:1" x14ac:dyDescent="0.25">
      <c r="A3865"/>
    </row>
    <row r="3866" spans="1:1" x14ac:dyDescent="0.25">
      <c r="A3866"/>
    </row>
    <row r="3867" spans="1:1" x14ac:dyDescent="0.25">
      <c r="A3867"/>
    </row>
    <row r="3868" spans="1:1" x14ac:dyDescent="0.25">
      <c r="A3868"/>
    </row>
    <row r="3869" spans="1:1" x14ac:dyDescent="0.25">
      <c r="A3869"/>
    </row>
    <row r="3870" spans="1:1" x14ac:dyDescent="0.25">
      <c r="A3870"/>
    </row>
    <row r="3871" spans="1:1" x14ac:dyDescent="0.25">
      <c r="A3871"/>
    </row>
    <row r="3872" spans="1:1" x14ac:dyDescent="0.25">
      <c r="A3872"/>
    </row>
    <row r="3873" spans="1:1" x14ac:dyDescent="0.25">
      <c r="A3873"/>
    </row>
    <row r="3874" spans="1:1" x14ac:dyDescent="0.25">
      <c r="A3874"/>
    </row>
    <row r="3875" spans="1:1" x14ac:dyDescent="0.25">
      <c r="A3875"/>
    </row>
    <row r="3876" spans="1:1" x14ac:dyDescent="0.25">
      <c r="A3876"/>
    </row>
    <row r="3877" spans="1:1" x14ac:dyDescent="0.25">
      <c r="A3877"/>
    </row>
    <row r="3878" spans="1:1" x14ac:dyDescent="0.25">
      <c r="A3878"/>
    </row>
    <row r="3879" spans="1:1" x14ac:dyDescent="0.25">
      <c r="A3879"/>
    </row>
    <row r="3880" spans="1:1" x14ac:dyDescent="0.25">
      <c r="A3880"/>
    </row>
    <row r="3881" spans="1:1" x14ac:dyDescent="0.25">
      <c r="A3881"/>
    </row>
    <row r="3882" spans="1:1" x14ac:dyDescent="0.25">
      <c r="A3882"/>
    </row>
    <row r="3883" spans="1:1" x14ac:dyDescent="0.25">
      <c r="A3883"/>
    </row>
    <row r="3884" spans="1:1" x14ac:dyDescent="0.25">
      <c r="A3884"/>
    </row>
    <row r="3885" spans="1:1" x14ac:dyDescent="0.25">
      <c r="A3885"/>
    </row>
    <row r="3886" spans="1:1" x14ac:dyDescent="0.25">
      <c r="A3886"/>
    </row>
    <row r="3887" spans="1:1" x14ac:dyDescent="0.25">
      <c r="A3887"/>
    </row>
    <row r="3888" spans="1:1" x14ac:dyDescent="0.25">
      <c r="A3888"/>
    </row>
    <row r="3889" spans="1:1" x14ac:dyDescent="0.25">
      <c r="A3889"/>
    </row>
    <row r="3890" spans="1:1" x14ac:dyDescent="0.25">
      <c r="A3890"/>
    </row>
    <row r="3891" spans="1:1" x14ac:dyDescent="0.25">
      <c r="A3891"/>
    </row>
    <row r="3892" spans="1:1" x14ac:dyDescent="0.25">
      <c r="A3892"/>
    </row>
    <row r="3893" spans="1:1" x14ac:dyDescent="0.25">
      <c r="A3893"/>
    </row>
    <row r="3894" spans="1:1" x14ac:dyDescent="0.25">
      <c r="A3894"/>
    </row>
    <row r="3895" spans="1:1" x14ac:dyDescent="0.25">
      <c r="A3895"/>
    </row>
    <row r="3896" spans="1:1" x14ac:dyDescent="0.25">
      <c r="A3896"/>
    </row>
    <row r="3897" spans="1:1" x14ac:dyDescent="0.25">
      <c r="A3897"/>
    </row>
    <row r="3898" spans="1:1" x14ac:dyDescent="0.25">
      <c r="A3898"/>
    </row>
    <row r="3899" spans="1:1" x14ac:dyDescent="0.25">
      <c r="A3899"/>
    </row>
    <row r="3900" spans="1:1" x14ac:dyDescent="0.25">
      <c r="A3900"/>
    </row>
    <row r="3901" spans="1:1" x14ac:dyDescent="0.25">
      <c r="A3901"/>
    </row>
    <row r="3902" spans="1:1" x14ac:dyDescent="0.25">
      <c r="A3902"/>
    </row>
    <row r="3903" spans="1:1" x14ac:dyDescent="0.25">
      <c r="A3903"/>
    </row>
    <row r="3904" spans="1:1" x14ac:dyDescent="0.25">
      <c r="A3904"/>
    </row>
    <row r="3905" spans="1:1" x14ac:dyDescent="0.25">
      <c r="A3905"/>
    </row>
    <row r="3906" spans="1:1" x14ac:dyDescent="0.25">
      <c r="A3906"/>
    </row>
    <row r="3907" spans="1:1" x14ac:dyDescent="0.25">
      <c r="A3907"/>
    </row>
    <row r="3908" spans="1:1" x14ac:dyDescent="0.25">
      <c r="A3908"/>
    </row>
    <row r="3909" spans="1:1" x14ac:dyDescent="0.25">
      <c r="A3909"/>
    </row>
    <row r="3910" spans="1:1" x14ac:dyDescent="0.25">
      <c r="A3910"/>
    </row>
    <row r="3911" spans="1:1" x14ac:dyDescent="0.25">
      <c r="A3911"/>
    </row>
    <row r="3912" spans="1:1" x14ac:dyDescent="0.25">
      <c r="A3912"/>
    </row>
    <row r="3913" spans="1:1" x14ac:dyDescent="0.25">
      <c r="A3913"/>
    </row>
    <row r="3914" spans="1:1" x14ac:dyDescent="0.25">
      <c r="A3914"/>
    </row>
    <row r="3915" spans="1:1" x14ac:dyDescent="0.25">
      <c r="A3915"/>
    </row>
    <row r="3916" spans="1:1" x14ac:dyDescent="0.25">
      <c r="A3916"/>
    </row>
    <row r="3917" spans="1:1" x14ac:dyDescent="0.25">
      <c r="A3917"/>
    </row>
    <row r="3918" spans="1:1" x14ac:dyDescent="0.25">
      <c r="A3918"/>
    </row>
    <row r="3919" spans="1:1" x14ac:dyDescent="0.25">
      <c r="A3919"/>
    </row>
    <row r="3920" spans="1:1" x14ac:dyDescent="0.25">
      <c r="A3920"/>
    </row>
    <row r="3921" spans="1:1" x14ac:dyDescent="0.25">
      <c r="A3921"/>
    </row>
    <row r="3922" spans="1:1" x14ac:dyDescent="0.25">
      <c r="A3922"/>
    </row>
    <row r="3923" spans="1:1" x14ac:dyDescent="0.25">
      <c r="A3923"/>
    </row>
    <row r="3924" spans="1:1" x14ac:dyDescent="0.25">
      <c r="A3924"/>
    </row>
    <row r="3925" spans="1:1" x14ac:dyDescent="0.25">
      <c r="A3925"/>
    </row>
    <row r="3926" spans="1:1" x14ac:dyDescent="0.25">
      <c r="A3926"/>
    </row>
    <row r="3927" spans="1:1" x14ac:dyDescent="0.25">
      <c r="A3927"/>
    </row>
    <row r="3928" spans="1:1" x14ac:dyDescent="0.25">
      <c r="A3928"/>
    </row>
    <row r="3929" spans="1:1" x14ac:dyDescent="0.25">
      <c r="A3929"/>
    </row>
    <row r="3930" spans="1:1" x14ac:dyDescent="0.25">
      <c r="A3930"/>
    </row>
    <row r="3931" spans="1:1" x14ac:dyDescent="0.25">
      <c r="A3931"/>
    </row>
    <row r="3932" spans="1:1" x14ac:dyDescent="0.25">
      <c r="A3932"/>
    </row>
    <row r="3933" spans="1:1" x14ac:dyDescent="0.25">
      <c r="A3933"/>
    </row>
    <row r="3934" spans="1:1" x14ac:dyDescent="0.25">
      <c r="A3934"/>
    </row>
    <row r="3935" spans="1:1" x14ac:dyDescent="0.25">
      <c r="A3935"/>
    </row>
    <row r="3936" spans="1:1" x14ac:dyDescent="0.25">
      <c r="A3936"/>
    </row>
    <row r="3937" spans="1:1" x14ac:dyDescent="0.25">
      <c r="A3937"/>
    </row>
    <row r="3938" spans="1:1" x14ac:dyDescent="0.25">
      <c r="A3938"/>
    </row>
    <row r="3939" spans="1:1" x14ac:dyDescent="0.25">
      <c r="A3939"/>
    </row>
    <row r="3940" spans="1:1" x14ac:dyDescent="0.25">
      <c r="A3940"/>
    </row>
    <row r="3941" spans="1:1" x14ac:dyDescent="0.25">
      <c r="A3941"/>
    </row>
    <row r="3942" spans="1:1" x14ac:dyDescent="0.25">
      <c r="A3942"/>
    </row>
    <row r="3943" spans="1:1" x14ac:dyDescent="0.25">
      <c r="A3943"/>
    </row>
    <row r="3944" spans="1:1" x14ac:dyDescent="0.25">
      <c r="A3944"/>
    </row>
    <row r="3945" spans="1:1" x14ac:dyDescent="0.25">
      <c r="A3945"/>
    </row>
    <row r="3946" spans="1:1" x14ac:dyDescent="0.25">
      <c r="A3946"/>
    </row>
    <row r="3947" spans="1:1" x14ac:dyDescent="0.25">
      <c r="A3947"/>
    </row>
    <row r="3948" spans="1:1" x14ac:dyDescent="0.25">
      <c r="A3948"/>
    </row>
    <row r="3949" spans="1:1" x14ac:dyDescent="0.25">
      <c r="A3949"/>
    </row>
    <row r="3950" spans="1:1" x14ac:dyDescent="0.25">
      <c r="A3950"/>
    </row>
    <row r="3951" spans="1:1" x14ac:dyDescent="0.25">
      <c r="A3951"/>
    </row>
    <row r="3952" spans="1:1" x14ac:dyDescent="0.25">
      <c r="A3952"/>
    </row>
    <row r="3953" spans="1:1" x14ac:dyDescent="0.25">
      <c r="A3953"/>
    </row>
    <row r="3954" spans="1:1" x14ac:dyDescent="0.25">
      <c r="A3954"/>
    </row>
    <row r="3955" spans="1:1" x14ac:dyDescent="0.25">
      <c r="A3955"/>
    </row>
    <row r="3956" spans="1:1" x14ac:dyDescent="0.25">
      <c r="A3956"/>
    </row>
    <row r="3957" spans="1:1" x14ac:dyDescent="0.25">
      <c r="A3957"/>
    </row>
    <row r="3958" spans="1:1" x14ac:dyDescent="0.25">
      <c r="A3958"/>
    </row>
    <row r="3959" spans="1:1" x14ac:dyDescent="0.25">
      <c r="A3959"/>
    </row>
    <row r="3960" spans="1:1" x14ac:dyDescent="0.25">
      <c r="A3960"/>
    </row>
    <row r="3961" spans="1:1" x14ac:dyDescent="0.25">
      <c r="A3961"/>
    </row>
    <row r="3962" spans="1:1" x14ac:dyDescent="0.25">
      <c r="A3962"/>
    </row>
    <row r="3963" spans="1:1" x14ac:dyDescent="0.25">
      <c r="A3963"/>
    </row>
    <row r="3964" spans="1:1" x14ac:dyDescent="0.25">
      <c r="A3964"/>
    </row>
    <row r="3965" spans="1:1" x14ac:dyDescent="0.25">
      <c r="A3965"/>
    </row>
    <row r="3966" spans="1:1" x14ac:dyDescent="0.25">
      <c r="A3966"/>
    </row>
    <row r="3967" spans="1:1" x14ac:dyDescent="0.25">
      <c r="A3967"/>
    </row>
    <row r="3968" spans="1:1" x14ac:dyDescent="0.25">
      <c r="A3968"/>
    </row>
    <row r="3969" spans="1:1" x14ac:dyDescent="0.25">
      <c r="A3969"/>
    </row>
    <row r="3970" spans="1:1" x14ac:dyDescent="0.25">
      <c r="A3970"/>
    </row>
    <row r="3971" spans="1:1" x14ac:dyDescent="0.25">
      <c r="A3971"/>
    </row>
    <row r="3972" spans="1:1" x14ac:dyDescent="0.25">
      <c r="A3972"/>
    </row>
    <row r="3973" spans="1:1" x14ac:dyDescent="0.25">
      <c r="A3973"/>
    </row>
    <row r="3974" spans="1:1" x14ac:dyDescent="0.25">
      <c r="A3974"/>
    </row>
    <row r="3975" spans="1:1" x14ac:dyDescent="0.25">
      <c r="A3975"/>
    </row>
    <row r="3976" spans="1:1" x14ac:dyDescent="0.25">
      <c r="A3976"/>
    </row>
    <row r="3977" spans="1:1" x14ac:dyDescent="0.25">
      <c r="A3977"/>
    </row>
    <row r="3978" spans="1:1" x14ac:dyDescent="0.25">
      <c r="A3978"/>
    </row>
    <row r="3979" spans="1:1" x14ac:dyDescent="0.25">
      <c r="A3979"/>
    </row>
    <row r="3980" spans="1:1" x14ac:dyDescent="0.25">
      <c r="A3980"/>
    </row>
    <row r="3981" spans="1:1" x14ac:dyDescent="0.25">
      <c r="A3981"/>
    </row>
    <row r="3982" spans="1:1" x14ac:dyDescent="0.25">
      <c r="A3982"/>
    </row>
    <row r="3983" spans="1:1" x14ac:dyDescent="0.25">
      <c r="A3983"/>
    </row>
    <row r="3984" spans="1:1" x14ac:dyDescent="0.25">
      <c r="A3984"/>
    </row>
    <row r="3985" spans="1:1" x14ac:dyDescent="0.25">
      <c r="A3985"/>
    </row>
    <row r="3986" spans="1:1" x14ac:dyDescent="0.25">
      <c r="A3986"/>
    </row>
    <row r="3987" spans="1:1" x14ac:dyDescent="0.25">
      <c r="A3987"/>
    </row>
    <row r="3988" spans="1:1" x14ac:dyDescent="0.25">
      <c r="A3988"/>
    </row>
    <row r="3989" spans="1:1" x14ac:dyDescent="0.25">
      <c r="A3989"/>
    </row>
    <row r="3990" spans="1:1" x14ac:dyDescent="0.25">
      <c r="A3990"/>
    </row>
    <row r="3991" spans="1:1" x14ac:dyDescent="0.25">
      <c r="A3991"/>
    </row>
    <row r="3992" spans="1:1" x14ac:dyDescent="0.25">
      <c r="A3992"/>
    </row>
    <row r="3993" spans="1:1" x14ac:dyDescent="0.25">
      <c r="A3993"/>
    </row>
    <row r="3994" spans="1:1" x14ac:dyDescent="0.25">
      <c r="A3994"/>
    </row>
    <row r="3995" spans="1:1" x14ac:dyDescent="0.25">
      <c r="A3995"/>
    </row>
    <row r="3996" spans="1:1" x14ac:dyDescent="0.25">
      <c r="A3996"/>
    </row>
    <row r="3997" spans="1:1" x14ac:dyDescent="0.25">
      <c r="A3997"/>
    </row>
    <row r="3998" spans="1:1" x14ac:dyDescent="0.25">
      <c r="A3998"/>
    </row>
    <row r="3999" spans="1:1" x14ac:dyDescent="0.25">
      <c r="A3999"/>
    </row>
    <row r="4000" spans="1:1" x14ac:dyDescent="0.25">
      <c r="A4000"/>
    </row>
    <row r="4001" spans="1:1" x14ac:dyDescent="0.25">
      <c r="A4001"/>
    </row>
    <row r="4002" spans="1:1" x14ac:dyDescent="0.25">
      <c r="A4002"/>
    </row>
    <row r="4003" spans="1:1" x14ac:dyDescent="0.25">
      <c r="A4003"/>
    </row>
    <row r="4004" spans="1:1" x14ac:dyDescent="0.25">
      <c r="A4004"/>
    </row>
    <row r="4005" spans="1:1" x14ac:dyDescent="0.25">
      <c r="A4005"/>
    </row>
    <row r="4006" spans="1:1" x14ac:dyDescent="0.25">
      <c r="A4006"/>
    </row>
    <row r="4007" spans="1:1" x14ac:dyDescent="0.25">
      <c r="A4007"/>
    </row>
    <row r="4008" spans="1:1" x14ac:dyDescent="0.25">
      <c r="A4008"/>
    </row>
    <row r="4009" spans="1:1" x14ac:dyDescent="0.25">
      <c r="A4009"/>
    </row>
    <row r="4010" spans="1:1" x14ac:dyDescent="0.25">
      <c r="A4010"/>
    </row>
    <row r="4011" spans="1:1" x14ac:dyDescent="0.25">
      <c r="A4011"/>
    </row>
    <row r="4012" spans="1:1" x14ac:dyDescent="0.25">
      <c r="A4012"/>
    </row>
    <row r="4013" spans="1:1" x14ac:dyDescent="0.25">
      <c r="A4013"/>
    </row>
    <row r="4014" spans="1:1" x14ac:dyDescent="0.25">
      <c r="A4014"/>
    </row>
    <row r="4015" spans="1:1" x14ac:dyDescent="0.25">
      <c r="A4015"/>
    </row>
    <row r="4016" spans="1:1" x14ac:dyDescent="0.25">
      <c r="A4016"/>
    </row>
    <row r="4017" spans="1:1" x14ac:dyDescent="0.25">
      <c r="A4017"/>
    </row>
    <row r="4018" spans="1:1" x14ac:dyDescent="0.25">
      <c r="A4018"/>
    </row>
    <row r="4019" spans="1:1" x14ac:dyDescent="0.25">
      <c r="A4019"/>
    </row>
    <row r="4020" spans="1:1" x14ac:dyDescent="0.25">
      <c r="A4020"/>
    </row>
    <row r="4021" spans="1:1" x14ac:dyDescent="0.25">
      <c r="A4021"/>
    </row>
    <row r="4022" spans="1:1" x14ac:dyDescent="0.25">
      <c r="A4022"/>
    </row>
    <row r="4023" spans="1:1" x14ac:dyDescent="0.25">
      <c r="A4023"/>
    </row>
    <row r="4024" spans="1:1" x14ac:dyDescent="0.25">
      <c r="A4024"/>
    </row>
    <row r="4025" spans="1:1" x14ac:dyDescent="0.25">
      <c r="A4025"/>
    </row>
    <row r="4026" spans="1:1" x14ac:dyDescent="0.25">
      <c r="A4026"/>
    </row>
    <row r="4027" spans="1:1" x14ac:dyDescent="0.25">
      <c r="A4027"/>
    </row>
    <row r="4028" spans="1:1" x14ac:dyDescent="0.25">
      <c r="A4028"/>
    </row>
    <row r="4029" spans="1:1" x14ac:dyDescent="0.25">
      <c r="A4029"/>
    </row>
    <row r="4030" spans="1:1" x14ac:dyDescent="0.25">
      <c r="A4030"/>
    </row>
    <row r="4031" spans="1:1" x14ac:dyDescent="0.25">
      <c r="A4031"/>
    </row>
    <row r="4032" spans="1:1" x14ac:dyDescent="0.25">
      <c r="A4032"/>
    </row>
    <row r="4033" spans="1:1" x14ac:dyDescent="0.25">
      <c r="A4033"/>
    </row>
    <row r="4034" spans="1:1" x14ac:dyDescent="0.25">
      <c r="A4034"/>
    </row>
    <row r="4035" spans="1:1" x14ac:dyDescent="0.25">
      <c r="A4035"/>
    </row>
    <row r="4036" spans="1:1" x14ac:dyDescent="0.25">
      <c r="A4036"/>
    </row>
    <row r="4037" spans="1:1" x14ac:dyDescent="0.25">
      <c r="A4037"/>
    </row>
    <row r="4038" spans="1:1" x14ac:dyDescent="0.25">
      <c r="A4038"/>
    </row>
    <row r="4039" spans="1:1" x14ac:dyDescent="0.25">
      <c r="A4039"/>
    </row>
    <row r="4040" spans="1:1" x14ac:dyDescent="0.25">
      <c r="A4040"/>
    </row>
    <row r="4041" spans="1:1" x14ac:dyDescent="0.25">
      <c r="A4041"/>
    </row>
    <row r="4042" spans="1:1" x14ac:dyDescent="0.25">
      <c r="A4042"/>
    </row>
    <row r="4043" spans="1:1" x14ac:dyDescent="0.25">
      <c r="A4043"/>
    </row>
    <row r="4044" spans="1:1" x14ac:dyDescent="0.25">
      <c r="A4044"/>
    </row>
    <row r="4045" spans="1:1" x14ac:dyDescent="0.25">
      <c r="A4045"/>
    </row>
    <row r="4046" spans="1:1" x14ac:dyDescent="0.25">
      <c r="A4046"/>
    </row>
    <row r="4047" spans="1:1" x14ac:dyDescent="0.25">
      <c r="A4047"/>
    </row>
    <row r="4048" spans="1:1" x14ac:dyDescent="0.25">
      <c r="A4048"/>
    </row>
    <row r="4049" spans="1:1" x14ac:dyDescent="0.25">
      <c r="A4049"/>
    </row>
    <row r="4050" spans="1:1" x14ac:dyDescent="0.25">
      <c r="A4050"/>
    </row>
    <row r="4051" spans="1:1" x14ac:dyDescent="0.25">
      <c r="A4051"/>
    </row>
    <row r="4052" spans="1:1" x14ac:dyDescent="0.25">
      <c r="A4052"/>
    </row>
    <row r="4053" spans="1:1" x14ac:dyDescent="0.25">
      <c r="A4053"/>
    </row>
    <row r="4054" spans="1:1" x14ac:dyDescent="0.25">
      <c r="A4054"/>
    </row>
    <row r="4055" spans="1:1" x14ac:dyDescent="0.25">
      <c r="A4055"/>
    </row>
    <row r="4056" spans="1:1" x14ac:dyDescent="0.25">
      <c r="A4056"/>
    </row>
    <row r="4057" spans="1:1" x14ac:dyDescent="0.25">
      <c r="A4057"/>
    </row>
    <row r="4058" spans="1:1" x14ac:dyDescent="0.25">
      <c r="A4058"/>
    </row>
    <row r="4059" spans="1:1" x14ac:dyDescent="0.25">
      <c r="A4059"/>
    </row>
    <row r="4060" spans="1:1" x14ac:dyDescent="0.25">
      <c r="A4060"/>
    </row>
    <row r="4061" spans="1:1" x14ac:dyDescent="0.25">
      <c r="A4061"/>
    </row>
    <row r="4062" spans="1:1" x14ac:dyDescent="0.25">
      <c r="A4062"/>
    </row>
    <row r="4063" spans="1:1" x14ac:dyDescent="0.25">
      <c r="A4063"/>
    </row>
    <row r="4064" spans="1:1" x14ac:dyDescent="0.25">
      <c r="A4064"/>
    </row>
    <row r="4065" spans="1:1" x14ac:dyDescent="0.25">
      <c r="A4065"/>
    </row>
    <row r="4066" spans="1:1" x14ac:dyDescent="0.25">
      <c r="A4066"/>
    </row>
    <row r="4067" spans="1:1" x14ac:dyDescent="0.25">
      <c r="A4067"/>
    </row>
    <row r="4068" spans="1:1" x14ac:dyDescent="0.25">
      <c r="A4068"/>
    </row>
    <row r="4069" spans="1:1" x14ac:dyDescent="0.25">
      <c r="A4069"/>
    </row>
    <row r="4070" spans="1:1" x14ac:dyDescent="0.25">
      <c r="A4070"/>
    </row>
    <row r="4071" spans="1:1" x14ac:dyDescent="0.25">
      <c r="A4071"/>
    </row>
    <row r="4072" spans="1:1" x14ac:dyDescent="0.25">
      <c r="A4072"/>
    </row>
    <row r="4073" spans="1:1" x14ac:dyDescent="0.25">
      <c r="A4073"/>
    </row>
    <row r="4074" spans="1:1" x14ac:dyDescent="0.25">
      <c r="A4074"/>
    </row>
    <row r="4075" spans="1:1" x14ac:dyDescent="0.25">
      <c r="A4075"/>
    </row>
    <row r="4076" spans="1:1" x14ac:dyDescent="0.25">
      <c r="A4076"/>
    </row>
    <row r="4077" spans="1:1" x14ac:dyDescent="0.25">
      <c r="A4077"/>
    </row>
    <row r="4078" spans="1:1" x14ac:dyDescent="0.25">
      <c r="A4078"/>
    </row>
    <row r="4079" spans="1:1" x14ac:dyDescent="0.25">
      <c r="A4079"/>
    </row>
    <row r="4080" spans="1:1" x14ac:dyDescent="0.25">
      <c r="A4080"/>
    </row>
    <row r="4081" spans="1:1" x14ac:dyDescent="0.25">
      <c r="A4081"/>
    </row>
    <row r="4082" spans="1:1" x14ac:dyDescent="0.25">
      <c r="A4082"/>
    </row>
    <row r="4083" spans="1:1" x14ac:dyDescent="0.25">
      <c r="A4083"/>
    </row>
    <row r="4084" spans="1:1" x14ac:dyDescent="0.25">
      <c r="A4084"/>
    </row>
    <row r="4085" spans="1:1" x14ac:dyDescent="0.25">
      <c r="A4085"/>
    </row>
    <row r="4086" spans="1:1" x14ac:dyDescent="0.25">
      <c r="A4086"/>
    </row>
    <row r="4087" spans="1:1" x14ac:dyDescent="0.25">
      <c r="A4087"/>
    </row>
    <row r="4088" spans="1:1" x14ac:dyDescent="0.25">
      <c r="A4088"/>
    </row>
    <row r="4089" spans="1:1" x14ac:dyDescent="0.25">
      <c r="A4089"/>
    </row>
    <row r="4090" spans="1:1" x14ac:dyDescent="0.25">
      <c r="A4090"/>
    </row>
    <row r="4091" spans="1:1" x14ac:dyDescent="0.25">
      <c r="A4091"/>
    </row>
    <row r="4092" spans="1:1" x14ac:dyDescent="0.25">
      <c r="A4092"/>
    </row>
    <row r="4093" spans="1:1" x14ac:dyDescent="0.25">
      <c r="A4093"/>
    </row>
    <row r="4094" spans="1:1" x14ac:dyDescent="0.25">
      <c r="A4094"/>
    </row>
    <row r="4095" spans="1:1" x14ac:dyDescent="0.25">
      <c r="A4095"/>
    </row>
    <row r="4096" spans="1:1" x14ac:dyDescent="0.25">
      <c r="A4096"/>
    </row>
    <row r="4097" spans="1:1" x14ac:dyDescent="0.25">
      <c r="A4097"/>
    </row>
    <row r="4098" spans="1:1" x14ac:dyDescent="0.25">
      <c r="A4098"/>
    </row>
    <row r="4099" spans="1:1" x14ac:dyDescent="0.25">
      <c r="A4099"/>
    </row>
    <row r="4100" spans="1:1" x14ac:dyDescent="0.25">
      <c r="A4100"/>
    </row>
    <row r="4101" spans="1:1" x14ac:dyDescent="0.25">
      <c r="A4101"/>
    </row>
    <row r="4102" spans="1:1" x14ac:dyDescent="0.25">
      <c r="A4102"/>
    </row>
    <row r="4103" spans="1:1" x14ac:dyDescent="0.25">
      <c r="A4103"/>
    </row>
    <row r="4104" spans="1:1" x14ac:dyDescent="0.25">
      <c r="A4104"/>
    </row>
    <row r="4105" spans="1:1" x14ac:dyDescent="0.25">
      <c r="A4105"/>
    </row>
    <row r="4106" spans="1:1" x14ac:dyDescent="0.25">
      <c r="A4106"/>
    </row>
    <row r="4107" spans="1:1" x14ac:dyDescent="0.25">
      <c r="A4107"/>
    </row>
    <row r="4108" spans="1:1" x14ac:dyDescent="0.25">
      <c r="A4108"/>
    </row>
    <row r="4109" spans="1:1" x14ac:dyDescent="0.25">
      <c r="A4109"/>
    </row>
    <row r="4110" spans="1:1" x14ac:dyDescent="0.25">
      <c r="A4110"/>
    </row>
    <row r="4111" spans="1:1" x14ac:dyDescent="0.25">
      <c r="A4111"/>
    </row>
    <row r="4112" spans="1:1" x14ac:dyDescent="0.25">
      <c r="A4112"/>
    </row>
    <row r="4113" spans="1:1" x14ac:dyDescent="0.25">
      <c r="A4113"/>
    </row>
    <row r="4114" spans="1:1" x14ac:dyDescent="0.25">
      <c r="A4114"/>
    </row>
    <row r="4115" spans="1:1" x14ac:dyDescent="0.25">
      <c r="A4115"/>
    </row>
    <row r="4116" spans="1:1" x14ac:dyDescent="0.25">
      <c r="A4116"/>
    </row>
    <row r="4117" spans="1:1" x14ac:dyDescent="0.25">
      <c r="A4117"/>
    </row>
    <row r="4118" spans="1:1" x14ac:dyDescent="0.25">
      <c r="A4118"/>
    </row>
    <row r="4119" spans="1:1" x14ac:dyDescent="0.25">
      <c r="A4119"/>
    </row>
    <row r="4120" spans="1:1" x14ac:dyDescent="0.25">
      <c r="A4120"/>
    </row>
    <row r="4121" spans="1:1" x14ac:dyDescent="0.25">
      <c r="A4121"/>
    </row>
    <row r="4122" spans="1:1" x14ac:dyDescent="0.25">
      <c r="A4122"/>
    </row>
    <row r="4123" spans="1:1" x14ac:dyDescent="0.25">
      <c r="A4123"/>
    </row>
    <row r="4124" spans="1:1" x14ac:dyDescent="0.25">
      <c r="A4124"/>
    </row>
    <row r="4125" spans="1:1" x14ac:dyDescent="0.25">
      <c r="A4125"/>
    </row>
    <row r="4126" spans="1:1" x14ac:dyDescent="0.25">
      <c r="A4126"/>
    </row>
    <row r="4127" spans="1:1" x14ac:dyDescent="0.25">
      <c r="A4127"/>
    </row>
    <row r="4128" spans="1:1" x14ac:dyDescent="0.25">
      <c r="A4128"/>
    </row>
    <row r="4129" spans="1:1" x14ac:dyDescent="0.25">
      <c r="A4129"/>
    </row>
    <row r="4130" spans="1:1" x14ac:dyDescent="0.25">
      <c r="A4130"/>
    </row>
    <row r="4131" spans="1:1" x14ac:dyDescent="0.25">
      <c r="A4131"/>
    </row>
    <row r="4132" spans="1:1" x14ac:dyDescent="0.25">
      <c r="A4132"/>
    </row>
    <row r="4133" spans="1:1" x14ac:dyDescent="0.25">
      <c r="A4133"/>
    </row>
    <row r="4134" spans="1:1" x14ac:dyDescent="0.25">
      <c r="A4134"/>
    </row>
    <row r="4135" spans="1:1" x14ac:dyDescent="0.25">
      <c r="A4135"/>
    </row>
    <row r="4136" spans="1:1" x14ac:dyDescent="0.25">
      <c r="A4136"/>
    </row>
    <row r="4137" spans="1:1" x14ac:dyDescent="0.25">
      <c r="A4137"/>
    </row>
    <row r="4138" spans="1:1" x14ac:dyDescent="0.25">
      <c r="A4138"/>
    </row>
    <row r="4139" spans="1:1" x14ac:dyDescent="0.25">
      <c r="A4139"/>
    </row>
    <row r="4140" spans="1:1" x14ac:dyDescent="0.25">
      <c r="A4140"/>
    </row>
    <row r="4141" spans="1:1" x14ac:dyDescent="0.25">
      <c r="A4141"/>
    </row>
    <row r="4142" spans="1:1" x14ac:dyDescent="0.25">
      <c r="A4142"/>
    </row>
    <row r="4143" spans="1:1" x14ac:dyDescent="0.25">
      <c r="A4143"/>
    </row>
    <row r="4144" spans="1:1" x14ac:dyDescent="0.25">
      <c r="A4144"/>
    </row>
    <row r="4145" spans="1:1" x14ac:dyDescent="0.25">
      <c r="A4145"/>
    </row>
    <row r="4146" spans="1:1" x14ac:dyDescent="0.25">
      <c r="A4146"/>
    </row>
    <row r="4147" spans="1:1" x14ac:dyDescent="0.25">
      <c r="A4147"/>
    </row>
    <row r="4148" spans="1:1" x14ac:dyDescent="0.25">
      <c r="A4148"/>
    </row>
    <row r="4149" spans="1:1" x14ac:dyDescent="0.25">
      <c r="A4149"/>
    </row>
    <row r="4150" spans="1:1" x14ac:dyDescent="0.25">
      <c r="A4150"/>
    </row>
    <row r="4151" spans="1:1" x14ac:dyDescent="0.25">
      <c r="A4151"/>
    </row>
    <row r="4152" spans="1:1" x14ac:dyDescent="0.25">
      <c r="A4152"/>
    </row>
    <row r="4153" spans="1:1" x14ac:dyDescent="0.25">
      <c r="A4153"/>
    </row>
    <row r="4154" spans="1:1" x14ac:dyDescent="0.25">
      <c r="A4154"/>
    </row>
    <row r="4155" spans="1:1" x14ac:dyDescent="0.25">
      <c r="A4155"/>
    </row>
    <row r="4156" spans="1:1" x14ac:dyDescent="0.25">
      <c r="A4156"/>
    </row>
    <row r="4157" spans="1:1" x14ac:dyDescent="0.25">
      <c r="A4157"/>
    </row>
    <row r="4158" spans="1:1" x14ac:dyDescent="0.25">
      <c r="A4158"/>
    </row>
    <row r="4159" spans="1:1" x14ac:dyDescent="0.25">
      <c r="A4159"/>
    </row>
    <row r="4160" spans="1:1" x14ac:dyDescent="0.25">
      <c r="A4160"/>
    </row>
    <row r="4161" spans="1:1" x14ac:dyDescent="0.25">
      <c r="A4161"/>
    </row>
    <row r="4162" spans="1:1" x14ac:dyDescent="0.25">
      <c r="A4162"/>
    </row>
    <row r="4163" spans="1:1" x14ac:dyDescent="0.25">
      <c r="A4163"/>
    </row>
    <row r="4164" spans="1:1" x14ac:dyDescent="0.25">
      <c r="A4164"/>
    </row>
    <row r="4165" spans="1:1" x14ac:dyDescent="0.25">
      <c r="A4165"/>
    </row>
    <row r="4166" spans="1:1" x14ac:dyDescent="0.25">
      <c r="A4166"/>
    </row>
    <row r="4167" spans="1:1" x14ac:dyDescent="0.25">
      <c r="A4167"/>
    </row>
    <row r="4168" spans="1:1" x14ac:dyDescent="0.25">
      <c r="A4168"/>
    </row>
    <row r="4169" spans="1:1" x14ac:dyDescent="0.25">
      <c r="A4169"/>
    </row>
    <row r="4170" spans="1:1" x14ac:dyDescent="0.25">
      <c r="A4170"/>
    </row>
    <row r="4171" spans="1:1" x14ac:dyDescent="0.25">
      <c r="A4171"/>
    </row>
    <row r="4172" spans="1:1" x14ac:dyDescent="0.25">
      <c r="A4172"/>
    </row>
    <row r="4173" spans="1:1" x14ac:dyDescent="0.25">
      <c r="A4173"/>
    </row>
    <row r="4174" spans="1:1" x14ac:dyDescent="0.25">
      <c r="A4174"/>
    </row>
    <row r="4175" spans="1:1" x14ac:dyDescent="0.25">
      <c r="A4175"/>
    </row>
    <row r="4176" spans="1:1" x14ac:dyDescent="0.25">
      <c r="A4176"/>
    </row>
    <row r="4177" spans="1:1" x14ac:dyDescent="0.25">
      <c r="A4177"/>
    </row>
    <row r="4178" spans="1:1" x14ac:dyDescent="0.25">
      <c r="A4178"/>
    </row>
    <row r="4179" spans="1:1" x14ac:dyDescent="0.25">
      <c r="A4179"/>
    </row>
    <row r="4180" spans="1:1" x14ac:dyDescent="0.25">
      <c r="A4180"/>
    </row>
    <row r="4181" spans="1:1" x14ac:dyDescent="0.25">
      <c r="A4181"/>
    </row>
    <row r="4182" spans="1:1" x14ac:dyDescent="0.25">
      <c r="A4182"/>
    </row>
    <row r="4183" spans="1:1" x14ac:dyDescent="0.25">
      <c r="A4183"/>
    </row>
    <row r="4184" spans="1:1" x14ac:dyDescent="0.25">
      <c r="A4184"/>
    </row>
    <row r="4185" spans="1:1" x14ac:dyDescent="0.25">
      <c r="A4185"/>
    </row>
    <row r="4186" spans="1:1" x14ac:dyDescent="0.25">
      <c r="A4186"/>
    </row>
    <row r="4187" spans="1:1" x14ac:dyDescent="0.25">
      <c r="A4187"/>
    </row>
    <row r="4188" spans="1:1" x14ac:dyDescent="0.25">
      <c r="A4188"/>
    </row>
    <row r="4189" spans="1:1" x14ac:dyDescent="0.25">
      <c r="A4189"/>
    </row>
    <row r="4190" spans="1:1" x14ac:dyDescent="0.25">
      <c r="A4190"/>
    </row>
    <row r="4191" spans="1:1" x14ac:dyDescent="0.25">
      <c r="A4191"/>
    </row>
    <row r="4192" spans="1:1" x14ac:dyDescent="0.25">
      <c r="A4192"/>
    </row>
    <row r="4193" spans="1:1" x14ac:dyDescent="0.25">
      <c r="A4193"/>
    </row>
    <row r="4194" spans="1:1" x14ac:dyDescent="0.25">
      <c r="A4194"/>
    </row>
    <row r="4195" spans="1:1" x14ac:dyDescent="0.25">
      <c r="A4195"/>
    </row>
    <row r="4196" spans="1:1" x14ac:dyDescent="0.25">
      <c r="A4196"/>
    </row>
    <row r="4197" spans="1:1" x14ac:dyDescent="0.25">
      <c r="A4197"/>
    </row>
    <row r="4198" spans="1:1" x14ac:dyDescent="0.25">
      <c r="A4198"/>
    </row>
    <row r="4199" spans="1:1" x14ac:dyDescent="0.25">
      <c r="A4199"/>
    </row>
    <row r="4200" spans="1:1" x14ac:dyDescent="0.25">
      <c r="A4200"/>
    </row>
    <row r="4201" spans="1:1" x14ac:dyDescent="0.25">
      <c r="A4201"/>
    </row>
    <row r="4202" spans="1:1" x14ac:dyDescent="0.25">
      <c r="A4202"/>
    </row>
    <row r="4203" spans="1:1" x14ac:dyDescent="0.25">
      <c r="A4203"/>
    </row>
    <row r="4204" spans="1:1" x14ac:dyDescent="0.25">
      <c r="A4204"/>
    </row>
    <row r="4205" spans="1:1" x14ac:dyDescent="0.25">
      <c r="A4205"/>
    </row>
    <row r="4206" spans="1:1" x14ac:dyDescent="0.25">
      <c r="A4206"/>
    </row>
    <row r="4207" spans="1:1" x14ac:dyDescent="0.25">
      <c r="A4207"/>
    </row>
    <row r="4208" spans="1:1" x14ac:dyDescent="0.25">
      <c r="A4208"/>
    </row>
    <row r="4209" spans="1:1" x14ac:dyDescent="0.25">
      <c r="A4209"/>
    </row>
    <row r="4210" spans="1:1" x14ac:dyDescent="0.25">
      <c r="A4210"/>
    </row>
    <row r="4211" spans="1:1" x14ac:dyDescent="0.25">
      <c r="A4211"/>
    </row>
    <row r="4212" spans="1:1" x14ac:dyDescent="0.25">
      <c r="A4212"/>
    </row>
    <row r="4213" spans="1:1" x14ac:dyDescent="0.25">
      <c r="A4213"/>
    </row>
    <row r="4214" spans="1:1" x14ac:dyDescent="0.25">
      <c r="A4214"/>
    </row>
    <row r="4215" spans="1:1" x14ac:dyDescent="0.25">
      <c r="A4215"/>
    </row>
    <row r="4216" spans="1:1" x14ac:dyDescent="0.25">
      <c r="A4216"/>
    </row>
    <row r="4217" spans="1:1" x14ac:dyDescent="0.25">
      <c r="A4217"/>
    </row>
    <row r="4218" spans="1:1" x14ac:dyDescent="0.25">
      <c r="A4218"/>
    </row>
    <row r="4219" spans="1:1" x14ac:dyDescent="0.25">
      <c r="A4219"/>
    </row>
    <row r="4220" spans="1:1" x14ac:dyDescent="0.25">
      <c r="A4220"/>
    </row>
    <row r="4221" spans="1:1" x14ac:dyDescent="0.25">
      <c r="A4221"/>
    </row>
    <row r="4222" spans="1:1" x14ac:dyDescent="0.25">
      <c r="A4222"/>
    </row>
    <row r="4223" spans="1:1" x14ac:dyDescent="0.25">
      <c r="A4223"/>
    </row>
    <row r="4224" spans="1:1" x14ac:dyDescent="0.25">
      <c r="A4224"/>
    </row>
    <row r="4225" spans="1:1" x14ac:dyDescent="0.25">
      <c r="A4225"/>
    </row>
    <row r="4226" spans="1:1" x14ac:dyDescent="0.25">
      <c r="A4226"/>
    </row>
    <row r="4227" spans="1:1" x14ac:dyDescent="0.25">
      <c r="A4227"/>
    </row>
    <row r="4228" spans="1:1" x14ac:dyDescent="0.25">
      <c r="A4228"/>
    </row>
    <row r="4229" spans="1:1" x14ac:dyDescent="0.25">
      <c r="A4229"/>
    </row>
    <row r="4230" spans="1:1" x14ac:dyDescent="0.25">
      <c r="A4230"/>
    </row>
    <row r="4231" spans="1:1" x14ac:dyDescent="0.25">
      <c r="A4231"/>
    </row>
    <row r="4232" spans="1:1" x14ac:dyDescent="0.25">
      <c r="A4232"/>
    </row>
    <row r="4233" spans="1:1" x14ac:dyDescent="0.25">
      <c r="A4233"/>
    </row>
    <row r="4234" spans="1:1" x14ac:dyDescent="0.25">
      <c r="A4234"/>
    </row>
    <row r="4235" spans="1:1" x14ac:dyDescent="0.25">
      <c r="A4235"/>
    </row>
    <row r="4236" spans="1:1" x14ac:dyDescent="0.25">
      <c r="A4236"/>
    </row>
    <row r="4237" spans="1:1" x14ac:dyDescent="0.25">
      <c r="A4237"/>
    </row>
    <row r="4238" spans="1:1" x14ac:dyDescent="0.25">
      <c r="A4238"/>
    </row>
    <row r="4239" spans="1:1" x14ac:dyDescent="0.25">
      <c r="A4239"/>
    </row>
    <row r="4240" spans="1:1" x14ac:dyDescent="0.25">
      <c r="A4240"/>
    </row>
    <row r="4241" spans="1:1" x14ac:dyDescent="0.25">
      <c r="A4241"/>
    </row>
    <row r="4242" spans="1:1" x14ac:dyDescent="0.25">
      <c r="A4242"/>
    </row>
    <row r="4243" spans="1:1" x14ac:dyDescent="0.25">
      <c r="A4243"/>
    </row>
    <row r="4244" spans="1:1" x14ac:dyDescent="0.25">
      <c r="A4244"/>
    </row>
    <row r="4245" spans="1:1" x14ac:dyDescent="0.25">
      <c r="A4245"/>
    </row>
    <row r="4246" spans="1:1" x14ac:dyDescent="0.25">
      <c r="A4246"/>
    </row>
    <row r="4247" spans="1:1" x14ac:dyDescent="0.25">
      <c r="A4247"/>
    </row>
    <row r="4248" spans="1:1" x14ac:dyDescent="0.25">
      <c r="A4248"/>
    </row>
    <row r="4249" spans="1:1" x14ac:dyDescent="0.25">
      <c r="A4249"/>
    </row>
    <row r="4250" spans="1:1" x14ac:dyDescent="0.25">
      <c r="A4250"/>
    </row>
    <row r="4251" spans="1:1" x14ac:dyDescent="0.25">
      <c r="A4251"/>
    </row>
    <row r="4252" spans="1:1" x14ac:dyDescent="0.25">
      <c r="A4252"/>
    </row>
    <row r="4253" spans="1:1" x14ac:dyDescent="0.25">
      <c r="A4253"/>
    </row>
    <row r="4254" spans="1:1" x14ac:dyDescent="0.25">
      <c r="A4254"/>
    </row>
    <row r="4255" spans="1:1" x14ac:dyDescent="0.25">
      <c r="A4255"/>
    </row>
    <row r="4256" spans="1:1" x14ac:dyDescent="0.25">
      <c r="A4256"/>
    </row>
    <row r="4257" spans="1:1" x14ac:dyDescent="0.25">
      <c r="A4257"/>
    </row>
    <row r="4258" spans="1:1" x14ac:dyDescent="0.25">
      <c r="A4258"/>
    </row>
    <row r="4259" spans="1:1" x14ac:dyDescent="0.25">
      <c r="A4259"/>
    </row>
    <row r="4260" spans="1:1" x14ac:dyDescent="0.25">
      <c r="A4260"/>
    </row>
    <row r="4261" spans="1:1" x14ac:dyDescent="0.25">
      <c r="A4261"/>
    </row>
    <row r="4262" spans="1:1" x14ac:dyDescent="0.25">
      <c r="A4262"/>
    </row>
    <row r="4263" spans="1:1" x14ac:dyDescent="0.25">
      <c r="A4263"/>
    </row>
    <row r="4264" spans="1:1" x14ac:dyDescent="0.25">
      <c r="A4264"/>
    </row>
    <row r="4265" spans="1:1" x14ac:dyDescent="0.25">
      <c r="A4265"/>
    </row>
    <row r="4266" spans="1:1" x14ac:dyDescent="0.25">
      <c r="A4266"/>
    </row>
    <row r="4267" spans="1:1" x14ac:dyDescent="0.25">
      <c r="A4267"/>
    </row>
    <row r="4268" spans="1:1" x14ac:dyDescent="0.25">
      <c r="A4268"/>
    </row>
    <row r="4269" spans="1:1" x14ac:dyDescent="0.25">
      <c r="A4269"/>
    </row>
    <row r="4270" spans="1:1" x14ac:dyDescent="0.25">
      <c r="A4270"/>
    </row>
    <row r="4271" spans="1:1" x14ac:dyDescent="0.25">
      <c r="A4271"/>
    </row>
    <row r="4272" spans="1:1" x14ac:dyDescent="0.25">
      <c r="A4272"/>
    </row>
    <row r="4273" spans="1:1" x14ac:dyDescent="0.25">
      <c r="A4273"/>
    </row>
    <row r="4274" spans="1:1" x14ac:dyDescent="0.25">
      <c r="A4274"/>
    </row>
    <row r="4275" spans="1:1" x14ac:dyDescent="0.25">
      <c r="A4275"/>
    </row>
    <row r="4276" spans="1:1" x14ac:dyDescent="0.25">
      <c r="A4276"/>
    </row>
    <row r="4277" spans="1:1" x14ac:dyDescent="0.25">
      <c r="A4277"/>
    </row>
    <row r="4278" spans="1:1" x14ac:dyDescent="0.25">
      <c r="A4278"/>
    </row>
    <row r="4279" spans="1:1" x14ac:dyDescent="0.25">
      <c r="A4279"/>
    </row>
    <row r="4280" spans="1:1" x14ac:dyDescent="0.25">
      <c r="A4280"/>
    </row>
    <row r="4281" spans="1:1" x14ac:dyDescent="0.25">
      <c r="A4281"/>
    </row>
    <row r="4282" spans="1:1" x14ac:dyDescent="0.25">
      <c r="A4282"/>
    </row>
    <row r="4283" spans="1:1" x14ac:dyDescent="0.25">
      <c r="A4283"/>
    </row>
    <row r="4284" spans="1:1" x14ac:dyDescent="0.25">
      <c r="A4284"/>
    </row>
    <row r="4285" spans="1:1" x14ac:dyDescent="0.25">
      <c r="A4285"/>
    </row>
    <row r="4286" spans="1:1" x14ac:dyDescent="0.25">
      <c r="A4286"/>
    </row>
    <row r="4287" spans="1:1" x14ac:dyDescent="0.25">
      <c r="A4287"/>
    </row>
    <row r="4288" spans="1:1" x14ac:dyDescent="0.25">
      <c r="A4288"/>
    </row>
    <row r="4289" spans="1:1" x14ac:dyDescent="0.25">
      <c r="A4289"/>
    </row>
    <row r="4290" spans="1:1" x14ac:dyDescent="0.25">
      <c r="A4290"/>
    </row>
    <row r="4291" spans="1:1" x14ac:dyDescent="0.25">
      <c r="A4291"/>
    </row>
    <row r="4292" spans="1:1" x14ac:dyDescent="0.25">
      <c r="A4292"/>
    </row>
    <row r="4293" spans="1:1" x14ac:dyDescent="0.25">
      <c r="A4293"/>
    </row>
    <row r="4294" spans="1:1" x14ac:dyDescent="0.25">
      <c r="A4294"/>
    </row>
    <row r="4295" spans="1:1" x14ac:dyDescent="0.25">
      <c r="A4295"/>
    </row>
    <row r="4296" spans="1:1" x14ac:dyDescent="0.25">
      <c r="A4296"/>
    </row>
    <row r="4297" spans="1:1" x14ac:dyDescent="0.25">
      <c r="A4297"/>
    </row>
    <row r="4298" spans="1:1" x14ac:dyDescent="0.25">
      <c r="A4298"/>
    </row>
    <row r="4299" spans="1:1" x14ac:dyDescent="0.25">
      <c r="A4299"/>
    </row>
    <row r="4300" spans="1:1" x14ac:dyDescent="0.25">
      <c r="A4300"/>
    </row>
    <row r="4301" spans="1:1" x14ac:dyDescent="0.25">
      <c r="A4301"/>
    </row>
    <row r="4302" spans="1:1" x14ac:dyDescent="0.25">
      <c r="A4302"/>
    </row>
    <row r="4303" spans="1:1" x14ac:dyDescent="0.25">
      <c r="A4303"/>
    </row>
    <row r="4304" spans="1:1" x14ac:dyDescent="0.25">
      <c r="A4304"/>
    </row>
    <row r="4305" spans="1:1" x14ac:dyDescent="0.25">
      <c r="A4305"/>
    </row>
    <row r="4306" spans="1:1" x14ac:dyDescent="0.25">
      <c r="A4306"/>
    </row>
    <row r="4307" spans="1:1" x14ac:dyDescent="0.25">
      <c r="A4307"/>
    </row>
    <row r="4308" spans="1:1" x14ac:dyDescent="0.25">
      <c r="A4308"/>
    </row>
    <row r="4309" spans="1:1" x14ac:dyDescent="0.25">
      <c r="A4309"/>
    </row>
    <row r="4310" spans="1:1" x14ac:dyDescent="0.25">
      <c r="A4310"/>
    </row>
    <row r="4311" spans="1:1" x14ac:dyDescent="0.25">
      <c r="A4311"/>
    </row>
    <row r="4312" spans="1:1" x14ac:dyDescent="0.25">
      <c r="A4312"/>
    </row>
    <row r="4313" spans="1:1" x14ac:dyDescent="0.25">
      <c r="A4313"/>
    </row>
    <row r="4314" spans="1:1" x14ac:dyDescent="0.25">
      <c r="A4314"/>
    </row>
    <row r="4315" spans="1:1" x14ac:dyDescent="0.25">
      <c r="A4315"/>
    </row>
    <row r="4316" spans="1:1" x14ac:dyDescent="0.25">
      <c r="A4316"/>
    </row>
    <row r="4317" spans="1:1" x14ac:dyDescent="0.25">
      <c r="A4317"/>
    </row>
    <row r="4318" spans="1:1" x14ac:dyDescent="0.25">
      <c r="A4318"/>
    </row>
    <row r="4319" spans="1:1" x14ac:dyDescent="0.25">
      <c r="A4319"/>
    </row>
    <row r="4320" spans="1:1" x14ac:dyDescent="0.25">
      <c r="A4320"/>
    </row>
    <row r="4321" spans="1:1" x14ac:dyDescent="0.25">
      <c r="A4321"/>
    </row>
    <row r="4322" spans="1:1" x14ac:dyDescent="0.25">
      <c r="A4322"/>
    </row>
    <row r="4323" spans="1:1" x14ac:dyDescent="0.25">
      <c r="A4323"/>
    </row>
    <row r="4324" spans="1:1" x14ac:dyDescent="0.25">
      <c r="A4324"/>
    </row>
    <row r="4325" spans="1:1" x14ac:dyDescent="0.25">
      <c r="A4325"/>
    </row>
    <row r="4326" spans="1:1" x14ac:dyDescent="0.25">
      <c r="A4326"/>
    </row>
    <row r="4327" spans="1:1" x14ac:dyDescent="0.25">
      <c r="A4327"/>
    </row>
    <row r="4328" spans="1:1" x14ac:dyDescent="0.25">
      <c r="A4328"/>
    </row>
    <row r="4329" spans="1:1" x14ac:dyDescent="0.25">
      <c r="A4329"/>
    </row>
    <row r="4330" spans="1:1" x14ac:dyDescent="0.25">
      <c r="A4330"/>
    </row>
    <row r="4331" spans="1:1" x14ac:dyDescent="0.25">
      <c r="A4331"/>
    </row>
    <row r="4332" spans="1:1" x14ac:dyDescent="0.25">
      <c r="A4332"/>
    </row>
    <row r="4333" spans="1:1" x14ac:dyDescent="0.25">
      <c r="A4333"/>
    </row>
    <row r="4334" spans="1:1" x14ac:dyDescent="0.25">
      <c r="A4334"/>
    </row>
    <row r="4335" spans="1:1" x14ac:dyDescent="0.25">
      <c r="A4335"/>
    </row>
    <row r="4336" spans="1:1" x14ac:dyDescent="0.25">
      <c r="A4336"/>
    </row>
    <row r="4337" spans="1:1" x14ac:dyDescent="0.25">
      <c r="A4337"/>
    </row>
    <row r="4338" spans="1:1" x14ac:dyDescent="0.25">
      <c r="A4338"/>
    </row>
    <row r="4339" spans="1:1" x14ac:dyDescent="0.25">
      <c r="A4339"/>
    </row>
    <row r="4340" spans="1:1" x14ac:dyDescent="0.25">
      <c r="A4340"/>
    </row>
    <row r="4341" spans="1:1" x14ac:dyDescent="0.25">
      <c r="A4341"/>
    </row>
    <row r="4342" spans="1:1" x14ac:dyDescent="0.25">
      <c r="A4342"/>
    </row>
    <row r="4343" spans="1:1" x14ac:dyDescent="0.25">
      <c r="A4343"/>
    </row>
    <row r="4344" spans="1:1" x14ac:dyDescent="0.25">
      <c r="A4344"/>
    </row>
    <row r="4345" spans="1:1" x14ac:dyDescent="0.25">
      <c r="A4345"/>
    </row>
    <row r="4346" spans="1:1" x14ac:dyDescent="0.25">
      <c r="A4346"/>
    </row>
    <row r="4347" spans="1:1" x14ac:dyDescent="0.25">
      <c r="A4347"/>
    </row>
    <row r="4348" spans="1:1" x14ac:dyDescent="0.25">
      <c r="A4348"/>
    </row>
    <row r="4349" spans="1:1" x14ac:dyDescent="0.25">
      <c r="A4349"/>
    </row>
    <row r="4350" spans="1:1" x14ac:dyDescent="0.25">
      <c r="A4350"/>
    </row>
    <row r="4351" spans="1:1" x14ac:dyDescent="0.25">
      <c r="A4351"/>
    </row>
    <row r="4352" spans="1:1" x14ac:dyDescent="0.25">
      <c r="A4352"/>
    </row>
    <row r="4353" spans="1:1" x14ac:dyDescent="0.25">
      <c r="A4353"/>
    </row>
    <row r="4354" spans="1:1" x14ac:dyDescent="0.25">
      <c r="A4354"/>
    </row>
    <row r="4355" spans="1:1" x14ac:dyDescent="0.25">
      <c r="A4355"/>
    </row>
    <row r="4356" spans="1:1" x14ac:dyDescent="0.25">
      <c r="A4356"/>
    </row>
    <row r="4357" spans="1:1" x14ac:dyDescent="0.25">
      <c r="A4357"/>
    </row>
    <row r="4358" spans="1:1" x14ac:dyDescent="0.25">
      <c r="A4358"/>
    </row>
    <row r="4359" spans="1:1" x14ac:dyDescent="0.25">
      <c r="A4359"/>
    </row>
    <row r="4360" spans="1:1" x14ac:dyDescent="0.25">
      <c r="A4360"/>
    </row>
    <row r="4361" spans="1:1" x14ac:dyDescent="0.25">
      <c r="A4361"/>
    </row>
    <row r="4362" spans="1:1" x14ac:dyDescent="0.25">
      <c r="A4362"/>
    </row>
    <row r="4363" spans="1:1" x14ac:dyDescent="0.25">
      <c r="A4363"/>
    </row>
    <row r="4364" spans="1:1" x14ac:dyDescent="0.25">
      <c r="A4364"/>
    </row>
    <row r="4365" spans="1:1" x14ac:dyDescent="0.25">
      <c r="A4365"/>
    </row>
    <row r="4366" spans="1:1" x14ac:dyDescent="0.25">
      <c r="A4366"/>
    </row>
    <row r="4367" spans="1:1" x14ac:dyDescent="0.25">
      <c r="A4367"/>
    </row>
    <row r="4368" spans="1:1" x14ac:dyDescent="0.25">
      <c r="A4368"/>
    </row>
    <row r="4369" spans="1:1" x14ac:dyDescent="0.25">
      <c r="A4369"/>
    </row>
    <row r="4370" spans="1:1" x14ac:dyDescent="0.25">
      <c r="A4370"/>
    </row>
    <row r="4371" spans="1:1" x14ac:dyDescent="0.25">
      <c r="A4371"/>
    </row>
    <row r="4372" spans="1:1" x14ac:dyDescent="0.25">
      <c r="A4372"/>
    </row>
    <row r="4373" spans="1:1" x14ac:dyDescent="0.25">
      <c r="A4373"/>
    </row>
    <row r="4374" spans="1:1" x14ac:dyDescent="0.25">
      <c r="A4374"/>
    </row>
    <row r="4375" spans="1:1" x14ac:dyDescent="0.25">
      <c r="A4375"/>
    </row>
    <row r="4376" spans="1:1" x14ac:dyDescent="0.25">
      <c r="A4376"/>
    </row>
    <row r="4377" spans="1:1" x14ac:dyDescent="0.25">
      <c r="A4377"/>
    </row>
    <row r="4378" spans="1:1" x14ac:dyDescent="0.25">
      <c r="A4378"/>
    </row>
    <row r="4379" spans="1:1" x14ac:dyDescent="0.25">
      <c r="A4379"/>
    </row>
    <row r="4380" spans="1:1" x14ac:dyDescent="0.25">
      <c r="A4380"/>
    </row>
    <row r="4381" spans="1:1" x14ac:dyDescent="0.25">
      <c r="A4381"/>
    </row>
    <row r="4382" spans="1:1" x14ac:dyDescent="0.25">
      <c r="A4382"/>
    </row>
    <row r="4383" spans="1:1" x14ac:dyDescent="0.25">
      <c r="A4383"/>
    </row>
    <row r="4384" spans="1:1" x14ac:dyDescent="0.25">
      <c r="A4384"/>
    </row>
    <row r="4385" spans="1:1" x14ac:dyDescent="0.25">
      <c r="A4385"/>
    </row>
    <row r="4386" spans="1:1" x14ac:dyDescent="0.25">
      <c r="A4386"/>
    </row>
    <row r="4387" spans="1:1" x14ac:dyDescent="0.25">
      <c r="A4387"/>
    </row>
    <row r="4388" spans="1:1" x14ac:dyDescent="0.25">
      <c r="A4388"/>
    </row>
    <row r="4389" spans="1:1" x14ac:dyDescent="0.25">
      <c r="A4389"/>
    </row>
    <row r="4390" spans="1:1" x14ac:dyDescent="0.25">
      <c r="A4390"/>
    </row>
    <row r="4391" spans="1:1" x14ac:dyDescent="0.25">
      <c r="A4391"/>
    </row>
    <row r="4392" spans="1:1" x14ac:dyDescent="0.25">
      <c r="A4392"/>
    </row>
    <row r="4393" spans="1:1" x14ac:dyDescent="0.25">
      <c r="A4393"/>
    </row>
    <row r="4394" spans="1:1" x14ac:dyDescent="0.25">
      <c r="A4394"/>
    </row>
    <row r="4395" spans="1:1" x14ac:dyDescent="0.25">
      <c r="A4395"/>
    </row>
    <row r="4396" spans="1:1" x14ac:dyDescent="0.25">
      <c r="A4396"/>
    </row>
    <row r="4397" spans="1:1" x14ac:dyDescent="0.25">
      <c r="A4397"/>
    </row>
    <row r="4398" spans="1:1" x14ac:dyDescent="0.25">
      <c r="A4398"/>
    </row>
    <row r="4399" spans="1:1" x14ac:dyDescent="0.25">
      <c r="A4399"/>
    </row>
    <row r="4400" spans="1:1" x14ac:dyDescent="0.25">
      <c r="A4400"/>
    </row>
    <row r="4401" spans="1:1" x14ac:dyDescent="0.25">
      <c r="A4401"/>
    </row>
    <row r="4402" spans="1:1" x14ac:dyDescent="0.25">
      <c r="A4402"/>
    </row>
    <row r="4403" spans="1:1" x14ac:dyDescent="0.25">
      <c r="A4403"/>
    </row>
    <row r="4404" spans="1:1" x14ac:dyDescent="0.25">
      <c r="A4404"/>
    </row>
    <row r="4405" spans="1:1" x14ac:dyDescent="0.25">
      <c r="A4405"/>
    </row>
    <row r="4406" spans="1:1" x14ac:dyDescent="0.25">
      <c r="A4406"/>
    </row>
    <row r="4407" spans="1:1" x14ac:dyDescent="0.25">
      <c r="A4407"/>
    </row>
    <row r="4408" spans="1:1" x14ac:dyDescent="0.25">
      <c r="A4408"/>
    </row>
    <row r="4409" spans="1:1" x14ac:dyDescent="0.25">
      <c r="A4409"/>
    </row>
    <row r="4410" spans="1:1" x14ac:dyDescent="0.25">
      <c r="A4410"/>
    </row>
    <row r="4411" spans="1:1" x14ac:dyDescent="0.25">
      <c r="A4411"/>
    </row>
    <row r="4412" spans="1:1" x14ac:dyDescent="0.25">
      <c r="A4412"/>
    </row>
    <row r="4413" spans="1:1" x14ac:dyDescent="0.25">
      <c r="A4413"/>
    </row>
    <row r="4414" spans="1:1" x14ac:dyDescent="0.25">
      <c r="A4414"/>
    </row>
    <row r="4415" spans="1:1" x14ac:dyDescent="0.25">
      <c r="A4415"/>
    </row>
    <row r="4416" spans="1:1" x14ac:dyDescent="0.25">
      <c r="A4416"/>
    </row>
    <row r="4417" spans="1:1" x14ac:dyDescent="0.25">
      <c r="A4417"/>
    </row>
    <row r="4418" spans="1:1" x14ac:dyDescent="0.25">
      <c r="A4418"/>
    </row>
    <row r="4419" spans="1:1" x14ac:dyDescent="0.25">
      <c r="A4419"/>
    </row>
    <row r="4420" spans="1:1" x14ac:dyDescent="0.25">
      <c r="A4420"/>
    </row>
    <row r="4421" spans="1:1" x14ac:dyDescent="0.25">
      <c r="A4421"/>
    </row>
    <row r="4422" spans="1:1" x14ac:dyDescent="0.25">
      <c r="A4422"/>
    </row>
    <row r="4423" spans="1:1" x14ac:dyDescent="0.25">
      <c r="A4423"/>
    </row>
    <row r="4424" spans="1:1" x14ac:dyDescent="0.25">
      <c r="A4424"/>
    </row>
    <row r="4425" spans="1:1" x14ac:dyDescent="0.25">
      <c r="A4425"/>
    </row>
    <row r="4426" spans="1:1" x14ac:dyDescent="0.25">
      <c r="A4426"/>
    </row>
    <row r="4427" spans="1:1" x14ac:dyDescent="0.25">
      <c r="A4427"/>
    </row>
    <row r="4428" spans="1:1" x14ac:dyDescent="0.25">
      <c r="A4428"/>
    </row>
    <row r="4429" spans="1:1" x14ac:dyDescent="0.25">
      <c r="A4429"/>
    </row>
    <row r="4430" spans="1:1" x14ac:dyDescent="0.25">
      <c r="A4430"/>
    </row>
    <row r="4431" spans="1:1" x14ac:dyDescent="0.25">
      <c r="A4431"/>
    </row>
    <row r="4432" spans="1:1" x14ac:dyDescent="0.25">
      <c r="A4432"/>
    </row>
    <row r="4433" spans="1:1" x14ac:dyDescent="0.25">
      <c r="A4433"/>
    </row>
    <row r="4434" spans="1:1" x14ac:dyDescent="0.25">
      <c r="A4434"/>
    </row>
    <row r="4435" spans="1:1" x14ac:dyDescent="0.25">
      <c r="A4435"/>
    </row>
    <row r="4436" spans="1:1" x14ac:dyDescent="0.25">
      <c r="A4436"/>
    </row>
    <row r="4437" spans="1:1" x14ac:dyDescent="0.25">
      <c r="A4437"/>
    </row>
    <row r="4438" spans="1:1" x14ac:dyDescent="0.25">
      <c r="A4438"/>
    </row>
    <row r="4439" spans="1:1" x14ac:dyDescent="0.25">
      <c r="A4439"/>
    </row>
    <row r="4440" spans="1:1" x14ac:dyDescent="0.25">
      <c r="A4440"/>
    </row>
    <row r="4441" spans="1:1" x14ac:dyDescent="0.25">
      <c r="A4441"/>
    </row>
    <row r="4442" spans="1:1" x14ac:dyDescent="0.25">
      <c r="A4442"/>
    </row>
    <row r="4443" spans="1:1" x14ac:dyDescent="0.25">
      <c r="A4443"/>
    </row>
    <row r="4444" spans="1:1" x14ac:dyDescent="0.25">
      <c r="A4444"/>
    </row>
    <row r="4445" spans="1:1" x14ac:dyDescent="0.25">
      <c r="A4445"/>
    </row>
    <row r="4446" spans="1:1" x14ac:dyDescent="0.25">
      <c r="A4446"/>
    </row>
    <row r="4447" spans="1:1" x14ac:dyDescent="0.25">
      <c r="A4447"/>
    </row>
    <row r="4448" spans="1:1" x14ac:dyDescent="0.25">
      <c r="A4448"/>
    </row>
    <row r="4449" spans="1:1" x14ac:dyDescent="0.25">
      <c r="A4449"/>
    </row>
    <row r="4450" spans="1:1" x14ac:dyDescent="0.25">
      <c r="A4450"/>
    </row>
    <row r="4451" spans="1:1" x14ac:dyDescent="0.25">
      <c r="A4451"/>
    </row>
    <row r="4452" spans="1:1" x14ac:dyDescent="0.25">
      <c r="A4452"/>
    </row>
    <row r="4453" spans="1:1" x14ac:dyDescent="0.25">
      <c r="A4453"/>
    </row>
    <row r="4454" spans="1:1" x14ac:dyDescent="0.25">
      <c r="A4454"/>
    </row>
    <row r="4455" spans="1:1" x14ac:dyDescent="0.25">
      <c r="A4455"/>
    </row>
    <row r="4456" spans="1:1" x14ac:dyDescent="0.25">
      <c r="A4456"/>
    </row>
    <row r="4457" spans="1:1" x14ac:dyDescent="0.25">
      <c r="A4457"/>
    </row>
    <row r="4458" spans="1:1" x14ac:dyDescent="0.25">
      <c r="A4458"/>
    </row>
    <row r="4459" spans="1:1" x14ac:dyDescent="0.25">
      <c r="A4459"/>
    </row>
    <row r="4460" spans="1:1" x14ac:dyDescent="0.25">
      <c r="A4460"/>
    </row>
    <row r="4461" spans="1:1" x14ac:dyDescent="0.25">
      <c r="A4461"/>
    </row>
    <row r="4462" spans="1:1" x14ac:dyDescent="0.25">
      <c r="A4462"/>
    </row>
    <row r="4463" spans="1:1" x14ac:dyDescent="0.25">
      <c r="A4463"/>
    </row>
    <row r="4464" spans="1:1" x14ac:dyDescent="0.25">
      <c r="A4464"/>
    </row>
    <row r="4465" spans="1:1" x14ac:dyDescent="0.25">
      <c r="A4465"/>
    </row>
    <row r="4466" spans="1:1" x14ac:dyDescent="0.25">
      <c r="A4466"/>
    </row>
    <row r="4467" spans="1:1" x14ac:dyDescent="0.25">
      <c r="A4467"/>
    </row>
    <row r="4468" spans="1:1" x14ac:dyDescent="0.25">
      <c r="A4468"/>
    </row>
    <row r="4469" spans="1:1" x14ac:dyDescent="0.25">
      <c r="A4469"/>
    </row>
    <row r="4470" spans="1:1" x14ac:dyDescent="0.25">
      <c r="A4470"/>
    </row>
    <row r="4471" spans="1:1" x14ac:dyDescent="0.25">
      <c r="A4471"/>
    </row>
    <row r="4472" spans="1:1" x14ac:dyDescent="0.25">
      <c r="A4472"/>
    </row>
    <row r="4473" spans="1:1" x14ac:dyDescent="0.25">
      <c r="A4473"/>
    </row>
    <row r="4474" spans="1:1" x14ac:dyDescent="0.25">
      <c r="A4474"/>
    </row>
    <row r="4475" spans="1:1" x14ac:dyDescent="0.25">
      <c r="A4475"/>
    </row>
    <row r="4476" spans="1:1" x14ac:dyDescent="0.25">
      <c r="A4476"/>
    </row>
    <row r="4477" spans="1:1" x14ac:dyDescent="0.25">
      <c r="A4477"/>
    </row>
    <row r="4478" spans="1:1" x14ac:dyDescent="0.25">
      <c r="A4478"/>
    </row>
    <row r="4479" spans="1:1" x14ac:dyDescent="0.25">
      <c r="A4479"/>
    </row>
    <row r="4480" spans="1:1" x14ac:dyDescent="0.25">
      <c r="A4480"/>
    </row>
    <row r="4481" spans="1:1" x14ac:dyDescent="0.25">
      <c r="A4481"/>
    </row>
    <row r="4482" spans="1:1" x14ac:dyDescent="0.25">
      <c r="A4482"/>
    </row>
    <row r="4483" spans="1:1" x14ac:dyDescent="0.25">
      <c r="A4483"/>
    </row>
    <row r="4484" spans="1:1" x14ac:dyDescent="0.25">
      <c r="A4484"/>
    </row>
    <row r="4485" spans="1:1" x14ac:dyDescent="0.25">
      <c r="A4485"/>
    </row>
    <row r="4486" spans="1:1" x14ac:dyDescent="0.25">
      <c r="A4486"/>
    </row>
    <row r="4487" spans="1:1" x14ac:dyDescent="0.25">
      <c r="A4487"/>
    </row>
    <row r="4488" spans="1:1" x14ac:dyDescent="0.25">
      <c r="A4488"/>
    </row>
    <row r="4489" spans="1:1" x14ac:dyDescent="0.25">
      <c r="A4489"/>
    </row>
    <row r="4490" spans="1:1" x14ac:dyDescent="0.25">
      <c r="A4490"/>
    </row>
    <row r="4491" spans="1:1" x14ac:dyDescent="0.25">
      <c r="A4491"/>
    </row>
    <row r="4492" spans="1:1" x14ac:dyDescent="0.25">
      <c r="A4492"/>
    </row>
    <row r="4493" spans="1:1" x14ac:dyDescent="0.25">
      <c r="A4493"/>
    </row>
    <row r="4494" spans="1:1" x14ac:dyDescent="0.25">
      <c r="A4494"/>
    </row>
    <row r="4495" spans="1:1" x14ac:dyDescent="0.25">
      <c r="A4495"/>
    </row>
    <row r="4496" spans="1:1" x14ac:dyDescent="0.25">
      <c r="A4496"/>
    </row>
    <row r="4497" spans="1:1" x14ac:dyDescent="0.25">
      <c r="A4497"/>
    </row>
    <row r="4498" spans="1:1" x14ac:dyDescent="0.25">
      <c r="A4498"/>
    </row>
    <row r="4499" spans="1:1" x14ac:dyDescent="0.25">
      <c r="A4499"/>
    </row>
    <row r="4500" spans="1:1" x14ac:dyDescent="0.25">
      <c r="A4500"/>
    </row>
    <row r="4501" spans="1:1" x14ac:dyDescent="0.25">
      <c r="A4501"/>
    </row>
    <row r="4502" spans="1:1" x14ac:dyDescent="0.25">
      <c r="A4502"/>
    </row>
    <row r="4503" spans="1:1" x14ac:dyDescent="0.25">
      <c r="A4503"/>
    </row>
    <row r="4504" spans="1:1" x14ac:dyDescent="0.25">
      <c r="A4504"/>
    </row>
    <row r="4505" spans="1:1" x14ac:dyDescent="0.25">
      <c r="A4505"/>
    </row>
    <row r="4506" spans="1:1" x14ac:dyDescent="0.25">
      <c r="A4506"/>
    </row>
    <row r="4507" spans="1:1" x14ac:dyDescent="0.25">
      <c r="A4507"/>
    </row>
    <row r="4508" spans="1:1" x14ac:dyDescent="0.25">
      <c r="A4508"/>
    </row>
    <row r="4509" spans="1:1" x14ac:dyDescent="0.25">
      <c r="A4509"/>
    </row>
    <row r="4510" spans="1:1" x14ac:dyDescent="0.25">
      <c r="A4510"/>
    </row>
    <row r="4511" spans="1:1" x14ac:dyDescent="0.25">
      <c r="A4511"/>
    </row>
    <row r="4512" spans="1:1" x14ac:dyDescent="0.25">
      <c r="A4512"/>
    </row>
    <row r="4513" spans="1:1" x14ac:dyDescent="0.25">
      <c r="A4513"/>
    </row>
    <row r="4514" spans="1:1" x14ac:dyDescent="0.25">
      <c r="A4514"/>
    </row>
    <row r="4515" spans="1:1" x14ac:dyDescent="0.25">
      <c r="A4515"/>
    </row>
    <row r="4516" spans="1:1" x14ac:dyDescent="0.25">
      <c r="A4516"/>
    </row>
    <row r="4517" spans="1:1" x14ac:dyDescent="0.25">
      <c r="A4517"/>
    </row>
    <row r="4518" spans="1:1" x14ac:dyDescent="0.25">
      <c r="A4518"/>
    </row>
    <row r="4519" spans="1:1" x14ac:dyDescent="0.25">
      <c r="A4519"/>
    </row>
    <row r="4520" spans="1:1" x14ac:dyDescent="0.25">
      <c r="A4520"/>
    </row>
    <row r="4521" spans="1:1" x14ac:dyDescent="0.25">
      <c r="A4521"/>
    </row>
    <row r="4522" spans="1:1" x14ac:dyDescent="0.25">
      <c r="A4522"/>
    </row>
    <row r="4523" spans="1:1" x14ac:dyDescent="0.25">
      <c r="A4523"/>
    </row>
    <row r="4524" spans="1:1" x14ac:dyDescent="0.25">
      <c r="A4524"/>
    </row>
    <row r="4525" spans="1:1" x14ac:dyDescent="0.25">
      <c r="A4525"/>
    </row>
    <row r="4526" spans="1:1" x14ac:dyDescent="0.25">
      <c r="A4526"/>
    </row>
    <row r="4527" spans="1:1" x14ac:dyDescent="0.25">
      <c r="A4527"/>
    </row>
    <row r="4528" spans="1:1" x14ac:dyDescent="0.25">
      <c r="A4528"/>
    </row>
    <row r="4529" spans="1:1" x14ac:dyDescent="0.25">
      <c r="A4529"/>
    </row>
    <row r="4530" spans="1:1" x14ac:dyDescent="0.25">
      <c r="A4530"/>
    </row>
    <row r="4531" spans="1:1" x14ac:dyDescent="0.25">
      <c r="A4531"/>
    </row>
    <row r="4532" spans="1:1" x14ac:dyDescent="0.25">
      <c r="A4532"/>
    </row>
    <row r="4533" spans="1:1" x14ac:dyDescent="0.25">
      <c r="A4533"/>
    </row>
    <row r="4534" spans="1:1" x14ac:dyDescent="0.25">
      <c r="A4534"/>
    </row>
    <row r="4535" spans="1:1" x14ac:dyDescent="0.25">
      <c r="A4535"/>
    </row>
    <row r="4536" spans="1:1" x14ac:dyDescent="0.25">
      <c r="A4536"/>
    </row>
    <row r="4537" spans="1:1" x14ac:dyDescent="0.25">
      <c r="A4537"/>
    </row>
    <row r="4538" spans="1:1" x14ac:dyDescent="0.25">
      <c r="A4538"/>
    </row>
    <row r="4539" spans="1:1" x14ac:dyDescent="0.25">
      <c r="A4539"/>
    </row>
    <row r="4540" spans="1:1" x14ac:dyDescent="0.25">
      <c r="A4540"/>
    </row>
    <row r="4541" spans="1:1" x14ac:dyDescent="0.25">
      <c r="A4541"/>
    </row>
    <row r="4542" spans="1:1" x14ac:dyDescent="0.25">
      <c r="A4542"/>
    </row>
    <row r="4543" spans="1:1" x14ac:dyDescent="0.25">
      <c r="A4543"/>
    </row>
    <row r="4544" spans="1:1" x14ac:dyDescent="0.25">
      <c r="A4544"/>
    </row>
    <row r="4545" spans="1:1" x14ac:dyDescent="0.25">
      <c r="A4545"/>
    </row>
    <row r="4546" spans="1:1" x14ac:dyDescent="0.25">
      <c r="A4546"/>
    </row>
    <row r="4547" spans="1:1" x14ac:dyDescent="0.25">
      <c r="A4547"/>
    </row>
    <row r="4548" spans="1:1" x14ac:dyDescent="0.25">
      <c r="A4548"/>
    </row>
    <row r="4549" spans="1:1" x14ac:dyDescent="0.25">
      <c r="A4549"/>
    </row>
    <row r="4550" spans="1:1" x14ac:dyDescent="0.25">
      <c r="A4550"/>
    </row>
    <row r="4551" spans="1:1" x14ac:dyDescent="0.25">
      <c r="A4551"/>
    </row>
    <row r="4552" spans="1:1" x14ac:dyDescent="0.25">
      <c r="A4552"/>
    </row>
    <row r="4553" spans="1:1" x14ac:dyDescent="0.25">
      <c r="A4553"/>
    </row>
    <row r="4554" spans="1:1" x14ac:dyDescent="0.25">
      <c r="A4554"/>
    </row>
    <row r="4555" spans="1:1" x14ac:dyDescent="0.25">
      <c r="A4555"/>
    </row>
    <row r="4556" spans="1:1" x14ac:dyDescent="0.25">
      <c r="A4556"/>
    </row>
    <row r="4557" spans="1:1" x14ac:dyDescent="0.25">
      <c r="A4557"/>
    </row>
    <row r="4558" spans="1:1" x14ac:dyDescent="0.25">
      <c r="A4558"/>
    </row>
    <row r="4559" spans="1:1" x14ac:dyDescent="0.25">
      <c r="A4559"/>
    </row>
    <row r="4560" spans="1:1" x14ac:dyDescent="0.25">
      <c r="A4560"/>
    </row>
    <row r="4561" spans="1:1" x14ac:dyDescent="0.25">
      <c r="A4561"/>
    </row>
    <row r="4562" spans="1:1" x14ac:dyDescent="0.25">
      <c r="A4562"/>
    </row>
    <row r="4563" spans="1:1" x14ac:dyDescent="0.25">
      <c r="A4563"/>
    </row>
    <row r="4564" spans="1:1" x14ac:dyDescent="0.25">
      <c r="A4564"/>
    </row>
    <row r="4565" spans="1:1" x14ac:dyDescent="0.25">
      <c r="A4565"/>
    </row>
    <row r="4566" spans="1:1" x14ac:dyDescent="0.25">
      <c r="A4566"/>
    </row>
    <row r="4567" spans="1:1" x14ac:dyDescent="0.25">
      <c r="A4567"/>
    </row>
    <row r="4568" spans="1:1" x14ac:dyDescent="0.25">
      <c r="A4568"/>
    </row>
    <row r="4569" spans="1:1" x14ac:dyDescent="0.25">
      <c r="A4569"/>
    </row>
    <row r="4570" spans="1:1" x14ac:dyDescent="0.25">
      <c r="A4570"/>
    </row>
    <row r="4571" spans="1:1" x14ac:dyDescent="0.25">
      <c r="A4571"/>
    </row>
    <row r="4572" spans="1:1" x14ac:dyDescent="0.25">
      <c r="A4572"/>
    </row>
    <row r="4573" spans="1:1" x14ac:dyDescent="0.25">
      <c r="A4573"/>
    </row>
    <row r="4574" spans="1:1" x14ac:dyDescent="0.25">
      <c r="A4574"/>
    </row>
    <row r="4575" spans="1:1" x14ac:dyDescent="0.25">
      <c r="A4575"/>
    </row>
    <row r="4576" spans="1:1" x14ac:dyDescent="0.25">
      <c r="A4576"/>
    </row>
    <row r="4577" spans="1:1" x14ac:dyDescent="0.25">
      <c r="A4577"/>
    </row>
    <row r="4578" spans="1:1" x14ac:dyDescent="0.25">
      <c r="A4578"/>
    </row>
    <row r="4579" spans="1:1" x14ac:dyDescent="0.25">
      <c r="A4579"/>
    </row>
    <row r="4580" spans="1:1" x14ac:dyDescent="0.25">
      <c r="A4580"/>
    </row>
    <row r="4581" spans="1:1" x14ac:dyDescent="0.25">
      <c r="A4581"/>
    </row>
    <row r="4582" spans="1:1" x14ac:dyDescent="0.25">
      <c r="A4582"/>
    </row>
    <row r="4583" spans="1:1" x14ac:dyDescent="0.25">
      <c r="A4583"/>
    </row>
    <row r="4584" spans="1:1" x14ac:dyDescent="0.25">
      <c r="A4584"/>
    </row>
    <row r="4585" spans="1:1" x14ac:dyDescent="0.25">
      <c r="A4585"/>
    </row>
    <row r="4586" spans="1:1" x14ac:dyDescent="0.25">
      <c r="A4586"/>
    </row>
    <row r="4587" spans="1:1" x14ac:dyDescent="0.25">
      <c r="A4587"/>
    </row>
    <row r="4588" spans="1:1" x14ac:dyDescent="0.25">
      <c r="A4588"/>
    </row>
    <row r="4589" spans="1:1" x14ac:dyDescent="0.25">
      <c r="A4589"/>
    </row>
    <row r="4590" spans="1:1" x14ac:dyDescent="0.25">
      <c r="A4590"/>
    </row>
    <row r="4591" spans="1:1" x14ac:dyDescent="0.25">
      <c r="A4591"/>
    </row>
    <row r="4592" spans="1:1" x14ac:dyDescent="0.25">
      <c r="A4592"/>
    </row>
    <row r="4593" spans="1:1" x14ac:dyDescent="0.25">
      <c r="A4593"/>
    </row>
    <row r="4594" spans="1:1" x14ac:dyDescent="0.25">
      <c r="A4594"/>
    </row>
    <row r="4595" spans="1:1" x14ac:dyDescent="0.25">
      <c r="A4595"/>
    </row>
    <row r="4596" spans="1:1" x14ac:dyDescent="0.25">
      <c r="A4596"/>
    </row>
    <row r="4597" spans="1:1" x14ac:dyDescent="0.25">
      <c r="A4597"/>
    </row>
    <row r="4598" spans="1:1" x14ac:dyDescent="0.25">
      <c r="A4598"/>
    </row>
    <row r="4599" spans="1:1" x14ac:dyDescent="0.25">
      <c r="A4599"/>
    </row>
    <row r="4600" spans="1:1" x14ac:dyDescent="0.25">
      <c r="A4600"/>
    </row>
    <row r="4601" spans="1:1" x14ac:dyDescent="0.25">
      <c r="A4601"/>
    </row>
    <row r="4602" spans="1:1" x14ac:dyDescent="0.25">
      <c r="A4602"/>
    </row>
    <row r="4603" spans="1:1" x14ac:dyDescent="0.25">
      <c r="A4603"/>
    </row>
    <row r="4604" spans="1:1" x14ac:dyDescent="0.25">
      <c r="A4604"/>
    </row>
    <row r="4605" spans="1:1" x14ac:dyDescent="0.25">
      <c r="A4605"/>
    </row>
    <row r="4606" spans="1:1" x14ac:dyDescent="0.25">
      <c r="A4606"/>
    </row>
    <row r="4607" spans="1:1" x14ac:dyDescent="0.25">
      <c r="A4607"/>
    </row>
    <row r="4608" spans="1:1" x14ac:dyDescent="0.25">
      <c r="A4608"/>
    </row>
    <row r="4609" spans="1:1" x14ac:dyDescent="0.25">
      <c r="A4609"/>
    </row>
    <row r="4610" spans="1:1" x14ac:dyDescent="0.25">
      <c r="A4610"/>
    </row>
    <row r="4611" spans="1:1" x14ac:dyDescent="0.25">
      <c r="A4611"/>
    </row>
    <row r="4612" spans="1:1" x14ac:dyDescent="0.25">
      <c r="A4612"/>
    </row>
    <row r="4613" spans="1:1" x14ac:dyDescent="0.25">
      <c r="A4613"/>
    </row>
    <row r="4614" spans="1:1" x14ac:dyDescent="0.25">
      <c r="A4614"/>
    </row>
    <row r="4615" spans="1:1" x14ac:dyDescent="0.25">
      <c r="A4615"/>
    </row>
    <row r="4616" spans="1:1" x14ac:dyDescent="0.25">
      <c r="A4616"/>
    </row>
    <row r="4617" spans="1:1" x14ac:dyDescent="0.25">
      <c r="A4617"/>
    </row>
    <row r="4618" spans="1:1" x14ac:dyDescent="0.25">
      <c r="A4618"/>
    </row>
    <row r="4619" spans="1:1" x14ac:dyDescent="0.25">
      <c r="A4619"/>
    </row>
    <row r="4620" spans="1:1" x14ac:dyDescent="0.25">
      <c r="A4620"/>
    </row>
    <row r="4621" spans="1:1" x14ac:dyDescent="0.25">
      <c r="A4621"/>
    </row>
    <row r="4622" spans="1:1" x14ac:dyDescent="0.25">
      <c r="A4622"/>
    </row>
    <row r="4623" spans="1:1" x14ac:dyDescent="0.25">
      <c r="A4623"/>
    </row>
    <row r="4624" spans="1:1" x14ac:dyDescent="0.25">
      <c r="A4624"/>
    </row>
    <row r="4625" spans="1:1" x14ac:dyDescent="0.25">
      <c r="A4625"/>
    </row>
    <row r="4626" spans="1:1" x14ac:dyDescent="0.25">
      <c r="A4626"/>
    </row>
    <row r="4627" spans="1:1" x14ac:dyDescent="0.25">
      <c r="A4627"/>
    </row>
    <row r="4628" spans="1:1" x14ac:dyDescent="0.25">
      <c r="A4628"/>
    </row>
    <row r="4629" spans="1:1" x14ac:dyDescent="0.25">
      <c r="A4629"/>
    </row>
    <row r="4630" spans="1:1" x14ac:dyDescent="0.25">
      <c r="A4630"/>
    </row>
    <row r="4631" spans="1:1" x14ac:dyDescent="0.25">
      <c r="A4631"/>
    </row>
    <row r="4632" spans="1:1" x14ac:dyDescent="0.25">
      <c r="A4632"/>
    </row>
    <row r="4633" spans="1:1" x14ac:dyDescent="0.25">
      <c r="A4633"/>
    </row>
    <row r="4634" spans="1:1" x14ac:dyDescent="0.25">
      <c r="A4634"/>
    </row>
    <row r="4635" spans="1:1" x14ac:dyDescent="0.25">
      <c r="A4635"/>
    </row>
    <row r="4636" spans="1:1" x14ac:dyDescent="0.25">
      <c r="A4636"/>
    </row>
    <row r="4637" spans="1:1" x14ac:dyDescent="0.25">
      <c r="A4637"/>
    </row>
    <row r="4638" spans="1:1" x14ac:dyDescent="0.25">
      <c r="A4638"/>
    </row>
    <row r="4639" spans="1:1" x14ac:dyDescent="0.25">
      <c r="A4639"/>
    </row>
    <row r="4640" spans="1:1" x14ac:dyDescent="0.25">
      <c r="A4640"/>
    </row>
    <row r="4641" spans="1:1" x14ac:dyDescent="0.25">
      <c r="A4641"/>
    </row>
    <row r="4642" spans="1:1" x14ac:dyDescent="0.25">
      <c r="A4642"/>
    </row>
    <row r="4643" spans="1:1" x14ac:dyDescent="0.25">
      <c r="A4643"/>
    </row>
    <row r="4644" spans="1:1" x14ac:dyDescent="0.25">
      <c r="A4644"/>
    </row>
    <row r="4645" spans="1:1" x14ac:dyDescent="0.25">
      <c r="A4645"/>
    </row>
    <row r="4646" spans="1:1" x14ac:dyDescent="0.25">
      <c r="A4646"/>
    </row>
    <row r="4647" spans="1:1" x14ac:dyDescent="0.25">
      <c r="A4647"/>
    </row>
    <row r="4648" spans="1:1" x14ac:dyDescent="0.25">
      <c r="A4648"/>
    </row>
    <row r="4649" spans="1:1" x14ac:dyDescent="0.25">
      <c r="A4649"/>
    </row>
    <row r="4650" spans="1:1" x14ac:dyDescent="0.25">
      <c r="A4650"/>
    </row>
    <row r="4651" spans="1:1" x14ac:dyDescent="0.25">
      <c r="A4651"/>
    </row>
    <row r="4652" spans="1:1" x14ac:dyDescent="0.25">
      <c r="A4652"/>
    </row>
    <row r="4653" spans="1:1" x14ac:dyDescent="0.25">
      <c r="A4653"/>
    </row>
    <row r="4654" spans="1:1" x14ac:dyDescent="0.25">
      <c r="A4654"/>
    </row>
    <row r="4655" spans="1:1" x14ac:dyDescent="0.25">
      <c r="A4655"/>
    </row>
    <row r="4656" spans="1:1" x14ac:dyDescent="0.25">
      <c r="A4656"/>
    </row>
    <row r="4657" spans="1:1" x14ac:dyDescent="0.25">
      <c r="A4657"/>
    </row>
    <row r="4658" spans="1:1" x14ac:dyDescent="0.25">
      <c r="A4658"/>
    </row>
    <row r="4659" spans="1:1" x14ac:dyDescent="0.25">
      <c r="A4659"/>
    </row>
    <row r="4660" spans="1:1" x14ac:dyDescent="0.25">
      <c r="A4660"/>
    </row>
    <row r="4661" spans="1:1" x14ac:dyDescent="0.25">
      <c r="A4661"/>
    </row>
    <row r="4662" spans="1:1" x14ac:dyDescent="0.25">
      <c r="A4662"/>
    </row>
    <row r="4663" spans="1:1" x14ac:dyDescent="0.25">
      <c r="A4663"/>
    </row>
    <row r="4664" spans="1:1" x14ac:dyDescent="0.25">
      <c r="A4664"/>
    </row>
    <row r="4665" spans="1:1" x14ac:dyDescent="0.25">
      <c r="A4665"/>
    </row>
    <row r="4666" spans="1:1" x14ac:dyDescent="0.25">
      <c r="A4666"/>
    </row>
    <row r="4667" spans="1:1" x14ac:dyDescent="0.25">
      <c r="A4667"/>
    </row>
    <row r="4668" spans="1:1" x14ac:dyDescent="0.25">
      <c r="A4668"/>
    </row>
    <row r="4669" spans="1:1" x14ac:dyDescent="0.25">
      <c r="A4669"/>
    </row>
    <row r="4670" spans="1:1" x14ac:dyDescent="0.25">
      <c r="A4670"/>
    </row>
    <row r="4671" spans="1:1" x14ac:dyDescent="0.25">
      <c r="A4671"/>
    </row>
    <row r="4672" spans="1:1" x14ac:dyDescent="0.25">
      <c r="A4672"/>
    </row>
    <row r="4673" spans="1:1" x14ac:dyDescent="0.25">
      <c r="A4673"/>
    </row>
    <row r="4674" spans="1:1" x14ac:dyDescent="0.25">
      <c r="A4674"/>
    </row>
    <row r="4675" spans="1:1" x14ac:dyDescent="0.25">
      <c r="A4675"/>
    </row>
    <row r="4676" spans="1:1" x14ac:dyDescent="0.25">
      <c r="A4676"/>
    </row>
    <row r="4677" spans="1:1" x14ac:dyDescent="0.25">
      <c r="A4677"/>
    </row>
    <row r="4678" spans="1:1" x14ac:dyDescent="0.25">
      <c r="A4678"/>
    </row>
    <row r="4679" spans="1:1" x14ac:dyDescent="0.25">
      <c r="A4679"/>
    </row>
    <row r="4680" spans="1:1" x14ac:dyDescent="0.25">
      <c r="A4680"/>
    </row>
    <row r="4681" spans="1:1" x14ac:dyDescent="0.25">
      <c r="A4681"/>
    </row>
    <row r="4682" spans="1:1" x14ac:dyDescent="0.25">
      <c r="A4682"/>
    </row>
    <row r="4683" spans="1:1" x14ac:dyDescent="0.25">
      <c r="A4683"/>
    </row>
    <row r="4684" spans="1:1" x14ac:dyDescent="0.25">
      <c r="A4684"/>
    </row>
    <row r="4685" spans="1:1" x14ac:dyDescent="0.25">
      <c r="A4685"/>
    </row>
    <row r="4686" spans="1:1" x14ac:dyDescent="0.25">
      <c r="A4686"/>
    </row>
    <row r="4687" spans="1:1" x14ac:dyDescent="0.25">
      <c r="A4687"/>
    </row>
    <row r="4688" spans="1:1" x14ac:dyDescent="0.25">
      <c r="A4688"/>
    </row>
    <row r="4689" spans="1:1" x14ac:dyDescent="0.25">
      <c r="A4689"/>
    </row>
    <row r="4690" spans="1:1" x14ac:dyDescent="0.25">
      <c r="A4690"/>
    </row>
    <row r="4691" spans="1:1" x14ac:dyDescent="0.25">
      <c r="A4691"/>
    </row>
    <row r="4692" spans="1:1" x14ac:dyDescent="0.25">
      <c r="A4692"/>
    </row>
    <row r="4693" spans="1:1" x14ac:dyDescent="0.25">
      <c r="A4693"/>
    </row>
    <row r="4694" spans="1:1" x14ac:dyDescent="0.25">
      <c r="A4694"/>
    </row>
    <row r="4695" spans="1:1" x14ac:dyDescent="0.25">
      <c r="A4695"/>
    </row>
    <row r="4696" spans="1:1" x14ac:dyDescent="0.25">
      <c r="A4696"/>
    </row>
    <row r="4697" spans="1:1" x14ac:dyDescent="0.25">
      <c r="A4697"/>
    </row>
    <row r="4698" spans="1:1" x14ac:dyDescent="0.25">
      <c r="A4698"/>
    </row>
    <row r="4699" spans="1:1" x14ac:dyDescent="0.25">
      <c r="A4699"/>
    </row>
    <row r="4700" spans="1:1" x14ac:dyDescent="0.25">
      <c r="A4700"/>
    </row>
    <row r="4701" spans="1:1" x14ac:dyDescent="0.25">
      <c r="A4701"/>
    </row>
    <row r="4702" spans="1:1" x14ac:dyDescent="0.25">
      <c r="A4702"/>
    </row>
    <row r="4703" spans="1:1" x14ac:dyDescent="0.25">
      <c r="A4703"/>
    </row>
    <row r="4704" spans="1:1" x14ac:dyDescent="0.25">
      <c r="A4704"/>
    </row>
    <row r="4705" spans="1:1" x14ac:dyDescent="0.25">
      <c r="A4705"/>
    </row>
    <row r="4706" spans="1:1" x14ac:dyDescent="0.25">
      <c r="A4706"/>
    </row>
    <row r="4707" spans="1:1" x14ac:dyDescent="0.25">
      <c r="A4707"/>
    </row>
    <row r="4708" spans="1:1" x14ac:dyDescent="0.25">
      <c r="A4708"/>
    </row>
    <row r="4709" spans="1:1" x14ac:dyDescent="0.25">
      <c r="A4709"/>
    </row>
    <row r="4710" spans="1:1" x14ac:dyDescent="0.25">
      <c r="A4710"/>
    </row>
    <row r="4711" spans="1:1" x14ac:dyDescent="0.25">
      <c r="A4711"/>
    </row>
    <row r="4712" spans="1:1" x14ac:dyDescent="0.25">
      <c r="A4712"/>
    </row>
    <row r="4713" spans="1:1" x14ac:dyDescent="0.25">
      <c r="A4713"/>
    </row>
    <row r="4714" spans="1:1" x14ac:dyDescent="0.25">
      <c r="A4714"/>
    </row>
    <row r="4715" spans="1:1" x14ac:dyDescent="0.25">
      <c r="A4715"/>
    </row>
    <row r="4716" spans="1:1" x14ac:dyDescent="0.25">
      <c r="A4716"/>
    </row>
    <row r="4717" spans="1:1" x14ac:dyDescent="0.25">
      <c r="A4717"/>
    </row>
    <row r="4718" spans="1:1" x14ac:dyDescent="0.25">
      <c r="A4718"/>
    </row>
    <row r="4719" spans="1:1" x14ac:dyDescent="0.25">
      <c r="A4719"/>
    </row>
    <row r="4720" spans="1:1" x14ac:dyDescent="0.25">
      <c r="A4720"/>
    </row>
    <row r="4721" spans="1:1" x14ac:dyDescent="0.25">
      <c r="A4721"/>
    </row>
    <row r="4722" spans="1:1" x14ac:dyDescent="0.25">
      <c r="A4722"/>
    </row>
    <row r="4723" spans="1:1" x14ac:dyDescent="0.25">
      <c r="A4723"/>
    </row>
    <row r="4724" spans="1:1" x14ac:dyDescent="0.25">
      <c r="A4724"/>
    </row>
    <row r="4725" spans="1:1" x14ac:dyDescent="0.25">
      <c r="A4725"/>
    </row>
    <row r="4726" spans="1:1" x14ac:dyDescent="0.25">
      <c r="A4726"/>
    </row>
    <row r="4727" spans="1:1" x14ac:dyDescent="0.25">
      <c r="A4727"/>
    </row>
    <row r="4728" spans="1:1" x14ac:dyDescent="0.25">
      <c r="A4728"/>
    </row>
    <row r="4729" spans="1:1" x14ac:dyDescent="0.25">
      <c r="A4729"/>
    </row>
    <row r="4730" spans="1:1" x14ac:dyDescent="0.25">
      <c r="A4730"/>
    </row>
    <row r="4731" spans="1:1" x14ac:dyDescent="0.25">
      <c r="A4731"/>
    </row>
    <row r="4732" spans="1:1" x14ac:dyDescent="0.25">
      <c r="A4732"/>
    </row>
    <row r="4733" spans="1:1" x14ac:dyDescent="0.25">
      <c r="A4733"/>
    </row>
    <row r="4734" spans="1:1" x14ac:dyDescent="0.25">
      <c r="A4734"/>
    </row>
    <row r="4735" spans="1:1" x14ac:dyDescent="0.25">
      <c r="A4735"/>
    </row>
    <row r="4736" spans="1:1" x14ac:dyDescent="0.25">
      <c r="A4736"/>
    </row>
    <row r="4737" spans="1:1" x14ac:dyDescent="0.25">
      <c r="A4737"/>
    </row>
    <row r="4738" spans="1:1" x14ac:dyDescent="0.25">
      <c r="A4738"/>
    </row>
    <row r="4739" spans="1:1" x14ac:dyDescent="0.25">
      <c r="A4739"/>
    </row>
    <row r="4740" spans="1:1" x14ac:dyDescent="0.25">
      <c r="A4740"/>
    </row>
    <row r="4741" spans="1:1" x14ac:dyDescent="0.25">
      <c r="A4741"/>
    </row>
    <row r="4742" spans="1:1" x14ac:dyDescent="0.25">
      <c r="A4742"/>
    </row>
    <row r="4743" spans="1:1" x14ac:dyDescent="0.25">
      <c r="A4743"/>
    </row>
    <row r="4744" spans="1:1" x14ac:dyDescent="0.25">
      <c r="A4744"/>
    </row>
    <row r="4745" spans="1:1" x14ac:dyDescent="0.25">
      <c r="A4745"/>
    </row>
    <row r="4746" spans="1:1" x14ac:dyDescent="0.25">
      <c r="A4746"/>
    </row>
    <row r="4747" spans="1:1" x14ac:dyDescent="0.25">
      <c r="A4747"/>
    </row>
    <row r="4748" spans="1:1" x14ac:dyDescent="0.25">
      <c r="A4748"/>
    </row>
    <row r="4749" spans="1:1" x14ac:dyDescent="0.25">
      <c r="A4749"/>
    </row>
    <row r="4750" spans="1:1" x14ac:dyDescent="0.25">
      <c r="A4750"/>
    </row>
    <row r="4751" spans="1:1" x14ac:dyDescent="0.25">
      <c r="A4751"/>
    </row>
    <row r="4752" spans="1:1" x14ac:dyDescent="0.25">
      <c r="A4752"/>
    </row>
    <row r="4753" spans="1:1" x14ac:dyDescent="0.25">
      <c r="A4753"/>
    </row>
    <row r="4754" spans="1:1" x14ac:dyDescent="0.25">
      <c r="A4754"/>
    </row>
    <row r="4755" spans="1:1" x14ac:dyDescent="0.25">
      <c r="A4755"/>
    </row>
    <row r="4756" spans="1:1" x14ac:dyDescent="0.25">
      <c r="A4756"/>
    </row>
    <row r="4757" spans="1:1" x14ac:dyDescent="0.25">
      <c r="A4757"/>
    </row>
    <row r="4758" spans="1:1" x14ac:dyDescent="0.25">
      <c r="A4758"/>
    </row>
    <row r="4759" spans="1:1" x14ac:dyDescent="0.25">
      <c r="A4759"/>
    </row>
    <row r="4760" spans="1:1" x14ac:dyDescent="0.25">
      <c r="A4760"/>
    </row>
    <row r="4761" spans="1:1" x14ac:dyDescent="0.25">
      <c r="A4761"/>
    </row>
    <row r="4762" spans="1:1" x14ac:dyDescent="0.25">
      <c r="A4762"/>
    </row>
    <row r="4763" spans="1:1" x14ac:dyDescent="0.25">
      <c r="A4763"/>
    </row>
    <row r="4764" spans="1:1" x14ac:dyDescent="0.25">
      <c r="A4764"/>
    </row>
    <row r="4765" spans="1:1" x14ac:dyDescent="0.25">
      <c r="A4765"/>
    </row>
    <row r="4766" spans="1:1" x14ac:dyDescent="0.25">
      <c r="A4766"/>
    </row>
    <row r="4767" spans="1:1" x14ac:dyDescent="0.25">
      <c r="A4767"/>
    </row>
    <row r="4768" spans="1:1" x14ac:dyDescent="0.25">
      <c r="A4768"/>
    </row>
    <row r="4769" spans="1:1" x14ac:dyDescent="0.25">
      <c r="A4769"/>
    </row>
    <row r="4770" spans="1:1" x14ac:dyDescent="0.25">
      <c r="A4770"/>
    </row>
    <row r="4771" spans="1:1" x14ac:dyDescent="0.25">
      <c r="A4771"/>
    </row>
    <row r="4772" spans="1:1" x14ac:dyDescent="0.25">
      <c r="A4772"/>
    </row>
    <row r="4773" spans="1:1" x14ac:dyDescent="0.25">
      <c r="A4773"/>
    </row>
    <row r="4774" spans="1:1" x14ac:dyDescent="0.25">
      <c r="A4774"/>
    </row>
    <row r="4775" spans="1:1" x14ac:dyDescent="0.25">
      <c r="A4775"/>
    </row>
    <row r="4776" spans="1:1" x14ac:dyDescent="0.25">
      <c r="A4776"/>
    </row>
    <row r="4777" spans="1:1" x14ac:dyDescent="0.25">
      <c r="A4777"/>
    </row>
    <row r="4778" spans="1:1" x14ac:dyDescent="0.25">
      <c r="A4778"/>
    </row>
    <row r="4779" spans="1:1" x14ac:dyDescent="0.25">
      <c r="A4779"/>
    </row>
    <row r="4780" spans="1:1" x14ac:dyDescent="0.25">
      <c r="A4780"/>
    </row>
    <row r="4781" spans="1:1" x14ac:dyDescent="0.25">
      <c r="A4781"/>
    </row>
    <row r="4782" spans="1:1" x14ac:dyDescent="0.25">
      <c r="A4782"/>
    </row>
    <row r="4783" spans="1:1" x14ac:dyDescent="0.25">
      <c r="A4783"/>
    </row>
    <row r="4784" spans="1:1" x14ac:dyDescent="0.25">
      <c r="A4784"/>
    </row>
    <row r="4785" spans="1:1" x14ac:dyDescent="0.25">
      <c r="A4785"/>
    </row>
    <row r="4786" spans="1:1" x14ac:dyDescent="0.25">
      <c r="A4786"/>
    </row>
    <row r="4787" spans="1:1" x14ac:dyDescent="0.25">
      <c r="A4787"/>
    </row>
    <row r="4788" spans="1:1" x14ac:dyDescent="0.25">
      <c r="A4788"/>
    </row>
    <row r="4789" spans="1:1" x14ac:dyDescent="0.25">
      <c r="A4789"/>
    </row>
    <row r="4790" spans="1:1" x14ac:dyDescent="0.25">
      <c r="A4790"/>
    </row>
    <row r="4791" spans="1:1" x14ac:dyDescent="0.25">
      <c r="A4791"/>
    </row>
    <row r="4792" spans="1:1" x14ac:dyDescent="0.25">
      <c r="A4792"/>
    </row>
    <row r="4793" spans="1:1" x14ac:dyDescent="0.25">
      <c r="A4793"/>
    </row>
    <row r="4794" spans="1:1" x14ac:dyDescent="0.25">
      <c r="A4794"/>
    </row>
    <row r="4795" spans="1:1" x14ac:dyDescent="0.25">
      <c r="A4795"/>
    </row>
    <row r="4796" spans="1:1" x14ac:dyDescent="0.25">
      <c r="A4796"/>
    </row>
    <row r="4797" spans="1:1" x14ac:dyDescent="0.25">
      <c r="A4797"/>
    </row>
    <row r="4798" spans="1:1" x14ac:dyDescent="0.25">
      <c r="A4798"/>
    </row>
    <row r="4799" spans="1:1" x14ac:dyDescent="0.25">
      <c r="A4799"/>
    </row>
    <row r="4800" spans="1:1" x14ac:dyDescent="0.25">
      <c r="A4800"/>
    </row>
    <row r="4801" spans="1:1" x14ac:dyDescent="0.25">
      <c r="A4801"/>
    </row>
    <row r="4802" spans="1:1" x14ac:dyDescent="0.25">
      <c r="A4802"/>
    </row>
    <row r="4803" spans="1:1" x14ac:dyDescent="0.25">
      <c r="A4803"/>
    </row>
    <row r="4804" spans="1:1" x14ac:dyDescent="0.25">
      <c r="A4804"/>
    </row>
    <row r="4805" spans="1:1" x14ac:dyDescent="0.25">
      <c r="A4805"/>
    </row>
    <row r="4806" spans="1:1" x14ac:dyDescent="0.25">
      <c r="A4806"/>
    </row>
    <row r="4807" spans="1:1" x14ac:dyDescent="0.25">
      <c r="A4807"/>
    </row>
    <row r="4808" spans="1:1" x14ac:dyDescent="0.25">
      <c r="A4808"/>
    </row>
    <row r="4809" spans="1:1" x14ac:dyDescent="0.25">
      <c r="A4809"/>
    </row>
    <row r="4810" spans="1:1" x14ac:dyDescent="0.25">
      <c r="A4810"/>
    </row>
    <row r="4811" spans="1:1" x14ac:dyDescent="0.25">
      <c r="A4811"/>
    </row>
    <row r="4812" spans="1:1" x14ac:dyDescent="0.25">
      <c r="A4812"/>
    </row>
    <row r="4813" spans="1:1" x14ac:dyDescent="0.25">
      <c r="A4813"/>
    </row>
    <row r="4814" spans="1:1" x14ac:dyDescent="0.25">
      <c r="A4814"/>
    </row>
    <row r="4815" spans="1:1" x14ac:dyDescent="0.25">
      <c r="A4815"/>
    </row>
    <row r="4816" spans="1:1" x14ac:dyDescent="0.25">
      <c r="A4816"/>
    </row>
    <row r="4817" spans="1:1" x14ac:dyDescent="0.25">
      <c r="A4817"/>
    </row>
    <row r="4818" spans="1:1" x14ac:dyDescent="0.25">
      <c r="A4818"/>
    </row>
    <row r="4819" spans="1:1" x14ac:dyDescent="0.25">
      <c r="A4819"/>
    </row>
    <row r="4820" spans="1:1" x14ac:dyDescent="0.25">
      <c r="A4820"/>
    </row>
    <row r="4821" spans="1:1" x14ac:dyDescent="0.25">
      <c r="A4821"/>
    </row>
    <row r="4822" spans="1:1" x14ac:dyDescent="0.25">
      <c r="A4822"/>
    </row>
    <row r="4823" spans="1:1" x14ac:dyDescent="0.25">
      <c r="A4823"/>
    </row>
    <row r="4824" spans="1:1" x14ac:dyDescent="0.25">
      <c r="A4824"/>
    </row>
    <row r="4825" spans="1:1" x14ac:dyDescent="0.25">
      <c r="A4825"/>
    </row>
    <row r="4826" spans="1:1" x14ac:dyDescent="0.25">
      <c r="A4826"/>
    </row>
    <row r="4827" spans="1:1" x14ac:dyDescent="0.25">
      <c r="A4827"/>
    </row>
    <row r="4828" spans="1:1" x14ac:dyDescent="0.25">
      <c r="A4828"/>
    </row>
    <row r="4829" spans="1:1" x14ac:dyDescent="0.25">
      <c r="A4829"/>
    </row>
    <row r="4830" spans="1:1" x14ac:dyDescent="0.25">
      <c r="A4830"/>
    </row>
    <row r="4831" spans="1:1" x14ac:dyDescent="0.25">
      <c r="A4831"/>
    </row>
    <row r="4832" spans="1:1" x14ac:dyDescent="0.25">
      <c r="A4832"/>
    </row>
    <row r="4833" spans="1:1" x14ac:dyDescent="0.25">
      <c r="A4833"/>
    </row>
    <row r="4834" spans="1:1" x14ac:dyDescent="0.25">
      <c r="A4834"/>
    </row>
    <row r="4835" spans="1:1" x14ac:dyDescent="0.25">
      <c r="A4835"/>
    </row>
    <row r="4836" spans="1:1" x14ac:dyDescent="0.25">
      <c r="A4836"/>
    </row>
    <row r="4837" spans="1:1" x14ac:dyDescent="0.25">
      <c r="A4837"/>
    </row>
    <row r="4838" spans="1:1" x14ac:dyDescent="0.25">
      <c r="A4838"/>
    </row>
    <row r="4839" spans="1:1" x14ac:dyDescent="0.25">
      <c r="A4839"/>
    </row>
    <row r="4840" spans="1:1" x14ac:dyDescent="0.25">
      <c r="A4840"/>
    </row>
    <row r="4841" spans="1:1" x14ac:dyDescent="0.25">
      <c r="A4841"/>
    </row>
    <row r="4842" spans="1:1" x14ac:dyDescent="0.25">
      <c r="A4842"/>
    </row>
    <row r="4843" spans="1:1" x14ac:dyDescent="0.25">
      <c r="A4843"/>
    </row>
    <row r="4844" spans="1:1" x14ac:dyDescent="0.25">
      <c r="A4844"/>
    </row>
    <row r="4845" spans="1:1" x14ac:dyDescent="0.25">
      <c r="A4845"/>
    </row>
    <row r="4846" spans="1:1" x14ac:dyDescent="0.25">
      <c r="A4846"/>
    </row>
    <row r="4847" spans="1:1" x14ac:dyDescent="0.25">
      <c r="A4847"/>
    </row>
    <row r="4848" spans="1:1" x14ac:dyDescent="0.25">
      <c r="A4848"/>
    </row>
    <row r="4849" spans="1:1" x14ac:dyDescent="0.25">
      <c r="A4849"/>
    </row>
    <row r="4850" spans="1:1" x14ac:dyDescent="0.25">
      <c r="A4850"/>
    </row>
    <row r="4851" spans="1:1" x14ac:dyDescent="0.25">
      <c r="A4851"/>
    </row>
    <row r="4852" spans="1:1" x14ac:dyDescent="0.25">
      <c r="A4852"/>
    </row>
    <row r="4853" spans="1:1" x14ac:dyDescent="0.25">
      <c r="A4853"/>
    </row>
    <row r="4854" spans="1:1" x14ac:dyDescent="0.25">
      <c r="A4854"/>
    </row>
    <row r="4855" spans="1:1" x14ac:dyDescent="0.25">
      <c r="A4855"/>
    </row>
    <row r="4856" spans="1:1" x14ac:dyDescent="0.25">
      <c r="A4856"/>
    </row>
    <row r="4857" spans="1:1" x14ac:dyDescent="0.25">
      <c r="A4857"/>
    </row>
    <row r="4858" spans="1:1" x14ac:dyDescent="0.25">
      <c r="A4858"/>
    </row>
    <row r="4859" spans="1:1" x14ac:dyDescent="0.25">
      <c r="A4859"/>
    </row>
    <row r="4860" spans="1:1" x14ac:dyDescent="0.25">
      <c r="A4860"/>
    </row>
    <row r="4861" spans="1:1" x14ac:dyDescent="0.25">
      <c r="A4861"/>
    </row>
    <row r="4862" spans="1:1" x14ac:dyDescent="0.25">
      <c r="A4862"/>
    </row>
    <row r="4863" spans="1:1" x14ac:dyDescent="0.25">
      <c r="A4863"/>
    </row>
    <row r="4864" spans="1:1" x14ac:dyDescent="0.25">
      <c r="A4864"/>
    </row>
    <row r="4865" spans="1:1" x14ac:dyDescent="0.25">
      <c r="A4865"/>
    </row>
    <row r="4866" spans="1:1" x14ac:dyDescent="0.25">
      <c r="A4866"/>
    </row>
    <row r="4867" spans="1:1" x14ac:dyDescent="0.25">
      <c r="A4867"/>
    </row>
    <row r="4868" spans="1:1" x14ac:dyDescent="0.25">
      <c r="A4868"/>
    </row>
    <row r="4869" spans="1:1" x14ac:dyDescent="0.25">
      <c r="A4869"/>
    </row>
    <row r="4870" spans="1:1" x14ac:dyDescent="0.25">
      <c r="A4870"/>
    </row>
    <row r="4871" spans="1:1" x14ac:dyDescent="0.25">
      <c r="A4871"/>
    </row>
    <row r="4872" spans="1:1" x14ac:dyDescent="0.25">
      <c r="A4872"/>
    </row>
    <row r="4873" spans="1:1" x14ac:dyDescent="0.25">
      <c r="A4873"/>
    </row>
    <row r="4874" spans="1:1" x14ac:dyDescent="0.25">
      <c r="A4874"/>
    </row>
    <row r="4875" spans="1:1" x14ac:dyDescent="0.25">
      <c r="A4875"/>
    </row>
    <row r="4876" spans="1:1" x14ac:dyDescent="0.25">
      <c r="A4876"/>
    </row>
    <row r="4877" spans="1:1" x14ac:dyDescent="0.25">
      <c r="A4877"/>
    </row>
    <row r="4878" spans="1:1" x14ac:dyDescent="0.25">
      <c r="A4878"/>
    </row>
    <row r="4879" spans="1:1" x14ac:dyDescent="0.25">
      <c r="A4879"/>
    </row>
    <row r="4880" spans="1:1" x14ac:dyDescent="0.25">
      <c r="A4880"/>
    </row>
    <row r="4881" spans="1:1" x14ac:dyDescent="0.25">
      <c r="A4881"/>
    </row>
    <row r="4882" spans="1:1" x14ac:dyDescent="0.25">
      <c r="A4882"/>
    </row>
    <row r="4883" spans="1:1" x14ac:dyDescent="0.25">
      <c r="A4883"/>
    </row>
    <row r="4884" spans="1:1" x14ac:dyDescent="0.25">
      <c r="A4884"/>
    </row>
    <row r="4885" spans="1:1" x14ac:dyDescent="0.25">
      <c r="A4885"/>
    </row>
    <row r="4886" spans="1:1" x14ac:dyDescent="0.25">
      <c r="A4886"/>
    </row>
    <row r="4887" spans="1:1" x14ac:dyDescent="0.25">
      <c r="A4887"/>
    </row>
    <row r="4888" spans="1:1" x14ac:dyDescent="0.25">
      <c r="A4888"/>
    </row>
    <row r="4889" spans="1:1" x14ac:dyDescent="0.25">
      <c r="A4889"/>
    </row>
    <row r="4890" spans="1:1" x14ac:dyDescent="0.25">
      <c r="A4890"/>
    </row>
    <row r="4891" spans="1:1" x14ac:dyDescent="0.25">
      <c r="A4891"/>
    </row>
    <row r="4892" spans="1:1" x14ac:dyDescent="0.25">
      <c r="A4892"/>
    </row>
    <row r="4893" spans="1:1" x14ac:dyDescent="0.25">
      <c r="A4893"/>
    </row>
    <row r="4894" spans="1:1" x14ac:dyDescent="0.25">
      <c r="A4894"/>
    </row>
    <row r="4895" spans="1:1" x14ac:dyDescent="0.25">
      <c r="A4895"/>
    </row>
    <row r="4896" spans="1:1" x14ac:dyDescent="0.25">
      <c r="A4896"/>
    </row>
    <row r="4897" spans="1:1" x14ac:dyDescent="0.25">
      <c r="A4897"/>
    </row>
    <row r="4898" spans="1:1" x14ac:dyDescent="0.25">
      <c r="A4898"/>
    </row>
    <row r="4899" spans="1:1" x14ac:dyDescent="0.25">
      <c r="A4899"/>
    </row>
    <row r="4900" spans="1:1" x14ac:dyDescent="0.25">
      <c r="A4900"/>
    </row>
    <row r="4901" spans="1:1" x14ac:dyDescent="0.25">
      <c r="A4901"/>
    </row>
    <row r="4902" spans="1:1" x14ac:dyDescent="0.25">
      <c r="A4902"/>
    </row>
    <row r="4903" spans="1:1" x14ac:dyDescent="0.25">
      <c r="A4903"/>
    </row>
    <row r="4904" spans="1:1" x14ac:dyDescent="0.25">
      <c r="A4904"/>
    </row>
    <row r="4905" spans="1:1" x14ac:dyDescent="0.25">
      <c r="A4905"/>
    </row>
    <row r="4906" spans="1:1" x14ac:dyDescent="0.25">
      <c r="A4906"/>
    </row>
    <row r="4907" spans="1:1" x14ac:dyDescent="0.25">
      <c r="A4907"/>
    </row>
    <row r="4908" spans="1:1" x14ac:dyDescent="0.25">
      <c r="A4908"/>
    </row>
    <row r="4909" spans="1:1" x14ac:dyDescent="0.25">
      <c r="A4909"/>
    </row>
    <row r="4910" spans="1:1" x14ac:dyDescent="0.25">
      <c r="A4910"/>
    </row>
    <row r="4911" spans="1:1" x14ac:dyDescent="0.25">
      <c r="A4911"/>
    </row>
    <row r="4912" spans="1:1" x14ac:dyDescent="0.25">
      <c r="A4912"/>
    </row>
    <row r="4913" spans="1:1" x14ac:dyDescent="0.25">
      <c r="A4913"/>
    </row>
    <row r="4914" spans="1:1" x14ac:dyDescent="0.25">
      <c r="A4914"/>
    </row>
    <row r="4915" spans="1:1" x14ac:dyDescent="0.25">
      <c r="A4915"/>
    </row>
    <row r="4916" spans="1:1" x14ac:dyDescent="0.25">
      <c r="A4916"/>
    </row>
    <row r="4917" spans="1:1" x14ac:dyDescent="0.25">
      <c r="A4917"/>
    </row>
    <row r="4918" spans="1:1" x14ac:dyDescent="0.25">
      <c r="A4918"/>
    </row>
    <row r="4919" spans="1:1" x14ac:dyDescent="0.25">
      <c r="A4919"/>
    </row>
    <row r="4920" spans="1:1" x14ac:dyDescent="0.25">
      <c r="A4920"/>
    </row>
    <row r="4921" spans="1:1" x14ac:dyDescent="0.25">
      <c r="A4921"/>
    </row>
    <row r="4922" spans="1:1" x14ac:dyDescent="0.25">
      <c r="A4922"/>
    </row>
    <row r="4923" spans="1:1" x14ac:dyDescent="0.25">
      <c r="A4923"/>
    </row>
    <row r="4924" spans="1:1" x14ac:dyDescent="0.25">
      <c r="A4924"/>
    </row>
    <row r="4925" spans="1:1" x14ac:dyDescent="0.25">
      <c r="A4925"/>
    </row>
    <row r="4926" spans="1:1" x14ac:dyDescent="0.25">
      <c r="A4926"/>
    </row>
    <row r="4927" spans="1:1" x14ac:dyDescent="0.25">
      <c r="A4927"/>
    </row>
    <row r="4928" spans="1:1" x14ac:dyDescent="0.25">
      <c r="A4928"/>
    </row>
    <row r="4929" spans="1:1" x14ac:dyDescent="0.25">
      <c r="A4929"/>
    </row>
    <row r="4930" spans="1:1" x14ac:dyDescent="0.25">
      <c r="A4930"/>
    </row>
    <row r="4931" spans="1:1" x14ac:dyDescent="0.25">
      <c r="A4931"/>
    </row>
    <row r="4932" spans="1:1" x14ac:dyDescent="0.25">
      <c r="A4932"/>
    </row>
    <row r="4933" spans="1:1" x14ac:dyDescent="0.25">
      <c r="A4933"/>
    </row>
    <row r="4934" spans="1:1" x14ac:dyDescent="0.25">
      <c r="A4934"/>
    </row>
    <row r="4935" spans="1:1" x14ac:dyDescent="0.25">
      <c r="A4935"/>
    </row>
    <row r="4936" spans="1:1" x14ac:dyDescent="0.25">
      <c r="A4936"/>
    </row>
    <row r="4937" spans="1:1" x14ac:dyDescent="0.25">
      <c r="A4937"/>
    </row>
    <row r="4938" spans="1:1" x14ac:dyDescent="0.25">
      <c r="A4938"/>
    </row>
    <row r="4939" spans="1:1" x14ac:dyDescent="0.25">
      <c r="A4939"/>
    </row>
    <row r="4940" spans="1:1" x14ac:dyDescent="0.25">
      <c r="A4940"/>
    </row>
    <row r="4941" spans="1:1" x14ac:dyDescent="0.25">
      <c r="A4941"/>
    </row>
    <row r="4942" spans="1:1" x14ac:dyDescent="0.25">
      <c r="A4942"/>
    </row>
    <row r="4943" spans="1:1" x14ac:dyDescent="0.25">
      <c r="A4943"/>
    </row>
    <row r="4944" spans="1:1" x14ac:dyDescent="0.25">
      <c r="A4944"/>
    </row>
    <row r="4945" spans="1:1" x14ac:dyDescent="0.25">
      <c r="A4945"/>
    </row>
    <row r="4946" spans="1:1" x14ac:dyDescent="0.25">
      <c r="A4946"/>
    </row>
    <row r="4947" spans="1:1" x14ac:dyDescent="0.25">
      <c r="A4947"/>
    </row>
    <row r="4948" spans="1:1" x14ac:dyDescent="0.25">
      <c r="A4948"/>
    </row>
    <row r="4949" spans="1:1" x14ac:dyDescent="0.25">
      <c r="A4949"/>
    </row>
    <row r="4950" spans="1:1" x14ac:dyDescent="0.25">
      <c r="A4950"/>
    </row>
    <row r="4951" spans="1:1" x14ac:dyDescent="0.25">
      <c r="A4951"/>
    </row>
    <row r="4952" spans="1:1" x14ac:dyDescent="0.25">
      <c r="A4952"/>
    </row>
    <row r="4953" spans="1:1" x14ac:dyDescent="0.25">
      <c r="A4953"/>
    </row>
    <row r="4954" spans="1:1" x14ac:dyDescent="0.25">
      <c r="A4954"/>
    </row>
    <row r="4955" spans="1:1" x14ac:dyDescent="0.25">
      <c r="A4955"/>
    </row>
    <row r="4956" spans="1:1" x14ac:dyDescent="0.25">
      <c r="A4956"/>
    </row>
    <row r="4957" spans="1:1" x14ac:dyDescent="0.25">
      <c r="A4957"/>
    </row>
    <row r="4958" spans="1:1" x14ac:dyDescent="0.25">
      <c r="A4958"/>
    </row>
    <row r="4959" spans="1:1" x14ac:dyDescent="0.25">
      <c r="A4959"/>
    </row>
    <row r="4960" spans="1:1" x14ac:dyDescent="0.25">
      <c r="A4960"/>
    </row>
    <row r="4961" spans="1:1" x14ac:dyDescent="0.25">
      <c r="A4961"/>
    </row>
    <row r="4962" spans="1:1" x14ac:dyDescent="0.25">
      <c r="A4962"/>
    </row>
    <row r="4963" spans="1:1" x14ac:dyDescent="0.25">
      <c r="A4963"/>
    </row>
    <row r="4964" spans="1:1" x14ac:dyDescent="0.25">
      <c r="A4964"/>
    </row>
    <row r="4965" spans="1:1" x14ac:dyDescent="0.25">
      <c r="A4965"/>
    </row>
    <row r="4966" spans="1:1" x14ac:dyDescent="0.25">
      <c r="A4966"/>
    </row>
    <row r="4967" spans="1:1" x14ac:dyDescent="0.25">
      <c r="A4967"/>
    </row>
    <row r="4968" spans="1:1" x14ac:dyDescent="0.25">
      <c r="A4968"/>
    </row>
    <row r="4969" spans="1:1" x14ac:dyDescent="0.25">
      <c r="A4969"/>
    </row>
    <row r="4970" spans="1:1" x14ac:dyDescent="0.25">
      <c r="A4970"/>
    </row>
    <row r="4971" spans="1:1" x14ac:dyDescent="0.25">
      <c r="A4971"/>
    </row>
    <row r="4972" spans="1:1" x14ac:dyDescent="0.25">
      <c r="A4972"/>
    </row>
    <row r="4973" spans="1:1" x14ac:dyDescent="0.25">
      <c r="A4973"/>
    </row>
    <row r="4974" spans="1:1" x14ac:dyDescent="0.25">
      <c r="A4974"/>
    </row>
    <row r="4975" spans="1:1" x14ac:dyDescent="0.25">
      <c r="A4975"/>
    </row>
    <row r="4976" spans="1:1" x14ac:dyDescent="0.25">
      <c r="A4976"/>
    </row>
    <row r="4977" spans="1:1" x14ac:dyDescent="0.25">
      <c r="A4977"/>
    </row>
    <row r="4978" spans="1:1" x14ac:dyDescent="0.25">
      <c r="A4978"/>
    </row>
    <row r="4979" spans="1:1" x14ac:dyDescent="0.25">
      <c r="A4979"/>
    </row>
    <row r="4980" spans="1:1" x14ac:dyDescent="0.25">
      <c r="A4980"/>
    </row>
    <row r="4981" spans="1:1" x14ac:dyDescent="0.25">
      <c r="A4981"/>
    </row>
    <row r="4982" spans="1:1" x14ac:dyDescent="0.25">
      <c r="A4982"/>
    </row>
    <row r="4983" spans="1:1" x14ac:dyDescent="0.25">
      <c r="A4983"/>
    </row>
    <row r="4984" spans="1:1" x14ac:dyDescent="0.25">
      <c r="A4984"/>
    </row>
    <row r="4985" spans="1:1" x14ac:dyDescent="0.25">
      <c r="A4985"/>
    </row>
    <row r="4986" spans="1:1" x14ac:dyDescent="0.25">
      <c r="A4986"/>
    </row>
    <row r="4987" spans="1:1" x14ac:dyDescent="0.25">
      <c r="A4987"/>
    </row>
    <row r="4988" spans="1:1" x14ac:dyDescent="0.25">
      <c r="A4988"/>
    </row>
    <row r="4989" spans="1:1" x14ac:dyDescent="0.25">
      <c r="A4989"/>
    </row>
    <row r="4990" spans="1:1" x14ac:dyDescent="0.25">
      <c r="A4990"/>
    </row>
    <row r="4991" spans="1:1" x14ac:dyDescent="0.25">
      <c r="A4991"/>
    </row>
    <row r="4992" spans="1:1" x14ac:dyDescent="0.25">
      <c r="A4992"/>
    </row>
    <row r="4993" spans="1:1" x14ac:dyDescent="0.25">
      <c r="A4993"/>
    </row>
    <row r="4994" spans="1:1" x14ac:dyDescent="0.25">
      <c r="A4994"/>
    </row>
    <row r="4995" spans="1:1" x14ac:dyDescent="0.25">
      <c r="A4995"/>
    </row>
    <row r="4996" spans="1:1" x14ac:dyDescent="0.25">
      <c r="A4996"/>
    </row>
    <row r="4997" spans="1:1" x14ac:dyDescent="0.25">
      <c r="A4997"/>
    </row>
    <row r="4998" spans="1:1" x14ac:dyDescent="0.25">
      <c r="A4998"/>
    </row>
    <row r="4999" spans="1:1" x14ac:dyDescent="0.25">
      <c r="A4999"/>
    </row>
    <row r="5000" spans="1:1" x14ac:dyDescent="0.25">
      <c r="A5000"/>
    </row>
    <row r="5001" spans="1:1" x14ac:dyDescent="0.25">
      <c r="A5001"/>
    </row>
    <row r="5002" spans="1:1" x14ac:dyDescent="0.25">
      <c r="A5002"/>
    </row>
    <row r="5003" spans="1:1" x14ac:dyDescent="0.25">
      <c r="A5003"/>
    </row>
    <row r="5004" spans="1:1" x14ac:dyDescent="0.25">
      <c r="A5004"/>
    </row>
    <row r="5005" spans="1:1" x14ac:dyDescent="0.25">
      <c r="A5005"/>
    </row>
    <row r="5006" spans="1:1" x14ac:dyDescent="0.25">
      <c r="A5006"/>
    </row>
    <row r="5007" spans="1:1" x14ac:dyDescent="0.25">
      <c r="A5007"/>
    </row>
    <row r="5008" spans="1:1" x14ac:dyDescent="0.25">
      <c r="A5008"/>
    </row>
    <row r="5009" spans="1:1" x14ac:dyDescent="0.25">
      <c r="A5009"/>
    </row>
    <row r="5010" spans="1:1" x14ac:dyDescent="0.25">
      <c r="A5010"/>
    </row>
    <row r="5011" spans="1:1" x14ac:dyDescent="0.25">
      <c r="A5011"/>
    </row>
    <row r="5012" spans="1:1" x14ac:dyDescent="0.25">
      <c r="A5012"/>
    </row>
    <row r="5013" spans="1:1" x14ac:dyDescent="0.25">
      <c r="A5013"/>
    </row>
    <row r="5014" spans="1:1" x14ac:dyDescent="0.25">
      <c r="A5014"/>
    </row>
    <row r="5015" spans="1:1" x14ac:dyDescent="0.25">
      <c r="A5015"/>
    </row>
    <row r="5016" spans="1:1" x14ac:dyDescent="0.25">
      <c r="A5016"/>
    </row>
    <row r="5017" spans="1:1" x14ac:dyDescent="0.25">
      <c r="A5017"/>
    </row>
    <row r="5018" spans="1:1" x14ac:dyDescent="0.25">
      <c r="A5018"/>
    </row>
    <row r="5019" spans="1:1" x14ac:dyDescent="0.25">
      <c r="A5019"/>
    </row>
    <row r="5020" spans="1:1" x14ac:dyDescent="0.25">
      <c r="A5020"/>
    </row>
    <row r="5021" spans="1:1" x14ac:dyDescent="0.25">
      <c r="A5021"/>
    </row>
    <row r="5022" spans="1:1" x14ac:dyDescent="0.25">
      <c r="A5022"/>
    </row>
    <row r="5023" spans="1:1" x14ac:dyDescent="0.25">
      <c r="A5023"/>
    </row>
    <row r="5024" spans="1:1" x14ac:dyDescent="0.25">
      <c r="A5024"/>
    </row>
    <row r="5025" spans="1:1" x14ac:dyDescent="0.25">
      <c r="A5025"/>
    </row>
    <row r="5026" spans="1:1" x14ac:dyDescent="0.25">
      <c r="A5026"/>
    </row>
    <row r="5027" spans="1:1" x14ac:dyDescent="0.25">
      <c r="A5027"/>
    </row>
    <row r="5028" spans="1:1" x14ac:dyDescent="0.25">
      <c r="A5028"/>
    </row>
    <row r="5029" spans="1:1" x14ac:dyDescent="0.25">
      <c r="A5029"/>
    </row>
    <row r="5030" spans="1:1" x14ac:dyDescent="0.25">
      <c r="A5030"/>
    </row>
    <row r="5031" spans="1:1" x14ac:dyDescent="0.25">
      <c r="A5031"/>
    </row>
    <row r="5032" spans="1:1" x14ac:dyDescent="0.25">
      <c r="A5032"/>
    </row>
    <row r="5033" spans="1:1" x14ac:dyDescent="0.25">
      <c r="A5033"/>
    </row>
    <row r="5034" spans="1:1" x14ac:dyDescent="0.25">
      <c r="A5034"/>
    </row>
    <row r="5035" spans="1:1" x14ac:dyDescent="0.25">
      <c r="A5035"/>
    </row>
    <row r="5036" spans="1:1" x14ac:dyDescent="0.25">
      <c r="A5036"/>
    </row>
    <row r="5037" spans="1:1" x14ac:dyDescent="0.25">
      <c r="A5037"/>
    </row>
    <row r="5038" spans="1:1" x14ac:dyDescent="0.25">
      <c r="A5038"/>
    </row>
    <row r="5039" spans="1:1" x14ac:dyDescent="0.25">
      <c r="A5039"/>
    </row>
    <row r="5040" spans="1:1" x14ac:dyDescent="0.25">
      <c r="A5040"/>
    </row>
    <row r="5041" spans="1:1" x14ac:dyDescent="0.25">
      <c r="A5041"/>
    </row>
    <row r="5042" spans="1:1" x14ac:dyDescent="0.25">
      <c r="A5042"/>
    </row>
    <row r="5043" spans="1:1" x14ac:dyDescent="0.25">
      <c r="A5043"/>
    </row>
    <row r="5044" spans="1:1" x14ac:dyDescent="0.25">
      <c r="A5044"/>
    </row>
    <row r="5045" spans="1:1" x14ac:dyDescent="0.25">
      <c r="A5045"/>
    </row>
    <row r="5046" spans="1:1" x14ac:dyDescent="0.25">
      <c r="A5046"/>
    </row>
    <row r="5047" spans="1:1" x14ac:dyDescent="0.25">
      <c r="A5047"/>
    </row>
    <row r="5048" spans="1:1" x14ac:dyDescent="0.25">
      <c r="A5048"/>
    </row>
    <row r="5049" spans="1:1" x14ac:dyDescent="0.25">
      <c r="A5049"/>
    </row>
    <row r="5050" spans="1:1" x14ac:dyDescent="0.25">
      <c r="A5050"/>
    </row>
    <row r="5051" spans="1:1" x14ac:dyDescent="0.25">
      <c r="A5051"/>
    </row>
    <row r="5052" spans="1:1" x14ac:dyDescent="0.25">
      <c r="A5052"/>
    </row>
    <row r="5053" spans="1:1" x14ac:dyDescent="0.25">
      <c r="A5053"/>
    </row>
    <row r="5054" spans="1:1" x14ac:dyDescent="0.25">
      <c r="A5054"/>
    </row>
    <row r="5055" spans="1:1" x14ac:dyDescent="0.25">
      <c r="A5055"/>
    </row>
    <row r="5056" spans="1:1" x14ac:dyDescent="0.25">
      <c r="A5056"/>
    </row>
    <row r="5057" spans="1:1" x14ac:dyDescent="0.25">
      <c r="A5057"/>
    </row>
    <row r="5058" spans="1:1" x14ac:dyDescent="0.25">
      <c r="A5058"/>
    </row>
    <row r="5059" spans="1:1" x14ac:dyDescent="0.25">
      <c r="A5059"/>
    </row>
    <row r="5060" spans="1:1" x14ac:dyDescent="0.25">
      <c r="A5060"/>
    </row>
    <row r="5061" spans="1:1" x14ac:dyDescent="0.25">
      <c r="A5061"/>
    </row>
    <row r="5062" spans="1:1" x14ac:dyDescent="0.25">
      <c r="A5062"/>
    </row>
    <row r="5063" spans="1:1" x14ac:dyDescent="0.25">
      <c r="A5063"/>
    </row>
    <row r="5064" spans="1:1" x14ac:dyDescent="0.25">
      <c r="A5064"/>
    </row>
    <row r="5065" spans="1:1" x14ac:dyDescent="0.25">
      <c r="A5065"/>
    </row>
    <row r="5066" spans="1:1" x14ac:dyDescent="0.25">
      <c r="A5066"/>
    </row>
    <row r="5067" spans="1:1" x14ac:dyDescent="0.25">
      <c r="A5067"/>
    </row>
    <row r="5068" spans="1:1" x14ac:dyDescent="0.25">
      <c r="A5068"/>
    </row>
    <row r="5069" spans="1:1" x14ac:dyDescent="0.25">
      <c r="A5069"/>
    </row>
    <row r="5070" spans="1:1" x14ac:dyDescent="0.25">
      <c r="A5070"/>
    </row>
    <row r="5071" spans="1:1" x14ac:dyDescent="0.25">
      <c r="A5071"/>
    </row>
    <row r="5072" spans="1:1" x14ac:dyDescent="0.25">
      <c r="A5072"/>
    </row>
    <row r="5073" spans="1:1" x14ac:dyDescent="0.25">
      <c r="A5073"/>
    </row>
    <row r="5074" spans="1:1" x14ac:dyDescent="0.25">
      <c r="A5074"/>
    </row>
    <row r="5075" spans="1:1" x14ac:dyDescent="0.25">
      <c r="A5075"/>
    </row>
    <row r="5076" spans="1:1" x14ac:dyDescent="0.25">
      <c r="A5076"/>
    </row>
    <row r="5077" spans="1:1" x14ac:dyDescent="0.25">
      <c r="A5077"/>
    </row>
    <row r="5078" spans="1:1" x14ac:dyDescent="0.25">
      <c r="A5078"/>
    </row>
    <row r="5079" spans="1:1" x14ac:dyDescent="0.25">
      <c r="A5079"/>
    </row>
    <row r="5080" spans="1:1" x14ac:dyDescent="0.25">
      <c r="A5080"/>
    </row>
    <row r="5081" spans="1:1" x14ac:dyDescent="0.25">
      <c r="A5081"/>
    </row>
    <row r="5082" spans="1:1" x14ac:dyDescent="0.25">
      <c r="A5082"/>
    </row>
    <row r="5083" spans="1:1" x14ac:dyDescent="0.25">
      <c r="A5083"/>
    </row>
    <row r="5084" spans="1:1" x14ac:dyDescent="0.25">
      <c r="A5084"/>
    </row>
    <row r="5085" spans="1:1" x14ac:dyDescent="0.25">
      <c r="A5085"/>
    </row>
    <row r="5086" spans="1:1" x14ac:dyDescent="0.25">
      <c r="A5086"/>
    </row>
    <row r="5087" spans="1:1" x14ac:dyDescent="0.25">
      <c r="A5087"/>
    </row>
    <row r="5088" spans="1:1" x14ac:dyDescent="0.25">
      <c r="A5088"/>
    </row>
    <row r="5089" spans="1:1" x14ac:dyDescent="0.25">
      <c r="A5089"/>
    </row>
    <row r="5090" spans="1:1" x14ac:dyDescent="0.25">
      <c r="A5090"/>
    </row>
    <row r="5091" spans="1:1" x14ac:dyDescent="0.25">
      <c r="A5091"/>
    </row>
    <row r="5092" spans="1:1" x14ac:dyDescent="0.25">
      <c r="A5092"/>
    </row>
    <row r="5093" spans="1:1" x14ac:dyDescent="0.25">
      <c r="A5093"/>
    </row>
    <row r="5094" spans="1:1" x14ac:dyDescent="0.25">
      <c r="A5094"/>
    </row>
    <row r="5095" spans="1:1" x14ac:dyDescent="0.25">
      <c r="A5095"/>
    </row>
    <row r="5096" spans="1:1" x14ac:dyDescent="0.25">
      <c r="A5096"/>
    </row>
    <row r="5097" spans="1:1" x14ac:dyDescent="0.25">
      <c r="A5097"/>
    </row>
    <row r="5098" spans="1:1" x14ac:dyDescent="0.25">
      <c r="A5098"/>
    </row>
    <row r="5099" spans="1:1" x14ac:dyDescent="0.25">
      <c r="A5099"/>
    </row>
    <row r="5100" spans="1:1" x14ac:dyDescent="0.25">
      <c r="A5100"/>
    </row>
    <row r="5101" spans="1:1" x14ac:dyDescent="0.25">
      <c r="A5101"/>
    </row>
    <row r="5102" spans="1:1" x14ac:dyDescent="0.25">
      <c r="A5102"/>
    </row>
    <row r="5103" spans="1:1" x14ac:dyDescent="0.25">
      <c r="A5103"/>
    </row>
    <row r="5104" spans="1:1" x14ac:dyDescent="0.25">
      <c r="A5104"/>
    </row>
    <row r="5105" spans="1:1" x14ac:dyDescent="0.25">
      <c r="A5105"/>
    </row>
    <row r="5106" spans="1:1" x14ac:dyDescent="0.25">
      <c r="A5106"/>
    </row>
    <row r="5107" spans="1:1" x14ac:dyDescent="0.25">
      <c r="A5107"/>
    </row>
    <row r="5108" spans="1:1" x14ac:dyDescent="0.25">
      <c r="A5108"/>
    </row>
    <row r="5109" spans="1:1" x14ac:dyDescent="0.25">
      <c r="A5109"/>
    </row>
    <row r="5110" spans="1:1" x14ac:dyDescent="0.25">
      <c r="A5110"/>
    </row>
    <row r="5111" spans="1:1" x14ac:dyDescent="0.25">
      <c r="A5111"/>
    </row>
    <row r="5112" spans="1:1" x14ac:dyDescent="0.25">
      <c r="A5112"/>
    </row>
    <row r="5113" spans="1:1" x14ac:dyDescent="0.25">
      <c r="A5113"/>
    </row>
    <row r="5114" spans="1:1" x14ac:dyDescent="0.25">
      <c r="A5114"/>
    </row>
    <row r="5115" spans="1:1" x14ac:dyDescent="0.25">
      <c r="A5115"/>
    </row>
    <row r="5116" spans="1:1" x14ac:dyDescent="0.25">
      <c r="A5116"/>
    </row>
    <row r="5117" spans="1:1" x14ac:dyDescent="0.25">
      <c r="A5117"/>
    </row>
    <row r="5118" spans="1:1" x14ac:dyDescent="0.25">
      <c r="A5118"/>
    </row>
    <row r="5119" spans="1:1" x14ac:dyDescent="0.25">
      <c r="A5119"/>
    </row>
    <row r="5120" spans="1:1" x14ac:dyDescent="0.25">
      <c r="A5120"/>
    </row>
    <row r="5121" spans="1:1" x14ac:dyDescent="0.25">
      <c r="A5121"/>
    </row>
    <row r="5122" spans="1:1" x14ac:dyDescent="0.25">
      <c r="A5122"/>
    </row>
    <row r="5123" spans="1:1" x14ac:dyDescent="0.25">
      <c r="A5123"/>
    </row>
    <row r="5124" spans="1:1" x14ac:dyDescent="0.25">
      <c r="A5124"/>
    </row>
    <row r="5125" spans="1:1" x14ac:dyDescent="0.25">
      <c r="A5125"/>
    </row>
    <row r="5126" spans="1:1" x14ac:dyDescent="0.25">
      <c r="A5126"/>
    </row>
    <row r="5127" spans="1:1" x14ac:dyDescent="0.25">
      <c r="A5127"/>
    </row>
    <row r="5128" spans="1:1" x14ac:dyDescent="0.25">
      <c r="A5128"/>
    </row>
    <row r="5129" spans="1:1" x14ac:dyDescent="0.25">
      <c r="A5129"/>
    </row>
    <row r="5130" spans="1:1" x14ac:dyDescent="0.25">
      <c r="A5130"/>
    </row>
    <row r="5131" spans="1:1" x14ac:dyDescent="0.25">
      <c r="A5131"/>
    </row>
    <row r="5132" spans="1:1" x14ac:dyDescent="0.25">
      <c r="A5132"/>
    </row>
    <row r="5133" spans="1:1" x14ac:dyDescent="0.25">
      <c r="A5133"/>
    </row>
    <row r="5134" spans="1:1" x14ac:dyDescent="0.25">
      <c r="A5134"/>
    </row>
    <row r="5135" spans="1:1" x14ac:dyDescent="0.25">
      <c r="A5135"/>
    </row>
    <row r="5136" spans="1:1" x14ac:dyDescent="0.25">
      <c r="A5136"/>
    </row>
    <row r="5137" spans="1:1" x14ac:dyDescent="0.25">
      <c r="A5137"/>
    </row>
    <row r="5138" spans="1:1" x14ac:dyDescent="0.25">
      <c r="A5138"/>
    </row>
    <row r="5139" spans="1:1" x14ac:dyDescent="0.25">
      <c r="A5139"/>
    </row>
    <row r="5140" spans="1:1" x14ac:dyDescent="0.25">
      <c r="A5140"/>
    </row>
    <row r="5141" spans="1:1" x14ac:dyDescent="0.25">
      <c r="A5141"/>
    </row>
    <row r="5142" spans="1:1" x14ac:dyDescent="0.25">
      <c r="A5142"/>
    </row>
    <row r="5143" spans="1:1" x14ac:dyDescent="0.25">
      <c r="A5143"/>
    </row>
    <row r="5144" spans="1:1" x14ac:dyDescent="0.25">
      <c r="A5144"/>
    </row>
    <row r="5145" spans="1:1" x14ac:dyDescent="0.25">
      <c r="A5145"/>
    </row>
    <row r="5146" spans="1:1" x14ac:dyDescent="0.25">
      <c r="A5146"/>
    </row>
    <row r="5147" spans="1:1" x14ac:dyDescent="0.25">
      <c r="A5147"/>
    </row>
    <row r="5148" spans="1:1" x14ac:dyDescent="0.25">
      <c r="A5148"/>
    </row>
    <row r="5149" spans="1:1" x14ac:dyDescent="0.25">
      <c r="A5149"/>
    </row>
    <row r="5150" spans="1:1" x14ac:dyDescent="0.25">
      <c r="A5150"/>
    </row>
    <row r="5151" spans="1:1" x14ac:dyDescent="0.25">
      <c r="A5151"/>
    </row>
    <row r="5152" spans="1:1" x14ac:dyDescent="0.25">
      <c r="A5152"/>
    </row>
    <row r="5153" spans="1:1" x14ac:dyDescent="0.25">
      <c r="A5153"/>
    </row>
    <row r="5154" spans="1:1" x14ac:dyDescent="0.25">
      <c r="A5154"/>
    </row>
    <row r="5155" spans="1:1" x14ac:dyDescent="0.25">
      <c r="A5155"/>
    </row>
    <row r="5156" spans="1:1" x14ac:dyDescent="0.25">
      <c r="A5156"/>
    </row>
    <row r="5157" spans="1:1" x14ac:dyDescent="0.25">
      <c r="A5157"/>
    </row>
    <row r="5158" spans="1:1" x14ac:dyDescent="0.25">
      <c r="A5158"/>
    </row>
    <row r="5159" spans="1:1" x14ac:dyDescent="0.25">
      <c r="A5159"/>
    </row>
    <row r="5160" spans="1:1" x14ac:dyDescent="0.25">
      <c r="A5160"/>
    </row>
    <row r="5161" spans="1:1" x14ac:dyDescent="0.25">
      <c r="A5161"/>
    </row>
    <row r="5162" spans="1:1" x14ac:dyDescent="0.25">
      <c r="A5162"/>
    </row>
    <row r="5163" spans="1:1" x14ac:dyDescent="0.25">
      <c r="A5163"/>
    </row>
    <row r="5164" spans="1:1" x14ac:dyDescent="0.25">
      <c r="A5164"/>
    </row>
    <row r="5165" spans="1:1" x14ac:dyDescent="0.25">
      <c r="A5165"/>
    </row>
    <row r="5166" spans="1:1" x14ac:dyDescent="0.25">
      <c r="A5166"/>
    </row>
    <row r="5167" spans="1:1" x14ac:dyDescent="0.25">
      <c r="A5167"/>
    </row>
    <row r="5168" spans="1:1" x14ac:dyDescent="0.25">
      <c r="A5168"/>
    </row>
    <row r="5169" spans="1:1" x14ac:dyDescent="0.25">
      <c r="A5169"/>
    </row>
    <row r="5170" spans="1:1" x14ac:dyDescent="0.25">
      <c r="A5170"/>
    </row>
    <row r="5171" spans="1:1" x14ac:dyDescent="0.25">
      <c r="A5171"/>
    </row>
    <row r="5172" spans="1:1" x14ac:dyDescent="0.25">
      <c r="A5172"/>
    </row>
    <row r="5173" spans="1:1" x14ac:dyDescent="0.25">
      <c r="A5173"/>
    </row>
    <row r="5174" spans="1:1" x14ac:dyDescent="0.25">
      <c r="A5174"/>
    </row>
    <row r="5175" spans="1:1" x14ac:dyDescent="0.25">
      <c r="A5175"/>
    </row>
    <row r="5176" spans="1:1" x14ac:dyDescent="0.25">
      <c r="A5176"/>
    </row>
    <row r="5177" spans="1:1" x14ac:dyDescent="0.25">
      <c r="A5177"/>
    </row>
    <row r="5178" spans="1:1" x14ac:dyDescent="0.25">
      <c r="A5178"/>
    </row>
    <row r="5179" spans="1:1" x14ac:dyDescent="0.25">
      <c r="A5179"/>
    </row>
    <row r="5180" spans="1:1" x14ac:dyDescent="0.25">
      <c r="A5180"/>
    </row>
    <row r="5181" spans="1:1" x14ac:dyDescent="0.25">
      <c r="A5181"/>
    </row>
    <row r="5182" spans="1:1" x14ac:dyDescent="0.25">
      <c r="A5182"/>
    </row>
    <row r="5183" spans="1:1" x14ac:dyDescent="0.25">
      <c r="A5183"/>
    </row>
    <row r="5184" spans="1:1" x14ac:dyDescent="0.25">
      <c r="A5184"/>
    </row>
    <row r="5185" spans="1:1" x14ac:dyDescent="0.25">
      <c r="A5185"/>
    </row>
    <row r="5186" spans="1:1" x14ac:dyDescent="0.25">
      <c r="A5186"/>
    </row>
    <row r="5187" spans="1:1" x14ac:dyDescent="0.25">
      <c r="A5187"/>
    </row>
    <row r="5188" spans="1:1" x14ac:dyDescent="0.25">
      <c r="A5188"/>
    </row>
    <row r="5189" spans="1:1" x14ac:dyDescent="0.25">
      <c r="A5189"/>
    </row>
    <row r="5190" spans="1:1" x14ac:dyDescent="0.25">
      <c r="A5190"/>
    </row>
    <row r="5191" spans="1:1" x14ac:dyDescent="0.25">
      <c r="A5191"/>
    </row>
    <row r="5192" spans="1:1" x14ac:dyDescent="0.25">
      <c r="A5192"/>
    </row>
    <row r="5193" spans="1:1" x14ac:dyDescent="0.25">
      <c r="A5193"/>
    </row>
    <row r="5194" spans="1:1" x14ac:dyDescent="0.25">
      <c r="A5194"/>
    </row>
    <row r="5195" spans="1:1" x14ac:dyDescent="0.25">
      <c r="A5195"/>
    </row>
    <row r="5196" spans="1:1" x14ac:dyDescent="0.25">
      <c r="A5196"/>
    </row>
    <row r="5197" spans="1:1" x14ac:dyDescent="0.25">
      <c r="A5197"/>
    </row>
    <row r="5198" spans="1:1" x14ac:dyDescent="0.25">
      <c r="A5198"/>
    </row>
    <row r="5199" spans="1:1" x14ac:dyDescent="0.25">
      <c r="A5199"/>
    </row>
    <row r="5200" spans="1:1" x14ac:dyDescent="0.25">
      <c r="A5200"/>
    </row>
    <row r="5201" spans="1:1" x14ac:dyDescent="0.25">
      <c r="A5201"/>
    </row>
    <row r="5202" spans="1:1" x14ac:dyDescent="0.25">
      <c r="A5202"/>
    </row>
    <row r="5203" spans="1:1" x14ac:dyDescent="0.25">
      <c r="A5203"/>
    </row>
    <row r="5204" spans="1:1" x14ac:dyDescent="0.25">
      <c r="A5204"/>
    </row>
    <row r="5205" spans="1:1" x14ac:dyDescent="0.25">
      <c r="A5205"/>
    </row>
    <row r="5206" spans="1:1" x14ac:dyDescent="0.25">
      <c r="A5206"/>
    </row>
    <row r="5207" spans="1:1" x14ac:dyDescent="0.25">
      <c r="A5207"/>
    </row>
    <row r="5208" spans="1:1" x14ac:dyDescent="0.25">
      <c r="A5208"/>
    </row>
    <row r="5209" spans="1:1" x14ac:dyDescent="0.25">
      <c r="A5209"/>
    </row>
    <row r="5210" spans="1:1" x14ac:dyDescent="0.25">
      <c r="A5210"/>
    </row>
    <row r="5211" spans="1:1" x14ac:dyDescent="0.25">
      <c r="A5211"/>
    </row>
    <row r="5212" spans="1:1" x14ac:dyDescent="0.25">
      <c r="A5212"/>
    </row>
    <row r="5213" spans="1:1" x14ac:dyDescent="0.25">
      <c r="A5213"/>
    </row>
    <row r="5214" spans="1:1" x14ac:dyDescent="0.25">
      <c r="A5214"/>
    </row>
    <row r="5215" spans="1:1" x14ac:dyDescent="0.25">
      <c r="A5215"/>
    </row>
    <row r="5216" spans="1:1" x14ac:dyDescent="0.25">
      <c r="A5216"/>
    </row>
    <row r="5217" spans="1:1" x14ac:dyDescent="0.25">
      <c r="A5217"/>
    </row>
    <row r="5218" spans="1:1" x14ac:dyDescent="0.25">
      <c r="A5218"/>
    </row>
    <row r="5219" spans="1:1" x14ac:dyDescent="0.25">
      <c r="A5219"/>
    </row>
    <row r="5220" spans="1:1" x14ac:dyDescent="0.25">
      <c r="A5220"/>
    </row>
    <row r="5221" spans="1:1" x14ac:dyDescent="0.25">
      <c r="A5221"/>
    </row>
    <row r="5222" spans="1:1" x14ac:dyDescent="0.25">
      <c r="A5222"/>
    </row>
    <row r="5223" spans="1:1" x14ac:dyDescent="0.25">
      <c r="A5223"/>
    </row>
    <row r="5224" spans="1:1" x14ac:dyDescent="0.25">
      <c r="A5224"/>
    </row>
    <row r="5225" spans="1:1" x14ac:dyDescent="0.25">
      <c r="A5225"/>
    </row>
    <row r="5226" spans="1:1" x14ac:dyDescent="0.25">
      <c r="A5226"/>
    </row>
    <row r="5227" spans="1:1" x14ac:dyDescent="0.25">
      <c r="A5227"/>
    </row>
    <row r="5228" spans="1:1" x14ac:dyDescent="0.25">
      <c r="A5228"/>
    </row>
    <row r="5229" spans="1:1" x14ac:dyDescent="0.25">
      <c r="A5229"/>
    </row>
    <row r="5230" spans="1:1" x14ac:dyDescent="0.25">
      <c r="A5230"/>
    </row>
    <row r="5231" spans="1:1" x14ac:dyDescent="0.25">
      <c r="A5231"/>
    </row>
    <row r="5232" spans="1:1" x14ac:dyDescent="0.25">
      <c r="A5232"/>
    </row>
    <row r="5233" spans="1:1" x14ac:dyDescent="0.25">
      <c r="A5233"/>
    </row>
    <row r="5234" spans="1:1" x14ac:dyDescent="0.25">
      <c r="A5234"/>
    </row>
    <row r="5235" spans="1:1" x14ac:dyDescent="0.25">
      <c r="A5235"/>
    </row>
    <row r="5236" spans="1:1" x14ac:dyDescent="0.25">
      <c r="A5236"/>
    </row>
    <row r="5237" spans="1:1" x14ac:dyDescent="0.25">
      <c r="A5237"/>
    </row>
    <row r="5238" spans="1:1" x14ac:dyDescent="0.25">
      <c r="A5238"/>
    </row>
    <row r="5239" spans="1:1" x14ac:dyDescent="0.25">
      <c r="A5239"/>
    </row>
    <row r="5240" spans="1:1" x14ac:dyDescent="0.25">
      <c r="A5240"/>
    </row>
    <row r="5241" spans="1:1" x14ac:dyDescent="0.25">
      <c r="A5241"/>
    </row>
    <row r="5242" spans="1:1" x14ac:dyDescent="0.25">
      <c r="A5242"/>
    </row>
    <row r="5243" spans="1:1" x14ac:dyDescent="0.25">
      <c r="A5243"/>
    </row>
    <row r="5244" spans="1:1" x14ac:dyDescent="0.25">
      <c r="A5244"/>
    </row>
    <row r="5245" spans="1:1" x14ac:dyDescent="0.25">
      <c r="A5245"/>
    </row>
    <row r="5246" spans="1:1" x14ac:dyDescent="0.25">
      <c r="A5246"/>
    </row>
    <row r="5247" spans="1:1" x14ac:dyDescent="0.25">
      <c r="A5247"/>
    </row>
    <row r="5248" spans="1:1" x14ac:dyDescent="0.25">
      <c r="A5248"/>
    </row>
    <row r="5249" spans="1:1" x14ac:dyDescent="0.25">
      <c r="A5249"/>
    </row>
    <row r="5250" spans="1:1" x14ac:dyDescent="0.25">
      <c r="A5250"/>
    </row>
    <row r="5251" spans="1:1" x14ac:dyDescent="0.25">
      <c r="A5251"/>
    </row>
    <row r="5252" spans="1:1" x14ac:dyDescent="0.25">
      <c r="A5252"/>
    </row>
    <row r="5253" spans="1:1" x14ac:dyDescent="0.25">
      <c r="A5253"/>
    </row>
    <row r="5254" spans="1:1" x14ac:dyDescent="0.25">
      <c r="A5254"/>
    </row>
    <row r="5255" spans="1:1" x14ac:dyDescent="0.25">
      <c r="A5255"/>
    </row>
    <row r="5256" spans="1:1" x14ac:dyDescent="0.25">
      <c r="A5256"/>
    </row>
    <row r="5257" spans="1:1" x14ac:dyDescent="0.25">
      <c r="A5257"/>
    </row>
    <row r="5258" spans="1:1" x14ac:dyDescent="0.25">
      <c r="A5258"/>
    </row>
    <row r="5259" spans="1:1" x14ac:dyDescent="0.25">
      <c r="A5259"/>
    </row>
    <row r="5260" spans="1:1" x14ac:dyDescent="0.25">
      <c r="A5260"/>
    </row>
    <row r="5261" spans="1:1" x14ac:dyDescent="0.25">
      <c r="A5261"/>
    </row>
    <row r="5262" spans="1:1" x14ac:dyDescent="0.25">
      <c r="A5262"/>
    </row>
    <row r="5263" spans="1:1" x14ac:dyDescent="0.25">
      <c r="A5263"/>
    </row>
    <row r="5264" spans="1:1" x14ac:dyDescent="0.25">
      <c r="A5264"/>
    </row>
    <row r="5265" spans="1:1" x14ac:dyDescent="0.25">
      <c r="A5265"/>
    </row>
    <row r="5266" spans="1:1" x14ac:dyDescent="0.25">
      <c r="A5266"/>
    </row>
    <row r="5267" spans="1:1" x14ac:dyDescent="0.25">
      <c r="A5267"/>
    </row>
    <row r="5268" spans="1:1" x14ac:dyDescent="0.25">
      <c r="A5268"/>
    </row>
    <row r="5269" spans="1:1" x14ac:dyDescent="0.25">
      <c r="A5269"/>
    </row>
    <row r="5270" spans="1:1" x14ac:dyDescent="0.25">
      <c r="A5270"/>
    </row>
    <row r="5271" spans="1:1" x14ac:dyDescent="0.25">
      <c r="A5271"/>
    </row>
    <row r="5272" spans="1:1" x14ac:dyDescent="0.25">
      <c r="A5272"/>
    </row>
    <row r="5273" spans="1:1" x14ac:dyDescent="0.25">
      <c r="A5273"/>
    </row>
    <row r="5274" spans="1:1" x14ac:dyDescent="0.25">
      <c r="A5274"/>
    </row>
    <row r="5275" spans="1:1" x14ac:dyDescent="0.25">
      <c r="A5275"/>
    </row>
    <row r="5276" spans="1:1" x14ac:dyDescent="0.25">
      <c r="A5276"/>
    </row>
    <row r="5277" spans="1:1" x14ac:dyDescent="0.25">
      <c r="A5277"/>
    </row>
    <row r="5278" spans="1:1" x14ac:dyDescent="0.25">
      <c r="A5278"/>
    </row>
    <row r="5279" spans="1:1" x14ac:dyDescent="0.25">
      <c r="A5279"/>
    </row>
    <row r="5280" spans="1:1" x14ac:dyDescent="0.25">
      <c r="A5280"/>
    </row>
    <row r="5281" spans="1:1" x14ac:dyDescent="0.25">
      <c r="A5281"/>
    </row>
    <row r="5282" spans="1:1" x14ac:dyDescent="0.25">
      <c r="A5282"/>
    </row>
    <row r="5283" spans="1:1" x14ac:dyDescent="0.25">
      <c r="A5283"/>
    </row>
    <row r="5284" spans="1:1" x14ac:dyDescent="0.25">
      <c r="A5284"/>
    </row>
    <row r="5285" spans="1:1" x14ac:dyDescent="0.25">
      <c r="A5285"/>
    </row>
    <row r="5286" spans="1:1" x14ac:dyDescent="0.25">
      <c r="A5286"/>
    </row>
    <row r="5287" spans="1:1" x14ac:dyDescent="0.25">
      <c r="A5287"/>
    </row>
    <row r="5288" spans="1:1" x14ac:dyDescent="0.25">
      <c r="A5288"/>
    </row>
    <row r="5289" spans="1:1" x14ac:dyDescent="0.25">
      <c r="A5289"/>
    </row>
    <row r="5290" spans="1:1" x14ac:dyDescent="0.25">
      <c r="A5290"/>
    </row>
    <row r="5291" spans="1:1" x14ac:dyDescent="0.25">
      <c r="A5291"/>
    </row>
    <row r="5292" spans="1:1" x14ac:dyDescent="0.25">
      <c r="A5292"/>
    </row>
    <row r="5293" spans="1:1" x14ac:dyDescent="0.25">
      <c r="A5293"/>
    </row>
    <row r="5294" spans="1:1" x14ac:dyDescent="0.25">
      <c r="A5294"/>
    </row>
    <row r="5295" spans="1:1" x14ac:dyDescent="0.25">
      <c r="A5295"/>
    </row>
    <row r="5296" spans="1:1" x14ac:dyDescent="0.25">
      <c r="A5296"/>
    </row>
    <row r="5297" spans="1:1" x14ac:dyDescent="0.25">
      <c r="A5297"/>
    </row>
    <row r="5298" spans="1:1" x14ac:dyDescent="0.25">
      <c r="A5298"/>
    </row>
    <row r="5299" spans="1:1" x14ac:dyDescent="0.25">
      <c r="A5299"/>
    </row>
    <row r="5300" spans="1:1" x14ac:dyDescent="0.25">
      <c r="A5300"/>
    </row>
    <row r="5301" spans="1:1" x14ac:dyDescent="0.25">
      <c r="A5301"/>
    </row>
    <row r="5302" spans="1:1" x14ac:dyDescent="0.25">
      <c r="A5302"/>
    </row>
    <row r="5303" spans="1:1" x14ac:dyDescent="0.25">
      <c r="A5303"/>
    </row>
    <row r="5304" spans="1:1" x14ac:dyDescent="0.25">
      <c r="A5304"/>
    </row>
    <row r="5305" spans="1:1" x14ac:dyDescent="0.25">
      <c r="A5305"/>
    </row>
    <row r="5306" spans="1:1" x14ac:dyDescent="0.25">
      <c r="A5306"/>
    </row>
    <row r="5307" spans="1:1" x14ac:dyDescent="0.25">
      <c r="A5307"/>
    </row>
    <row r="5308" spans="1:1" x14ac:dyDescent="0.25">
      <c r="A5308"/>
    </row>
    <row r="5309" spans="1:1" x14ac:dyDescent="0.25">
      <c r="A5309"/>
    </row>
    <row r="5310" spans="1:1" x14ac:dyDescent="0.25">
      <c r="A5310"/>
    </row>
    <row r="5311" spans="1:1" x14ac:dyDescent="0.25">
      <c r="A5311"/>
    </row>
    <row r="5312" spans="1:1" x14ac:dyDescent="0.25">
      <c r="A5312"/>
    </row>
    <row r="5313" spans="1:1" x14ac:dyDescent="0.25">
      <c r="A5313"/>
    </row>
    <row r="5314" spans="1:1" x14ac:dyDescent="0.25">
      <c r="A5314"/>
    </row>
    <row r="5315" spans="1:1" x14ac:dyDescent="0.25">
      <c r="A5315"/>
    </row>
    <row r="5316" spans="1:1" x14ac:dyDescent="0.25">
      <c r="A5316"/>
    </row>
    <row r="5317" spans="1:1" x14ac:dyDescent="0.25">
      <c r="A5317"/>
    </row>
    <row r="5318" spans="1:1" x14ac:dyDescent="0.25">
      <c r="A5318"/>
    </row>
    <row r="5319" spans="1:1" x14ac:dyDescent="0.25">
      <c r="A5319"/>
    </row>
    <row r="5320" spans="1:1" x14ac:dyDescent="0.25">
      <c r="A5320"/>
    </row>
    <row r="5321" spans="1:1" x14ac:dyDescent="0.25">
      <c r="A5321"/>
    </row>
    <row r="5322" spans="1:1" x14ac:dyDescent="0.25">
      <c r="A5322"/>
    </row>
    <row r="5323" spans="1:1" x14ac:dyDescent="0.25">
      <c r="A5323"/>
    </row>
    <row r="5324" spans="1:1" x14ac:dyDescent="0.25">
      <c r="A5324"/>
    </row>
    <row r="5325" spans="1:1" x14ac:dyDescent="0.25">
      <c r="A5325"/>
    </row>
    <row r="5326" spans="1:1" x14ac:dyDescent="0.25">
      <c r="A5326"/>
    </row>
    <row r="5327" spans="1:1" x14ac:dyDescent="0.25">
      <c r="A5327"/>
    </row>
    <row r="5328" spans="1:1" x14ac:dyDescent="0.25">
      <c r="A5328"/>
    </row>
    <row r="5329" spans="1:1" x14ac:dyDescent="0.25">
      <c r="A5329"/>
    </row>
    <row r="5330" spans="1:1" x14ac:dyDescent="0.25">
      <c r="A5330"/>
    </row>
    <row r="5331" spans="1:1" x14ac:dyDescent="0.25">
      <c r="A5331"/>
    </row>
    <row r="5332" spans="1:1" x14ac:dyDescent="0.25">
      <c r="A5332"/>
    </row>
    <row r="5333" spans="1:1" x14ac:dyDescent="0.25">
      <c r="A5333"/>
    </row>
    <row r="5334" spans="1:1" x14ac:dyDescent="0.25">
      <c r="A5334"/>
    </row>
    <row r="5335" spans="1:1" x14ac:dyDescent="0.25">
      <c r="A5335"/>
    </row>
    <row r="5336" spans="1:1" x14ac:dyDescent="0.25">
      <c r="A5336"/>
    </row>
    <row r="5337" spans="1:1" x14ac:dyDescent="0.25">
      <c r="A5337"/>
    </row>
    <row r="5338" spans="1:1" x14ac:dyDescent="0.25">
      <c r="A5338"/>
    </row>
    <row r="5339" spans="1:1" x14ac:dyDescent="0.25">
      <c r="A5339"/>
    </row>
    <row r="5340" spans="1:1" x14ac:dyDescent="0.25">
      <c r="A5340"/>
    </row>
    <row r="5341" spans="1:1" x14ac:dyDescent="0.25">
      <c r="A5341"/>
    </row>
    <row r="5342" spans="1:1" x14ac:dyDescent="0.25">
      <c r="A5342"/>
    </row>
    <row r="5343" spans="1:1" x14ac:dyDescent="0.25">
      <c r="A5343"/>
    </row>
    <row r="5344" spans="1:1" x14ac:dyDescent="0.25">
      <c r="A5344"/>
    </row>
    <row r="5345" spans="1:1" x14ac:dyDescent="0.25">
      <c r="A5345"/>
    </row>
    <row r="5346" spans="1:1" x14ac:dyDescent="0.25">
      <c r="A5346"/>
    </row>
    <row r="5347" spans="1:1" x14ac:dyDescent="0.25">
      <c r="A5347"/>
    </row>
    <row r="5348" spans="1:1" x14ac:dyDescent="0.25">
      <c r="A5348"/>
    </row>
    <row r="5349" spans="1:1" x14ac:dyDescent="0.25">
      <c r="A5349"/>
    </row>
    <row r="5350" spans="1:1" x14ac:dyDescent="0.25">
      <c r="A5350"/>
    </row>
    <row r="5351" spans="1:1" x14ac:dyDescent="0.25">
      <c r="A5351"/>
    </row>
    <row r="5352" spans="1:1" x14ac:dyDescent="0.25">
      <c r="A5352"/>
    </row>
    <row r="5353" spans="1:1" x14ac:dyDescent="0.25">
      <c r="A5353"/>
    </row>
    <row r="5354" spans="1:1" x14ac:dyDescent="0.25">
      <c r="A5354"/>
    </row>
    <row r="5355" spans="1:1" x14ac:dyDescent="0.25">
      <c r="A5355"/>
    </row>
    <row r="5356" spans="1:1" x14ac:dyDescent="0.25">
      <c r="A5356"/>
    </row>
    <row r="5357" spans="1:1" x14ac:dyDescent="0.25">
      <c r="A5357"/>
    </row>
    <row r="5358" spans="1:1" x14ac:dyDescent="0.25">
      <c r="A5358"/>
    </row>
    <row r="5359" spans="1:1" x14ac:dyDescent="0.25">
      <c r="A5359"/>
    </row>
    <row r="5360" spans="1:1" x14ac:dyDescent="0.25">
      <c r="A5360"/>
    </row>
    <row r="5361" spans="1:1" x14ac:dyDescent="0.25">
      <c r="A5361"/>
    </row>
    <row r="5362" spans="1:1" x14ac:dyDescent="0.25">
      <c r="A5362"/>
    </row>
    <row r="5363" spans="1:1" x14ac:dyDescent="0.25">
      <c r="A5363"/>
    </row>
    <row r="5364" spans="1:1" x14ac:dyDescent="0.25">
      <c r="A5364"/>
    </row>
    <row r="5365" spans="1:1" x14ac:dyDescent="0.25">
      <c r="A5365"/>
    </row>
    <row r="5366" spans="1:1" x14ac:dyDescent="0.25">
      <c r="A5366"/>
    </row>
    <row r="5367" spans="1:1" x14ac:dyDescent="0.25">
      <c r="A5367"/>
    </row>
    <row r="5368" spans="1:1" x14ac:dyDescent="0.25">
      <c r="A5368"/>
    </row>
    <row r="5369" spans="1:1" x14ac:dyDescent="0.25">
      <c r="A5369"/>
    </row>
    <row r="5370" spans="1:1" x14ac:dyDescent="0.25">
      <c r="A5370"/>
    </row>
    <row r="5371" spans="1:1" x14ac:dyDescent="0.25">
      <c r="A5371"/>
    </row>
    <row r="5372" spans="1:1" x14ac:dyDescent="0.25">
      <c r="A5372"/>
    </row>
    <row r="5373" spans="1:1" x14ac:dyDescent="0.25">
      <c r="A5373"/>
    </row>
    <row r="5374" spans="1:1" x14ac:dyDescent="0.25">
      <c r="A5374"/>
    </row>
    <row r="5375" spans="1:1" x14ac:dyDescent="0.25">
      <c r="A5375"/>
    </row>
    <row r="5376" spans="1:1" x14ac:dyDescent="0.25">
      <c r="A5376"/>
    </row>
    <row r="5377" spans="1:1" x14ac:dyDescent="0.25">
      <c r="A5377"/>
    </row>
    <row r="5378" spans="1:1" x14ac:dyDescent="0.25">
      <c r="A5378"/>
    </row>
    <row r="5379" spans="1:1" x14ac:dyDescent="0.25">
      <c r="A5379"/>
    </row>
    <row r="5380" spans="1:1" x14ac:dyDescent="0.25">
      <c r="A5380"/>
    </row>
    <row r="5381" spans="1:1" x14ac:dyDescent="0.25">
      <c r="A5381"/>
    </row>
    <row r="5382" spans="1:1" x14ac:dyDescent="0.25">
      <c r="A5382"/>
    </row>
    <row r="5383" spans="1:1" x14ac:dyDescent="0.25">
      <c r="A5383"/>
    </row>
    <row r="5384" spans="1:1" x14ac:dyDescent="0.25">
      <c r="A5384"/>
    </row>
    <row r="5385" spans="1:1" x14ac:dyDescent="0.25">
      <c r="A5385"/>
    </row>
    <row r="5386" spans="1:1" x14ac:dyDescent="0.25">
      <c r="A5386"/>
    </row>
    <row r="5387" spans="1:1" x14ac:dyDescent="0.25">
      <c r="A5387"/>
    </row>
    <row r="5388" spans="1:1" x14ac:dyDescent="0.25">
      <c r="A5388"/>
    </row>
    <row r="5389" spans="1:1" x14ac:dyDescent="0.25">
      <c r="A5389"/>
    </row>
    <row r="5390" spans="1:1" x14ac:dyDescent="0.25">
      <c r="A5390"/>
    </row>
    <row r="5391" spans="1:1" x14ac:dyDescent="0.25">
      <c r="A5391"/>
    </row>
    <row r="5392" spans="1:1" x14ac:dyDescent="0.25">
      <c r="A5392"/>
    </row>
    <row r="5393" spans="1:1" x14ac:dyDescent="0.25">
      <c r="A5393"/>
    </row>
    <row r="5394" spans="1:1" x14ac:dyDescent="0.25">
      <c r="A5394"/>
    </row>
    <row r="5395" spans="1:1" x14ac:dyDescent="0.25">
      <c r="A5395"/>
    </row>
    <row r="5396" spans="1:1" x14ac:dyDescent="0.25">
      <c r="A5396"/>
    </row>
    <row r="5397" spans="1:1" x14ac:dyDescent="0.25">
      <c r="A5397"/>
    </row>
    <row r="5398" spans="1:1" x14ac:dyDescent="0.25">
      <c r="A5398"/>
    </row>
    <row r="5399" spans="1:1" x14ac:dyDescent="0.25">
      <c r="A5399"/>
    </row>
    <row r="5400" spans="1:1" x14ac:dyDescent="0.25">
      <c r="A5400"/>
    </row>
    <row r="5401" spans="1:1" x14ac:dyDescent="0.25">
      <c r="A5401"/>
    </row>
    <row r="5402" spans="1:1" x14ac:dyDescent="0.25">
      <c r="A5402"/>
    </row>
    <row r="5403" spans="1:1" x14ac:dyDescent="0.25">
      <c r="A5403"/>
    </row>
    <row r="5404" spans="1:1" x14ac:dyDescent="0.25">
      <c r="A5404"/>
    </row>
    <row r="5405" spans="1:1" x14ac:dyDescent="0.25">
      <c r="A5405"/>
    </row>
    <row r="5406" spans="1:1" x14ac:dyDescent="0.25">
      <c r="A5406"/>
    </row>
    <row r="5407" spans="1:1" x14ac:dyDescent="0.25">
      <c r="A5407"/>
    </row>
    <row r="5408" spans="1:1" x14ac:dyDescent="0.25">
      <c r="A5408"/>
    </row>
    <row r="5409" spans="1:1" x14ac:dyDescent="0.25">
      <c r="A5409"/>
    </row>
    <row r="5410" spans="1:1" x14ac:dyDescent="0.25">
      <c r="A5410"/>
    </row>
    <row r="5411" spans="1:1" x14ac:dyDescent="0.25">
      <c r="A5411"/>
    </row>
    <row r="5412" spans="1:1" x14ac:dyDescent="0.25">
      <c r="A5412"/>
    </row>
    <row r="5413" spans="1:1" x14ac:dyDescent="0.25">
      <c r="A5413"/>
    </row>
    <row r="5414" spans="1:1" x14ac:dyDescent="0.25">
      <c r="A5414"/>
    </row>
    <row r="5415" spans="1:1" x14ac:dyDescent="0.25">
      <c r="A5415"/>
    </row>
    <row r="5416" spans="1:1" x14ac:dyDescent="0.25">
      <c r="A5416"/>
    </row>
    <row r="5417" spans="1:1" x14ac:dyDescent="0.25">
      <c r="A5417"/>
    </row>
    <row r="5418" spans="1:1" x14ac:dyDescent="0.25">
      <c r="A5418"/>
    </row>
    <row r="5419" spans="1:1" x14ac:dyDescent="0.25">
      <c r="A5419"/>
    </row>
    <row r="5420" spans="1:1" x14ac:dyDescent="0.25">
      <c r="A5420"/>
    </row>
    <row r="5421" spans="1:1" x14ac:dyDescent="0.25">
      <c r="A5421"/>
    </row>
    <row r="5422" spans="1:1" x14ac:dyDescent="0.25">
      <c r="A5422"/>
    </row>
    <row r="5423" spans="1:1" x14ac:dyDescent="0.25">
      <c r="A5423"/>
    </row>
    <row r="5424" spans="1:1" x14ac:dyDescent="0.25">
      <c r="A5424"/>
    </row>
    <row r="5425" spans="1:1" x14ac:dyDescent="0.25">
      <c r="A5425"/>
    </row>
    <row r="5426" spans="1:1" x14ac:dyDescent="0.25">
      <c r="A5426"/>
    </row>
    <row r="5427" spans="1:1" x14ac:dyDescent="0.25">
      <c r="A5427"/>
    </row>
    <row r="5428" spans="1:1" x14ac:dyDescent="0.25">
      <c r="A5428"/>
    </row>
    <row r="5429" spans="1:1" x14ac:dyDescent="0.25">
      <c r="A5429"/>
    </row>
    <row r="5430" spans="1:1" x14ac:dyDescent="0.25">
      <c r="A5430"/>
    </row>
    <row r="5431" spans="1:1" x14ac:dyDescent="0.25">
      <c r="A5431"/>
    </row>
    <row r="5432" spans="1:1" x14ac:dyDescent="0.25">
      <c r="A5432"/>
    </row>
    <row r="5433" spans="1:1" x14ac:dyDescent="0.25">
      <c r="A5433"/>
    </row>
    <row r="5434" spans="1:1" x14ac:dyDescent="0.25">
      <c r="A5434"/>
    </row>
    <row r="5435" spans="1:1" x14ac:dyDescent="0.25">
      <c r="A5435"/>
    </row>
    <row r="5436" spans="1:1" x14ac:dyDescent="0.25">
      <c r="A5436"/>
    </row>
    <row r="5437" spans="1:1" x14ac:dyDescent="0.25">
      <c r="A5437"/>
    </row>
    <row r="5438" spans="1:1" x14ac:dyDescent="0.25">
      <c r="A5438"/>
    </row>
    <row r="5439" spans="1:1" x14ac:dyDescent="0.25">
      <c r="A5439"/>
    </row>
    <row r="5440" spans="1:1" x14ac:dyDescent="0.25">
      <c r="A5440"/>
    </row>
    <row r="5441" spans="1:1" x14ac:dyDescent="0.25">
      <c r="A5441"/>
    </row>
    <row r="5442" spans="1:1" x14ac:dyDescent="0.25">
      <c r="A5442"/>
    </row>
    <row r="5443" spans="1:1" x14ac:dyDescent="0.25">
      <c r="A5443"/>
    </row>
    <row r="5444" spans="1:1" x14ac:dyDescent="0.25">
      <c r="A5444"/>
    </row>
    <row r="5445" spans="1:1" x14ac:dyDescent="0.25">
      <c r="A5445"/>
    </row>
    <row r="5446" spans="1:1" x14ac:dyDescent="0.25">
      <c r="A5446"/>
    </row>
    <row r="5447" spans="1:1" x14ac:dyDescent="0.25">
      <c r="A5447"/>
    </row>
    <row r="5448" spans="1:1" x14ac:dyDescent="0.25">
      <c r="A5448"/>
    </row>
    <row r="5449" spans="1:1" x14ac:dyDescent="0.25">
      <c r="A5449"/>
    </row>
    <row r="5450" spans="1:1" x14ac:dyDescent="0.25">
      <c r="A5450"/>
    </row>
    <row r="5451" spans="1:1" x14ac:dyDescent="0.25">
      <c r="A5451"/>
    </row>
    <row r="5452" spans="1:1" x14ac:dyDescent="0.25">
      <c r="A5452"/>
    </row>
    <row r="5453" spans="1:1" x14ac:dyDescent="0.25">
      <c r="A5453"/>
    </row>
    <row r="5454" spans="1:1" x14ac:dyDescent="0.25">
      <c r="A5454"/>
    </row>
    <row r="5455" spans="1:1" x14ac:dyDescent="0.25">
      <c r="A5455"/>
    </row>
    <row r="5456" spans="1:1" x14ac:dyDescent="0.25">
      <c r="A5456"/>
    </row>
    <row r="5457" spans="1:1" x14ac:dyDescent="0.25">
      <c r="A5457"/>
    </row>
    <row r="5458" spans="1:1" x14ac:dyDescent="0.25">
      <c r="A5458"/>
    </row>
    <row r="5459" spans="1:1" x14ac:dyDescent="0.25">
      <c r="A5459"/>
    </row>
    <row r="5460" spans="1:1" x14ac:dyDescent="0.25">
      <c r="A5460"/>
    </row>
    <row r="5461" spans="1:1" x14ac:dyDescent="0.25">
      <c r="A5461"/>
    </row>
    <row r="5462" spans="1:1" x14ac:dyDescent="0.25">
      <c r="A5462"/>
    </row>
    <row r="5463" spans="1:1" x14ac:dyDescent="0.25">
      <c r="A5463"/>
    </row>
    <row r="5464" spans="1:1" x14ac:dyDescent="0.25">
      <c r="A5464"/>
    </row>
    <row r="5465" spans="1:1" x14ac:dyDescent="0.25">
      <c r="A5465"/>
    </row>
    <row r="5466" spans="1:1" x14ac:dyDescent="0.25">
      <c r="A5466"/>
    </row>
    <row r="5467" spans="1:1" x14ac:dyDescent="0.25">
      <c r="A5467"/>
    </row>
    <row r="5468" spans="1:1" x14ac:dyDescent="0.25">
      <c r="A5468"/>
    </row>
    <row r="5469" spans="1:1" x14ac:dyDescent="0.25">
      <c r="A5469"/>
    </row>
    <row r="5470" spans="1:1" x14ac:dyDescent="0.25">
      <c r="A5470"/>
    </row>
    <row r="5471" spans="1:1" x14ac:dyDescent="0.25">
      <c r="A5471"/>
    </row>
    <row r="5472" spans="1:1" x14ac:dyDescent="0.25">
      <c r="A5472"/>
    </row>
    <row r="5473" spans="1:1" x14ac:dyDescent="0.25">
      <c r="A5473"/>
    </row>
    <row r="5474" spans="1:1" x14ac:dyDescent="0.25">
      <c r="A5474"/>
    </row>
    <row r="5475" spans="1:1" x14ac:dyDescent="0.25">
      <c r="A5475"/>
    </row>
    <row r="5476" spans="1:1" x14ac:dyDescent="0.25">
      <c r="A5476"/>
    </row>
    <row r="5477" spans="1:1" x14ac:dyDescent="0.25">
      <c r="A5477"/>
    </row>
    <row r="5478" spans="1:1" x14ac:dyDescent="0.25">
      <c r="A5478"/>
    </row>
    <row r="5479" spans="1:1" x14ac:dyDescent="0.25">
      <c r="A5479"/>
    </row>
    <row r="5480" spans="1:1" x14ac:dyDescent="0.25">
      <c r="A5480"/>
    </row>
    <row r="5481" spans="1:1" x14ac:dyDescent="0.25">
      <c r="A5481"/>
    </row>
    <row r="5482" spans="1:1" x14ac:dyDescent="0.25">
      <c r="A5482"/>
    </row>
    <row r="5483" spans="1:1" x14ac:dyDescent="0.25">
      <c r="A5483"/>
    </row>
    <row r="5484" spans="1:1" x14ac:dyDescent="0.25">
      <c r="A5484"/>
    </row>
    <row r="5485" spans="1:1" x14ac:dyDescent="0.25">
      <c r="A5485"/>
    </row>
    <row r="5486" spans="1:1" x14ac:dyDescent="0.25">
      <c r="A5486"/>
    </row>
    <row r="5487" spans="1:1" x14ac:dyDescent="0.25">
      <c r="A5487"/>
    </row>
    <row r="5488" spans="1:1" x14ac:dyDescent="0.25">
      <c r="A5488"/>
    </row>
    <row r="5489" spans="1:1" x14ac:dyDescent="0.25">
      <c r="A5489"/>
    </row>
    <row r="5490" spans="1:1" x14ac:dyDescent="0.25">
      <c r="A5490"/>
    </row>
    <row r="5491" spans="1:1" x14ac:dyDescent="0.25">
      <c r="A5491"/>
    </row>
    <row r="5492" spans="1:1" x14ac:dyDescent="0.25">
      <c r="A5492"/>
    </row>
    <row r="5493" spans="1:1" x14ac:dyDescent="0.25">
      <c r="A5493"/>
    </row>
    <row r="5494" spans="1:1" x14ac:dyDescent="0.25">
      <c r="A5494"/>
    </row>
    <row r="5495" spans="1:1" x14ac:dyDescent="0.25">
      <c r="A5495"/>
    </row>
    <row r="5496" spans="1:1" x14ac:dyDescent="0.25">
      <c r="A5496"/>
    </row>
    <row r="5497" spans="1:1" x14ac:dyDescent="0.25">
      <c r="A5497"/>
    </row>
    <row r="5498" spans="1:1" x14ac:dyDescent="0.25">
      <c r="A5498"/>
    </row>
    <row r="5499" spans="1:1" x14ac:dyDescent="0.25">
      <c r="A5499"/>
    </row>
    <row r="5500" spans="1:1" x14ac:dyDescent="0.25">
      <c r="A5500"/>
    </row>
    <row r="5501" spans="1:1" x14ac:dyDescent="0.25">
      <c r="A5501"/>
    </row>
    <row r="5502" spans="1:1" x14ac:dyDescent="0.25">
      <c r="A5502"/>
    </row>
    <row r="5503" spans="1:1" x14ac:dyDescent="0.25">
      <c r="A5503"/>
    </row>
    <row r="5504" spans="1:1" x14ac:dyDescent="0.25">
      <c r="A5504"/>
    </row>
    <row r="5505" spans="1:1" x14ac:dyDescent="0.25">
      <c r="A5505"/>
    </row>
    <row r="5506" spans="1:1" x14ac:dyDescent="0.25">
      <c r="A5506"/>
    </row>
    <row r="5507" spans="1:1" x14ac:dyDescent="0.25">
      <c r="A5507"/>
    </row>
    <row r="5508" spans="1:1" x14ac:dyDescent="0.25">
      <c r="A5508"/>
    </row>
    <row r="5509" spans="1:1" x14ac:dyDescent="0.25">
      <c r="A5509"/>
    </row>
    <row r="5510" spans="1:1" x14ac:dyDescent="0.25">
      <c r="A5510"/>
    </row>
    <row r="5511" spans="1:1" x14ac:dyDescent="0.25">
      <c r="A5511"/>
    </row>
    <row r="5512" spans="1:1" x14ac:dyDescent="0.25">
      <c r="A5512"/>
    </row>
    <row r="5513" spans="1:1" x14ac:dyDescent="0.25">
      <c r="A5513"/>
    </row>
    <row r="5514" spans="1:1" x14ac:dyDescent="0.25">
      <c r="A5514"/>
    </row>
    <row r="5515" spans="1:1" x14ac:dyDescent="0.25">
      <c r="A5515"/>
    </row>
    <row r="5516" spans="1:1" x14ac:dyDescent="0.25">
      <c r="A5516"/>
    </row>
    <row r="5517" spans="1:1" x14ac:dyDescent="0.25">
      <c r="A5517"/>
    </row>
    <row r="5518" spans="1:1" x14ac:dyDescent="0.25">
      <c r="A5518"/>
    </row>
    <row r="5519" spans="1:1" x14ac:dyDescent="0.25">
      <c r="A5519"/>
    </row>
    <row r="5520" spans="1:1" x14ac:dyDescent="0.25">
      <c r="A5520"/>
    </row>
    <row r="5521" spans="1:1" x14ac:dyDescent="0.25">
      <c r="A5521"/>
    </row>
    <row r="5522" spans="1:1" x14ac:dyDescent="0.25">
      <c r="A5522"/>
    </row>
    <row r="5523" spans="1:1" x14ac:dyDescent="0.25">
      <c r="A5523"/>
    </row>
    <row r="5524" spans="1:1" x14ac:dyDescent="0.25">
      <c r="A5524"/>
    </row>
    <row r="5525" spans="1:1" x14ac:dyDescent="0.25">
      <c r="A5525"/>
    </row>
    <row r="5526" spans="1:1" x14ac:dyDescent="0.25">
      <c r="A5526"/>
    </row>
    <row r="5527" spans="1:1" x14ac:dyDescent="0.25">
      <c r="A5527"/>
    </row>
    <row r="5528" spans="1:1" x14ac:dyDescent="0.25">
      <c r="A5528"/>
    </row>
    <row r="5529" spans="1:1" x14ac:dyDescent="0.25">
      <c r="A5529"/>
    </row>
    <row r="5530" spans="1:1" x14ac:dyDescent="0.25">
      <c r="A5530"/>
    </row>
    <row r="5531" spans="1:1" x14ac:dyDescent="0.25">
      <c r="A5531"/>
    </row>
    <row r="5532" spans="1:1" x14ac:dyDescent="0.25">
      <c r="A5532"/>
    </row>
    <row r="5533" spans="1:1" x14ac:dyDescent="0.25">
      <c r="A5533"/>
    </row>
    <row r="5534" spans="1:1" x14ac:dyDescent="0.25">
      <c r="A5534"/>
    </row>
    <row r="5535" spans="1:1" x14ac:dyDescent="0.25">
      <c r="A5535"/>
    </row>
    <row r="5536" spans="1:1" x14ac:dyDescent="0.25">
      <c r="A5536"/>
    </row>
    <row r="5537" spans="1:1" x14ac:dyDescent="0.25">
      <c r="A5537"/>
    </row>
    <row r="5538" spans="1:1" x14ac:dyDescent="0.25">
      <c r="A5538"/>
    </row>
    <row r="5539" spans="1:1" x14ac:dyDescent="0.25">
      <c r="A5539"/>
    </row>
    <row r="5540" spans="1:1" x14ac:dyDescent="0.25">
      <c r="A5540"/>
    </row>
    <row r="5541" spans="1:1" x14ac:dyDescent="0.25">
      <c r="A5541"/>
    </row>
    <row r="5542" spans="1:1" x14ac:dyDescent="0.25">
      <c r="A5542"/>
    </row>
    <row r="5543" spans="1:1" x14ac:dyDescent="0.25">
      <c r="A5543"/>
    </row>
    <row r="5544" spans="1:1" x14ac:dyDescent="0.25">
      <c r="A5544"/>
    </row>
    <row r="5545" spans="1:1" x14ac:dyDescent="0.25">
      <c r="A5545"/>
    </row>
    <row r="5546" spans="1:1" x14ac:dyDescent="0.25">
      <c r="A5546"/>
    </row>
    <row r="5547" spans="1:1" x14ac:dyDescent="0.25">
      <c r="A5547"/>
    </row>
    <row r="5548" spans="1:1" x14ac:dyDescent="0.25">
      <c r="A5548"/>
    </row>
    <row r="5549" spans="1:1" x14ac:dyDescent="0.25">
      <c r="A5549"/>
    </row>
    <row r="5550" spans="1:1" x14ac:dyDescent="0.25">
      <c r="A5550"/>
    </row>
    <row r="5551" spans="1:1" x14ac:dyDescent="0.25">
      <c r="A5551"/>
    </row>
    <row r="5552" spans="1:1" x14ac:dyDescent="0.25">
      <c r="A5552"/>
    </row>
    <row r="5553" spans="1:1" x14ac:dyDescent="0.25">
      <c r="A5553"/>
    </row>
    <row r="5554" spans="1:1" x14ac:dyDescent="0.25">
      <c r="A5554"/>
    </row>
    <row r="5555" spans="1:1" x14ac:dyDescent="0.25">
      <c r="A5555"/>
    </row>
    <row r="5556" spans="1:1" x14ac:dyDescent="0.25">
      <c r="A5556"/>
    </row>
    <row r="5557" spans="1:1" x14ac:dyDescent="0.25">
      <c r="A5557"/>
    </row>
    <row r="5558" spans="1:1" x14ac:dyDescent="0.25">
      <c r="A5558"/>
    </row>
    <row r="5559" spans="1:1" x14ac:dyDescent="0.25">
      <c r="A5559"/>
    </row>
    <row r="5560" spans="1:1" x14ac:dyDescent="0.25">
      <c r="A5560"/>
    </row>
    <row r="5561" spans="1:1" x14ac:dyDescent="0.25">
      <c r="A5561"/>
    </row>
    <row r="5562" spans="1:1" x14ac:dyDescent="0.25">
      <c r="A5562"/>
    </row>
    <row r="5563" spans="1:1" x14ac:dyDescent="0.25">
      <c r="A5563"/>
    </row>
    <row r="5564" spans="1:1" x14ac:dyDescent="0.25">
      <c r="A5564"/>
    </row>
    <row r="5565" spans="1:1" x14ac:dyDescent="0.25">
      <c r="A5565"/>
    </row>
    <row r="5566" spans="1:1" x14ac:dyDescent="0.25">
      <c r="A5566"/>
    </row>
    <row r="5567" spans="1:1" x14ac:dyDescent="0.25">
      <c r="A5567"/>
    </row>
    <row r="5568" spans="1:1" x14ac:dyDescent="0.25">
      <c r="A5568"/>
    </row>
    <row r="5569" spans="1:1" x14ac:dyDescent="0.25">
      <c r="A5569"/>
    </row>
    <row r="5570" spans="1:1" x14ac:dyDescent="0.25">
      <c r="A5570"/>
    </row>
    <row r="5571" spans="1:1" x14ac:dyDescent="0.25">
      <c r="A5571"/>
    </row>
    <row r="5572" spans="1:1" x14ac:dyDescent="0.25">
      <c r="A5572"/>
    </row>
    <row r="5573" spans="1:1" x14ac:dyDescent="0.25">
      <c r="A5573"/>
    </row>
    <row r="5574" spans="1:1" x14ac:dyDescent="0.25">
      <c r="A5574"/>
    </row>
    <row r="5575" spans="1:1" x14ac:dyDescent="0.25">
      <c r="A5575"/>
    </row>
    <row r="5576" spans="1:1" x14ac:dyDescent="0.25">
      <c r="A5576"/>
    </row>
    <row r="5577" spans="1:1" x14ac:dyDescent="0.25">
      <c r="A5577"/>
    </row>
    <row r="5578" spans="1:1" x14ac:dyDescent="0.25">
      <c r="A5578"/>
    </row>
    <row r="5579" spans="1:1" x14ac:dyDescent="0.25">
      <c r="A5579"/>
    </row>
    <row r="5580" spans="1:1" x14ac:dyDescent="0.25">
      <c r="A5580"/>
    </row>
    <row r="5581" spans="1:1" x14ac:dyDescent="0.25">
      <c r="A5581"/>
    </row>
    <row r="5582" spans="1:1" x14ac:dyDescent="0.25">
      <c r="A5582"/>
    </row>
    <row r="5583" spans="1:1" x14ac:dyDescent="0.25">
      <c r="A5583"/>
    </row>
    <row r="5584" spans="1:1" x14ac:dyDescent="0.25">
      <c r="A5584"/>
    </row>
    <row r="5585" spans="1:1" x14ac:dyDescent="0.25">
      <c r="A5585"/>
    </row>
    <row r="5586" spans="1:1" x14ac:dyDescent="0.25">
      <c r="A5586"/>
    </row>
    <row r="5587" spans="1:1" x14ac:dyDescent="0.25">
      <c r="A5587"/>
    </row>
    <row r="5588" spans="1:1" x14ac:dyDescent="0.25">
      <c r="A5588"/>
    </row>
    <row r="5589" spans="1:1" x14ac:dyDescent="0.25">
      <c r="A5589"/>
    </row>
    <row r="5590" spans="1:1" x14ac:dyDescent="0.25">
      <c r="A5590"/>
    </row>
    <row r="5591" spans="1:1" x14ac:dyDescent="0.25">
      <c r="A5591"/>
    </row>
    <row r="5592" spans="1:1" x14ac:dyDescent="0.25">
      <c r="A5592"/>
    </row>
    <row r="5593" spans="1:1" x14ac:dyDescent="0.25">
      <c r="A5593"/>
    </row>
    <row r="5594" spans="1:1" x14ac:dyDescent="0.25">
      <c r="A5594"/>
    </row>
    <row r="5595" spans="1:1" x14ac:dyDescent="0.25">
      <c r="A5595"/>
    </row>
    <row r="5596" spans="1:1" x14ac:dyDescent="0.25">
      <c r="A5596"/>
    </row>
    <row r="5597" spans="1:1" x14ac:dyDescent="0.25">
      <c r="A5597"/>
    </row>
    <row r="5598" spans="1:1" x14ac:dyDescent="0.25">
      <c r="A5598"/>
    </row>
    <row r="5599" spans="1:1" x14ac:dyDescent="0.25">
      <c r="A5599"/>
    </row>
    <row r="5600" spans="1:1" x14ac:dyDescent="0.25">
      <c r="A5600"/>
    </row>
    <row r="5601" spans="1:1" x14ac:dyDescent="0.25">
      <c r="A5601"/>
    </row>
    <row r="5602" spans="1:1" x14ac:dyDescent="0.25">
      <c r="A5602"/>
    </row>
    <row r="5603" spans="1:1" x14ac:dyDescent="0.25">
      <c r="A5603"/>
    </row>
    <row r="5604" spans="1:1" x14ac:dyDescent="0.25">
      <c r="A5604"/>
    </row>
    <row r="5605" spans="1:1" x14ac:dyDescent="0.25">
      <c r="A5605"/>
    </row>
    <row r="5606" spans="1:1" x14ac:dyDescent="0.25">
      <c r="A5606"/>
    </row>
    <row r="5607" spans="1:1" x14ac:dyDescent="0.25">
      <c r="A5607"/>
    </row>
    <row r="5608" spans="1:1" x14ac:dyDescent="0.25">
      <c r="A5608"/>
    </row>
    <row r="5609" spans="1:1" x14ac:dyDescent="0.25">
      <c r="A5609"/>
    </row>
    <row r="5610" spans="1:1" x14ac:dyDescent="0.25">
      <c r="A5610"/>
    </row>
    <row r="5611" spans="1:1" x14ac:dyDescent="0.25">
      <c r="A5611"/>
    </row>
    <row r="5612" spans="1:1" x14ac:dyDescent="0.25">
      <c r="A5612"/>
    </row>
    <row r="5613" spans="1:1" x14ac:dyDescent="0.25">
      <c r="A5613"/>
    </row>
    <row r="5614" spans="1:1" x14ac:dyDescent="0.25">
      <c r="A5614"/>
    </row>
    <row r="5615" spans="1:1" x14ac:dyDescent="0.25">
      <c r="A5615"/>
    </row>
    <row r="5616" spans="1:1" x14ac:dyDescent="0.25">
      <c r="A5616"/>
    </row>
    <row r="5617" spans="1:1" x14ac:dyDescent="0.25">
      <c r="A5617"/>
    </row>
    <row r="5618" spans="1:1" x14ac:dyDescent="0.25">
      <c r="A5618"/>
    </row>
    <row r="5619" spans="1:1" x14ac:dyDescent="0.25">
      <c r="A5619"/>
    </row>
    <row r="5620" spans="1:1" x14ac:dyDescent="0.25">
      <c r="A5620"/>
    </row>
    <row r="5621" spans="1:1" x14ac:dyDescent="0.25">
      <c r="A5621"/>
    </row>
    <row r="5622" spans="1:1" x14ac:dyDescent="0.25">
      <c r="A5622"/>
    </row>
    <row r="5623" spans="1:1" x14ac:dyDescent="0.25">
      <c r="A5623"/>
    </row>
    <row r="5624" spans="1:1" x14ac:dyDescent="0.25">
      <c r="A5624"/>
    </row>
    <row r="5625" spans="1:1" x14ac:dyDescent="0.25">
      <c r="A5625"/>
    </row>
    <row r="5626" spans="1:1" x14ac:dyDescent="0.25">
      <c r="A5626"/>
    </row>
    <row r="5627" spans="1:1" x14ac:dyDescent="0.25">
      <c r="A5627"/>
    </row>
    <row r="5628" spans="1:1" x14ac:dyDescent="0.25">
      <c r="A5628"/>
    </row>
    <row r="5629" spans="1:1" x14ac:dyDescent="0.25">
      <c r="A5629"/>
    </row>
    <row r="5630" spans="1:1" x14ac:dyDescent="0.25">
      <c r="A5630"/>
    </row>
    <row r="5631" spans="1:1" x14ac:dyDescent="0.25">
      <c r="A5631"/>
    </row>
    <row r="5632" spans="1:1" x14ac:dyDescent="0.25">
      <c r="A5632"/>
    </row>
    <row r="5633" spans="1:1" x14ac:dyDescent="0.25">
      <c r="A5633"/>
    </row>
    <row r="5634" spans="1:1" x14ac:dyDescent="0.25">
      <c r="A5634"/>
    </row>
    <row r="5635" spans="1:1" x14ac:dyDescent="0.25">
      <c r="A5635"/>
    </row>
    <row r="5636" spans="1:1" x14ac:dyDescent="0.25">
      <c r="A5636"/>
    </row>
    <row r="5637" spans="1:1" x14ac:dyDescent="0.25">
      <c r="A5637"/>
    </row>
    <row r="5638" spans="1:1" x14ac:dyDescent="0.25">
      <c r="A5638"/>
    </row>
    <row r="5639" spans="1:1" x14ac:dyDescent="0.25">
      <c r="A5639"/>
    </row>
    <row r="5640" spans="1:1" x14ac:dyDescent="0.25">
      <c r="A5640"/>
    </row>
    <row r="5641" spans="1:1" x14ac:dyDescent="0.25">
      <c r="A5641"/>
    </row>
    <row r="5642" spans="1:1" x14ac:dyDescent="0.25">
      <c r="A5642"/>
    </row>
    <row r="5643" spans="1:1" x14ac:dyDescent="0.25">
      <c r="A5643"/>
    </row>
    <row r="5644" spans="1:1" x14ac:dyDescent="0.25">
      <c r="A5644"/>
    </row>
    <row r="5645" spans="1:1" x14ac:dyDescent="0.25">
      <c r="A5645"/>
    </row>
    <row r="5646" spans="1:1" x14ac:dyDescent="0.25">
      <c r="A5646"/>
    </row>
    <row r="5647" spans="1:1" x14ac:dyDescent="0.25">
      <c r="A5647"/>
    </row>
    <row r="5648" spans="1:1" x14ac:dyDescent="0.25">
      <c r="A5648"/>
    </row>
    <row r="5649" spans="1:1" x14ac:dyDescent="0.25">
      <c r="A5649"/>
    </row>
    <row r="5650" spans="1:1" x14ac:dyDescent="0.25">
      <c r="A5650"/>
    </row>
    <row r="5651" spans="1:1" x14ac:dyDescent="0.25">
      <c r="A5651"/>
    </row>
    <row r="5652" spans="1:1" x14ac:dyDescent="0.25">
      <c r="A5652"/>
    </row>
    <row r="5653" spans="1:1" x14ac:dyDescent="0.25">
      <c r="A5653"/>
    </row>
    <row r="5654" spans="1:1" x14ac:dyDescent="0.25">
      <c r="A5654"/>
    </row>
    <row r="5655" spans="1:1" x14ac:dyDescent="0.25">
      <c r="A5655"/>
    </row>
    <row r="5656" spans="1:1" x14ac:dyDescent="0.25">
      <c r="A5656"/>
    </row>
    <row r="5657" spans="1:1" x14ac:dyDescent="0.25">
      <c r="A5657"/>
    </row>
    <row r="5658" spans="1:1" x14ac:dyDescent="0.25">
      <c r="A5658"/>
    </row>
    <row r="5659" spans="1:1" x14ac:dyDescent="0.25">
      <c r="A5659"/>
    </row>
    <row r="5660" spans="1:1" x14ac:dyDescent="0.25">
      <c r="A5660"/>
    </row>
    <row r="5661" spans="1:1" x14ac:dyDescent="0.25">
      <c r="A5661"/>
    </row>
    <row r="5662" spans="1:1" x14ac:dyDescent="0.25">
      <c r="A5662"/>
    </row>
    <row r="5663" spans="1:1" x14ac:dyDescent="0.25">
      <c r="A5663"/>
    </row>
    <row r="5664" spans="1:1" x14ac:dyDescent="0.25">
      <c r="A5664"/>
    </row>
    <row r="5665" spans="1:1" x14ac:dyDescent="0.25">
      <c r="A5665"/>
    </row>
    <row r="5666" spans="1:1" x14ac:dyDescent="0.25">
      <c r="A5666"/>
    </row>
    <row r="5667" spans="1:1" x14ac:dyDescent="0.25">
      <c r="A5667"/>
    </row>
    <row r="5668" spans="1:1" x14ac:dyDescent="0.25">
      <c r="A5668"/>
    </row>
    <row r="5669" spans="1:1" x14ac:dyDescent="0.25">
      <c r="A5669"/>
    </row>
    <row r="5670" spans="1:1" x14ac:dyDescent="0.25">
      <c r="A5670"/>
    </row>
    <row r="5671" spans="1:1" x14ac:dyDescent="0.25">
      <c r="A5671"/>
    </row>
    <row r="5672" spans="1:1" x14ac:dyDescent="0.25">
      <c r="A5672"/>
    </row>
    <row r="5673" spans="1:1" x14ac:dyDescent="0.25">
      <c r="A5673"/>
    </row>
    <row r="5674" spans="1:1" x14ac:dyDescent="0.25">
      <c r="A5674"/>
    </row>
    <row r="5675" spans="1:1" x14ac:dyDescent="0.25">
      <c r="A5675"/>
    </row>
    <row r="5676" spans="1:1" x14ac:dyDescent="0.25">
      <c r="A5676"/>
    </row>
    <row r="5677" spans="1:1" x14ac:dyDescent="0.25">
      <c r="A5677"/>
    </row>
    <row r="5678" spans="1:1" x14ac:dyDescent="0.25">
      <c r="A5678"/>
    </row>
    <row r="5679" spans="1:1" x14ac:dyDescent="0.25">
      <c r="A5679"/>
    </row>
    <row r="5680" spans="1:1" x14ac:dyDescent="0.25">
      <c r="A5680"/>
    </row>
    <row r="5681" spans="1:1" x14ac:dyDescent="0.25">
      <c r="A5681"/>
    </row>
    <row r="5682" spans="1:1" x14ac:dyDescent="0.25">
      <c r="A5682"/>
    </row>
    <row r="5683" spans="1:1" x14ac:dyDescent="0.25">
      <c r="A5683"/>
    </row>
    <row r="5684" spans="1:1" x14ac:dyDescent="0.25">
      <c r="A5684"/>
    </row>
    <row r="5685" spans="1:1" x14ac:dyDescent="0.25">
      <c r="A5685"/>
    </row>
    <row r="5686" spans="1:1" x14ac:dyDescent="0.25">
      <c r="A5686"/>
    </row>
    <row r="5687" spans="1:1" x14ac:dyDescent="0.25">
      <c r="A5687"/>
    </row>
    <row r="5688" spans="1:1" x14ac:dyDescent="0.25">
      <c r="A5688"/>
    </row>
    <row r="5689" spans="1:1" x14ac:dyDescent="0.25">
      <c r="A5689"/>
    </row>
    <row r="5690" spans="1:1" x14ac:dyDescent="0.25">
      <c r="A5690"/>
    </row>
    <row r="5691" spans="1:1" x14ac:dyDescent="0.25">
      <c r="A5691"/>
    </row>
    <row r="5692" spans="1:1" x14ac:dyDescent="0.25">
      <c r="A5692"/>
    </row>
    <row r="5693" spans="1:1" x14ac:dyDescent="0.25">
      <c r="A5693"/>
    </row>
    <row r="5694" spans="1:1" x14ac:dyDescent="0.25">
      <c r="A5694"/>
    </row>
    <row r="5695" spans="1:1" x14ac:dyDescent="0.25">
      <c r="A5695"/>
    </row>
    <row r="5696" spans="1:1" x14ac:dyDescent="0.25">
      <c r="A5696"/>
    </row>
    <row r="5697" spans="1:1" x14ac:dyDescent="0.25">
      <c r="A5697"/>
    </row>
    <row r="5698" spans="1:1" x14ac:dyDescent="0.25">
      <c r="A5698"/>
    </row>
    <row r="5699" spans="1:1" x14ac:dyDescent="0.25">
      <c r="A5699"/>
    </row>
    <row r="5700" spans="1:1" x14ac:dyDescent="0.25">
      <c r="A5700"/>
    </row>
    <row r="5701" spans="1:1" x14ac:dyDescent="0.25">
      <c r="A5701"/>
    </row>
    <row r="5702" spans="1:1" x14ac:dyDescent="0.25">
      <c r="A5702"/>
    </row>
    <row r="5703" spans="1:1" x14ac:dyDescent="0.25">
      <c r="A5703"/>
    </row>
    <row r="5704" spans="1:1" x14ac:dyDescent="0.25">
      <c r="A5704"/>
    </row>
    <row r="5705" spans="1:1" x14ac:dyDescent="0.25">
      <c r="A5705"/>
    </row>
    <row r="5706" spans="1:1" x14ac:dyDescent="0.25">
      <c r="A5706"/>
    </row>
    <row r="5707" spans="1:1" x14ac:dyDescent="0.25">
      <c r="A5707"/>
    </row>
    <row r="5708" spans="1:1" x14ac:dyDescent="0.25">
      <c r="A5708"/>
    </row>
    <row r="5709" spans="1:1" x14ac:dyDescent="0.25">
      <c r="A5709"/>
    </row>
    <row r="5710" spans="1:1" x14ac:dyDescent="0.25">
      <c r="A5710"/>
    </row>
    <row r="5711" spans="1:1" x14ac:dyDescent="0.25">
      <c r="A5711"/>
    </row>
    <row r="5712" spans="1:1" x14ac:dyDescent="0.25">
      <c r="A5712"/>
    </row>
    <row r="5713" spans="1:1" x14ac:dyDescent="0.25">
      <c r="A5713"/>
    </row>
    <row r="5714" spans="1:1" x14ac:dyDescent="0.25">
      <c r="A5714"/>
    </row>
    <row r="5715" spans="1:1" x14ac:dyDescent="0.25">
      <c r="A5715"/>
    </row>
    <row r="5716" spans="1:1" x14ac:dyDescent="0.25">
      <c r="A5716"/>
    </row>
    <row r="5717" spans="1:1" x14ac:dyDescent="0.25">
      <c r="A5717"/>
    </row>
    <row r="5718" spans="1:1" x14ac:dyDescent="0.25">
      <c r="A5718"/>
    </row>
    <row r="5719" spans="1:1" x14ac:dyDescent="0.25">
      <c r="A5719"/>
    </row>
    <row r="5720" spans="1:1" x14ac:dyDescent="0.25">
      <c r="A5720"/>
    </row>
    <row r="5721" spans="1:1" x14ac:dyDescent="0.25">
      <c r="A5721"/>
    </row>
    <row r="5722" spans="1:1" x14ac:dyDescent="0.25">
      <c r="A5722"/>
    </row>
    <row r="5723" spans="1:1" x14ac:dyDescent="0.25">
      <c r="A5723"/>
    </row>
    <row r="5724" spans="1:1" x14ac:dyDescent="0.25">
      <c r="A5724"/>
    </row>
    <row r="5725" spans="1:1" x14ac:dyDescent="0.25">
      <c r="A5725"/>
    </row>
    <row r="5726" spans="1:1" x14ac:dyDescent="0.25">
      <c r="A5726"/>
    </row>
    <row r="5727" spans="1:1" x14ac:dyDescent="0.25">
      <c r="A5727"/>
    </row>
    <row r="5728" spans="1:1" x14ac:dyDescent="0.25">
      <c r="A5728"/>
    </row>
    <row r="5729" spans="1:1" x14ac:dyDescent="0.25">
      <c r="A5729"/>
    </row>
    <row r="5730" spans="1:1" x14ac:dyDescent="0.25">
      <c r="A5730"/>
    </row>
    <row r="5731" spans="1:1" x14ac:dyDescent="0.25">
      <c r="A5731"/>
    </row>
    <row r="5732" spans="1:1" x14ac:dyDescent="0.25">
      <c r="A5732"/>
    </row>
    <row r="5733" spans="1:1" x14ac:dyDescent="0.25">
      <c r="A5733"/>
    </row>
    <row r="5734" spans="1:1" x14ac:dyDescent="0.25">
      <c r="A5734"/>
    </row>
    <row r="5735" spans="1:1" x14ac:dyDescent="0.25">
      <c r="A5735"/>
    </row>
    <row r="5736" spans="1:1" x14ac:dyDescent="0.25">
      <c r="A5736"/>
    </row>
    <row r="5737" spans="1:1" x14ac:dyDescent="0.25">
      <c r="A5737"/>
    </row>
    <row r="5738" spans="1:1" x14ac:dyDescent="0.25">
      <c r="A5738"/>
    </row>
    <row r="5739" spans="1:1" x14ac:dyDescent="0.25">
      <c r="A5739"/>
    </row>
    <row r="5740" spans="1:1" x14ac:dyDescent="0.25">
      <c r="A5740"/>
    </row>
    <row r="5741" spans="1:1" x14ac:dyDescent="0.25">
      <c r="A5741"/>
    </row>
    <row r="5742" spans="1:1" x14ac:dyDescent="0.25">
      <c r="A5742"/>
    </row>
    <row r="5743" spans="1:1" x14ac:dyDescent="0.25">
      <c r="A5743"/>
    </row>
    <row r="5744" spans="1:1" x14ac:dyDescent="0.25">
      <c r="A5744"/>
    </row>
    <row r="5745" spans="1:1" x14ac:dyDescent="0.25">
      <c r="A5745"/>
    </row>
    <row r="5746" spans="1:1" x14ac:dyDescent="0.25">
      <c r="A5746"/>
    </row>
    <row r="5747" spans="1:1" x14ac:dyDescent="0.25">
      <c r="A5747"/>
    </row>
    <row r="5748" spans="1:1" x14ac:dyDescent="0.25">
      <c r="A5748"/>
    </row>
    <row r="5749" spans="1:1" x14ac:dyDescent="0.25">
      <c r="A5749"/>
    </row>
    <row r="5750" spans="1:1" x14ac:dyDescent="0.25">
      <c r="A5750"/>
    </row>
    <row r="5751" spans="1:1" x14ac:dyDescent="0.25">
      <c r="A5751"/>
    </row>
    <row r="5752" spans="1:1" x14ac:dyDescent="0.25">
      <c r="A5752"/>
    </row>
    <row r="5753" spans="1:1" x14ac:dyDescent="0.25">
      <c r="A5753"/>
    </row>
    <row r="5754" spans="1:1" x14ac:dyDescent="0.25">
      <c r="A5754"/>
    </row>
    <row r="5755" spans="1:1" x14ac:dyDescent="0.25">
      <c r="A5755"/>
    </row>
    <row r="5756" spans="1:1" x14ac:dyDescent="0.25">
      <c r="A5756"/>
    </row>
    <row r="5757" spans="1:1" x14ac:dyDescent="0.25">
      <c r="A5757"/>
    </row>
    <row r="5758" spans="1:1" x14ac:dyDescent="0.25">
      <c r="A5758"/>
    </row>
    <row r="5759" spans="1:1" x14ac:dyDescent="0.25">
      <c r="A5759"/>
    </row>
    <row r="5760" spans="1:1" x14ac:dyDescent="0.25">
      <c r="A5760"/>
    </row>
    <row r="5761" spans="1:1" x14ac:dyDescent="0.25">
      <c r="A5761"/>
    </row>
    <row r="5762" spans="1:1" x14ac:dyDescent="0.25">
      <c r="A5762"/>
    </row>
    <row r="5763" spans="1:1" x14ac:dyDescent="0.25">
      <c r="A5763"/>
    </row>
    <row r="5764" spans="1:1" x14ac:dyDescent="0.25">
      <c r="A5764"/>
    </row>
    <row r="5765" spans="1:1" x14ac:dyDescent="0.25">
      <c r="A5765"/>
    </row>
    <row r="5766" spans="1:1" x14ac:dyDescent="0.25">
      <c r="A5766"/>
    </row>
    <row r="5767" spans="1:1" x14ac:dyDescent="0.25">
      <c r="A5767"/>
    </row>
    <row r="5768" spans="1:1" x14ac:dyDescent="0.25">
      <c r="A5768"/>
    </row>
    <row r="5769" spans="1:1" x14ac:dyDescent="0.25">
      <c r="A5769"/>
    </row>
    <row r="5770" spans="1:1" x14ac:dyDescent="0.25">
      <c r="A5770"/>
    </row>
    <row r="5771" spans="1:1" x14ac:dyDescent="0.25">
      <c r="A5771"/>
    </row>
    <row r="5772" spans="1:1" x14ac:dyDescent="0.25">
      <c r="A5772"/>
    </row>
    <row r="5773" spans="1:1" x14ac:dyDescent="0.25">
      <c r="A5773"/>
    </row>
    <row r="5774" spans="1:1" x14ac:dyDescent="0.25">
      <c r="A5774"/>
    </row>
    <row r="5775" spans="1:1" x14ac:dyDescent="0.25">
      <c r="A5775"/>
    </row>
    <row r="5776" spans="1:1" x14ac:dyDescent="0.25">
      <c r="A5776"/>
    </row>
    <row r="5777" spans="1:1" x14ac:dyDescent="0.25">
      <c r="A5777"/>
    </row>
    <row r="5778" spans="1:1" x14ac:dyDescent="0.25">
      <c r="A5778"/>
    </row>
    <row r="5779" spans="1:1" x14ac:dyDescent="0.25">
      <c r="A5779"/>
    </row>
    <row r="5780" spans="1:1" x14ac:dyDescent="0.25">
      <c r="A5780"/>
    </row>
    <row r="5781" spans="1:1" x14ac:dyDescent="0.25">
      <c r="A5781"/>
    </row>
    <row r="5782" spans="1:1" x14ac:dyDescent="0.25">
      <c r="A5782"/>
    </row>
    <row r="5783" spans="1:1" x14ac:dyDescent="0.25">
      <c r="A5783"/>
    </row>
    <row r="5784" spans="1:1" x14ac:dyDescent="0.25">
      <c r="A5784"/>
    </row>
    <row r="5785" spans="1:1" x14ac:dyDescent="0.25">
      <c r="A5785"/>
    </row>
    <row r="5786" spans="1:1" x14ac:dyDescent="0.25">
      <c r="A5786"/>
    </row>
    <row r="5787" spans="1:1" x14ac:dyDescent="0.25">
      <c r="A5787"/>
    </row>
    <row r="5788" spans="1:1" x14ac:dyDescent="0.25">
      <c r="A5788"/>
    </row>
    <row r="5789" spans="1:1" x14ac:dyDescent="0.25">
      <c r="A5789"/>
    </row>
    <row r="5790" spans="1:1" x14ac:dyDescent="0.25">
      <c r="A5790"/>
    </row>
    <row r="5791" spans="1:1" x14ac:dyDescent="0.25">
      <c r="A5791"/>
    </row>
    <row r="5792" spans="1:1" x14ac:dyDescent="0.25">
      <c r="A5792"/>
    </row>
    <row r="5793" spans="1:1" x14ac:dyDescent="0.25">
      <c r="A5793"/>
    </row>
    <row r="5794" spans="1:1" x14ac:dyDescent="0.25">
      <c r="A5794"/>
    </row>
    <row r="5795" spans="1:1" x14ac:dyDescent="0.25">
      <c r="A5795"/>
    </row>
    <row r="5796" spans="1:1" x14ac:dyDescent="0.25">
      <c r="A5796"/>
    </row>
    <row r="5797" spans="1:1" x14ac:dyDescent="0.25">
      <c r="A5797"/>
    </row>
    <row r="5798" spans="1:1" x14ac:dyDescent="0.25">
      <c r="A5798"/>
    </row>
    <row r="5799" spans="1:1" x14ac:dyDescent="0.25">
      <c r="A5799"/>
    </row>
    <row r="5800" spans="1:1" x14ac:dyDescent="0.25">
      <c r="A5800"/>
    </row>
    <row r="5801" spans="1:1" x14ac:dyDescent="0.25">
      <c r="A5801"/>
    </row>
    <row r="5802" spans="1:1" x14ac:dyDescent="0.25">
      <c r="A5802"/>
    </row>
    <row r="5803" spans="1:1" x14ac:dyDescent="0.25">
      <c r="A5803"/>
    </row>
    <row r="5804" spans="1:1" x14ac:dyDescent="0.25">
      <c r="A5804"/>
    </row>
    <row r="5805" spans="1:1" x14ac:dyDescent="0.25">
      <c r="A5805"/>
    </row>
    <row r="5806" spans="1:1" x14ac:dyDescent="0.25">
      <c r="A5806"/>
    </row>
    <row r="5807" spans="1:1" x14ac:dyDescent="0.25">
      <c r="A5807"/>
    </row>
    <row r="5808" spans="1:1" x14ac:dyDescent="0.25">
      <c r="A5808"/>
    </row>
    <row r="5809" spans="1:1" x14ac:dyDescent="0.25">
      <c r="A5809"/>
    </row>
    <row r="5810" spans="1:1" x14ac:dyDescent="0.25">
      <c r="A5810"/>
    </row>
    <row r="5811" spans="1:1" x14ac:dyDescent="0.25">
      <c r="A5811"/>
    </row>
    <row r="5812" spans="1:1" x14ac:dyDescent="0.25">
      <c r="A5812"/>
    </row>
    <row r="5813" spans="1:1" x14ac:dyDescent="0.25">
      <c r="A5813"/>
    </row>
    <row r="5814" spans="1:1" x14ac:dyDescent="0.25">
      <c r="A5814"/>
    </row>
    <row r="5815" spans="1:1" x14ac:dyDescent="0.25">
      <c r="A5815"/>
    </row>
    <row r="5816" spans="1:1" x14ac:dyDescent="0.25">
      <c r="A5816"/>
    </row>
    <row r="5817" spans="1:1" x14ac:dyDescent="0.25">
      <c r="A5817"/>
    </row>
    <row r="5818" spans="1:1" x14ac:dyDescent="0.25">
      <c r="A5818"/>
    </row>
    <row r="5819" spans="1:1" x14ac:dyDescent="0.25">
      <c r="A5819"/>
    </row>
    <row r="5820" spans="1:1" x14ac:dyDescent="0.25">
      <c r="A5820"/>
    </row>
    <row r="5821" spans="1:1" x14ac:dyDescent="0.25">
      <c r="A5821"/>
    </row>
    <row r="5822" spans="1:1" x14ac:dyDescent="0.25">
      <c r="A5822"/>
    </row>
    <row r="5823" spans="1:1" x14ac:dyDescent="0.25">
      <c r="A5823"/>
    </row>
    <row r="5824" spans="1:1" x14ac:dyDescent="0.25">
      <c r="A5824"/>
    </row>
    <row r="5825" spans="1:1" x14ac:dyDescent="0.25">
      <c r="A5825"/>
    </row>
    <row r="5826" spans="1:1" x14ac:dyDescent="0.25">
      <c r="A5826"/>
    </row>
    <row r="5827" spans="1:1" x14ac:dyDescent="0.25">
      <c r="A5827"/>
    </row>
    <row r="5828" spans="1:1" x14ac:dyDescent="0.25">
      <c r="A5828"/>
    </row>
    <row r="5829" spans="1:1" x14ac:dyDescent="0.25">
      <c r="A5829"/>
    </row>
    <row r="5830" spans="1:1" x14ac:dyDescent="0.25">
      <c r="A5830"/>
    </row>
    <row r="5831" spans="1:1" x14ac:dyDescent="0.25">
      <c r="A5831"/>
    </row>
    <row r="5832" spans="1:1" x14ac:dyDescent="0.25">
      <c r="A5832"/>
    </row>
    <row r="5833" spans="1:1" x14ac:dyDescent="0.25">
      <c r="A5833"/>
    </row>
    <row r="5834" spans="1:1" x14ac:dyDescent="0.25">
      <c r="A5834"/>
    </row>
    <row r="5835" spans="1:1" x14ac:dyDescent="0.25">
      <c r="A5835"/>
    </row>
    <row r="5836" spans="1:1" x14ac:dyDescent="0.25">
      <c r="A5836"/>
    </row>
    <row r="5837" spans="1:1" x14ac:dyDescent="0.25">
      <c r="A5837"/>
    </row>
    <row r="5838" spans="1:1" x14ac:dyDescent="0.25">
      <c r="A5838"/>
    </row>
    <row r="5839" spans="1:1" x14ac:dyDescent="0.25">
      <c r="A5839"/>
    </row>
    <row r="5840" spans="1:1" x14ac:dyDescent="0.25">
      <c r="A5840"/>
    </row>
    <row r="5841" spans="1:1" x14ac:dyDescent="0.25">
      <c r="A5841"/>
    </row>
    <row r="5842" spans="1:1" x14ac:dyDescent="0.25">
      <c r="A5842"/>
    </row>
    <row r="5843" spans="1:1" x14ac:dyDescent="0.25">
      <c r="A5843"/>
    </row>
    <row r="5844" spans="1:1" x14ac:dyDescent="0.25">
      <c r="A5844"/>
    </row>
    <row r="5845" spans="1:1" x14ac:dyDescent="0.25">
      <c r="A5845"/>
    </row>
    <row r="5846" spans="1:1" x14ac:dyDescent="0.25">
      <c r="A5846"/>
    </row>
    <row r="5847" spans="1:1" x14ac:dyDescent="0.25">
      <c r="A5847"/>
    </row>
    <row r="5848" spans="1:1" x14ac:dyDescent="0.25">
      <c r="A5848"/>
    </row>
    <row r="5849" spans="1:1" x14ac:dyDescent="0.25">
      <c r="A5849"/>
    </row>
    <row r="5850" spans="1:1" x14ac:dyDescent="0.25">
      <c r="A5850"/>
    </row>
    <row r="5851" spans="1:1" x14ac:dyDescent="0.25">
      <c r="A5851"/>
    </row>
    <row r="5852" spans="1:1" x14ac:dyDescent="0.25">
      <c r="A5852"/>
    </row>
    <row r="5853" spans="1:1" x14ac:dyDescent="0.25">
      <c r="A5853"/>
    </row>
    <row r="5854" spans="1:1" x14ac:dyDescent="0.25">
      <c r="A5854"/>
    </row>
    <row r="5855" spans="1:1" x14ac:dyDescent="0.25">
      <c r="A5855"/>
    </row>
    <row r="5856" spans="1:1" x14ac:dyDescent="0.25">
      <c r="A5856"/>
    </row>
    <row r="5857" spans="1:1" x14ac:dyDescent="0.25">
      <c r="A5857"/>
    </row>
    <row r="5858" spans="1:1" x14ac:dyDescent="0.25">
      <c r="A5858"/>
    </row>
    <row r="5859" spans="1:1" x14ac:dyDescent="0.25">
      <c r="A5859"/>
    </row>
    <row r="5860" spans="1:1" x14ac:dyDescent="0.25">
      <c r="A5860"/>
    </row>
    <row r="5861" spans="1:1" x14ac:dyDescent="0.25">
      <c r="A5861"/>
    </row>
    <row r="5862" spans="1:1" x14ac:dyDescent="0.25">
      <c r="A5862"/>
    </row>
  </sheetData>
  <sheetProtection algorithmName="SHA-512" hashValue="uQ9AaEtqgA/HiPRm0yMbIfJSQLPdqBZRqcPvjUz0regZX3uX1AXk68NsORpZkhS0uwt3fZManecD3ZQs5hgwmA==" saltValue="f2x1oVRcyF4DDgXzdPBmkg==" spinCount="100000" sheet="1" objects="1" scenarios="1"/>
  <pageMargins left="0.7" right="0.7" top="0.75" bottom="0.75" header="0.3" footer="0.3"/>
  <pageSetup fitToHeight="0" orientation="landscape"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9">
    <tabColor rgb="FF92D050"/>
    <pageSetUpPr fitToPage="1"/>
  </sheetPr>
  <dimension ref="A2:Q5861"/>
  <sheetViews>
    <sheetView showGridLines="0" topLeftCell="B1" zoomScale="120" zoomScaleNormal="120" workbookViewId="0">
      <selection activeCell="K13" sqref="A1:XFD1048576"/>
    </sheetView>
  </sheetViews>
  <sheetFormatPr defaultRowHeight="15" x14ac:dyDescent="0.25"/>
  <cols>
    <col min="1" max="1" width="50.7109375" style="2" bestFit="1" customWidth="1"/>
    <col min="2" max="13" width="13.42578125" bestFit="1" customWidth="1"/>
    <col min="14" max="14" width="14.140625" bestFit="1" customWidth="1"/>
    <col min="15" max="15" width="11.28515625" hidden="1" customWidth="1"/>
    <col min="16" max="16" width="12.7109375" hidden="1" customWidth="1"/>
    <col min="17" max="17" width="11.140625" bestFit="1" customWidth="1"/>
    <col min="18" max="20" width="12.7109375" bestFit="1" customWidth="1"/>
    <col min="21" max="21" width="8.42578125" bestFit="1" customWidth="1"/>
    <col min="22" max="22" width="9.42578125" bestFit="1" customWidth="1"/>
    <col min="23" max="24" width="8.42578125" bestFit="1" customWidth="1"/>
    <col min="26" max="26" width="11.28515625" bestFit="1" customWidth="1"/>
  </cols>
  <sheetData>
    <row r="2" spans="1:17" x14ac:dyDescent="0.25">
      <c r="A2" s="35"/>
      <c r="N2" s="78" t="s">
        <v>325</v>
      </c>
      <c r="O2" t="s">
        <v>214</v>
      </c>
      <c r="P2" t="s">
        <v>215</v>
      </c>
    </row>
    <row r="3" spans="1:17" s="73" customFormat="1" x14ac:dyDescent="0.25">
      <c r="A3" s="33" t="s">
        <v>213</v>
      </c>
      <c r="B3" s="79">
        <v>1</v>
      </c>
      <c r="C3" s="80">
        <f>B3+1</f>
        <v>2</v>
      </c>
      <c r="D3" s="80">
        <f t="shared" ref="D3:M3" si="0">C3+1</f>
        <v>3</v>
      </c>
      <c r="E3" s="80">
        <f t="shared" si="0"/>
        <v>4</v>
      </c>
      <c r="F3" s="80">
        <f t="shared" si="0"/>
        <v>5</v>
      </c>
      <c r="G3" s="80">
        <f t="shared" si="0"/>
        <v>6</v>
      </c>
      <c r="H3" s="80">
        <f t="shared" si="0"/>
        <v>7</v>
      </c>
      <c r="I3" s="80">
        <f t="shared" si="0"/>
        <v>8</v>
      </c>
      <c r="J3" s="80">
        <f t="shared" si="0"/>
        <v>9</v>
      </c>
      <c r="K3" s="80">
        <f t="shared" si="0"/>
        <v>10</v>
      </c>
      <c r="L3" s="80">
        <f t="shared" si="0"/>
        <v>11</v>
      </c>
      <c r="M3" s="80">
        <f t="shared" si="0"/>
        <v>12</v>
      </c>
      <c r="N3" s="81" t="s">
        <v>153</v>
      </c>
    </row>
    <row r="4" spans="1:17" s="15" customFormat="1" x14ac:dyDescent="0.25">
      <c r="A4" s="67" t="s">
        <v>229</v>
      </c>
      <c r="B4" s="82">
        <f>'BU_pomosen_meseceн CUBE'!C59</f>
        <v>-14669195</v>
      </c>
      <c r="C4" s="82">
        <f>'BU_pomosen_meseceн CUBE'!D59</f>
        <v>62340379</v>
      </c>
      <c r="D4" s="82">
        <f>'BU_pomosen_meseceн CUBE'!E59</f>
        <v>73796897</v>
      </c>
      <c r="E4" s="82">
        <f>'BU_pomosen_meseceн CUBE'!F59</f>
        <v>-12992229</v>
      </c>
      <c r="F4" s="82">
        <f>'BU_pomosen_meseceн CUBE'!G59</f>
        <v>-10359175</v>
      </c>
      <c r="G4" s="82">
        <f>'BU_pomosen_meseceн CUBE'!H59</f>
        <v>-10603139</v>
      </c>
      <c r="H4" s="82">
        <f>'BU_pomosen_meseceн CUBE'!I59</f>
        <v>-22692215</v>
      </c>
      <c r="I4" s="82">
        <f>'BU_pomosen_meseceн CUBE'!J59</f>
        <v>-17408246</v>
      </c>
      <c r="J4" s="82">
        <f>'BU_pomosen_meseceн CUBE'!K59</f>
        <v>-11464334</v>
      </c>
      <c r="K4" s="82">
        <f>'BU_pomosen_meseceн CUBE'!L59</f>
        <v>-12594088</v>
      </c>
      <c r="L4" s="82">
        <f>'BU_pomosen_meseceн CUBE'!M59</f>
        <v>-14053901</v>
      </c>
      <c r="M4" s="82">
        <f>'BU_pomosen_meseceн CUBE'!N59</f>
        <v>-7921932</v>
      </c>
      <c r="N4" s="83">
        <f>SUM(B4:M4)</f>
        <v>1378822</v>
      </c>
    </row>
    <row r="5" spans="1:17" x14ac:dyDescent="0.25">
      <c r="A5" s="43" t="s">
        <v>196</v>
      </c>
      <c r="B5" s="82">
        <f>Amortizacija_CUBE!D21</f>
        <v>4690673</v>
      </c>
      <c r="C5" s="82">
        <f>Amortizacija_CUBE!E21</f>
        <v>4690673</v>
      </c>
      <c r="D5" s="82">
        <f>Amortizacija_CUBE!F21</f>
        <v>5066278</v>
      </c>
      <c r="E5" s="82">
        <f>Amortizacija_CUBE!G21</f>
        <v>5348658</v>
      </c>
      <c r="F5" s="82">
        <f>Amortizacija_CUBE!H21</f>
        <v>5374908</v>
      </c>
      <c r="G5" s="82">
        <f>Amortizacija_CUBE!I21</f>
        <v>5378033</v>
      </c>
      <c r="H5" s="82">
        <f>Amortizacija_CUBE!J21</f>
        <v>5378033</v>
      </c>
      <c r="I5" s="82">
        <f>Amortizacija_CUBE!K21</f>
        <v>5623866</v>
      </c>
      <c r="J5" s="82">
        <f>Amortizacija_CUBE!L21</f>
        <v>5838241</v>
      </c>
      <c r="K5" s="82">
        <f>Amortizacija_CUBE!M21</f>
        <v>6088054</v>
      </c>
      <c r="L5" s="82">
        <f>Amortizacija_CUBE!N21</f>
        <v>6284929</v>
      </c>
      <c r="M5" s="82">
        <f>Amortizacija_CUBE!O21</f>
        <v>6722116</v>
      </c>
      <c r="N5" s="83">
        <f t="shared" ref="N5:N18" si="1">SUM(B5:M5)</f>
        <v>66484462</v>
      </c>
      <c r="Q5" s="145">
        <f>N5-'2. Bilans Na Uspeh'!F90</f>
        <v>0</v>
      </c>
    </row>
    <row r="6" spans="1:17" x14ac:dyDescent="0.25">
      <c r="A6" s="43" t="s">
        <v>197</v>
      </c>
      <c r="B6" s="82">
        <v>0</v>
      </c>
      <c r="C6" s="82">
        <v>0</v>
      </c>
      <c r="D6" s="82">
        <v>0</v>
      </c>
      <c r="E6" s="82">
        <v>0</v>
      </c>
      <c r="F6" s="82">
        <v>0</v>
      </c>
      <c r="G6" s="82">
        <v>0</v>
      </c>
      <c r="H6" s="82">
        <v>0</v>
      </c>
      <c r="I6" s="82">
        <v>0</v>
      </c>
      <c r="J6" s="82">
        <v>0</v>
      </c>
      <c r="K6" s="82">
        <v>0</v>
      </c>
      <c r="L6" s="82">
        <v>0</v>
      </c>
      <c r="M6" s="82">
        <v>0</v>
      </c>
      <c r="N6" s="83">
        <f t="shared" si="1"/>
        <v>0</v>
      </c>
    </row>
    <row r="7" spans="1:17" s="8" customFormat="1" x14ac:dyDescent="0.25">
      <c r="A7" s="43" t="s">
        <v>198</v>
      </c>
      <c r="B7" s="82">
        <f>БС!C13-БС!D13</f>
        <v>0</v>
      </c>
      <c r="C7" s="82">
        <f>БС!D13-БС!E13</f>
        <v>0</v>
      </c>
      <c r="D7" s="82">
        <f>БС!E13-БС!F13</f>
        <v>0</v>
      </c>
      <c r="E7" s="82">
        <f>БС!F13-БС!G13</f>
        <v>0</v>
      </c>
      <c r="F7" s="82">
        <f>БС!G13-БС!H13</f>
        <v>0</v>
      </c>
      <c r="G7" s="82">
        <f>БС!H13-БС!I13</f>
        <v>0</v>
      </c>
      <c r="H7" s="82">
        <f>БС!I13-БС!J13</f>
        <v>0</v>
      </c>
      <c r="I7" s="82">
        <f>БС!J13-БС!K13</f>
        <v>0</v>
      </c>
      <c r="J7" s="82">
        <f>БС!K13-БС!L13</f>
        <v>0</v>
      </c>
      <c r="K7" s="82">
        <f>БС!L13-БС!M13</f>
        <v>0</v>
      </c>
      <c r="L7" s="82">
        <f>БС!M13-БС!N13</f>
        <v>0</v>
      </c>
      <c r="M7" s="82">
        <f>БС!N13-БС!O13</f>
        <v>0</v>
      </c>
      <c r="N7" s="83">
        <f t="shared" si="1"/>
        <v>0</v>
      </c>
    </row>
    <row r="8" spans="1:17" s="8" customFormat="1" x14ac:dyDescent="0.25">
      <c r="A8" s="43" t="s">
        <v>199</v>
      </c>
      <c r="B8" s="82">
        <f>БС!C14-БС!D14</f>
        <v>0</v>
      </c>
      <c r="C8" s="82">
        <f>БС!D14-БС!E14</f>
        <v>0</v>
      </c>
      <c r="D8" s="82">
        <f>БС!E14-БС!F14</f>
        <v>0</v>
      </c>
      <c r="E8" s="82">
        <f>БС!F14-БС!G14</f>
        <v>0</v>
      </c>
      <c r="F8" s="82">
        <f>БС!G14-БС!H14</f>
        <v>0</v>
      </c>
      <c r="G8" s="82">
        <f>БС!H14-БС!I14</f>
        <v>0</v>
      </c>
      <c r="H8" s="82">
        <f>БС!I14-БС!J14</f>
        <v>0</v>
      </c>
      <c r="I8" s="82">
        <f>БС!J14-БС!K14</f>
        <v>0</v>
      </c>
      <c r="J8" s="82">
        <f>БС!K14-БС!L14</f>
        <v>0</v>
      </c>
      <c r="K8" s="82">
        <f>БС!L14-БС!M14</f>
        <v>0</v>
      </c>
      <c r="L8" s="82">
        <f>БС!M14-БС!N14</f>
        <v>0</v>
      </c>
      <c r="M8" s="82">
        <f>БС!N14-БС!O14</f>
        <v>0</v>
      </c>
      <c r="N8" s="83">
        <f t="shared" si="1"/>
        <v>0</v>
      </c>
    </row>
    <row r="9" spans="1:17" s="8" customFormat="1" x14ac:dyDescent="0.25">
      <c r="A9" s="43" t="s">
        <v>200</v>
      </c>
      <c r="B9" s="82">
        <f>БС!D27-БС!C27</f>
        <v>0</v>
      </c>
      <c r="C9" s="82">
        <f>БС!E27-БС!D27</f>
        <v>0</v>
      </c>
      <c r="D9" s="82">
        <f>БС!F27-БС!E27</f>
        <v>0</v>
      </c>
      <c r="E9" s="82">
        <f>БС!G27-БС!F27</f>
        <v>0</v>
      </c>
      <c r="F9" s="82">
        <f>БС!H27-БС!G27</f>
        <v>0</v>
      </c>
      <c r="G9" s="82">
        <f>БС!I27-БС!H27</f>
        <v>0</v>
      </c>
      <c r="H9" s="82">
        <f>БС!J27-БС!I27</f>
        <v>0</v>
      </c>
      <c r="I9" s="82">
        <f>БС!K27-БС!J27</f>
        <v>0</v>
      </c>
      <c r="J9" s="82">
        <f>БС!L27-БС!K27</f>
        <v>0</v>
      </c>
      <c r="K9" s="82">
        <f>БС!M27-БС!L27</f>
        <v>0</v>
      </c>
      <c r="L9" s="82">
        <f>БС!N27-БС!M27</f>
        <v>0</v>
      </c>
      <c r="M9" s="82">
        <f>БС!O27-БС!N27</f>
        <v>19012130</v>
      </c>
      <c r="N9" s="83">
        <f t="shared" si="1"/>
        <v>19012130</v>
      </c>
    </row>
    <row r="10" spans="1:17" s="8" customFormat="1" x14ac:dyDescent="0.25">
      <c r="A10" s="68" t="s">
        <v>201</v>
      </c>
      <c r="B10" s="84">
        <f>БС!C16-БС!D16</f>
        <v>0</v>
      </c>
      <c r="C10" s="84">
        <f>БС!D16-БС!E16</f>
        <v>0</v>
      </c>
      <c r="D10" s="84">
        <f>БС!E16-БС!F16</f>
        <v>0</v>
      </c>
      <c r="E10" s="84">
        <f>БС!F16-БС!G16</f>
        <v>0</v>
      </c>
      <c r="F10" s="84">
        <f>БС!G16-БС!H16</f>
        <v>0</v>
      </c>
      <c r="G10" s="84">
        <f>БС!H16-БС!I16</f>
        <v>0</v>
      </c>
      <c r="H10" s="84">
        <f>БС!I16-БС!J16</f>
        <v>0</v>
      </c>
      <c r="I10" s="84">
        <f>БС!J16-БС!K16</f>
        <v>0</v>
      </c>
      <c r="J10" s="84">
        <f>БС!K16-БС!L16</f>
        <v>0</v>
      </c>
      <c r="K10" s="84">
        <f>БС!L16-БС!M16</f>
        <v>0</v>
      </c>
      <c r="L10" s="84">
        <f>БС!M16-БС!N16</f>
        <v>0</v>
      </c>
      <c r="M10" s="84">
        <f>БС!N16-БС!O16</f>
        <v>0</v>
      </c>
      <c r="N10" s="85">
        <f t="shared" si="1"/>
        <v>0</v>
      </c>
    </row>
    <row r="11" spans="1:17" x14ac:dyDescent="0.25">
      <c r="A11" s="43" t="s">
        <v>202</v>
      </c>
      <c r="B11" s="82">
        <f>БС!D28-БС!C28</f>
        <v>-392981</v>
      </c>
      <c r="C11" s="82">
        <f>БС!E28-БС!D28</f>
        <v>-392981</v>
      </c>
      <c r="D11" s="82">
        <f>БС!F28-БС!E28</f>
        <v>-392981</v>
      </c>
      <c r="E11" s="82">
        <f>БС!G28-БС!F28</f>
        <v>-392981</v>
      </c>
      <c r="F11" s="82">
        <f>БС!H28-БС!G28</f>
        <v>-392981</v>
      </c>
      <c r="G11" s="82">
        <f>БС!I28-БС!H28</f>
        <v>-392981</v>
      </c>
      <c r="H11" s="82">
        <f>БС!J28-БС!I28</f>
        <v>-392981</v>
      </c>
      <c r="I11" s="82">
        <f>БС!K28-БС!J28</f>
        <v>-392981</v>
      </c>
      <c r="J11" s="82">
        <f>БС!L28-БС!K28</f>
        <v>-392981</v>
      </c>
      <c r="K11" s="82">
        <f>БС!M28-БС!L28</f>
        <v>-392981</v>
      </c>
      <c r="L11" s="82">
        <f>БС!N28-БС!M28</f>
        <v>-589856</v>
      </c>
      <c r="M11" s="82">
        <f>БС!O28-БС!N28</f>
        <v>-589856</v>
      </c>
      <c r="N11" s="83">
        <f t="shared" si="1"/>
        <v>-5109522</v>
      </c>
    </row>
    <row r="12" spans="1:17" s="8" customFormat="1" x14ac:dyDescent="0.25">
      <c r="A12" s="28" t="s">
        <v>203</v>
      </c>
      <c r="B12" s="86">
        <f>SUM(B4:B11)</f>
        <v>-10371503</v>
      </c>
      <c r="C12" s="86">
        <f t="shared" ref="C12:N12" si="2">SUM(C4:C11)</f>
        <v>66638071</v>
      </c>
      <c r="D12" s="86">
        <f t="shared" si="2"/>
        <v>78470194</v>
      </c>
      <c r="E12" s="86">
        <f t="shared" si="2"/>
        <v>-8036552</v>
      </c>
      <c r="F12" s="86">
        <f t="shared" si="2"/>
        <v>-5377248</v>
      </c>
      <c r="G12" s="86">
        <f t="shared" si="2"/>
        <v>-5618087</v>
      </c>
      <c r="H12" s="86">
        <f t="shared" si="2"/>
        <v>-17707163</v>
      </c>
      <c r="I12" s="86">
        <f t="shared" si="2"/>
        <v>-12177361</v>
      </c>
      <c r="J12" s="86">
        <f t="shared" si="2"/>
        <v>-6019074</v>
      </c>
      <c r="K12" s="86">
        <f t="shared" si="2"/>
        <v>-6899015</v>
      </c>
      <c r="L12" s="86">
        <f t="shared" si="2"/>
        <v>-8358828</v>
      </c>
      <c r="M12" s="86">
        <f t="shared" si="2"/>
        <v>17222458</v>
      </c>
      <c r="N12" s="87">
        <f t="shared" si="2"/>
        <v>81765892</v>
      </c>
      <c r="O12" s="8">
        <f>102480895/1000</f>
        <v>102480.895</v>
      </c>
      <c r="P12" s="14">
        <f>O12-N12</f>
        <v>-81663411.105000004</v>
      </c>
    </row>
    <row r="13" spans="1:17" s="8" customFormat="1" x14ac:dyDescent="0.25">
      <c r="A13" s="28" t="s">
        <v>204</v>
      </c>
      <c r="B13" s="86">
        <f>'CAPEX po meseci CUBE'!F33*-1</f>
        <v>-6326000</v>
      </c>
      <c r="C13" s="86">
        <f>'CAPEX po meseci CUBE'!G33*-1</f>
        <v>-495600</v>
      </c>
      <c r="D13" s="86">
        <f>'CAPEX po meseci CUBE'!H33*-1</f>
        <v>-19829000</v>
      </c>
      <c r="E13" s="86">
        <f>'CAPEX po meseci CUBE'!I33*-1</f>
        <v>-12669250</v>
      </c>
      <c r="F13" s="86">
        <f>'CAPEX po meseci CUBE'!J33*-1</f>
        <v>-1260000</v>
      </c>
      <c r="G13" s="86">
        <f>'CAPEX po meseci CUBE'!K33*-1</f>
        <v>-150000</v>
      </c>
      <c r="H13" s="86">
        <f>'CAPEX po meseci CUBE'!L33*-1</f>
        <v>0</v>
      </c>
      <c r="I13" s="86">
        <f>'CAPEX po meseci CUBE'!M33*-1</f>
        <v>-11800000</v>
      </c>
      <c r="J13" s="86">
        <f>'CAPEX po meseci CUBE'!N33*-1</f>
        <v>-17390000</v>
      </c>
      <c r="K13" s="86">
        <f>'CAPEX po meseci CUBE'!O33*-1</f>
        <v>-7820000</v>
      </c>
      <c r="L13" s="86">
        <f>'CAPEX po meseci CUBE'!P33*-1</f>
        <v>-24450000</v>
      </c>
      <c r="M13" s="86">
        <f>'CAPEX po meseci CUBE'!Q33*-1</f>
        <v>-20985000</v>
      </c>
      <c r="N13" s="87">
        <f t="shared" si="1"/>
        <v>-123174850</v>
      </c>
      <c r="O13" s="8">
        <f>-196524970/1000</f>
        <v>-196524.97</v>
      </c>
      <c r="P13" s="14">
        <f>O13-N13</f>
        <v>122978325.03</v>
      </c>
    </row>
    <row r="14" spans="1:17" s="8" customFormat="1" x14ac:dyDescent="0.25">
      <c r="A14" s="28" t="s">
        <v>205</v>
      </c>
      <c r="B14" s="86">
        <f>SUM(B15:B18)</f>
        <v>0</v>
      </c>
      <c r="C14" s="86">
        <f t="shared" ref="C14:M14" si="3">SUM(C15:C18)</f>
        <v>0</v>
      </c>
      <c r="D14" s="86">
        <f t="shared" si="3"/>
        <v>0</v>
      </c>
      <c r="E14" s="86">
        <f t="shared" si="3"/>
        <v>0</v>
      </c>
      <c r="F14" s="86">
        <f t="shared" si="3"/>
        <v>0</v>
      </c>
      <c r="G14" s="86">
        <f t="shared" si="3"/>
        <v>0</v>
      </c>
      <c r="H14" s="86">
        <f t="shared" si="3"/>
        <v>0</v>
      </c>
      <c r="I14" s="86">
        <f t="shared" si="3"/>
        <v>0</v>
      </c>
      <c r="J14" s="86">
        <f t="shared" si="3"/>
        <v>0</v>
      </c>
      <c r="K14" s="86">
        <f t="shared" si="3"/>
        <v>0</v>
      </c>
      <c r="L14" s="86">
        <f t="shared" si="3"/>
        <v>0</v>
      </c>
      <c r="M14" s="86">
        <f t="shared" si="3"/>
        <v>0</v>
      </c>
      <c r="N14" s="87">
        <f t="shared" si="1"/>
        <v>0</v>
      </c>
    </row>
    <row r="15" spans="1:17" x14ac:dyDescent="0.25">
      <c r="A15" s="43" t="s">
        <v>206</v>
      </c>
      <c r="B15" s="82">
        <v>0</v>
      </c>
      <c r="C15" s="82">
        <v>0</v>
      </c>
      <c r="D15" s="82">
        <v>0</v>
      </c>
      <c r="E15" s="82">
        <v>0</v>
      </c>
      <c r="F15" s="82">
        <v>0</v>
      </c>
      <c r="G15" s="82">
        <v>0</v>
      </c>
      <c r="H15" s="82">
        <v>0</v>
      </c>
      <c r="I15" s="82">
        <v>0</v>
      </c>
      <c r="J15" s="82">
        <v>0</v>
      </c>
      <c r="K15" s="82">
        <v>0</v>
      </c>
      <c r="L15" s="82">
        <v>0</v>
      </c>
      <c r="M15" s="82">
        <v>0</v>
      </c>
      <c r="N15" s="83">
        <f t="shared" si="1"/>
        <v>0</v>
      </c>
    </row>
    <row r="16" spans="1:17" x14ac:dyDescent="0.25">
      <c r="A16" s="43" t="s">
        <v>207</v>
      </c>
      <c r="B16" s="82">
        <f>БС!D30-БС!C30</f>
        <v>0</v>
      </c>
      <c r="C16" s="82">
        <f>БС!E30-БС!D30</f>
        <v>0</v>
      </c>
      <c r="D16" s="82">
        <f>БС!F30-БС!E30</f>
        <v>0</v>
      </c>
      <c r="E16" s="82">
        <f>БС!G30-БС!F30</f>
        <v>0</v>
      </c>
      <c r="F16" s="82">
        <f>БС!H30-БС!G30</f>
        <v>0</v>
      </c>
      <c r="G16" s="82">
        <f>БС!I30-БС!H30</f>
        <v>0</v>
      </c>
      <c r="H16" s="82">
        <f>БС!J30-БС!I30</f>
        <v>0</v>
      </c>
      <c r="I16" s="82">
        <f>БС!K30-БС!J30</f>
        <v>0</v>
      </c>
      <c r="J16" s="82">
        <f>БС!L30-БС!K30</f>
        <v>0</v>
      </c>
      <c r="K16" s="82">
        <f>БС!M30-БС!L30</f>
        <v>0</v>
      </c>
      <c r="L16" s="82">
        <f>БС!N30-БС!M30</f>
        <v>0</v>
      </c>
      <c r="M16" s="82">
        <f>БС!O30-БС!N30</f>
        <v>0</v>
      </c>
      <c r="N16" s="83">
        <f t="shared" si="1"/>
        <v>0</v>
      </c>
    </row>
    <row r="17" spans="1:16" x14ac:dyDescent="0.25">
      <c r="A17" s="43" t="s">
        <v>208</v>
      </c>
      <c r="B17" s="82">
        <v>0</v>
      </c>
      <c r="C17" s="82">
        <v>0</v>
      </c>
      <c r="D17" s="82">
        <v>0</v>
      </c>
      <c r="E17" s="82">
        <v>0</v>
      </c>
      <c r="F17" s="82">
        <v>0</v>
      </c>
      <c r="G17" s="82">
        <v>0</v>
      </c>
      <c r="H17" s="82">
        <v>0</v>
      </c>
      <c r="I17" s="82">
        <v>0</v>
      </c>
      <c r="J17" s="82">
        <v>0</v>
      </c>
      <c r="K17" s="82">
        <v>0</v>
      </c>
      <c r="L17" s="82">
        <v>0</v>
      </c>
      <c r="M17" s="82">
        <v>0</v>
      </c>
      <c r="N17" s="83">
        <f t="shared" si="1"/>
        <v>0</v>
      </c>
    </row>
    <row r="18" spans="1:16" x14ac:dyDescent="0.25">
      <c r="A18" s="43" t="s">
        <v>209</v>
      </c>
      <c r="B18" s="82">
        <v>0</v>
      </c>
      <c r="C18" s="82">
        <v>0</v>
      </c>
      <c r="D18" s="82">
        <v>0</v>
      </c>
      <c r="E18" s="82">
        <v>0</v>
      </c>
      <c r="F18" s="82">
        <v>0</v>
      </c>
      <c r="G18" s="82">
        <v>0</v>
      </c>
      <c r="H18" s="82">
        <v>0</v>
      </c>
      <c r="I18" s="82">
        <v>0</v>
      </c>
      <c r="J18" s="82">
        <v>0</v>
      </c>
      <c r="K18" s="82">
        <v>0</v>
      </c>
      <c r="L18" s="82">
        <v>0</v>
      </c>
      <c r="M18" s="82">
        <v>0</v>
      </c>
      <c r="N18" s="83">
        <f t="shared" si="1"/>
        <v>0</v>
      </c>
    </row>
    <row r="19" spans="1:16" s="8" customFormat="1" x14ac:dyDescent="0.25">
      <c r="A19" s="28" t="s">
        <v>210</v>
      </c>
      <c r="B19" s="86">
        <f>SUM(B12:B14)</f>
        <v>-16697503</v>
      </c>
      <c r="C19" s="86">
        <f t="shared" ref="C19:M19" si="4">SUM(C12:C14)</f>
        <v>66142471</v>
      </c>
      <c r="D19" s="86">
        <f t="shared" si="4"/>
        <v>58641194</v>
      </c>
      <c r="E19" s="86">
        <f t="shared" si="4"/>
        <v>-20705802</v>
      </c>
      <c r="F19" s="86">
        <f t="shared" si="4"/>
        <v>-6637248</v>
      </c>
      <c r="G19" s="86">
        <f t="shared" si="4"/>
        <v>-5768087</v>
      </c>
      <c r="H19" s="86">
        <f t="shared" si="4"/>
        <v>-17707163</v>
      </c>
      <c r="I19" s="86">
        <f t="shared" si="4"/>
        <v>-23977361</v>
      </c>
      <c r="J19" s="86">
        <f t="shared" si="4"/>
        <v>-23409074</v>
      </c>
      <c r="K19" s="86">
        <f t="shared" si="4"/>
        <v>-14719015</v>
      </c>
      <c r="L19" s="86">
        <f t="shared" si="4"/>
        <v>-32808828</v>
      </c>
      <c r="M19" s="86">
        <f t="shared" si="4"/>
        <v>-3762542</v>
      </c>
      <c r="N19" s="87">
        <f>SUM(N12:N14)</f>
        <v>-41408958</v>
      </c>
      <c r="O19" s="8">
        <f>-94044075/1000</f>
        <v>-94044.074999999997</v>
      </c>
      <c r="P19" s="14">
        <f>O19-N19</f>
        <v>41314913.924999997</v>
      </c>
    </row>
    <row r="20" spans="1:16" s="8" customFormat="1" x14ac:dyDescent="0.25">
      <c r="A20" s="28" t="s">
        <v>211</v>
      </c>
      <c r="B20" s="86">
        <f>БС!C12</f>
        <v>194365031</v>
      </c>
      <c r="C20" s="86">
        <f>B21</f>
        <v>177667528</v>
      </c>
      <c r="D20" s="86">
        <f t="shared" ref="D20:M20" si="5">C21</f>
        <v>243809999</v>
      </c>
      <c r="E20" s="86">
        <f t="shared" si="5"/>
        <v>302451193</v>
      </c>
      <c r="F20" s="86">
        <f t="shared" si="5"/>
        <v>281745391</v>
      </c>
      <c r="G20" s="86">
        <f t="shared" si="5"/>
        <v>275108143</v>
      </c>
      <c r="H20" s="86">
        <f t="shared" si="5"/>
        <v>269340056</v>
      </c>
      <c r="I20" s="86">
        <f t="shared" si="5"/>
        <v>251632893</v>
      </c>
      <c r="J20" s="86">
        <f t="shared" si="5"/>
        <v>227655532</v>
      </c>
      <c r="K20" s="86">
        <f t="shared" si="5"/>
        <v>204246458</v>
      </c>
      <c r="L20" s="86">
        <f t="shared" si="5"/>
        <v>189527443</v>
      </c>
      <c r="M20" s="86">
        <f t="shared" si="5"/>
        <v>156718615</v>
      </c>
      <c r="N20" s="87">
        <f>B20</f>
        <v>194365031</v>
      </c>
      <c r="O20" s="8">
        <f>150857906/1000</f>
        <v>150857.90599999999</v>
      </c>
      <c r="P20" s="14">
        <f>O20-N20</f>
        <v>-194214173.09400001</v>
      </c>
    </row>
    <row r="21" spans="1:16" s="8" customFormat="1" x14ac:dyDescent="0.25">
      <c r="A21" s="71" t="s">
        <v>212</v>
      </c>
      <c r="B21" s="88">
        <f>SUM(B19:B20)</f>
        <v>177667528</v>
      </c>
      <c r="C21" s="88">
        <f t="shared" ref="C21:N21" si="6">SUM(C19:C20)</f>
        <v>243809999</v>
      </c>
      <c r="D21" s="88">
        <f t="shared" si="6"/>
        <v>302451193</v>
      </c>
      <c r="E21" s="88">
        <f t="shared" si="6"/>
        <v>281745391</v>
      </c>
      <c r="F21" s="88">
        <f t="shared" si="6"/>
        <v>275108143</v>
      </c>
      <c r="G21" s="88">
        <f t="shared" si="6"/>
        <v>269340056</v>
      </c>
      <c r="H21" s="88">
        <f t="shared" si="6"/>
        <v>251632893</v>
      </c>
      <c r="I21" s="88">
        <f t="shared" si="6"/>
        <v>227655532</v>
      </c>
      <c r="J21" s="88">
        <f t="shared" si="6"/>
        <v>204246458</v>
      </c>
      <c r="K21" s="88">
        <f t="shared" si="6"/>
        <v>189527443</v>
      </c>
      <c r="L21" s="88">
        <f t="shared" si="6"/>
        <v>156718615</v>
      </c>
      <c r="M21" s="88">
        <f t="shared" si="6"/>
        <v>152956073</v>
      </c>
      <c r="N21" s="89">
        <f t="shared" si="6"/>
        <v>152956073</v>
      </c>
      <c r="O21" s="8">
        <f>56813831/1000</f>
        <v>56813.830999999998</v>
      </c>
      <c r="P21" s="14">
        <f>O21-N21</f>
        <v>-152899259.169</v>
      </c>
    </row>
    <row r="22" spans="1:16" x14ac:dyDescent="0.25">
      <c r="A22"/>
      <c r="B22" s="1">
        <f>БС!D12-B21</f>
        <v>0</v>
      </c>
      <c r="C22" s="1">
        <f>БС!E12-C21</f>
        <v>0</v>
      </c>
      <c r="D22" s="1">
        <f>БС!F12-D21</f>
        <v>0</v>
      </c>
      <c r="E22" s="1">
        <f>БС!G12-E21</f>
        <v>0</v>
      </c>
      <c r="F22" s="1">
        <f>БС!H12-F21</f>
        <v>0</v>
      </c>
      <c r="G22" s="1">
        <f>БС!I12-G21</f>
        <v>0</v>
      </c>
      <c r="H22" s="1">
        <f>БС!J12-H21</f>
        <v>0</v>
      </c>
      <c r="I22" s="1">
        <f>БС!K12-I21</f>
        <v>0</v>
      </c>
      <c r="J22" s="1">
        <f>БС!L12-J21</f>
        <v>0</v>
      </c>
      <c r="K22" s="1">
        <f>БС!M12-K21</f>
        <v>0</v>
      </c>
      <c r="L22" s="1">
        <f>БС!N12-L21</f>
        <v>0</v>
      </c>
      <c r="M22" s="1">
        <f>БС!O12-M21</f>
        <v>0</v>
      </c>
    </row>
    <row r="23" spans="1:16" x14ac:dyDescent="0.25">
      <c r="A23"/>
    </row>
    <row r="24" spans="1:16" x14ac:dyDescent="0.25">
      <c r="A24"/>
    </row>
    <row r="25" spans="1:16" x14ac:dyDescent="0.25">
      <c r="A25"/>
    </row>
    <row r="26" spans="1:16" ht="45" x14ac:dyDescent="0.25">
      <c r="A26"/>
      <c r="I26" s="2" t="s">
        <v>235</v>
      </c>
      <c r="J26" s="62" t="s">
        <v>236</v>
      </c>
      <c r="K26" s="97">
        <f>N21/'1. BilansNaSostojba'!F16</f>
        <v>8.0451834171131793</v>
      </c>
    </row>
    <row r="27" spans="1:16" x14ac:dyDescent="0.25">
      <c r="A27"/>
    </row>
    <row r="28" spans="1:16" x14ac:dyDescent="0.25">
      <c r="A28"/>
    </row>
    <row r="29" spans="1:16" x14ac:dyDescent="0.25">
      <c r="A29"/>
    </row>
    <row r="30" spans="1:16" x14ac:dyDescent="0.25">
      <c r="A30"/>
    </row>
    <row r="31" spans="1:16" x14ac:dyDescent="0.25">
      <c r="A31"/>
    </row>
    <row r="32" spans="1:16" x14ac:dyDescent="0.25">
      <c r="A32"/>
    </row>
    <row r="33" spans="1:1" x14ac:dyDescent="0.25">
      <c r="A33"/>
    </row>
    <row r="34" spans="1:1" x14ac:dyDescent="0.25">
      <c r="A34"/>
    </row>
    <row r="35" spans="1:1" x14ac:dyDescent="0.25">
      <c r="A35"/>
    </row>
    <row r="36" spans="1:1" x14ac:dyDescent="0.25">
      <c r="A36"/>
    </row>
    <row r="37" spans="1:1" x14ac:dyDescent="0.25">
      <c r="A37"/>
    </row>
    <row r="38" spans="1:1" x14ac:dyDescent="0.25">
      <c r="A38"/>
    </row>
    <row r="39" spans="1:1" x14ac:dyDescent="0.25">
      <c r="A39"/>
    </row>
    <row r="40" spans="1:1" x14ac:dyDescent="0.25">
      <c r="A40"/>
    </row>
    <row r="41" spans="1:1" x14ac:dyDescent="0.25">
      <c r="A41"/>
    </row>
    <row r="42" spans="1:1" x14ac:dyDescent="0.25">
      <c r="A42"/>
    </row>
    <row r="43" spans="1:1" x14ac:dyDescent="0.25">
      <c r="A43"/>
    </row>
    <row r="44" spans="1:1" x14ac:dyDescent="0.25">
      <c r="A44"/>
    </row>
    <row r="45" spans="1:1" x14ac:dyDescent="0.25">
      <c r="A45"/>
    </row>
    <row r="46" spans="1:1" x14ac:dyDescent="0.25">
      <c r="A46"/>
    </row>
    <row r="47" spans="1:1" x14ac:dyDescent="0.25">
      <c r="A47"/>
    </row>
    <row r="48" spans="1:1" x14ac:dyDescent="0.25">
      <c r="A48"/>
    </row>
    <row r="49" spans="1:1" x14ac:dyDescent="0.25">
      <c r="A49"/>
    </row>
    <row r="50" spans="1:1" x14ac:dyDescent="0.25">
      <c r="A50"/>
    </row>
    <row r="51" spans="1:1" x14ac:dyDescent="0.25">
      <c r="A51"/>
    </row>
    <row r="52" spans="1:1" x14ac:dyDescent="0.25">
      <c r="A52"/>
    </row>
    <row r="53" spans="1:1" x14ac:dyDescent="0.25">
      <c r="A53"/>
    </row>
    <row r="54" spans="1:1" x14ac:dyDescent="0.25">
      <c r="A54"/>
    </row>
    <row r="55" spans="1:1" x14ac:dyDescent="0.25">
      <c r="A55"/>
    </row>
    <row r="56" spans="1:1" x14ac:dyDescent="0.25">
      <c r="A56"/>
    </row>
    <row r="57" spans="1:1" x14ac:dyDescent="0.25">
      <c r="A57"/>
    </row>
    <row r="58" spans="1:1" x14ac:dyDescent="0.25">
      <c r="A58"/>
    </row>
    <row r="59" spans="1:1" x14ac:dyDescent="0.25">
      <c r="A59"/>
    </row>
    <row r="60" spans="1:1" x14ac:dyDescent="0.25">
      <c r="A60"/>
    </row>
    <row r="61" spans="1:1" x14ac:dyDescent="0.25">
      <c r="A61"/>
    </row>
    <row r="62" spans="1:1" x14ac:dyDescent="0.25">
      <c r="A62"/>
    </row>
    <row r="63" spans="1:1" x14ac:dyDescent="0.25">
      <c r="A63"/>
    </row>
    <row r="64" spans="1:1" x14ac:dyDescent="0.25">
      <c r="A64"/>
    </row>
    <row r="65" spans="1:1" x14ac:dyDescent="0.25">
      <c r="A65"/>
    </row>
    <row r="66" spans="1:1" x14ac:dyDescent="0.25">
      <c r="A66"/>
    </row>
    <row r="67" spans="1:1" x14ac:dyDescent="0.25">
      <c r="A67"/>
    </row>
    <row r="68" spans="1:1" x14ac:dyDescent="0.25">
      <c r="A68"/>
    </row>
    <row r="69" spans="1:1" x14ac:dyDescent="0.25">
      <c r="A69"/>
    </row>
    <row r="70" spans="1:1" x14ac:dyDescent="0.25">
      <c r="A70"/>
    </row>
    <row r="71" spans="1:1" x14ac:dyDescent="0.25">
      <c r="A71"/>
    </row>
    <row r="72" spans="1:1" x14ac:dyDescent="0.25">
      <c r="A72"/>
    </row>
    <row r="73" spans="1:1" x14ac:dyDescent="0.25">
      <c r="A73"/>
    </row>
    <row r="74" spans="1:1" x14ac:dyDescent="0.25">
      <c r="A74"/>
    </row>
    <row r="75" spans="1:1" x14ac:dyDescent="0.25">
      <c r="A75"/>
    </row>
    <row r="76" spans="1:1" x14ac:dyDescent="0.25">
      <c r="A76"/>
    </row>
    <row r="77" spans="1:1" x14ac:dyDescent="0.25">
      <c r="A77"/>
    </row>
    <row r="78" spans="1:1" x14ac:dyDescent="0.25">
      <c r="A78"/>
    </row>
    <row r="79" spans="1:1" x14ac:dyDescent="0.25">
      <c r="A79"/>
    </row>
    <row r="80" spans="1:1" x14ac:dyDescent="0.25">
      <c r="A80"/>
    </row>
    <row r="81" spans="1:1" x14ac:dyDescent="0.25">
      <c r="A81"/>
    </row>
    <row r="82" spans="1:1" x14ac:dyDescent="0.25">
      <c r="A82"/>
    </row>
    <row r="83" spans="1:1" x14ac:dyDescent="0.25">
      <c r="A83"/>
    </row>
    <row r="84" spans="1:1" x14ac:dyDescent="0.25">
      <c r="A84"/>
    </row>
    <row r="85" spans="1:1" x14ac:dyDescent="0.25">
      <c r="A85"/>
    </row>
    <row r="86" spans="1:1" x14ac:dyDescent="0.25">
      <c r="A86"/>
    </row>
    <row r="87" spans="1:1" x14ac:dyDescent="0.25">
      <c r="A87"/>
    </row>
    <row r="88" spans="1:1" x14ac:dyDescent="0.25">
      <c r="A88"/>
    </row>
    <row r="89" spans="1:1" x14ac:dyDescent="0.25">
      <c r="A89"/>
    </row>
    <row r="90" spans="1:1" x14ac:dyDescent="0.25">
      <c r="A90"/>
    </row>
    <row r="91" spans="1:1" x14ac:dyDescent="0.25">
      <c r="A91"/>
    </row>
    <row r="92" spans="1:1" x14ac:dyDescent="0.25">
      <c r="A92"/>
    </row>
    <row r="93" spans="1:1" x14ac:dyDescent="0.25">
      <c r="A93"/>
    </row>
    <row r="94" spans="1:1" x14ac:dyDescent="0.25">
      <c r="A94"/>
    </row>
    <row r="95" spans="1:1" x14ac:dyDescent="0.25">
      <c r="A95"/>
    </row>
    <row r="96" spans="1:1" x14ac:dyDescent="0.25">
      <c r="A96"/>
    </row>
    <row r="97" spans="1:1" x14ac:dyDescent="0.25">
      <c r="A97"/>
    </row>
    <row r="98" spans="1:1" x14ac:dyDescent="0.25">
      <c r="A98"/>
    </row>
    <row r="99" spans="1:1" x14ac:dyDescent="0.25">
      <c r="A99"/>
    </row>
    <row r="100" spans="1:1" x14ac:dyDescent="0.25">
      <c r="A100"/>
    </row>
    <row r="101" spans="1:1" x14ac:dyDescent="0.25">
      <c r="A101"/>
    </row>
    <row r="102" spans="1:1" x14ac:dyDescent="0.25">
      <c r="A102"/>
    </row>
    <row r="103" spans="1:1" x14ac:dyDescent="0.25">
      <c r="A103"/>
    </row>
    <row r="104" spans="1:1" x14ac:dyDescent="0.25">
      <c r="A104"/>
    </row>
    <row r="105" spans="1:1" x14ac:dyDescent="0.25">
      <c r="A105"/>
    </row>
    <row r="106" spans="1:1" x14ac:dyDescent="0.25">
      <c r="A106"/>
    </row>
    <row r="107" spans="1:1" x14ac:dyDescent="0.25">
      <c r="A107"/>
    </row>
    <row r="108" spans="1:1" x14ac:dyDescent="0.25">
      <c r="A108"/>
    </row>
    <row r="109" spans="1:1" x14ac:dyDescent="0.25">
      <c r="A109"/>
    </row>
    <row r="110" spans="1:1" x14ac:dyDescent="0.25">
      <c r="A110"/>
    </row>
    <row r="111" spans="1:1" x14ac:dyDescent="0.25">
      <c r="A111"/>
    </row>
    <row r="112" spans="1:1" x14ac:dyDescent="0.25">
      <c r="A112"/>
    </row>
    <row r="113" spans="1:1" x14ac:dyDescent="0.25">
      <c r="A113"/>
    </row>
    <row r="114" spans="1:1" x14ac:dyDescent="0.25">
      <c r="A114"/>
    </row>
    <row r="115" spans="1:1" x14ac:dyDescent="0.25">
      <c r="A115"/>
    </row>
    <row r="116" spans="1:1" x14ac:dyDescent="0.25">
      <c r="A116"/>
    </row>
    <row r="117" spans="1:1" x14ac:dyDescent="0.25">
      <c r="A117"/>
    </row>
    <row r="118" spans="1:1" x14ac:dyDescent="0.25">
      <c r="A118"/>
    </row>
    <row r="119" spans="1:1" x14ac:dyDescent="0.25">
      <c r="A119"/>
    </row>
    <row r="120" spans="1:1" x14ac:dyDescent="0.25">
      <c r="A120"/>
    </row>
    <row r="121" spans="1:1" x14ac:dyDescent="0.25">
      <c r="A121"/>
    </row>
    <row r="122" spans="1:1" x14ac:dyDescent="0.25">
      <c r="A122"/>
    </row>
    <row r="123" spans="1:1" x14ac:dyDescent="0.25">
      <c r="A123"/>
    </row>
    <row r="124" spans="1:1" x14ac:dyDescent="0.25">
      <c r="A124"/>
    </row>
    <row r="125" spans="1:1" x14ac:dyDescent="0.25">
      <c r="A125"/>
    </row>
    <row r="126" spans="1:1" x14ac:dyDescent="0.25">
      <c r="A126"/>
    </row>
    <row r="127" spans="1:1" x14ac:dyDescent="0.25">
      <c r="A127"/>
    </row>
    <row r="128" spans="1:1" x14ac:dyDescent="0.25">
      <c r="A128"/>
    </row>
    <row r="129" spans="1:1" x14ac:dyDescent="0.25">
      <c r="A129"/>
    </row>
    <row r="130" spans="1:1" x14ac:dyDescent="0.25">
      <c r="A130"/>
    </row>
    <row r="131" spans="1:1" x14ac:dyDescent="0.25">
      <c r="A131"/>
    </row>
    <row r="132" spans="1:1" x14ac:dyDescent="0.25">
      <c r="A132"/>
    </row>
    <row r="133" spans="1:1" x14ac:dyDescent="0.25">
      <c r="A133"/>
    </row>
    <row r="134" spans="1:1" x14ac:dyDescent="0.25">
      <c r="A134"/>
    </row>
    <row r="135" spans="1:1" x14ac:dyDescent="0.25">
      <c r="A135"/>
    </row>
    <row r="136" spans="1:1" x14ac:dyDescent="0.25">
      <c r="A136"/>
    </row>
    <row r="137" spans="1:1" x14ac:dyDescent="0.25">
      <c r="A137"/>
    </row>
    <row r="138" spans="1:1" x14ac:dyDescent="0.25">
      <c r="A138"/>
    </row>
    <row r="139" spans="1:1" x14ac:dyDescent="0.25">
      <c r="A139"/>
    </row>
    <row r="140" spans="1:1" x14ac:dyDescent="0.25">
      <c r="A140"/>
    </row>
    <row r="141" spans="1:1" x14ac:dyDescent="0.25">
      <c r="A141"/>
    </row>
    <row r="142" spans="1:1" x14ac:dyDescent="0.25">
      <c r="A142"/>
    </row>
    <row r="143" spans="1:1" x14ac:dyDescent="0.25">
      <c r="A143"/>
    </row>
    <row r="144" spans="1:1" x14ac:dyDescent="0.25">
      <c r="A144"/>
    </row>
    <row r="145" spans="1:1" x14ac:dyDescent="0.25">
      <c r="A145"/>
    </row>
    <row r="146" spans="1:1" x14ac:dyDescent="0.25">
      <c r="A146"/>
    </row>
    <row r="147" spans="1:1" x14ac:dyDescent="0.25">
      <c r="A147"/>
    </row>
    <row r="148" spans="1:1" x14ac:dyDescent="0.25">
      <c r="A148"/>
    </row>
    <row r="149" spans="1:1" x14ac:dyDescent="0.25">
      <c r="A149"/>
    </row>
    <row r="150" spans="1:1" x14ac:dyDescent="0.25">
      <c r="A150"/>
    </row>
    <row r="151" spans="1:1" x14ac:dyDescent="0.25">
      <c r="A151"/>
    </row>
    <row r="152" spans="1:1" x14ac:dyDescent="0.25">
      <c r="A152"/>
    </row>
    <row r="153" spans="1:1" x14ac:dyDescent="0.25">
      <c r="A153"/>
    </row>
    <row r="154" spans="1:1" x14ac:dyDescent="0.25">
      <c r="A154"/>
    </row>
    <row r="155" spans="1:1" x14ac:dyDescent="0.25">
      <c r="A155"/>
    </row>
    <row r="156" spans="1:1" x14ac:dyDescent="0.25">
      <c r="A156"/>
    </row>
    <row r="157" spans="1:1" x14ac:dyDescent="0.25">
      <c r="A157"/>
    </row>
    <row r="158" spans="1:1" x14ac:dyDescent="0.25">
      <c r="A158"/>
    </row>
    <row r="159" spans="1:1" x14ac:dyDescent="0.25">
      <c r="A159"/>
    </row>
    <row r="160" spans="1:1" x14ac:dyDescent="0.25">
      <c r="A160"/>
    </row>
    <row r="161" spans="1:1" x14ac:dyDescent="0.25">
      <c r="A161"/>
    </row>
    <row r="162" spans="1:1" x14ac:dyDescent="0.25">
      <c r="A162"/>
    </row>
    <row r="163" spans="1:1" x14ac:dyDescent="0.25">
      <c r="A163"/>
    </row>
    <row r="164" spans="1:1" x14ac:dyDescent="0.25">
      <c r="A164"/>
    </row>
    <row r="165" spans="1:1" x14ac:dyDescent="0.25">
      <c r="A165"/>
    </row>
    <row r="166" spans="1:1" x14ac:dyDescent="0.25">
      <c r="A166"/>
    </row>
    <row r="167" spans="1:1" x14ac:dyDescent="0.25">
      <c r="A167"/>
    </row>
    <row r="168" spans="1:1" x14ac:dyDescent="0.25">
      <c r="A168"/>
    </row>
    <row r="169" spans="1:1" x14ac:dyDescent="0.25">
      <c r="A169"/>
    </row>
    <row r="170" spans="1:1" x14ac:dyDescent="0.25">
      <c r="A170"/>
    </row>
    <row r="171" spans="1:1" x14ac:dyDescent="0.25">
      <c r="A171"/>
    </row>
    <row r="172" spans="1:1" x14ac:dyDescent="0.25">
      <c r="A172"/>
    </row>
    <row r="173" spans="1:1" x14ac:dyDescent="0.25">
      <c r="A173"/>
    </row>
    <row r="174" spans="1:1" x14ac:dyDescent="0.25">
      <c r="A174"/>
    </row>
    <row r="175" spans="1:1" x14ac:dyDescent="0.25">
      <c r="A175"/>
    </row>
    <row r="176" spans="1:1" x14ac:dyDescent="0.25">
      <c r="A176"/>
    </row>
    <row r="177" spans="1:1" x14ac:dyDescent="0.25">
      <c r="A177"/>
    </row>
    <row r="178" spans="1:1" x14ac:dyDescent="0.25">
      <c r="A178"/>
    </row>
    <row r="179" spans="1:1" x14ac:dyDescent="0.25">
      <c r="A179"/>
    </row>
    <row r="180" spans="1:1" x14ac:dyDescent="0.25">
      <c r="A180"/>
    </row>
    <row r="181" spans="1:1" x14ac:dyDescent="0.25">
      <c r="A181"/>
    </row>
    <row r="182" spans="1:1" x14ac:dyDescent="0.25">
      <c r="A182"/>
    </row>
    <row r="183" spans="1:1" x14ac:dyDescent="0.25">
      <c r="A183"/>
    </row>
    <row r="184" spans="1:1" x14ac:dyDescent="0.25">
      <c r="A184"/>
    </row>
    <row r="185" spans="1:1" x14ac:dyDescent="0.25">
      <c r="A185"/>
    </row>
    <row r="186" spans="1:1" x14ac:dyDescent="0.25">
      <c r="A186"/>
    </row>
    <row r="187" spans="1:1" x14ac:dyDescent="0.25">
      <c r="A187"/>
    </row>
    <row r="188" spans="1:1" x14ac:dyDescent="0.25">
      <c r="A188"/>
    </row>
    <row r="189" spans="1:1" x14ac:dyDescent="0.25">
      <c r="A189"/>
    </row>
    <row r="190" spans="1:1" x14ac:dyDescent="0.25">
      <c r="A190"/>
    </row>
    <row r="191" spans="1:1" x14ac:dyDescent="0.25">
      <c r="A191"/>
    </row>
    <row r="192" spans="1:1" x14ac:dyDescent="0.25">
      <c r="A192"/>
    </row>
    <row r="193" spans="1:1" x14ac:dyDescent="0.25">
      <c r="A193"/>
    </row>
    <row r="194" spans="1:1" x14ac:dyDescent="0.25">
      <c r="A194"/>
    </row>
    <row r="195" spans="1:1" x14ac:dyDescent="0.25">
      <c r="A195"/>
    </row>
    <row r="196" spans="1:1" x14ac:dyDescent="0.25">
      <c r="A196"/>
    </row>
    <row r="197" spans="1:1" x14ac:dyDescent="0.25">
      <c r="A197"/>
    </row>
    <row r="198" spans="1:1" x14ac:dyDescent="0.25">
      <c r="A198"/>
    </row>
    <row r="199" spans="1:1" x14ac:dyDescent="0.25">
      <c r="A199"/>
    </row>
    <row r="200" spans="1:1" x14ac:dyDescent="0.25">
      <c r="A200"/>
    </row>
    <row r="201" spans="1:1" x14ac:dyDescent="0.25">
      <c r="A201"/>
    </row>
    <row r="202" spans="1:1" x14ac:dyDescent="0.25">
      <c r="A202"/>
    </row>
    <row r="203" spans="1:1" x14ac:dyDescent="0.25">
      <c r="A203"/>
    </row>
    <row r="204" spans="1:1" x14ac:dyDescent="0.25">
      <c r="A204"/>
    </row>
    <row r="205" spans="1:1" x14ac:dyDescent="0.25">
      <c r="A205"/>
    </row>
    <row r="206" spans="1:1" x14ac:dyDescent="0.25">
      <c r="A206"/>
    </row>
    <row r="207" spans="1:1" x14ac:dyDescent="0.25">
      <c r="A207"/>
    </row>
    <row r="208" spans="1:1" x14ac:dyDescent="0.25">
      <c r="A208"/>
    </row>
    <row r="209" spans="1:1" x14ac:dyDescent="0.25">
      <c r="A209"/>
    </row>
    <row r="210" spans="1:1" x14ac:dyDescent="0.25">
      <c r="A210"/>
    </row>
    <row r="211" spans="1:1" x14ac:dyDescent="0.25">
      <c r="A211"/>
    </row>
    <row r="212" spans="1:1" x14ac:dyDescent="0.25">
      <c r="A212"/>
    </row>
    <row r="213" spans="1:1" x14ac:dyDescent="0.25">
      <c r="A213"/>
    </row>
    <row r="214" spans="1:1" x14ac:dyDescent="0.25">
      <c r="A214"/>
    </row>
    <row r="215" spans="1:1" x14ac:dyDescent="0.25">
      <c r="A215"/>
    </row>
    <row r="216" spans="1:1" x14ac:dyDescent="0.25">
      <c r="A216"/>
    </row>
    <row r="217" spans="1:1" x14ac:dyDescent="0.25">
      <c r="A217"/>
    </row>
    <row r="218" spans="1:1" x14ac:dyDescent="0.25">
      <c r="A218"/>
    </row>
    <row r="219" spans="1:1" x14ac:dyDescent="0.25">
      <c r="A219"/>
    </row>
    <row r="220" spans="1:1" x14ac:dyDescent="0.25">
      <c r="A220"/>
    </row>
    <row r="221" spans="1:1" x14ac:dyDescent="0.25">
      <c r="A221"/>
    </row>
    <row r="222" spans="1:1" x14ac:dyDescent="0.25">
      <c r="A222"/>
    </row>
    <row r="223" spans="1:1" x14ac:dyDescent="0.25">
      <c r="A223"/>
    </row>
    <row r="224" spans="1:1" x14ac:dyDescent="0.25">
      <c r="A224"/>
    </row>
    <row r="225" spans="1:1" x14ac:dyDescent="0.25">
      <c r="A225"/>
    </row>
    <row r="226" spans="1:1" x14ac:dyDescent="0.25">
      <c r="A226"/>
    </row>
    <row r="227" spans="1:1" x14ac:dyDescent="0.25">
      <c r="A227"/>
    </row>
    <row r="228" spans="1:1" x14ac:dyDescent="0.25">
      <c r="A228"/>
    </row>
    <row r="229" spans="1:1" x14ac:dyDescent="0.25">
      <c r="A229"/>
    </row>
    <row r="230" spans="1:1" x14ac:dyDescent="0.25">
      <c r="A230"/>
    </row>
    <row r="231" spans="1:1" x14ac:dyDescent="0.25">
      <c r="A231"/>
    </row>
    <row r="232" spans="1:1" x14ac:dyDescent="0.25">
      <c r="A232"/>
    </row>
    <row r="233" spans="1:1" x14ac:dyDescent="0.25">
      <c r="A233"/>
    </row>
    <row r="234" spans="1:1" x14ac:dyDescent="0.25">
      <c r="A234"/>
    </row>
    <row r="235" spans="1:1" x14ac:dyDescent="0.25">
      <c r="A235"/>
    </row>
    <row r="236" spans="1:1" x14ac:dyDescent="0.25">
      <c r="A236"/>
    </row>
    <row r="237" spans="1:1" x14ac:dyDescent="0.25">
      <c r="A237"/>
    </row>
    <row r="238" spans="1:1" x14ac:dyDescent="0.25">
      <c r="A238"/>
    </row>
    <row r="239" spans="1:1" x14ac:dyDescent="0.25">
      <c r="A239"/>
    </row>
    <row r="240" spans="1:1" x14ac:dyDescent="0.25">
      <c r="A240"/>
    </row>
    <row r="241" spans="1:1" x14ac:dyDescent="0.25">
      <c r="A241"/>
    </row>
    <row r="242" spans="1:1" x14ac:dyDescent="0.25">
      <c r="A242"/>
    </row>
    <row r="243" spans="1:1" x14ac:dyDescent="0.25">
      <c r="A243"/>
    </row>
    <row r="244" spans="1:1" x14ac:dyDescent="0.25">
      <c r="A244"/>
    </row>
    <row r="245" spans="1:1" x14ac:dyDescent="0.25">
      <c r="A245"/>
    </row>
    <row r="246" spans="1:1" x14ac:dyDescent="0.25">
      <c r="A246"/>
    </row>
    <row r="247" spans="1:1" x14ac:dyDescent="0.25">
      <c r="A247"/>
    </row>
    <row r="248" spans="1:1" x14ac:dyDescent="0.25">
      <c r="A248"/>
    </row>
    <row r="249" spans="1:1" x14ac:dyDescent="0.25">
      <c r="A249"/>
    </row>
    <row r="250" spans="1:1" x14ac:dyDescent="0.25">
      <c r="A250"/>
    </row>
    <row r="251" spans="1:1" x14ac:dyDescent="0.25">
      <c r="A251"/>
    </row>
    <row r="252" spans="1:1" x14ac:dyDescent="0.25">
      <c r="A252"/>
    </row>
    <row r="253" spans="1:1" x14ac:dyDescent="0.25">
      <c r="A253"/>
    </row>
    <row r="254" spans="1:1" x14ac:dyDescent="0.25">
      <c r="A254"/>
    </row>
    <row r="255" spans="1:1" x14ac:dyDescent="0.25">
      <c r="A255"/>
    </row>
    <row r="256" spans="1:1" x14ac:dyDescent="0.25">
      <c r="A256"/>
    </row>
    <row r="257" spans="1:1" x14ac:dyDescent="0.25">
      <c r="A257"/>
    </row>
    <row r="258" spans="1:1" x14ac:dyDescent="0.25">
      <c r="A258"/>
    </row>
    <row r="259" spans="1:1" x14ac:dyDescent="0.25">
      <c r="A259"/>
    </row>
    <row r="260" spans="1:1" x14ac:dyDescent="0.25">
      <c r="A260"/>
    </row>
    <row r="261" spans="1:1" x14ac:dyDescent="0.25">
      <c r="A261"/>
    </row>
    <row r="262" spans="1:1" x14ac:dyDescent="0.25">
      <c r="A262"/>
    </row>
    <row r="263" spans="1:1" x14ac:dyDescent="0.25">
      <c r="A263"/>
    </row>
    <row r="264" spans="1:1" x14ac:dyDescent="0.25">
      <c r="A264"/>
    </row>
    <row r="265" spans="1:1" x14ac:dyDescent="0.25">
      <c r="A265"/>
    </row>
    <row r="266" spans="1:1" x14ac:dyDescent="0.25">
      <c r="A266"/>
    </row>
    <row r="267" spans="1:1" x14ac:dyDescent="0.25">
      <c r="A267"/>
    </row>
    <row r="268" spans="1:1" x14ac:dyDescent="0.25">
      <c r="A268"/>
    </row>
    <row r="269" spans="1:1" x14ac:dyDescent="0.25">
      <c r="A269"/>
    </row>
    <row r="270" spans="1:1" x14ac:dyDescent="0.25">
      <c r="A270"/>
    </row>
    <row r="271" spans="1:1" x14ac:dyDescent="0.25">
      <c r="A271"/>
    </row>
    <row r="272" spans="1:1" x14ac:dyDescent="0.25">
      <c r="A272"/>
    </row>
    <row r="273" spans="1:1" x14ac:dyDescent="0.25">
      <c r="A273"/>
    </row>
    <row r="274" spans="1:1" x14ac:dyDescent="0.25">
      <c r="A274"/>
    </row>
    <row r="275" spans="1:1" x14ac:dyDescent="0.25">
      <c r="A275"/>
    </row>
    <row r="276" spans="1:1" x14ac:dyDescent="0.25">
      <c r="A276"/>
    </row>
    <row r="277" spans="1:1" x14ac:dyDescent="0.25">
      <c r="A277"/>
    </row>
    <row r="278" spans="1:1" x14ac:dyDescent="0.25">
      <c r="A278"/>
    </row>
    <row r="279" spans="1:1" x14ac:dyDescent="0.25">
      <c r="A279"/>
    </row>
    <row r="280" spans="1:1" x14ac:dyDescent="0.25">
      <c r="A280"/>
    </row>
    <row r="281" spans="1:1" x14ac:dyDescent="0.25">
      <c r="A281"/>
    </row>
    <row r="282" spans="1:1" x14ac:dyDescent="0.25">
      <c r="A282"/>
    </row>
    <row r="283" spans="1:1" x14ac:dyDescent="0.25">
      <c r="A283"/>
    </row>
    <row r="284" spans="1:1" x14ac:dyDescent="0.25">
      <c r="A284"/>
    </row>
    <row r="285" spans="1:1" x14ac:dyDescent="0.25">
      <c r="A285"/>
    </row>
    <row r="286" spans="1:1" x14ac:dyDescent="0.25">
      <c r="A286"/>
    </row>
    <row r="287" spans="1:1" x14ac:dyDescent="0.25">
      <c r="A287"/>
    </row>
    <row r="288" spans="1:1" x14ac:dyDescent="0.25">
      <c r="A288"/>
    </row>
    <row r="289" spans="1:1" x14ac:dyDescent="0.25">
      <c r="A289"/>
    </row>
    <row r="290" spans="1:1" x14ac:dyDescent="0.25">
      <c r="A290"/>
    </row>
    <row r="291" spans="1:1" x14ac:dyDescent="0.25">
      <c r="A291"/>
    </row>
    <row r="292" spans="1:1" x14ac:dyDescent="0.25">
      <c r="A292"/>
    </row>
    <row r="293" spans="1:1" x14ac:dyDescent="0.25">
      <c r="A293"/>
    </row>
    <row r="294" spans="1:1" x14ac:dyDescent="0.25">
      <c r="A294"/>
    </row>
    <row r="295" spans="1:1" x14ac:dyDescent="0.25">
      <c r="A295"/>
    </row>
    <row r="296" spans="1:1" x14ac:dyDescent="0.25">
      <c r="A296"/>
    </row>
    <row r="297" spans="1:1" x14ac:dyDescent="0.25">
      <c r="A297"/>
    </row>
    <row r="298" spans="1:1" x14ac:dyDescent="0.25">
      <c r="A298"/>
    </row>
    <row r="299" spans="1:1" x14ac:dyDescent="0.25">
      <c r="A299"/>
    </row>
    <row r="300" spans="1:1" x14ac:dyDescent="0.25">
      <c r="A300"/>
    </row>
    <row r="301" spans="1:1" x14ac:dyDescent="0.25">
      <c r="A301"/>
    </row>
    <row r="302" spans="1:1" x14ac:dyDescent="0.25">
      <c r="A302"/>
    </row>
    <row r="303" spans="1:1" x14ac:dyDescent="0.25">
      <c r="A303"/>
    </row>
    <row r="304" spans="1:1" x14ac:dyDescent="0.25">
      <c r="A304"/>
    </row>
    <row r="305" spans="1:1" x14ac:dyDescent="0.25">
      <c r="A305"/>
    </row>
    <row r="306" spans="1:1" x14ac:dyDescent="0.25">
      <c r="A306"/>
    </row>
    <row r="307" spans="1:1" x14ac:dyDescent="0.25">
      <c r="A307"/>
    </row>
    <row r="308" spans="1:1" x14ac:dyDescent="0.25">
      <c r="A308"/>
    </row>
    <row r="309" spans="1:1" x14ac:dyDescent="0.25">
      <c r="A309"/>
    </row>
    <row r="310" spans="1:1" x14ac:dyDescent="0.25">
      <c r="A310"/>
    </row>
    <row r="311" spans="1:1" x14ac:dyDescent="0.25">
      <c r="A311"/>
    </row>
    <row r="312" spans="1:1" x14ac:dyDescent="0.25">
      <c r="A312"/>
    </row>
    <row r="313" spans="1:1" x14ac:dyDescent="0.25">
      <c r="A313"/>
    </row>
    <row r="314" spans="1:1" x14ac:dyDescent="0.25">
      <c r="A314"/>
    </row>
    <row r="315" spans="1:1" x14ac:dyDescent="0.25">
      <c r="A315"/>
    </row>
    <row r="316" spans="1:1" x14ac:dyDescent="0.25">
      <c r="A316"/>
    </row>
    <row r="317" spans="1:1" x14ac:dyDescent="0.25">
      <c r="A317"/>
    </row>
    <row r="318" spans="1:1" x14ac:dyDescent="0.25">
      <c r="A318"/>
    </row>
    <row r="319" spans="1:1" x14ac:dyDescent="0.25">
      <c r="A319"/>
    </row>
    <row r="320" spans="1:1" x14ac:dyDescent="0.25">
      <c r="A320"/>
    </row>
    <row r="321" spans="1:1" x14ac:dyDescent="0.25">
      <c r="A321"/>
    </row>
    <row r="322" spans="1:1" x14ac:dyDescent="0.25">
      <c r="A322"/>
    </row>
    <row r="323" spans="1:1" x14ac:dyDescent="0.25">
      <c r="A323"/>
    </row>
    <row r="324" spans="1:1" x14ac:dyDescent="0.25">
      <c r="A324"/>
    </row>
    <row r="325" spans="1:1" x14ac:dyDescent="0.25">
      <c r="A325"/>
    </row>
    <row r="326" spans="1:1" x14ac:dyDescent="0.25">
      <c r="A326"/>
    </row>
    <row r="327" spans="1:1" x14ac:dyDescent="0.25">
      <c r="A327"/>
    </row>
    <row r="328" spans="1:1" x14ac:dyDescent="0.25">
      <c r="A328"/>
    </row>
    <row r="329" spans="1:1" x14ac:dyDescent="0.25">
      <c r="A329"/>
    </row>
    <row r="330" spans="1:1" x14ac:dyDescent="0.25">
      <c r="A330"/>
    </row>
    <row r="331" spans="1:1" x14ac:dyDescent="0.25">
      <c r="A331"/>
    </row>
    <row r="332" spans="1:1" x14ac:dyDescent="0.25">
      <c r="A332"/>
    </row>
    <row r="333" spans="1:1" x14ac:dyDescent="0.25">
      <c r="A333"/>
    </row>
    <row r="334" spans="1:1" x14ac:dyDescent="0.25">
      <c r="A334"/>
    </row>
    <row r="335" spans="1:1" x14ac:dyDescent="0.25">
      <c r="A335"/>
    </row>
    <row r="336" spans="1:1" x14ac:dyDescent="0.25">
      <c r="A336"/>
    </row>
    <row r="337" spans="1:1" x14ac:dyDescent="0.25">
      <c r="A337"/>
    </row>
    <row r="338" spans="1:1" x14ac:dyDescent="0.25">
      <c r="A338"/>
    </row>
    <row r="339" spans="1:1" x14ac:dyDescent="0.25">
      <c r="A339"/>
    </row>
    <row r="340" spans="1:1" x14ac:dyDescent="0.25">
      <c r="A340"/>
    </row>
    <row r="341" spans="1:1" x14ac:dyDescent="0.25">
      <c r="A341"/>
    </row>
    <row r="342" spans="1:1" x14ac:dyDescent="0.25">
      <c r="A342"/>
    </row>
    <row r="343" spans="1:1" x14ac:dyDescent="0.25">
      <c r="A343"/>
    </row>
    <row r="344" spans="1:1" x14ac:dyDescent="0.25">
      <c r="A344"/>
    </row>
    <row r="345" spans="1:1" x14ac:dyDescent="0.25">
      <c r="A345"/>
    </row>
    <row r="346" spans="1:1" x14ac:dyDescent="0.25">
      <c r="A346"/>
    </row>
    <row r="347" spans="1:1" x14ac:dyDescent="0.25">
      <c r="A347"/>
    </row>
    <row r="348" spans="1:1" x14ac:dyDescent="0.25">
      <c r="A348"/>
    </row>
    <row r="349" spans="1:1" x14ac:dyDescent="0.25">
      <c r="A349"/>
    </row>
    <row r="350" spans="1:1" x14ac:dyDescent="0.25">
      <c r="A350"/>
    </row>
    <row r="351" spans="1:1" x14ac:dyDescent="0.25">
      <c r="A351"/>
    </row>
    <row r="352" spans="1:1" x14ac:dyDescent="0.25">
      <c r="A352"/>
    </row>
    <row r="353" spans="1:1" x14ac:dyDescent="0.25">
      <c r="A353"/>
    </row>
    <row r="354" spans="1:1" x14ac:dyDescent="0.25">
      <c r="A354"/>
    </row>
    <row r="355" spans="1:1" x14ac:dyDescent="0.25">
      <c r="A355"/>
    </row>
    <row r="356" spans="1:1" x14ac:dyDescent="0.25">
      <c r="A356"/>
    </row>
    <row r="357" spans="1:1" x14ac:dyDescent="0.25">
      <c r="A357"/>
    </row>
    <row r="358" spans="1:1" x14ac:dyDescent="0.25">
      <c r="A358"/>
    </row>
    <row r="359" spans="1:1" x14ac:dyDescent="0.25">
      <c r="A359"/>
    </row>
    <row r="360" spans="1:1" x14ac:dyDescent="0.25">
      <c r="A360"/>
    </row>
    <row r="361" spans="1:1" x14ac:dyDescent="0.25">
      <c r="A361"/>
    </row>
    <row r="362" spans="1:1" x14ac:dyDescent="0.25">
      <c r="A362"/>
    </row>
    <row r="363" spans="1:1" x14ac:dyDescent="0.25">
      <c r="A363"/>
    </row>
    <row r="364" spans="1:1" x14ac:dyDescent="0.25">
      <c r="A364"/>
    </row>
    <row r="365" spans="1:1" x14ac:dyDescent="0.25">
      <c r="A365"/>
    </row>
    <row r="366" spans="1:1" x14ac:dyDescent="0.25">
      <c r="A366"/>
    </row>
    <row r="367" spans="1:1" x14ac:dyDescent="0.25">
      <c r="A367"/>
    </row>
    <row r="368" spans="1:1" x14ac:dyDescent="0.25">
      <c r="A368"/>
    </row>
    <row r="369" spans="1:1" x14ac:dyDescent="0.25">
      <c r="A369"/>
    </row>
    <row r="370" spans="1:1" x14ac:dyDescent="0.25">
      <c r="A370"/>
    </row>
    <row r="371" spans="1:1" x14ac:dyDescent="0.25">
      <c r="A371"/>
    </row>
    <row r="372" spans="1:1" x14ac:dyDescent="0.25">
      <c r="A372"/>
    </row>
    <row r="373" spans="1:1" x14ac:dyDescent="0.25">
      <c r="A373"/>
    </row>
    <row r="374" spans="1:1" x14ac:dyDescent="0.25">
      <c r="A374"/>
    </row>
    <row r="375" spans="1:1" x14ac:dyDescent="0.25">
      <c r="A375"/>
    </row>
    <row r="376" spans="1:1" x14ac:dyDescent="0.25">
      <c r="A376"/>
    </row>
    <row r="377" spans="1:1" x14ac:dyDescent="0.25">
      <c r="A377"/>
    </row>
    <row r="378" spans="1:1" x14ac:dyDescent="0.25">
      <c r="A378"/>
    </row>
    <row r="379" spans="1:1" x14ac:dyDescent="0.25">
      <c r="A379"/>
    </row>
    <row r="380" spans="1:1" x14ac:dyDescent="0.25">
      <c r="A380"/>
    </row>
    <row r="381" spans="1:1" x14ac:dyDescent="0.25">
      <c r="A381"/>
    </row>
    <row r="382" spans="1:1" x14ac:dyDescent="0.25">
      <c r="A382"/>
    </row>
    <row r="383" spans="1:1" x14ac:dyDescent="0.25">
      <c r="A383"/>
    </row>
    <row r="384" spans="1:1" x14ac:dyDescent="0.25">
      <c r="A384"/>
    </row>
    <row r="385" spans="1:1" x14ac:dyDescent="0.25">
      <c r="A385"/>
    </row>
    <row r="386" spans="1:1" x14ac:dyDescent="0.25">
      <c r="A386"/>
    </row>
    <row r="387" spans="1:1" x14ac:dyDescent="0.25">
      <c r="A387"/>
    </row>
    <row r="388" spans="1:1" x14ac:dyDescent="0.25">
      <c r="A388"/>
    </row>
    <row r="389" spans="1:1" x14ac:dyDescent="0.25">
      <c r="A389"/>
    </row>
    <row r="390" spans="1:1" x14ac:dyDescent="0.25">
      <c r="A390"/>
    </row>
    <row r="391" spans="1:1" x14ac:dyDescent="0.25">
      <c r="A391"/>
    </row>
    <row r="392" spans="1:1" x14ac:dyDescent="0.25">
      <c r="A392"/>
    </row>
    <row r="393" spans="1:1" x14ac:dyDescent="0.25">
      <c r="A393"/>
    </row>
    <row r="394" spans="1:1" x14ac:dyDescent="0.25">
      <c r="A394"/>
    </row>
    <row r="395" spans="1:1" x14ac:dyDescent="0.25">
      <c r="A395"/>
    </row>
    <row r="396" spans="1:1" x14ac:dyDescent="0.25">
      <c r="A396"/>
    </row>
    <row r="397" spans="1:1" x14ac:dyDescent="0.25">
      <c r="A397"/>
    </row>
    <row r="398" spans="1:1" x14ac:dyDescent="0.25">
      <c r="A398"/>
    </row>
    <row r="399" spans="1:1" x14ac:dyDescent="0.25">
      <c r="A399"/>
    </row>
    <row r="400" spans="1:1" x14ac:dyDescent="0.25">
      <c r="A400"/>
    </row>
    <row r="401" spans="1:1" x14ac:dyDescent="0.25">
      <c r="A401"/>
    </row>
    <row r="402" spans="1:1" x14ac:dyDescent="0.25">
      <c r="A402"/>
    </row>
    <row r="403" spans="1:1" x14ac:dyDescent="0.25">
      <c r="A403"/>
    </row>
    <row r="404" spans="1:1" x14ac:dyDescent="0.25">
      <c r="A404"/>
    </row>
    <row r="405" spans="1:1" x14ac:dyDescent="0.25">
      <c r="A405"/>
    </row>
    <row r="406" spans="1:1" x14ac:dyDescent="0.25">
      <c r="A406"/>
    </row>
    <row r="407" spans="1:1" x14ac:dyDescent="0.25">
      <c r="A407"/>
    </row>
    <row r="408" spans="1:1" x14ac:dyDescent="0.25">
      <c r="A408"/>
    </row>
    <row r="409" spans="1:1" x14ac:dyDescent="0.25">
      <c r="A409"/>
    </row>
    <row r="410" spans="1:1" x14ac:dyDescent="0.25">
      <c r="A410"/>
    </row>
    <row r="411" spans="1:1" x14ac:dyDescent="0.25">
      <c r="A411"/>
    </row>
    <row r="412" spans="1:1" x14ac:dyDescent="0.25">
      <c r="A412"/>
    </row>
    <row r="413" spans="1:1" x14ac:dyDescent="0.25">
      <c r="A413"/>
    </row>
    <row r="414" spans="1:1" x14ac:dyDescent="0.25">
      <c r="A414"/>
    </row>
    <row r="415" spans="1:1" x14ac:dyDescent="0.25">
      <c r="A415"/>
    </row>
    <row r="416" spans="1:1" x14ac:dyDescent="0.25">
      <c r="A416"/>
    </row>
    <row r="417" spans="1:1" x14ac:dyDescent="0.25">
      <c r="A417"/>
    </row>
    <row r="418" spans="1:1" x14ac:dyDescent="0.25">
      <c r="A418"/>
    </row>
    <row r="419" spans="1:1" x14ac:dyDescent="0.25">
      <c r="A419"/>
    </row>
    <row r="420" spans="1:1" x14ac:dyDescent="0.25">
      <c r="A420"/>
    </row>
    <row r="421" spans="1:1" x14ac:dyDescent="0.25">
      <c r="A421"/>
    </row>
    <row r="422" spans="1:1" x14ac:dyDescent="0.25">
      <c r="A422"/>
    </row>
    <row r="423" spans="1:1" x14ac:dyDescent="0.25">
      <c r="A423"/>
    </row>
    <row r="424" spans="1:1" x14ac:dyDescent="0.25">
      <c r="A424"/>
    </row>
    <row r="425" spans="1:1" x14ac:dyDescent="0.25">
      <c r="A425"/>
    </row>
    <row r="426" spans="1:1" x14ac:dyDescent="0.25">
      <c r="A426"/>
    </row>
    <row r="427" spans="1:1" x14ac:dyDescent="0.25">
      <c r="A427"/>
    </row>
    <row r="428" spans="1:1" x14ac:dyDescent="0.25">
      <c r="A428"/>
    </row>
    <row r="429" spans="1:1" x14ac:dyDescent="0.25">
      <c r="A429"/>
    </row>
    <row r="430" spans="1:1" x14ac:dyDescent="0.25">
      <c r="A430"/>
    </row>
    <row r="431" spans="1:1" x14ac:dyDescent="0.25">
      <c r="A431"/>
    </row>
    <row r="432" spans="1:1" x14ac:dyDescent="0.25">
      <c r="A432"/>
    </row>
    <row r="433" spans="1:1" x14ac:dyDescent="0.25">
      <c r="A433"/>
    </row>
    <row r="434" spans="1:1" x14ac:dyDescent="0.25">
      <c r="A434"/>
    </row>
    <row r="435" spans="1:1" x14ac:dyDescent="0.25">
      <c r="A435"/>
    </row>
    <row r="436" spans="1:1" x14ac:dyDescent="0.25">
      <c r="A436"/>
    </row>
    <row r="437" spans="1:1" x14ac:dyDescent="0.25">
      <c r="A437"/>
    </row>
    <row r="438" spans="1:1" x14ac:dyDescent="0.25">
      <c r="A438"/>
    </row>
    <row r="439" spans="1:1" x14ac:dyDescent="0.25">
      <c r="A439"/>
    </row>
    <row r="440" spans="1:1" x14ac:dyDescent="0.25">
      <c r="A440"/>
    </row>
    <row r="441" spans="1:1" x14ac:dyDescent="0.25">
      <c r="A441"/>
    </row>
    <row r="442" spans="1:1" x14ac:dyDescent="0.25">
      <c r="A442"/>
    </row>
    <row r="443" spans="1:1" x14ac:dyDescent="0.25">
      <c r="A443"/>
    </row>
    <row r="444" spans="1:1" x14ac:dyDescent="0.25">
      <c r="A444"/>
    </row>
    <row r="445" spans="1:1" x14ac:dyDescent="0.25">
      <c r="A445"/>
    </row>
    <row r="446" spans="1:1" x14ac:dyDescent="0.25">
      <c r="A446"/>
    </row>
    <row r="447" spans="1:1" x14ac:dyDescent="0.25">
      <c r="A447"/>
    </row>
    <row r="448" spans="1:1" x14ac:dyDescent="0.25">
      <c r="A448"/>
    </row>
    <row r="449" spans="1:1" x14ac:dyDescent="0.25">
      <c r="A449"/>
    </row>
    <row r="450" spans="1:1" x14ac:dyDescent="0.25">
      <c r="A450"/>
    </row>
    <row r="451" spans="1:1" x14ac:dyDescent="0.25">
      <c r="A451"/>
    </row>
    <row r="452" spans="1:1" x14ac:dyDescent="0.25">
      <c r="A452"/>
    </row>
    <row r="453" spans="1:1" x14ac:dyDescent="0.25">
      <c r="A453"/>
    </row>
    <row r="454" spans="1:1" x14ac:dyDescent="0.25">
      <c r="A454"/>
    </row>
    <row r="455" spans="1:1" x14ac:dyDescent="0.25">
      <c r="A455"/>
    </row>
    <row r="456" spans="1:1" x14ac:dyDescent="0.25">
      <c r="A456"/>
    </row>
    <row r="457" spans="1:1" x14ac:dyDescent="0.25">
      <c r="A457"/>
    </row>
    <row r="458" spans="1:1" x14ac:dyDescent="0.25">
      <c r="A458"/>
    </row>
    <row r="459" spans="1:1" x14ac:dyDescent="0.25">
      <c r="A459"/>
    </row>
    <row r="460" spans="1:1" x14ac:dyDescent="0.25">
      <c r="A460"/>
    </row>
    <row r="461" spans="1:1" x14ac:dyDescent="0.25">
      <c r="A461"/>
    </row>
    <row r="462" spans="1:1" x14ac:dyDescent="0.25">
      <c r="A462"/>
    </row>
    <row r="463" spans="1:1" x14ac:dyDescent="0.25">
      <c r="A463"/>
    </row>
    <row r="464" spans="1:1" x14ac:dyDescent="0.25">
      <c r="A464"/>
    </row>
    <row r="465" spans="1:1" x14ac:dyDescent="0.25">
      <c r="A465"/>
    </row>
    <row r="466" spans="1:1" x14ac:dyDescent="0.25">
      <c r="A466"/>
    </row>
    <row r="467" spans="1:1" x14ac:dyDescent="0.25">
      <c r="A467"/>
    </row>
    <row r="468" spans="1:1" x14ac:dyDescent="0.25">
      <c r="A468"/>
    </row>
    <row r="469" spans="1:1" x14ac:dyDescent="0.25">
      <c r="A469"/>
    </row>
    <row r="470" spans="1:1" x14ac:dyDescent="0.25">
      <c r="A470"/>
    </row>
    <row r="471" spans="1:1" x14ac:dyDescent="0.25">
      <c r="A471"/>
    </row>
    <row r="472" spans="1:1" x14ac:dyDescent="0.25">
      <c r="A472"/>
    </row>
    <row r="473" spans="1:1" x14ac:dyDescent="0.25">
      <c r="A473"/>
    </row>
    <row r="474" spans="1:1" x14ac:dyDescent="0.25">
      <c r="A474"/>
    </row>
    <row r="475" spans="1:1" x14ac:dyDescent="0.25">
      <c r="A475"/>
    </row>
    <row r="476" spans="1:1" x14ac:dyDescent="0.25">
      <c r="A476"/>
    </row>
    <row r="477" spans="1:1" x14ac:dyDescent="0.25">
      <c r="A477"/>
    </row>
    <row r="478" spans="1:1" x14ac:dyDescent="0.25">
      <c r="A478"/>
    </row>
    <row r="479" spans="1:1" x14ac:dyDescent="0.25">
      <c r="A479"/>
    </row>
    <row r="480" spans="1:1" x14ac:dyDescent="0.25">
      <c r="A480"/>
    </row>
    <row r="481" spans="1:1" x14ac:dyDescent="0.25">
      <c r="A481"/>
    </row>
    <row r="482" spans="1:1" x14ac:dyDescent="0.25">
      <c r="A482"/>
    </row>
    <row r="483" spans="1:1" x14ac:dyDescent="0.25">
      <c r="A483"/>
    </row>
    <row r="484" spans="1:1" x14ac:dyDescent="0.25">
      <c r="A484"/>
    </row>
    <row r="485" spans="1:1" x14ac:dyDescent="0.25">
      <c r="A485"/>
    </row>
    <row r="486" spans="1:1" x14ac:dyDescent="0.25">
      <c r="A486"/>
    </row>
    <row r="487" spans="1:1" x14ac:dyDescent="0.25">
      <c r="A487"/>
    </row>
    <row r="488" spans="1:1" x14ac:dyDescent="0.25">
      <c r="A488"/>
    </row>
    <row r="489" spans="1:1" x14ac:dyDescent="0.25">
      <c r="A489"/>
    </row>
    <row r="490" spans="1:1" x14ac:dyDescent="0.25">
      <c r="A490"/>
    </row>
    <row r="491" spans="1:1" x14ac:dyDescent="0.25">
      <c r="A491"/>
    </row>
    <row r="492" spans="1:1" x14ac:dyDescent="0.25">
      <c r="A492"/>
    </row>
    <row r="493" spans="1:1" x14ac:dyDescent="0.25">
      <c r="A493"/>
    </row>
    <row r="494" spans="1:1" x14ac:dyDescent="0.25">
      <c r="A494"/>
    </row>
    <row r="495" spans="1:1" x14ac:dyDescent="0.25">
      <c r="A495"/>
    </row>
    <row r="496" spans="1:1" x14ac:dyDescent="0.25">
      <c r="A496"/>
    </row>
    <row r="497" spans="1:1" x14ac:dyDescent="0.25">
      <c r="A497"/>
    </row>
    <row r="498" spans="1:1" x14ac:dyDescent="0.25">
      <c r="A498"/>
    </row>
    <row r="499" spans="1:1" x14ac:dyDescent="0.25">
      <c r="A499"/>
    </row>
    <row r="500" spans="1:1" x14ac:dyDescent="0.25">
      <c r="A500"/>
    </row>
    <row r="501" spans="1:1" x14ac:dyDescent="0.25">
      <c r="A501"/>
    </row>
    <row r="502" spans="1:1" x14ac:dyDescent="0.25">
      <c r="A502"/>
    </row>
    <row r="503" spans="1:1" x14ac:dyDescent="0.25">
      <c r="A503"/>
    </row>
    <row r="504" spans="1:1" x14ac:dyDescent="0.25">
      <c r="A504"/>
    </row>
    <row r="505" spans="1:1" x14ac:dyDescent="0.25">
      <c r="A505"/>
    </row>
    <row r="506" spans="1:1" x14ac:dyDescent="0.25">
      <c r="A506"/>
    </row>
    <row r="507" spans="1:1" x14ac:dyDescent="0.25">
      <c r="A507"/>
    </row>
    <row r="508" spans="1:1" x14ac:dyDescent="0.25">
      <c r="A508"/>
    </row>
    <row r="509" spans="1:1" x14ac:dyDescent="0.25">
      <c r="A509"/>
    </row>
    <row r="510" spans="1:1" x14ac:dyDescent="0.25">
      <c r="A510"/>
    </row>
    <row r="511" spans="1:1" x14ac:dyDescent="0.25">
      <c r="A511"/>
    </row>
    <row r="512" spans="1:1" x14ac:dyDescent="0.25">
      <c r="A512"/>
    </row>
    <row r="513" spans="1:1" x14ac:dyDescent="0.25">
      <c r="A513"/>
    </row>
    <row r="514" spans="1:1" x14ac:dyDescent="0.25">
      <c r="A514"/>
    </row>
    <row r="515" spans="1:1" x14ac:dyDescent="0.25">
      <c r="A515"/>
    </row>
    <row r="516" spans="1:1" x14ac:dyDescent="0.25">
      <c r="A516"/>
    </row>
    <row r="517" spans="1:1" x14ac:dyDescent="0.25">
      <c r="A517"/>
    </row>
    <row r="518" spans="1:1" x14ac:dyDescent="0.25">
      <c r="A518"/>
    </row>
    <row r="519" spans="1:1" x14ac:dyDescent="0.25">
      <c r="A519"/>
    </row>
    <row r="520" spans="1:1" x14ac:dyDescent="0.25">
      <c r="A520"/>
    </row>
    <row r="521" spans="1:1" x14ac:dyDescent="0.25">
      <c r="A521"/>
    </row>
    <row r="522" spans="1:1" x14ac:dyDescent="0.25">
      <c r="A522"/>
    </row>
    <row r="523" spans="1:1" x14ac:dyDescent="0.25">
      <c r="A523"/>
    </row>
    <row r="524" spans="1:1" x14ac:dyDescent="0.25">
      <c r="A524"/>
    </row>
    <row r="525" spans="1:1" x14ac:dyDescent="0.25">
      <c r="A525"/>
    </row>
    <row r="526" spans="1:1" x14ac:dyDescent="0.25">
      <c r="A526"/>
    </row>
    <row r="527" spans="1:1" x14ac:dyDescent="0.25">
      <c r="A527"/>
    </row>
    <row r="528" spans="1:1" x14ac:dyDescent="0.25">
      <c r="A528"/>
    </row>
    <row r="529" spans="1:1" x14ac:dyDescent="0.25">
      <c r="A529"/>
    </row>
    <row r="530" spans="1:1" x14ac:dyDescent="0.25">
      <c r="A530"/>
    </row>
    <row r="531" spans="1:1" x14ac:dyDescent="0.25">
      <c r="A531"/>
    </row>
    <row r="532" spans="1:1" x14ac:dyDescent="0.25">
      <c r="A532"/>
    </row>
    <row r="533" spans="1:1" x14ac:dyDescent="0.25">
      <c r="A533"/>
    </row>
    <row r="534" spans="1:1" x14ac:dyDescent="0.25">
      <c r="A534"/>
    </row>
    <row r="535" spans="1:1" x14ac:dyDescent="0.25">
      <c r="A535"/>
    </row>
    <row r="536" spans="1:1" x14ac:dyDescent="0.25">
      <c r="A536"/>
    </row>
    <row r="537" spans="1:1" x14ac:dyDescent="0.25">
      <c r="A537"/>
    </row>
    <row r="538" spans="1:1" x14ac:dyDescent="0.25">
      <c r="A538"/>
    </row>
    <row r="539" spans="1:1" x14ac:dyDescent="0.25">
      <c r="A539"/>
    </row>
    <row r="540" spans="1:1" x14ac:dyDescent="0.25">
      <c r="A540"/>
    </row>
    <row r="541" spans="1:1" x14ac:dyDescent="0.25">
      <c r="A541"/>
    </row>
    <row r="542" spans="1:1" x14ac:dyDescent="0.25">
      <c r="A542"/>
    </row>
    <row r="543" spans="1:1" x14ac:dyDescent="0.25">
      <c r="A543"/>
    </row>
    <row r="544" spans="1:1" x14ac:dyDescent="0.25">
      <c r="A544"/>
    </row>
    <row r="545" spans="1:1" x14ac:dyDescent="0.25">
      <c r="A545"/>
    </row>
    <row r="546" spans="1:1" x14ac:dyDescent="0.25">
      <c r="A546"/>
    </row>
    <row r="547" spans="1:1" x14ac:dyDescent="0.25">
      <c r="A547"/>
    </row>
    <row r="548" spans="1:1" x14ac:dyDescent="0.25">
      <c r="A548"/>
    </row>
    <row r="549" spans="1:1" x14ac:dyDescent="0.25">
      <c r="A549"/>
    </row>
    <row r="550" spans="1:1" x14ac:dyDescent="0.25">
      <c r="A550"/>
    </row>
    <row r="551" spans="1:1" x14ac:dyDescent="0.25">
      <c r="A551"/>
    </row>
    <row r="552" spans="1:1" x14ac:dyDescent="0.25">
      <c r="A552"/>
    </row>
    <row r="553" spans="1:1" x14ac:dyDescent="0.25">
      <c r="A553"/>
    </row>
    <row r="554" spans="1:1" x14ac:dyDescent="0.25">
      <c r="A554"/>
    </row>
    <row r="555" spans="1:1" x14ac:dyDescent="0.25">
      <c r="A555"/>
    </row>
    <row r="556" spans="1:1" x14ac:dyDescent="0.25">
      <c r="A556"/>
    </row>
    <row r="557" spans="1:1" x14ac:dyDescent="0.25">
      <c r="A557"/>
    </row>
    <row r="558" spans="1:1" x14ac:dyDescent="0.25">
      <c r="A558"/>
    </row>
    <row r="559" spans="1:1" x14ac:dyDescent="0.25">
      <c r="A559"/>
    </row>
    <row r="560" spans="1:1" x14ac:dyDescent="0.25">
      <c r="A560"/>
    </row>
    <row r="561" spans="1:1" x14ac:dyDescent="0.25">
      <c r="A561"/>
    </row>
    <row r="562" spans="1:1" x14ac:dyDescent="0.25">
      <c r="A562"/>
    </row>
    <row r="563" spans="1:1" x14ac:dyDescent="0.25">
      <c r="A563"/>
    </row>
    <row r="564" spans="1:1" x14ac:dyDescent="0.25">
      <c r="A564"/>
    </row>
    <row r="565" spans="1:1" x14ac:dyDescent="0.25">
      <c r="A565"/>
    </row>
    <row r="566" spans="1:1" x14ac:dyDescent="0.25">
      <c r="A566"/>
    </row>
    <row r="567" spans="1:1" x14ac:dyDescent="0.25">
      <c r="A567"/>
    </row>
    <row r="568" spans="1:1" x14ac:dyDescent="0.25">
      <c r="A568"/>
    </row>
    <row r="569" spans="1:1" x14ac:dyDescent="0.25">
      <c r="A569"/>
    </row>
    <row r="570" spans="1:1" x14ac:dyDescent="0.25">
      <c r="A570"/>
    </row>
    <row r="571" spans="1:1" x14ac:dyDescent="0.25">
      <c r="A571"/>
    </row>
    <row r="572" spans="1:1" x14ac:dyDescent="0.25">
      <c r="A572"/>
    </row>
    <row r="573" spans="1:1" x14ac:dyDescent="0.25">
      <c r="A573"/>
    </row>
    <row r="574" spans="1:1" x14ac:dyDescent="0.25">
      <c r="A574"/>
    </row>
    <row r="575" spans="1:1" x14ac:dyDescent="0.25">
      <c r="A575"/>
    </row>
    <row r="576" spans="1:1" x14ac:dyDescent="0.25">
      <c r="A576"/>
    </row>
    <row r="577" spans="1:1" x14ac:dyDescent="0.25">
      <c r="A577"/>
    </row>
    <row r="578" spans="1:1" x14ac:dyDescent="0.25">
      <c r="A578"/>
    </row>
    <row r="579" spans="1:1" x14ac:dyDescent="0.25">
      <c r="A579"/>
    </row>
    <row r="580" spans="1:1" x14ac:dyDescent="0.25">
      <c r="A580"/>
    </row>
    <row r="581" spans="1:1" x14ac:dyDescent="0.25">
      <c r="A581"/>
    </row>
    <row r="582" spans="1:1" x14ac:dyDescent="0.25">
      <c r="A582"/>
    </row>
    <row r="583" spans="1:1" x14ac:dyDescent="0.25">
      <c r="A583"/>
    </row>
    <row r="584" spans="1:1" x14ac:dyDescent="0.25">
      <c r="A584"/>
    </row>
    <row r="585" spans="1:1" x14ac:dyDescent="0.25">
      <c r="A585"/>
    </row>
    <row r="586" spans="1:1" x14ac:dyDescent="0.25">
      <c r="A586"/>
    </row>
    <row r="587" spans="1:1" x14ac:dyDescent="0.25">
      <c r="A587"/>
    </row>
    <row r="588" spans="1:1" x14ac:dyDescent="0.25">
      <c r="A588"/>
    </row>
    <row r="589" spans="1:1" x14ac:dyDescent="0.25">
      <c r="A589"/>
    </row>
    <row r="590" spans="1:1" x14ac:dyDescent="0.25">
      <c r="A590"/>
    </row>
    <row r="591" spans="1:1" x14ac:dyDescent="0.25">
      <c r="A591"/>
    </row>
    <row r="592" spans="1:1" x14ac:dyDescent="0.25">
      <c r="A592"/>
    </row>
    <row r="593" spans="1:1" x14ac:dyDescent="0.25">
      <c r="A593"/>
    </row>
    <row r="594" spans="1:1" x14ac:dyDescent="0.25">
      <c r="A594"/>
    </row>
    <row r="595" spans="1:1" x14ac:dyDescent="0.25">
      <c r="A595"/>
    </row>
    <row r="596" spans="1:1" x14ac:dyDescent="0.25">
      <c r="A596"/>
    </row>
    <row r="597" spans="1:1" x14ac:dyDescent="0.25">
      <c r="A597"/>
    </row>
    <row r="598" spans="1:1" x14ac:dyDescent="0.25">
      <c r="A598"/>
    </row>
    <row r="599" spans="1:1" x14ac:dyDescent="0.25">
      <c r="A599"/>
    </row>
    <row r="600" spans="1:1" x14ac:dyDescent="0.25">
      <c r="A600"/>
    </row>
    <row r="601" spans="1:1" x14ac:dyDescent="0.25">
      <c r="A601"/>
    </row>
    <row r="602" spans="1:1" x14ac:dyDescent="0.25">
      <c r="A602"/>
    </row>
    <row r="603" spans="1:1" x14ac:dyDescent="0.25">
      <c r="A603"/>
    </row>
    <row r="604" spans="1:1" x14ac:dyDescent="0.25">
      <c r="A604"/>
    </row>
    <row r="605" spans="1:1" x14ac:dyDescent="0.25">
      <c r="A605"/>
    </row>
    <row r="606" spans="1:1" x14ac:dyDescent="0.25">
      <c r="A606"/>
    </row>
    <row r="607" spans="1:1" x14ac:dyDescent="0.25">
      <c r="A607"/>
    </row>
    <row r="608" spans="1:1" x14ac:dyDescent="0.25">
      <c r="A608"/>
    </row>
    <row r="609" spans="1:1" x14ac:dyDescent="0.25">
      <c r="A609"/>
    </row>
    <row r="610" spans="1:1" x14ac:dyDescent="0.25">
      <c r="A610"/>
    </row>
    <row r="611" spans="1:1" x14ac:dyDescent="0.25">
      <c r="A611"/>
    </row>
    <row r="612" spans="1:1" x14ac:dyDescent="0.25">
      <c r="A612"/>
    </row>
    <row r="613" spans="1:1" x14ac:dyDescent="0.25">
      <c r="A613"/>
    </row>
    <row r="614" spans="1:1" x14ac:dyDescent="0.25">
      <c r="A614"/>
    </row>
    <row r="615" spans="1:1" x14ac:dyDescent="0.25">
      <c r="A615"/>
    </row>
    <row r="616" spans="1:1" x14ac:dyDescent="0.25">
      <c r="A616"/>
    </row>
    <row r="617" spans="1:1" x14ac:dyDescent="0.25">
      <c r="A617"/>
    </row>
    <row r="618" spans="1:1" x14ac:dyDescent="0.25">
      <c r="A618"/>
    </row>
    <row r="619" spans="1:1" x14ac:dyDescent="0.25">
      <c r="A619"/>
    </row>
    <row r="620" spans="1:1" x14ac:dyDescent="0.25">
      <c r="A620"/>
    </row>
    <row r="621" spans="1:1" x14ac:dyDescent="0.25">
      <c r="A621"/>
    </row>
    <row r="622" spans="1:1" x14ac:dyDescent="0.25">
      <c r="A622"/>
    </row>
    <row r="623" spans="1:1" x14ac:dyDescent="0.25">
      <c r="A623"/>
    </row>
    <row r="624" spans="1:1" x14ac:dyDescent="0.25">
      <c r="A624"/>
    </row>
    <row r="625" spans="1:1" x14ac:dyDescent="0.25">
      <c r="A625"/>
    </row>
    <row r="626" spans="1:1" x14ac:dyDescent="0.25">
      <c r="A626"/>
    </row>
    <row r="627" spans="1:1" x14ac:dyDescent="0.25">
      <c r="A627"/>
    </row>
    <row r="628" spans="1:1" x14ac:dyDescent="0.25">
      <c r="A628"/>
    </row>
    <row r="629" spans="1:1" x14ac:dyDescent="0.25">
      <c r="A629"/>
    </row>
    <row r="630" spans="1:1" x14ac:dyDescent="0.25">
      <c r="A630"/>
    </row>
    <row r="631" spans="1:1" x14ac:dyDescent="0.25">
      <c r="A631"/>
    </row>
    <row r="632" spans="1:1" x14ac:dyDescent="0.25">
      <c r="A632"/>
    </row>
    <row r="633" spans="1:1" x14ac:dyDescent="0.25">
      <c r="A633"/>
    </row>
    <row r="634" spans="1:1" x14ac:dyDescent="0.25">
      <c r="A634"/>
    </row>
    <row r="635" spans="1:1" x14ac:dyDescent="0.25">
      <c r="A635"/>
    </row>
    <row r="636" spans="1:1" x14ac:dyDescent="0.25">
      <c r="A636"/>
    </row>
    <row r="637" spans="1:1" x14ac:dyDescent="0.25">
      <c r="A637"/>
    </row>
    <row r="638" spans="1:1" x14ac:dyDescent="0.25">
      <c r="A638"/>
    </row>
    <row r="639" spans="1:1" x14ac:dyDescent="0.25">
      <c r="A639"/>
    </row>
    <row r="640" spans="1:1" x14ac:dyDescent="0.25">
      <c r="A640"/>
    </row>
    <row r="641" spans="1:1" x14ac:dyDescent="0.25">
      <c r="A641"/>
    </row>
    <row r="642" spans="1:1" x14ac:dyDescent="0.25">
      <c r="A642"/>
    </row>
    <row r="643" spans="1:1" x14ac:dyDescent="0.25">
      <c r="A643"/>
    </row>
    <row r="644" spans="1:1" x14ac:dyDescent="0.25">
      <c r="A644"/>
    </row>
    <row r="645" spans="1:1" x14ac:dyDescent="0.25">
      <c r="A645"/>
    </row>
    <row r="646" spans="1:1" x14ac:dyDescent="0.25">
      <c r="A646"/>
    </row>
    <row r="647" spans="1:1" x14ac:dyDescent="0.25">
      <c r="A647"/>
    </row>
    <row r="648" spans="1:1" x14ac:dyDescent="0.25">
      <c r="A648"/>
    </row>
    <row r="649" spans="1:1" x14ac:dyDescent="0.25">
      <c r="A649"/>
    </row>
    <row r="650" spans="1:1" x14ac:dyDescent="0.25">
      <c r="A650"/>
    </row>
    <row r="651" spans="1:1" x14ac:dyDescent="0.25">
      <c r="A651"/>
    </row>
    <row r="652" spans="1:1" x14ac:dyDescent="0.25">
      <c r="A652"/>
    </row>
    <row r="653" spans="1:1" x14ac:dyDescent="0.25">
      <c r="A653"/>
    </row>
    <row r="654" spans="1:1" x14ac:dyDescent="0.25">
      <c r="A654"/>
    </row>
    <row r="655" spans="1:1" x14ac:dyDescent="0.25">
      <c r="A655"/>
    </row>
    <row r="656" spans="1:1" x14ac:dyDescent="0.25">
      <c r="A656"/>
    </row>
    <row r="657" spans="1:1" x14ac:dyDescent="0.25">
      <c r="A657"/>
    </row>
    <row r="658" spans="1:1" x14ac:dyDescent="0.25">
      <c r="A658"/>
    </row>
    <row r="659" spans="1:1" x14ac:dyDescent="0.25">
      <c r="A659"/>
    </row>
    <row r="660" spans="1:1" x14ac:dyDescent="0.25">
      <c r="A660"/>
    </row>
    <row r="661" spans="1:1" x14ac:dyDescent="0.25">
      <c r="A661"/>
    </row>
    <row r="662" spans="1:1" x14ac:dyDescent="0.25">
      <c r="A662"/>
    </row>
    <row r="663" spans="1:1" x14ac:dyDescent="0.25">
      <c r="A663"/>
    </row>
    <row r="664" spans="1:1" x14ac:dyDescent="0.25">
      <c r="A664"/>
    </row>
    <row r="665" spans="1:1" x14ac:dyDescent="0.25">
      <c r="A665"/>
    </row>
    <row r="666" spans="1:1" x14ac:dyDescent="0.25">
      <c r="A666"/>
    </row>
    <row r="667" spans="1:1" x14ac:dyDescent="0.25">
      <c r="A667"/>
    </row>
    <row r="668" spans="1:1" x14ac:dyDescent="0.25">
      <c r="A668"/>
    </row>
    <row r="669" spans="1:1" x14ac:dyDescent="0.25">
      <c r="A669"/>
    </row>
    <row r="670" spans="1:1" x14ac:dyDescent="0.25">
      <c r="A670"/>
    </row>
    <row r="671" spans="1:1" x14ac:dyDescent="0.25">
      <c r="A671"/>
    </row>
    <row r="672" spans="1:1" x14ac:dyDescent="0.25">
      <c r="A672"/>
    </row>
    <row r="673" spans="1:1" x14ac:dyDescent="0.25">
      <c r="A673"/>
    </row>
    <row r="674" spans="1:1" x14ac:dyDescent="0.25">
      <c r="A674"/>
    </row>
    <row r="675" spans="1:1" x14ac:dyDescent="0.25">
      <c r="A675"/>
    </row>
    <row r="676" spans="1:1" x14ac:dyDescent="0.25">
      <c r="A676"/>
    </row>
    <row r="677" spans="1:1" x14ac:dyDescent="0.25">
      <c r="A677"/>
    </row>
    <row r="678" spans="1:1" x14ac:dyDescent="0.25">
      <c r="A678"/>
    </row>
    <row r="679" spans="1:1" x14ac:dyDescent="0.25">
      <c r="A679"/>
    </row>
    <row r="680" spans="1:1" x14ac:dyDescent="0.25">
      <c r="A680"/>
    </row>
    <row r="681" spans="1:1" x14ac:dyDescent="0.25">
      <c r="A681"/>
    </row>
    <row r="682" spans="1:1" x14ac:dyDescent="0.25">
      <c r="A682"/>
    </row>
    <row r="683" spans="1:1" x14ac:dyDescent="0.25">
      <c r="A683"/>
    </row>
    <row r="684" spans="1:1" x14ac:dyDescent="0.25">
      <c r="A684"/>
    </row>
    <row r="685" spans="1:1" x14ac:dyDescent="0.25">
      <c r="A685"/>
    </row>
    <row r="686" spans="1:1" x14ac:dyDescent="0.25">
      <c r="A686"/>
    </row>
    <row r="687" spans="1:1" x14ac:dyDescent="0.25">
      <c r="A687"/>
    </row>
    <row r="688" spans="1:1" x14ac:dyDescent="0.25">
      <c r="A688"/>
    </row>
    <row r="689" spans="1:1" x14ac:dyDescent="0.25">
      <c r="A689"/>
    </row>
    <row r="690" spans="1:1" x14ac:dyDescent="0.25">
      <c r="A690"/>
    </row>
    <row r="691" spans="1:1" x14ac:dyDescent="0.25">
      <c r="A691"/>
    </row>
    <row r="692" spans="1:1" x14ac:dyDescent="0.25">
      <c r="A692"/>
    </row>
    <row r="693" spans="1:1" x14ac:dyDescent="0.25">
      <c r="A693"/>
    </row>
    <row r="694" spans="1:1" x14ac:dyDescent="0.25">
      <c r="A694"/>
    </row>
    <row r="695" spans="1:1" x14ac:dyDescent="0.25">
      <c r="A695"/>
    </row>
    <row r="696" spans="1:1" x14ac:dyDescent="0.25">
      <c r="A696"/>
    </row>
    <row r="697" spans="1:1" x14ac:dyDescent="0.25">
      <c r="A697"/>
    </row>
    <row r="698" spans="1:1" x14ac:dyDescent="0.25">
      <c r="A698"/>
    </row>
    <row r="699" spans="1:1" x14ac:dyDescent="0.25">
      <c r="A699"/>
    </row>
    <row r="700" spans="1:1" x14ac:dyDescent="0.25">
      <c r="A700"/>
    </row>
    <row r="701" spans="1:1" x14ac:dyDescent="0.25">
      <c r="A701"/>
    </row>
    <row r="702" spans="1:1" x14ac:dyDescent="0.25">
      <c r="A702"/>
    </row>
    <row r="703" spans="1:1" x14ac:dyDescent="0.25">
      <c r="A703"/>
    </row>
    <row r="704" spans="1:1" x14ac:dyDescent="0.25">
      <c r="A704"/>
    </row>
    <row r="705" spans="1:1" x14ac:dyDescent="0.25">
      <c r="A705"/>
    </row>
    <row r="706" spans="1:1" x14ac:dyDescent="0.25">
      <c r="A706"/>
    </row>
    <row r="707" spans="1:1" x14ac:dyDescent="0.25">
      <c r="A707"/>
    </row>
    <row r="708" spans="1:1" x14ac:dyDescent="0.25">
      <c r="A708"/>
    </row>
    <row r="709" spans="1:1" x14ac:dyDescent="0.25">
      <c r="A709"/>
    </row>
    <row r="710" spans="1:1" x14ac:dyDescent="0.25">
      <c r="A710"/>
    </row>
    <row r="711" spans="1:1" x14ac:dyDescent="0.25">
      <c r="A711"/>
    </row>
    <row r="712" spans="1:1" x14ac:dyDescent="0.25">
      <c r="A712"/>
    </row>
    <row r="713" spans="1:1" x14ac:dyDescent="0.25">
      <c r="A713"/>
    </row>
    <row r="714" spans="1:1" x14ac:dyDescent="0.25">
      <c r="A714"/>
    </row>
    <row r="715" spans="1:1" x14ac:dyDescent="0.25">
      <c r="A715"/>
    </row>
    <row r="716" spans="1:1" x14ac:dyDescent="0.25">
      <c r="A716"/>
    </row>
    <row r="717" spans="1:1" x14ac:dyDescent="0.25">
      <c r="A717"/>
    </row>
    <row r="718" spans="1:1" x14ac:dyDescent="0.25">
      <c r="A718"/>
    </row>
    <row r="719" spans="1:1" x14ac:dyDescent="0.25">
      <c r="A719"/>
    </row>
    <row r="720" spans="1:1" x14ac:dyDescent="0.25">
      <c r="A720"/>
    </row>
    <row r="721" spans="1:1" x14ac:dyDescent="0.25">
      <c r="A721"/>
    </row>
    <row r="722" spans="1:1" x14ac:dyDescent="0.25">
      <c r="A722"/>
    </row>
    <row r="723" spans="1:1" x14ac:dyDescent="0.25">
      <c r="A723"/>
    </row>
    <row r="724" spans="1:1" x14ac:dyDescent="0.25">
      <c r="A724"/>
    </row>
    <row r="725" spans="1:1" x14ac:dyDescent="0.25">
      <c r="A725"/>
    </row>
    <row r="726" spans="1:1" x14ac:dyDescent="0.25">
      <c r="A726"/>
    </row>
    <row r="727" spans="1:1" x14ac:dyDescent="0.25">
      <c r="A727"/>
    </row>
    <row r="728" spans="1:1" x14ac:dyDescent="0.25">
      <c r="A728"/>
    </row>
    <row r="729" spans="1:1" x14ac:dyDescent="0.25">
      <c r="A729"/>
    </row>
    <row r="730" spans="1:1" x14ac:dyDescent="0.25">
      <c r="A730"/>
    </row>
    <row r="731" spans="1:1" x14ac:dyDescent="0.25">
      <c r="A731"/>
    </row>
    <row r="732" spans="1:1" x14ac:dyDescent="0.25">
      <c r="A732"/>
    </row>
    <row r="733" spans="1:1" x14ac:dyDescent="0.25">
      <c r="A733"/>
    </row>
    <row r="734" spans="1:1" x14ac:dyDescent="0.25">
      <c r="A734"/>
    </row>
    <row r="735" spans="1:1" x14ac:dyDescent="0.25">
      <c r="A735"/>
    </row>
    <row r="736" spans="1:1" x14ac:dyDescent="0.25">
      <c r="A736"/>
    </row>
    <row r="737" spans="1:1" x14ac:dyDescent="0.25">
      <c r="A737"/>
    </row>
    <row r="738" spans="1:1" x14ac:dyDescent="0.25">
      <c r="A738"/>
    </row>
    <row r="739" spans="1:1" x14ac:dyDescent="0.25">
      <c r="A739"/>
    </row>
    <row r="740" spans="1:1" x14ac:dyDescent="0.25">
      <c r="A740"/>
    </row>
    <row r="741" spans="1:1" x14ac:dyDescent="0.25">
      <c r="A741"/>
    </row>
    <row r="742" spans="1:1" x14ac:dyDescent="0.25">
      <c r="A742"/>
    </row>
    <row r="743" spans="1:1" x14ac:dyDescent="0.25">
      <c r="A743"/>
    </row>
    <row r="744" spans="1:1" x14ac:dyDescent="0.25">
      <c r="A744"/>
    </row>
    <row r="745" spans="1:1" x14ac:dyDescent="0.25">
      <c r="A745"/>
    </row>
    <row r="746" spans="1:1" x14ac:dyDescent="0.25">
      <c r="A746"/>
    </row>
    <row r="747" spans="1:1" x14ac:dyDescent="0.25">
      <c r="A747"/>
    </row>
    <row r="748" spans="1:1" x14ac:dyDescent="0.25">
      <c r="A748"/>
    </row>
    <row r="749" spans="1:1" x14ac:dyDescent="0.25">
      <c r="A749"/>
    </row>
    <row r="750" spans="1:1" x14ac:dyDescent="0.25">
      <c r="A750"/>
    </row>
    <row r="751" spans="1:1" x14ac:dyDescent="0.25">
      <c r="A751"/>
    </row>
    <row r="752" spans="1:1" x14ac:dyDescent="0.25">
      <c r="A752"/>
    </row>
    <row r="753" spans="1:1" x14ac:dyDescent="0.25">
      <c r="A753"/>
    </row>
    <row r="754" spans="1:1" x14ac:dyDescent="0.25">
      <c r="A754"/>
    </row>
    <row r="755" spans="1:1" x14ac:dyDescent="0.25">
      <c r="A755"/>
    </row>
    <row r="756" spans="1:1" x14ac:dyDescent="0.25">
      <c r="A756"/>
    </row>
    <row r="757" spans="1:1" x14ac:dyDescent="0.25">
      <c r="A757"/>
    </row>
    <row r="758" spans="1:1" x14ac:dyDescent="0.25">
      <c r="A758"/>
    </row>
    <row r="759" spans="1:1" x14ac:dyDescent="0.25">
      <c r="A759"/>
    </row>
    <row r="760" spans="1:1" x14ac:dyDescent="0.25">
      <c r="A760"/>
    </row>
    <row r="761" spans="1:1" x14ac:dyDescent="0.25">
      <c r="A761"/>
    </row>
    <row r="762" spans="1:1" x14ac:dyDescent="0.25">
      <c r="A762"/>
    </row>
    <row r="763" spans="1:1" x14ac:dyDescent="0.25">
      <c r="A763"/>
    </row>
    <row r="764" spans="1:1" x14ac:dyDescent="0.25">
      <c r="A764"/>
    </row>
    <row r="765" spans="1:1" x14ac:dyDescent="0.25">
      <c r="A765"/>
    </row>
    <row r="766" spans="1:1" x14ac:dyDescent="0.25">
      <c r="A766"/>
    </row>
    <row r="767" spans="1:1" x14ac:dyDescent="0.25">
      <c r="A767"/>
    </row>
    <row r="768" spans="1:1" x14ac:dyDescent="0.25">
      <c r="A768"/>
    </row>
    <row r="769" spans="1:1" x14ac:dyDescent="0.25">
      <c r="A769"/>
    </row>
    <row r="770" spans="1:1" x14ac:dyDescent="0.25">
      <c r="A770"/>
    </row>
    <row r="771" spans="1:1" x14ac:dyDescent="0.25">
      <c r="A771"/>
    </row>
    <row r="772" spans="1:1" x14ac:dyDescent="0.25">
      <c r="A772"/>
    </row>
    <row r="773" spans="1:1" x14ac:dyDescent="0.25">
      <c r="A773"/>
    </row>
    <row r="774" spans="1:1" x14ac:dyDescent="0.25">
      <c r="A774"/>
    </row>
    <row r="775" spans="1:1" x14ac:dyDescent="0.25">
      <c r="A775"/>
    </row>
    <row r="776" spans="1:1" x14ac:dyDescent="0.25">
      <c r="A776"/>
    </row>
    <row r="777" spans="1:1" x14ac:dyDescent="0.25">
      <c r="A777"/>
    </row>
    <row r="778" spans="1:1" x14ac:dyDescent="0.25">
      <c r="A778"/>
    </row>
    <row r="779" spans="1:1" x14ac:dyDescent="0.25">
      <c r="A779"/>
    </row>
    <row r="780" spans="1:1" x14ac:dyDescent="0.25">
      <c r="A780"/>
    </row>
    <row r="781" spans="1:1" x14ac:dyDescent="0.25">
      <c r="A781"/>
    </row>
    <row r="782" spans="1:1" x14ac:dyDescent="0.25">
      <c r="A782"/>
    </row>
    <row r="783" spans="1:1" x14ac:dyDescent="0.25">
      <c r="A783"/>
    </row>
    <row r="784" spans="1:1" x14ac:dyDescent="0.25">
      <c r="A784"/>
    </row>
    <row r="785" spans="1:1" x14ac:dyDescent="0.25">
      <c r="A785"/>
    </row>
    <row r="786" spans="1:1" x14ac:dyDescent="0.25">
      <c r="A786"/>
    </row>
    <row r="787" spans="1:1" x14ac:dyDescent="0.25">
      <c r="A787"/>
    </row>
    <row r="788" spans="1:1" x14ac:dyDescent="0.25">
      <c r="A788"/>
    </row>
    <row r="789" spans="1:1" x14ac:dyDescent="0.25">
      <c r="A789"/>
    </row>
    <row r="790" spans="1:1" x14ac:dyDescent="0.25">
      <c r="A790"/>
    </row>
    <row r="791" spans="1:1" x14ac:dyDescent="0.25">
      <c r="A791"/>
    </row>
    <row r="792" spans="1:1" x14ac:dyDescent="0.25">
      <c r="A792"/>
    </row>
    <row r="793" spans="1:1" x14ac:dyDescent="0.25">
      <c r="A793"/>
    </row>
    <row r="794" spans="1:1" x14ac:dyDescent="0.25">
      <c r="A794"/>
    </row>
    <row r="795" spans="1:1" x14ac:dyDescent="0.25">
      <c r="A795"/>
    </row>
    <row r="796" spans="1:1" x14ac:dyDescent="0.25">
      <c r="A796"/>
    </row>
    <row r="797" spans="1:1" x14ac:dyDescent="0.25">
      <c r="A797"/>
    </row>
    <row r="798" spans="1:1" x14ac:dyDescent="0.25">
      <c r="A798"/>
    </row>
    <row r="799" spans="1:1" x14ac:dyDescent="0.25">
      <c r="A799"/>
    </row>
    <row r="800" spans="1:1" x14ac:dyDescent="0.25">
      <c r="A800"/>
    </row>
    <row r="801" spans="1:1" x14ac:dyDescent="0.25">
      <c r="A801"/>
    </row>
    <row r="802" spans="1:1" x14ac:dyDescent="0.25">
      <c r="A802"/>
    </row>
    <row r="803" spans="1:1" x14ac:dyDescent="0.25">
      <c r="A803"/>
    </row>
    <row r="804" spans="1:1" x14ac:dyDescent="0.25">
      <c r="A804"/>
    </row>
    <row r="805" spans="1:1" x14ac:dyDescent="0.25">
      <c r="A805"/>
    </row>
    <row r="806" spans="1:1" x14ac:dyDescent="0.25">
      <c r="A806"/>
    </row>
    <row r="807" spans="1:1" x14ac:dyDescent="0.25">
      <c r="A807"/>
    </row>
    <row r="808" spans="1:1" x14ac:dyDescent="0.25">
      <c r="A808"/>
    </row>
    <row r="809" spans="1:1" x14ac:dyDescent="0.25">
      <c r="A809"/>
    </row>
    <row r="810" spans="1:1" x14ac:dyDescent="0.25">
      <c r="A810"/>
    </row>
    <row r="811" spans="1:1" x14ac:dyDescent="0.25">
      <c r="A811"/>
    </row>
    <row r="812" spans="1:1" x14ac:dyDescent="0.25">
      <c r="A812"/>
    </row>
    <row r="813" spans="1:1" x14ac:dyDescent="0.25">
      <c r="A813"/>
    </row>
    <row r="814" spans="1:1" x14ac:dyDescent="0.25">
      <c r="A814"/>
    </row>
    <row r="815" spans="1:1" x14ac:dyDescent="0.25">
      <c r="A815"/>
    </row>
    <row r="816" spans="1:1" x14ac:dyDescent="0.25">
      <c r="A816"/>
    </row>
    <row r="817" spans="1:1" x14ac:dyDescent="0.25">
      <c r="A817"/>
    </row>
    <row r="818" spans="1:1" x14ac:dyDescent="0.25">
      <c r="A818"/>
    </row>
    <row r="819" spans="1:1" x14ac:dyDescent="0.25">
      <c r="A819"/>
    </row>
    <row r="820" spans="1:1" x14ac:dyDescent="0.25">
      <c r="A820"/>
    </row>
    <row r="821" spans="1:1" x14ac:dyDescent="0.25">
      <c r="A821"/>
    </row>
    <row r="822" spans="1:1" x14ac:dyDescent="0.25">
      <c r="A822"/>
    </row>
    <row r="823" spans="1:1" x14ac:dyDescent="0.25">
      <c r="A823"/>
    </row>
    <row r="824" spans="1:1" x14ac:dyDescent="0.25">
      <c r="A824"/>
    </row>
    <row r="825" spans="1:1" x14ac:dyDescent="0.25">
      <c r="A825"/>
    </row>
    <row r="826" spans="1:1" x14ac:dyDescent="0.25">
      <c r="A826"/>
    </row>
    <row r="827" spans="1:1" x14ac:dyDescent="0.25">
      <c r="A827"/>
    </row>
    <row r="828" spans="1:1" x14ac:dyDescent="0.25">
      <c r="A828"/>
    </row>
    <row r="829" spans="1:1" x14ac:dyDescent="0.25">
      <c r="A829"/>
    </row>
    <row r="830" spans="1:1" x14ac:dyDescent="0.25">
      <c r="A830"/>
    </row>
    <row r="831" spans="1:1" x14ac:dyDescent="0.25">
      <c r="A831"/>
    </row>
    <row r="832" spans="1:1" x14ac:dyDescent="0.25">
      <c r="A832"/>
    </row>
    <row r="833" spans="1:1" x14ac:dyDescent="0.25">
      <c r="A833"/>
    </row>
    <row r="834" spans="1:1" x14ac:dyDescent="0.25">
      <c r="A834"/>
    </row>
    <row r="835" spans="1:1" x14ac:dyDescent="0.25">
      <c r="A835"/>
    </row>
    <row r="836" spans="1:1" x14ac:dyDescent="0.25">
      <c r="A836"/>
    </row>
    <row r="837" spans="1:1" x14ac:dyDescent="0.25">
      <c r="A837"/>
    </row>
    <row r="838" spans="1:1" x14ac:dyDescent="0.25">
      <c r="A838"/>
    </row>
    <row r="839" spans="1:1" x14ac:dyDescent="0.25">
      <c r="A839"/>
    </row>
    <row r="840" spans="1:1" x14ac:dyDescent="0.25">
      <c r="A840"/>
    </row>
    <row r="841" spans="1:1" x14ac:dyDescent="0.25">
      <c r="A841"/>
    </row>
    <row r="842" spans="1:1" x14ac:dyDescent="0.25">
      <c r="A842"/>
    </row>
    <row r="843" spans="1:1" x14ac:dyDescent="0.25">
      <c r="A843"/>
    </row>
    <row r="844" spans="1:1" x14ac:dyDescent="0.25">
      <c r="A844"/>
    </row>
    <row r="845" spans="1:1" x14ac:dyDescent="0.25">
      <c r="A845"/>
    </row>
    <row r="846" spans="1:1" x14ac:dyDescent="0.25">
      <c r="A846"/>
    </row>
    <row r="847" spans="1:1" x14ac:dyDescent="0.25">
      <c r="A847"/>
    </row>
    <row r="848" spans="1:1" x14ac:dyDescent="0.25">
      <c r="A848"/>
    </row>
    <row r="849" spans="1:1" x14ac:dyDescent="0.25">
      <c r="A849"/>
    </row>
    <row r="850" spans="1:1" x14ac:dyDescent="0.25">
      <c r="A850"/>
    </row>
    <row r="851" spans="1:1" x14ac:dyDescent="0.25">
      <c r="A851"/>
    </row>
    <row r="852" spans="1:1" x14ac:dyDescent="0.25">
      <c r="A852"/>
    </row>
    <row r="853" spans="1:1" x14ac:dyDescent="0.25">
      <c r="A853"/>
    </row>
    <row r="854" spans="1:1" x14ac:dyDescent="0.25">
      <c r="A854"/>
    </row>
    <row r="855" spans="1:1" x14ac:dyDescent="0.25">
      <c r="A855"/>
    </row>
    <row r="856" spans="1:1" x14ac:dyDescent="0.25">
      <c r="A856"/>
    </row>
    <row r="857" spans="1:1" x14ac:dyDescent="0.25">
      <c r="A857"/>
    </row>
    <row r="858" spans="1:1" x14ac:dyDescent="0.25">
      <c r="A858"/>
    </row>
    <row r="859" spans="1:1" x14ac:dyDescent="0.25">
      <c r="A859"/>
    </row>
    <row r="860" spans="1:1" x14ac:dyDescent="0.25">
      <c r="A860"/>
    </row>
    <row r="861" spans="1:1" x14ac:dyDescent="0.25">
      <c r="A861"/>
    </row>
    <row r="862" spans="1:1" x14ac:dyDescent="0.25">
      <c r="A862"/>
    </row>
    <row r="863" spans="1:1" x14ac:dyDescent="0.25">
      <c r="A863"/>
    </row>
    <row r="864" spans="1:1" x14ac:dyDescent="0.25">
      <c r="A864"/>
    </row>
    <row r="865" spans="1:1" x14ac:dyDescent="0.25">
      <c r="A865"/>
    </row>
    <row r="866" spans="1:1" x14ac:dyDescent="0.25">
      <c r="A866"/>
    </row>
    <row r="867" spans="1:1" x14ac:dyDescent="0.25">
      <c r="A867"/>
    </row>
    <row r="868" spans="1:1" x14ac:dyDescent="0.25">
      <c r="A868"/>
    </row>
    <row r="869" spans="1:1" x14ac:dyDescent="0.25">
      <c r="A869"/>
    </row>
    <row r="870" spans="1:1" x14ac:dyDescent="0.25">
      <c r="A870"/>
    </row>
    <row r="871" spans="1:1" x14ac:dyDescent="0.25">
      <c r="A871"/>
    </row>
    <row r="872" spans="1:1" x14ac:dyDescent="0.25">
      <c r="A872"/>
    </row>
    <row r="873" spans="1:1" x14ac:dyDescent="0.25">
      <c r="A873"/>
    </row>
    <row r="874" spans="1:1" x14ac:dyDescent="0.25">
      <c r="A874"/>
    </row>
    <row r="875" spans="1:1" x14ac:dyDescent="0.25">
      <c r="A875"/>
    </row>
    <row r="876" spans="1:1" x14ac:dyDescent="0.25">
      <c r="A876"/>
    </row>
    <row r="877" spans="1:1" x14ac:dyDescent="0.25">
      <c r="A877"/>
    </row>
    <row r="878" spans="1:1" x14ac:dyDescent="0.25">
      <c r="A878"/>
    </row>
    <row r="879" spans="1:1" x14ac:dyDescent="0.25">
      <c r="A879"/>
    </row>
    <row r="880" spans="1:1" x14ac:dyDescent="0.25">
      <c r="A880"/>
    </row>
    <row r="881" spans="1:1" x14ac:dyDescent="0.25">
      <c r="A881"/>
    </row>
    <row r="882" spans="1:1" x14ac:dyDescent="0.25">
      <c r="A882"/>
    </row>
    <row r="883" spans="1:1" x14ac:dyDescent="0.25">
      <c r="A883"/>
    </row>
    <row r="884" spans="1:1" x14ac:dyDescent="0.25">
      <c r="A884"/>
    </row>
    <row r="885" spans="1:1" x14ac:dyDescent="0.25">
      <c r="A885"/>
    </row>
    <row r="886" spans="1:1" x14ac:dyDescent="0.25">
      <c r="A886"/>
    </row>
    <row r="887" spans="1:1" x14ac:dyDescent="0.25">
      <c r="A887"/>
    </row>
    <row r="888" spans="1:1" x14ac:dyDescent="0.25">
      <c r="A888"/>
    </row>
    <row r="889" spans="1:1" x14ac:dyDescent="0.25">
      <c r="A889"/>
    </row>
    <row r="890" spans="1:1" x14ac:dyDescent="0.25">
      <c r="A890"/>
    </row>
    <row r="891" spans="1:1" x14ac:dyDescent="0.25">
      <c r="A891"/>
    </row>
    <row r="892" spans="1:1" x14ac:dyDescent="0.25">
      <c r="A892"/>
    </row>
    <row r="893" spans="1:1" x14ac:dyDescent="0.25">
      <c r="A893"/>
    </row>
    <row r="894" spans="1:1" x14ac:dyDescent="0.25">
      <c r="A894"/>
    </row>
    <row r="895" spans="1:1" x14ac:dyDescent="0.25">
      <c r="A895"/>
    </row>
    <row r="896" spans="1:1" x14ac:dyDescent="0.25">
      <c r="A896"/>
    </row>
    <row r="897" spans="1:1" x14ac:dyDescent="0.25">
      <c r="A897"/>
    </row>
    <row r="898" spans="1:1" x14ac:dyDescent="0.25">
      <c r="A898"/>
    </row>
    <row r="899" spans="1:1" x14ac:dyDescent="0.25">
      <c r="A899"/>
    </row>
    <row r="900" spans="1:1" x14ac:dyDescent="0.25">
      <c r="A900"/>
    </row>
    <row r="901" spans="1:1" x14ac:dyDescent="0.25">
      <c r="A901"/>
    </row>
    <row r="902" spans="1:1" x14ac:dyDescent="0.25">
      <c r="A902"/>
    </row>
    <row r="903" spans="1:1" x14ac:dyDescent="0.25">
      <c r="A903"/>
    </row>
    <row r="904" spans="1:1" x14ac:dyDescent="0.25">
      <c r="A904"/>
    </row>
    <row r="905" spans="1:1" x14ac:dyDescent="0.25">
      <c r="A905"/>
    </row>
    <row r="906" spans="1:1" x14ac:dyDescent="0.25">
      <c r="A906"/>
    </row>
    <row r="907" spans="1:1" x14ac:dyDescent="0.25">
      <c r="A907"/>
    </row>
    <row r="908" spans="1:1" x14ac:dyDescent="0.25">
      <c r="A908"/>
    </row>
    <row r="909" spans="1:1" x14ac:dyDescent="0.25">
      <c r="A909"/>
    </row>
    <row r="910" spans="1:1" x14ac:dyDescent="0.25">
      <c r="A910"/>
    </row>
    <row r="911" spans="1:1" x14ac:dyDescent="0.25">
      <c r="A911"/>
    </row>
    <row r="912" spans="1:1" x14ac:dyDescent="0.25">
      <c r="A912"/>
    </row>
    <row r="913" spans="1:1" x14ac:dyDescent="0.25">
      <c r="A913"/>
    </row>
    <row r="914" spans="1:1" x14ac:dyDescent="0.25">
      <c r="A914"/>
    </row>
    <row r="915" spans="1:1" x14ac:dyDescent="0.25">
      <c r="A915"/>
    </row>
    <row r="916" spans="1:1" x14ac:dyDescent="0.25">
      <c r="A916"/>
    </row>
    <row r="917" spans="1:1" x14ac:dyDescent="0.25">
      <c r="A917"/>
    </row>
    <row r="918" spans="1:1" x14ac:dyDescent="0.25">
      <c r="A918"/>
    </row>
    <row r="919" spans="1:1" x14ac:dyDescent="0.25">
      <c r="A919"/>
    </row>
    <row r="920" spans="1:1" x14ac:dyDescent="0.25">
      <c r="A920"/>
    </row>
    <row r="921" spans="1:1" x14ac:dyDescent="0.25">
      <c r="A921"/>
    </row>
    <row r="922" spans="1:1" x14ac:dyDescent="0.25">
      <c r="A922"/>
    </row>
    <row r="923" spans="1:1" x14ac:dyDescent="0.25">
      <c r="A923"/>
    </row>
    <row r="924" spans="1:1" x14ac:dyDescent="0.25">
      <c r="A924"/>
    </row>
    <row r="925" spans="1:1" x14ac:dyDescent="0.25">
      <c r="A925"/>
    </row>
    <row r="926" spans="1:1" x14ac:dyDescent="0.25">
      <c r="A926"/>
    </row>
    <row r="927" spans="1:1" x14ac:dyDescent="0.25">
      <c r="A927"/>
    </row>
    <row r="928" spans="1:1" x14ac:dyDescent="0.25">
      <c r="A928"/>
    </row>
    <row r="929" spans="1:1" x14ac:dyDescent="0.25">
      <c r="A929"/>
    </row>
    <row r="930" spans="1:1" x14ac:dyDescent="0.25">
      <c r="A930"/>
    </row>
    <row r="931" spans="1:1" x14ac:dyDescent="0.25">
      <c r="A931"/>
    </row>
    <row r="932" spans="1:1" x14ac:dyDescent="0.25">
      <c r="A932"/>
    </row>
    <row r="933" spans="1:1" x14ac:dyDescent="0.25">
      <c r="A933"/>
    </row>
    <row r="934" spans="1:1" x14ac:dyDescent="0.25">
      <c r="A934"/>
    </row>
    <row r="935" spans="1:1" x14ac:dyDescent="0.25">
      <c r="A935"/>
    </row>
    <row r="936" spans="1:1" x14ac:dyDescent="0.25">
      <c r="A936"/>
    </row>
    <row r="937" spans="1:1" x14ac:dyDescent="0.25">
      <c r="A937"/>
    </row>
    <row r="938" spans="1:1" x14ac:dyDescent="0.25">
      <c r="A938"/>
    </row>
    <row r="939" spans="1:1" x14ac:dyDescent="0.25">
      <c r="A939"/>
    </row>
    <row r="940" spans="1:1" x14ac:dyDescent="0.25">
      <c r="A940"/>
    </row>
    <row r="941" spans="1:1" x14ac:dyDescent="0.25">
      <c r="A941"/>
    </row>
    <row r="942" spans="1:1" x14ac:dyDescent="0.25">
      <c r="A942"/>
    </row>
    <row r="943" spans="1:1" x14ac:dyDescent="0.25">
      <c r="A943"/>
    </row>
    <row r="944" spans="1:1" x14ac:dyDescent="0.25">
      <c r="A944"/>
    </row>
    <row r="945" spans="1:1" x14ac:dyDescent="0.25">
      <c r="A945"/>
    </row>
    <row r="946" spans="1:1" x14ac:dyDescent="0.25">
      <c r="A946"/>
    </row>
    <row r="947" spans="1:1" x14ac:dyDescent="0.25">
      <c r="A947"/>
    </row>
    <row r="948" spans="1:1" x14ac:dyDescent="0.25">
      <c r="A948"/>
    </row>
    <row r="949" spans="1:1" x14ac:dyDescent="0.25">
      <c r="A949"/>
    </row>
    <row r="950" spans="1:1" x14ac:dyDescent="0.25">
      <c r="A950"/>
    </row>
    <row r="951" spans="1:1" x14ac:dyDescent="0.25">
      <c r="A951"/>
    </row>
    <row r="952" spans="1:1" x14ac:dyDescent="0.25">
      <c r="A952"/>
    </row>
    <row r="953" spans="1:1" x14ac:dyDescent="0.25">
      <c r="A953"/>
    </row>
    <row r="954" spans="1:1" x14ac:dyDescent="0.25">
      <c r="A954"/>
    </row>
    <row r="955" spans="1:1" x14ac:dyDescent="0.25">
      <c r="A955"/>
    </row>
    <row r="956" spans="1:1" x14ac:dyDescent="0.25">
      <c r="A956"/>
    </row>
    <row r="957" spans="1:1" x14ac:dyDescent="0.25">
      <c r="A957"/>
    </row>
    <row r="958" spans="1:1" x14ac:dyDescent="0.25">
      <c r="A958"/>
    </row>
    <row r="959" spans="1:1" x14ac:dyDescent="0.25">
      <c r="A959"/>
    </row>
    <row r="960" spans="1:1" x14ac:dyDescent="0.25">
      <c r="A960"/>
    </row>
    <row r="961" spans="1:1" x14ac:dyDescent="0.25">
      <c r="A961"/>
    </row>
    <row r="962" spans="1:1" x14ac:dyDescent="0.25">
      <c r="A962"/>
    </row>
    <row r="963" spans="1:1" x14ac:dyDescent="0.25">
      <c r="A963"/>
    </row>
    <row r="964" spans="1:1" x14ac:dyDescent="0.25">
      <c r="A964"/>
    </row>
    <row r="965" spans="1:1" x14ac:dyDescent="0.25">
      <c r="A965"/>
    </row>
    <row r="966" spans="1:1" x14ac:dyDescent="0.25">
      <c r="A966"/>
    </row>
    <row r="967" spans="1:1" x14ac:dyDescent="0.25">
      <c r="A967"/>
    </row>
    <row r="968" spans="1:1" x14ac:dyDescent="0.25">
      <c r="A968"/>
    </row>
    <row r="969" spans="1:1" x14ac:dyDescent="0.25">
      <c r="A969"/>
    </row>
    <row r="970" spans="1:1" x14ac:dyDescent="0.25">
      <c r="A970"/>
    </row>
    <row r="971" spans="1:1" x14ac:dyDescent="0.25">
      <c r="A971"/>
    </row>
    <row r="972" spans="1:1" x14ac:dyDescent="0.25">
      <c r="A972"/>
    </row>
    <row r="973" spans="1:1" x14ac:dyDescent="0.25">
      <c r="A973"/>
    </row>
    <row r="974" spans="1:1" x14ac:dyDescent="0.25">
      <c r="A974"/>
    </row>
    <row r="975" spans="1:1" x14ac:dyDescent="0.25">
      <c r="A975"/>
    </row>
    <row r="976" spans="1:1" x14ac:dyDescent="0.25">
      <c r="A976"/>
    </row>
    <row r="977" spans="1:1" x14ac:dyDescent="0.25">
      <c r="A977"/>
    </row>
    <row r="978" spans="1:1" x14ac:dyDescent="0.25">
      <c r="A978"/>
    </row>
    <row r="979" spans="1:1" x14ac:dyDescent="0.25">
      <c r="A979"/>
    </row>
    <row r="980" spans="1:1" x14ac:dyDescent="0.25">
      <c r="A980"/>
    </row>
    <row r="981" spans="1:1" x14ac:dyDescent="0.25">
      <c r="A981"/>
    </row>
    <row r="982" spans="1:1" x14ac:dyDescent="0.25">
      <c r="A982"/>
    </row>
    <row r="983" spans="1:1" x14ac:dyDescent="0.25">
      <c r="A983"/>
    </row>
    <row r="984" spans="1:1" x14ac:dyDescent="0.25">
      <c r="A984"/>
    </row>
    <row r="985" spans="1:1" x14ac:dyDescent="0.25">
      <c r="A985"/>
    </row>
    <row r="986" spans="1:1" x14ac:dyDescent="0.25">
      <c r="A986"/>
    </row>
    <row r="987" spans="1:1" x14ac:dyDescent="0.25">
      <c r="A987"/>
    </row>
    <row r="988" spans="1:1" x14ac:dyDescent="0.25">
      <c r="A988"/>
    </row>
    <row r="989" spans="1:1" x14ac:dyDescent="0.25">
      <c r="A989"/>
    </row>
    <row r="990" spans="1:1" x14ac:dyDescent="0.25">
      <c r="A990"/>
    </row>
    <row r="991" spans="1:1" x14ac:dyDescent="0.25">
      <c r="A991"/>
    </row>
    <row r="992" spans="1:1" x14ac:dyDescent="0.25">
      <c r="A992"/>
    </row>
    <row r="993" spans="1:1" x14ac:dyDescent="0.25">
      <c r="A993"/>
    </row>
    <row r="994" spans="1:1" x14ac:dyDescent="0.25">
      <c r="A994"/>
    </row>
    <row r="995" spans="1:1" x14ac:dyDescent="0.25">
      <c r="A995"/>
    </row>
    <row r="996" spans="1:1" x14ac:dyDescent="0.25">
      <c r="A996"/>
    </row>
    <row r="997" spans="1:1" x14ac:dyDescent="0.25">
      <c r="A997"/>
    </row>
    <row r="998" spans="1:1" x14ac:dyDescent="0.25">
      <c r="A998"/>
    </row>
    <row r="999" spans="1:1" x14ac:dyDescent="0.25">
      <c r="A999"/>
    </row>
    <row r="1000" spans="1:1" x14ac:dyDescent="0.25">
      <c r="A1000"/>
    </row>
    <row r="1001" spans="1:1" x14ac:dyDescent="0.25">
      <c r="A1001"/>
    </row>
    <row r="1002" spans="1:1" x14ac:dyDescent="0.25">
      <c r="A1002"/>
    </row>
    <row r="1003" spans="1:1" x14ac:dyDescent="0.25">
      <c r="A1003"/>
    </row>
    <row r="1004" spans="1:1" x14ac:dyDescent="0.25">
      <c r="A1004"/>
    </row>
    <row r="1005" spans="1:1" x14ac:dyDescent="0.25">
      <c r="A1005"/>
    </row>
    <row r="1006" spans="1:1" x14ac:dyDescent="0.25">
      <c r="A1006"/>
    </row>
    <row r="1007" spans="1:1" x14ac:dyDescent="0.25">
      <c r="A1007"/>
    </row>
    <row r="1008" spans="1:1" x14ac:dyDescent="0.25">
      <c r="A1008"/>
    </row>
    <row r="1009" spans="1:1" x14ac:dyDescent="0.25">
      <c r="A1009"/>
    </row>
    <row r="1010" spans="1:1" x14ac:dyDescent="0.25">
      <c r="A1010"/>
    </row>
    <row r="1011" spans="1:1" x14ac:dyDescent="0.25">
      <c r="A1011"/>
    </row>
    <row r="1012" spans="1:1" x14ac:dyDescent="0.25">
      <c r="A1012"/>
    </row>
    <row r="1013" spans="1:1" x14ac:dyDescent="0.25">
      <c r="A1013"/>
    </row>
    <row r="1014" spans="1:1" x14ac:dyDescent="0.25">
      <c r="A1014"/>
    </row>
    <row r="1015" spans="1:1" x14ac:dyDescent="0.25">
      <c r="A1015"/>
    </row>
    <row r="1016" spans="1:1" x14ac:dyDescent="0.25">
      <c r="A1016"/>
    </row>
    <row r="1017" spans="1:1" x14ac:dyDescent="0.25">
      <c r="A1017"/>
    </row>
    <row r="1018" spans="1:1" x14ac:dyDescent="0.25">
      <c r="A1018"/>
    </row>
    <row r="1019" spans="1:1" x14ac:dyDescent="0.25">
      <c r="A1019"/>
    </row>
    <row r="1020" spans="1:1" x14ac:dyDescent="0.25">
      <c r="A1020"/>
    </row>
    <row r="1021" spans="1:1" x14ac:dyDescent="0.25">
      <c r="A1021"/>
    </row>
    <row r="1022" spans="1:1" x14ac:dyDescent="0.25">
      <c r="A1022"/>
    </row>
    <row r="1023" spans="1:1" x14ac:dyDescent="0.25">
      <c r="A1023"/>
    </row>
    <row r="1024" spans="1:1" x14ac:dyDescent="0.25">
      <c r="A1024"/>
    </row>
    <row r="1025" spans="1:1" x14ac:dyDescent="0.25">
      <c r="A1025"/>
    </row>
    <row r="1026" spans="1:1" x14ac:dyDescent="0.25">
      <c r="A1026"/>
    </row>
    <row r="1027" spans="1:1" x14ac:dyDescent="0.25">
      <c r="A1027"/>
    </row>
    <row r="1028" spans="1:1" x14ac:dyDescent="0.25">
      <c r="A1028"/>
    </row>
    <row r="1029" spans="1:1" x14ac:dyDescent="0.25">
      <c r="A1029"/>
    </row>
    <row r="1030" spans="1:1" x14ac:dyDescent="0.25">
      <c r="A1030"/>
    </row>
    <row r="1031" spans="1:1" x14ac:dyDescent="0.25">
      <c r="A1031"/>
    </row>
    <row r="1032" spans="1:1" x14ac:dyDescent="0.25">
      <c r="A1032"/>
    </row>
    <row r="1033" spans="1:1" x14ac:dyDescent="0.25">
      <c r="A1033"/>
    </row>
    <row r="1034" spans="1:1" x14ac:dyDescent="0.25">
      <c r="A1034"/>
    </row>
    <row r="1035" spans="1:1" x14ac:dyDescent="0.25">
      <c r="A1035"/>
    </row>
    <row r="1036" spans="1:1" x14ac:dyDescent="0.25">
      <c r="A1036"/>
    </row>
    <row r="1037" spans="1:1" x14ac:dyDescent="0.25">
      <c r="A1037"/>
    </row>
    <row r="1038" spans="1:1" x14ac:dyDescent="0.25">
      <c r="A1038"/>
    </row>
    <row r="1039" spans="1:1" x14ac:dyDescent="0.25">
      <c r="A1039"/>
    </row>
    <row r="1040" spans="1:1" x14ac:dyDescent="0.25">
      <c r="A1040"/>
    </row>
    <row r="1041" spans="1:1" x14ac:dyDescent="0.25">
      <c r="A1041"/>
    </row>
    <row r="1042" spans="1:1" x14ac:dyDescent="0.25">
      <c r="A1042"/>
    </row>
    <row r="1043" spans="1:1" x14ac:dyDescent="0.25">
      <c r="A1043"/>
    </row>
    <row r="1044" spans="1:1" x14ac:dyDescent="0.25">
      <c r="A1044"/>
    </row>
    <row r="1045" spans="1:1" x14ac:dyDescent="0.25">
      <c r="A1045"/>
    </row>
    <row r="1046" spans="1:1" x14ac:dyDescent="0.25">
      <c r="A1046"/>
    </row>
    <row r="1047" spans="1:1" x14ac:dyDescent="0.25">
      <c r="A1047"/>
    </row>
    <row r="1048" spans="1:1" x14ac:dyDescent="0.25">
      <c r="A1048"/>
    </row>
    <row r="1049" spans="1:1" x14ac:dyDescent="0.25">
      <c r="A1049"/>
    </row>
    <row r="1050" spans="1:1" x14ac:dyDescent="0.25">
      <c r="A1050"/>
    </row>
    <row r="1051" spans="1:1" x14ac:dyDescent="0.25">
      <c r="A1051"/>
    </row>
    <row r="1052" spans="1:1" x14ac:dyDescent="0.25">
      <c r="A1052"/>
    </row>
    <row r="1053" spans="1:1" x14ac:dyDescent="0.25">
      <c r="A1053"/>
    </row>
    <row r="1054" spans="1:1" x14ac:dyDescent="0.25">
      <c r="A1054"/>
    </row>
    <row r="1055" spans="1:1" x14ac:dyDescent="0.25">
      <c r="A1055"/>
    </row>
    <row r="1056" spans="1:1" x14ac:dyDescent="0.25">
      <c r="A1056"/>
    </row>
    <row r="1057" spans="1:1" x14ac:dyDescent="0.25">
      <c r="A1057"/>
    </row>
    <row r="1058" spans="1:1" x14ac:dyDescent="0.25">
      <c r="A1058"/>
    </row>
    <row r="1059" spans="1:1" x14ac:dyDescent="0.25">
      <c r="A1059"/>
    </row>
    <row r="1060" spans="1:1" x14ac:dyDescent="0.25">
      <c r="A1060"/>
    </row>
    <row r="1061" spans="1:1" x14ac:dyDescent="0.25">
      <c r="A1061"/>
    </row>
    <row r="1062" spans="1:1" x14ac:dyDescent="0.25">
      <c r="A1062"/>
    </row>
    <row r="1063" spans="1:1" x14ac:dyDescent="0.25">
      <c r="A1063"/>
    </row>
    <row r="1064" spans="1:1" x14ac:dyDescent="0.25">
      <c r="A1064"/>
    </row>
    <row r="1065" spans="1:1" x14ac:dyDescent="0.25">
      <c r="A1065"/>
    </row>
    <row r="1066" spans="1:1" x14ac:dyDescent="0.25">
      <c r="A1066"/>
    </row>
    <row r="1067" spans="1:1" x14ac:dyDescent="0.25">
      <c r="A1067"/>
    </row>
    <row r="1068" spans="1:1" x14ac:dyDescent="0.25">
      <c r="A1068"/>
    </row>
    <row r="1069" spans="1:1" x14ac:dyDescent="0.25">
      <c r="A1069"/>
    </row>
    <row r="1070" spans="1:1" x14ac:dyDescent="0.25">
      <c r="A1070"/>
    </row>
    <row r="1071" spans="1:1" x14ac:dyDescent="0.25">
      <c r="A1071"/>
    </row>
    <row r="1072" spans="1:1" x14ac:dyDescent="0.25">
      <c r="A1072"/>
    </row>
    <row r="1073" spans="1:1" x14ac:dyDescent="0.25">
      <c r="A1073"/>
    </row>
    <row r="1074" spans="1:1" x14ac:dyDescent="0.25">
      <c r="A1074"/>
    </row>
    <row r="1075" spans="1:1" x14ac:dyDescent="0.25">
      <c r="A1075"/>
    </row>
    <row r="1076" spans="1:1" x14ac:dyDescent="0.25">
      <c r="A1076"/>
    </row>
    <row r="1077" spans="1:1" x14ac:dyDescent="0.25">
      <c r="A1077"/>
    </row>
    <row r="1078" spans="1:1" x14ac:dyDescent="0.25">
      <c r="A1078"/>
    </row>
    <row r="1079" spans="1:1" x14ac:dyDescent="0.25">
      <c r="A1079"/>
    </row>
    <row r="1080" spans="1:1" x14ac:dyDescent="0.25">
      <c r="A1080"/>
    </row>
    <row r="1081" spans="1:1" x14ac:dyDescent="0.25">
      <c r="A1081"/>
    </row>
    <row r="1082" spans="1:1" x14ac:dyDescent="0.25">
      <c r="A1082"/>
    </row>
    <row r="1083" spans="1:1" x14ac:dyDescent="0.25">
      <c r="A1083"/>
    </row>
    <row r="1084" spans="1:1" x14ac:dyDescent="0.25">
      <c r="A1084"/>
    </row>
    <row r="1085" spans="1:1" x14ac:dyDescent="0.25">
      <c r="A1085"/>
    </row>
    <row r="1086" spans="1:1" x14ac:dyDescent="0.25">
      <c r="A1086"/>
    </row>
    <row r="1087" spans="1:1" x14ac:dyDescent="0.25">
      <c r="A1087"/>
    </row>
    <row r="1088" spans="1:1" x14ac:dyDescent="0.25">
      <c r="A1088"/>
    </row>
    <row r="1089" spans="1:1" x14ac:dyDescent="0.25">
      <c r="A1089"/>
    </row>
    <row r="1090" spans="1:1" x14ac:dyDescent="0.25">
      <c r="A1090"/>
    </row>
    <row r="1091" spans="1:1" x14ac:dyDescent="0.25">
      <c r="A1091"/>
    </row>
    <row r="1092" spans="1:1" x14ac:dyDescent="0.25">
      <c r="A1092"/>
    </row>
    <row r="1093" spans="1:1" x14ac:dyDescent="0.25">
      <c r="A1093"/>
    </row>
    <row r="1094" spans="1:1" x14ac:dyDescent="0.25">
      <c r="A1094"/>
    </row>
    <row r="1095" spans="1:1" x14ac:dyDescent="0.25">
      <c r="A1095"/>
    </row>
    <row r="1096" spans="1:1" x14ac:dyDescent="0.25">
      <c r="A1096"/>
    </row>
    <row r="1097" spans="1:1" x14ac:dyDescent="0.25">
      <c r="A1097"/>
    </row>
    <row r="1098" spans="1:1" x14ac:dyDescent="0.25">
      <c r="A1098"/>
    </row>
    <row r="1099" spans="1:1" x14ac:dyDescent="0.25">
      <c r="A1099"/>
    </row>
    <row r="1100" spans="1:1" x14ac:dyDescent="0.25">
      <c r="A1100"/>
    </row>
    <row r="1101" spans="1:1" x14ac:dyDescent="0.25">
      <c r="A1101"/>
    </row>
    <row r="1102" spans="1:1" x14ac:dyDescent="0.25">
      <c r="A1102"/>
    </row>
    <row r="1103" spans="1:1" x14ac:dyDescent="0.25">
      <c r="A1103"/>
    </row>
    <row r="1104" spans="1:1" x14ac:dyDescent="0.25">
      <c r="A1104"/>
    </row>
    <row r="1105" spans="1:1" x14ac:dyDescent="0.25">
      <c r="A1105"/>
    </row>
    <row r="1106" spans="1:1" x14ac:dyDescent="0.25">
      <c r="A1106"/>
    </row>
    <row r="1107" spans="1:1" x14ac:dyDescent="0.25">
      <c r="A1107"/>
    </row>
    <row r="1108" spans="1:1" x14ac:dyDescent="0.25">
      <c r="A1108"/>
    </row>
    <row r="1109" spans="1:1" x14ac:dyDescent="0.25">
      <c r="A1109"/>
    </row>
    <row r="1110" spans="1:1" x14ac:dyDescent="0.25">
      <c r="A1110"/>
    </row>
    <row r="1111" spans="1:1" x14ac:dyDescent="0.25">
      <c r="A1111"/>
    </row>
    <row r="1112" spans="1:1" x14ac:dyDescent="0.25">
      <c r="A1112"/>
    </row>
    <row r="1113" spans="1:1" x14ac:dyDescent="0.25">
      <c r="A1113"/>
    </row>
    <row r="1114" spans="1:1" x14ac:dyDescent="0.25">
      <c r="A1114"/>
    </row>
    <row r="1115" spans="1:1" x14ac:dyDescent="0.25">
      <c r="A1115"/>
    </row>
    <row r="1116" spans="1:1" x14ac:dyDescent="0.25">
      <c r="A1116"/>
    </row>
    <row r="1117" spans="1:1" x14ac:dyDescent="0.25">
      <c r="A1117"/>
    </row>
    <row r="1118" spans="1:1" x14ac:dyDescent="0.25">
      <c r="A1118"/>
    </row>
    <row r="1119" spans="1:1" x14ac:dyDescent="0.25">
      <c r="A1119"/>
    </row>
    <row r="1120" spans="1:1" x14ac:dyDescent="0.25">
      <c r="A1120"/>
    </row>
    <row r="1121" spans="1:1" x14ac:dyDescent="0.25">
      <c r="A1121"/>
    </row>
    <row r="1122" spans="1:1" x14ac:dyDescent="0.25">
      <c r="A1122"/>
    </row>
    <row r="1123" spans="1:1" x14ac:dyDescent="0.25">
      <c r="A1123"/>
    </row>
    <row r="1124" spans="1:1" x14ac:dyDescent="0.25">
      <c r="A1124"/>
    </row>
    <row r="1125" spans="1:1" x14ac:dyDescent="0.25">
      <c r="A1125"/>
    </row>
    <row r="1126" spans="1:1" x14ac:dyDescent="0.25">
      <c r="A1126"/>
    </row>
    <row r="1127" spans="1:1" x14ac:dyDescent="0.25">
      <c r="A1127"/>
    </row>
    <row r="1128" spans="1:1" x14ac:dyDescent="0.25">
      <c r="A1128"/>
    </row>
    <row r="1129" spans="1:1" x14ac:dyDescent="0.25">
      <c r="A1129"/>
    </row>
    <row r="1130" spans="1:1" x14ac:dyDescent="0.25">
      <c r="A1130"/>
    </row>
    <row r="1131" spans="1:1" x14ac:dyDescent="0.25">
      <c r="A1131"/>
    </row>
    <row r="1132" spans="1:1" x14ac:dyDescent="0.25">
      <c r="A1132"/>
    </row>
    <row r="1133" spans="1:1" x14ac:dyDescent="0.25">
      <c r="A1133"/>
    </row>
    <row r="1134" spans="1:1" x14ac:dyDescent="0.25">
      <c r="A1134"/>
    </row>
    <row r="1135" spans="1:1" x14ac:dyDescent="0.25">
      <c r="A1135"/>
    </row>
    <row r="1136" spans="1:1" x14ac:dyDescent="0.25">
      <c r="A1136"/>
    </row>
    <row r="1137" spans="1:1" x14ac:dyDescent="0.25">
      <c r="A1137"/>
    </row>
    <row r="1138" spans="1:1" x14ac:dyDescent="0.25">
      <c r="A1138"/>
    </row>
    <row r="1139" spans="1:1" x14ac:dyDescent="0.25">
      <c r="A1139"/>
    </row>
    <row r="1140" spans="1:1" x14ac:dyDescent="0.25">
      <c r="A1140"/>
    </row>
    <row r="1141" spans="1:1" x14ac:dyDescent="0.25">
      <c r="A1141"/>
    </row>
    <row r="1142" spans="1:1" x14ac:dyDescent="0.25">
      <c r="A1142"/>
    </row>
    <row r="1143" spans="1:1" x14ac:dyDescent="0.25">
      <c r="A1143"/>
    </row>
    <row r="1144" spans="1:1" x14ac:dyDescent="0.25">
      <c r="A1144"/>
    </row>
    <row r="1145" spans="1:1" x14ac:dyDescent="0.25">
      <c r="A1145"/>
    </row>
    <row r="1146" spans="1:1" x14ac:dyDescent="0.25">
      <c r="A1146"/>
    </row>
    <row r="1147" spans="1:1" x14ac:dyDescent="0.25">
      <c r="A1147"/>
    </row>
    <row r="1148" spans="1:1" x14ac:dyDescent="0.25">
      <c r="A1148"/>
    </row>
    <row r="1149" spans="1:1" x14ac:dyDescent="0.25">
      <c r="A1149"/>
    </row>
    <row r="1150" spans="1:1" x14ac:dyDescent="0.25">
      <c r="A1150"/>
    </row>
    <row r="1151" spans="1:1" x14ac:dyDescent="0.25">
      <c r="A1151"/>
    </row>
    <row r="1152" spans="1:1" x14ac:dyDescent="0.25">
      <c r="A1152"/>
    </row>
    <row r="1153" spans="1:1" x14ac:dyDescent="0.25">
      <c r="A1153"/>
    </row>
    <row r="1154" spans="1:1" x14ac:dyDescent="0.25">
      <c r="A1154"/>
    </row>
    <row r="1155" spans="1:1" x14ac:dyDescent="0.25">
      <c r="A1155"/>
    </row>
    <row r="1156" spans="1:1" x14ac:dyDescent="0.25">
      <c r="A1156"/>
    </row>
    <row r="1157" spans="1:1" x14ac:dyDescent="0.25">
      <c r="A1157"/>
    </row>
    <row r="1158" spans="1:1" x14ac:dyDescent="0.25">
      <c r="A1158"/>
    </row>
    <row r="1159" spans="1:1" x14ac:dyDescent="0.25">
      <c r="A1159"/>
    </row>
    <row r="1160" spans="1:1" x14ac:dyDescent="0.25">
      <c r="A1160"/>
    </row>
    <row r="1161" spans="1:1" x14ac:dyDescent="0.25">
      <c r="A1161"/>
    </row>
    <row r="1162" spans="1:1" x14ac:dyDescent="0.25">
      <c r="A1162"/>
    </row>
    <row r="1163" spans="1:1" x14ac:dyDescent="0.25">
      <c r="A1163"/>
    </row>
    <row r="1164" spans="1:1" x14ac:dyDescent="0.25">
      <c r="A1164"/>
    </row>
    <row r="1165" spans="1:1" x14ac:dyDescent="0.25">
      <c r="A1165"/>
    </row>
    <row r="1166" spans="1:1" x14ac:dyDescent="0.25">
      <c r="A1166"/>
    </row>
    <row r="1167" spans="1:1" x14ac:dyDescent="0.25">
      <c r="A1167"/>
    </row>
    <row r="1168" spans="1:1" x14ac:dyDescent="0.25">
      <c r="A1168"/>
    </row>
    <row r="1169" spans="1:1" x14ac:dyDescent="0.25">
      <c r="A1169"/>
    </row>
    <row r="1170" spans="1:1" x14ac:dyDescent="0.25">
      <c r="A1170"/>
    </row>
    <row r="1171" spans="1:1" x14ac:dyDescent="0.25">
      <c r="A1171"/>
    </row>
    <row r="1172" spans="1:1" x14ac:dyDescent="0.25">
      <c r="A1172"/>
    </row>
    <row r="1173" spans="1:1" x14ac:dyDescent="0.25">
      <c r="A1173"/>
    </row>
    <row r="1174" spans="1:1" x14ac:dyDescent="0.25">
      <c r="A1174"/>
    </row>
    <row r="1175" spans="1:1" x14ac:dyDescent="0.25">
      <c r="A1175"/>
    </row>
    <row r="1176" spans="1:1" x14ac:dyDescent="0.25">
      <c r="A1176"/>
    </row>
    <row r="1177" spans="1:1" x14ac:dyDescent="0.25">
      <c r="A1177"/>
    </row>
    <row r="1178" spans="1:1" x14ac:dyDescent="0.25">
      <c r="A1178"/>
    </row>
    <row r="1179" spans="1:1" x14ac:dyDescent="0.25">
      <c r="A1179"/>
    </row>
    <row r="1180" spans="1:1" x14ac:dyDescent="0.25">
      <c r="A1180"/>
    </row>
    <row r="1181" spans="1:1" x14ac:dyDescent="0.25">
      <c r="A1181"/>
    </row>
    <row r="1182" spans="1:1" x14ac:dyDescent="0.25">
      <c r="A1182"/>
    </row>
    <row r="1183" spans="1:1" x14ac:dyDescent="0.25">
      <c r="A1183"/>
    </row>
    <row r="1184" spans="1:1" x14ac:dyDescent="0.25">
      <c r="A1184"/>
    </row>
    <row r="1185" spans="1:1" x14ac:dyDescent="0.25">
      <c r="A1185"/>
    </row>
    <row r="1186" spans="1:1" x14ac:dyDescent="0.25">
      <c r="A1186"/>
    </row>
    <row r="1187" spans="1:1" x14ac:dyDescent="0.25">
      <c r="A1187"/>
    </row>
    <row r="1188" spans="1:1" x14ac:dyDescent="0.25">
      <c r="A1188"/>
    </row>
    <row r="1189" spans="1:1" x14ac:dyDescent="0.25">
      <c r="A1189"/>
    </row>
    <row r="1190" spans="1:1" x14ac:dyDescent="0.25">
      <c r="A1190"/>
    </row>
    <row r="1191" spans="1:1" x14ac:dyDescent="0.25">
      <c r="A1191"/>
    </row>
    <row r="1192" spans="1:1" x14ac:dyDescent="0.25">
      <c r="A1192"/>
    </row>
    <row r="1193" spans="1:1" x14ac:dyDescent="0.25">
      <c r="A1193"/>
    </row>
    <row r="1194" spans="1:1" x14ac:dyDescent="0.25">
      <c r="A1194"/>
    </row>
    <row r="1195" spans="1:1" x14ac:dyDescent="0.25">
      <c r="A1195"/>
    </row>
    <row r="1196" spans="1:1" x14ac:dyDescent="0.25">
      <c r="A1196"/>
    </row>
    <row r="1197" spans="1:1" x14ac:dyDescent="0.25">
      <c r="A1197"/>
    </row>
    <row r="1198" spans="1:1" x14ac:dyDescent="0.25">
      <c r="A1198"/>
    </row>
    <row r="1199" spans="1:1" x14ac:dyDescent="0.25">
      <c r="A1199"/>
    </row>
    <row r="1200" spans="1:1" x14ac:dyDescent="0.25">
      <c r="A1200"/>
    </row>
    <row r="1201" spans="1:1" x14ac:dyDescent="0.25">
      <c r="A1201"/>
    </row>
    <row r="1202" spans="1:1" x14ac:dyDescent="0.25">
      <c r="A1202"/>
    </row>
    <row r="1203" spans="1:1" x14ac:dyDescent="0.25">
      <c r="A1203"/>
    </row>
    <row r="1204" spans="1:1" x14ac:dyDescent="0.25">
      <c r="A1204"/>
    </row>
    <row r="1205" spans="1:1" x14ac:dyDescent="0.25">
      <c r="A1205"/>
    </row>
    <row r="1206" spans="1:1" x14ac:dyDescent="0.25">
      <c r="A1206"/>
    </row>
    <row r="1207" spans="1:1" x14ac:dyDescent="0.25">
      <c r="A1207"/>
    </row>
    <row r="1208" spans="1:1" x14ac:dyDescent="0.25">
      <c r="A1208"/>
    </row>
    <row r="1209" spans="1:1" x14ac:dyDescent="0.25">
      <c r="A1209"/>
    </row>
    <row r="1210" spans="1:1" x14ac:dyDescent="0.25">
      <c r="A1210"/>
    </row>
    <row r="1211" spans="1:1" x14ac:dyDescent="0.25">
      <c r="A1211"/>
    </row>
    <row r="1212" spans="1:1" x14ac:dyDescent="0.25">
      <c r="A1212"/>
    </row>
    <row r="1213" spans="1:1" x14ac:dyDescent="0.25">
      <c r="A1213"/>
    </row>
    <row r="1214" spans="1:1" x14ac:dyDescent="0.25">
      <c r="A1214"/>
    </row>
    <row r="1215" spans="1:1" x14ac:dyDescent="0.25">
      <c r="A1215"/>
    </row>
    <row r="1216" spans="1:1" x14ac:dyDescent="0.25">
      <c r="A1216"/>
    </row>
    <row r="1217" spans="1:1" x14ac:dyDescent="0.25">
      <c r="A1217"/>
    </row>
    <row r="1218" spans="1:1" x14ac:dyDescent="0.25">
      <c r="A1218"/>
    </row>
    <row r="1219" spans="1:1" x14ac:dyDescent="0.25">
      <c r="A1219"/>
    </row>
    <row r="1220" spans="1:1" x14ac:dyDescent="0.25">
      <c r="A1220"/>
    </row>
    <row r="1221" spans="1:1" x14ac:dyDescent="0.25">
      <c r="A1221"/>
    </row>
    <row r="1222" spans="1:1" x14ac:dyDescent="0.25">
      <c r="A1222"/>
    </row>
    <row r="1223" spans="1:1" x14ac:dyDescent="0.25">
      <c r="A1223"/>
    </row>
    <row r="1224" spans="1:1" x14ac:dyDescent="0.25">
      <c r="A1224"/>
    </row>
    <row r="1225" spans="1:1" x14ac:dyDescent="0.25">
      <c r="A1225"/>
    </row>
    <row r="1226" spans="1:1" x14ac:dyDescent="0.25">
      <c r="A1226"/>
    </row>
    <row r="1227" spans="1:1" x14ac:dyDescent="0.25">
      <c r="A1227"/>
    </row>
    <row r="1228" spans="1:1" x14ac:dyDescent="0.25">
      <c r="A1228"/>
    </row>
    <row r="1229" spans="1:1" x14ac:dyDescent="0.25">
      <c r="A1229"/>
    </row>
    <row r="1230" spans="1:1" x14ac:dyDescent="0.25">
      <c r="A1230"/>
    </row>
    <row r="1231" spans="1:1" x14ac:dyDescent="0.25">
      <c r="A1231"/>
    </row>
    <row r="1232" spans="1:1" x14ac:dyDescent="0.25">
      <c r="A1232"/>
    </row>
    <row r="1233" spans="1:1" x14ac:dyDescent="0.25">
      <c r="A1233"/>
    </row>
    <row r="1234" spans="1:1" x14ac:dyDescent="0.25">
      <c r="A1234"/>
    </row>
    <row r="1235" spans="1:1" x14ac:dyDescent="0.25">
      <c r="A1235"/>
    </row>
    <row r="1236" spans="1:1" x14ac:dyDescent="0.25">
      <c r="A1236"/>
    </row>
    <row r="1237" spans="1:1" x14ac:dyDescent="0.25">
      <c r="A1237"/>
    </row>
    <row r="1238" spans="1:1" x14ac:dyDescent="0.25">
      <c r="A1238"/>
    </row>
    <row r="1239" spans="1:1" x14ac:dyDescent="0.25">
      <c r="A1239"/>
    </row>
    <row r="1240" spans="1:1" x14ac:dyDescent="0.25">
      <c r="A1240"/>
    </row>
    <row r="1241" spans="1:1" x14ac:dyDescent="0.25">
      <c r="A1241"/>
    </row>
    <row r="1242" spans="1:1" x14ac:dyDescent="0.25">
      <c r="A1242"/>
    </row>
    <row r="1243" spans="1:1" x14ac:dyDescent="0.25">
      <c r="A1243"/>
    </row>
    <row r="1244" spans="1:1" x14ac:dyDescent="0.25">
      <c r="A1244"/>
    </row>
    <row r="1245" spans="1:1" x14ac:dyDescent="0.25">
      <c r="A1245"/>
    </row>
    <row r="1246" spans="1:1" x14ac:dyDescent="0.25">
      <c r="A1246"/>
    </row>
    <row r="1247" spans="1:1" x14ac:dyDescent="0.25">
      <c r="A1247"/>
    </row>
    <row r="1248" spans="1:1" x14ac:dyDescent="0.25">
      <c r="A1248"/>
    </row>
    <row r="1249" spans="1:1" x14ac:dyDescent="0.25">
      <c r="A1249"/>
    </row>
    <row r="1250" spans="1:1" x14ac:dyDescent="0.25">
      <c r="A1250"/>
    </row>
    <row r="1251" spans="1:1" x14ac:dyDescent="0.25">
      <c r="A1251"/>
    </row>
    <row r="1252" spans="1:1" x14ac:dyDescent="0.25">
      <c r="A1252"/>
    </row>
    <row r="1253" spans="1:1" x14ac:dyDescent="0.25">
      <c r="A1253"/>
    </row>
    <row r="1254" spans="1:1" x14ac:dyDescent="0.25">
      <c r="A1254"/>
    </row>
    <row r="1255" spans="1:1" x14ac:dyDescent="0.25">
      <c r="A1255"/>
    </row>
    <row r="1256" spans="1:1" x14ac:dyDescent="0.25">
      <c r="A1256"/>
    </row>
    <row r="1257" spans="1:1" x14ac:dyDescent="0.25">
      <c r="A1257"/>
    </row>
    <row r="1258" spans="1:1" x14ac:dyDescent="0.25">
      <c r="A1258"/>
    </row>
    <row r="1259" spans="1:1" x14ac:dyDescent="0.25">
      <c r="A1259"/>
    </row>
    <row r="1260" spans="1:1" x14ac:dyDescent="0.25">
      <c r="A1260"/>
    </row>
    <row r="1261" spans="1:1" x14ac:dyDescent="0.25">
      <c r="A1261"/>
    </row>
    <row r="1262" spans="1:1" x14ac:dyDescent="0.25">
      <c r="A1262"/>
    </row>
    <row r="1263" spans="1:1" x14ac:dyDescent="0.25">
      <c r="A1263"/>
    </row>
    <row r="1264" spans="1:1" x14ac:dyDescent="0.25">
      <c r="A1264"/>
    </row>
    <row r="1265" spans="1:1" x14ac:dyDescent="0.25">
      <c r="A1265"/>
    </row>
    <row r="1266" spans="1:1" x14ac:dyDescent="0.25">
      <c r="A1266"/>
    </row>
    <row r="1267" spans="1:1" x14ac:dyDescent="0.25">
      <c r="A1267"/>
    </row>
    <row r="1268" spans="1:1" x14ac:dyDescent="0.25">
      <c r="A1268"/>
    </row>
    <row r="1269" spans="1:1" x14ac:dyDescent="0.25">
      <c r="A1269"/>
    </row>
    <row r="1270" spans="1:1" x14ac:dyDescent="0.25">
      <c r="A1270"/>
    </row>
    <row r="1271" spans="1:1" x14ac:dyDescent="0.25">
      <c r="A1271"/>
    </row>
    <row r="1272" spans="1:1" x14ac:dyDescent="0.25">
      <c r="A1272"/>
    </row>
    <row r="1273" spans="1:1" x14ac:dyDescent="0.25">
      <c r="A1273"/>
    </row>
    <row r="1274" spans="1:1" x14ac:dyDescent="0.25">
      <c r="A1274"/>
    </row>
    <row r="1275" spans="1:1" x14ac:dyDescent="0.25">
      <c r="A1275"/>
    </row>
    <row r="1276" spans="1:1" x14ac:dyDescent="0.25">
      <c r="A1276"/>
    </row>
    <row r="1277" spans="1:1" x14ac:dyDescent="0.25">
      <c r="A1277"/>
    </row>
    <row r="1278" spans="1:1" x14ac:dyDescent="0.25">
      <c r="A1278"/>
    </row>
    <row r="1279" spans="1:1" x14ac:dyDescent="0.25">
      <c r="A1279"/>
    </row>
    <row r="1280" spans="1:1" x14ac:dyDescent="0.25">
      <c r="A1280"/>
    </row>
    <row r="1281" spans="1:1" x14ac:dyDescent="0.25">
      <c r="A1281"/>
    </row>
    <row r="1282" spans="1:1" x14ac:dyDescent="0.25">
      <c r="A1282"/>
    </row>
    <row r="1283" spans="1:1" x14ac:dyDescent="0.25">
      <c r="A1283"/>
    </row>
    <row r="1284" spans="1:1" x14ac:dyDescent="0.25">
      <c r="A1284"/>
    </row>
    <row r="1285" spans="1:1" x14ac:dyDescent="0.25">
      <c r="A1285"/>
    </row>
    <row r="1286" spans="1:1" x14ac:dyDescent="0.25">
      <c r="A1286"/>
    </row>
    <row r="1287" spans="1:1" x14ac:dyDescent="0.25">
      <c r="A1287"/>
    </row>
    <row r="1288" spans="1:1" x14ac:dyDescent="0.25">
      <c r="A1288"/>
    </row>
    <row r="1289" spans="1:1" x14ac:dyDescent="0.25">
      <c r="A1289"/>
    </row>
    <row r="1290" spans="1:1" x14ac:dyDescent="0.25">
      <c r="A1290"/>
    </row>
    <row r="1291" spans="1:1" x14ac:dyDescent="0.25">
      <c r="A1291"/>
    </row>
    <row r="1292" spans="1:1" x14ac:dyDescent="0.25">
      <c r="A1292"/>
    </row>
    <row r="1293" spans="1:1" x14ac:dyDescent="0.25">
      <c r="A1293"/>
    </row>
    <row r="1294" spans="1:1" x14ac:dyDescent="0.25">
      <c r="A1294"/>
    </row>
    <row r="1295" spans="1:1" x14ac:dyDescent="0.25">
      <c r="A1295"/>
    </row>
    <row r="1296" spans="1:1" x14ac:dyDescent="0.25">
      <c r="A1296"/>
    </row>
    <row r="1297" spans="1:1" x14ac:dyDescent="0.25">
      <c r="A1297"/>
    </row>
    <row r="1298" spans="1:1" x14ac:dyDescent="0.25">
      <c r="A1298"/>
    </row>
    <row r="1299" spans="1:1" x14ac:dyDescent="0.25">
      <c r="A1299"/>
    </row>
    <row r="1300" spans="1:1" x14ac:dyDescent="0.25">
      <c r="A1300"/>
    </row>
    <row r="1301" spans="1:1" x14ac:dyDescent="0.25">
      <c r="A1301"/>
    </row>
    <row r="1302" spans="1:1" x14ac:dyDescent="0.25">
      <c r="A1302"/>
    </row>
    <row r="1303" spans="1:1" x14ac:dyDescent="0.25">
      <c r="A1303"/>
    </row>
    <row r="1304" spans="1:1" x14ac:dyDescent="0.25">
      <c r="A1304"/>
    </row>
    <row r="1305" spans="1:1" x14ac:dyDescent="0.25">
      <c r="A1305"/>
    </row>
    <row r="1306" spans="1:1" x14ac:dyDescent="0.25">
      <c r="A1306"/>
    </row>
    <row r="1307" spans="1:1" x14ac:dyDescent="0.25">
      <c r="A1307"/>
    </row>
    <row r="1308" spans="1:1" x14ac:dyDescent="0.25">
      <c r="A1308"/>
    </row>
    <row r="1309" spans="1:1" x14ac:dyDescent="0.25">
      <c r="A1309"/>
    </row>
    <row r="1310" spans="1:1" x14ac:dyDescent="0.25">
      <c r="A1310"/>
    </row>
    <row r="1311" spans="1:1" x14ac:dyDescent="0.25">
      <c r="A1311"/>
    </row>
    <row r="1312" spans="1:1" x14ac:dyDescent="0.25">
      <c r="A1312"/>
    </row>
    <row r="1313" spans="1:1" x14ac:dyDescent="0.25">
      <c r="A1313"/>
    </row>
    <row r="1314" spans="1:1" x14ac:dyDescent="0.25">
      <c r="A1314"/>
    </row>
    <row r="1315" spans="1:1" x14ac:dyDescent="0.25">
      <c r="A1315"/>
    </row>
    <row r="1316" spans="1:1" x14ac:dyDescent="0.25">
      <c r="A1316"/>
    </row>
    <row r="1317" spans="1:1" x14ac:dyDescent="0.25">
      <c r="A1317"/>
    </row>
    <row r="1318" spans="1:1" x14ac:dyDescent="0.25">
      <c r="A1318"/>
    </row>
    <row r="1319" spans="1:1" x14ac:dyDescent="0.25">
      <c r="A1319"/>
    </row>
    <row r="1320" spans="1:1" x14ac:dyDescent="0.25">
      <c r="A1320"/>
    </row>
    <row r="1321" spans="1:1" x14ac:dyDescent="0.25">
      <c r="A1321"/>
    </row>
    <row r="1322" spans="1:1" x14ac:dyDescent="0.25">
      <c r="A1322"/>
    </row>
    <row r="1323" spans="1:1" x14ac:dyDescent="0.25">
      <c r="A1323"/>
    </row>
    <row r="1324" spans="1:1" x14ac:dyDescent="0.25">
      <c r="A1324"/>
    </row>
    <row r="1325" spans="1:1" x14ac:dyDescent="0.25">
      <c r="A1325"/>
    </row>
    <row r="1326" spans="1:1" x14ac:dyDescent="0.25">
      <c r="A1326"/>
    </row>
    <row r="1327" spans="1:1" x14ac:dyDescent="0.25">
      <c r="A1327"/>
    </row>
    <row r="1328" spans="1:1" x14ac:dyDescent="0.25">
      <c r="A1328"/>
    </row>
    <row r="1329" spans="1:1" x14ac:dyDescent="0.25">
      <c r="A1329"/>
    </row>
    <row r="1330" spans="1:1" x14ac:dyDescent="0.25">
      <c r="A1330"/>
    </row>
    <row r="1331" spans="1:1" x14ac:dyDescent="0.25">
      <c r="A1331"/>
    </row>
    <row r="1332" spans="1:1" x14ac:dyDescent="0.25">
      <c r="A1332"/>
    </row>
    <row r="1333" spans="1:1" x14ac:dyDescent="0.25">
      <c r="A1333"/>
    </row>
    <row r="1334" spans="1:1" x14ac:dyDescent="0.25">
      <c r="A1334"/>
    </row>
    <row r="1335" spans="1:1" x14ac:dyDescent="0.25">
      <c r="A1335"/>
    </row>
    <row r="1336" spans="1:1" x14ac:dyDescent="0.25">
      <c r="A1336"/>
    </row>
    <row r="1337" spans="1:1" x14ac:dyDescent="0.25">
      <c r="A1337"/>
    </row>
    <row r="1338" spans="1:1" x14ac:dyDescent="0.25">
      <c r="A1338"/>
    </row>
    <row r="1339" spans="1:1" x14ac:dyDescent="0.25">
      <c r="A1339"/>
    </row>
    <row r="1340" spans="1:1" x14ac:dyDescent="0.25">
      <c r="A1340"/>
    </row>
    <row r="1341" spans="1:1" x14ac:dyDescent="0.25">
      <c r="A1341"/>
    </row>
    <row r="1342" spans="1:1" x14ac:dyDescent="0.25">
      <c r="A1342"/>
    </row>
    <row r="1343" spans="1:1" x14ac:dyDescent="0.25">
      <c r="A1343"/>
    </row>
    <row r="1344" spans="1:1" x14ac:dyDescent="0.25">
      <c r="A1344"/>
    </row>
    <row r="1345" spans="1:1" x14ac:dyDescent="0.25">
      <c r="A1345"/>
    </row>
    <row r="1346" spans="1:1" x14ac:dyDescent="0.25">
      <c r="A1346"/>
    </row>
    <row r="1347" spans="1:1" x14ac:dyDescent="0.25">
      <c r="A1347"/>
    </row>
    <row r="1348" spans="1:1" x14ac:dyDescent="0.25">
      <c r="A1348"/>
    </row>
    <row r="1349" spans="1:1" x14ac:dyDescent="0.25">
      <c r="A1349"/>
    </row>
    <row r="1350" spans="1:1" x14ac:dyDescent="0.25">
      <c r="A1350"/>
    </row>
    <row r="1351" spans="1:1" x14ac:dyDescent="0.25">
      <c r="A1351"/>
    </row>
    <row r="1352" spans="1:1" x14ac:dyDescent="0.25">
      <c r="A1352"/>
    </row>
    <row r="1353" spans="1:1" x14ac:dyDescent="0.25">
      <c r="A1353"/>
    </row>
    <row r="1354" spans="1:1" x14ac:dyDescent="0.25">
      <c r="A1354"/>
    </row>
    <row r="1355" spans="1:1" x14ac:dyDescent="0.25">
      <c r="A1355"/>
    </row>
    <row r="1356" spans="1:1" x14ac:dyDescent="0.25">
      <c r="A1356"/>
    </row>
    <row r="1357" spans="1:1" x14ac:dyDescent="0.25">
      <c r="A1357"/>
    </row>
    <row r="1358" spans="1:1" x14ac:dyDescent="0.25">
      <c r="A1358"/>
    </row>
    <row r="1359" spans="1:1" x14ac:dyDescent="0.25">
      <c r="A1359"/>
    </row>
    <row r="1360" spans="1:1" x14ac:dyDescent="0.25">
      <c r="A1360"/>
    </row>
    <row r="1361" spans="1:1" x14ac:dyDescent="0.25">
      <c r="A1361"/>
    </row>
    <row r="1362" spans="1:1" x14ac:dyDescent="0.25">
      <c r="A1362"/>
    </row>
    <row r="1363" spans="1:1" x14ac:dyDescent="0.25">
      <c r="A1363"/>
    </row>
    <row r="1364" spans="1:1" x14ac:dyDescent="0.25">
      <c r="A1364"/>
    </row>
    <row r="1365" spans="1:1" x14ac:dyDescent="0.25">
      <c r="A1365"/>
    </row>
    <row r="1366" spans="1:1" x14ac:dyDescent="0.25">
      <c r="A1366"/>
    </row>
    <row r="1367" spans="1:1" x14ac:dyDescent="0.25">
      <c r="A1367"/>
    </row>
    <row r="1368" spans="1:1" x14ac:dyDescent="0.25">
      <c r="A1368"/>
    </row>
    <row r="1369" spans="1:1" x14ac:dyDescent="0.25">
      <c r="A1369"/>
    </row>
    <row r="1370" spans="1:1" x14ac:dyDescent="0.25">
      <c r="A1370"/>
    </row>
    <row r="1371" spans="1:1" x14ac:dyDescent="0.25">
      <c r="A1371"/>
    </row>
    <row r="1372" spans="1:1" x14ac:dyDescent="0.25">
      <c r="A1372"/>
    </row>
    <row r="1373" spans="1:1" x14ac:dyDescent="0.25">
      <c r="A1373"/>
    </row>
    <row r="1374" spans="1:1" x14ac:dyDescent="0.25">
      <c r="A1374"/>
    </row>
    <row r="1375" spans="1:1" x14ac:dyDescent="0.25">
      <c r="A1375"/>
    </row>
    <row r="1376" spans="1:1" x14ac:dyDescent="0.25">
      <c r="A1376"/>
    </row>
    <row r="1377" spans="1:1" x14ac:dyDescent="0.25">
      <c r="A1377"/>
    </row>
    <row r="1378" spans="1:1" x14ac:dyDescent="0.25">
      <c r="A1378"/>
    </row>
    <row r="1379" spans="1:1" x14ac:dyDescent="0.25">
      <c r="A1379"/>
    </row>
    <row r="1380" spans="1:1" x14ac:dyDescent="0.25">
      <c r="A1380"/>
    </row>
    <row r="1381" spans="1:1" x14ac:dyDescent="0.25">
      <c r="A1381"/>
    </row>
    <row r="1382" spans="1:1" x14ac:dyDescent="0.25">
      <c r="A1382"/>
    </row>
    <row r="1383" spans="1:1" x14ac:dyDescent="0.25">
      <c r="A1383"/>
    </row>
    <row r="1384" spans="1:1" x14ac:dyDescent="0.25">
      <c r="A1384"/>
    </row>
    <row r="1385" spans="1:1" x14ac:dyDescent="0.25">
      <c r="A1385"/>
    </row>
    <row r="1386" spans="1:1" x14ac:dyDescent="0.25">
      <c r="A1386"/>
    </row>
    <row r="1387" spans="1:1" x14ac:dyDescent="0.25">
      <c r="A1387"/>
    </row>
    <row r="1388" spans="1:1" x14ac:dyDescent="0.25">
      <c r="A1388"/>
    </row>
    <row r="1389" spans="1:1" x14ac:dyDescent="0.25">
      <c r="A1389"/>
    </row>
    <row r="1390" spans="1:1" x14ac:dyDescent="0.25">
      <c r="A1390"/>
    </row>
    <row r="1391" spans="1:1" x14ac:dyDescent="0.25">
      <c r="A1391"/>
    </row>
    <row r="1392" spans="1:1" x14ac:dyDescent="0.25">
      <c r="A1392"/>
    </row>
    <row r="1393" spans="1:1" x14ac:dyDescent="0.25">
      <c r="A1393"/>
    </row>
    <row r="1394" spans="1:1" x14ac:dyDescent="0.25">
      <c r="A1394"/>
    </row>
    <row r="1395" spans="1:1" x14ac:dyDescent="0.25">
      <c r="A1395"/>
    </row>
    <row r="1396" spans="1:1" x14ac:dyDescent="0.25">
      <c r="A1396"/>
    </row>
    <row r="1397" spans="1:1" x14ac:dyDescent="0.25">
      <c r="A1397"/>
    </row>
    <row r="1398" spans="1:1" x14ac:dyDescent="0.25">
      <c r="A1398"/>
    </row>
    <row r="1399" spans="1:1" x14ac:dyDescent="0.25">
      <c r="A1399"/>
    </row>
    <row r="1400" spans="1:1" x14ac:dyDescent="0.25">
      <c r="A1400"/>
    </row>
    <row r="1401" spans="1:1" x14ac:dyDescent="0.25">
      <c r="A1401"/>
    </row>
    <row r="1402" spans="1:1" x14ac:dyDescent="0.25">
      <c r="A1402"/>
    </row>
    <row r="1403" spans="1:1" x14ac:dyDescent="0.25">
      <c r="A1403"/>
    </row>
    <row r="1404" spans="1:1" x14ac:dyDescent="0.25">
      <c r="A1404"/>
    </row>
    <row r="1405" spans="1:1" x14ac:dyDescent="0.25">
      <c r="A1405"/>
    </row>
    <row r="1406" spans="1:1" x14ac:dyDescent="0.25">
      <c r="A1406"/>
    </row>
    <row r="1407" spans="1:1" x14ac:dyDescent="0.25">
      <c r="A1407"/>
    </row>
    <row r="1408" spans="1:1" x14ac:dyDescent="0.25">
      <c r="A1408"/>
    </row>
    <row r="1409" spans="1:1" x14ac:dyDescent="0.25">
      <c r="A1409"/>
    </row>
    <row r="1410" spans="1:1" x14ac:dyDescent="0.25">
      <c r="A1410"/>
    </row>
    <row r="1411" spans="1:1" x14ac:dyDescent="0.25">
      <c r="A1411"/>
    </row>
    <row r="1412" spans="1:1" x14ac:dyDescent="0.25">
      <c r="A1412"/>
    </row>
    <row r="1413" spans="1:1" x14ac:dyDescent="0.25">
      <c r="A1413"/>
    </row>
    <row r="1414" spans="1:1" x14ac:dyDescent="0.25">
      <c r="A1414"/>
    </row>
    <row r="1415" spans="1:1" x14ac:dyDescent="0.25">
      <c r="A1415"/>
    </row>
    <row r="1416" spans="1:1" x14ac:dyDescent="0.25">
      <c r="A1416"/>
    </row>
    <row r="1417" spans="1:1" x14ac:dyDescent="0.25">
      <c r="A1417"/>
    </row>
    <row r="1418" spans="1:1" x14ac:dyDescent="0.25">
      <c r="A1418"/>
    </row>
    <row r="1419" spans="1:1" x14ac:dyDescent="0.25">
      <c r="A1419"/>
    </row>
    <row r="1420" spans="1:1" x14ac:dyDescent="0.25">
      <c r="A1420"/>
    </row>
    <row r="1421" spans="1:1" x14ac:dyDescent="0.25">
      <c r="A1421"/>
    </row>
    <row r="1422" spans="1:1" x14ac:dyDescent="0.25">
      <c r="A1422"/>
    </row>
    <row r="1423" spans="1:1" x14ac:dyDescent="0.25">
      <c r="A1423"/>
    </row>
    <row r="1424" spans="1:1" x14ac:dyDescent="0.25">
      <c r="A1424"/>
    </row>
    <row r="1425" spans="1:1" x14ac:dyDescent="0.25">
      <c r="A1425"/>
    </row>
    <row r="1426" spans="1:1" x14ac:dyDescent="0.25">
      <c r="A1426"/>
    </row>
    <row r="1427" spans="1:1" x14ac:dyDescent="0.25">
      <c r="A1427"/>
    </row>
    <row r="1428" spans="1:1" x14ac:dyDescent="0.25">
      <c r="A1428"/>
    </row>
    <row r="1429" spans="1:1" x14ac:dyDescent="0.25">
      <c r="A1429"/>
    </row>
    <row r="1430" spans="1:1" x14ac:dyDescent="0.25">
      <c r="A1430"/>
    </row>
    <row r="1431" spans="1:1" x14ac:dyDescent="0.25">
      <c r="A1431"/>
    </row>
    <row r="1432" spans="1:1" x14ac:dyDescent="0.25">
      <c r="A1432"/>
    </row>
    <row r="1433" spans="1:1" x14ac:dyDescent="0.25">
      <c r="A1433"/>
    </row>
    <row r="1434" spans="1:1" x14ac:dyDescent="0.25">
      <c r="A1434"/>
    </row>
    <row r="1435" spans="1:1" x14ac:dyDescent="0.25">
      <c r="A1435"/>
    </row>
    <row r="1436" spans="1:1" x14ac:dyDescent="0.25">
      <c r="A1436"/>
    </row>
    <row r="1437" spans="1:1" x14ac:dyDescent="0.25">
      <c r="A1437"/>
    </row>
    <row r="1438" spans="1:1" x14ac:dyDescent="0.25">
      <c r="A1438"/>
    </row>
    <row r="1439" spans="1:1" x14ac:dyDescent="0.25">
      <c r="A1439"/>
    </row>
    <row r="1440" spans="1:1" x14ac:dyDescent="0.25">
      <c r="A1440"/>
    </row>
    <row r="1441" spans="1:1" x14ac:dyDescent="0.25">
      <c r="A1441"/>
    </row>
    <row r="1442" spans="1:1" x14ac:dyDescent="0.25">
      <c r="A1442"/>
    </row>
    <row r="1443" spans="1:1" x14ac:dyDescent="0.25">
      <c r="A1443"/>
    </row>
    <row r="1444" spans="1:1" x14ac:dyDescent="0.25">
      <c r="A1444"/>
    </row>
    <row r="1445" spans="1:1" x14ac:dyDescent="0.25">
      <c r="A1445"/>
    </row>
    <row r="1446" spans="1:1" x14ac:dyDescent="0.25">
      <c r="A1446"/>
    </row>
    <row r="1447" spans="1:1" x14ac:dyDescent="0.25">
      <c r="A1447"/>
    </row>
    <row r="1448" spans="1:1" x14ac:dyDescent="0.25">
      <c r="A1448"/>
    </row>
    <row r="1449" spans="1:1" x14ac:dyDescent="0.25">
      <c r="A1449"/>
    </row>
    <row r="1450" spans="1:1" x14ac:dyDescent="0.25">
      <c r="A1450"/>
    </row>
    <row r="1451" spans="1:1" x14ac:dyDescent="0.25">
      <c r="A1451"/>
    </row>
    <row r="1452" spans="1:1" x14ac:dyDescent="0.25">
      <c r="A1452"/>
    </row>
    <row r="1453" spans="1:1" x14ac:dyDescent="0.25">
      <c r="A1453"/>
    </row>
    <row r="1454" spans="1:1" x14ac:dyDescent="0.25">
      <c r="A1454"/>
    </row>
    <row r="1455" spans="1:1" x14ac:dyDescent="0.25">
      <c r="A1455"/>
    </row>
    <row r="1456" spans="1:1" x14ac:dyDescent="0.25">
      <c r="A1456"/>
    </row>
    <row r="1457" spans="1:1" x14ac:dyDescent="0.25">
      <c r="A1457"/>
    </row>
    <row r="1458" spans="1:1" x14ac:dyDescent="0.25">
      <c r="A1458"/>
    </row>
    <row r="1459" spans="1:1" x14ac:dyDescent="0.25">
      <c r="A1459"/>
    </row>
    <row r="1460" spans="1:1" x14ac:dyDescent="0.25">
      <c r="A1460"/>
    </row>
    <row r="1461" spans="1:1" x14ac:dyDescent="0.25">
      <c r="A1461"/>
    </row>
    <row r="1462" spans="1:1" x14ac:dyDescent="0.25">
      <c r="A1462"/>
    </row>
    <row r="1463" spans="1:1" x14ac:dyDescent="0.25">
      <c r="A1463"/>
    </row>
    <row r="1464" spans="1:1" x14ac:dyDescent="0.25">
      <c r="A1464"/>
    </row>
    <row r="1465" spans="1:1" x14ac:dyDescent="0.25">
      <c r="A1465"/>
    </row>
    <row r="1466" spans="1:1" x14ac:dyDescent="0.25">
      <c r="A1466"/>
    </row>
    <row r="1467" spans="1:1" x14ac:dyDescent="0.25">
      <c r="A1467"/>
    </row>
    <row r="1468" spans="1:1" x14ac:dyDescent="0.25">
      <c r="A1468"/>
    </row>
    <row r="1469" spans="1:1" x14ac:dyDescent="0.25">
      <c r="A1469"/>
    </row>
    <row r="1470" spans="1:1" x14ac:dyDescent="0.25">
      <c r="A1470"/>
    </row>
    <row r="1471" spans="1:1" x14ac:dyDescent="0.25">
      <c r="A1471"/>
    </row>
    <row r="1472" spans="1:1" x14ac:dyDescent="0.25">
      <c r="A1472"/>
    </row>
    <row r="1473" spans="1:1" x14ac:dyDescent="0.25">
      <c r="A1473"/>
    </row>
    <row r="1474" spans="1:1" x14ac:dyDescent="0.25">
      <c r="A1474"/>
    </row>
    <row r="1475" spans="1:1" x14ac:dyDescent="0.25">
      <c r="A1475"/>
    </row>
    <row r="1476" spans="1:1" x14ac:dyDescent="0.25">
      <c r="A1476"/>
    </row>
    <row r="1477" spans="1:1" x14ac:dyDescent="0.25">
      <c r="A1477"/>
    </row>
    <row r="1478" spans="1:1" x14ac:dyDescent="0.25">
      <c r="A1478"/>
    </row>
    <row r="1479" spans="1:1" x14ac:dyDescent="0.25">
      <c r="A1479"/>
    </row>
    <row r="1480" spans="1:1" x14ac:dyDescent="0.25">
      <c r="A1480"/>
    </row>
    <row r="1481" spans="1:1" x14ac:dyDescent="0.25">
      <c r="A1481"/>
    </row>
    <row r="1482" spans="1:1" x14ac:dyDescent="0.25">
      <c r="A1482"/>
    </row>
    <row r="1483" spans="1:1" x14ac:dyDescent="0.25">
      <c r="A1483"/>
    </row>
    <row r="1484" spans="1:1" x14ac:dyDescent="0.25">
      <c r="A1484"/>
    </row>
    <row r="1485" spans="1:1" x14ac:dyDescent="0.25">
      <c r="A1485"/>
    </row>
    <row r="1486" spans="1:1" x14ac:dyDescent="0.25">
      <c r="A1486"/>
    </row>
    <row r="1487" spans="1:1" x14ac:dyDescent="0.25">
      <c r="A1487"/>
    </row>
    <row r="1488" spans="1:1" x14ac:dyDescent="0.25">
      <c r="A1488"/>
    </row>
    <row r="1489" spans="1:1" x14ac:dyDescent="0.25">
      <c r="A1489"/>
    </row>
    <row r="1490" spans="1:1" x14ac:dyDescent="0.25">
      <c r="A1490"/>
    </row>
    <row r="1491" spans="1:1" x14ac:dyDescent="0.25">
      <c r="A1491"/>
    </row>
    <row r="1492" spans="1:1" x14ac:dyDescent="0.25">
      <c r="A1492"/>
    </row>
    <row r="1493" spans="1:1" x14ac:dyDescent="0.25">
      <c r="A1493"/>
    </row>
    <row r="1494" spans="1:1" x14ac:dyDescent="0.25">
      <c r="A1494"/>
    </row>
    <row r="1495" spans="1:1" x14ac:dyDescent="0.25">
      <c r="A1495"/>
    </row>
    <row r="1496" spans="1:1" x14ac:dyDescent="0.25">
      <c r="A1496"/>
    </row>
    <row r="1497" spans="1:1" x14ac:dyDescent="0.25">
      <c r="A1497"/>
    </row>
    <row r="1498" spans="1:1" x14ac:dyDescent="0.25">
      <c r="A1498"/>
    </row>
    <row r="1499" spans="1:1" x14ac:dyDescent="0.25">
      <c r="A1499"/>
    </row>
    <row r="1500" spans="1:1" x14ac:dyDescent="0.25">
      <c r="A1500"/>
    </row>
    <row r="1501" spans="1:1" x14ac:dyDescent="0.25">
      <c r="A1501"/>
    </row>
    <row r="1502" spans="1:1" x14ac:dyDescent="0.25">
      <c r="A1502"/>
    </row>
    <row r="1503" spans="1:1" x14ac:dyDescent="0.25">
      <c r="A1503"/>
    </row>
    <row r="1504" spans="1:1" x14ac:dyDescent="0.25">
      <c r="A1504"/>
    </row>
    <row r="1505" spans="1:1" x14ac:dyDescent="0.25">
      <c r="A1505"/>
    </row>
    <row r="1506" spans="1:1" x14ac:dyDescent="0.25">
      <c r="A1506"/>
    </row>
    <row r="1507" spans="1:1" x14ac:dyDescent="0.25">
      <c r="A1507"/>
    </row>
    <row r="1508" spans="1:1" x14ac:dyDescent="0.25">
      <c r="A1508"/>
    </row>
    <row r="1509" spans="1:1" x14ac:dyDescent="0.25">
      <c r="A1509"/>
    </row>
    <row r="1510" spans="1:1" x14ac:dyDescent="0.25">
      <c r="A1510"/>
    </row>
    <row r="1511" spans="1:1" x14ac:dyDescent="0.25">
      <c r="A1511"/>
    </row>
    <row r="1512" spans="1:1" x14ac:dyDescent="0.25">
      <c r="A1512"/>
    </row>
    <row r="1513" spans="1:1" x14ac:dyDescent="0.25">
      <c r="A1513"/>
    </row>
    <row r="1514" spans="1:1" x14ac:dyDescent="0.25">
      <c r="A1514"/>
    </row>
    <row r="1515" spans="1:1" x14ac:dyDescent="0.25">
      <c r="A1515"/>
    </row>
    <row r="1516" spans="1:1" x14ac:dyDescent="0.25">
      <c r="A1516"/>
    </row>
    <row r="1517" spans="1:1" x14ac:dyDescent="0.25">
      <c r="A1517"/>
    </row>
    <row r="1518" spans="1:1" x14ac:dyDescent="0.25">
      <c r="A1518"/>
    </row>
    <row r="1519" spans="1:1" x14ac:dyDescent="0.25">
      <c r="A1519"/>
    </row>
    <row r="1520" spans="1:1" x14ac:dyDescent="0.25">
      <c r="A1520"/>
    </row>
    <row r="1521" spans="1:1" x14ac:dyDescent="0.25">
      <c r="A1521"/>
    </row>
    <row r="1522" spans="1:1" x14ac:dyDescent="0.25">
      <c r="A1522"/>
    </row>
    <row r="1523" spans="1:1" x14ac:dyDescent="0.25">
      <c r="A1523"/>
    </row>
    <row r="1524" spans="1:1" x14ac:dyDescent="0.25">
      <c r="A1524"/>
    </row>
    <row r="1525" spans="1:1" x14ac:dyDescent="0.25">
      <c r="A1525"/>
    </row>
    <row r="1526" spans="1:1" x14ac:dyDescent="0.25">
      <c r="A1526"/>
    </row>
    <row r="1527" spans="1:1" x14ac:dyDescent="0.25">
      <c r="A1527"/>
    </row>
    <row r="1528" spans="1:1" x14ac:dyDescent="0.25">
      <c r="A1528"/>
    </row>
    <row r="1529" spans="1:1" x14ac:dyDescent="0.25">
      <c r="A1529"/>
    </row>
    <row r="1530" spans="1:1" x14ac:dyDescent="0.25">
      <c r="A1530"/>
    </row>
    <row r="1531" spans="1:1" x14ac:dyDescent="0.25">
      <c r="A1531"/>
    </row>
    <row r="1532" spans="1:1" x14ac:dyDescent="0.25">
      <c r="A1532"/>
    </row>
    <row r="1533" spans="1:1" x14ac:dyDescent="0.25">
      <c r="A1533"/>
    </row>
    <row r="1534" spans="1:1" x14ac:dyDescent="0.25">
      <c r="A1534"/>
    </row>
    <row r="1535" spans="1:1" x14ac:dyDescent="0.25">
      <c r="A1535"/>
    </row>
    <row r="1536" spans="1:1" x14ac:dyDescent="0.25">
      <c r="A1536"/>
    </row>
    <row r="1537" spans="1:1" x14ac:dyDescent="0.25">
      <c r="A1537"/>
    </row>
    <row r="1538" spans="1:1" x14ac:dyDescent="0.25">
      <c r="A1538"/>
    </row>
    <row r="1539" spans="1:1" x14ac:dyDescent="0.25">
      <c r="A1539"/>
    </row>
    <row r="1540" spans="1:1" x14ac:dyDescent="0.25">
      <c r="A1540"/>
    </row>
    <row r="1541" spans="1:1" x14ac:dyDescent="0.25">
      <c r="A1541"/>
    </row>
    <row r="1542" spans="1:1" x14ac:dyDescent="0.25">
      <c r="A1542"/>
    </row>
    <row r="1543" spans="1:1" x14ac:dyDescent="0.25">
      <c r="A1543"/>
    </row>
    <row r="1544" spans="1:1" x14ac:dyDescent="0.25">
      <c r="A1544"/>
    </row>
    <row r="1545" spans="1:1" x14ac:dyDescent="0.25">
      <c r="A1545"/>
    </row>
    <row r="1546" spans="1:1" x14ac:dyDescent="0.25">
      <c r="A1546"/>
    </row>
    <row r="1547" spans="1:1" x14ac:dyDescent="0.25">
      <c r="A1547"/>
    </row>
    <row r="1548" spans="1:1" x14ac:dyDescent="0.25">
      <c r="A1548"/>
    </row>
    <row r="1549" spans="1:1" x14ac:dyDescent="0.25">
      <c r="A1549"/>
    </row>
    <row r="1550" spans="1:1" x14ac:dyDescent="0.25">
      <c r="A1550"/>
    </row>
    <row r="1551" spans="1:1" x14ac:dyDescent="0.25">
      <c r="A1551"/>
    </row>
    <row r="1552" spans="1:1" x14ac:dyDescent="0.25">
      <c r="A1552"/>
    </row>
    <row r="1553" spans="1:1" x14ac:dyDescent="0.25">
      <c r="A1553"/>
    </row>
    <row r="1554" spans="1:1" x14ac:dyDescent="0.25">
      <c r="A1554"/>
    </row>
    <row r="1555" spans="1:1" x14ac:dyDescent="0.25">
      <c r="A1555"/>
    </row>
    <row r="1556" spans="1:1" x14ac:dyDescent="0.25">
      <c r="A1556"/>
    </row>
    <row r="1557" spans="1:1" x14ac:dyDescent="0.25">
      <c r="A1557"/>
    </row>
    <row r="1558" spans="1:1" x14ac:dyDescent="0.25">
      <c r="A1558"/>
    </row>
    <row r="1559" spans="1:1" x14ac:dyDescent="0.25">
      <c r="A1559"/>
    </row>
    <row r="1560" spans="1:1" x14ac:dyDescent="0.25">
      <c r="A1560"/>
    </row>
    <row r="1561" spans="1:1" x14ac:dyDescent="0.25">
      <c r="A1561"/>
    </row>
    <row r="1562" spans="1:1" x14ac:dyDescent="0.25">
      <c r="A1562"/>
    </row>
    <row r="1563" spans="1:1" x14ac:dyDescent="0.25">
      <c r="A1563"/>
    </row>
    <row r="1564" spans="1:1" x14ac:dyDescent="0.25">
      <c r="A1564"/>
    </row>
    <row r="1565" spans="1:1" x14ac:dyDescent="0.25">
      <c r="A1565"/>
    </row>
    <row r="1566" spans="1:1" x14ac:dyDescent="0.25">
      <c r="A1566"/>
    </row>
    <row r="1567" spans="1:1" x14ac:dyDescent="0.25">
      <c r="A1567"/>
    </row>
    <row r="1568" spans="1:1" x14ac:dyDescent="0.25">
      <c r="A1568"/>
    </row>
    <row r="1569" spans="1:1" x14ac:dyDescent="0.25">
      <c r="A1569"/>
    </row>
    <row r="1570" spans="1:1" x14ac:dyDescent="0.25">
      <c r="A1570"/>
    </row>
    <row r="1571" spans="1:1" x14ac:dyDescent="0.25">
      <c r="A1571"/>
    </row>
    <row r="1572" spans="1:1" x14ac:dyDescent="0.25">
      <c r="A1572"/>
    </row>
    <row r="1573" spans="1:1" x14ac:dyDescent="0.25">
      <c r="A1573"/>
    </row>
    <row r="1574" spans="1:1" x14ac:dyDescent="0.25">
      <c r="A1574"/>
    </row>
    <row r="1575" spans="1:1" x14ac:dyDescent="0.25">
      <c r="A1575"/>
    </row>
    <row r="1576" spans="1:1" x14ac:dyDescent="0.25">
      <c r="A1576"/>
    </row>
    <row r="1577" spans="1:1" x14ac:dyDescent="0.25">
      <c r="A1577"/>
    </row>
    <row r="1578" spans="1:1" x14ac:dyDescent="0.25">
      <c r="A1578"/>
    </row>
    <row r="1579" spans="1:1" x14ac:dyDescent="0.25">
      <c r="A1579"/>
    </row>
    <row r="1580" spans="1:1" x14ac:dyDescent="0.25">
      <c r="A1580"/>
    </row>
    <row r="1581" spans="1:1" x14ac:dyDescent="0.25">
      <c r="A1581"/>
    </row>
    <row r="1582" spans="1:1" x14ac:dyDescent="0.25">
      <c r="A1582"/>
    </row>
    <row r="1583" spans="1:1" x14ac:dyDescent="0.25">
      <c r="A1583"/>
    </row>
    <row r="1584" spans="1:1" x14ac:dyDescent="0.25">
      <c r="A1584"/>
    </row>
    <row r="1585" spans="1:1" x14ac:dyDescent="0.25">
      <c r="A1585"/>
    </row>
    <row r="1586" spans="1:1" x14ac:dyDescent="0.25">
      <c r="A1586"/>
    </row>
    <row r="1587" spans="1:1" x14ac:dyDescent="0.25">
      <c r="A1587"/>
    </row>
    <row r="1588" spans="1:1" x14ac:dyDescent="0.25">
      <c r="A1588"/>
    </row>
    <row r="1589" spans="1:1" x14ac:dyDescent="0.25">
      <c r="A1589"/>
    </row>
    <row r="1590" spans="1:1" x14ac:dyDescent="0.25">
      <c r="A1590"/>
    </row>
    <row r="1591" spans="1:1" x14ac:dyDescent="0.25">
      <c r="A1591"/>
    </row>
    <row r="1592" spans="1:1" x14ac:dyDescent="0.25">
      <c r="A1592"/>
    </row>
    <row r="1593" spans="1:1" x14ac:dyDescent="0.25">
      <c r="A1593"/>
    </row>
    <row r="1594" spans="1:1" x14ac:dyDescent="0.25">
      <c r="A1594"/>
    </row>
    <row r="1595" spans="1:1" x14ac:dyDescent="0.25">
      <c r="A1595"/>
    </row>
    <row r="1596" spans="1:1" x14ac:dyDescent="0.25">
      <c r="A1596"/>
    </row>
    <row r="1597" spans="1:1" x14ac:dyDescent="0.25">
      <c r="A1597"/>
    </row>
    <row r="1598" spans="1:1" x14ac:dyDescent="0.25">
      <c r="A1598"/>
    </row>
    <row r="1599" spans="1:1" x14ac:dyDescent="0.25">
      <c r="A1599"/>
    </row>
    <row r="1600" spans="1:1" x14ac:dyDescent="0.25">
      <c r="A1600"/>
    </row>
    <row r="1601" spans="1:1" x14ac:dyDescent="0.25">
      <c r="A1601"/>
    </row>
    <row r="1602" spans="1:1" x14ac:dyDescent="0.25">
      <c r="A1602"/>
    </row>
    <row r="1603" spans="1:1" x14ac:dyDescent="0.25">
      <c r="A1603"/>
    </row>
    <row r="1604" spans="1:1" x14ac:dyDescent="0.25">
      <c r="A1604"/>
    </row>
    <row r="1605" spans="1:1" x14ac:dyDescent="0.25">
      <c r="A1605"/>
    </row>
    <row r="1606" spans="1:1" x14ac:dyDescent="0.25">
      <c r="A1606"/>
    </row>
    <row r="1607" spans="1:1" x14ac:dyDescent="0.25">
      <c r="A1607"/>
    </row>
    <row r="1608" spans="1:1" x14ac:dyDescent="0.25">
      <c r="A1608"/>
    </row>
    <row r="1609" spans="1:1" x14ac:dyDescent="0.25">
      <c r="A1609"/>
    </row>
    <row r="1610" spans="1:1" x14ac:dyDescent="0.25">
      <c r="A1610"/>
    </row>
    <row r="1611" spans="1:1" x14ac:dyDescent="0.25">
      <c r="A1611"/>
    </row>
    <row r="1612" spans="1:1" x14ac:dyDescent="0.25">
      <c r="A1612"/>
    </row>
    <row r="1613" spans="1:1" x14ac:dyDescent="0.25">
      <c r="A1613"/>
    </row>
    <row r="1614" spans="1:1" x14ac:dyDescent="0.25">
      <c r="A1614"/>
    </row>
    <row r="1615" spans="1:1" x14ac:dyDescent="0.25">
      <c r="A1615"/>
    </row>
    <row r="1616" spans="1:1" x14ac:dyDescent="0.25">
      <c r="A1616"/>
    </row>
    <row r="1617" spans="1:1" x14ac:dyDescent="0.25">
      <c r="A1617"/>
    </row>
    <row r="1618" spans="1:1" x14ac:dyDescent="0.25">
      <c r="A1618"/>
    </row>
    <row r="1619" spans="1:1" x14ac:dyDescent="0.25">
      <c r="A1619"/>
    </row>
    <row r="1620" spans="1:1" x14ac:dyDescent="0.25">
      <c r="A1620"/>
    </row>
    <row r="1621" spans="1:1" x14ac:dyDescent="0.25">
      <c r="A1621"/>
    </row>
    <row r="1622" spans="1:1" x14ac:dyDescent="0.25">
      <c r="A1622"/>
    </row>
    <row r="1623" spans="1:1" x14ac:dyDescent="0.25">
      <c r="A1623"/>
    </row>
    <row r="1624" spans="1:1" x14ac:dyDescent="0.25">
      <c r="A1624"/>
    </row>
    <row r="1625" spans="1:1" x14ac:dyDescent="0.25">
      <c r="A1625"/>
    </row>
    <row r="1626" spans="1:1" x14ac:dyDescent="0.25">
      <c r="A1626"/>
    </row>
    <row r="1627" spans="1:1" x14ac:dyDescent="0.25">
      <c r="A1627"/>
    </row>
    <row r="1628" spans="1:1" x14ac:dyDescent="0.25">
      <c r="A1628"/>
    </row>
    <row r="1629" spans="1:1" x14ac:dyDescent="0.25">
      <c r="A1629"/>
    </row>
    <row r="1630" spans="1:1" x14ac:dyDescent="0.25">
      <c r="A1630"/>
    </row>
    <row r="1631" spans="1:1" x14ac:dyDescent="0.25">
      <c r="A1631"/>
    </row>
    <row r="1632" spans="1:1" x14ac:dyDescent="0.25">
      <c r="A1632"/>
    </row>
    <row r="1633" spans="1:1" x14ac:dyDescent="0.25">
      <c r="A1633"/>
    </row>
    <row r="1634" spans="1:1" x14ac:dyDescent="0.25">
      <c r="A1634"/>
    </row>
    <row r="1635" spans="1:1" x14ac:dyDescent="0.25">
      <c r="A1635"/>
    </row>
    <row r="1636" spans="1:1" x14ac:dyDescent="0.25">
      <c r="A1636"/>
    </row>
    <row r="1637" spans="1:1" x14ac:dyDescent="0.25">
      <c r="A1637"/>
    </row>
    <row r="1638" spans="1:1" x14ac:dyDescent="0.25">
      <c r="A1638"/>
    </row>
    <row r="1639" spans="1:1" x14ac:dyDescent="0.25">
      <c r="A1639"/>
    </row>
    <row r="1640" spans="1:1" x14ac:dyDescent="0.25">
      <c r="A1640"/>
    </row>
    <row r="1641" spans="1:1" x14ac:dyDescent="0.25">
      <c r="A1641"/>
    </row>
    <row r="1642" spans="1:1" x14ac:dyDescent="0.25">
      <c r="A1642"/>
    </row>
    <row r="1643" spans="1:1" x14ac:dyDescent="0.25">
      <c r="A1643"/>
    </row>
    <row r="1644" spans="1:1" x14ac:dyDescent="0.25">
      <c r="A1644"/>
    </row>
    <row r="1645" spans="1:1" x14ac:dyDescent="0.25">
      <c r="A1645"/>
    </row>
    <row r="1646" spans="1:1" x14ac:dyDescent="0.25">
      <c r="A1646"/>
    </row>
    <row r="1647" spans="1:1" x14ac:dyDescent="0.25">
      <c r="A1647"/>
    </row>
    <row r="1648" spans="1:1" x14ac:dyDescent="0.25">
      <c r="A1648"/>
    </row>
    <row r="1649" spans="1:1" x14ac:dyDescent="0.25">
      <c r="A1649"/>
    </row>
    <row r="1650" spans="1:1" x14ac:dyDescent="0.25">
      <c r="A1650"/>
    </row>
    <row r="1651" spans="1:1" x14ac:dyDescent="0.25">
      <c r="A1651"/>
    </row>
    <row r="1652" spans="1:1" x14ac:dyDescent="0.25">
      <c r="A1652"/>
    </row>
    <row r="1653" spans="1:1" x14ac:dyDescent="0.25">
      <c r="A1653"/>
    </row>
    <row r="1654" spans="1:1" x14ac:dyDescent="0.25">
      <c r="A1654"/>
    </row>
    <row r="1655" spans="1:1" x14ac:dyDescent="0.25">
      <c r="A1655"/>
    </row>
    <row r="1656" spans="1:1" x14ac:dyDescent="0.25">
      <c r="A1656"/>
    </row>
    <row r="1657" spans="1:1" x14ac:dyDescent="0.25">
      <c r="A1657"/>
    </row>
    <row r="1658" spans="1:1" x14ac:dyDescent="0.25">
      <c r="A1658"/>
    </row>
    <row r="1659" spans="1:1" x14ac:dyDescent="0.25">
      <c r="A1659"/>
    </row>
    <row r="1660" spans="1:1" x14ac:dyDescent="0.25">
      <c r="A1660"/>
    </row>
    <row r="1661" spans="1:1" x14ac:dyDescent="0.25">
      <c r="A1661"/>
    </row>
    <row r="1662" spans="1:1" x14ac:dyDescent="0.25">
      <c r="A1662"/>
    </row>
    <row r="1663" spans="1:1" x14ac:dyDescent="0.25">
      <c r="A1663"/>
    </row>
    <row r="1664" spans="1:1" x14ac:dyDescent="0.25">
      <c r="A1664"/>
    </row>
    <row r="1665" spans="1:1" x14ac:dyDescent="0.25">
      <c r="A1665"/>
    </row>
    <row r="1666" spans="1:1" x14ac:dyDescent="0.25">
      <c r="A1666"/>
    </row>
    <row r="1667" spans="1:1" x14ac:dyDescent="0.25">
      <c r="A1667"/>
    </row>
    <row r="1668" spans="1:1" x14ac:dyDescent="0.25">
      <c r="A1668"/>
    </row>
    <row r="1669" spans="1:1" x14ac:dyDescent="0.25">
      <c r="A1669"/>
    </row>
    <row r="1670" spans="1:1" x14ac:dyDescent="0.25">
      <c r="A1670"/>
    </row>
    <row r="1671" spans="1:1" x14ac:dyDescent="0.25">
      <c r="A1671"/>
    </row>
    <row r="1672" spans="1:1" x14ac:dyDescent="0.25">
      <c r="A1672"/>
    </row>
    <row r="1673" spans="1:1" x14ac:dyDescent="0.25">
      <c r="A1673"/>
    </row>
    <row r="1674" spans="1:1" x14ac:dyDescent="0.25">
      <c r="A1674"/>
    </row>
    <row r="1675" spans="1:1" x14ac:dyDescent="0.25">
      <c r="A1675"/>
    </row>
    <row r="1676" spans="1:1" x14ac:dyDescent="0.25">
      <c r="A1676"/>
    </row>
    <row r="1677" spans="1:1" x14ac:dyDescent="0.25">
      <c r="A1677"/>
    </row>
    <row r="1678" spans="1:1" x14ac:dyDescent="0.25">
      <c r="A1678"/>
    </row>
    <row r="1679" spans="1:1" x14ac:dyDescent="0.25">
      <c r="A1679"/>
    </row>
    <row r="1680" spans="1:1" x14ac:dyDescent="0.25">
      <c r="A1680"/>
    </row>
    <row r="1681" spans="1:1" x14ac:dyDescent="0.25">
      <c r="A1681"/>
    </row>
    <row r="1682" spans="1:1" x14ac:dyDescent="0.25">
      <c r="A1682"/>
    </row>
    <row r="1683" spans="1:1" x14ac:dyDescent="0.25">
      <c r="A1683"/>
    </row>
    <row r="1684" spans="1:1" x14ac:dyDescent="0.25">
      <c r="A1684"/>
    </row>
    <row r="1685" spans="1:1" x14ac:dyDescent="0.25">
      <c r="A1685"/>
    </row>
    <row r="1686" spans="1:1" x14ac:dyDescent="0.25">
      <c r="A1686"/>
    </row>
    <row r="1687" spans="1:1" x14ac:dyDescent="0.25">
      <c r="A1687"/>
    </row>
    <row r="1688" spans="1:1" x14ac:dyDescent="0.25">
      <c r="A1688"/>
    </row>
    <row r="1689" spans="1:1" x14ac:dyDescent="0.25">
      <c r="A1689"/>
    </row>
    <row r="1690" spans="1:1" x14ac:dyDescent="0.25">
      <c r="A1690"/>
    </row>
    <row r="1691" spans="1:1" x14ac:dyDescent="0.25">
      <c r="A1691"/>
    </row>
    <row r="1692" spans="1:1" x14ac:dyDescent="0.25">
      <c r="A1692"/>
    </row>
    <row r="1693" spans="1:1" x14ac:dyDescent="0.25">
      <c r="A1693"/>
    </row>
    <row r="1694" spans="1:1" x14ac:dyDescent="0.25">
      <c r="A1694"/>
    </row>
    <row r="1695" spans="1:1" x14ac:dyDescent="0.25">
      <c r="A1695"/>
    </row>
    <row r="1696" spans="1:1" x14ac:dyDescent="0.25">
      <c r="A1696"/>
    </row>
    <row r="1697" spans="1:1" x14ac:dyDescent="0.25">
      <c r="A1697"/>
    </row>
    <row r="1698" spans="1:1" x14ac:dyDescent="0.25">
      <c r="A1698"/>
    </row>
    <row r="1699" spans="1:1" x14ac:dyDescent="0.25">
      <c r="A1699"/>
    </row>
    <row r="1700" spans="1:1" x14ac:dyDescent="0.25">
      <c r="A1700"/>
    </row>
    <row r="1701" spans="1:1" x14ac:dyDescent="0.25">
      <c r="A1701"/>
    </row>
    <row r="1702" spans="1:1" x14ac:dyDescent="0.25">
      <c r="A1702"/>
    </row>
    <row r="1703" spans="1:1" x14ac:dyDescent="0.25">
      <c r="A1703"/>
    </row>
    <row r="1704" spans="1:1" x14ac:dyDescent="0.25">
      <c r="A1704"/>
    </row>
    <row r="1705" spans="1:1" x14ac:dyDescent="0.25">
      <c r="A1705"/>
    </row>
    <row r="1706" spans="1:1" x14ac:dyDescent="0.25">
      <c r="A1706"/>
    </row>
    <row r="1707" spans="1:1" x14ac:dyDescent="0.25">
      <c r="A1707"/>
    </row>
    <row r="1708" spans="1:1" x14ac:dyDescent="0.25">
      <c r="A1708"/>
    </row>
    <row r="1709" spans="1:1" x14ac:dyDescent="0.25">
      <c r="A1709"/>
    </row>
    <row r="1710" spans="1:1" x14ac:dyDescent="0.25">
      <c r="A1710"/>
    </row>
    <row r="1711" spans="1:1" x14ac:dyDescent="0.25">
      <c r="A1711"/>
    </row>
    <row r="1712" spans="1:1" x14ac:dyDescent="0.25">
      <c r="A1712"/>
    </row>
    <row r="1713" spans="1:1" x14ac:dyDescent="0.25">
      <c r="A1713"/>
    </row>
    <row r="1714" spans="1:1" x14ac:dyDescent="0.25">
      <c r="A1714"/>
    </row>
    <row r="1715" spans="1:1" x14ac:dyDescent="0.25">
      <c r="A1715"/>
    </row>
    <row r="1716" spans="1:1" x14ac:dyDescent="0.25">
      <c r="A1716"/>
    </row>
    <row r="1717" spans="1:1" x14ac:dyDescent="0.25">
      <c r="A1717"/>
    </row>
    <row r="1718" spans="1:1" x14ac:dyDescent="0.25">
      <c r="A1718"/>
    </row>
    <row r="1719" spans="1:1" x14ac:dyDescent="0.25">
      <c r="A1719"/>
    </row>
    <row r="1720" spans="1:1" x14ac:dyDescent="0.25">
      <c r="A1720"/>
    </row>
    <row r="1721" spans="1:1" x14ac:dyDescent="0.25">
      <c r="A1721"/>
    </row>
    <row r="1722" spans="1:1" x14ac:dyDescent="0.25">
      <c r="A1722"/>
    </row>
    <row r="1723" spans="1:1" x14ac:dyDescent="0.25">
      <c r="A1723"/>
    </row>
    <row r="1724" spans="1:1" x14ac:dyDescent="0.25">
      <c r="A1724"/>
    </row>
    <row r="1725" spans="1:1" x14ac:dyDescent="0.25">
      <c r="A1725"/>
    </row>
    <row r="1726" spans="1:1" x14ac:dyDescent="0.25">
      <c r="A1726"/>
    </row>
    <row r="1727" spans="1:1" x14ac:dyDescent="0.25">
      <c r="A1727"/>
    </row>
    <row r="1728" spans="1:1" x14ac:dyDescent="0.25">
      <c r="A1728"/>
    </row>
    <row r="1729" spans="1:1" x14ac:dyDescent="0.25">
      <c r="A1729"/>
    </row>
    <row r="1730" spans="1:1" x14ac:dyDescent="0.25">
      <c r="A1730"/>
    </row>
    <row r="1731" spans="1:1" x14ac:dyDescent="0.25">
      <c r="A1731"/>
    </row>
    <row r="1732" spans="1:1" x14ac:dyDescent="0.25">
      <c r="A1732"/>
    </row>
    <row r="1733" spans="1:1" x14ac:dyDescent="0.25">
      <c r="A1733"/>
    </row>
    <row r="1734" spans="1:1" x14ac:dyDescent="0.25">
      <c r="A1734"/>
    </row>
    <row r="1735" spans="1:1" x14ac:dyDescent="0.25">
      <c r="A1735"/>
    </row>
    <row r="1736" spans="1:1" x14ac:dyDescent="0.25">
      <c r="A1736"/>
    </row>
    <row r="1737" spans="1:1" x14ac:dyDescent="0.25">
      <c r="A1737"/>
    </row>
    <row r="1738" spans="1:1" x14ac:dyDescent="0.25">
      <c r="A1738"/>
    </row>
    <row r="1739" spans="1:1" x14ac:dyDescent="0.25">
      <c r="A1739"/>
    </row>
    <row r="1740" spans="1:1" x14ac:dyDescent="0.25">
      <c r="A1740"/>
    </row>
    <row r="1741" spans="1:1" x14ac:dyDescent="0.25">
      <c r="A1741"/>
    </row>
    <row r="1742" spans="1:1" x14ac:dyDescent="0.25">
      <c r="A1742"/>
    </row>
    <row r="1743" spans="1:1" x14ac:dyDescent="0.25">
      <c r="A1743"/>
    </row>
    <row r="1744" spans="1:1" x14ac:dyDescent="0.25">
      <c r="A1744"/>
    </row>
    <row r="1745" spans="1:1" x14ac:dyDescent="0.25">
      <c r="A1745"/>
    </row>
    <row r="1746" spans="1:1" x14ac:dyDescent="0.25">
      <c r="A1746"/>
    </row>
    <row r="1747" spans="1:1" x14ac:dyDescent="0.25">
      <c r="A1747"/>
    </row>
    <row r="1748" spans="1:1" x14ac:dyDescent="0.25">
      <c r="A1748"/>
    </row>
    <row r="1749" spans="1:1" x14ac:dyDescent="0.25">
      <c r="A1749"/>
    </row>
    <row r="1750" spans="1:1" x14ac:dyDescent="0.25">
      <c r="A1750"/>
    </row>
    <row r="1751" spans="1:1" x14ac:dyDescent="0.25">
      <c r="A1751"/>
    </row>
    <row r="1752" spans="1:1" x14ac:dyDescent="0.25">
      <c r="A1752"/>
    </row>
    <row r="1753" spans="1:1" x14ac:dyDescent="0.25">
      <c r="A1753"/>
    </row>
    <row r="1754" spans="1:1" x14ac:dyDescent="0.25">
      <c r="A1754"/>
    </row>
    <row r="1755" spans="1:1" x14ac:dyDescent="0.25">
      <c r="A1755"/>
    </row>
    <row r="1756" spans="1:1" x14ac:dyDescent="0.25">
      <c r="A1756"/>
    </row>
    <row r="1757" spans="1:1" x14ac:dyDescent="0.25">
      <c r="A1757"/>
    </row>
    <row r="1758" spans="1:1" x14ac:dyDescent="0.25">
      <c r="A1758"/>
    </row>
    <row r="1759" spans="1:1" x14ac:dyDescent="0.25">
      <c r="A1759"/>
    </row>
    <row r="1760" spans="1:1" x14ac:dyDescent="0.25">
      <c r="A1760"/>
    </row>
    <row r="1761" spans="1:1" x14ac:dyDescent="0.25">
      <c r="A1761"/>
    </row>
    <row r="1762" spans="1:1" x14ac:dyDescent="0.25">
      <c r="A1762"/>
    </row>
    <row r="1763" spans="1:1" x14ac:dyDescent="0.25">
      <c r="A1763"/>
    </row>
    <row r="1764" spans="1:1" x14ac:dyDescent="0.25">
      <c r="A1764"/>
    </row>
    <row r="1765" spans="1:1" x14ac:dyDescent="0.25">
      <c r="A1765"/>
    </row>
    <row r="1766" spans="1:1" x14ac:dyDescent="0.25">
      <c r="A1766"/>
    </row>
    <row r="1767" spans="1:1" x14ac:dyDescent="0.25">
      <c r="A1767"/>
    </row>
    <row r="1768" spans="1:1" x14ac:dyDescent="0.25">
      <c r="A1768"/>
    </row>
    <row r="1769" spans="1:1" x14ac:dyDescent="0.25">
      <c r="A1769"/>
    </row>
    <row r="1770" spans="1:1" x14ac:dyDescent="0.25">
      <c r="A1770"/>
    </row>
    <row r="1771" spans="1:1" x14ac:dyDescent="0.25">
      <c r="A1771"/>
    </row>
    <row r="1772" spans="1:1" x14ac:dyDescent="0.25">
      <c r="A1772"/>
    </row>
    <row r="1773" spans="1:1" x14ac:dyDescent="0.25">
      <c r="A1773"/>
    </row>
    <row r="1774" spans="1:1" x14ac:dyDescent="0.25">
      <c r="A1774"/>
    </row>
    <row r="1775" spans="1:1" x14ac:dyDescent="0.25">
      <c r="A1775"/>
    </row>
    <row r="1776" spans="1:1" x14ac:dyDescent="0.25">
      <c r="A1776"/>
    </row>
    <row r="1777" spans="1:1" x14ac:dyDescent="0.25">
      <c r="A1777"/>
    </row>
    <row r="1778" spans="1:1" x14ac:dyDescent="0.25">
      <c r="A1778"/>
    </row>
    <row r="1779" spans="1:1" x14ac:dyDescent="0.25">
      <c r="A1779"/>
    </row>
    <row r="1780" spans="1:1" x14ac:dyDescent="0.25">
      <c r="A1780"/>
    </row>
    <row r="1781" spans="1:1" x14ac:dyDescent="0.25">
      <c r="A1781"/>
    </row>
    <row r="1782" spans="1:1" x14ac:dyDescent="0.25">
      <c r="A1782"/>
    </row>
    <row r="1783" spans="1:1" x14ac:dyDescent="0.25">
      <c r="A1783"/>
    </row>
    <row r="1784" spans="1:1" x14ac:dyDescent="0.25">
      <c r="A1784"/>
    </row>
    <row r="1785" spans="1:1" x14ac:dyDescent="0.25">
      <c r="A1785"/>
    </row>
    <row r="1786" spans="1:1" x14ac:dyDescent="0.25">
      <c r="A1786"/>
    </row>
    <row r="1787" spans="1:1" x14ac:dyDescent="0.25">
      <c r="A1787"/>
    </row>
    <row r="1788" spans="1:1" x14ac:dyDescent="0.25">
      <c r="A1788"/>
    </row>
    <row r="1789" spans="1:1" x14ac:dyDescent="0.25">
      <c r="A1789"/>
    </row>
    <row r="1790" spans="1:1" x14ac:dyDescent="0.25">
      <c r="A1790"/>
    </row>
    <row r="1791" spans="1:1" x14ac:dyDescent="0.25">
      <c r="A1791"/>
    </row>
    <row r="1792" spans="1:1" x14ac:dyDescent="0.25">
      <c r="A1792"/>
    </row>
    <row r="1793" spans="1:1" x14ac:dyDescent="0.25">
      <c r="A1793"/>
    </row>
    <row r="1794" spans="1:1" x14ac:dyDescent="0.25">
      <c r="A1794"/>
    </row>
    <row r="1795" spans="1:1" x14ac:dyDescent="0.25">
      <c r="A1795"/>
    </row>
    <row r="1796" spans="1:1" x14ac:dyDescent="0.25">
      <c r="A1796"/>
    </row>
    <row r="1797" spans="1:1" x14ac:dyDescent="0.25">
      <c r="A1797"/>
    </row>
    <row r="1798" spans="1:1" x14ac:dyDescent="0.25">
      <c r="A1798"/>
    </row>
    <row r="1799" spans="1:1" x14ac:dyDescent="0.25">
      <c r="A1799"/>
    </row>
    <row r="1800" spans="1:1" x14ac:dyDescent="0.25">
      <c r="A1800"/>
    </row>
    <row r="1801" spans="1:1" x14ac:dyDescent="0.25">
      <c r="A1801"/>
    </row>
    <row r="1802" spans="1:1" x14ac:dyDescent="0.25">
      <c r="A1802"/>
    </row>
    <row r="1803" spans="1:1" x14ac:dyDescent="0.25">
      <c r="A1803"/>
    </row>
    <row r="1804" spans="1:1" x14ac:dyDescent="0.25">
      <c r="A1804"/>
    </row>
    <row r="1805" spans="1:1" x14ac:dyDescent="0.25">
      <c r="A1805"/>
    </row>
    <row r="1806" spans="1:1" x14ac:dyDescent="0.25">
      <c r="A1806"/>
    </row>
    <row r="1807" spans="1:1" x14ac:dyDescent="0.25">
      <c r="A1807"/>
    </row>
    <row r="1808" spans="1:1" x14ac:dyDescent="0.25">
      <c r="A1808"/>
    </row>
    <row r="1809" spans="1:1" x14ac:dyDescent="0.25">
      <c r="A1809"/>
    </row>
    <row r="1810" spans="1:1" x14ac:dyDescent="0.25">
      <c r="A1810"/>
    </row>
    <row r="1811" spans="1:1" x14ac:dyDescent="0.25">
      <c r="A1811"/>
    </row>
    <row r="1812" spans="1:1" x14ac:dyDescent="0.25">
      <c r="A1812"/>
    </row>
    <row r="1813" spans="1:1" x14ac:dyDescent="0.25">
      <c r="A1813"/>
    </row>
    <row r="1814" spans="1:1" x14ac:dyDescent="0.25">
      <c r="A1814"/>
    </row>
    <row r="1815" spans="1:1" x14ac:dyDescent="0.25">
      <c r="A1815"/>
    </row>
    <row r="1816" spans="1:1" x14ac:dyDescent="0.25">
      <c r="A1816"/>
    </row>
    <row r="1817" spans="1:1" x14ac:dyDescent="0.25">
      <c r="A1817"/>
    </row>
    <row r="1818" spans="1:1" x14ac:dyDescent="0.25">
      <c r="A1818"/>
    </row>
    <row r="1819" spans="1:1" x14ac:dyDescent="0.25">
      <c r="A1819"/>
    </row>
    <row r="1820" spans="1:1" x14ac:dyDescent="0.25">
      <c r="A1820"/>
    </row>
    <row r="1821" spans="1:1" x14ac:dyDescent="0.25">
      <c r="A1821"/>
    </row>
    <row r="1822" spans="1:1" x14ac:dyDescent="0.25">
      <c r="A1822"/>
    </row>
    <row r="1823" spans="1:1" x14ac:dyDescent="0.25">
      <c r="A1823"/>
    </row>
    <row r="1824" spans="1:1" x14ac:dyDescent="0.25">
      <c r="A1824"/>
    </row>
    <row r="1825" spans="1:1" x14ac:dyDescent="0.25">
      <c r="A1825"/>
    </row>
    <row r="1826" spans="1:1" x14ac:dyDescent="0.25">
      <c r="A1826"/>
    </row>
    <row r="1827" spans="1:1" x14ac:dyDescent="0.25">
      <c r="A1827"/>
    </row>
    <row r="1828" spans="1:1" x14ac:dyDescent="0.25">
      <c r="A1828"/>
    </row>
    <row r="1829" spans="1:1" x14ac:dyDescent="0.25">
      <c r="A1829"/>
    </row>
    <row r="1830" spans="1:1" x14ac:dyDescent="0.25">
      <c r="A1830"/>
    </row>
    <row r="1831" spans="1:1" x14ac:dyDescent="0.25">
      <c r="A1831"/>
    </row>
    <row r="1832" spans="1:1" x14ac:dyDescent="0.25">
      <c r="A1832"/>
    </row>
    <row r="1833" spans="1:1" x14ac:dyDescent="0.25">
      <c r="A1833"/>
    </row>
    <row r="1834" spans="1:1" x14ac:dyDescent="0.25">
      <c r="A1834"/>
    </row>
    <row r="1835" spans="1:1" x14ac:dyDescent="0.25">
      <c r="A1835"/>
    </row>
    <row r="1836" spans="1:1" x14ac:dyDescent="0.25">
      <c r="A1836"/>
    </row>
    <row r="1837" spans="1:1" x14ac:dyDescent="0.25">
      <c r="A1837"/>
    </row>
    <row r="1838" spans="1:1" x14ac:dyDescent="0.25">
      <c r="A1838"/>
    </row>
    <row r="1839" spans="1:1" x14ac:dyDescent="0.25">
      <c r="A1839"/>
    </row>
    <row r="1840" spans="1:1" x14ac:dyDescent="0.25">
      <c r="A1840"/>
    </row>
    <row r="1841" spans="1:1" x14ac:dyDescent="0.25">
      <c r="A1841"/>
    </row>
    <row r="1842" spans="1:1" x14ac:dyDescent="0.25">
      <c r="A1842"/>
    </row>
    <row r="1843" spans="1:1" x14ac:dyDescent="0.25">
      <c r="A1843"/>
    </row>
    <row r="1844" spans="1:1" x14ac:dyDescent="0.25">
      <c r="A1844"/>
    </row>
    <row r="1845" spans="1:1" x14ac:dyDescent="0.25">
      <c r="A1845"/>
    </row>
    <row r="1846" spans="1:1" x14ac:dyDescent="0.25">
      <c r="A1846"/>
    </row>
    <row r="1847" spans="1:1" x14ac:dyDescent="0.25">
      <c r="A1847"/>
    </row>
    <row r="1848" spans="1:1" x14ac:dyDescent="0.25">
      <c r="A1848"/>
    </row>
    <row r="1849" spans="1:1" x14ac:dyDescent="0.25">
      <c r="A1849"/>
    </row>
    <row r="1850" spans="1:1" x14ac:dyDescent="0.25">
      <c r="A1850"/>
    </row>
    <row r="1851" spans="1:1" x14ac:dyDescent="0.25">
      <c r="A1851"/>
    </row>
    <row r="1852" spans="1:1" x14ac:dyDescent="0.25">
      <c r="A1852"/>
    </row>
    <row r="1853" spans="1:1" x14ac:dyDescent="0.25">
      <c r="A1853"/>
    </row>
    <row r="1854" spans="1:1" x14ac:dyDescent="0.25">
      <c r="A1854"/>
    </row>
    <row r="1855" spans="1:1" x14ac:dyDescent="0.25">
      <c r="A1855"/>
    </row>
    <row r="1856" spans="1:1" x14ac:dyDescent="0.25">
      <c r="A1856"/>
    </row>
    <row r="1857" spans="1:1" x14ac:dyDescent="0.25">
      <c r="A1857"/>
    </row>
    <row r="1858" spans="1:1" x14ac:dyDescent="0.25">
      <c r="A1858"/>
    </row>
    <row r="1859" spans="1:1" x14ac:dyDescent="0.25">
      <c r="A1859"/>
    </row>
    <row r="1860" spans="1:1" x14ac:dyDescent="0.25">
      <c r="A1860"/>
    </row>
    <row r="1861" spans="1:1" x14ac:dyDescent="0.25">
      <c r="A1861"/>
    </row>
    <row r="1862" spans="1:1" x14ac:dyDescent="0.25">
      <c r="A1862"/>
    </row>
    <row r="1863" spans="1:1" x14ac:dyDescent="0.25">
      <c r="A1863"/>
    </row>
    <row r="1864" spans="1:1" x14ac:dyDescent="0.25">
      <c r="A1864"/>
    </row>
    <row r="1865" spans="1:1" x14ac:dyDescent="0.25">
      <c r="A1865"/>
    </row>
    <row r="1866" spans="1:1" x14ac:dyDescent="0.25">
      <c r="A1866"/>
    </row>
    <row r="1867" spans="1:1" x14ac:dyDescent="0.25">
      <c r="A1867"/>
    </row>
    <row r="1868" spans="1:1" x14ac:dyDescent="0.25">
      <c r="A1868"/>
    </row>
    <row r="1869" spans="1:1" x14ac:dyDescent="0.25">
      <c r="A1869"/>
    </row>
    <row r="1870" spans="1:1" x14ac:dyDescent="0.25">
      <c r="A1870"/>
    </row>
    <row r="1871" spans="1:1" x14ac:dyDescent="0.25">
      <c r="A1871"/>
    </row>
    <row r="1872" spans="1:1" x14ac:dyDescent="0.25">
      <c r="A1872"/>
    </row>
    <row r="1873" spans="1:1" x14ac:dyDescent="0.25">
      <c r="A1873"/>
    </row>
    <row r="1874" spans="1:1" x14ac:dyDescent="0.25">
      <c r="A1874"/>
    </row>
    <row r="1875" spans="1:1" x14ac:dyDescent="0.25">
      <c r="A1875"/>
    </row>
    <row r="1876" spans="1:1" x14ac:dyDescent="0.25">
      <c r="A1876"/>
    </row>
    <row r="1877" spans="1:1" x14ac:dyDescent="0.25">
      <c r="A1877"/>
    </row>
    <row r="1878" spans="1:1" x14ac:dyDescent="0.25">
      <c r="A1878"/>
    </row>
    <row r="1879" spans="1:1" x14ac:dyDescent="0.25">
      <c r="A1879"/>
    </row>
    <row r="1880" spans="1:1" x14ac:dyDescent="0.25">
      <c r="A1880"/>
    </row>
    <row r="1881" spans="1:1" x14ac:dyDescent="0.25">
      <c r="A1881"/>
    </row>
    <row r="1882" spans="1:1" x14ac:dyDescent="0.25">
      <c r="A1882"/>
    </row>
    <row r="1883" spans="1:1" x14ac:dyDescent="0.25">
      <c r="A1883"/>
    </row>
    <row r="1884" spans="1:1" x14ac:dyDescent="0.25">
      <c r="A1884"/>
    </row>
    <row r="1885" spans="1:1" x14ac:dyDescent="0.25">
      <c r="A1885"/>
    </row>
    <row r="1886" spans="1:1" x14ac:dyDescent="0.25">
      <c r="A1886"/>
    </row>
    <row r="1887" spans="1:1" x14ac:dyDescent="0.25">
      <c r="A1887"/>
    </row>
    <row r="1888" spans="1:1" x14ac:dyDescent="0.25">
      <c r="A1888"/>
    </row>
    <row r="1889" spans="1:1" x14ac:dyDescent="0.25">
      <c r="A1889"/>
    </row>
    <row r="1890" spans="1:1" x14ac:dyDescent="0.25">
      <c r="A1890"/>
    </row>
    <row r="1891" spans="1:1" x14ac:dyDescent="0.25">
      <c r="A1891"/>
    </row>
    <row r="1892" spans="1:1" x14ac:dyDescent="0.25">
      <c r="A1892"/>
    </row>
    <row r="1893" spans="1:1" x14ac:dyDescent="0.25">
      <c r="A1893"/>
    </row>
    <row r="1894" spans="1:1" x14ac:dyDescent="0.25">
      <c r="A1894"/>
    </row>
    <row r="1895" spans="1:1" x14ac:dyDescent="0.25">
      <c r="A1895"/>
    </row>
    <row r="1896" spans="1:1" x14ac:dyDescent="0.25">
      <c r="A1896"/>
    </row>
    <row r="1897" spans="1:1" x14ac:dyDescent="0.25">
      <c r="A1897"/>
    </row>
    <row r="1898" spans="1:1" x14ac:dyDescent="0.25">
      <c r="A1898"/>
    </row>
    <row r="1899" spans="1:1" x14ac:dyDescent="0.25">
      <c r="A1899"/>
    </row>
    <row r="1900" spans="1:1" x14ac:dyDescent="0.25">
      <c r="A1900"/>
    </row>
    <row r="1901" spans="1:1" x14ac:dyDescent="0.25">
      <c r="A1901"/>
    </row>
    <row r="1902" spans="1:1" x14ac:dyDescent="0.25">
      <c r="A1902"/>
    </row>
    <row r="1903" spans="1:1" x14ac:dyDescent="0.25">
      <c r="A1903"/>
    </row>
    <row r="1904" spans="1:1" x14ac:dyDescent="0.25">
      <c r="A1904"/>
    </row>
    <row r="1905" spans="1:1" x14ac:dyDescent="0.25">
      <c r="A1905"/>
    </row>
    <row r="1906" spans="1:1" x14ac:dyDescent="0.25">
      <c r="A1906"/>
    </row>
    <row r="1907" spans="1:1" x14ac:dyDescent="0.25">
      <c r="A1907"/>
    </row>
    <row r="1908" spans="1:1" x14ac:dyDescent="0.25">
      <c r="A1908"/>
    </row>
    <row r="1909" spans="1:1" x14ac:dyDescent="0.25">
      <c r="A1909"/>
    </row>
    <row r="1910" spans="1:1" x14ac:dyDescent="0.25">
      <c r="A1910"/>
    </row>
    <row r="1911" spans="1:1" x14ac:dyDescent="0.25">
      <c r="A1911"/>
    </row>
    <row r="1912" spans="1:1" x14ac:dyDescent="0.25">
      <c r="A1912"/>
    </row>
    <row r="1913" spans="1:1" x14ac:dyDescent="0.25">
      <c r="A1913"/>
    </row>
    <row r="1914" spans="1:1" x14ac:dyDescent="0.25">
      <c r="A1914"/>
    </row>
    <row r="1915" spans="1:1" x14ac:dyDescent="0.25">
      <c r="A1915"/>
    </row>
    <row r="1916" spans="1:1" x14ac:dyDescent="0.25">
      <c r="A1916"/>
    </row>
    <row r="1917" spans="1:1" x14ac:dyDescent="0.25">
      <c r="A1917"/>
    </row>
    <row r="1918" spans="1:1" x14ac:dyDescent="0.25">
      <c r="A1918"/>
    </row>
    <row r="1919" spans="1:1" x14ac:dyDescent="0.25">
      <c r="A1919"/>
    </row>
    <row r="1920" spans="1:1" x14ac:dyDescent="0.25">
      <c r="A1920"/>
    </row>
    <row r="1921" spans="1:1" x14ac:dyDescent="0.25">
      <c r="A1921"/>
    </row>
    <row r="1922" spans="1:1" x14ac:dyDescent="0.25">
      <c r="A1922"/>
    </row>
    <row r="1923" spans="1:1" x14ac:dyDescent="0.25">
      <c r="A1923"/>
    </row>
    <row r="1924" spans="1:1" x14ac:dyDescent="0.25">
      <c r="A1924"/>
    </row>
    <row r="1925" spans="1:1" x14ac:dyDescent="0.25">
      <c r="A1925"/>
    </row>
    <row r="1926" spans="1:1" x14ac:dyDescent="0.25">
      <c r="A1926"/>
    </row>
    <row r="1927" spans="1:1" x14ac:dyDescent="0.25">
      <c r="A1927"/>
    </row>
    <row r="1928" spans="1:1" x14ac:dyDescent="0.25">
      <c r="A1928"/>
    </row>
    <row r="1929" spans="1:1" x14ac:dyDescent="0.25">
      <c r="A1929"/>
    </row>
    <row r="1930" spans="1:1" x14ac:dyDescent="0.25">
      <c r="A1930"/>
    </row>
    <row r="1931" spans="1:1" x14ac:dyDescent="0.25">
      <c r="A1931"/>
    </row>
    <row r="1932" spans="1:1" x14ac:dyDescent="0.25">
      <c r="A1932"/>
    </row>
    <row r="1933" spans="1:1" x14ac:dyDescent="0.25">
      <c r="A1933"/>
    </row>
    <row r="1934" spans="1:1" x14ac:dyDescent="0.25">
      <c r="A1934"/>
    </row>
    <row r="1935" spans="1:1" x14ac:dyDescent="0.25">
      <c r="A1935"/>
    </row>
    <row r="1936" spans="1:1" x14ac:dyDescent="0.25">
      <c r="A1936"/>
    </row>
    <row r="1937" spans="1:1" x14ac:dyDescent="0.25">
      <c r="A1937"/>
    </row>
    <row r="1938" spans="1:1" x14ac:dyDescent="0.25">
      <c r="A1938"/>
    </row>
    <row r="1939" spans="1:1" x14ac:dyDescent="0.25">
      <c r="A1939"/>
    </row>
    <row r="1940" spans="1:1" x14ac:dyDescent="0.25">
      <c r="A1940"/>
    </row>
    <row r="1941" spans="1:1" x14ac:dyDescent="0.25">
      <c r="A1941"/>
    </row>
    <row r="1942" spans="1:1" x14ac:dyDescent="0.25">
      <c r="A1942"/>
    </row>
    <row r="1943" spans="1:1" x14ac:dyDescent="0.25">
      <c r="A1943"/>
    </row>
    <row r="1944" spans="1:1" x14ac:dyDescent="0.25">
      <c r="A1944"/>
    </row>
    <row r="1945" spans="1:1" x14ac:dyDescent="0.25">
      <c r="A1945"/>
    </row>
    <row r="1946" spans="1:1" x14ac:dyDescent="0.25">
      <c r="A1946"/>
    </row>
    <row r="1947" spans="1:1" x14ac:dyDescent="0.25">
      <c r="A1947"/>
    </row>
    <row r="1948" spans="1:1" x14ac:dyDescent="0.25">
      <c r="A1948"/>
    </row>
    <row r="1949" spans="1:1" x14ac:dyDescent="0.25">
      <c r="A1949"/>
    </row>
    <row r="1950" spans="1:1" x14ac:dyDescent="0.25">
      <c r="A1950"/>
    </row>
    <row r="1951" spans="1:1" x14ac:dyDescent="0.25">
      <c r="A1951"/>
    </row>
    <row r="1952" spans="1:1" x14ac:dyDescent="0.25">
      <c r="A1952"/>
    </row>
    <row r="1953" spans="1:1" x14ac:dyDescent="0.25">
      <c r="A1953"/>
    </row>
    <row r="1954" spans="1:1" x14ac:dyDescent="0.25">
      <c r="A1954"/>
    </row>
    <row r="1955" spans="1:1" x14ac:dyDescent="0.25">
      <c r="A1955"/>
    </row>
    <row r="1956" spans="1:1" x14ac:dyDescent="0.25">
      <c r="A1956"/>
    </row>
    <row r="1957" spans="1:1" x14ac:dyDescent="0.25">
      <c r="A1957"/>
    </row>
    <row r="1958" spans="1:1" x14ac:dyDescent="0.25">
      <c r="A1958"/>
    </row>
    <row r="1959" spans="1:1" x14ac:dyDescent="0.25">
      <c r="A1959"/>
    </row>
    <row r="1960" spans="1:1" x14ac:dyDescent="0.25">
      <c r="A1960"/>
    </row>
    <row r="1961" spans="1:1" x14ac:dyDescent="0.25">
      <c r="A1961"/>
    </row>
    <row r="1962" spans="1:1" x14ac:dyDescent="0.25">
      <c r="A1962"/>
    </row>
    <row r="1963" spans="1:1" x14ac:dyDescent="0.25">
      <c r="A1963"/>
    </row>
    <row r="1964" spans="1:1" x14ac:dyDescent="0.25">
      <c r="A1964"/>
    </row>
    <row r="1965" spans="1:1" x14ac:dyDescent="0.25">
      <c r="A1965"/>
    </row>
    <row r="1966" spans="1:1" x14ac:dyDescent="0.25">
      <c r="A1966"/>
    </row>
    <row r="1967" spans="1:1" x14ac:dyDescent="0.25">
      <c r="A1967"/>
    </row>
    <row r="1968" spans="1:1" x14ac:dyDescent="0.25">
      <c r="A1968"/>
    </row>
    <row r="1969" spans="1:1" x14ac:dyDescent="0.25">
      <c r="A1969"/>
    </row>
    <row r="1970" spans="1:1" x14ac:dyDescent="0.25">
      <c r="A1970"/>
    </row>
    <row r="1971" spans="1:1" x14ac:dyDescent="0.25">
      <c r="A1971"/>
    </row>
    <row r="1972" spans="1:1" x14ac:dyDescent="0.25">
      <c r="A1972"/>
    </row>
    <row r="1973" spans="1:1" x14ac:dyDescent="0.25">
      <c r="A1973"/>
    </row>
    <row r="1974" spans="1:1" x14ac:dyDescent="0.25">
      <c r="A1974"/>
    </row>
    <row r="1975" spans="1:1" x14ac:dyDescent="0.25">
      <c r="A1975"/>
    </row>
    <row r="1976" spans="1:1" x14ac:dyDescent="0.25">
      <c r="A1976"/>
    </row>
    <row r="1977" spans="1:1" x14ac:dyDescent="0.25">
      <c r="A1977"/>
    </row>
    <row r="1978" spans="1:1" x14ac:dyDescent="0.25">
      <c r="A1978"/>
    </row>
    <row r="1979" spans="1:1" x14ac:dyDescent="0.25">
      <c r="A1979"/>
    </row>
    <row r="1980" spans="1:1" x14ac:dyDescent="0.25">
      <c r="A1980"/>
    </row>
    <row r="1981" spans="1:1" x14ac:dyDescent="0.25">
      <c r="A1981"/>
    </row>
    <row r="1982" spans="1:1" x14ac:dyDescent="0.25">
      <c r="A1982"/>
    </row>
    <row r="1983" spans="1:1" x14ac:dyDescent="0.25">
      <c r="A1983"/>
    </row>
    <row r="1984" spans="1:1" x14ac:dyDescent="0.25">
      <c r="A1984"/>
    </row>
    <row r="1985" spans="1:1" x14ac:dyDescent="0.25">
      <c r="A1985"/>
    </row>
    <row r="1986" spans="1:1" x14ac:dyDescent="0.25">
      <c r="A1986"/>
    </row>
    <row r="1987" spans="1:1" x14ac:dyDescent="0.25">
      <c r="A1987"/>
    </row>
    <row r="1988" spans="1:1" x14ac:dyDescent="0.25">
      <c r="A1988"/>
    </row>
    <row r="1989" spans="1:1" x14ac:dyDescent="0.25">
      <c r="A1989"/>
    </row>
    <row r="1990" spans="1:1" x14ac:dyDescent="0.25">
      <c r="A1990"/>
    </row>
    <row r="1991" spans="1:1" x14ac:dyDescent="0.25">
      <c r="A1991"/>
    </row>
    <row r="1992" spans="1:1" x14ac:dyDescent="0.25">
      <c r="A1992"/>
    </row>
    <row r="1993" spans="1:1" x14ac:dyDescent="0.25">
      <c r="A1993"/>
    </row>
    <row r="1994" spans="1:1" x14ac:dyDescent="0.25">
      <c r="A1994"/>
    </row>
    <row r="1995" spans="1:1" x14ac:dyDescent="0.25">
      <c r="A1995"/>
    </row>
    <row r="1996" spans="1:1" x14ac:dyDescent="0.25">
      <c r="A1996"/>
    </row>
    <row r="1997" spans="1:1" x14ac:dyDescent="0.25">
      <c r="A1997"/>
    </row>
    <row r="1998" spans="1:1" x14ac:dyDescent="0.25">
      <c r="A1998"/>
    </row>
    <row r="1999" spans="1:1" x14ac:dyDescent="0.25">
      <c r="A1999"/>
    </row>
    <row r="2000" spans="1:1" x14ac:dyDescent="0.25">
      <c r="A2000"/>
    </row>
    <row r="2001" spans="1:1" x14ac:dyDescent="0.25">
      <c r="A2001"/>
    </row>
    <row r="2002" spans="1:1" x14ac:dyDescent="0.25">
      <c r="A2002"/>
    </row>
    <row r="2003" spans="1:1" x14ac:dyDescent="0.25">
      <c r="A2003"/>
    </row>
    <row r="2004" spans="1:1" x14ac:dyDescent="0.25">
      <c r="A2004"/>
    </row>
    <row r="2005" spans="1:1" x14ac:dyDescent="0.25">
      <c r="A2005"/>
    </row>
    <row r="2006" spans="1:1" x14ac:dyDescent="0.25">
      <c r="A2006"/>
    </row>
    <row r="2007" spans="1:1" x14ac:dyDescent="0.25">
      <c r="A2007"/>
    </row>
    <row r="2008" spans="1:1" x14ac:dyDescent="0.25">
      <c r="A2008"/>
    </row>
    <row r="2009" spans="1:1" x14ac:dyDescent="0.25">
      <c r="A2009"/>
    </row>
    <row r="2010" spans="1:1" x14ac:dyDescent="0.25">
      <c r="A2010"/>
    </row>
    <row r="2011" spans="1:1" x14ac:dyDescent="0.25">
      <c r="A2011"/>
    </row>
    <row r="2012" spans="1:1" x14ac:dyDescent="0.25">
      <c r="A2012"/>
    </row>
    <row r="2013" spans="1:1" x14ac:dyDescent="0.25">
      <c r="A2013"/>
    </row>
    <row r="2014" spans="1:1" x14ac:dyDescent="0.25">
      <c r="A2014"/>
    </row>
    <row r="2015" spans="1:1" x14ac:dyDescent="0.25">
      <c r="A2015"/>
    </row>
    <row r="2016" spans="1:1" x14ac:dyDescent="0.25">
      <c r="A2016"/>
    </row>
    <row r="2017" spans="1:1" x14ac:dyDescent="0.25">
      <c r="A2017"/>
    </row>
    <row r="2018" spans="1:1" x14ac:dyDescent="0.25">
      <c r="A2018"/>
    </row>
    <row r="2019" spans="1:1" x14ac:dyDescent="0.25">
      <c r="A2019"/>
    </row>
    <row r="2020" spans="1:1" x14ac:dyDescent="0.25">
      <c r="A2020"/>
    </row>
    <row r="2021" spans="1:1" x14ac:dyDescent="0.25">
      <c r="A2021"/>
    </row>
    <row r="2022" spans="1:1" x14ac:dyDescent="0.25">
      <c r="A2022"/>
    </row>
    <row r="2023" spans="1:1" x14ac:dyDescent="0.25">
      <c r="A2023"/>
    </row>
    <row r="2024" spans="1:1" x14ac:dyDescent="0.25">
      <c r="A2024"/>
    </row>
    <row r="2025" spans="1:1" x14ac:dyDescent="0.25">
      <c r="A2025"/>
    </row>
    <row r="2026" spans="1:1" x14ac:dyDescent="0.25">
      <c r="A2026"/>
    </row>
    <row r="2027" spans="1:1" x14ac:dyDescent="0.25">
      <c r="A2027"/>
    </row>
    <row r="2028" spans="1:1" x14ac:dyDescent="0.25">
      <c r="A2028"/>
    </row>
    <row r="2029" spans="1:1" x14ac:dyDescent="0.25">
      <c r="A2029"/>
    </row>
    <row r="2030" spans="1:1" x14ac:dyDescent="0.25">
      <c r="A2030"/>
    </row>
    <row r="2031" spans="1:1" x14ac:dyDescent="0.25">
      <c r="A2031"/>
    </row>
    <row r="2032" spans="1:1" x14ac:dyDescent="0.25">
      <c r="A2032"/>
    </row>
    <row r="2033" spans="1:1" x14ac:dyDescent="0.25">
      <c r="A2033"/>
    </row>
    <row r="2034" spans="1:1" x14ac:dyDescent="0.25">
      <c r="A2034"/>
    </row>
    <row r="2035" spans="1:1" x14ac:dyDescent="0.25">
      <c r="A2035"/>
    </row>
    <row r="2036" spans="1:1" x14ac:dyDescent="0.25">
      <c r="A2036"/>
    </row>
    <row r="2037" spans="1:1" x14ac:dyDescent="0.25">
      <c r="A2037"/>
    </row>
    <row r="2038" spans="1:1" x14ac:dyDescent="0.25">
      <c r="A2038"/>
    </row>
    <row r="2039" spans="1:1" x14ac:dyDescent="0.25">
      <c r="A2039"/>
    </row>
    <row r="2040" spans="1:1" x14ac:dyDescent="0.25">
      <c r="A2040"/>
    </row>
    <row r="2041" spans="1:1" x14ac:dyDescent="0.25">
      <c r="A2041"/>
    </row>
    <row r="2042" spans="1:1" x14ac:dyDescent="0.25">
      <c r="A2042"/>
    </row>
    <row r="2043" spans="1:1" x14ac:dyDescent="0.25">
      <c r="A2043"/>
    </row>
    <row r="2044" spans="1:1" x14ac:dyDescent="0.25">
      <c r="A2044"/>
    </row>
    <row r="2045" spans="1:1" x14ac:dyDescent="0.25">
      <c r="A2045"/>
    </row>
    <row r="2046" spans="1:1" x14ac:dyDescent="0.25">
      <c r="A2046"/>
    </row>
    <row r="2047" spans="1:1" x14ac:dyDescent="0.25">
      <c r="A2047"/>
    </row>
    <row r="2048" spans="1:1" x14ac:dyDescent="0.25">
      <c r="A2048"/>
    </row>
    <row r="2049" spans="1:1" x14ac:dyDescent="0.25">
      <c r="A2049"/>
    </row>
    <row r="2050" spans="1:1" x14ac:dyDescent="0.25">
      <c r="A2050"/>
    </row>
    <row r="2051" spans="1:1" x14ac:dyDescent="0.25">
      <c r="A2051"/>
    </row>
    <row r="2052" spans="1:1" x14ac:dyDescent="0.25">
      <c r="A2052"/>
    </row>
    <row r="2053" spans="1:1" x14ac:dyDescent="0.25">
      <c r="A2053"/>
    </row>
    <row r="2054" spans="1:1" x14ac:dyDescent="0.25">
      <c r="A2054"/>
    </row>
    <row r="2055" spans="1:1" x14ac:dyDescent="0.25">
      <c r="A2055"/>
    </row>
    <row r="2056" spans="1:1" x14ac:dyDescent="0.25">
      <c r="A2056"/>
    </row>
    <row r="2057" spans="1:1" x14ac:dyDescent="0.25">
      <c r="A2057"/>
    </row>
    <row r="2058" spans="1:1" x14ac:dyDescent="0.25">
      <c r="A2058"/>
    </row>
    <row r="2059" spans="1:1" x14ac:dyDescent="0.25">
      <c r="A2059"/>
    </row>
    <row r="2060" spans="1:1" x14ac:dyDescent="0.25">
      <c r="A2060"/>
    </row>
    <row r="2061" spans="1:1" x14ac:dyDescent="0.25">
      <c r="A2061"/>
    </row>
    <row r="2062" spans="1:1" x14ac:dyDescent="0.25">
      <c r="A2062"/>
    </row>
    <row r="2063" spans="1:1" x14ac:dyDescent="0.25">
      <c r="A2063"/>
    </row>
    <row r="2064" spans="1:1" x14ac:dyDescent="0.25">
      <c r="A2064"/>
    </row>
    <row r="2065" spans="1:1" x14ac:dyDescent="0.25">
      <c r="A2065"/>
    </row>
    <row r="2066" spans="1:1" x14ac:dyDescent="0.25">
      <c r="A2066"/>
    </row>
    <row r="2067" spans="1:1" x14ac:dyDescent="0.25">
      <c r="A2067"/>
    </row>
    <row r="2068" spans="1:1" x14ac:dyDescent="0.25">
      <c r="A2068"/>
    </row>
    <row r="2069" spans="1:1" x14ac:dyDescent="0.25">
      <c r="A2069"/>
    </row>
    <row r="2070" spans="1:1" x14ac:dyDescent="0.25">
      <c r="A2070"/>
    </row>
    <row r="2071" spans="1:1" x14ac:dyDescent="0.25">
      <c r="A2071"/>
    </row>
    <row r="2072" spans="1:1" x14ac:dyDescent="0.25">
      <c r="A2072"/>
    </row>
    <row r="2073" spans="1:1" x14ac:dyDescent="0.25">
      <c r="A2073"/>
    </row>
    <row r="2074" spans="1:1" x14ac:dyDescent="0.25">
      <c r="A2074"/>
    </row>
    <row r="2075" spans="1:1" x14ac:dyDescent="0.25">
      <c r="A2075"/>
    </row>
    <row r="2076" spans="1:1" x14ac:dyDescent="0.25">
      <c r="A2076"/>
    </row>
    <row r="2077" spans="1:1" x14ac:dyDescent="0.25">
      <c r="A2077"/>
    </row>
    <row r="2078" spans="1:1" x14ac:dyDescent="0.25">
      <c r="A2078"/>
    </row>
    <row r="2079" spans="1:1" x14ac:dyDescent="0.25">
      <c r="A2079"/>
    </row>
    <row r="2080" spans="1:1" x14ac:dyDescent="0.25">
      <c r="A2080"/>
    </row>
    <row r="2081" spans="1:1" x14ac:dyDescent="0.25">
      <c r="A2081"/>
    </row>
    <row r="2082" spans="1:1" x14ac:dyDescent="0.25">
      <c r="A2082"/>
    </row>
    <row r="2083" spans="1:1" x14ac:dyDescent="0.25">
      <c r="A2083"/>
    </row>
    <row r="2084" spans="1:1" x14ac:dyDescent="0.25">
      <c r="A2084"/>
    </row>
    <row r="2085" spans="1:1" x14ac:dyDescent="0.25">
      <c r="A2085"/>
    </row>
    <row r="2086" spans="1:1" x14ac:dyDescent="0.25">
      <c r="A2086"/>
    </row>
    <row r="2087" spans="1:1" x14ac:dyDescent="0.25">
      <c r="A2087"/>
    </row>
    <row r="2088" spans="1:1" x14ac:dyDescent="0.25">
      <c r="A2088"/>
    </row>
    <row r="2089" spans="1:1" x14ac:dyDescent="0.25">
      <c r="A2089"/>
    </row>
    <row r="2090" spans="1:1" x14ac:dyDescent="0.25">
      <c r="A2090"/>
    </row>
    <row r="2091" spans="1:1" x14ac:dyDescent="0.25">
      <c r="A2091"/>
    </row>
    <row r="2092" spans="1:1" x14ac:dyDescent="0.25">
      <c r="A2092"/>
    </row>
    <row r="2093" spans="1:1" x14ac:dyDescent="0.25">
      <c r="A2093"/>
    </row>
    <row r="2094" spans="1:1" x14ac:dyDescent="0.25">
      <c r="A2094"/>
    </row>
    <row r="2095" spans="1:1" x14ac:dyDescent="0.25">
      <c r="A2095"/>
    </row>
    <row r="2096" spans="1:1" x14ac:dyDescent="0.25">
      <c r="A2096"/>
    </row>
    <row r="2097" spans="1:1" x14ac:dyDescent="0.25">
      <c r="A2097"/>
    </row>
    <row r="2098" spans="1:1" x14ac:dyDescent="0.25">
      <c r="A2098"/>
    </row>
    <row r="2099" spans="1:1" x14ac:dyDescent="0.25">
      <c r="A2099"/>
    </row>
    <row r="2100" spans="1:1" x14ac:dyDescent="0.25">
      <c r="A2100"/>
    </row>
    <row r="2101" spans="1:1" x14ac:dyDescent="0.25">
      <c r="A2101"/>
    </row>
    <row r="2102" spans="1:1" x14ac:dyDescent="0.25">
      <c r="A2102"/>
    </row>
    <row r="2103" spans="1:1" x14ac:dyDescent="0.25">
      <c r="A2103"/>
    </row>
    <row r="2104" spans="1:1" x14ac:dyDescent="0.25">
      <c r="A2104"/>
    </row>
    <row r="2105" spans="1:1" x14ac:dyDescent="0.25">
      <c r="A2105"/>
    </row>
    <row r="2106" spans="1:1" x14ac:dyDescent="0.25">
      <c r="A2106"/>
    </row>
    <row r="2107" spans="1:1" x14ac:dyDescent="0.25">
      <c r="A2107"/>
    </row>
    <row r="2108" spans="1:1" x14ac:dyDescent="0.25">
      <c r="A2108"/>
    </row>
    <row r="2109" spans="1:1" x14ac:dyDescent="0.25">
      <c r="A2109"/>
    </row>
    <row r="2110" spans="1:1" x14ac:dyDescent="0.25">
      <c r="A2110"/>
    </row>
    <row r="2111" spans="1:1" x14ac:dyDescent="0.25">
      <c r="A2111"/>
    </row>
    <row r="2112" spans="1:1" x14ac:dyDescent="0.25">
      <c r="A2112"/>
    </row>
    <row r="2113" spans="1:1" x14ac:dyDescent="0.25">
      <c r="A2113"/>
    </row>
    <row r="2114" spans="1:1" x14ac:dyDescent="0.25">
      <c r="A2114"/>
    </row>
    <row r="2115" spans="1:1" x14ac:dyDescent="0.25">
      <c r="A2115"/>
    </row>
    <row r="2116" spans="1:1" x14ac:dyDescent="0.25">
      <c r="A2116"/>
    </row>
    <row r="2117" spans="1:1" x14ac:dyDescent="0.25">
      <c r="A2117"/>
    </row>
    <row r="2118" spans="1:1" x14ac:dyDescent="0.25">
      <c r="A2118"/>
    </row>
    <row r="2119" spans="1:1" x14ac:dyDescent="0.25">
      <c r="A2119"/>
    </row>
    <row r="2120" spans="1:1" x14ac:dyDescent="0.25">
      <c r="A2120"/>
    </row>
    <row r="2121" spans="1:1" x14ac:dyDescent="0.25">
      <c r="A2121"/>
    </row>
    <row r="2122" spans="1:1" x14ac:dyDescent="0.25">
      <c r="A2122"/>
    </row>
    <row r="2123" spans="1:1" x14ac:dyDescent="0.25">
      <c r="A2123"/>
    </row>
    <row r="2124" spans="1:1" x14ac:dyDescent="0.25">
      <c r="A2124"/>
    </row>
    <row r="2125" spans="1:1" x14ac:dyDescent="0.25">
      <c r="A2125"/>
    </row>
    <row r="2126" spans="1:1" x14ac:dyDescent="0.25">
      <c r="A2126"/>
    </row>
    <row r="2127" spans="1:1" x14ac:dyDescent="0.25">
      <c r="A2127"/>
    </row>
    <row r="2128" spans="1:1" x14ac:dyDescent="0.25">
      <c r="A2128"/>
    </row>
    <row r="2129" spans="1:1" x14ac:dyDescent="0.25">
      <c r="A2129"/>
    </row>
    <row r="2130" spans="1:1" x14ac:dyDescent="0.25">
      <c r="A2130"/>
    </row>
    <row r="2131" spans="1:1" x14ac:dyDescent="0.25">
      <c r="A2131"/>
    </row>
    <row r="2132" spans="1:1" x14ac:dyDescent="0.25">
      <c r="A2132"/>
    </row>
    <row r="2133" spans="1:1" x14ac:dyDescent="0.25">
      <c r="A2133"/>
    </row>
    <row r="2134" spans="1:1" x14ac:dyDescent="0.25">
      <c r="A2134"/>
    </row>
    <row r="2135" spans="1:1" x14ac:dyDescent="0.25">
      <c r="A2135"/>
    </row>
    <row r="2136" spans="1:1" x14ac:dyDescent="0.25">
      <c r="A2136"/>
    </row>
    <row r="2137" spans="1:1" x14ac:dyDescent="0.25">
      <c r="A2137"/>
    </row>
    <row r="2138" spans="1:1" x14ac:dyDescent="0.25">
      <c r="A2138"/>
    </row>
    <row r="2139" spans="1:1" x14ac:dyDescent="0.25">
      <c r="A2139"/>
    </row>
    <row r="2140" spans="1:1" x14ac:dyDescent="0.25">
      <c r="A2140"/>
    </row>
    <row r="2141" spans="1:1" x14ac:dyDescent="0.25">
      <c r="A2141"/>
    </row>
    <row r="2142" spans="1:1" x14ac:dyDescent="0.25">
      <c r="A2142"/>
    </row>
    <row r="2143" spans="1:1" x14ac:dyDescent="0.25">
      <c r="A2143"/>
    </row>
    <row r="2144" spans="1:1" x14ac:dyDescent="0.25">
      <c r="A2144"/>
    </row>
    <row r="2145" spans="1:1" x14ac:dyDescent="0.25">
      <c r="A2145"/>
    </row>
    <row r="2146" spans="1:1" x14ac:dyDescent="0.25">
      <c r="A2146"/>
    </row>
    <row r="2147" spans="1:1" x14ac:dyDescent="0.25">
      <c r="A2147"/>
    </row>
    <row r="2148" spans="1:1" x14ac:dyDescent="0.25">
      <c r="A2148"/>
    </row>
    <row r="2149" spans="1:1" x14ac:dyDescent="0.25">
      <c r="A2149"/>
    </row>
    <row r="2150" spans="1:1" x14ac:dyDescent="0.25">
      <c r="A2150"/>
    </row>
    <row r="2151" spans="1:1" x14ac:dyDescent="0.25">
      <c r="A2151"/>
    </row>
    <row r="2152" spans="1:1" x14ac:dyDescent="0.25">
      <c r="A2152"/>
    </row>
    <row r="2153" spans="1:1" x14ac:dyDescent="0.25">
      <c r="A2153"/>
    </row>
    <row r="2154" spans="1:1" x14ac:dyDescent="0.25">
      <c r="A2154"/>
    </row>
    <row r="2155" spans="1:1" x14ac:dyDescent="0.25">
      <c r="A2155"/>
    </row>
    <row r="2156" spans="1:1" x14ac:dyDescent="0.25">
      <c r="A2156"/>
    </row>
    <row r="2157" spans="1:1" x14ac:dyDescent="0.25">
      <c r="A2157"/>
    </row>
    <row r="2158" spans="1:1" x14ac:dyDescent="0.25">
      <c r="A2158"/>
    </row>
    <row r="2159" spans="1:1" x14ac:dyDescent="0.25">
      <c r="A2159"/>
    </row>
    <row r="2160" spans="1:1" x14ac:dyDescent="0.25">
      <c r="A2160"/>
    </row>
    <row r="2161" spans="1:1" x14ac:dyDescent="0.25">
      <c r="A2161"/>
    </row>
    <row r="2162" spans="1:1" x14ac:dyDescent="0.25">
      <c r="A2162"/>
    </row>
    <row r="2163" spans="1:1" x14ac:dyDescent="0.25">
      <c r="A2163"/>
    </row>
    <row r="2164" spans="1:1" x14ac:dyDescent="0.25">
      <c r="A2164"/>
    </row>
    <row r="2165" spans="1:1" x14ac:dyDescent="0.25">
      <c r="A2165"/>
    </row>
    <row r="2166" spans="1:1" x14ac:dyDescent="0.25">
      <c r="A2166"/>
    </row>
    <row r="2167" spans="1:1" x14ac:dyDescent="0.25">
      <c r="A2167"/>
    </row>
    <row r="2168" spans="1:1" x14ac:dyDescent="0.25">
      <c r="A2168"/>
    </row>
    <row r="2169" spans="1:1" x14ac:dyDescent="0.25">
      <c r="A2169"/>
    </row>
    <row r="2170" spans="1:1" x14ac:dyDescent="0.25">
      <c r="A2170"/>
    </row>
    <row r="2171" spans="1:1" x14ac:dyDescent="0.25">
      <c r="A2171"/>
    </row>
    <row r="2172" spans="1:1" x14ac:dyDescent="0.25">
      <c r="A2172"/>
    </row>
    <row r="2173" spans="1:1" x14ac:dyDescent="0.25">
      <c r="A2173"/>
    </row>
    <row r="2174" spans="1:1" x14ac:dyDescent="0.25">
      <c r="A2174"/>
    </row>
    <row r="2175" spans="1:1" x14ac:dyDescent="0.25">
      <c r="A2175"/>
    </row>
    <row r="2176" spans="1:1" x14ac:dyDescent="0.25">
      <c r="A2176"/>
    </row>
    <row r="2177" spans="1:1" x14ac:dyDescent="0.25">
      <c r="A2177"/>
    </row>
    <row r="2178" spans="1:1" x14ac:dyDescent="0.25">
      <c r="A2178"/>
    </row>
    <row r="2179" spans="1:1" x14ac:dyDescent="0.25">
      <c r="A2179"/>
    </row>
    <row r="2180" spans="1:1" x14ac:dyDescent="0.25">
      <c r="A2180"/>
    </row>
    <row r="2181" spans="1:1" x14ac:dyDescent="0.25">
      <c r="A2181"/>
    </row>
    <row r="2182" spans="1:1" x14ac:dyDescent="0.25">
      <c r="A2182"/>
    </row>
    <row r="2183" spans="1:1" x14ac:dyDescent="0.25">
      <c r="A2183"/>
    </row>
    <row r="2184" spans="1:1" x14ac:dyDescent="0.25">
      <c r="A2184"/>
    </row>
    <row r="2185" spans="1:1" x14ac:dyDescent="0.25">
      <c r="A2185"/>
    </row>
    <row r="2186" spans="1:1" x14ac:dyDescent="0.25">
      <c r="A2186"/>
    </row>
    <row r="2187" spans="1:1" x14ac:dyDescent="0.25">
      <c r="A2187"/>
    </row>
    <row r="2188" spans="1:1" x14ac:dyDescent="0.25">
      <c r="A2188"/>
    </row>
    <row r="2189" spans="1:1" x14ac:dyDescent="0.25">
      <c r="A2189"/>
    </row>
    <row r="2190" spans="1:1" x14ac:dyDescent="0.25">
      <c r="A2190"/>
    </row>
    <row r="2191" spans="1:1" x14ac:dyDescent="0.25">
      <c r="A2191"/>
    </row>
    <row r="2192" spans="1:1" x14ac:dyDescent="0.25">
      <c r="A2192"/>
    </row>
    <row r="2193" spans="1:1" x14ac:dyDescent="0.25">
      <c r="A2193"/>
    </row>
    <row r="2194" spans="1:1" x14ac:dyDescent="0.25">
      <c r="A2194"/>
    </row>
    <row r="2195" spans="1:1" x14ac:dyDescent="0.25">
      <c r="A2195"/>
    </row>
    <row r="2196" spans="1:1" x14ac:dyDescent="0.25">
      <c r="A2196"/>
    </row>
    <row r="2197" spans="1:1" x14ac:dyDescent="0.25">
      <c r="A2197"/>
    </row>
    <row r="2198" spans="1:1" x14ac:dyDescent="0.25">
      <c r="A2198"/>
    </row>
    <row r="2199" spans="1:1" x14ac:dyDescent="0.25">
      <c r="A2199"/>
    </row>
    <row r="2200" spans="1:1" x14ac:dyDescent="0.25">
      <c r="A2200"/>
    </row>
    <row r="2201" spans="1:1" x14ac:dyDescent="0.25">
      <c r="A2201"/>
    </row>
    <row r="2202" spans="1:1" x14ac:dyDescent="0.25">
      <c r="A2202"/>
    </row>
    <row r="2203" spans="1:1" x14ac:dyDescent="0.25">
      <c r="A2203"/>
    </row>
    <row r="2204" spans="1:1" x14ac:dyDescent="0.25">
      <c r="A2204"/>
    </row>
    <row r="2205" spans="1:1" x14ac:dyDescent="0.25">
      <c r="A2205"/>
    </row>
    <row r="2206" spans="1:1" x14ac:dyDescent="0.25">
      <c r="A2206"/>
    </row>
    <row r="2207" spans="1:1" x14ac:dyDescent="0.25">
      <c r="A2207"/>
    </row>
    <row r="2208" spans="1:1" x14ac:dyDescent="0.25">
      <c r="A2208"/>
    </row>
    <row r="2209" spans="1:1" x14ac:dyDescent="0.25">
      <c r="A2209"/>
    </row>
    <row r="2210" spans="1:1" x14ac:dyDescent="0.25">
      <c r="A2210"/>
    </row>
    <row r="2211" spans="1:1" x14ac:dyDescent="0.25">
      <c r="A2211"/>
    </row>
    <row r="2212" spans="1:1" x14ac:dyDescent="0.25">
      <c r="A2212"/>
    </row>
    <row r="2213" spans="1:1" x14ac:dyDescent="0.25">
      <c r="A2213"/>
    </row>
    <row r="2214" spans="1:1" x14ac:dyDescent="0.25">
      <c r="A2214"/>
    </row>
    <row r="2215" spans="1:1" x14ac:dyDescent="0.25">
      <c r="A2215"/>
    </row>
    <row r="2216" spans="1:1" x14ac:dyDescent="0.25">
      <c r="A2216"/>
    </row>
    <row r="2217" spans="1:1" x14ac:dyDescent="0.25">
      <c r="A2217"/>
    </row>
    <row r="2218" spans="1:1" x14ac:dyDescent="0.25">
      <c r="A2218"/>
    </row>
    <row r="2219" spans="1:1" x14ac:dyDescent="0.25">
      <c r="A2219"/>
    </row>
    <row r="2220" spans="1:1" x14ac:dyDescent="0.25">
      <c r="A2220"/>
    </row>
    <row r="2221" spans="1:1" x14ac:dyDescent="0.25">
      <c r="A2221"/>
    </row>
    <row r="2222" spans="1:1" x14ac:dyDescent="0.25">
      <c r="A2222"/>
    </row>
    <row r="2223" spans="1:1" x14ac:dyDescent="0.25">
      <c r="A2223"/>
    </row>
    <row r="2224" spans="1:1" x14ac:dyDescent="0.25">
      <c r="A2224"/>
    </row>
    <row r="2225" spans="1:1" x14ac:dyDescent="0.25">
      <c r="A2225"/>
    </row>
    <row r="2226" spans="1:1" x14ac:dyDescent="0.25">
      <c r="A2226"/>
    </row>
    <row r="2227" spans="1:1" x14ac:dyDescent="0.25">
      <c r="A2227"/>
    </row>
    <row r="2228" spans="1:1" x14ac:dyDescent="0.25">
      <c r="A2228"/>
    </row>
    <row r="2229" spans="1:1" x14ac:dyDescent="0.25">
      <c r="A2229"/>
    </row>
    <row r="2230" spans="1:1" x14ac:dyDescent="0.25">
      <c r="A2230"/>
    </row>
    <row r="2231" spans="1:1" x14ac:dyDescent="0.25">
      <c r="A2231"/>
    </row>
    <row r="2232" spans="1:1" x14ac:dyDescent="0.25">
      <c r="A2232"/>
    </row>
    <row r="2233" spans="1:1" x14ac:dyDescent="0.25">
      <c r="A2233"/>
    </row>
    <row r="2234" spans="1:1" x14ac:dyDescent="0.25">
      <c r="A2234"/>
    </row>
    <row r="2235" spans="1:1" x14ac:dyDescent="0.25">
      <c r="A2235"/>
    </row>
    <row r="2236" spans="1:1" x14ac:dyDescent="0.25">
      <c r="A2236"/>
    </row>
    <row r="2237" spans="1:1" x14ac:dyDescent="0.25">
      <c r="A2237"/>
    </row>
    <row r="2238" spans="1:1" x14ac:dyDescent="0.25">
      <c r="A2238"/>
    </row>
    <row r="2239" spans="1:1" x14ac:dyDescent="0.25">
      <c r="A2239"/>
    </row>
    <row r="2240" spans="1:1" x14ac:dyDescent="0.25">
      <c r="A2240"/>
    </row>
    <row r="2241" spans="1:1" x14ac:dyDescent="0.25">
      <c r="A2241"/>
    </row>
    <row r="2242" spans="1:1" x14ac:dyDescent="0.25">
      <c r="A2242"/>
    </row>
    <row r="2243" spans="1:1" x14ac:dyDescent="0.25">
      <c r="A2243"/>
    </row>
    <row r="2244" spans="1:1" x14ac:dyDescent="0.25">
      <c r="A2244"/>
    </row>
    <row r="2245" spans="1:1" x14ac:dyDescent="0.25">
      <c r="A2245"/>
    </row>
    <row r="2246" spans="1:1" x14ac:dyDescent="0.25">
      <c r="A2246"/>
    </row>
    <row r="2247" spans="1:1" x14ac:dyDescent="0.25">
      <c r="A2247"/>
    </row>
    <row r="2248" spans="1:1" x14ac:dyDescent="0.25">
      <c r="A2248"/>
    </row>
    <row r="2249" spans="1:1" x14ac:dyDescent="0.25">
      <c r="A2249"/>
    </row>
    <row r="2250" spans="1:1" x14ac:dyDescent="0.25">
      <c r="A2250"/>
    </row>
    <row r="2251" spans="1:1" x14ac:dyDescent="0.25">
      <c r="A2251"/>
    </row>
    <row r="2252" spans="1:1" x14ac:dyDescent="0.25">
      <c r="A2252"/>
    </row>
    <row r="2253" spans="1:1" x14ac:dyDescent="0.25">
      <c r="A2253"/>
    </row>
    <row r="2254" spans="1:1" x14ac:dyDescent="0.25">
      <c r="A2254"/>
    </row>
    <row r="2255" spans="1:1" x14ac:dyDescent="0.25">
      <c r="A2255"/>
    </row>
    <row r="2256" spans="1:1" x14ac:dyDescent="0.25">
      <c r="A2256"/>
    </row>
    <row r="2257" spans="1:1" x14ac:dyDescent="0.25">
      <c r="A2257"/>
    </row>
    <row r="2258" spans="1:1" x14ac:dyDescent="0.25">
      <c r="A2258"/>
    </row>
    <row r="2259" spans="1:1" x14ac:dyDescent="0.25">
      <c r="A2259"/>
    </row>
    <row r="2260" spans="1:1" x14ac:dyDescent="0.25">
      <c r="A2260"/>
    </row>
    <row r="2261" spans="1:1" x14ac:dyDescent="0.25">
      <c r="A2261"/>
    </row>
    <row r="2262" spans="1:1" x14ac:dyDescent="0.25">
      <c r="A2262"/>
    </row>
    <row r="2263" spans="1:1" x14ac:dyDescent="0.25">
      <c r="A2263"/>
    </row>
    <row r="2264" spans="1:1" x14ac:dyDescent="0.25">
      <c r="A2264"/>
    </row>
    <row r="2265" spans="1:1" x14ac:dyDescent="0.25">
      <c r="A2265"/>
    </row>
    <row r="2266" spans="1:1" x14ac:dyDescent="0.25">
      <c r="A2266"/>
    </row>
    <row r="2267" spans="1:1" x14ac:dyDescent="0.25">
      <c r="A2267"/>
    </row>
    <row r="2268" spans="1:1" x14ac:dyDescent="0.25">
      <c r="A2268"/>
    </row>
    <row r="2269" spans="1:1" x14ac:dyDescent="0.25">
      <c r="A2269"/>
    </row>
    <row r="2270" spans="1:1" x14ac:dyDescent="0.25">
      <c r="A2270"/>
    </row>
    <row r="2271" spans="1:1" x14ac:dyDescent="0.25">
      <c r="A2271"/>
    </row>
    <row r="2272" spans="1:1" x14ac:dyDescent="0.25">
      <c r="A2272"/>
    </row>
    <row r="2273" spans="1:1" x14ac:dyDescent="0.25">
      <c r="A2273"/>
    </row>
    <row r="2274" spans="1:1" x14ac:dyDescent="0.25">
      <c r="A2274"/>
    </row>
    <row r="2275" spans="1:1" x14ac:dyDescent="0.25">
      <c r="A2275"/>
    </row>
    <row r="2276" spans="1:1" x14ac:dyDescent="0.25">
      <c r="A2276"/>
    </row>
    <row r="2277" spans="1:1" x14ac:dyDescent="0.25">
      <c r="A2277"/>
    </row>
    <row r="2278" spans="1:1" x14ac:dyDescent="0.25">
      <c r="A2278"/>
    </row>
    <row r="2279" spans="1:1" x14ac:dyDescent="0.25">
      <c r="A2279"/>
    </row>
    <row r="2280" spans="1:1" x14ac:dyDescent="0.25">
      <c r="A2280"/>
    </row>
    <row r="2281" spans="1:1" x14ac:dyDescent="0.25">
      <c r="A2281"/>
    </row>
    <row r="2282" spans="1:1" x14ac:dyDescent="0.25">
      <c r="A2282"/>
    </row>
    <row r="2283" spans="1:1" x14ac:dyDescent="0.25">
      <c r="A2283"/>
    </row>
    <row r="2284" spans="1:1" x14ac:dyDescent="0.25">
      <c r="A2284"/>
    </row>
    <row r="2285" spans="1:1" x14ac:dyDescent="0.25">
      <c r="A2285"/>
    </row>
    <row r="2286" spans="1:1" x14ac:dyDescent="0.25">
      <c r="A2286"/>
    </row>
    <row r="2287" spans="1:1" x14ac:dyDescent="0.25">
      <c r="A2287"/>
    </row>
    <row r="2288" spans="1:1" x14ac:dyDescent="0.25">
      <c r="A2288"/>
    </row>
    <row r="2289" spans="1:1" x14ac:dyDescent="0.25">
      <c r="A2289"/>
    </row>
    <row r="2290" spans="1:1" x14ac:dyDescent="0.25">
      <c r="A2290"/>
    </row>
    <row r="2291" spans="1:1" x14ac:dyDescent="0.25">
      <c r="A2291"/>
    </row>
    <row r="2292" spans="1:1" x14ac:dyDescent="0.25">
      <c r="A2292"/>
    </row>
    <row r="2293" spans="1:1" x14ac:dyDescent="0.25">
      <c r="A2293"/>
    </row>
    <row r="2294" spans="1:1" x14ac:dyDescent="0.25">
      <c r="A2294"/>
    </row>
    <row r="2295" spans="1:1" x14ac:dyDescent="0.25">
      <c r="A2295"/>
    </row>
    <row r="2296" spans="1:1" x14ac:dyDescent="0.25">
      <c r="A2296"/>
    </row>
    <row r="2297" spans="1:1" x14ac:dyDescent="0.25">
      <c r="A2297"/>
    </row>
    <row r="2298" spans="1:1" x14ac:dyDescent="0.25">
      <c r="A2298"/>
    </row>
    <row r="2299" spans="1:1" x14ac:dyDescent="0.25">
      <c r="A2299"/>
    </row>
    <row r="2300" spans="1:1" x14ac:dyDescent="0.25">
      <c r="A2300"/>
    </row>
    <row r="2301" spans="1:1" x14ac:dyDescent="0.25">
      <c r="A2301"/>
    </row>
    <row r="2302" spans="1:1" x14ac:dyDescent="0.25">
      <c r="A2302"/>
    </row>
    <row r="2303" spans="1:1" x14ac:dyDescent="0.25">
      <c r="A2303"/>
    </row>
    <row r="2304" spans="1:1" x14ac:dyDescent="0.25">
      <c r="A2304"/>
    </row>
    <row r="2305" spans="1:1" x14ac:dyDescent="0.25">
      <c r="A2305"/>
    </row>
    <row r="2306" spans="1:1" x14ac:dyDescent="0.25">
      <c r="A2306"/>
    </row>
    <row r="2307" spans="1:1" x14ac:dyDescent="0.25">
      <c r="A2307"/>
    </row>
    <row r="2308" spans="1:1" x14ac:dyDescent="0.25">
      <c r="A2308"/>
    </row>
    <row r="2309" spans="1:1" x14ac:dyDescent="0.25">
      <c r="A2309"/>
    </row>
    <row r="2310" spans="1:1" x14ac:dyDescent="0.25">
      <c r="A2310"/>
    </row>
    <row r="2311" spans="1:1" x14ac:dyDescent="0.25">
      <c r="A2311"/>
    </row>
    <row r="2312" spans="1:1" x14ac:dyDescent="0.25">
      <c r="A2312"/>
    </row>
    <row r="2313" spans="1:1" x14ac:dyDescent="0.25">
      <c r="A2313"/>
    </row>
    <row r="2314" spans="1:1" x14ac:dyDescent="0.25">
      <c r="A2314"/>
    </row>
    <row r="2315" spans="1:1" x14ac:dyDescent="0.25">
      <c r="A2315"/>
    </row>
    <row r="2316" spans="1:1" x14ac:dyDescent="0.25">
      <c r="A2316"/>
    </row>
    <row r="2317" spans="1:1" x14ac:dyDescent="0.25">
      <c r="A2317"/>
    </row>
    <row r="2318" spans="1:1" x14ac:dyDescent="0.25">
      <c r="A2318"/>
    </row>
    <row r="2319" spans="1:1" x14ac:dyDescent="0.25">
      <c r="A2319"/>
    </row>
    <row r="2320" spans="1:1" x14ac:dyDescent="0.25">
      <c r="A2320"/>
    </row>
    <row r="2321" spans="1:1" x14ac:dyDescent="0.25">
      <c r="A2321"/>
    </row>
    <row r="2322" spans="1:1" x14ac:dyDescent="0.25">
      <c r="A2322"/>
    </row>
    <row r="2323" spans="1:1" x14ac:dyDescent="0.25">
      <c r="A2323"/>
    </row>
    <row r="2324" spans="1:1" x14ac:dyDescent="0.25">
      <c r="A2324"/>
    </row>
    <row r="2325" spans="1:1" x14ac:dyDescent="0.25">
      <c r="A2325"/>
    </row>
    <row r="2326" spans="1:1" x14ac:dyDescent="0.25">
      <c r="A2326"/>
    </row>
    <row r="2327" spans="1:1" x14ac:dyDescent="0.25">
      <c r="A2327"/>
    </row>
    <row r="2328" spans="1:1" x14ac:dyDescent="0.25">
      <c r="A2328"/>
    </row>
    <row r="2329" spans="1:1" x14ac:dyDescent="0.25">
      <c r="A2329"/>
    </row>
    <row r="2330" spans="1:1" x14ac:dyDescent="0.25">
      <c r="A2330"/>
    </row>
    <row r="2331" spans="1:1" x14ac:dyDescent="0.25">
      <c r="A2331"/>
    </row>
    <row r="2332" spans="1:1" x14ac:dyDescent="0.25">
      <c r="A2332"/>
    </row>
    <row r="2333" spans="1:1" x14ac:dyDescent="0.25">
      <c r="A2333"/>
    </row>
    <row r="2334" spans="1:1" x14ac:dyDescent="0.25">
      <c r="A2334"/>
    </row>
    <row r="2335" spans="1:1" x14ac:dyDescent="0.25">
      <c r="A2335"/>
    </row>
    <row r="2336" spans="1:1" x14ac:dyDescent="0.25">
      <c r="A2336"/>
    </row>
    <row r="2337" spans="1:1" x14ac:dyDescent="0.25">
      <c r="A2337"/>
    </row>
    <row r="2338" spans="1:1" x14ac:dyDescent="0.25">
      <c r="A2338"/>
    </row>
    <row r="2339" spans="1:1" x14ac:dyDescent="0.25">
      <c r="A2339"/>
    </row>
    <row r="2340" spans="1:1" x14ac:dyDescent="0.25">
      <c r="A2340"/>
    </row>
    <row r="2341" spans="1:1" x14ac:dyDescent="0.25">
      <c r="A2341"/>
    </row>
    <row r="2342" spans="1:1" x14ac:dyDescent="0.25">
      <c r="A2342"/>
    </row>
    <row r="2343" spans="1:1" x14ac:dyDescent="0.25">
      <c r="A2343"/>
    </row>
    <row r="2344" spans="1:1" x14ac:dyDescent="0.25">
      <c r="A2344"/>
    </row>
    <row r="2345" spans="1:1" x14ac:dyDescent="0.25">
      <c r="A2345"/>
    </row>
    <row r="2346" spans="1:1" x14ac:dyDescent="0.25">
      <c r="A2346"/>
    </row>
    <row r="2347" spans="1:1" x14ac:dyDescent="0.25">
      <c r="A2347"/>
    </row>
    <row r="2348" spans="1:1" x14ac:dyDescent="0.25">
      <c r="A2348"/>
    </row>
    <row r="2349" spans="1:1" x14ac:dyDescent="0.25">
      <c r="A2349"/>
    </row>
    <row r="2350" spans="1:1" x14ac:dyDescent="0.25">
      <c r="A2350"/>
    </row>
    <row r="2351" spans="1:1" x14ac:dyDescent="0.25">
      <c r="A2351"/>
    </row>
    <row r="2352" spans="1:1" x14ac:dyDescent="0.25">
      <c r="A2352"/>
    </row>
    <row r="2353" spans="1:1" x14ac:dyDescent="0.25">
      <c r="A2353"/>
    </row>
    <row r="2354" spans="1:1" x14ac:dyDescent="0.25">
      <c r="A2354"/>
    </row>
    <row r="2355" spans="1:1" x14ac:dyDescent="0.25">
      <c r="A2355"/>
    </row>
    <row r="2356" spans="1:1" x14ac:dyDescent="0.25">
      <c r="A2356"/>
    </row>
    <row r="2357" spans="1:1" x14ac:dyDescent="0.25">
      <c r="A2357"/>
    </row>
    <row r="2358" spans="1:1" x14ac:dyDescent="0.25">
      <c r="A2358"/>
    </row>
    <row r="2359" spans="1:1" x14ac:dyDescent="0.25">
      <c r="A2359"/>
    </row>
    <row r="2360" spans="1:1" x14ac:dyDescent="0.25">
      <c r="A2360"/>
    </row>
    <row r="2361" spans="1:1" x14ac:dyDescent="0.25">
      <c r="A2361"/>
    </row>
    <row r="2362" spans="1:1" x14ac:dyDescent="0.25">
      <c r="A2362"/>
    </row>
    <row r="2363" spans="1:1" x14ac:dyDescent="0.25">
      <c r="A2363"/>
    </row>
    <row r="2364" spans="1:1" x14ac:dyDescent="0.25">
      <c r="A2364"/>
    </row>
    <row r="2365" spans="1:1" x14ac:dyDescent="0.25">
      <c r="A2365"/>
    </row>
    <row r="2366" spans="1:1" x14ac:dyDescent="0.25">
      <c r="A2366"/>
    </row>
    <row r="2367" spans="1:1" x14ac:dyDescent="0.25">
      <c r="A2367"/>
    </row>
    <row r="2368" spans="1:1" x14ac:dyDescent="0.25">
      <c r="A2368"/>
    </row>
    <row r="2369" spans="1:1" x14ac:dyDescent="0.25">
      <c r="A2369"/>
    </row>
    <row r="2370" spans="1:1" x14ac:dyDescent="0.25">
      <c r="A2370"/>
    </row>
    <row r="2371" spans="1:1" x14ac:dyDescent="0.25">
      <c r="A2371"/>
    </row>
    <row r="2372" spans="1:1" x14ac:dyDescent="0.25">
      <c r="A2372"/>
    </row>
    <row r="2373" spans="1:1" x14ac:dyDescent="0.25">
      <c r="A2373"/>
    </row>
    <row r="2374" spans="1:1" x14ac:dyDescent="0.25">
      <c r="A2374"/>
    </row>
    <row r="2375" spans="1:1" x14ac:dyDescent="0.25">
      <c r="A2375"/>
    </row>
    <row r="2376" spans="1:1" x14ac:dyDescent="0.25">
      <c r="A2376"/>
    </row>
    <row r="2377" spans="1:1" x14ac:dyDescent="0.25">
      <c r="A2377"/>
    </row>
    <row r="2378" spans="1:1" x14ac:dyDescent="0.25">
      <c r="A2378"/>
    </row>
    <row r="2379" spans="1:1" x14ac:dyDescent="0.25">
      <c r="A2379"/>
    </row>
    <row r="2380" spans="1:1" x14ac:dyDescent="0.25">
      <c r="A2380"/>
    </row>
    <row r="2381" spans="1:1" x14ac:dyDescent="0.25">
      <c r="A2381"/>
    </row>
    <row r="2382" spans="1:1" x14ac:dyDescent="0.25">
      <c r="A2382"/>
    </row>
    <row r="2383" spans="1:1" x14ac:dyDescent="0.25">
      <c r="A2383"/>
    </row>
    <row r="2384" spans="1:1" x14ac:dyDescent="0.25">
      <c r="A2384"/>
    </row>
    <row r="2385" spans="1:1" x14ac:dyDescent="0.25">
      <c r="A2385"/>
    </row>
    <row r="2386" spans="1:1" x14ac:dyDescent="0.25">
      <c r="A2386"/>
    </row>
    <row r="2387" spans="1:1" x14ac:dyDescent="0.25">
      <c r="A2387"/>
    </row>
    <row r="2388" spans="1:1" x14ac:dyDescent="0.25">
      <c r="A2388"/>
    </row>
    <row r="2389" spans="1:1" x14ac:dyDescent="0.25">
      <c r="A2389"/>
    </row>
    <row r="2390" spans="1:1" x14ac:dyDescent="0.25">
      <c r="A2390"/>
    </row>
    <row r="2391" spans="1:1" x14ac:dyDescent="0.25">
      <c r="A2391"/>
    </row>
    <row r="2392" spans="1:1" x14ac:dyDescent="0.25">
      <c r="A2392"/>
    </row>
    <row r="2393" spans="1:1" x14ac:dyDescent="0.25">
      <c r="A2393"/>
    </row>
    <row r="2394" spans="1:1" x14ac:dyDescent="0.25">
      <c r="A2394"/>
    </row>
    <row r="2395" spans="1:1" x14ac:dyDescent="0.25">
      <c r="A2395"/>
    </row>
    <row r="2396" spans="1:1" x14ac:dyDescent="0.25">
      <c r="A2396"/>
    </row>
    <row r="2397" spans="1:1" x14ac:dyDescent="0.25">
      <c r="A2397"/>
    </row>
    <row r="2398" spans="1:1" x14ac:dyDescent="0.25">
      <c r="A2398"/>
    </row>
    <row r="2399" spans="1:1" x14ac:dyDescent="0.25">
      <c r="A2399"/>
    </row>
    <row r="2400" spans="1:1" x14ac:dyDescent="0.25">
      <c r="A2400"/>
    </row>
    <row r="2401" spans="1:1" x14ac:dyDescent="0.25">
      <c r="A2401"/>
    </row>
    <row r="2402" spans="1:1" x14ac:dyDescent="0.25">
      <c r="A2402"/>
    </row>
    <row r="2403" spans="1:1" x14ac:dyDescent="0.25">
      <c r="A2403"/>
    </row>
    <row r="2404" spans="1:1" x14ac:dyDescent="0.25">
      <c r="A2404"/>
    </row>
    <row r="2405" spans="1:1" x14ac:dyDescent="0.25">
      <c r="A2405"/>
    </row>
    <row r="2406" spans="1:1" x14ac:dyDescent="0.25">
      <c r="A2406"/>
    </row>
    <row r="2407" spans="1:1" x14ac:dyDescent="0.25">
      <c r="A2407"/>
    </row>
    <row r="2408" spans="1:1" x14ac:dyDescent="0.25">
      <c r="A2408"/>
    </row>
    <row r="2409" spans="1:1" x14ac:dyDescent="0.25">
      <c r="A2409"/>
    </row>
    <row r="2410" spans="1:1" x14ac:dyDescent="0.25">
      <c r="A2410"/>
    </row>
    <row r="2411" spans="1:1" x14ac:dyDescent="0.25">
      <c r="A2411"/>
    </row>
    <row r="2412" spans="1:1" x14ac:dyDescent="0.25">
      <c r="A2412"/>
    </row>
    <row r="2413" spans="1:1" x14ac:dyDescent="0.25">
      <c r="A2413"/>
    </row>
    <row r="2414" spans="1:1" x14ac:dyDescent="0.25">
      <c r="A2414"/>
    </row>
    <row r="2415" spans="1:1" x14ac:dyDescent="0.25">
      <c r="A2415"/>
    </row>
    <row r="2416" spans="1:1" x14ac:dyDescent="0.25">
      <c r="A2416"/>
    </row>
    <row r="2417" spans="1:1" x14ac:dyDescent="0.25">
      <c r="A2417"/>
    </row>
    <row r="2418" spans="1:1" x14ac:dyDescent="0.25">
      <c r="A2418"/>
    </row>
    <row r="2419" spans="1:1" x14ac:dyDescent="0.25">
      <c r="A2419"/>
    </row>
    <row r="2420" spans="1:1" x14ac:dyDescent="0.25">
      <c r="A2420"/>
    </row>
    <row r="2421" spans="1:1" x14ac:dyDescent="0.25">
      <c r="A2421"/>
    </row>
    <row r="2422" spans="1:1" x14ac:dyDescent="0.25">
      <c r="A2422"/>
    </row>
    <row r="2423" spans="1:1" x14ac:dyDescent="0.25">
      <c r="A2423"/>
    </row>
    <row r="2424" spans="1:1" x14ac:dyDescent="0.25">
      <c r="A2424"/>
    </row>
    <row r="2425" spans="1:1" x14ac:dyDescent="0.25">
      <c r="A2425"/>
    </row>
    <row r="2426" spans="1:1" x14ac:dyDescent="0.25">
      <c r="A2426"/>
    </row>
    <row r="2427" spans="1:1" x14ac:dyDescent="0.25">
      <c r="A2427"/>
    </row>
    <row r="2428" spans="1:1" x14ac:dyDescent="0.25">
      <c r="A2428"/>
    </row>
    <row r="2429" spans="1:1" x14ac:dyDescent="0.25">
      <c r="A2429"/>
    </row>
    <row r="2430" spans="1:1" x14ac:dyDescent="0.25">
      <c r="A2430"/>
    </row>
    <row r="2431" spans="1:1" x14ac:dyDescent="0.25">
      <c r="A2431"/>
    </row>
    <row r="2432" spans="1:1" x14ac:dyDescent="0.25">
      <c r="A2432"/>
    </row>
    <row r="2433" spans="1:1" x14ac:dyDescent="0.25">
      <c r="A2433"/>
    </row>
    <row r="2434" spans="1:1" x14ac:dyDescent="0.25">
      <c r="A2434"/>
    </row>
    <row r="2435" spans="1:1" x14ac:dyDescent="0.25">
      <c r="A2435"/>
    </row>
    <row r="2436" spans="1:1" x14ac:dyDescent="0.25">
      <c r="A2436"/>
    </row>
    <row r="2437" spans="1:1" x14ac:dyDescent="0.25">
      <c r="A2437"/>
    </row>
    <row r="2438" spans="1:1" x14ac:dyDescent="0.25">
      <c r="A2438"/>
    </row>
    <row r="2439" spans="1:1" x14ac:dyDescent="0.25">
      <c r="A2439"/>
    </row>
    <row r="2440" spans="1:1" x14ac:dyDescent="0.25">
      <c r="A2440"/>
    </row>
    <row r="2441" spans="1:1" x14ac:dyDescent="0.25">
      <c r="A2441"/>
    </row>
    <row r="2442" spans="1:1" x14ac:dyDescent="0.25">
      <c r="A2442"/>
    </row>
    <row r="2443" spans="1:1" x14ac:dyDescent="0.25">
      <c r="A2443"/>
    </row>
    <row r="2444" spans="1:1" x14ac:dyDescent="0.25">
      <c r="A2444"/>
    </row>
    <row r="2445" spans="1:1" x14ac:dyDescent="0.25">
      <c r="A2445"/>
    </row>
    <row r="2446" spans="1:1" x14ac:dyDescent="0.25">
      <c r="A2446"/>
    </row>
    <row r="2447" spans="1:1" x14ac:dyDescent="0.25">
      <c r="A2447"/>
    </row>
    <row r="2448" spans="1:1" x14ac:dyDescent="0.25">
      <c r="A2448"/>
    </row>
    <row r="2449" spans="1:1" x14ac:dyDescent="0.25">
      <c r="A2449"/>
    </row>
    <row r="2450" spans="1:1" x14ac:dyDescent="0.25">
      <c r="A2450"/>
    </row>
    <row r="2451" spans="1:1" x14ac:dyDescent="0.25">
      <c r="A2451"/>
    </row>
    <row r="2452" spans="1:1" x14ac:dyDescent="0.25">
      <c r="A2452"/>
    </row>
    <row r="2453" spans="1:1" x14ac:dyDescent="0.25">
      <c r="A2453"/>
    </row>
    <row r="2454" spans="1:1" x14ac:dyDescent="0.25">
      <c r="A2454"/>
    </row>
    <row r="2455" spans="1:1" x14ac:dyDescent="0.25">
      <c r="A2455"/>
    </row>
    <row r="2456" spans="1:1" x14ac:dyDescent="0.25">
      <c r="A2456"/>
    </row>
    <row r="2457" spans="1:1" x14ac:dyDescent="0.25">
      <c r="A2457"/>
    </row>
    <row r="2458" spans="1:1" x14ac:dyDescent="0.25">
      <c r="A2458"/>
    </row>
    <row r="2459" spans="1:1" x14ac:dyDescent="0.25">
      <c r="A2459"/>
    </row>
    <row r="2460" spans="1:1" x14ac:dyDescent="0.25">
      <c r="A2460"/>
    </row>
    <row r="2461" spans="1:1" x14ac:dyDescent="0.25">
      <c r="A2461"/>
    </row>
    <row r="2462" spans="1:1" x14ac:dyDescent="0.25">
      <c r="A2462"/>
    </row>
    <row r="2463" spans="1:1" x14ac:dyDescent="0.25">
      <c r="A2463"/>
    </row>
    <row r="2464" spans="1:1" x14ac:dyDescent="0.25">
      <c r="A2464"/>
    </row>
    <row r="2465" spans="1:1" x14ac:dyDescent="0.25">
      <c r="A2465"/>
    </row>
    <row r="2466" spans="1:1" x14ac:dyDescent="0.25">
      <c r="A2466"/>
    </row>
    <row r="2467" spans="1:1" x14ac:dyDescent="0.25">
      <c r="A2467"/>
    </row>
    <row r="2468" spans="1:1" x14ac:dyDescent="0.25">
      <c r="A2468"/>
    </row>
    <row r="2469" spans="1:1" x14ac:dyDescent="0.25">
      <c r="A2469"/>
    </row>
    <row r="2470" spans="1:1" x14ac:dyDescent="0.25">
      <c r="A2470"/>
    </row>
    <row r="2471" spans="1:1" x14ac:dyDescent="0.25">
      <c r="A2471"/>
    </row>
    <row r="2472" spans="1:1" x14ac:dyDescent="0.25">
      <c r="A2472"/>
    </row>
    <row r="2473" spans="1:1" x14ac:dyDescent="0.25">
      <c r="A2473"/>
    </row>
    <row r="2474" spans="1:1" x14ac:dyDescent="0.25">
      <c r="A2474"/>
    </row>
    <row r="2475" spans="1:1" x14ac:dyDescent="0.25">
      <c r="A2475"/>
    </row>
    <row r="2476" spans="1:1" x14ac:dyDescent="0.25">
      <c r="A2476"/>
    </row>
    <row r="2477" spans="1:1" x14ac:dyDescent="0.25">
      <c r="A2477"/>
    </row>
    <row r="2478" spans="1:1" x14ac:dyDescent="0.25">
      <c r="A2478"/>
    </row>
    <row r="2479" spans="1:1" x14ac:dyDescent="0.25">
      <c r="A2479"/>
    </row>
    <row r="2480" spans="1:1" x14ac:dyDescent="0.25">
      <c r="A2480"/>
    </row>
    <row r="2481" spans="1:1" x14ac:dyDescent="0.25">
      <c r="A2481"/>
    </row>
    <row r="2482" spans="1:1" x14ac:dyDescent="0.25">
      <c r="A2482"/>
    </row>
    <row r="2483" spans="1:1" x14ac:dyDescent="0.25">
      <c r="A2483"/>
    </row>
    <row r="2484" spans="1:1" x14ac:dyDescent="0.25">
      <c r="A2484"/>
    </row>
    <row r="2485" spans="1:1" x14ac:dyDescent="0.25">
      <c r="A2485"/>
    </row>
    <row r="2486" spans="1:1" x14ac:dyDescent="0.25">
      <c r="A2486"/>
    </row>
    <row r="2487" spans="1:1" x14ac:dyDescent="0.25">
      <c r="A2487"/>
    </row>
    <row r="2488" spans="1:1" x14ac:dyDescent="0.25">
      <c r="A2488"/>
    </row>
    <row r="2489" spans="1:1" x14ac:dyDescent="0.25">
      <c r="A2489"/>
    </row>
    <row r="2490" spans="1:1" x14ac:dyDescent="0.25">
      <c r="A2490"/>
    </row>
    <row r="2491" spans="1:1" x14ac:dyDescent="0.25">
      <c r="A2491"/>
    </row>
    <row r="2492" spans="1:1" x14ac:dyDescent="0.25">
      <c r="A2492"/>
    </row>
    <row r="2493" spans="1:1" x14ac:dyDescent="0.25">
      <c r="A2493"/>
    </row>
    <row r="2494" spans="1:1" x14ac:dyDescent="0.25">
      <c r="A2494"/>
    </row>
    <row r="2495" spans="1:1" x14ac:dyDescent="0.25">
      <c r="A2495"/>
    </row>
    <row r="2496" spans="1:1" x14ac:dyDescent="0.25">
      <c r="A2496"/>
    </row>
    <row r="2497" spans="1:1" x14ac:dyDescent="0.25">
      <c r="A2497"/>
    </row>
    <row r="2498" spans="1:1" x14ac:dyDescent="0.25">
      <c r="A2498"/>
    </row>
    <row r="2499" spans="1:1" x14ac:dyDescent="0.25">
      <c r="A2499"/>
    </row>
    <row r="2500" spans="1:1" x14ac:dyDescent="0.25">
      <c r="A2500"/>
    </row>
    <row r="2501" spans="1:1" x14ac:dyDescent="0.25">
      <c r="A2501"/>
    </row>
    <row r="2502" spans="1:1" x14ac:dyDescent="0.25">
      <c r="A2502"/>
    </row>
    <row r="2503" spans="1:1" x14ac:dyDescent="0.25">
      <c r="A2503"/>
    </row>
    <row r="2504" spans="1:1" x14ac:dyDescent="0.25">
      <c r="A2504"/>
    </row>
    <row r="2505" spans="1:1" x14ac:dyDescent="0.25">
      <c r="A2505"/>
    </row>
    <row r="2506" spans="1:1" x14ac:dyDescent="0.25">
      <c r="A2506"/>
    </row>
    <row r="2507" spans="1:1" x14ac:dyDescent="0.25">
      <c r="A2507"/>
    </row>
    <row r="2508" spans="1:1" x14ac:dyDescent="0.25">
      <c r="A2508"/>
    </row>
    <row r="2509" spans="1:1" x14ac:dyDescent="0.25">
      <c r="A2509"/>
    </row>
    <row r="2510" spans="1:1" x14ac:dyDescent="0.25">
      <c r="A2510"/>
    </row>
    <row r="2511" spans="1:1" x14ac:dyDescent="0.25">
      <c r="A2511"/>
    </row>
    <row r="2512" spans="1:1" x14ac:dyDescent="0.25">
      <c r="A2512"/>
    </row>
    <row r="2513" spans="1:1" x14ac:dyDescent="0.25">
      <c r="A2513"/>
    </row>
    <row r="2514" spans="1:1" x14ac:dyDescent="0.25">
      <c r="A2514"/>
    </row>
    <row r="2515" spans="1:1" x14ac:dyDescent="0.25">
      <c r="A2515"/>
    </row>
    <row r="2516" spans="1:1" x14ac:dyDescent="0.25">
      <c r="A2516"/>
    </row>
    <row r="2517" spans="1:1" x14ac:dyDescent="0.25">
      <c r="A2517"/>
    </row>
    <row r="2518" spans="1:1" x14ac:dyDescent="0.25">
      <c r="A2518"/>
    </row>
    <row r="2519" spans="1:1" x14ac:dyDescent="0.25">
      <c r="A2519"/>
    </row>
    <row r="2520" spans="1:1" x14ac:dyDescent="0.25">
      <c r="A2520"/>
    </row>
    <row r="2521" spans="1:1" x14ac:dyDescent="0.25">
      <c r="A2521"/>
    </row>
    <row r="2522" spans="1:1" x14ac:dyDescent="0.25">
      <c r="A2522"/>
    </row>
    <row r="2523" spans="1:1" x14ac:dyDescent="0.25">
      <c r="A2523"/>
    </row>
    <row r="2524" spans="1:1" x14ac:dyDescent="0.25">
      <c r="A2524"/>
    </row>
    <row r="2525" spans="1:1" x14ac:dyDescent="0.25">
      <c r="A2525"/>
    </row>
    <row r="2526" spans="1:1" x14ac:dyDescent="0.25">
      <c r="A2526"/>
    </row>
    <row r="2527" spans="1:1" x14ac:dyDescent="0.25">
      <c r="A2527"/>
    </row>
    <row r="2528" spans="1:1" x14ac:dyDescent="0.25">
      <c r="A2528"/>
    </row>
    <row r="2529" spans="1:1" x14ac:dyDescent="0.25">
      <c r="A2529"/>
    </row>
    <row r="2530" spans="1:1" x14ac:dyDescent="0.25">
      <c r="A2530"/>
    </row>
    <row r="2531" spans="1:1" x14ac:dyDescent="0.25">
      <c r="A2531"/>
    </row>
    <row r="2532" spans="1:1" x14ac:dyDescent="0.25">
      <c r="A2532"/>
    </row>
    <row r="2533" spans="1:1" x14ac:dyDescent="0.25">
      <c r="A2533"/>
    </row>
    <row r="2534" spans="1:1" x14ac:dyDescent="0.25">
      <c r="A2534"/>
    </row>
    <row r="2535" spans="1:1" x14ac:dyDescent="0.25">
      <c r="A2535"/>
    </row>
    <row r="2536" spans="1:1" x14ac:dyDescent="0.25">
      <c r="A2536"/>
    </row>
    <row r="2537" spans="1:1" x14ac:dyDescent="0.25">
      <c r="A2537"/>
    </row>
    <row r="2538" spans="1:1" x14ac:dyDescent="0.25">
      <c r="A2538"/>
    </row>
    <row r="2539" spans="1:1" x14ac:dyDescent="0.25">
      <c r="A2539"/>
    </row>
    <row r="2540" spans="1:1" x14ac:dyDescent="0.25">
      <c r="A2540"/>
    </row>
    <row r="2541" spans="1:1" x14ac:dyDescent="0.25">
      <c r="A2541"/>
    </row>
    <row r="2542" spans="1:1" x14ac:dyDescent="0.25">
      <c r="A2542"/>
    </row>
    <row r="2543" spans="1:1" x14ac:dyDescent="0.25">
      <c r="A2543"/>
    </row>
    <row r="2544" spans="1:1" x14ac:dyDescent="0.25">
      <c r="A2544"/>
    </row>
    <row r="2545" spans="1:1" x14ac:dyDescent="0.25">
      <c r="A2545"/>
    </row>
    <row r="2546" spans="1:1" x14ac:dyDescent="0.25">
      <c r="A2546"/>
    </row>
    <row r="2547" spans="1:1" x14ac:dyDescent="0.25">
      <c r="A2547"/>
    </row>
    <row r="2548" spans="1:1" x14ac:dyDescent="0.25">
      <c r="A2548"/>
    </row>
    <row r="2549" spans="1:1" x14ac:dyDescent="0.25">
      <c r="A2549"/>
    </row>
    <row r="2550" spans="1:1" x14ac:dyDescent="0.25">
      <c r="A2550"/>
    </row>
    <row r="2551" spans="1:1" x14ac:dyDescent="0.25">
      <c r="A2551"/>
    </row>
    <row r="2552" spans="1:1" x14ac:dyDescent="0.25">
      <c r="A2552"/>
    </row>
    <row r="2553" spans="1:1" x14ac:dyDescent="0.25">
      <c r="A2553"/>
    </row>
    <row r="2554" spans="1:1" x14ac:dyDescent="0.25">
      <c r="A2554"/>
    </row>
    <row r="2555" spans="1:1" x14ac:dyDescent="0.25">
      <c r="A2555"/>
    </row>
    <row r="2556" spans="1:1" x14ac:dyDescent="0.25">
      <c r="A2556"/>
    </row>
    <row r="2557" spans="1:1" x14ac:dyDescent="0.25">
      <c r="A2557"/>
    </row>
    <row r="2558" spans="1:1" x14ac:dyDescent="0.25">
      <c r="A2558"/>
    </row>
    <row r="2559" spans="1:1" x14ac:dyDescent="0.25">
      <c r="A2559"/>
    </row>
    <row r="2560" spans="1:1" x14ac:dyDescent="0.25">
      <c r="A2560"/>
    </row>
    <row r="2561" spans="1:1" x14ac:dyDescent="0.25">
      <c r="A2561"/>
    </row>
    <row r="2562" spans="1:1" x14ac:dyDescent="0.25">
      <c r="A2562"/>
    </row>
    <row r="2563" spans="1:1" x14ac:dyDescent="0.25">
      <c r="A2563"/>
    </row>
    <row r="2564" spans="1:1" x14ac:dyDescent="0.25">
      <c r="A2564"/>
    </row>
    <row r="2565" spans="1:1" x14ac:dyDescent="0.25">
      <c r="A2565"/>
    </row>
    <row r="2566" spans="1:1" x14ac:dyDescent="0.25">
      <c r="A2566"/>
    </row>
    <row r="2567" spans="1:1" x14ac:dyDescent="0.25">
      <c r="A2567"/>
    </row>
    <row r="2568" spans="1:1" x14ac:dyDescent="0.25">
      <c r="A2568"/>
    </row>
    <row r="2569" spans="1:1" x14ac:dyDescent="0.25">
      <c r="A2569"/>
    </row>
    <row r="2570" spans="1:1" x14ac:dyDescent="0.25">
      <c r="A2570"/>
    </row>
    <row r="2571" spans="1:1" x14ac:dyDescent="0.25">
      <c r="A2571"/>
    </row>
    <row r="2572" spans="1:1" x14ac:dyDescent="0.25">
      <c r="A2572"/>
    </row>
    <row r="2573" spans="1:1" x14ac:dyDescent="0.25">
      <c r="A2573"/>
    </row>
    <row r="2574" spans="1:1" x14ac:dyDescent="0.25">
      <c r="A2574"/>
    </row>
    <row r="2575" spans="1:1" x14ac:dyDescent="0.25">
      <c r="A2575"/>
    </row>
    <row r="2576" spans="1:1" x14ac:dyDescent="0.25">
      <c r="A2576"/>
    </row>
    <row r="2577" spans="1:1" x14ac:dyDescent="0.25">
      <c r="A2577"/>
    </row>
    <row r="2578" spans="1:1" x14ac:dyDescent="0.25">
      <c r="A2578"/>
    </row>
    <row r="2579" spans="1:1" x14ac:dyDescent="0.25">
      <c r="A2579"/>
    </row>
    <row r="2580" spans="1:1" x14ac:dyDescent="0.25">
      <c r="A2580"/>
    </row>
    <row r="2581" spans="1:1" x14ac:dyDescent="0.25">
      <c r="A2581"/>
    </row>
    <row r="2582" spans="1:1" x14ac:dyDescent="0.25">
      <c r="A2582"/>
    </row>
    <row r="2583" spans="1:1" x14ac:dyDescent="0.25">
      <c r="A2583"/>
    </row>
    <row r="2584" spans="1:1" x14ac:dyDescent="0.25">
      <c r="A2584"/>
    </row>
    <row r="2585" spans="1:1" x14ac:dyDescent="0.25">
      <c r="A2585"/>
    </row>
    <row r="2586" spans="1:1" x14ac:dyDescent="0.25">
      <c r="A2586"/>
    </row>
    <row r="2587" spans="1:1" x14ac:dyDescent="0.25">
      <c r="A2587"/>
    </row>
    <row r="2588" spans="1:1" x14ac:dyDescent="0.25">
      <c r="A2588"/>
    </row>
    <row r="2589" spans="1:1" x14ac:dyDescent="0.25">
      <c r="A2589"/>
    </row>
    <row r="2590" spans="1:1" x14ac:dyDescent="0.25">
      <c r="A2590"/>
    </row>
    <row r="2591" spans="1:1" x14ac:dyDescent="0.25">
      <c r="A2591"/>
    </row>
    <row r="2592" spans="1:1" x14ac:dyDescent="0.25">
      <c r="A2592"/>
    </row>
    <row r="2593" spans="1:1" x14ac:dyDescent="0.25">
      <c r="A2593"/>
    </row>
    <row r="2594" spans="1:1" x14ac:dyDescent="0.25">
      <c r="A2594"/>
    </row>
    <row r="2595" spans="1:1" x14ac:dyDescent="0.25">
      <c r="A2595"/>
    </row>
    <row r="2596" spans="1:1" x14ac:dyDescent="0.25">
      <c r="A2596"/>
    </row>
    <row r="2597" spans="1:1" x14ac:dyDescent="0.25">
      <c r="A2597"/>
    </row>
    <row r="2598" spans="1:1" x14ac:dyDescent="0.25">
      <c r="A2598"/>
    </row>
    <row r="2599" spans="1:1" x14ac:dyDescent="0.25">
      <c r="A2599"/>
    </row>
    <row r="2600" spans="1:1" x14ac:dyDescent="0.25">
      <c r="A2600"/>
    </row>
    <row r="2601" spans="1:1" x14ac:dyDescent="0.25">
      <c r="A2601"/>
    </row>
    <row r="2602" spans="1:1" x14ac:dyDescent="0.25">
      <c r="A2602"/>
    </row>
    <row r="2603" spans="1:1" x14ac:dyDescent="0.25">
      <c r="A2603"/>
    </row>
    <row r="2604" spans="1:1" x14ac:dyDescent="0.25">
      <c r="A2604"/>
    </row>
    <row r="2605" spans="1:1" x14ac:dyDescent="0.25">
      <c r="A2605"/>
    </row>
    <row r="2606" spans="1:1" x14ac:dyDescent="0.25">
      <c r="A2606"/>
    </row>
    <row r="2607" spans="1:1" x14ac:dyDescent="0.25">
      <c r="A2607"/>
    </row>
    <row r="2608" spans="1:1" x14ac:dyDescent="0.25">
      <c r="A2608"/>
    </row>
    <row r="2609" spans="1:1" x14ac:dyDescent="0.25">
      <c r="A2609"/>
    </row>
    <row r="2610" spans="1:1" x14ac:dyDescent="0.25">
      <c r="A2610"/>
    </row>
    <row r="2611" spans="1:1" x14ac:dyDescent="0.25">
      <c r="A2611"/>
    </row>
    <row r="2612" spans="1:1" x14ac:dyDescent="0.25">
      <c r="A2612"/>
    </row>
    <row r="2613" spans="1:1" x14ac:dyDescent="0.25">
      <c r="A2613"/>
    </row>
    <row r="2614" spans="1:1" x14ac:dyDescent="0.25">
      <c r="A2614"/>
    </row>
    <row r="2615" spans="1:1" x14ac:dyDescent="0.25">
      <c r="A2615"/>
    </row>
    <row r="2616" spans="1:1" x14ac:dyDescent="0.25">
      <c r="A2616"/>
    </row>
    <row r="2617" spans="1:1" x14ac:dyDescent="0.25">
      <c r="A2617"/>
    </row>
    <row r="2618" spans="1:1" x14ac:dyDescent="0.25">
      <c r="A2618"/>
    </row>
    <row r="2619" spans="1:1" x14ac:dyDescent="0.25">
      <c r="A2619"/>
    </row>
    <row r="2620" spans="1:1" x14ac:dyDescent="0.25">
      <c r="A2620"/>
    </row>
    <row r="2621" spans="1:1" x14ac:dyDescent="0.25">
      <c r="A2621"/>
    </row>
    <row r="2622" spans="1:1" x14ac:dyDescent="0.25">
      <c r="A2622"/>
    </row>
    <row r="2623" spans="1:1" x14ac:dyDescent="0.25">
      <c r="A2623"/>
    </row>
    <row r="2624" spans="1:1" x14ac:dyDescent="0.25">
      <c r="A2624"/>
    </row>
    <row r="2625" spans="1:1" x14ac:dyDescent="0.25">
      <c r="A2625"/>
    </row>
    <row r="2626" spans="1:1" x14ac:dyDescent="0.25">
      <c r="A2626"/>
    </row>
    <row r="2627" spans="1:1" x14ac:dyDescent="0.25">
      <c r="A2627"/>
    </row>
    <row r="2628" spans="1:1" x14ac:dyDescent="0.25">
      <c r="A2628"/>
    </row>
    <row r="2629" spans="1:1" x14ac:dyDescent="0.25">
      <c r="A2629"/>
    </row>
    <row r="2630" spans="1:1" x14ac:dyDescent="0.25">
      <c r="A2630"/>
    </row>
    <row r="2631" spans="1:1" x14ac:dyDescent="0.25">
      <c r="A2631"/>
    </row>
    <row r="2632" spans="1:1" x14ac:dyDescent="0.25">
      <c r="A2632"/>
    </row>
    <row r="2633" spans="1:1" x14ac:dyDescent="0.25">
      <c r="A2633"/>
    </row>
    <row r="2634" spans="1:1" x14ac:dyDescent="0.25">
      <c r="A2634"/>
    </row>
    <row r="2635" spans="1:1" x14ac:dyDescent="0.25">
      <c r="A2635"/>
    </row>
    <row r="2636" spans="1:1" x14ac:dyDescent="0.25">
      <c r="A2636"/>
    </row>
    <row r="2637" spans="1:1" x14ac:dyDescent="0.25">
      <c r="A2637"/>
    </row>
    <row r="2638" spans="1:1" x14ac:dyDescent="0.25">
      <c r="A2638"/>
    </row>
    <row r="2639" spans="1:1" x14ac:dyDescent="0.25">
      <c r="A2639"/>
    </row>
    <row r="2640" spans="1:1" x14ac:dyDescent="0.25">
      <c r="A2640"/>
    </row>
    <row r="2641" spans="1:1" x14ac:dyDescent="0.25">
      <c r="A2641"/>
    </row>
    <row r="2642" spans="1:1" x14ac:dyDescent="0.25">
      <c r="A2642"/>
    </row>
    <row r="2643" spans="1:1" x14ac:dyDescent="0.25">
      <c r="A2643"/>
    </row>
    <row r="2644" spans="1:1" x14ac:dyDescent="0.25">
      <c r="A2644"/>
    </row>
    <row r="2645" spans="1:1" x14ac:dyDescent="0.25">
      <c r="A2645"/>
    </row>
    <row r="2646" spans="1:1" x14ac:dyDescent="0.25">
      <c r="A2646"/>
    </row>
    <row r="2647" spans="1:1" x14ac:dyDescent="0.25">
      <c r="A2647"/>
    </row>
    <row r="2648" spans="1:1" x14ac:dyDescent="0.25">
      <c r="A2648"/>
    </row>
    <row r="2649" spans="1:1" x14ac:dyDescent="0.25">
      <c r="A2649"/>
    </row>
    <row r="2650" spans="1:1" x14ac:dyDescent="0.25">
      <c r="A2650"/>
    </row>
    <row r="2651" spans="1:1" x14ac:dyDescent="0.25">
      <c r="A2651"/>
    </row>
    <row r="2652" spans="1:1" x14ac:dyDescent="0.25">
      <c r="A2652"/>
    </row>
    <row r="2653" spans="1:1" x14ac:dyDescent="0.25">
      <c r="A2653"/>
    </row>
    <row r="2654" spans="1:1" x14ac:dyDescent="0.25">
      <c r="A2654"/>
    </row>
    <row r="2655" spans="1:1" x14ac:dyDescent="0.25">
      <c r="A2655"/>
    </row>
    <row r="2656" spans="1:1" x14ac:dyDescent="0.25">
      <c r="A2656"/>
    </row>
    <row r="2657" spans="1:1" x14ac:dyDescent="0.25">
      <c r="A2657"/>
    </row>
    <row r="2658" spans="1:1" x14ac:dyDescent="0.25">
      <c r="A2658"/>
    </row>
    <row r="2659" spans="1:1" x14ac:dyDescent="0.25">
      <c r="A2659"/>
    </row>
    <row r="2660" spans="1:1" x14ac:dyDescent="0.25">
      <c r="A2660"/>
    </row>
    <row r="2661" spans="1:1" x14ac:dyDescent="0.25">
      <c r="A2661"/>
    </row>
    <row r="2662" spans="1:1" x14ac:dyDescent="0.25">
      <c r="A2662"/>
    </row>
    <row r="2663" spans="1:1" x14ac:dyDescent="0.25">
      <c r="A2663"/>
    </row>
    <row r="2664" spans="1:1" x14ac:dyDescent="0.25">
      <c r="A2664"/>
    </row>
    <row r="2665" spans="1:1" x14ac:dyDescent="0.25">
      <c r="A2665"/>
    </row>
    <row r="2666" spans="1:1" x14ac:dyDescent="0.25">
      <c r="A2666"/>
    </row>
    <row r="2667" spans="1:1" x14ac:dyDescent="0.25">
      <c r="A2667"/>
    </row>
    <row r="2668" spans="1:1" x14ac:dyDescent="0.25">
      <c r="A2668"/>
    </row>
    <row r="2669" spans="1:1" x14ac:dyDescent="0.25">
      <c r="A2669"/>
    </row>
    <row r="2670" spans="1:1" x14ac:dyDescent="0.25">
      <c r="A2670"/>
    </row>
    <row r="2671" spans="1:1" x14ac:dyDescent="0.25">
      <c r="A2671"/>
    </row>
    <row r="2672" spans="1:1" x14ac:dyDescent="0.25">
      <c r="A2672"/>
    </row>
    <row r="2673" spans="1:1" x14ac:dyDescent="0.25">
      <c r="A2673"/>
    </row>
    <row r="2674" spans="1:1" x14ac:dyDescent="0.25">
      <c r="A2674"/>
    </row>
    <row r="2675" spans="1:1" x14ac:dyDescent="0.25">
      <c r="A2675"/>
    </row>
    <row r="2676" spans="1:1" x14ac:dyDescent="0.25">
      <c r="A2676"/>
    </row>
    <row r="2677" spans="1:1" x14ac:dyDescent="0.25">
      <c r="A2677"/>
    </row>
    <row r="2678" spans="1:1" x14ac:dyDescent="0.25">
      <c r="A2678"/>
    </row>
    <row r="2679" spans="1:1" x14ac:dyDescent="0.25">
      <c r="A2679"/>
    </row>
    <row r="2680" spans="1:1" x14ac:dyDescent="0.25">
      <c r="A2680"/>
    </row>
    <row r="2681" spans="1:1" x14ac:dyDescent="0.25">
      <c r="A2681"/>
    </row>
    <row r="2682" spans="1:1" x14ac:dyDescent="0.25">
      <c r="A2682"/>
    </row>
    <row r="2683" spans="1:1" x14ac:dyDescent="0.25">
      <c r="A2683"/>
    </row>
    <row r="2684" spans="1:1" x14ac:dyDescent="0.25">
      <c r="A2684"/>
    </row>
    <row r="2685" spans="1:1" x14ac:dyDescent="0.25">
      <c r="A2685"/>
    </row>
    <row r="2686" spans="1:1" x14ac:dyDescent="0.25">
      <c r="A2686"/>
    </row>
    <row r="2687" spans="1:1" x14ac:dyDescent="0.25">
      <c r="A2687"/>
    </row>
    <row r="2688" spans="1:1" x14ac:dyDescent="0.25">
      <c r="A2688"/>
    </row>
    <row r="2689" spans="1:1" x14ac:dyDescent="0.25">
      <c r="A2689"/>
    </row>
    <row r="2690" spans="1:1" x14ac:dyDescent="0.25">
      <c r="A2690"/>
    </row>
    <row r="2691" spans="1:1" x14ac:dyDescent="0.25">
      <c r="A2691"/>
    </row>
    <row r="2692" spans="1:1" x14ac:dyDescent="0.25">
      <c r="A2692"/>
    </row>
    <row r="2693" spans="1:1" x14ac:dyDescent="0.25">
      <c r="A2693"/>
    </row>
    <row r="2694" spans="1:1" x14ac:dyDescent="0.25">
      <c r="A2694"/>
    </row>
    <row r="2695" spans="1:1" x14ac:dyDescent="0.25">
      <c r="A2695"/>
    </row>
    <row r="2696" spans="1:1" x14ac:dyDescent="0.25">
      <c r="A2696"/>
    </row>
    <row r="2697" spans="1:1" x14ac:dyDescent="0.25">
      <c r="A2697"/>
    </row>
    <row r="2698" spans="1:1" x14ac:dyDescent="0.25">
      <c r="A2698"/>
    </row>
    <row r="2699" spans="1:1" x14ac:dyDescent="0.25">
      <c r="A2699"/>
    </row>
    <row r="2700" spans="1:1" x14ac:dyDescent="0.25">
      <c r="A2700"/>
    </row>
    <row r="2701" spans="1:1" x14ac:dyDescent="0.25">
      <c r="A2701"/>
    </row>
    <row r="2702" spans="1:1" x14ac:dyDescent="0.25">
      <c r="A2702"/>
    </row>
    <row r="2703" spans="1:1" x14ac:dyDescent="0.25">
      <c r="A2703"/>
    </row>
    <row r="2704" spans="1:1" x14ac:dyDescent="0.25">
      <c r="A2704"/>
    </row>
    <row r="2705" spans="1:1" x14ac:dyDescent="0.25">
      <c r="A2705"/>
    </row>
    <row r="2706" spans="1:1" x14ac:dyDescent="0.25">
      <c r="A2706"/>
    </row>
    <row r="2707" spans="1:1" x14ac:dyDescent="0.25">
      <c r="A2707"/>
    </row>
    <row r="2708" spans="1:1" x14ac:dyDescent="0.25">
      <c r="A2708"/>
    </row>
    <row r="2709" spans="1:1" x14ac:dyDescent="0.25">
      <c r="A2709"/>
    </row>
    <row r="2710" spans="1:1" x14ac:dyDescent="0.25">
      <c r="A2710"/>
    </row>
    <row r="2711" spans="1:1" x14ac:dyDescent="0.25">
      <c r="A2711"/>
    </row>
    <row r="2712" spans="1:1" x14ac:dyDescent="0.25">
      <c r="A2712"/>
    </row>
    <row r="2713" spans="1:1" x14ac:dyDescent="0.25">
      <c r="A2713"/>
    </row>
    <row r="2714" spans="1:1" x14ac:dyDescent="0.25">
      <c r="A2714"/>
    </row>
    <row r="2715" spans="1:1" x14ac:dyDescent="0.25">
      <c r="A2715"/>
    </row>
    <row r="2716" spans="1:1" x14ac:dyDescent="0.25">
      <c r="A2716"/>
    </row>
    <row r="2717" spans="1:1" x14ac:dyDescent="0.25">
      <c r="A2717"/>
    </row>
    <row r="2718" spans="1:1" x14ac:dyDescent="0.25">
      <c r="A2718"/>
    </row>
    <row r="2719" spans="1:1" x14ac:dyDescent="0.25">
      <c r="A2719"/>
    </row>
    <row r="2720" spans="1:1" x14ac:dyDescent="0.25">
      <c r="A2720"/>
    </row>
    <row r="2721" spans="1:1" x14ac:dyDescent="0.25">
      <c r="A2721"/>
    </row>
    <row r="2722" spans="1:1" x14ac:dyDescent="0.25">
      <c r="A2722"/>
    </row>
    <row r="2723" spans="1:1" x14ac:dyDescent="0.25">
      <c r="A2723"/>
    </row>
    <row r="2724" spans="1:1" x14ac:dyDescent="0.25">
      <c r="A2724"/>
    </row>
    <row r="2725" spans="1:1" x14ac:dyDescent="0.25">
      <c r="A2725"/>
    </row>
    <row r="2726" spans="1:1" x14ac:dyDescent="0.25">
      <c r="A2726"/>
    </row>
    <row r="2727" spans="1:1" x14ac:dyDescent="0.25">
      <c r="A2727"/>
    </row>
    <row r="2728" spans="1:1" x14ac:dyDescent="0.25">
      <c r="A2728"/>
    </row>
    <row r="2729" spans="1:1" x14ac:dyDescent="0.25">
      <c r="A2729"/>
    </row>
    <row r="2730" spans="1:1" x14ac:dyDescent="0.25">
      <c r="A2730"/>
    </row>
    <row r="2731" spans="1:1" x14ac:dyDescent="0.25">
      <c r="A2731"/>
    </row>
    <row r="2732" spans="1:1" x14ac:dyDescent="0.25">
      <c r="A2732"/>
    </row>
    <row r="2733" spans="1:1" x14ac:dyDescent="0.25">
      <c r="A2733"/>
    </row>
    <row r="2734" spans="1:1" x14ac:dyDescent="0.25">
      <c r="A2734"/>
    </row>
    <row r="2735" spans="1:1" x14ac:dyDescent="0.25">
      <c r="A2735"/>
    </row>
    <row r="2736" spans="1:1" x14ac:dyDescent="0.25">
      <c r="A2736"/>
    </row>
    <row r="2737" spans="1:1" x14ac:dyDescent="0.25">
      <c r="A2737"/>
    </row>
    <row r="2738" spans="1:1" x14ac:dyDescent="0.25">
      <c r="A2738"/>
    </row>
    <row r="2739" spans="1:1" x14ac:dyDescent="0.25">
      <c r="A2739"/>
    </row>
    <row r="2740" spans="1:1" x14ac:dyDescent="0.25">
      <c r="A2740"/>
    </row>
    <row r="2741" spans="1:1" x14ac:dyDescent="0.25">
      <c r="A2741"/>
    </row>
    <row r="2742" spans="1:1" x14ac:dyDescent="0.25">
      <c r="A2742"/>
    </row>
    <row r="2743" spans="1:1" x14ac:dyDescent="0.25">
      <c r="A2743"/>
    </row>
    <row r="2744" spans="1:1" x14ac:dyDescent="0.25">
      <c r="A2744"/>
    </row>
    <row r="2745" spans="1:1" x14ac:dyDescent="0.25">
      <c r="A2745"/>
    </row>
    <row r="2746" spans="1:1" x14ac:dyDescent="0.25">
      <c r="A2746"/>
    </row>
    <row r="2747" spans="1:1" x14ac:dyDescent="0.25">
      <c r="A2747"/>
    </row>
    <row r="2748" spans="1:1" x14ac:dyDescent="0.25">
      <c r="A2748"/>
    </row>
    <row r="2749" spans="1:1" x14ac:dyDescent="0.25">
      <c r="A2749"/>
    </row>
    <row r="2750" spans="1:1" x14ac:dyDescent="0.25">
      <c r="A2750"/>
    </row>
    <row r="2751" spans="1:1" x14ac:dyDescent="0.25">
      <c r="A2751"/>
    </row>
    <row r="2752" spans="1:1" x14ac:dyDescent="0.25">
      <c r="A2752"/>
    </row>
    <row r="2753" spans="1:1" x14ac:dyDescent="0.25">
      <c r="A2753"/>
    </row>
    <row r="2754" spans="1:1" x14ac:dyDescent="0.25">
      <c r="A2754"/>
    </row>
    <row r="2755" spans="1:1" x14ac:dyDescent="0.25">
      <c r="A2755"/>
    </row>
    <row r="2756" spans="1:1" x14ac:dyDescent="0.25">
      <c r="A2756"/>
    </row>
    <row r="2757" spans="1:1" x14ac:dyDescent="0.25">
      <c r="A2757"/>
    </row>
    <row r="2758" spans="1:1" x14ac:dyDescent="0.25">
      <c r="A2758"/>
    </row>
    <row r="2759" spans="1:1" x14ac:dyDescent="0.25">
      <c r="A2759"/>
    </row>
    <row r="2760" spans="1:1" x14ac:dyDescent="0.25">
      <c r="A2760"/>
    </row>
    <row r="2761" spans="1:1" x14ac:dyDescent="0.25">
      <c r="A2761"/>
    </row>
    <row r="2762" spans="1:1" x14ac:dyDescent="0.25">
      <c r="A2762"/>
    </row>
    <row r="2763" spans="1:1" x14ac:dyDescent="0.25">
      <c r="A2763"/>
    </row>
    <row r="2764" spans="1:1" x14ac:dyDescent="0.25">
      <c r="A2764"/>
    </row>
    <row r="2765" spans="1:1" x14ac:dyDescent="0.25">
      <c r="A2765"/>
    </row>
    <row r="2766" spans="1:1" x14ac:dyDescent="0.25">
      <c r="A2766"/>
    </row>
    <row r="2767" spans="1:1" x14ac:dyDescent="0.25">
      <c r="A2767"/>
    </row>
    <row r="2768" spans="1:1" x14ac:dyDescent="0.25">
      <c r="A2768"/>
    </row>
    <row r="2769" spans="1:1" x14ac:dyDescent="0.25">
      <c r="A2769"/>
    </row>
    <row r="2770" spans="1:1" x14ac:dyDescent="0.25">
      <c r="A2770"/>
    </row>
    <row r="2771" spans="1:1" x14ac:dyDescent="0.25">
      <c r="A2771"/>
    </row>
    <row r="2772" spans="1:1" x14ac:dyDescent="0.25">
      <c r="A2772"/>
    </row>
    <row r="2773" spans="1:1" x14ac:dyDescent="0.25">
      <c r="A2773"/>
    </row>
    <row r="2774" spans="1:1" x14ac:dyDescent="0.25">
      <c r="A2774"/>
    </row>
    <row r="2775" spans="1:1" x14ac:dyDescent="0.25">
      <c r="A2775"/>
    </row>
    <row r="2776" spans="1:1" x14ac:dyDescent="0.25">
      <c r="A2776"/>
    </row>
    <row r="2777" spans="1:1" x14ac:dyDescent="0.25">
      <c r="A2777"/>
    </row>
    <row r="2778" spans="1:1" x14ac:dyDescent="0.25">
      <c r="A2778"/>
    </row>
    <row r="2779" spans="1:1" x14ac:dyDescent="0.25">
      <c r="A2779"/>
    </row>
    <row r="2780" spans="1:1" x14ac:dyDescent="0.25">
      <c r="A2780"/>
    </row>
    <row r="2781" spans="1:1" x14ac:dyDescent="0.25">
      <c r="A2781"/>
    </row>
    <row r="2782" spans="1:1" x14ac:dyDescent="0.25">
      <c r="A2782"/>
    </row>
    <row r="2783" spans="1:1" x14ac:dyDescent="0.25">
      <c r="A2783"/>
    </row>
    <row r="2784" spans="1:1" x14ac:dyDescent="0.25">
      <c r="A2784"/>
    </row>
    <row r="2785" spans="1:1" x14ac:dyDescent="0.25">
      <c r="A2785"/>
    </row>
    <row r="2786" spans="1:1" x14ac:dyDescent="0.25">
      <c r="A2786"/>
    </row>
    <row r="2787" spans="1:1" x14ac:dyDescent="0.25">
      <c r="A2787"/>
    </row>
    <row r="2788" spans="1:1" x14ac:dyDescent="0.25">
      <c r="A2788"/>
    </row>
    <row r="2789" spans="1:1" x14ac:dyDescent="0.25">
      <c r="A2789"/>
    </row>
    <row r="2790" spans="1:1" x14ac:dyDescent="0.25">
      <c r="A2790"/>
    </row>
    <row r="2791" spans="1:1" x14ac:dyDescent="0.25">
      <c r="A2791"/>
    </row>
    <row r="2792" spans="1:1" x14ac:dyDescent="0.25">
      <c r="A2792"/>
    </row>
    <row r="2793" spans="1:1" x14ac:dyDescent="0.25">
      <c r="A2793"/>
    </row>
    <row r="2794" spans="1:1" x14ac:dyDescent="0.25">
      <c r="A2794"/>
    </row>
    <row r="2795" spans="1:1" x14ac:dyDescent="0.25">
      <c r="A2795"/>
    </row>
    <row r="2796" spans="1:1" x14ac:dyDescent="0.25">
      <c r="A2796"/>
    </row>
    <row r="2797" spans="1:1" x14ac:dyDescent="0.25">
      <c r="A2797"/>
    </row>
    <row r="2798" spans="1:1" x14ac:dyDescent="0.25">
      <c r="A2798"/>
    </row>
    <row r="2799" spans="1:1" x14ac:dyDescent="0.25">
      <c r="A2799"/>
    </row>
    <row r="2800" spans="1:1" x14ac:dyDescent="0.25">
      <c r="A2800"/>
    </row>
    <row r="2801" spans="1:1" x14ac:dyDescent="0.25">
      <c r="A2801"/>
    </row>
    <row r="2802" spans="1:1" x14ac:dyDescent="0.25">
      <c r="A2802"/>
    </row>
    <row r="2803" spans="1:1" x14ac:dyDescent="0.25">
      <c r="A2803"/>
    </row>
    <row r="2804" spans="1:1" x14ac:dyDescent="0.25">
      <c r="A2804"/>
    </row>
    <row r="2805" spans="1:1" x14ac:dyDescent="0.25">
      <c r="A2805"/>
    </row>
    <row r="2806" spans="1:1" x14ac:dyDescent="0.25">
      <c r="A2806"/>
    </row>
    <row r="2807" spans="1:1" x14ac:dyDescent="0.25">
      <c r="A2807"/>
    </row>
    <row r="2808" spans="1:1" x14ac:dyDescent="0.25">
      <c r="A2808"/>
    </row>
    <row r="2809" spans="1:1" x14ac:dyDescent="0.25">
      <c r="A2809"/>
    </row>
    <row r="2810" spans="1:1" x14ac:dyDescent="0.25">
      <c r="A2810"/>
    </row>
    <row r="2811" spans="1:1" x14ac:dyDescent="0.25">
      <c r="A2811"/>
    </row>
    <row r="2812" spans="1:1" x14ac:dyDescent="0.25">
      <c r="A2812"/>
    </row>
    <row r="2813" spans="1:1" x14ac:dyDescent="0.25">
      <c r="A2813"/>
    </row>
    <row r="2814" spans="1:1" x14ac:dyDescent="0.25">
      <c r="A2814"/>
    </row>
    <row r="2815" spans="1:1" x14ac:dyDescent="0.25">
      <c r="A2815"/>
    </row>
    <row r="2816" spans="1:1" x14ac:dyDescent="0.25">
      <c r="A2816"/>
    </row>
    <row r="2817" spans="1:1" x14ac:dyDescent="0.25">
      <c r="A2817"/>
    </row>
    <row r="2818" spans="1:1" x14ac:dyDescent="0.25">
      <c r="A2818"/>
    </row>
    <row r="2819" spans="1:1" x14ac:dyDescent="0.25">
      <c r="A2819"/>
    </row>
    <row r="2820" spans="1:1" x14ac:dyDescent="0.25">
      <c r="A2820"/>
    </row>
    <row r="2821" spans="1:1" x14ac:dyDescent="0.25">
      <c r="A2821"/>
    </row>
    <row r="2822" spans="1:1" x14ac:dyDescent="0.25">
      <c r="A2822"/>
    </row>
    <row r="2823" spans="1:1" x14ac:dyDescent="0.25">
      <c r="A2823"/>
    </row>
    <row r="2824" spans="1:1" x14ac:dyDescent="0.25">
      <c r="A2824"/>
    </row>
    <row r="2825" spans="1:1" x14ac:dyDescent="0.25">
      <c r="A2825"/>
    </row>
    <row r="2826" spans="1:1" x14ac:dyDescent="0.25">
      <c r="A2826"/>
    </row>
    <row r="2827" spans="1:1" x14ac:dyDescent="0.25">
      <c r="A2827"/>
    </row>
    <row r="2828" spans="1:1" x14ac:dyDescent="0.25">
      <c r="A2828"/>
    </row>
    <row r="2829" spans="1:1" x14ac:dyDescent="0.25">
      <c r="A2829"/>
    </row>
    <row r="2830" spans="1:1" x14ac:dyDescent="0.25">
      <c r="A2830"/>
    </row>
    <row r="2831" spans="1:1" x14ac:dyDescent="0.25">
      <c r="A2831"/>
    </row>
    <row r="2832" spans="1:1" x14ac:dyDescent="0.25">
      <c r="A2832"/>
    </row>
    <row r="2833" spans="1:1" x14ac:dyDescent="0.25">
      <c r="A2833"/>
    </row>
    <row r="2834" spans="1:1" x14ac:dyDescent="0.25">
      <c r="A2834"/>
    </row>
    <row r="2835" spans="1:1" x14ac:dyDescent="0.25">
      <c r="A2835"/>
    </row>
    <row r="2836" spans="1:1" x14ac:dyDescent="0.25">
      <c r="A2836"/>
    </row>
    <row r="2837" spans="1:1" x14ac:dyDescent="0.25">
      <c r="A2837"/>
    </row>
    <row r="2838" spans="1:1" x14ac:dyDescent="0.25">
      <c r="A2838"/>
    </row>
    <row r="2839" spans="1:1" x14ac:dyDescent="0.25">
      <c r="A2839"/>
    </row>
    <row r="2840" spans="1:1" x14ac:dyDescent="0.25">
      <c r="A2840"/>
    </row>
    <row r="2841" spans="1:1" x14ac:dyDescent="0.25">
      <c r="A2841"/>
    </row>
    <row r="2842" spans="1:1" x14ac:dyDescent="0.25">
      <c r="A2842"/>
    </row>
    <row r="2843" spans="1:1" x14ac:dyDescent="0.25">
      <c r="A2843"/>
    </row>
    <row r="2844" spans="1:1" x14ac:dyDescent="0.25">
      <c r="A2844"/>
    </row>
    <row r="2845" spans="1:1" x14ac:dyDescent="0.25">
      <c r="A2845"/>
    </row>
    <row r="2846" spans="1:1" x14ac:dyDescent="0.25">
      <c r="A2846"/>
    </row>
    <row r="2847" spans="1:1" x14ac:dyDescent="0.25">
      <c r="A2847"/>
    </row>
    <row r="2848" spans="1:1" x14ac:dyDescent="0.25">
      <c r="A2848"/>
    </row>
    <row r="2849" spans="1:1" x14ac:dyDescent="0.25">
      <c r="A2849"/>
    </row>
    <row r="2850" spans="1:1" x14ac:dyDescent="0.25">
      <c r="A2850"/>
    </row>
    <row r="2851" spans="1:1" x14ac:dyDescent="0.25">
      <c r="A2851"/>
    </row>
    <row r="2852" spans="1:1" x14ac:dyDescent="0.25">
      <c r="A2852"/>
    </row>
    <row r="2853" spans="1:1" x14ac:dyDescent="0.25">
      <c r="A2853"/>
    </row>
    <row r="2854" spans="1:1" x14ac:dyDescent="0.25">
      <c r="A2854"/>
    </row>
    <row r="2855" spans="1:1" x14ac:dyDescent="0.25">
      <c r="A2855"/>
    </row>
    <row r="2856" spans="1:1" x14ac:dyDescent="0.25">
      <c r="A2856"/>
    </row>
    <row r="2857" spans="1:1" x14ac:dyDescent="0.25">
      <c r="A2857"/>
    </row>
    <row r="2858" spans="1:1" x14ac:dyDescent="0.25">
      <c r="A2858"/>
    </row>
    <row r="2859" spans="1:1" x14ac:dyDescent="0.25">
      <c r="A2859"/>
    </row>
    <row r="2860" spans="1:1" x14ac:dyDescent="0.25">
      <c r="A2860"/>
    </row>
    <row r="2861" spans="1:1" x14ac:dyDescent="0.25">
      <c r="A2861"/>
    </row>
    <row r="2862" spans="1:1" x14ac:dyDescent="0.25">
      <c r="A2862"/>
    </row>
    <row r="2863" spans="1:1" x14ac:dyDescent="0.25">
      <c r="A2863"/>
    </row>
    <row r="2864" spans="1:1" x14ac:dyDescent="0.25">
      <c r="A2864"/>
    </row>
    <row r="2865" spans="1:1" x14ac:dyDescent="0.25">
      <c r="A2865"/>
    </row>
    <row r="2866" spans="1:1" x14ac:dyDescent="0.25">
      <c r="A2866"/>
    </row>
    <row r="2867" spans="1:1" x14ac:dyDescent="0.25">
      <c r="A2867"/>
    </row>
    <row r="2868" spans="1:1" x14ac:dyDescent="0.25">
      <c r="A2868"/>
    </row>
    <row r="2869" spans="1:1" x14ac:dyDescent="0.25">
      <c r="A2869"/>
    </row>
    <row r="2870" spans="1:1" x14ac:dyDescent="0.25">
      <c r="A2870"/>
    </row>
    <row r="2871" spans="1:1" x14ac:dyDescent="0.25">
      <c r="A2871"/>
    </row>
    <row r="2872" spans="1:1" x14ac:dyDescent="0.25">
      <c r="A2872"/>
    </row>
    <row r="2873" spans="1:1" x14ac:dyDescent="0.25">
      <c r="A2873"/>
    </row>
    <row r="2874" spans="1:1" x14ac:dyDescent="0.25">
      <c r="A2874"/>
    </row>
    <row r="2875" spans="1:1" x14ac:dyDescent="0.25">
      <c r="A2875"/>
    </row>
    <row r="2876" spans="1:1" x14ac:dyDescent="0.25">
      <c r="A2876"/>
    </row>
    <row r="2877" spans="1:1" x14ac:dyDescent="0.25">
      <c r="A2877"/>
    </row>
    <row r="2878" spans="1:1" x14ac:dyDescent="0.25">
      <c r="A2878"/>
    </row>
    <row r="2879" spans="1:1" x14ac:dyDescent="0.25">
      <c r="A2879"/>
    </row>
    <row r="2880" spans="1:1" x14ac:dyDescent="0.25">
      <c r="A2880"/>
    </row>
    <row r="2881" spans="1:1" x14ac:dyDescent="0.25">
      <c r="A2881"/>
    </row>
    <row r="2882" spans="1:1" x14ac:dyDescent="0.25">
      <c r="A2882"/>
    </row>
    <row r="2883" spans="1:1" x14ac:dyDescent="0.25">
      <c r="A2883"/>
    </row>
    <row r="2884" spans="1:1" x14ac:dyDescent="0.25">
      <c r="A2884"/>
    </row>
    <row r="2885" spans="1:1" x14ac:dyDescent="0.25">
      <c r="A2885"/>
    </row>
    <row r="2886" spans="1:1" x14ac:dyDescent="0.25">
      <c r="A2886"/>
    </row>
    <row r="2887" spans="1:1" x14ac:dyDescent="0.25">
      <c r="A2887"/>
    </row>
    <row r="2888" spans="1:1" x14ac:dyDescent="0.25">
      <c r="A2888"/>
    </row>
    <row r="2889" spans="1:1" x14ac:dyDescent="0.25">
      <c r="A2889"/>
    </row>
    <row r="2890" spans="1:1" x14ac:dyDescent="0.25">
      <c r="A2890"/>
    </row>
    <row r="2891" spans="1:1" x14ac:dyDescent="0.25">
      <c r="A2891"/>
    </row>
    <row r="2892" spans="1:1" x14ac:dyDescent="0.25">
      <c r="A2892"/>
    </row>
    <row r="2893" spans="1:1" x14ac:dyDescent="0.25">
      <c r="A2893"/>
    </row>
    <row r="2894" spans="1:1" x14ac:dyDescent="0.25">
      <c r="A2894"/>
    </row>
    <row r="2895" spans="1:1" x14ac:dyDescent="0.25">
      <c r="A2895"/>
    </row>
    <row r="2896" spans="1:1" x14ac:dyDescent="0.25">
      <c r="A2896"/>
    </row>
    <row r="2897" spans="1:1" x14ac:dyDescent="0.25">
      <c r="A2897"/>
    </row>
    <row r="2898" spans="1:1" x14ac:dyDescent="0.25">
      <c r="A2898"/>
    </row>
    <row r="2899" spans="1:1" x14ac:dyDescent="0.25">
      <c r="A2899"/>
    </row>
    <row r="2900" spans="1:1" x14ac:dyDescent="0.25">
      <c r="A2900"/>
    </row>
    <row r="2901" spans="1:1" x14ac:dyDescent="0.25">
      <c r="A2901"/>
    </row>
    <row r="2902" spans="1:1" x14ac:dyDescent="0.25">
      <c r="A2902"/>
    </row>
    <row r="2903" spans="1:1" x14ac:dyDescent="0.25">
      <c r="A2903"/>
    </row>
    <row r="2904" spans="1:1" x14ac:dyDescent="0.25">
      <c r="A2904"/>
    </row>
    <row r="2905" spans="1:1" x14ac:dyDescent="0.25">
      <c r="A2905"/>
    </row>
    <row r="2906" spans="1:1" x14ac:dyDescent="0.25">
      <c r="A2906"/>
    </row>
    <row r="2907" spans="1:1" x14ac:dyDescent="0.25">
      <c r="A2907"/>
    </row>
    <row r="2908" spans="1:1" x14ac:dyDescent="0.25">
      <c r="A2908"/>
    </row>
    <row r="2909" spans="1:1" x14ac:dyDescent="0.25">
      <c r="A2909"/>
    </row>
    <row r="2910" spans="1:1" x14ac:dyDescent="0.25">
      <c r="A2910"/>
    </row>
    <row r="2911" spans="1:1" x14ac:dyDescent="0.25">
      <c r="A2911"/>
    </row>
    <row r="2912" spans="1:1" x14ac:dyDescent="0.25">
      <c r="A2912"/>
    </row>
    <row r="2913" spans="1:1" x14ac:dyDescent="0.25">
      <c r="A2913"/>
    </row>
    <row r="2914" spans="1:1" x14ac:dyDescent="0.25">
      <c r="A2914"/>
    </row>
    <row r="2915" spans="1:1" x14ac:dyDescent="0.25">
      <c r="A2915"/>
    </row>
    <row r="2916" spans="1:1" x14ac:dyDescent="0.25">
      <c r="A2916"/>
    </row>
    <row r="2917" spans="1:1" x14ac:dyDescent="0.25">
      <c r="A2917"/>
    </row>
    <row r="2918" spans="1:1" x14ac:dyDescent="0.25">
      <c r="A2918"/>
    </row>
    <row r="2919" spans="1:1" x14ac:dyDescent="0.25">
      <c r="A2919"/>
    </row>
    <row r="2920" spans="1:1" x14ac:dyDescent="0.25">
      <c r="A2920"/>
    </row>
    <row r="2921" spans="1:1" x14ac:dyDescent="0.25">
      <c r="A2921"/>
    </row>
    <row r="2922" spans="1:1" x14ac:dyDescent="0.25">
      <c r="A2922"/>
    </row>
    <row r="2923" spans="1:1" x14ac:dyDescent="0.25">
      <c r="A2923"/>
    </row>
    <row r="2924" spans="1:1" x14ac:dyDescent="0.25">
      <c r="A2924"/>
    </row>
    <row r="2925" spans="1:1" x14ac:dyDescent="0.25">
      <c r="A2925"/>
    </row>
    <row r="2926" spans="1:1" x14ac:dyDescent="0.25">
      <c r="A2926"/>
    </row>
    <row r="2927" spans="1:1" x14ac:dyDescent="0.25">
      <c r="A2927"/>
    </row>
    <row r="2928" spans="1:1" x14ac:dyDescent="0.25">
      <c r="A2928"/>
    </row>
    <row r="2929" spans="1:1" x14ac:dyDescent="0.25">
      <c r="A2929"/>
    </row>
    <row r="2930" spans="1:1" x14ac:dyDescent="0.25">
      <c r="A2930"/>
    </row>
    <row r="2931" spans="1:1" x14ac:dyDescent="0.25">
      <c r="A2931"/>
    </row>
    <row r="2932" spans="1:1" x14ac:dyDescent="0.25">
      <c r="A2932"/>
    </row>
    <row r="2933" spans="1:1" x14ac:dyDescent="0.25">
      <c r="A2933"/>
    </row>
    <row r="2934" spans="1:1" x14ac:dyDescent="0.25">
      <c r="A2934"/>
    </row>
    <row r="2935" spans="1:1" x14ac:dyDescent="0.25">
      <c r="A2935"/>
    </row>
    <row r="2936" spans="1:1" x14ac:dyDescent="0.25">
      <c r="A2936"/>
    </row>
    <row r="2937" spans="1:1" x14ac:dyDescent="0.25">
      <c r="A2937"/>
    </row>
    <row r="2938" spans="1:1" x14ac:dyDescent="0.25">
      <c r="A2938"/>
    </row>
    <row r="2939" spans="1:1" x14ac:dyDescent="0.25">
      <c r="A2939"/>
    </row>
    <row r="2940" spans="1:1" x14ac:dyDescent="0.25">
      <c r="A2940"/>
    </row>
    <row r="2941" spans="1:1" x14ac:dyDescent="0.25">
      <c r="A2941"/>
    </row>
    <row r="2942" spans="1:1" x14ac:dyDescent="0.25">
      <c r="A2942"/>
    </row>
    <row r="2943" spans="1:1" x14ac:dyDescent="0.25">
      <c r="A2943"/>
    </row>
    <row r="2944" spans="1:1" x14ac:dyDescent="0.25">
      <c r="A2944"/>
    </row>
    <row r="2945" spans="1:1" x14ac:dyDescent="0.25">
      <c r="A2945"/>
    </row>
    <row r="2946" spans="1:1" x14ac:dyDescent="0.25">
      <c r="A2946"/>
    </row>
    <row r="2947" spans="1:1" x14ac:dyDescent="0.25">
      <c r="A2947"/>
    </row>
    <row r="2948" spans="1:1" x14ac:dyDescent="0.25">
      <c r="A2948"/>
    </row>
    <row r="2949" spans="1:1" x14ac:dyDescent="0.25">
      <c r="A2949"/>
    </row>
    <row r="2950" spans="1:1" x14ac:dyDescent="0.25">
      <c r="A2950"/>
    </row>
    <row r="2951" spans="1:1" x14ac:dyDescent="0.25">
      <c r="A2951"/>
    </row>
    <row r="2952" spans="1:1" x14ac:dyDescent="0.25">
      <c r="A2952"/>
    </row>
    <row r="2953" spans="1:1" x14ac:dyDescent="0.25">
      <c r="A2953"/>
    </row>
    <row r="2954" spans="1:1" x14ac:dyDescent="0.25">
      <c r="A2954"/>
    </row>
    <row r="2955" spans="1:1" x14ac:dyDescent="0.25">
      <c r="A2955"/>
    </row>
    <row r="2956" spans="1:1" x14ac:dyDescent="0.25">
      <c r="A2956"/>
    </row>
    <row r="2957" spans="1:1" x14ac:dyDescent="0.25">
      <c r="A2957"/>
    </row>
    <row r="2958" spans="1:1" x14ac:dyDescent="0.25">
      <c r="A2958"/>
    </row>
    <row r="2959" spans="1:1" x14ac:dyDescent="0.25">
      <c r="A2959"/>
    </row>
    <row r="2960" spans="1:1" x14ac:dyDescent="0.25">
      <c r="A2960"/>
    </row>
    <row r="2961" spans="1:1" x14ac:dyDescent="0.25">
      <c r="A2961"/>
    </row>
    <row r="2962" spans="1:1" x14ac:dyDescent="0.25">
      <c r="A2962"/>
    </row>
    <row r="2963" spans="1:1" x14ac:dyDescent="0.25">
      <c r="A2963"/>
    </row>
    <row r="2964" spans="1:1" x14ac:dyDescent="0.25">
      <c r="A2964"/>
    </row>
    <row r="2965" spans="1:1" x14ac:dyDescent="0.25">
      <c r="A2965"/>
    </row>
    <row r="2966" spans="1:1" x14ac:dyDescent="0.25">
      <c r="A2966"/>
    </row>
    <row r="2967" spans="1:1" x14ac:dyDescent="0.25">
      <c r="A2967"/>
    </row>
    <row r="2968" spans="1:1" x14ac:dyDescent="0.25">
      <c r="A2968"/>
    </row>
    <row r="2969" spans="1:1" x14ac:dyDescent="0.25">
      <c r="A2969"/>
    </row>
    <row r="2970" spans="1:1" x14ac:dyDescent="0.25">
      <c r="A2970"/>
    </row>
    <row r="2971" spans="1:1" x14ac:dyDescent="0.25">
      <c r="A2971"/>
    </row>
    <row r="2972" spans="1:1" x14ac:dyDescent="0.25">
      <c r="A2972"/>
    </row>
    <row r="2973" spans="1:1" x14ac:dyDescent="0.25">
      <c r="A2973"/>
    </row>
    <row r="2974" spans="1:1" x14ac:dyDescent="0.25">
      <c r="A2974"/>
    </row>
    <row r="2975" spans="1:1" x14ac:dyDescent="0.25">
      <c r="A2975"/>
    </row>
    <row r="2976" spans="1:1" x14ac:dyDescent="0.25">
      <c r="A2976"/>
    </row>
    <row r="2977" spans="1:1" x14ac:dyDescent="0.25">
      <c r="A2977"/>
    </row>
    <row r="2978" spans="1:1" x14ac:dyDescent="0.25">
      <c r="A2978"/>
    </row>
    <row r="2979" spans="1:1" x14ac:dyDescent="0.25">
      <c r="A2979"/>
    </row>
    <row r="2980" spans="1:1" x14ac:dyDescent="0.25">
      <c r="A2980"/>
    </row>
    <row r="2981" spans="1:1" x14ac:dyDescent="0.25">
      <c r="A2981"/>
    </row>
    <row r="2982" spans="1:1" x14ac:dyDescent="0.25">
      <c r="A2982"/>
    </row>
    <row r="2983" spans="1:1" x14ac:dyDescent="0.25">
      <c r="A2983"/>
    </row>
    <row r="2984" spans="1:1" x14ac:dyDescent="0.25">
      <c r="A2984"/>
    </row>
    <row r="2985" spans="1:1" x14ac:dyDescent="0.25">
      <c r="A2985"/>
    </row>
    <row r="2986" spans="1:1" x14ac:dyDescent="0.25">
      <c r="A2986"/>
    </row>
    <row r="2987" spans="1:1" x14ac:dyDescent="0.25">
      <c r="A2987"/>
    </row>
    <row r="2988" spans="1:1" x14ac:dyDescent="0.25">
      <c r="A2988"/>
    </row>
    <row r="2989" spans="1:1" x14ac:dyDescent="0.25">
      <c r="A2989"/>
    </row>
    <row r="2990" spans="1:1" x14ac:dyDescent="0.25">
      <c r="A2990"/>
    </row>
    <row r="2991" spans="1:1" x14ac:dyDescent="0.25">
      <c r="A2991"/>
    </row>
    <row r="2992" spans="1:1" x14ac:dyDescent="0.25">
      <c r="A2992"/>
    </row>
    <row r="2993" spans="1:1" x14ac:dyDescent="0.25">
      <c r="A2993"/>
    </row>
    <row r="2994" spans="1:1" x14ac:dyDescent="0.25">
      <c r="A2994"/>
    </row>
    <row r="2995" spans="1:1" x14ac:dyDescent="0.25">
      <c r="A2995"/>
    </row>
    <row r="2996" spans="1:1" x14ac:dyDescent="0.25">
      <c r="A2996"/>
    </row>
    <row r="2997" spans="1:1" x14ac:dyDescent="0.25">
      <c r="A2997"/>
    </row>
    <row r="2998" spans="1:1" x14ac:dyDescent="0.25">
      <c r="A2998"/>
    </row>
    <row r="2999" spans="1:1" x14ac:dyDescent="0.25">
      <c r="A2999"/>
    </row>
    <row r="3000" spans="1:1" x14ac:dyDescent="0.25">
      <c r="A3000"/>
    </row>
    <row r="3001" spans="1:1" x14ac:dyDescent="0.25">
      <c r="A3001"/>
    </row>
    <row r="3002" spans="1:1" x14ac:dyDescent="0.25">
      <c r="A3002"/>
    </row>
    <row r="3003" spans="1:1" x14ac:dyDescent="0.25">
      <c r="A3003"/>
    </row>
    <row r="3004" spans="1:1" x14ac:dyDescent="0.25">
      <c r="A3004"/>
    </row>
    <row r="3005" spans="1:1" x14ac:dyDescent="0.25">
      <c r="A3005"/>
    </row>
    <row r="3006" spans="1:1" x14ac:dyDescent="0.25">
      <c r="A3006"/>
    </row>
    <row r="3007" spans="1:1" x14ac:dyDescent="0.25">
      <c r="A3007"/>
    </row>
    <row r="3008" spans="1:1" x14ac:dyDescent="0.25">
      <c r="A3008"/>
    </row>
    <row r="3009" spans="1:1" x14ac:dyDescent="0.25">
      <c r="A3009"/>
    </row>
    <row r="3010" spans="1:1" x14ac:dyDescent="0.25">
      <c r="A3010"/>
    </row>
    <row r="3011" spans="1:1" x14ac:dyDescent="0.25">
      <c r="A3011"/>
    </row>
    <row r="3012" spans="1:1" x14ac:dyDescent="0.25">
      <c r="A3012"/>
    </row>
    <row r="3013" spans="1:1" x14ac:dyDescent="0.25">
      <c r="A3013"/>
    </row>
    <row r="3014" spans="1:1" x14ac:dyDescent="0.25">
      <c r="A3014"/>
    </row>
    <row r="3015" spans="1:1" x14ac:dyDescent="0.25">
      <c r="A3015"/>
    </row>
    <row r="3016" spans="1:1" x14ac:dyDescent="0.25">
      <c r="A3016"/>
    </row>
    <row r="3017" spans="1:1" x14ac:dyDescent="0.25">
      <c r="A3017"/>
    </row>
    <row r="3018" spans="1:1" x14ac:dyDescent="0.25">
      <c r="A3018"/>
    </row>
    <row r="3019" spans="1:1" x14ac:dyDescent="0.25">
      <c r="A3019"/>
    </row>
    <row r="3020" spans="1:1" x14ac:dyDescent="0.25">
      <c r="A3020"/>
    </row>
    <row r="3021" spans="1:1" x14ac:dyDescent="0.25">
      <c r="A3021"/>
    </row>
    <row r="3022" spans="1:1" x14ac:dyDescent="0.25">
      <c r="A3022"/>
    </row>
    <row r="3023" spans="1:1" x14ac:dyDescent="0.25">
      <c r="A3023"/>
    </row>
    <row r="3024" spans="1:1" x14ac:dyDescent="0.25">
      <c r="A3024"/>
    </row>
    <row r="3025" spans="1:1" x14ac:dyDescent="0.25">
      <c r="A3025"/>
    </row>
    <row r="3026" spans="1:1" x14ac:dyDescent="0.25">
      <c r="A3026"/>
    </row>
    <row r="3027" spans="1:1" x14ac:dyDescent="0.25">
      <c r="A3027"/>
    </row>
    <row r="3028" spans="1:1" x14ac:dyDescent="0.25">
      <c r="A3028"/>
    </row>
    <row r="3029" spans="1:1" x14ac:dyDescent="0.25">
      <c r="A3029"/>
    </row>
    <row r="3030" spans="1:1" x14ac:dyDescent="0.25">
      <c r="A3030"/>
    </row>
    <row r="3031" spans="1:1" x14ac:dyDescent="0.25">
      <c r="A3031"/>
    </row>
    <row r="3032" spans="1:1" x14ac:dyDescent="0.25">
      <c r="A3032"/>
    </row>
    <row r="3033" spans="1:1" x14ac:dyDescent="0.25">
      <c r="A3033"/>
    </row>
    <row r="3034" spans="1:1" x14ac:dyDescent="0.25">
      <c r="A3034"/>
    </row>
    <row r="3035" spans="1:1" x14ac:dyDescent="0.25">
      <c r="A3035"/>
    </row>
    <row r="3036" spans="1:1" x14ac:dyDescent="0.25">
      <c r="A3036"/>
    </row>
    <row r="3037" spans="1:1" x14ac:dyDescent="0.25">
      <c r="A3037"/>
    </row>
    <row r="3038" spans="1:1" x14ac:dyDescent="0.25">
      <c r="A3038"/>
    </row>
    <row r="3039" spans="1:1" x14ac:dyDescent="0.25">
      <c r="A3039"/>
    </row>
    <row r="3040" spans="1:1" x14ac:dyDescent="0.25">
      <c r="A3040"/>
    </row>
    <row r="3041" spans="1:1" x14ac:dyDescent="0.25">
      <c r="A3041"/>
    </row>
    <row r="3042" spans="1:1" x14ac:dyDescent="0.25">
      <c r="A3042"/>
    </row>
    <row r="3043" spans="1:1" x14ac:dyDescent="0.25">
      <c r="A3043"/>
    </row>
    <row r="3044" spans="1:1" x14ac:dyDescent="0.25">
      <c r="A3044"/>
    </row>
    <row r="3045" spans="1:1" x14ac:dyDescent="0.25">
      <c r="A3045"/>
    </row>
    <row r="3046" spans="1:1" x14ac:dyDescent="0.25">
      <c r="A3046"/>
    </row>
    <row r="3047" spans="1:1" x14ac:dyDescent="0.25">
      <c r="A3047"/>
    </row>
    <row r="3048" spans="1:1" x14ac:dyDescent="0.25">
      <c r="A3048"/>
    </row>
    <row r="3049" spans="1:1" x14ac:dyDescent="0.25">
      <c r="A3049"/>
    </row>
    <row r="3050" spans="1:1" x14ac:dyDescent="0.25">
      <c r="A3050"/>
    </row>
    <row r="3051" spans="1:1" x14ac:dyDescent="0.25">
      <c r="A3051"/>
    </row>
    <row r="3052" spans="1:1" x14ac:dyDescent="0.25">
      <c r="A3052"/>
    </row>
    <row r="3053" spans="1:1" x14ac:dyDescent="0.25">
      <c r="A3053"/>
    </row>
    <row r="3054" spans="1:1" x14ac:dyDescent="0.25">
      <c r="A3054"/>
    </row>
    <row r="3055" spans="1:1" x14ac:dyDescent="0.25">
      <c r="A3055"/>
    </row>
    <row r="3056" spans="1:1" x14ac:dyDescent="0.25">
      <c r="A3056"/>
    </row>
    <row r="3057" spans="1:1" x14ac:dyDescent="0.25">
      <c r="A3057"/>
    </row>
    <row r="3058" spans="1:1" x14ac:dyDescent="0.25">
      <c r="A3058"/>
    </row>
    <row r="3059" spans="1:1" x14ac:dyDescent="0.25">
      <c r="A3059"/>
    </row>
    <row r="3060" spans="1:1" x14ac:dyDescent="0.25">
      <c r="A3060"/>
    </row>
    <row r="3061" spans="1:1" x14ac:dyDescent="0.25">
      <c r="A3061"/>
    </row>
    <row r="3062" spans="1:1" x14ac:dyDescent="0.25">
      <c r="A3062"/>
    </row>
    <row r="3063" spans="1:1" x14ac:dyDescent="0.25">
      <c r="A3063"/>
    </row>
    <row r="3064" spans="1:1" x14ac:dyDescent="0.25">
      <c r="A3064"/>
    </row>
    <row r="3065" spans="1:1" x14ac:dyDescent="0.25">
      <c r="A3065"/>
    </row>
    <row r="3066" spans="1:1" x14ac:dyDescent="0.25">
      <c r="A3066"/>
    </row>
    <row r="3067" spans="1:1" x14ac:dyDescent="0.25">
      <c r="A3067"/>
    </row>
    <row r="3068" spans="1:1" x14ac:dyDescent="0.25">
      <c r="A3068"/>
    </row>
    <row r="3069" spans="1:1" x14ac:dyDescent="0.25">
      <c r="A3069"/>
    </row>
    <row r="3070" spans="1:1" x14ac:dyDescent="0.25">
      <c r="A3070"/>
    </row>
    <row r="3071" spans="1:1" x14ac:dyDescent="0.25">
      <c r="A3071"/>
    </row>
    <row r="3072" spans="1:1" x14ac:dyDescent="0.25">
      <c r="A3072"/>
    </row>
    <row r="3073" spans="1:1" x14ac:dyDescent="0.25">
      <c r="A3073"/>
    </row>
    <row r="3074" spans="1:1" x14ac:dyDescent="0.25">
      <c r="A3074"/>
    </row>
    <row r="3075" spans="1:1" x14ac:dyDescent="0.25">
      <c r="A3075"/>
    </row>
    <row r="3076" spans="1:1" x14ac:dyDescent="0.25">
      <c r="A3076"/>
    </row>
    <row r="3077" spans="1:1" x14ac:dyDescent="0.25">
      <c r="A3077"/>
    </row>
    <row r="3078" spans="1:1" x14ac:dyDescent="0.25">
      <c r="A3078"/>
    </row>
    <row r="3079" spans="1:1" x14ac:dyDescent="0.25">
      <c r="A3079"/>
    </row>
    <row r="3080" spans="1:1" x14ac:dyDescent="0.25">
      <c r="A3080"/>
    </row>
    <row r="3081" spans="1:1" x14ac:dyDescent="0.25">
      <c r="A3081"/>
    </row>
    <row r="3082" spans="1:1" x14ac:dyDescent="0.25">
      <c r="A3082"/>
    </row>
    <row r="3083" spans="1:1" x14ac:dyDescent="0.25">
      <c r="A3083"/>
    </row>
    <row r="3084" spans="1:1" x14ac:dyDescent="0.25">
      <c r="A3084"/>
    </row>
    <row r="3085" spans="1:1" x14ac:dyDescent="0.25">
      <c r="A3085"/>
    </row>
    <row r="3086" spans="1:1" x14ac:dyDescent="0.25">
      <c r="A3086"/>
    </row>
    <row r="3087" spans="1:1" x14ac:dyDescent="0.25">
      <c r="A3087"/>
    </row>
    <row r="3088" spans="1:1" x14ac:dyDescent="0.25">
      <c r="A3088"/>
    </row>
    <row r="3089" spans="1:1" x14ac:dyDescent="0.25">
      <c r="A3089"/>
    </row>
    <row r="3090" spans="1:1" x14ac:dyDescent="0.25">
      <c r="A3090"/>
    </row>
    <row r="3091" spans="1:1" x14ac:dyDescent="0.25">
      <c r="A3091"/>
    </row>
    <row r="3092" spans="1:1" x14ac:dyDescent="0.25">
      <c r="A3092"/>
    </row>
    <row r="3093" spans="1:1" x14ac:dyDescent="0.25">
      <c r="A3093"/>
    </row>
    <row r="3094" spans="1:1" x14ac:dyDescent="0.25">
      <c r="A3094"/>
    </row>
    <row r="3095" spans="1:1" x14ac:dyDescent="0.25">
      <c r="A3095"/>
    </row>
    <row r="3096" spans="1:1" x14ac:dyDescent="0.25">
      <c r="A3096"/>
    </row>
    <row r="3097" spans="1:1" x14ac:dyDescent="0.25">
      <c r="A3097"/>
    </row>
    <row r="3098" spans="1:1" x14ac:dyDescent="0.25">
      <c r="A3098"/>
    </row>
    <row r="3099" spans="1:1" x14ac:dyDescent="0.25">
      <c r="A3099"/>
    </row>
    <row r="3100" spans="1:1" x14ac:dyDescent="0.25">
      <c r="A3100"/>
    </row>
    <row r="3101" spans="1:1" x14ac:dyDescent="0.25">
      <c r="A3101"/>
    </row>
    <row r="3102" spans="1:1" x14ac:dyDescent="0.25">
      <c r="A3102"/>
    </row>
    <row r="3103" spans="1:1" x14ac:dyDescent="0.25">
      <c r="A3103"/>
    </row>
    <row r="3104" spans="1:1" x14ac:dyDescent="0.25">
      <c r="A3104"/>
    </row>
    <row r="3105" spans="1:1" x14ac:dyDescent="0.25">
      <c r="A3105"/>
    </row>
    <row r="3106" spans="1:1" x14ac:dyDescent="0.25">
      <c r="A3106"/>
    </row>
    <row r="3107" spans="1:1" x14ac:dyDescent="0.25">
      <c r="A3107"/>
    </row>
    <row r="3108" spans="1:1" x14ac:dyDescent="0.25">
      <c r="A3108"/>
    </row>
    <row r="3109" spans="1:1" x14ac:dyDescent="0.25">
      <c r="A3109"/>
    </row>
    <row r="3110" spans="1:1" x14ac:dyDescent="0.25">
      <c r="A3110"/>
    </row>
    <row r="3111" spans="1:1" x14ac:dyDescent="0.25">
      <c r="A3111"/>
    </row>
    <row r="3112" spans="1:1" x14ac:dyDescent="0.25">
      <c r="A3112"/>
    </row>
    <row r="3113" spans="1:1" x14ac:dyDescent="0.25">
      <c r="A3113"/>
    </row>
    <row r="3114" spans="1:1" x14ac:dyDescent="0.25">
      <c r="A3114"/>
    </row>
    <row r="3115" spans="1:1" x14ac:dyDescent="0.25">
      <c r="A3115"/>
    </row>
    <row r="3116" spans="1:1" x14ac:dyDescent="0.25">
      <c r="A3116"/>
    </row>
    <row r="3117" spans="1:1" x14ac:dyDescent="0.25">
      <c r="A3117"/>
    </row>
    <row r="3118" spans="1:1" x14ac:dyDescent="0.25">
      <c r="A3118"/>
    </row>
    <row r="3119" spans="1:1" x14ac:dyDescent="0.25">
      <c r="A3119"/>
    </row>
    <row r="3120" spans="1:1" x14ac:dyDescent="0.25">
      <c r="A3120"/>
    </row>
    <row r="3121" spans="1:1" x14ac:dyDescent="0.25">
      <c r="A3121"/>
    </row>
    <row r="3122" spans="1:1" x14ac:dyDescent="0.25">
      <c r="A3122"/>
    </row>
    <row r="3123" spans="1:1" x14ac:dyDescent="0.25">
      <c r="A3123"/>
    </row>
    <row r="3124" spans="1:1" x14ac:dyDescent="0.25">
      <c r="A3124"/>
    </row>
    <row r="3125" spans="1:1" x14ac:dyDescent="0.25">
      <c r="A3125"/>
    </row>
    <row r="3126" spans="1:1" x14ac:dyDescent="0.25">
      <c r="A3126"/>
    </row>
    <row r="3127" spans="1:1" x14ac:dyDescent="0.25">
      <c r="A3127"/>
    </row>
    <row r="3128" spans="1:1" x14ac:dyDescent="0.25">
      <c r="A3128"/>
    </row>
    <row r="3129" spans="1:1" x14ac:dyDescent="0.25">
      <c r="A3129"/>
    </row>
    <row r="3130" spans="1:1" x14ac:dyDescent="0.25">
      <c r="A3130"/>
    </row>
    <row r="3131" spans="1:1" x14ac:dyDescent="0.25">
      <c r="A3131"/>
    </row>
    <row r="3132" spans="1:1" x14ac:dyDescent="0.25">
      <c r="A3132"/>
    </row>
    <row r="3133" spans="1:1" x14ac:dyDescent="0.25">
      <c r="A3133"/>
    </row>
    <row r="3134" spans="1:1" x14ac:dyDescent="0.25">
      <c r="A3134"/>
    </row>
    <row r="3135" spans="1:1" x14ac:dyDescent="0.25">
      <c r="A3135"/>
    </row>
    <row r="3136" spans="1:1" x14ac:dyDescent="0.25">
      <c r="A3136"/>
    </row>
    <row r="3137" spans="1:1" x14ac:dyDescent="0.25">
      <c r="A3137"/>
    </row>
    <row r="3138" spans="1:1" x14ac:dyDescent="0.25">
      <c r="A3138"/>
    </row>
    <row r="3139" spans="1:1" x14ac:dyDescent="0.25">
      <c r="A3139"/>
    </row>
    <row r="3140" spans="1:1" x14ac:dyDescent="0.25">
      <c r="A3140"/>
    </row>
    <row r="3141" spans="1:1" x14ac:dyDescent="0.25">
      <c r="A3141"/>
    </row>
    <row r="3142" spans="1:1" x14ac:dyDescent="0.25">
      <c r="A3142"/>
    </row>
    <row r="3143" spans="1:1" x14ac:dyDescent="0.25">
      <c r="A3143"/>
    </row>
    <row r="3144" spans="1:1" x14ac:dyDescent="0.25">
      <c r="A3144"/>
    </row>
    <row r="3145" spans="1:1" x14ac:dyDescent="0.25">
      <c r="A3145"/>
    </row>
    <row r="3146" spans="1:1" x14ac:dyDescent="0.25">
      <c r="A3146"/>
    </row>
    <row r="3147" spans="1:1" x14ac:dyDescent="0.25">
      <c r="A3147"/>
    </row>
    <row r="3148" spans="1:1" x14ac:dyDescent="0.25">
      <c r="A3148"/>
    </row>
    <row r="3149" spans="1:1" x14ac:dyDescent="0.25">
      <c r="A3149"/>
    </row>
    <row r="3150" spans="1:1" x14ac:dyDescent="0.25">
      <c r="A3150"/>
    </row>
    <row r="3151" spans="1:1" x14ac:dyDescent="0.25">
      <c r="A3151"/>
    </row>
    <row r="3152" spans="1:1" x14ac:dyDescent="0.25">
      <c r="A3152"/>
    </row>
    <row r="3153" spans="1:1" x14ac:dyDescent="0.25">
      <c r="A3153"/>
    </row>
    <row r="3154" spans="1:1" x14ac:dyDescent="0.25">
      <c r="A3154"/>
    </row>
    <row r="3155" spans="1:1" x14ac:dyDescent="0.25">
      <c r="A3155"/>
    </row>
    <row r="3156" spans="1:1" x14ac:dyDescent="0.25">
      <c r="A3156"/>
    </row>
    <row r="3157" spans="1:1" x14ac:dyDescent="0.25">
      <c r="A3157"/>
    </row>
    <row r="3158" spans="1:1" x14ac:dyDescent="0.25">
      <c r="A3158"/>
    </row>
    <row r="3159" spans="1:1" x14ac:dyDescent="0.25">
      <c r="A3159"/>
    </row>
    <row r="3160" spans="1:1" x14ac:dyDescent="0.25">
      <c r="A3160"/>
    </row>
    <row r="3161" spans="1:1" x14ac:dyDescent="0.25">
      <c r="A3161"/>
    </row>
    <row r="3162" spans="1:1" x14ac:dyDescent="0.25">
      <c r="A3162"/>
    </row>
    <row r="3163" spans="1:1" x14ac:dyDescent="0.25">
      <c r="A3163"/>
    </row>
    <row r="3164" spans="1:1" x14ac:dyDescent="0.25">
      <c r="A3164"/>
    </row>
    <row r="3165" spans="1:1" x14ac:dyDescent="0.25">
      <c r="A3165"/>
    </row>
    <row r="3166" spans="1:1" x14ac:dyDescent="0.25">
      <c r="A3166"/>
    </row>
    <row r="3167" spans="1:1" x14ac:dyDescent="0.25">
      <c r="A3167"/>
    </row>
    <row r="3168" spans="1:1" x14ac:dyDescent="0.25">
      <c r="A3168"/>
    </row>
    <row r="3169" spans="1:1" x14ac:dyDescent="0.25">
      <c r="A3169"/>
    </row>
    <row r="3170" spans="1:1" x14ac:dyDescent="0.25">
      <c r="A3170"/>
    </row>
    <row r="3171" spans="1:1" x14ac:dyDescent="0.25">
      <c r="A3171"/>
    </row>
    <row r="3172" spans="1:1" x14ac:dyDescent="0.25">
      <c r="A3172"/>
    </row>
    <row r="3173" spans="1:1" x14ac:dyDescent="0.25">
      <c r="A3173"/>
    </row>
    <row r="3174" spans="1:1" x14ac:dyDescent="0.25">
      <c r="A3174"/>
    </row>
    <row r="3175" spans="1:1" x14ac:dyDescent="0.25">
      <c r="A3175"/>
    </row>
    <row r="3176" spans="1:1" x14ac:dyDescent="0.25">
      <c r="A3176"/>
    </row>
    <row r="3177" spans="1:1" x14ac:dyDescent="0.25">
      <c r="A3177"/>
    </row>
    <row r="3178" spans="1:1" x14ac:dyDescent="0.25">
      <c r="A3178"/>
    </row>
    <row r="3179" spans="1:1" x14ac:dyDescent="0.25">
      <c r="A3179"/>
    </row>
    <row r="3180" spans="1:1" x14ac:dyDescent="0.25">
      <c r="A3180"/>
    </row>
    <row r="3181" spans="1:1" x14ac:dyDescent="0.25">
      <c r="A3181"/>
    </row>
    <row r="3182" spans="1:1" x14ac:dyDescent="0.25">
      <c r="A3182"/>
    </row>
    <row r="3183" spans="1:1" x14ac:dyDescent="0.25">
      <c r="A3183"/>
    </row>
    <row r="3184" spans="1:1" x14ac:dyDescent="0.25">
      <c r="A3184"/>
    </row>
    <row r="3185" spans="1:1" x14ac:dyDescent="0.25">
      <c r="A3185"/>
    </row>
    <row r="3186" spans="1:1" x14ac:dyDescent="0.25">
      <c r="A3186"/>
    </row>
    <row r="3187" spans="1:1" x14ac:dyDescent="0.25">
      <c r="A3187"/>
    </row>
    <row r="3188" spans="1:1" x14ac:dyDescent="0.25">
      <c r="A3188"/>
    </row>
    <row r="3189" spans="1:1" x14ac:dyDescent="0.25">
      <c r="A3189"/>
    </row>
    <row r="3190" spans="1:1" x14ac:dyDescent="0.25">
      <c r="A3190"/>
    </row>
    <row r="3191" spans="1:1" x14ac:dyDescent="0.25">
      <c r="A3191"/>
    </row>
    <row r="3192" spans="1:1" x14ac:dyDescent="0.25">
      <c r="A3192"/>
    </row>
    <row r="3193" spans="1:1" x14ac:dyDescent="0.25">
      <c r="A3193"/>
    </row>
    <row r="3194" spans="1:1" x14ac:dyDescent="0.25">
      <c r="A3194"/>
    </row>
    <row r="3195" spans="1:1" x14ac:dyDescent="0.25">
      <c r="A3195"/>
    </row>
    <row r="3196" spans="1:1" x14ac:dyDescent="0.25">
      <c r="A3196"/>
    </row>
    <row r="3197" spans="1:1" x14ac:dyDescent="0.25">
      <c r="A3197"/>
    </row>
    <row r="3198" spans="1:1" x14ac:dyDescent="0.25">
      <c r="A3198"/>
    </row>
    <row r="3199" spans="1:1" x14ac:dyDescent="0.25">
      <c r="A3199"/>
    </row>
    <row r="3200" spans="1:1" x14ac:dyDescent="0.25">
      <c r="A3200"/>
    </row>
    <row r="3201" spans="1:1" x14ac:dyDescent="0.25">
      <c r="A3201"/>
    </row>
    <row r="3202" spans="1:1" x14ac:dyDescent="0.25">
      <c r="A3202"/>
    </row>
    <row r="3203" spans="1:1" x14ac:dyDescent="0.25">
      <c r="A3203"/>
    </row>
    <row r="3204" spans="1:1" x14ac:dyDescent="0.25">
      <c r="A3204"/>
    </row>
    <row r="3205" spans="1:1" x14ac:dyDescent="0.25">
      <c r="A3205"/>
    </row>
    <row r="3206" spans="1:1" x14ac:dyDescent="0.25">
      <c r="A3206"/>
    </row>
    <row r="3207" spans="1:1" x14ac:dyDescent="0.25">
      <c r="A3207"/>
    </row>
    <row r="3208" spans="1:1" x14ac:dyDescent="0.25">
      <c r="A3208"/>
    </row>
    <row r="3209" spans="1:1" x14ac:dyDescent="0.25">
      <c r="A3209"/>
    </row>
    <row r="3210" spans="1:1" x14ac:dyDescent="0.25">
      <c r="A3210"/>
    </row>
    <row r="3211" spans="1:1" x14ac:dyDescent="0.25">
      <c r="A3211"/>
    </row>
    <row r="3212" spans="1:1" x14ac:dyDescent="0.25">
      <c r="A3212"/>
    </row>
    <row r="3213" spans="1:1" x14ac:dyDescent="0.25">
      <c r="A3213"/>
    </row>
    <row r="3214" spans="1:1" x14ac:dyDescent="0.25">
      <c r="A3214"/>
    </row>
    <row r="3215" spans="1:1" x14ac:dyDescent="0.25">
      <c r="A3215"/>
    </row>
    <row r="3216" spans="1:1" x14ac:dyDescent="0.25">
      <c r="A3216"/>
    </row>
    <row r="3217" spans="1:1" x14ac:dyDescent="0.25">
      <c r="A3217"/>
    </row>
    <row r="3218" spans="1:1" x14ac:dyDescent="0.25">
      <c r="A3218"/>
    </row>
    <row r="3219" spans="1:1" x14ac:dyDescent="0.25">
      <c r="A3219"/>
    </row>
    <row r="3220" spans="1:1" x14ac:dyDescent="0.25">
      <c r="A3220"/>
    </row>
    <row r="3221" spans="1:1" x14ac:dyDescent="0.25">
      <c r="A3221"/>
    </row>
    <row r="3222" spans="1:1" x14ac:dyDescent="0.25">
      <c r="A3222"/>
    </row>
    <row r="3223" spans="1:1" x14ac:dyDescent="0.25">
      <c r="A3223"/>
    </row>
    <row r="3224" spans="1:1" x14ac:dyDescent="0.25">
      <c r="A3224"/>
    </row>
    <row r="3225" spans="1:1" x14ac:dyDescent="0.25">
      <c r="A3225"/>
    </row>
    <row r="3226" spans="1:1" x14ac:dyDescent="0.25">
      <c r="A3226"/>
    </row>
    <row r="3227" spans="1:1" x14ac:dyDescent="0.25">
      <c r="A3227"/>
    </row>
    <row r="3228" spans="1:1" x14ac:dyDescent="0.25">
      <c r="A3228"/>
    </row>
    <row r="3229" spans="1:1" x14ac:dyDescent="0.25">
      <c r="A3229"/>
    </row>
    <row r="3230" spans="1:1" x14ac:dyDescent="0.25">
      <c r="A3230"/>
    </row>
    <row r="3231" spans="1:1" x14ac:dyDescent="0.25">
      <c r="A3231"/>
    </row>
    <row r="3232" spans="1:1" x14ac:dyDescent="0.25">
      <c r="A3232"/>
    </row>
    <row r="3233" spans="1:1" x14ac:dyDescent="0.25">
      <c r="A3233"/>
    </row>
    <row r="3234" spans="1:1" x14ac:dyDescent="0.25">
      <c r="A3234"/>
    </row>
    <row r="3235" spans="1:1" x14ac:dyDescent="0.25">
      <c r="A3235"/>
    </row>
    <row r="3236" spans="1:1" x14ac:dyDescent="0.25">
      <c r="A3236"/>
    </row>
    <row r="3237" spans="1:1" x14ac:dyDescent="0.25">
      <c r="A3237"/>
    </row>
    <row r="3238" spans="1:1" x14ac:dyDescent="0.25">
      <c r="A3238"/>
    </row>
    <row r="3239" spans="1:1" x14ac:dyDescent="0.25">
      <c r="A3239"/>
    </row>
    <row r="3240" spans="1:1" x14ac:dyDescent="0.25">
      <c r="A3240"/>
    </row>
    <row r="3241" spans="1:1" x14ac:dyDescent="0.25">
      <c r="A3241"/>
    </row>
    <row r="3242" spans="1:1" x14ac:dyDescent="0.25">
      <c r="A3242"/>
    </row>
    <row r="3243" spans="1:1" x14ac:dyDescent="0.25">
      <c r="A3243"/>
    </row>
    <row r="3244" spans="1:1" x14ac:dyDescent="0.25">
      <c r="A3244"/>
    </row>
    <row r="3245" spans="1:1" x14ac:dyDescent="0.25">
      <c r="A3245"/>
    </row>
    <row r="3246" spans="1:1" x14ac:dyDescent="0.25">
      <c r="A3246"/>
    </row>
    <row r="3247" spans="1:1" x14ac:dyDescent="0.25">
      <c r="A3247"/>
    </row>
    <row r="3248" spans="1:1" x14ac:dyDescent="0.25">
      <c r="A3248"/>
    </row>
    <row r="3249" spans="1:1" x14ac:dyDescent="0.25">
      <c r="A3249"/>
    </row>
    <row r="3250" spans="1:1" x14ac:dyDescent="0.25">
      <c r="A3250"/>
    </row>
    <row r="3251" spans="1:1" x14ac:dyDescent="0.25">
      <c r="A3251"/>
    </row>
    <row r="3252" spans="1:1" x14ac:dyDescent="0.25">
      <c r="A3252"/>
    </row>
    <row r="3253" spans="1:1" x14ac:dyDescent="0.25">
      <c r="A3253"/>
    </row>
    <row r="3254" spans="1:1" x14ac:dyDescent="0.25">
      <c r="A3254"/>
    </row>
    <row r="3255" spans="1:1" x14ac:dyDescent="0.25">
      <c r="A3255"/>
    </row>
    <row r="3256" spans="1:1" x14ac:dyDescent="0.25">
      <c r="A3256"/>
    </row>
    <row r="3257" spans="1:1" x14ac:dyDescent="0.25">
      <c r="A3257"/>
    </row>
    <row r="3258" spans="1:1" x14ac:dyDescent="0.25">
      <c r="A3258"/>
    </row>
    <row r="3259" spans="1:1" x14ac:dyDescent="0.25">
      <c r="A3259"/>
    </row>
    <row r="3260" spans="1:1" x14ac:dyDescent="0.25">
      <c r="A3260"/>
    </row>
    <row r="3261" spans="1:1" x14ac:dyDescent="0.25">
      <c r="A3261"/>
    </row>
    <row r="3262" spans="1:1" x14ac:dyDescent="0.25">
      <c r="A3262"/>
    </row>
    <row r="3263" spans="1:1" x14ac:dyDescent="0.25">
      <c r="A3263"/>
    </row>
    <row r="3264" spans="1:1" x14ac:dyDescent="0.25">
      <c r="A3264"/>
    </row>
    <row r="3265" spans="1:1" x14ac:dyDescent="0.25">
      <c r="A3265"/>
    </row>
    <row r="3266" spans="1:1" x14ac:dyDescent="0.25">
      <c r="A3266"/>
    </row>
    <row r="3267" spans="1:1" x14ac:dyDescent="0.25">
      <c r="A3267"/>
    </row>
    <row r="3268" spans="1:1" x14ac:dyDescent="0.25">
      <c r="A3268"/>
    </row>
    <row r="3269" spans="1:1" x14ac:dyDescent="0.25">
      <c r="A3269"/>
    </row>
    <row r="3270" spans="1:1" x14ac:dyDescent="0.25">
      <c r="A3270"/>
    </row>
    <row r="3271" spans="1:1" x14ac:dyDescent="0.25">
      <c r="A3271"/>
    </row>
    <row r="3272" spans="1:1" x14ac:dyDescent="0.25">
      <c r="A3272"/>
    </row>
    <row r="3273" spans="1:1" x14ac:dyDescent="0.25">
      <c r="A3273"/>
    </row>
    <row r="3274" spans="1:1" x14ac:dyDescent="0.25">
      <c r="A3274"/>
    </row>
    <row r="3275" spans="1:1" x14ac:dyDescent="0.25">
      <c r="A3275"/>
    </row>
    <row r="3276" spans="1:1" x14ac:dyDescent="0.25">
      <c r="A3276"/>
    </row>
    <row r="3277" spans="1:1" x14ac:dyDescent="0.25">
      <c r="A3277"/>
    </row>
    <row r="3278" spans="1:1" x14ac:dyDescent="0.25">
      <c r="A3278"/>
    </row>
    <row r="3279" spans="1:1" x14ac:dyDescent="0.25">
      <c r="A3279"/>
    </row>
    <row r="3280" spans="1:1" x14ac:dyDescent="0.25">
      <c r="A3280"/>
    </row>
    <row r="3281" spans="1:1" x14ac:dyDescent="0.25">
      <c r="A3281"/>
    </row>
    <row r="3282" spans="1:1" x14ac:dyDescent="0.25">
      <c r="A3282"/>
    </row>
    <row r="3283" spans="1:1" x14ac:dyDescent="0.25">
      <c r="A3283"/>
    </row>
    <row r="3284" spans="1:1" x14ac:dyDescent="0.25">
      <c r="A3284"/>
    </row>
    <row r="3285" spans="1:1" x14ac:dyDescent="0.25">
      <c r="A3285"/>
    </row>
    <row r="3286" spans="1:1" x14ac:dyDescent="0.25">
      <c r="A3286"/>
    </row>
    <row r="3287" spans="1:1" x14ac:dyDescent="0.25">
      <c r="A3287"/>
    </row>
    <row r="3288" spans="1:1" x14ac:dyDescent="0.25">
      <c r="A3288"/>
    </row>
    <row r="3289" spans="1:1" x14ac:dyDescent="0.25">
      <c r="A3289"/>
    </row>
    <row r="3290" spans="1:1" x14ac:dyDescent="0.25">
      <c r="A3290"/>
    </row>
    <row r="3291" spans="1:1" x14ac:dyDescent="0.25">
      <c r="A3291"/>
    </row>
    <row r="3292" spans="1:1" x14ac:dyDescent="0.25">
      <c r="A3292"/>
    </row>
    <row r="3293" spans="1:1" x14ac:dyDescent="0.25">
      <c r="A3293"/>
    </row>
    <row r="3294" spans="1:1" x14ac:dyDescent="0.25">
      <c r="A3294"/>
    </row>
    <row r="3295" spans="1:1" x14ac:dyDescent="0.25">
      <c r="A3295"/>
    </row>
    <row r="3296" spans="1:1" x14ac:dyDescent="0.25">
      <c r="A3296"/>
    </row>
    <row r="3297" spans="1:1" x14ac:dyDescent="0.25">
      <c r="A3297"/>
    </row>
    <row r="3298" spans="1:1" x14ac:dyDescent="0.25">
      <c r="A3298"/>
    </row>
    <row r="3299" spans="1:1" x14ac:dyDescent="0.25">
      <c r="A3299"/>
    </row>
    <row r="3300" spans="1:1" x14ac:dyDescent="0.25">
      <c r="A3300"/>
    </row>
    <row r="3301" spans="1:1" x14ac:dyDescent="0.25">
      <c r="A3301"/>
    </row>
    <row r="3302" spans="1:1" x14ac:dyDescent="0.25">
      <c r="A3302"/>
    </row>
    <row r="3303" spans="1:1" x14ac:dyDescent="0.25">
      <c r="A3303"/>
    </row>
    <row r="3304" spans="1:1" x14ac:dyDescent="0.25">
      <c r="A3304"/>
    </row>
    <row r="3305" spans="1:1" x14ac:dyDescent="0.25">
      <c r="A3305"/>
    </row>
    <row r="3306" spans="1:1" x14ac:dyDescent="0.25">
      <c r="A3306"/>
    </row>
    <row r="3307" spans="1:1" x14ac:dyDescent="0.25">
      <c r="A3307"/>
    </row>
    <row r="3308" spans="1:1" x14ac:dyDescent="0.25">
      <c r="A3308"/>
    </row>
    <row r="3309" spans="1:1" x14ac:dyDescent="0.25">
      <c r="A3309"/>
    </row>
    <row r="3310" spans="1:1" x14ac:dyDescent="0.25">
      <c r="A3310"/>
    </row>
    <row r="3311" spans="1:1" x14ac:dyDescent="0.25">
      <c r="A3311"/>
    </row>
    <row r="3312" spans="1:1" x14ac:dyDescent="0.25">
      <c r="A3312"/>
    </row>
    <row r="3313" spans="1:1" x14ac:dyDescent="0.25">
      <c r="A3313"/>
    </row>
    <row r="3314" spans="1:1" x14ac:dyDescent="0.25">
      <c r="A3314"/>
    </row>
    <row r="3315" spans="1:1" x14ac:dyDescent="0.25">
      <c r="A3315"/>
    </row>
    <row r="3316" spans="1:1" x14ac:dyDescent="0.25">
      <c r="A3316"/>
    </row>
    <row r="3317" spans="1:1" x14ac:dyDescent="0.25">
      <c r="A3317"/>
    </row>
    <row r="3318" spans="1:1" x14ac:dyDescent="0.25">
      <c r="A3318"/>
    </row>
    <row r="3319" spans="1:1" x14ac:dyDescent="0.25">
      <c r="A3319"/>
    </row>
    <row r="3320" spans="1:1" x14ac:dyDescent="0.25">
      <c r="A3320"/>
    </row>
    <row r="3321" spans="1:1" x14ac:dyDescent="0.25">
      <c r="A3321"/>
    </row>
    <row r="3322" spans="1:1" x14ac:dyDescent="0.25">
      <c r="A3322"/>
    </row>
    <row r="3323" spans="1:1" x14ac:dyDescent="0.25">
      <c r="A3323"/>
    </row>
    <row r="3324" spans="1:1" x14ac:dyDescent="0.25">
      <c r="A3324"/>
    </row>
    <row r="3325" spans="1:1" x14ac:dyDescent="0.25">
      <c r="A3325"/>
    </row>
    <row r="3326" spans="1:1" x14ac:dyDescent="0.25">
      <c r="A3326"/>
    </row>
    <row r="3327" spans="1:1" x14ac:dyDescent="0.25">
      <c r="A3327"/>
    </row>
    <row r="3328" spans="1:1" x14ac:dyDescent="0.25">
      <c r="A3328"/>
    </row>
    <row r="3329" spans="1:1" x14ac:dyDescent="0.25">
      <c r="A3329"/>
    </row>
    <row r="3330" spans="1:1" x14ac:dyDescent="0.25">
      <c r="A3330"/>
    </row>
    <row r="3331" spans="1:1" x14ac:dyDescent="0.25">
      <c r="A3331"/>
    </row>
    <row r="3332" spans="1:1" x14ac:dyDescent="0.25">
      <c r="A3332"/>
    </row>
    <row r="3333" spans="1:1" x14ac:dyDescent="0.25">
      <c r="A3333"/>
    </row>
    <row r="3334" spans="1:1" x14ac:dyDescent="0.25">
      <c r="A3334"/>
    </row>
    <row r="3335" spans="1:1" x14ac:dyDescent="0.25">
      <c r="A3335"/>
    </row>
    <row r="3336" spans="1:1" x14ac:dyDescent="0.25">
      <c r="A3336"/>
    </row>
    <row r="3337" spans="1:1" x14ac:dyDescent="0.25">
      <c r="A3337"/>
    </row>
    <row r="3338" spans="1:1" x14ac:dyDescent="0.25">
      <c r="A3338"/>
    </row>
    <row r="3339" spans="1:1" x14ac:dyDescent="0.25">
      <c r="A3339"/>
    </row>
    <row r="3340" spans="1:1" x14ac:dyDescent="0.25">
      <c r="A3340"/>
    </row>
    <row r="3341" spans="1:1" x14ac:dyDescent="0.25">
      <c r="A3341"/>
    </row>
    <row r="3342" spans="1:1" x14ac:dyDescent="0.25">
      <c r="A3342"/>
    </row>
    <row r="3343" spans="1:1" x14ac:dyDescent="0.25">
      <c r="A3343"/>
    </row>
    <row r="3344" spans="1:1" x14ac:dyDescent="0.25">
      <c r="A3344"/>
    </row>
    <row r="3345" spans="1:1" x14ac:dyDescent="0.25">
      <c r="A3345"/>
    </row>
    <row r="3346" spans="1:1" x14ac:dyDescent="0.25">
      <c r="A3346"/>
    </row>
    <row r="3347" spans="1:1" x14ac:dyDescent="0.25">
      <c r="A3347"/>
    </row>
    <row r="3348" spans="1:1" x14ac:dyDescent="0.25">
      <c r="A3348"/>
    </row>
    <row r="3349" spans="1:1" x14ac:dyDescent="0.25">
      <c r="A3349"/>
    </row>
    <row r="3350" spans="1:1" x14ac:dyDescent="0.25">
      <c r="A3350"/>
    </row>
    <row r="3351" spans="1:1" x14ac:dyDescent="0.25">
      <c r="A3351"/>
    </row>
    <row r="3352" spans="1:1" x14ac:dyDescent="0.25">
      <c r="A3352"/>
    </row>
    <row r="3353" spans="1:1" x14ac:dyDescent="0.25">
      <c r="A3353"/>
    </row>
    <row r="3354" spans="1:1" x14ac:dyDescent="0.25">
      <c r="A3354"/>
    </row>
    <row r="3355" spans="1:1" x14ac:dyDescent="0.25">
      <c r="A3355"/>
    </row>
    <row r="3356" spans="1:1" x14ac:dyDescent="0.25">
      <c r="A3356"/>
    </row>
    <row r="3357" spans="1:1" x14ac:dyDescent="0.25">
      <c r="A3357"/>
    </row>
    <row r="3358" spans="1:1" x14ac:dyDescent="0.25">
      <c r="A3358"/>
    </row>
    <row r="3359" spans="1:1" x14ac:dyDescent="0.25">
      <c r="A3359"/>
    </row>
    <row r="3360" spans="1:1" x14ac:dyDescent="0.25">
      <c r="A3360"/>
    </row>
    <row r="3361" spans="1:1" x14ac:dyDescent="0.25">
      <c r="A3361"/>
    </row>
    <row r="3362" spans="1:1" x14ac:dyDescent="0.25">
      <c r="A3362"/>
    </row>
    <row r="3363" spans="1:1" x14ac:dyDescent="0.25">
      <c r="A3363"/>
    </row>
    <row r="3364" spans="1:1" x14ac:dyDescent="0.25">
      <c r="A3364"/>
    </row>
    <row r="3365" spans="1:1" x14ac:dyDescent="0.25">
      <c r="A3365"/>
    </row>
    <row r="3366" spans="1:1" x14ac:dyDescent="0.25">
      <c r="A3366"/>
    </row>
    <row r="3367" spans="1:1" x14ac:dyDescent="0.25">
      <c r="A3367"/>
    </row>
    <row r="3368" spans="1:1" x14ac:dyDescent="0.25">
      <c r="A3368"/>
    </row>
    <row r="3369" spans="1:1" x14ac:dyDescent="0.25">
      <c r="A3369"/>
    </row>
    <row r="3370" spans="1:1" x14ac:dyDescent="0.25">
      <c r="A3370"/>
    </row>
    <row r="3371" spans="1:1" x14ac:dyDescent="0.25">
      <c r="A3371"/>
    </row>
    <row r="3372" spans="1:1" x14ac:dyDescent="0.25">
      <c r="A3372"/>
    </row>
    <row r="3373" spans="1:1" x14ac:dyDescent="0.25">
      <c r="A3373"/>
    </row>
    <row r="3374" spans="1:1" x14ac:dyDescent="0.25">
      <c r="A3374"/>
    </row>
    <row r="3375" spans="1:1" x14ac:dyDescent="0.25">
      <c r="A3375"/>
    </row>
    <row r="3376" spans="1:1" x14ac:dyDescent="0.25">
      <c r="A3376"/>
    </row>
    <row r="3377" spans="1:1" x14ac:dyDescent="0.25">
      <c r="A3377"/>
    </row>
    <row r="3378" spans="1:1" x14ac:dyDescent="0.25">
      <c r="A3378"/>
    </row>
    <row r="3379" spans="1:1" x14ac:dyDescent="0.25">
      <c r="A3379"/>
    </row>
    <row r="3380" spans="1:1" x14ac:dyDescent="0.25">
      <c r="A3380"/>
    </row>
    <row r="3381" spans="1:1" x14ac:dyDescent="0.25">
      <c r="A3381"/>
    </row>
    <row r="3382" spans="1:1" x14ac:dyDescent="0.25">
      <c r="A3382"/>
    </row>
    <row r="3383" spans="1:1" x14ac:dyDescent="0.25">
      <c r="A3383"/>
    </row>
    <row r="3384" spans="1:1" x14ac:dyDescent="0.25">
      <c r="A3384"/>
    </row>
    <row r="3385" spans="1:1" x14ac:dyDescent="0.25">
      <c r="A3385"/>
    </row>
    <row r="3386" spans="1:1" x14ac:dyDescent="0.25">
      <c r="A3386"/>
    </row>
    <row r="3387" spans="1:1" x14ac:dyDescent="0.25">
      <c r="A3387"/>
    </row>
    <row r="3388" spans="1:1" x14ac:dyDescent="0.25">
      <c r="A3388"/>
    </row>
    <row r="3389" spans="1:1" x14ac:dyDescent="0.25">
      <c r="A3389"/>
    </row>
    <row r="3390" spans="1:1" x14ac:dyDescent="0.25">
      <c r="A3390"/>
    </row>
    <row r="3391" spans="1:1" x14ac:dyDescent="0.25">
      <c r="A3391"/>
    </row>
    <row r="3392" spans="1:1" x14ac:dyDescent="0.25">
      <c r="A3392"/>
    </row>
    <row r="3393" spans="1:1" x14ac:dyDescent="0.25">
      <c r="A3393"/>
    </row>
    <row r="3394" spans="1:1" x14ac:dyDescent="0.25">
      <c r="A3394"/>
    </row>
    <row r="3395" spans="1:1" x14ac:dyDescent="0.25">
      <c r="A3395"/>
    </row>
    <row r="3396" spans="1:1" x14ac:dyDescent="0.25">
      <c r="A3396"/>
    </row>
    <row r="3397" spans="1:1" x14ac:dyDescent="0.25">
      <c r="A3397"/>
    </row>
    <row r="3398" spans="1:1" x14ac:dyDescent="0.25">
      <c r="A3398"/>
    </row>
    <row r="3399" spans="1:1" x14ac:dyDescent="0.25">
      <c r="A3399"/>
    </row>
    <row r="3400" spans="1:1" x14ac:dyDescent="0.25">
      <c r="A3400"/>
    </row>
    <row r="3401" spans="1:1" x14ac:dyDescent="0.25">
      <c r="A3401"/>
    </row>
    <row r="3402" spans="1:1" x14ac:dyDescent="0.25">
      <c r="A3402"/>
    </row>
    <row r="3403" spans="1:1" x14ac:dyDescent="0.25">
      <c r="A3403"/>
    </row>
    <row r="3404" spans="1:1" x14ac:dyDescent="0.25">
      <c r="A3404"/>
    </row>
    <row r="3405" spans="1:1" x14ac:dyDescent="0.25">
      <c r="A3405"/>
    </row>
    <row r="3406" spans="1:1" x14ac:dyDescent="0.25">
      <c r="A3406"/>
    </row>
    <row r="3407" spans="1:1" x14ac:dyDescent="0.25">
      <c r="A3407"/>
    </row>
    <row r="3408" spans="1:1" x14ac:dyDescent="0.25">
      <c r="A3408"/>
    </row>
    <row r="3409" spans="1:1" x14ac:dyDescent="0.25">
      <c r="A3409"/>
    </row>
    <row r="3410" spans="1:1" x14ac:dyDescent="0.25">
      <c r="A3410"/>
    </row>
    <row r="3411" spans="1:1" x14ac:dyDescent="0.25">
      <c r="A3411"/>
    </row>
    <row r="3412" spans="1:1" x14ac:dyDescent="0.25">
      <c r="A3412"/>
    </row>
    <row r="3413" spans="1:1" x14ac:dyDescent="0.25">
      <c r="A3413"/>
    </row>
    <row r="3414" spans="1:1" x14ac:dyDescent="0.25">
      <c r="A3414"/>
    </row>
    <row r="3415" spans="1:1" x14ac:dyDescent="0.25">
      <c r="A3415"/>
    </row>
    <row r="3416" spans="1:1" x14ac:dyDescent="0.25">
      <c r="A3416"/>
    </row>
    <row r="3417" spans="1:1" x14ac:dyDescent="0.25">
      <c r="A3417"/>
    </row>
    <row r="3418" spans="1:1" x14ac:dyDescent="0.25">
      <c r="A3418"/>
    </row>
    <row r="3419" spans="1:1" x14ac:dyDescent="0.25">
      <c r="A3419"/>
    </row>
    <row r="3420" spans="1:1" x14ac:dyDescent="0.25">
      <c r="A3420"/>
    </row>
    <row r="3421" spans="1:1" x14ac:dyDescent="0.25">
      <c r="A3421"/>
    </row>
    <row r="3422" spans="1:1" x14ac:dyDescent="0.25">
      <c r="A3422"/>
    </row>
    <row r="3423" spans="1:1" x14ac:dyDescent="0.25">
      <c r="A3423"/>
    </row>
    <row r="3424" spans="1:1" x14ac:dyDescent="0.25">
      <c r="A3424"/>
    </row>
    <row r="3425" spans="1:1" x14ac:dyDescent="0.25">
      <c r="A3425"/>
    </row>
    <row r="3426" spans="1:1" x14ac:dyDescent="0.25">
      <c r="A3426"/>
    </row>
    <row r="3427" spans="1:1" x14ac:dyDescent="0.25">
      <c r="A3427"/>
    </row>
    <row r="3428" spans="1:1" x14ac:dyDescent="0.25">
      <c r="A3428"/>
    </row>
    <row r="3429" spans="1:1" x14ac:dyDescent="0.25">
      <c r="A3429"/>
    </row>
    <row r="3430" spans="1:1" x14ac:dyDescent="0.25">
      <c r="A3430"/>
    </row>
    <row r="3431" spans="1:1" x14ac:dyDescent="0.25">
      <c r="A3431"/>
    </row>
    <row r="3432" spans="1:1" x14ac:dyDescent="0.25">
      <c r="A3432"/>
    </row>
    <row r="3433" spans="1:1" x14ac:dyDescent="0.25">
      <c r="A3433"/>
    </row>
    <row r="3434" spans="1:1" x14ac:dyDescent="0.25">
      <c r="A3434"/>
    </row>
    <row r="3435" spans="1:1" x14ac:dyDescent="0.25">
      <c r="A3435"/>
    </row>
    <row r="3436" spans="1:1" x14ac:dyDescent="0.25">
      <c r="A3436"/>
    </row>
    <row r="3437" spans="1:1" x14ac:dyDescent="0.25">
      <c r="A3437"/>
    </row>
    <row r="3438" spans="1:1" x14ac:dyDescent="0.25">
      <c r="A3438"/>
    </row>
    <row r="3439" spans="1:1" x14ac:dyDescent="0.25">
      <c r="A3439"/>
    </row>
    <row r="3440" spans="1:1" x14ac:dyDescent="0.25">
      <c r="A3440"/>
    </row>
    <row r="3441" spans="1:1" x14ac:dyDescent="0.25">
      <c r="A3441"/>
    </row>
    <row r="3442" spans="1:1" x14ac:dyDescent="0.25">
      <c r="A3442"/>
    </row>
    <row r="3443" spans="1:1" x14ac:dyDescent="0.25">
      <c r="A3443"/>
    </row>
    <row r="3444" spans="1:1" x14ac:dyDescent="0.25">
      <c r="A3444"/>
    </row>
    <row r="3445" spans="1:1" x14ac:dyDescent="0.25">
      <c r="A3445"/>
    </row>
    <row r="3446" spans="1:1" x14ac:dyDescent="0.25">
      <c r="A3446"/>
    </row>
    <row r="3447" spans="1:1" x14ac:dyDescent="0.25">
      <c r="A3447"/>
    </row>
    <row r="3448" spans="1:1" x14ac:dyDescent="0.25">
      <c r="A3448"/>
    </row>
    <row r="3449" spans="1:1" x14ac:dyDescent="0.25">
      <c r="A3449"/>
    </row>
    <row r="3450" spans="1:1" x14ac:dyDescent="0.25">
      <c r="A3450"/>
    </row>
    <row r="3451" spans="1:1" x14ac:dyDescent="0.25">
      <c r="A3451"/>
    </row>
    <row r="3452" spans="1:1" x14ac:dyDescent="0.25">
      <c r="A3452"/>
    </row>
    <row r="3453" spans="1:1" x14ac:dyDescent="0.25">
      <c r="A3453"/>
    </row>
    <row r="3454" spans="1:1" x14ac:dyDescent="0.25">
      <c r="A3454"/>
    </row>
    <row r="3455" spans="1:1" x14ac:dyDescent="0.25">
      <c r="A3455"/>
    </row>
    <row r="3456" spans="1:1" x14ac:dyDescent="0.25">
      <c r="A3456"/>
    </row>
    <row r="3457" spans="1:1" x14ac:dyDescent="0.25">
      <c r="A3457"/>
    </row>
    <row r="3458" spans="1:1" x14ac:dyDescent="0.25">
      <c r="A3458"/>
    </row>
    <row r="3459" spans="1:1" x14ac:dyDescent="0.25">
      <c r="A3459"/>
    </row>
    <row r="3460" spans="1:1" x14ac:dyDescent="0.25">
      <c r="A3460"/>
    </row>
    <row r="3461" spans="1:1" x14ac:dyDescent="0.25">
      <c r="A3461"/>
    </row>
    <row r="3462" spans="1:1" x14ac:dyDescent="0.25">
      <c r="A3462"/>
    </row>
    <row r="3463" spans="1:1" x14ac:dyDescent="0.25">
      <c r="A3463"/>
    </row>
    <row r="3464" spans="1:1" x14ac:dyDescent="0.25">
      <c r="A3464"/>
    </row>
    <row r="3465" spans="1:1" x14ac:dyDescent="0.25">
      <c r="A3465"/>
    </row>
    <row r="3466" spans="1:1" x14ac:dyDescent="0.25">
      <c r="A3466"/>
    </row>
    <row r="3467" spans="1:1" x14ac:dyDescent="0.25">
      <c r="A3467"/>
    </row>
    <row r="3468" spans="1:1" x14ac:dyDescent="0.25">
      <c r="A3468"/>
    </row>
    <row r="3469" spans="1:1" x14ac:dyDescent="0.25">
      <c r="A3469"/>
    </row>
    <row r="3470" spans="1:1" x14ac:dyDescent="0.25">
      <c r="A3470"/>
    </row>
    <row r="3471" spans="1:1" x14ac:dyDescent="0.25">
      <c r="A3471"/>
    </row>
    <row r="3472" spans="1:1" x14ac:dyDescent="0.25">
      <c r="A3472"/>
    </row>
    <row r="3473" spans="1:1" x14ac:dyDescent="0.25">
      <c r="A3473"/>
    </row>
    <row r="3474" spans="1:1" x14ac:dyDescent="0.25">
      <c r="A3474"/>
    </row>
    <row r="3475" spans="1:1" x14ac:dyDescent="0.25">
      <c r="A3475"/>
    </row>
    <row r="3476" spans="1:1" x14ac:dyDescent="0.25">
      <c r="A3476"/>
    </row>
    <row r="3477" spans="1:1" x14ac:dyDescent="0.25">
      <c r="A3477"/>
    </row>
    <row r="3478" spans="1:1" x14ac:dyDescent="0.25">
      <c r="A3478"/>
    </row>
    <row r="3479" spans="1:1" x14ac:dyDescent="0.25">
      <c r="A3479"/>
    </row>
    <row r="3480" spans="1:1" x14ac:dyDescent="0.25">
      <c r="A3480"/>
    </row>
    <row r="3481" spans="1:1" x14ac:dyDescent="0.25">
      <c r="A3481"/>
    </row>
    <row r="3482" spans="1:1" x14ac:dyDescent="0.25">
      <c r="A3482"/>
    </row>
    <row r="3483" spans="1:1" x14ac:dyDescent="0.25">
      <c r="A3483"/>
    </row>
    <row r="3484" spans="1:1" x14ac:dyDescent="0.25">
      <c r="A3484"/>
    </row>
    <row r="3485" spans="1:1" x14ac:dyDescent="0.25">
      <c r="A3485"/>
    </row>
    <row r="3486" spans="1:1" x14ac:dyDescent="0.25">
      <c r="A3486"/>
    </row>
    <row r="3487" spans="1:1" x14ac:dyDescent="0.25">
      <c r="A3487"/>
    </row>
    <row r="3488" spans="1:1" x14ac:dyDescent="0.25">
      <c r="A3488"/>
    </row>
    <row r="3489" spans="1:1" x14ac:dyDescent="0.25">
      <c r="A3489"/>
    </row>
    <row r="3490" spans="1:1" x14ac:dyDescent="0.25">
      <c r="A3490"/>
    </row>
    <row r="3491" spans="1:1" x14ac:dyDescent="0.25">
      <c r="A3491"/>
    </row>
    <row r="3492" spans="1:1" x14ac:dyDescent="0.25">
      <c r="A3492"/>
    </row>
    <row r="3493" spans="1:1" x14ac:dyDescent="0.25">
      <c r="A3493"/>
    </row>
    <row r="3494" spans="1:1" x14ac:dyDescent="0.25">
      <c r="A3494"/>
    </row>
    <row r="3495" spans="1:1" x14ac:dyDescent="0.25">
      <c r="A3495"/>
    </row>
    <row r="3496" spans="1:1" x14ac:dyDescent="0.25">
      <c r="A3496"/>
    </row>
    <row r="3497" spans="1:1" x14ac:dyDescent="0.25">
      <c r="A3497"/>
    </row>
    <row r="3498" spans="1:1" x14ac:dyDescent="0.25">
      <c r="A3498"/>
    </row>
    <row r="3499" spans="1:1" x14ac:dyDescent="0.25">
      <c r="A3499"/>
    </row>
    <row r="3500" spans="1:1" x14ac:dyDescent="0.25">
      <c r="A3500"/>
    </row>
    <row r="3501" spans="1:1" x14ac:dyDescent="0.25">
      <c r="A3501"/>
    </row>
    <row r="3502" spans="1:1" x14ac:dyDescent="0.25">
      <c r="A3502"/>
    </row>
    <row r="3503" spans="1:1" x14ac:dyDescent="0.25">
      <c r="A3503"/>
    </row>
    <row r="3504" spans="1:1" x14ac:dyDescent="0.25">
      <c r="A3504"/>
    </row>
    <row r="3505" spans="1:1" x14ac:dyDescent="0.25">
      <c r="A3505"/>
    </row>
    <row r="3506" spans="1:1" x14ac:dyDescent="0.25">
      <c r="A3506"/>
    </row>
    <row r="3507" spans="1:1" x14ac:dyDescent="0.25">
      <c r="A3507"/>
    </row>
    <row r="3508" spans="1:1" x14ac:dyDescent="0.25">
      <c r="A3508"/>
    </row>
    <row r="3509" spans="1:1" x14ac:dyDescent="0.25">
      <c r="A3509"/>
    </row>
    <row r="3510" spans="1:1" x14ac:dyDescent="0.25">
      <c r="A3510"/>
    </row>
    <row r="3511" spans="1:1" x14ac:dyDescent="0.25">
      <c r="A3511"/>
    </row>
    <row r="3512" spans="1:1" x14ac:dyDescent="0.25">
      <c r="A3512"/>
    </row>
    <row r="3513" spans="1:1" x14ac:dyDescent="0.25">
      <c r="A3513"/>
    </row>
    <row r="3514" spans="1:1" x14ac:dyDescent="0.25">
      <c r="A3514"/>
    </row>
    <row r="3515" spans="1:1" x14ac:dyDescent="0.25">
      <c r="A3515"/>
    </row>
    <row r="3516" spans="1:1" x14ac:dyDescent="0.25">
      <c r="A3516"/>
    </row>
    <row r="3517" spans="1:1" x14ac:dyDescent="0.25">
      <c r="A3517"/>
    </row>
    <row r="3518" spans="1:1" x14ac:dyDescent="0.25">
      <c r="A3518"/>
    </row>
    <row r="3519" spans="1:1" x14ac:dyDescent="0.25">
      <c r="A3519"/>
    </row>
    <row r="3520" spans="1:1" x14ac:dyDescent="0.25">
      <c r="A3520"/>
    </row>
    <row r="3521" spans="1:1" x14ac:dyDescent="0.25">
      <c r="A3521"/>
    </row>
    <row r="3522" spans="1:1" x14ac:dyDescent="0.25">
      <c r="A3522"/>
    </row>
    <row r="3523" spans="1:1" x14ac:dyDescent="0.25">
      <c r="A3523"/>
    </row>
    <row r="3524" spans="1:1" x14ac:dyDescent="0.25">
      <c r="A3524"/>
    </row>
    <row r="3525" spans="1:1" x14ac:dyDescent="0.25">
      <c r="A3525"/>
    </row>
    <row r="3526" spans="1:1" x14ac:dyDescent="0.25">
      <c r="A3526"/>
    </row>
    <row r="3527" spans="1:1" x14ac:dyDescent="0.25">
      <c r="A3527"/>
    </row>
    <row r="3528" spans="1:1" x14ac:dyDescent="0.25">
      <c r="A3528"/>
    </row>
    <row r="3529" spans="1:1" x14ac:dyDescent="0.25">
      <c r="A3529"/>
    </row>
    <row r="3530" spans="1:1" x14ac:dyDescent="0.25">
      <c r="A3530"/>
    </row>
    <row r="3531" spans="1:1" x14ac:dyDescent="0.25">
      <c r="A3531"/>
    </row>
    <row r="3532" spans="1:1" x14ac:dyDescent="0.25">
      <c r="A3532"/>
    </row>
    <row r="3533" spans="1:1" x14ac:dyDescent="0.25">
      <c r="A3533"/>
    </row>
    <row r="3534" spans="1:1" x14ac:dyDescent="0.25">
      <c r="A3534"/>
    </row>
    <row r="3535" spans="1:1" x14ac:dyDescent="0.25">
      <c r="A3535"/>
    </row>
    <row r="3536" spans="1:1" x14ac:dyDescent="0.25">
      <c r="A3536"/>
    </row>
    <row r="3537" spans="1:1" x14ac:dyDescent="0.25">
      <c r="A3537"/>
    </row>
    <row r="3538" spans="1:1" x14ac:dyDescent="0.25">
      <c r="A3538"/>
    </row>
    <row r="3539" spans="1:1" x14ac:dyDescent="0.25">
      <c r="A3539"/>
    </row>
    <row r="3540" spans="1:1" x14ac:dyDescent="0.25">
      <c r="A3540"/>
    </row>
    <row r="3541" spans="1:1" x14ac:dyDescent="0.25">
      <c r="A3541"/>
    </row>
    <row r="3542" spans="1:1" x14ac:dyDescent="0.25">
      <c r="A3542"/>
    </row>
    <row r="3543" spans="1:1" x14ac:dyDescent="0.25">
      <c r="A3543"/>
    </row>
    <row r="3544" spans="1:1" x14ac:dyDescent="0.25">
      <c r="A3544"/>
    </row>
    <row r="3545" spans="1:1" x14ac:dyDescent="0.25">
      <c r="A3545"/>
    </row>
    <row r="3546" spans="1:1" x14ac:dyDescent="0.25">
      <c r="A3546"/>
    </row>
    <row r="3547" spans="1:1" x14ac:dyDescent="0.25">
      <c r="A3547"/>
    </row>
    <row r="3548" spans="1:1" x14ac:dyDescent="0.25">
      <c r="A3548"/>
    </row>
    <row r="3549" spans="1:1" x14ac:dyDescent="0.25">
      <c r="A3549"/>
    </row>
    <row r="3550" spans="1:1" x14ac:dyDescent="0.25">
      <c r="A3550"/>
    </row>
    <row r="3551" spans="1:1" x14ac:dyDescent="0.25">
      <c r="A3551"/>
    </row>
    <row r="3552" spans="1:1" x14ac:dyDescent="0.25">
      <c r="A3552"/>
    </row>
    <row r="3553" spans="1:1" x14ac:dyDescent="0.25">
      <c r="A3553"/>
    </row>
    <row r="3554" spans="1:1" x14ac:dyDescent="0.25">
      <c r="A3554"/>
    </row>
    <row r="3555" spans="1:1" x14ac:dyDescent="0.25">
      <c r="A3555"/>
    </row>
    <row r="3556" spans="1:1" x14ac:dyDescent="0.25">
      <c r="A3556"/>
    </row>
    <row r="3557" spans="1:1" x14ac:dyDescent="0.25">
      <c r="A3557"/>
    </row>
    <row r="3558" spans="1:1" x14ac:dyDescent="0.25">
      <c r="A3558"/>
    </row>
    <row r="3559" spans="1:1" x14ac:dyDescent="0.25">
      <c r="A3559"/>
    </row>
    <row r="3560" spans="1:1" x14ac:dyDescent="0.25">
      <c r="A3560"/>
    </row>
    <row r="3561" spans="1:1" x14ac:dyDescent="0.25">
      <c r="A3561"/>
    </row>
    <row r="3562" spans="1:1" x14ac:dyDescent="0.25">
      <c r="A3562"/>
    </row>
    <row r="3563" spans="1:1" x14ac:dyDescent="0.25">
      <c r="A3563"/>
    </row>
    <row r="3564" spans="1:1" x14ac:dyDescent="0.25">
      <c r="A3564"/>
    </row>
    <row r="3565" spans="1:1" x14ac:dyDescent="0.25">
      <c r="A3565"/>
    </row>
    <row r="3566" spans="1:1" x14ac:dyDescent="0.25">
      <c r="A3566"/>
    </row>
    <row r="3567" spans="1:1" x14ac:dyDescent="0.25">
      <c r="A3567"/>
    </row>
    <row r="3568" spans="1:1" x14ac:dyDescent="0.25">
      <c r="A3568"/>
    </row>
    <row r="3569" spans="1:1" x14ac:dyDescent="0.25">
      <c r="A3569"/>
    </row>
    <row r="3570" spans="1:1" x14ac:dyDescent="0.25">
      <c r="A3570"/>
    </row>
    <row r="3571" spans="1:1" x14ac:dyDescent="0.25">
      <c r="A3571"/>
    </row>
    <row r="3572" spans="1:1" x14ac:dyDescent="0.25">
      <c r="A3572"/>
    </row>
    <row r="3573" spans="1:1" x14ac:dyDescent="0.25">
      <c r="A3573"/>
    </row>
    <row r="3574" spans="1:1" x14ac:dyDescent="0.25">
      <c r="A3574"/>
    </row>
    <row r="3575" spans="1:1" x14ac:dyDescent="0.25">
      <c r="A3575"/>
    </row>
    <row r="3576" spans="1:1" x14ac:dyDescent="0.25">
      <c r="A3576"/>
    </row>
    <row r="3577" spans="1:1" x14ac:dyDescent="0.25">
      <c r="A3577"/>
    </row>
    <row r="3578" spans="1:1" x14ac:dyDescent="0.25">
      <c r="A3578"/>
    </row>
    <row r="3579" spans="1:1" x14ac:dyDescent="0.25">
      <c r="A3579"/>
    </row>
    <row r="3580" spans="1:1" x14ac:dyDescent="0.25">
      <c r="A3580"/>
    </row>
    <row r="3581" spans="1:1" x14ac:dyDescent="0.25">
      <c r="A3581"/>
    </row>
    <row r="3582" spans="1:1" x14ac:dyDescent="0.25">
      <c r="A3582"/>
    </row>
    <row r="3583" spans="1:1" x14ac:dyDescent="0.25">
      <c r="A3583"/>
    </row>
    <row r="3584" spans="1:1" x14ac:dyDescent="0.25">
      <c r="A3584"/>
    </row>
    <row r="3585" spans="1:1" x14ac:dyDescent="0.25">
      <c r="A3585"/>
    </row>
    <row r="3586" spans="1:1" x14ac:dyDescent="0.25">
      <c r="A3586"/>
    </row>
    <row r="3587" spans="1:1" x14ac:dyDescent="0.25">
      <c r="A3587"/>
    </row>
    <row r="3588" spans="1:1" x14ac:dyDescent="0.25">
      <c r="A3588"/>
    </row>
    <row r="3589" spans="1:1" x14ac:dyDescent="0.25">
      <c r="A3589"/>
    </row>
    <row r="3590" spans="1:1" x14ac:dyDescent="0.25">
      <c r="A3590"/>
    </row>
    <row r="3591" spans="1:1" x14ac:dyDescent="0.25">
      <c r="A3591"/>
    </row>
    <row r="3592" spans="1:1" x14ac:dyDescent="0.25">
      <c r="A3592"/>
    </row>
    <row r="3593" spans="1:1" x14ac:dyDescent="0.25">
      <c r="A3593"/>
    </row>
    <row r="3594" spans="1:1" x14ac:dyDescent="0.25">
      <c r="A3594"/>
    </row>
    <row r="3595" spans="1:1" x14ac:dyDescent="0.25">
      <c r="A3595"/>
    </row>
    <row r="3596" spans="1:1" x14ac:dyDescent="0.25">
      <c r="A3596"/>
    </row>
    <row r="3597" spans="1:1" x14ac:dyDescent="0.25">
      <c r="A3597"/>
    </row>
    <row r="3598" spans="1:1" x14ac:dyDescent="0.25">
      <c r="A3598"/>
    </row>
    <row r="3599" spans="1:1" x14ac:dyDescent="0.25">
      <c r="A3599"/>
    </row>
    <row r="3600" spans="1:1" x14ac:dyDescent="0.25">
      <c r="A3600"/>
    </row>
    <row r="3601" spans="1:1" x14ac:dyDescent="0.25">
      <c r="A3601"/>
    </row>
    <row r="3602" spans="1:1" x14ac:dyDescent="0.25">
      <c r="A3602"/>
    </row>
    <row r="3603" spans="1:1" x14ac:dyDescent="0.25">
      <c r="A3603"/>
    </row>
    <row r="3604" spans="1:1" x14ac:dyDescent="0.25">
      <c r="A3604"/>
    </row>
    <row r="3605" spans="1:1" x14ac:dyDescent="0.25">
      <c r="A3605"/>
    </row>
    <row r="3606" spans="1:1" x14ac:dyDescent="0.25">
      <c r="A3606"/>
    </row>
    <row r="3607" spans="1:1" x14ac:dyDescent="0.25">
      <c r="A3607"/>
    </row>
    <row r="3608" spans="1:1" x14ac:dyDescent="0.25">
      <c r="A3608"/>
    </row>
    <row r="3609" spans="1:1" x14ac:dyDescent="0.25">
      <c r="A3609"/>
    </row>
    <row r="3610" spans="1:1" x14ac:dyDescent="0.25">
      <c r="A3610"/>
    </row>
    <row r="3611" spans="1:1" x14ac:dyDescent="0.25">
      <c r="A3611"/>
    </row>
    <row r="3612" spans="1:1" x14ac:dyDescent="0.25">
      <c r="A3612"/>
    </row>
    <row r="3613" spans="1:1" x14ac:dyDescent="0.25">
      <c r="A3613"/>
    </row>
    <row r="3614" spans="1:1" x14ac:dyDescent="0.25">
      <c r="A3614"/>
    </row>
    <row r="3615" spans="1:1" x14ac:dyDescent="0.25">
      <c r="A3615"/>
    </row>
    <row r="3616" spans="1:1" x14ac:dyDescent="0.25">
      <c r="A3616"/>
    </row>
    <row r="3617" spans="1:1" x14ac:dyDescent="0.25">
      <c r="A3617"/>
    </row>
    <row r="3618" spans="1:1" x14ac:dyDescent="0.25">
      <c r="A3618"/>
    </row>
    <row r="3619" spans="1:1" x14ac:dyDescent="0.25">
      <c r="A3619"/>
    </row>
    <row r="3620" spans="1:1" x14ac:dyDescent="0.25">
      <c r="A3620"/>
    </row>
    <row r="3621" spans="1:1" x14ac:dyDescent="0.25">
      <c r="A3621"/>
    </row>
    <row r="3622" spans="1:1" x14ac:dyDescent="0.25">
      <c r="A3622"/>
    </row>
    <row r="3623" spans="1:1" x14ac:dyDescent="0.25">
      <c r="A3623"/>
    </row>
    <row r="3624" spans="1:1" x14ac:dyDescent="0.25">
      <c r="A3624"/>
    </row>
    <row r="3625" spans="1:1" x14ac:dyDescent="0.25">
      <c r="A3625"/>
    </row>
    <row r="3626" spans="1:1" x14ac:dyDescent="0.25">
      <c r="A3626"/>
    </row>
    <row r="3627" spans="1:1" x14ac:dyDescent="0.25">
      <c r="A3627"/>
    </row>
    <row r="3628" spans="1:1" x14ac:dyDescent="0.25">
      <c r="A3628"/>
    </row>
    <row r="3629" spans="1:1" x14ac:dyDescent="0.25">
      <c r="A3629"/>
    </row>
    <row r="3630" spans="1:1" x14ac:dyDescent="0.25">
      <c r="A3630"/>
    </row>
    <row r="3631" spans="1:1" x14ac:dyDescent="0.25">
      <c r="A3631"/>
    </row>
    <row r="3632" spans="1:1" x14ac:dyDescent="0.25">
      <c r="A3632"/>
    </row>
    <row r="3633" spans="1:1" x14ac:dyDescent="0.25">
      <c r="A3633"/>
    </row>
    <row r="3634" spans="1:1" x14ac:dyDescent="0.25">
      <c r="A3634"/>
    </row>
    <row r="3635" spans="1:1" x14ac:dyDescent="0.25">
      <c r="A3635"/>
    </row>
    <row r="3636" spans="1:1" x14ac:dyDescent="0.25">
      <c r="A3636"/>
    </row>
    <row r="3637" spans="1:1" x14ac:dyDescent="0.25">
      <c r="A3637"/>
    </row>
    <row r="3638" spans="1:1" x14ac:dyDescent="0.25">
      <c r="A3638"/>
    </row>
    <row r="3639" spans="1:1" x14ac:dyDescent="0.25">
      <c r="A3639"/>
    </row>
    <row r="3640" spans="1:1" x14ac:dyDescent="0.25">
      <c r="A3640"/>
    </row>
    <row r="3641" spans="1:1" x14ac:dyDescent="0.25">
      <c r="A3641"/>
    </row>
    <row r="3642" spans="1:1" x14ac:dyDescent="0.25">
      <c r="A3642"/>
    </row>
    <row r="3643" spans="1:1" x14ac:dyDescent="0.25">
      <c r="A3643"/>
    </row>
    <row r="3644" spans="1:1" x14ac:dyDescent="0.25">
      <c r="A3644"/>
    </row>
    <row r="3645" spans="1:1" x14ac:dyDescent="0.25">
      <c r="A3645"/>
    </row>
    <row r="3646" spans="1:1" x14ac:dyDescent="0.25">
      <c r="A3646"/>
    </row>
    <row r="3647" spans="1:1" x14ac:dyDescent="0.25">
      <c r="A3647"/>
    </row>
    <row r="3648" spans="1:1" x14ac:dyDescent="0.25">
      <c r="A3648"/>
    </row>
    <row r="3649" spans="1:1" x14ac:dyDescent="0.25">
      <c r="A3649"/>
    </row>
    <row r="3650" spans="1:1" x14ac:dyDescent="0.25">
      <c r="A3650"/>
    </row>
    <row r="3651" spans="1:1" x14ac:dyDescent="0.25">
      <c r="A3651"/>
    </row>
    <row r="3652" spans="1:1" x14ac:dyDescent="0.25">
      <c r="A3652"/>
    </row>
    <row r="3653" spans="1:1" x14ac:dyDescent="0.25">
      <c r="A3653"/>
    </row>
    <row r="3654" spans="1:1" x14ac:dyDescent="0.25">
      <c r="A3654"/>
    </row>
    <row r="3655" spans="1:1" x14ac:dyDescent="0.25">
      <c r="A3655"/>
    </row>
    <row r="3656" spans="1:1" x14ac:dyDescent="0.25">
      <c r="A3656"/>
    </row>
    <row r="3657" spans="1:1" x14ac:dyDescent="0.25">
      <c r="A3657"/>
    </row>
    <row r="3658" spans="1:1" x14ac:dyDescent="0.25">
      <c r="A3658"/>
    </row>
    <row r="3659" spans="1:1" x14ac:dyDescent="0.25">
      <c r="A3659"/>
    </row>
    <row r="3660" spans="1:1" x14ac:dyDescent="0.25">
      <c r="A3660"/>
    </row>
    <row r="3661" spans="1:1" x14ac:dyDescent="0.25">
      <c r="A3661"/>
    </row>
    <row r="3662" spans="1:1" x14ac:dyDescent="0.25">
      <c r="A3662"/>
    </row>
    <row r="3663" spans="1:1" x14ac:dyDescent="0.25">
      <c r="A3663"/>
    </row>
    <row r="3664" spans="1:1" x14ac:dyDescent="0.25">
      <c r="A3664"/>
    </row>
    <row r="3665" spans="1:1" x14ac:dyDescent="0.25">
      <c r="A3665"/>
    </row>
    <row r="3666" spans="1:1" x14ac:dyDescent="0.25">
      <c r="A3666"/>
    </row>
    <row r="3667" spans="1:1" x14ac:dyDescent="0.25">
      <c r="A3667"/>
    </row>
    <row r="3668" spans="1:1" x14ac:dyDescent="0.25">
      <c r="A3668"/>
    </row>
    <row r="3669" spans="1:1" x14ac:dyDescent="0.25">
      <c r="A3669"/>
    </row>
    <row r="3670" spans="1:1" x14ac:dyDescent="0.25">
      <c r="A3670"/>
    </row>
    <row r="3671" spans="1:1" x14ac:dyDescent="0.25">
      <c r="A3671"/>
    </row>
    <row r="3672" spans="1:1" x14ac:dyDescent="0.25">
      <c r="A3672"/>
    </row>
    <row r="3673" spans="1:1" x14ac:dyDescent="0.25">
      <c r="A3673"/>
    </row>
    <row r="3674" spans="1:1" x14ac:dyDescent="0.25">
      <c r="A3674"/>
    </row>
    <row r="3675" spans="1:1" x14ac:dyDescent="0.25">
      <c r="A3675"/>
    </row>
    <row r="3676" spans="1:1" x14ac:dyDescent="0.25">
      <c r="A3676"/>
    </row>
    <row r="3677" spans="1:1" x14ac:dyDescent="0.25">
      <c r="A3677"/>
    </row>
    <row r="3678" spans="1:1" x14ac:dyDescent="0.25">
      <c r="A3678"/>
    </row>
    <row r="3679" spans="1:1" x14ac:dyDescent="0.25">
      <c r="A3679"/>
    </row>
    <row r="3680" spans="1:1" x14ac:dyDescent="0.25">
      <c r="A3680"/>
    </row>
    <row r="3681" spans="1:1" x14ac:dyDescent="0.25">
      <c r="A3681"/>
    </row>
    <row r="3682" spans="1:1" x14ac:dyDescent="0.25">
      <c r="A3682"/>
    </row>
    <row r="3683" spans="1:1" x14ac:dyDescent="0.25">
      <c r="A3683"/>
    </row>
    <row r="3684" spans="1:1" x14ac:dyDescent="0.25">
      <c r="A3684"/>
    </row>
    <row r="3685" spans="1:1" x14ac:dyDescent="0.25">
      <c r="A3685"/>
    </row>
    <row r="3686" spans="1:1" x14ac:dyDescent="0.25">
      <c r="A3686"/>
    </row>
    <row r="3687" spans="1:1" x14ac:dyDescent="0.25">
      <c r="A3687"/>
    </row>
    <row r="3688" spans="1:1" x14ac:dyDescent="0.25">
      <c r="A3688"/>
    </row>
    <row r="3689" spans="1:1" x14ac:dyDescent="0.25">
      <c r="A3689"/>
    </row>
    <row r="3690" spans="1:1" x14ac:dyDescent="0.25">
      <c r="A3690"/>
    </row>
    <row r="3691" spans="1:1" x14ac:dyDescent="0.25">
      <c r="A3691"/>
    </row>
    <row r="3692" spans="1:1" x14ac:dyDescent="0.25">
      <c r="A3692"/>
    </row>
    <row r="3693" spans="1:1" x14ac:dyDescent="0.25">
      <c r="A3693"/>
    </row>
    <row r="3694" spans="1:1" x14ac:dyDescent="0.25">
      <c r="A3694"/>
    </row>
    <row r="3695" spans="1:1" x14ac:dyDescent="0.25">
      <c r="A3695"/>
    </row>
    <row r="3696" spans="1:1" x14ac:dyDescent="0.25">
      <c r="A3696"/>
    </row>
    <row r="3697" spans="1:1" x14ac:dyDescent="0.25">
      <c r="A3697"/>
    </row>
    <row r="3698" spans="1:1" x14ac:dyDescent="0.25">
      <c r="A3698"/>
    </row>
    <row r="3699" spans="1:1" x14ac:dyDescent="0.25">
      <c r="A3699"/>
    </row>
    <row r="3700" spans="1:1" x14ac:dyDescent="0.25">
      <c r="A3700"/>
    </row>
    <row r="3701" spans="1:1" x14ac:dyDescent="0.25">
      <c r="A3701"/>
    </row>
    <row r="3702" spans="1:1" x14ac:dyDescent="0.25">
      <c r="A3702"/>
    </row>
    <row r="3703" spans="1:1" x14ac:dyDescent="0.25">
      <c r="A3703"/>
    </row>
    <row r="3704" spans="1:1" x14ac:dyDescent="0.25">
      <c r="A3704"/>
    </row>
    <row r="3705" spans="1:1" x14ac:dyDescent="0.25">
      <c r="A3705"/>
    </row>
    <row r="3706" spans="1:1" x14ac:dyDescent="0.25">
      <c r="A3706"/>
    </row>
    <row r="3707" spans="1:1" x14ac:dyDescent="0.25">
      <c r="A3707"/>
    </row>
    <row r="3708" spans="1:1" x14ac:dyDescent="0.25">
      <c r="A3708"/>
    </row>
    <row r="3709" spans="1:1" x14ac:dyDescent="0.25">
      <c r="A3709"/>
    </row>
    <row r="3710" spans="1:1" x14ac:dyDescent="0.25">
      <c r="A3710"/>
    </row>
    <row r="3711" spans="1:1" x14ac:dyDescent="0.25">
      <c r="A3711"/>
    </row>
    <row r="3712" spans="1:1" x14ac:dyDescent="0.25">
      <c r="A3712"/>
    </row>
    <row r="3713" spans="1:1" x14ac:dyDescent="0.25">
      <c r="A3713"/>
    </row>
    <row r="3714" spans="1:1" x14ac:dyDescent="0.25">
      <c r="A3714"/>
    </row>
    <row r="3715" spans="1:1" x14ac:dyDescent="0.25">
      <c r="A3715"/>
    </row>
    <row r="3716" spans="1:1" x14ac:dyDescent="0.25">
      <c r="A3716"/>
    </row>
    <row r="3717" spans="1:1" x14ac:dyDescent="0.25">
      <c r="A3717"/>
    </row>
    <row r="3718" spans="1:1" x14ac:dyDescent="0.25">
      <c r="A3718"/>
    </row>
    <row r="3719" spans="1:1" x14ac:dyDescent="0.25">
      <c r="A3719"/>
    </row>
    <row r="3720" spans="1:1" x14ac:dyDescent="0.25">
      <c r="A3720"/>
    </row>
    <row r="3721" spans="1:1" x14ac:dyDescent="0.25">
      <c r="A3721"/>
    </row>
    <row r="3722" spans="1:1" x14ac:dyDescent="0.25">
      <c r="A3722"/>
    </row>
    <row r="3723" spans="1:1" x14ac:dyDescent="0.25">
      <c r="A3723"/>
    </row>
    <row r="3724" spans="1:1" x14ac:dyDescent="0.25">
      <c r="A3724"/>
    </row>
    <row r="3725" spans="1:1" x14ac:dyDescent="0.25">
      <c r="A3725"/>
    </row>
    <row r="3726" spans="1:1" x14ac:dyDescent="0.25">
      <c r="A3726"/>
    </row>
    <row r="3727" spans="1:1" x14ac:dyDescent="0.25">
      <c r="A3727"/>
    </row>
    <row r="3728" spans="1:1" x14ac:dyDescent="0.25">
      <c r="A3728"/>
    </row>
    <row r="3729" spans="1:1" x14ac:dyDescent="0.25">
      <c r="A3729"/>
    </row>
    <row r="3730" spans="1:1" x14ac:dyDescent="0.25">
      <c r="A3730"/>
    </row>
    <row r="3731" spans="1:1" x14ac:dyDescent="0.25">
      <c r="A3731"/>
    </row>
    <row r="3732" spans="1:1" x14ac:dyDescent="0.25">
      <c r="A3732"/>
    </row>
    <row r="3733" spans="1:1" x14ac:dyDescent="0.25">
      <c r="A3733"/>
    </row>
    <row r="3734" spans="1:1" x14ac:dyDescent="0.25">
      <c r="A3734"/>
    </row>
    <row r="3735" spans="1:1" x14ac:dyDescent="0.25">
      <c r="A3735"/>
    </row>
    <row r="3736" spans="1:1" x14ac:dyDescent="0.25">
      <c r="A3736"/>
    </row>
    <row r="3737" spans="1:1" x14ac:dyDescent="0.25">
      <c r="A3737"/>
    </row>
    <row r="3738" spans="1:1" x14ac:dyDescent="0.25">
      <c r="A3738"/>
    </row>
    <row r="3739" spans="1:1" x14ac:dyDescent="0.25">
      <c r="A3739"/>
    </row>
    <row r="3740" spans="1:1" x14ac:dyDescent="0.25">
      <c r="A3740"/>
    </row>
    <row r="3741" spans="1:1" x14ac:dyDescent="0.25">
      <c r="A3741"/>
    </row>
    <row r="3742" spans="1:1" x14ac:dyDescent="0.25">
      <c r="A3742"/>
    </row>
    <row r="3743" spans="1:1" x14ac:dyDescent="0.25">
      <c r="A3743"/>
    </row>
    <row r="3744" spans="1:1" x14ac:dyDescent="0.25">
      <c r="A3744"/>
    </row>
    <row r="3745" spans="1:1" x14ac:dyDescent="0.25">
      <c r="A3745"/>
    </row>
    <row r="3746" spans="1:1" x14ac:dyDescent="0.25">
      <c r="A3746"/>
    </row>
    <row r="3747" spans="1:1" x14ac:dyDescent="0.25">
      <c r="A3747"/>
    </row>
    <row r="3748" spans="1:1" x14ac:dyDescent="0.25">
      <c r="A3748"/>
    </row>
    <row r="3749" spans="1:1" x14ac:dyDescent="0.25">
      <c r="A3749"/>
    </row>
    <row r="3750" spans="1:1" x14ac:dyDescent="0.25">
      <c r="A3750"/>
    </row>
    <row r="3751" spans="1:1" x14ac:dyDescent="0.25">
      <c r="A3751"/>
    </row>
    <row r="3752" spans="1:1" x14ac:dyDescent="0.25">
      <c r="A3752"/>
    </row>
    <row r="3753" spans="1:1" x14ac:dyDescent="0.25">
      <c r="A3753"/>
    </row>
    <row r="3754" spans="1:1" x14ac:dyDescent="0.25">
      <c r="A3754"/>
    </row>
    <row r="3755" spans="1:1" x14ac:dyDescent="0.25">
      <c r="A3755"/>
    </row>
    <row r="3756" spans="1:1" x14ac:dyDescent="0.25">
      <c r="A3756"/>
    </row>
    <row r="3757" spans="1:1" x14ac:dyDescent="0.25">
      <c r="A3757"/>
    </row>
    <row r="3758" spans="1:1" x14ac:dyDescent="0.25">
      <c r="A3758"/>
    </row>
    <row r="3759" spans="1:1" x14ac:dyDescent="0.25">
      <c r="A3759"/>
    </row>
    <row r="3760" spans="1:1" x14ac:dyDescent="0.25">
      <c r="A3760"/>
    </row>
    <row r="3761" spans="1:1" x14ac:dyDescent="0.25">
      <c r="A3761"/>
    </row>
    <row r="3762" spans="1:1" x14ac:dyDescent="0.25">
      <c r="A3762"/>
    </row>
    <row r="3763" spans="1:1" x14ac:dyDescent="0.25">
      <c r="A3763"/>
    </row>
    <row r="3764" spans="1:1" x14ac:dyDescent="0.25">
      <c r="A3764"/>
    </row>
    <row r="3765" spans="1:1" x14ac:dyDescent="0.25">
      <c r="A3765"/>
    </row>
    <row r="3766" spans="1:1" x14ac:dyDescent="0.25">
      <c r="A3766"/>
    </row>
    <row r="3767" spans="1:1" x14ac:dyDescent="0.25">
      <c r="A3767"/>
    </row>
    <row r="3768" spans="1:1" x14ac:dyDescent="0.25">
      <c r="A3768"/>
    </row>
    <row r="3769" spans="1:1" x14ac:dyDescent="0.25">
      <c r="A3769"/>
    </row>
    <row r="3770" spans="1:1" x14ac:dyDescent="0.25">
      <c r="A3770"/>
    </row>
    <row r="3771" spans="1:1" x14ac:dyDescent="0.25">
      <c r="A3771"/>
    </row>
    <row r="3772" spans="1:1" x14ac:dyDescent="0.25">
      <c r="A3772"/>
    </row>
    <row r="3773" spans="1:1" x14ac:dyDescent="0.25">
      <c r="A3773"/>
    </row>
    <row r="3774" spans="1:1" x14ac:dyDescent="0.25">
      <c r="A3774"/>
    </row>
    <row r="3775" spans="1:1" x14ac:dyDescent="0.25">
      <c r="A3775"/>
    </row>
    <row r="3776" spans="1:1" x14ac:dyDescent="0.25">
      <c r="A3776"/>
    </row>
    <row r="3777" spans="1:1" x14ac:dyDescent="0.25">
      <c r="A3777"/>
    </row>
    <row r="3778" spans="1:1" x14ac:dyDescent="0.25">
      <c r="A3778"/>
    </row>
    <row r="3779" spans="1:1" x14ac:dyDescent="0.25">
      <c r="A3779"/>
    </row>
    <row r="3780" spans="1:1" x14ac:dyDescent="0.25">
      <c r="A3780"/>
    </row>
    <row r="3781" spans="1:1" x14ac:dyDescent="0.25">
      <c r="A3781"/>
    </row>
    <row r="3782" spans="1:1" x14ac:dyDescent="0.25">
      <c r="A3782"/>
    </row>
    <row r="3783" spans="1:1" x14ac:dyDescent="0.25">
      <c r="A3783"/>
    </row>
    <row r="3784" spans="1:1" x14ac:dyDescent="0.25">
      <c r="A3784"/>
    </row>
    <row r="3785" spans="1:1" x14ac:dyDescent="0.25">
      <c r="A3785"/>
    </row>
    <row r="3786" spans="1:1" x14ac:dyDescent="0.25">
      <c r="A3786"/>
    </row>
    <row r="3787" spans="1:1" x14ac:dyDescent="0.25">
      <c r="A3787"/>
    </row>
    <row r="3788" spans="1:1" x14ac:dyDescent="0.25">
      <c r="A3788"/>
    </row>
    <row r="3789" spans="1:1" x14ac:dyDescent="0.25">
      <c r="A3789"/>
    </row>
    <row r="3790" spans="1:1" x14ac:dyDescent="0.25">
      <c r="A3790"/>
    </row>
    <row r="3791" spans="1:1" x14ac:dyDescent="0.25">
      <c r="A3791"/>
    </row>
    <row r="3792" spans="1:1" x14ac:dyDescent="0.25">
      <c r="A3792"/>
    </row>
    <row r="3793" spans="1:1" x14ac:dyDescent="0.25">
      <c r="A3793"/>
    </row>
    <row r="3794" spans="1:1" x14ac:dyDescent="0.25">
      <c r="A3794"/>
    </row>
    <row r="3795" spans="1:1" x14ac:dyDescent="0.25">
      <c r="A3795"/>
    </row>
    <row r="3796" spans="1:1" x14ac:dyDescent="0.25">
      <c r="A3796"/>
    </row>
    <row r="3797" spans="1:1" x14ac:dyDescent="0.25">
      <c r="A3797"/>
    </row>
    <row r="3798" spans="1:1" x14ac:dyDescent="0.25">
      <c r="A3798"/>
    </row>
    <row r="3799" spans="1:1" x14ac:dyDescent="0.25">
      <c r="A3799"/>
    </row>
    <row r="3800" spans="1:1" x14ac:dyDescent="0.25">
      <c r="A3800"/>
    </row>
    <row r="3801" spans="1:1" x14ac:dyDescent="0.25">
      <c r="A3801"/>
    </row>
    <row r="3802" spans="1:1" x14ac:dyDescent="0.25">
      <c r="A3802"/>
    </row>
    <row r="3803" spans="1:1" x14ac:dyDescent="0.25">
      <c r="A3803"/>
    </row>
    <row r="3804" spans="1:1" x14ac:dyDescent="0.25">
      <c r="A3804"/>
    </row>
    <row r="3805" spans="1:1" x14ac:dyDescent="0.25">
      <c r="A3805"/>
    </row>
    <row r="3806" spans="1:1" x14ac:dyDescent="0.25">
      <c r="A3806"/>
    </row>
    <row r="3807" spans="1:1" x14ac:dyDescent="0.25">
      <c r="A3807"/>
    </row>
    <row r="3808" spans="1:1" x14ac:dyDescent="0.25">
      <c r="A3808"/>
    </row>
    <row r="3809" spans="1:1" x14ac:dyDescent="0.25">
      <c r="A3809"/>
    </row>
    <row r="3810" spans="1:1" x14ac:dyDescent="0.25">
      <c r="A3810"/>
    </row>
    <row r="3811" spans="1:1" x14ac:dyDescent="0.25">
      <c r="A3811"/>
    </row>
    <row r="3812" spans="1:1" x14ac:dyDescent="0.25">
      <c r="A3812"/>
    </row>
    <row r="3813" spans="1:1" x14ac:dyDescent="0.25">
      <c r="A3813"/>
    </row>
    <row r="3814" spans="1:1" x14ac:dyDescent="0.25">
      <c r="A3814"/>
    </row>
    <row r="3815" spans="1:1" x14ac:dyDescent="0.25">
      <c r="A3815"/>
    </row>
    <row r="3816" spans="1:1" x14ac:dyDescent="0.25">
      <c r="A3816"/>
    </row>
    <row r="3817" spans="1:1" x14ac:dyDescent="0.25">
      <c r="A3817"/>
    </row>
    <row r="3818" spans="1:1" x14ac:dyDescent="0.25">
      <c r="A3818"/>
    </row>
    <row r="3819" spans="1:1" x14ac:dyDescent="0.25">
      <c r="A3819"/>
    </row>
    <row r="3820" spans="1:1" x14ac:dyDescent="0.25">
      <c r="A3820"/>
    </row>
    <row r="3821" spans="1:1" x14ac:dyDescent="0.25">
      <c r="A3821"/>
    </row>
    <row r="3822" spans="1:1" x14ac:dyDescent="0.25">
      <c r="A3822"/>
    </row>
    <row r="3823" spans="1:1" x14ac:dyDescent="0.25">
      <c r="A3823"/>
    </row>
    <row r="3824" spans="1:1" x14ac:dyDescent="0.25">
      <c r="A3824"/>
    </row>
    <row r="3825" spans="1:1" x14ac:dyDescent="0.25">
      <c r="A3825"/>
    </row>
    <row r="3826" spans="1:1" x14ac:dyDescent="0.25">
      <c r="A3826"/>
    </row>
    <row r="3827" spans="1:1" x14ac:dyDescent="0.25">
      <c r="A3827"/>
    </row>
    <row r="3828" spans="1:1" x14ac:dyDescent="0.25">
      <c r="A3828"/>
    </row>
    <row r="3829" spans="1:1" x14ac:dyDescent="0.25">
      <c r="A3829"/>
    </row>
    <row r="3830" spans="1:1" x14ac:dyDescent="0.25">
      <c r="A3830"/>
    </row>
    <row r="3831" spans="1:1" x14ac:dyDescent="0.25">
      <c r="A3831"/>
    </row>
    <row r="3832" spans="1:1" x14ac:dyDescent="0.25">
      <c r="A3832"/>
    </row>
    <row r="3833" spans="1:1" x14ac:dyDescent="0.25">
      <c r="A3833"/>
    </row>
    <row r="3834" spans="1:1" x14ac:dyDescent="0.25">
      <c r="A3834"/>
    </row>
    <row r="3835" spans="1:1" x14ac:dyDescent="0.25">
      <c r="A3835"/>
    </row>
    <row r="3836" spans="1:1" x14ac:dyDescent="0.25">
      <c r="A3836"/>
    </row>
    <row r="3837" spans="1:1" x14ac:dyDescent="0.25">
      <c r="A3837"/>
    </row>
    <row r="3838" spans="1:1" x14ac:dyDescent="0.25">
      <c r="A3838"/>
    </row>
    <row r="3839" spans="1:1" x14ac:dyDescent="0.25">
      <c r="A3839"/>
    </row>
    <row r="3840" spans="1:1" x14ac:dyDescent="0.25">
      <c r="A3840"/>
    </row>
    <row r="3841" spans="1:1" x14ac:dyDescent="0.25">
      <c r="A3841"/>
    </row>
    <row r="3842" spans="1:1" x14ac:dyDescent="0.25">
      <c r="A3842"/>
    </row>
    <row r="3843" spans="1:1" x14ac:dyDescent="0.25">
      <c r="A3843"/>
    </row>
    <row r="3844" spans="1:1" x14ac:dyDescent="0.25">
      <c r="A3844"/>
    </row>
    <row r="3845" spans="1:1" x14ac:dyDescent="0.25">
      <c r="A3845"/>
    </row>
    <row r="3846" spans="1:1" x14ac:dyDescent="0.25">
      <c r="A3846"/>
    </row>
    <row r="3847" spans="1:1" x14ac:dyDescent="0.25">
      <c r="A3847"/>
    </row>
    <row r="3848" spans="1:1" x14ac:dyDescent="0.25">
      <c r="A3848"/>
    </row>
    <row r="3849" spans="1:1" x14ac:dyDescent="0.25">
      <c r="A3849"/>
    </row>
    <row r="3850" spans="1:1" x14ac:dyDescent="0.25">
      <c r="A3850"/>
    </row>
    <row r="3851" spans="1:1" x14ac:dyDescent="0.25">
      <c r="A3851"/>
    </row>
    <row r="3852" spans="1:1" x14ac:dyDescent="0.25">
      <c r="A3852"/>
    </row>
    <row r="3853" spans="1:1" x14ac:dyDescent="0.25">
      <c r="A3853"/>
    </row>
    <row r="3854" spans="1:1" x14ac:dyDescent="0.25">
      <c r="A3854"/>
    </row>
    <row r="3855" spans="1:1" x14ac:dyDescent="0.25">
      <c r="A3855"/>
    </row>
    <row r="3856" spans="1:1" x14ac:dyDescent="0.25">
      <c r="A3856"/>
    </row>
    <row r="3857" spans="1:1" x14ac:dyDescent="0.25">
      <c r="A3857"/>
    </row>
    <row r="3858" spans="1:1" x14ac:dyDescent="0.25">
      <c r="A3858"/>
    </row>
    <row r="3859" spans="1:1" x14ac:dyDescent="0.25">
      <c r="A3859"/>
    </row>
    <row r="3860" spans="1:1" x14ac:dyDescent="0.25">
      <c r="A3860"/>
    </row>
    <row r="3861" spans="1:1" x14ac:dyDescent="0.25">
      <c r="A3861"/>
    </row>
    <row r="3862" spans="1:1" x14ac:dyDescent="0.25">
      <c r="A3862"/>
    </row>
    <row r="3863" spans="1:1" x14ac:dyDescent="0.25">
      <c r="A3863"/>
    </row>
    <row r="3864" spans="1:1" x14ac:dyDescent="0.25">
      <c r="A3864"/>
    </row>
    <row r="3865" spans="1:1" x14ac:dyDescent="0.25">
      <c r="A3865"/>
    </row>
    <row r="3866" spans="1:1" x14ac:dyDescent="0.25">
      <c r="A3866"/>
    </row>
    <row r="3867" spans="1:1" x14ac:dyDescent="0.25">
      <c r="A3867"/>
    </row>
    <row r="3868" spans="1:1" x14ac:dyDescent="0.25">
      <c r="A3868"/>
    </row>
    <row r="3869" spans="1:1" x14ac:dyDescent="0.25">
      <c r="A3869"/>
    </row>
    <row r="3870" spans="1:1" x14ac:dyDescent="0.25">
      <c r="A3870"/>
    </row>
    <row r="3871" spans="1:1" x14ac:dyDescent="0.25">
      <c r="A3871"/>
    </row>
    <row r="3872" spans="1:1" x14ac:dyDescent="0.25">
      <c r="A3872"/>
    </row>
    <row r="3873" spans="1:1" x14ac:dyDescent="0.25">
      <c r="A3873"/>
    </row>
    <row r="3874" spans="1:1" x14ac:dyDescent="0.25">
      <c r="A3874"/>
    </row>
    <row r="3875" spans="1:1" x14ac:dyDescent="0.25">
      <c r="A3875"/>
    </row>
    <row r="3876" spans="1:1" x14ac:dyDescent="0.25">
      <c r="A3876"/>
    </row>
    <row r="3877" spans="1:1" x14ac:dyDescent="0.25">
      <c r="A3877"/>
    </row>
    <row r="3878" spans="1:1" x14ac:dyDescent="0.25">
      <c r="A3878"/>
    </row>
    <row r="3879" spans="1:1" x14ac:dyDescent="0.25">
      <c r="A3879"/>
    </row>
    <row r="3880" spans="1:1" x14ac:dyDescent="0.25">
      <c r="A3880"/>
    </row>
    <row r="3881" spans="1:1" x14ac:dyDescent="0.25">
      <c r="A3881"/>
    </row>
    <row r="3882" spans="1:1" x14ac:dyDescent="0.25">
      <c r="A3882"/>
    </row>
    <row r="3883" spans="1:1" x14ac:dyDescent="0.25">
      <c r="A3883"/>
    </row>
    <row r="3884" spans="1:1" x14ac:dyDescent="0.25">
      <c r="A3884"/>
    </row>
    <row r="3885" spans="1:1" x14ac:dyDescent="0.25">
      <c r="A3885"/>
    </row>
    <row r="3886" spans="1:1" x14ac:dyDescent="0.25">
      <c r="A3886"/>
    </row>
    <row r="3887" spans="1:1" x14ac:dyDescent="0.25">
      <c r="A3887"/>
    </row>
    <row r="3888" spans="1:1" x14ac:dyDescent="0.25">
      <c r="A3888"/>
    </row>
    <row r="3889" spans="1:1" x14ac:dyDescent="0.25">
      <c r="A3889"/>
    </row>
    <row r="3890" spans="1:1" x14ac:dyDescent="0.25">
      <c r="A3890"/>
    </row>
    <row r="3891" spans="1:1" x14ac:dyDescent="0.25">
      <c r="A3891"/>
    </row>
    <row r="3892" spans="1:1" x14ac:dyDescent="0.25">
      <c r="A3892"/>
    </row>
    <row r="3893" spans="1:1" x14ac:dyDescent="0.25">
      <c r="A3893"/>
    </row>
    <row r="3894" spans="1:1" x14ac:dyDescent="0.25">
      <c r="A3894"/>
    </row>
    <row r="3895" spans="1:1" x14ac:dyDescent="0.25">
      <c r="A3895"/>
    </row>
    <row r="3896" spans="1:1" x14ac:dyDescent="0.25">
      <c r="A3896"/>
    </row>
    <row r="3897" spans="1:1" x14ac:dyDescent="0.25">
      <c r="A3897"/>
    </row>
    <row r="3898" spans="1:1" x14ac:dyDescent="0.25">
      <c r="A3898"/>
    </row>
    <row r="3899" spans="1:1" x14ac:dyDescent="0.25">
      <c r="A3899"/>
    </row>
    <row r="3900" spans="1:1" x14ac:dyDescent="0.25">
      <c r="A3900"/>
    </row>
    <row r="3901" spans="1:1" x14ac:dyDescent="0.25">
      <c r="A3901"/>
    </row>
    <row r="3902" spans="1:1" x14ac:dyDescent="0.25">
      <c r="A3902"/>
    </row>
    <row r="3903" spans="1:1" x14ac:dyDescent="0.25">
      <c r="A3903"/>
    </row>
    <row r="3904" spans="1:1" x14ac:dyDescent="0.25">
      <c r="A3904"/>
    </row>
    <row r="3905" spans="1:1" x14ac:dyDescent="0.25">
      <c r="A3905"/>
    </row>
    <row r="3906" spans="1:1" x14ac:dyDescent="0.25">
      <c r="A3906"/>
    </row>
    <row r="3907" spans="1:1" x14ac:dyDescent="0.25">
      <c r="A3907"/>
    </row>
    <row r="3908" spans="1:1" x14ac:dyDescent="0.25">
      <c r="A3908"/>
    </row>
    <row r="3909" spans="1:1" x14ac:dyDescent="0.25">
      <c r="A3909"/>
    </row>
    <row r="3910" spans="1:1" x14ac:dyDescent="0.25">
      <c r="A3910"/>
    </row>
    <row r="3911" spans="1:1" x14ac:dyDescent="0.25">
      <c r="A3911"/>
    </row>
    <row r="3912" spans="1:1" x14ac:dyDescent="0.25">
      <c r="A3912"/>
    </row>
    <row r="3913" spans="1:1" x14ac:dyDescent="0.25">
      <c r="A3913"/>
    </row>
    <row r="3914" spans="1:1" x14ac:dyDescent="0.25">
      <c r="A3914"/>
    </row>
    <row r="3915" spans="1:1" x14ac:dyDescent="0.25">
      <c r="A3915"/>
    </row>
    <row r="3916" spans="1:1" x14ac:dyDescent="0.25">
      <c r="A3916"/>
    </row>
    <row r="3917" spans="1:1" x14ac:dyDescent="0.25">
      <c r="A3917"/>
    </row>
    <row r="3918" spans="1:1" x14ac:dyDescent="0.25">
      <c r="A3918"/>
    </row>
    <row r="3919" spans="1:1" x14ac:dyDescent="0.25">
      <c r="A3919"/>
    </row>
    <row r="3920" spans="1:1" x14ac:dyDescent="0.25">
      <c r="A3920"/>
    </row>
    <row r="3921" spans="1:1" x14ac:dyDescent="0.25">
      <c r="A3921"/>
    </row>
    <row r="3922" spans="1:1" x14ac:dyDescent="0.25">
      <c r="A3922"/>
    </row>
    <row r="3923" spans="1:1" x14ac:dyDescent="0.25">
      <c r="A3923"/>
    </row>
    <row r="3924" spans="1:1" x14ac:dyDescent="0.25">
      <c r="A3924"/>
    </row>
    <row r="3925" spans="1:1" x14ac:dyDescent="0.25">
      <c r="A3925"/>
    </row>
    <row r="3926" spans="1:1" x14ac:dyDescent="0.25">
      <c r="A3926"/>
    </row>
    <row r="3927" spans="1:1" x14ac:dyDescent="0.25">
      <c r="A3927"/>
    </row>
    <row r="3928" spans="1:1" x14ac:dyDescent="0.25">
      <c r="A3928"/>
    </row>
    <row r="3929" spans="1:1" x14ac:dyDescent="0.25">
      <c r="A3929"/>
    </row>
    <row r="3930" spans="1:1" x14ac:dyDescent="0.25">
      <c r="A3930"/>
    </row>
    <row r="3931" spans="1:1" x14ac:dyDescent="0.25">
      <c r="A3931"/>
    </row>
    <row r="3932" spans="1:1" x14ac:dyDescent="0.25">
      <c r="A3932"/>
    </row>
    <row r="3933" spans="1:1" x14ac:dyDescent="0.25">
      <c r="A3933"/>
    </row>
    <row r="3934" spans="1:1" x14ac:dyDescent="0.25">
      <c r="A3934"/>
    </row>
    <row r="3935" spans="1:1" x14ac:dyDescent="0.25">
      <c r="A3935"/>
    </row>
    <row r="3936" spans="1:1" x14ac:dyDescent="0.25">
      <c r="A3936"/>
    </row>
    <row r="3937" spans="1:1" x14ac:dyDescent="0.25">
      <c r="A3937"/>
    </row>
    <row r="3938" spans="1:1" x14ac:dyDescent="0.25">
      <c r="A3938"/>
    </row>
    <row r="3939" spans="1:1" x14ac:dyDescent="0.25">
      <c r="A3939"/>
    </row>
    <row r="3940" spans="1:1" x14ac:dyDescent="0.25">
      <c r="A3940"/>
    </row>
    <row r="3941" spans="1:1" x14ac:dyDescent="0.25">
      <c r="A3941"/>
    </row>
    <row r="3942" spans="1:1" x14ac:dyDescent="0.25">
      <c r="A3942"/>
    </row>
    <row r="3943" spans="1:1" x14ac:dyDescent="0.25">
      <c r="A3943"/>
    </row>
    <row r="3944" spans="1:1" x14ac:dyDescent="0.25">
      <c r="A3944"/>
    </row>
    <row r="3945" spans="1:1" x14ac:dyDescent="0.25">
      <c r="A3945"/>
    </row>
    <row r="3946" spans="1:1" x14ac:dyDescent="0.25">
      <c r="A3946"/>
    </row>
    <row r="3947" spans="1:1" x14ac:dyDescent="0.25">
      <c r="A3947"/>
    </row>
    <row r="3948" spans="1:1" x14ac:dyDescent="0.25">
      <c r="A3948"/>
    </row>
    <row r="3949" spans="1:1" x14ac:dyDescent="0.25">
      <c r="A3949"/>
    </row>
    <row r="3950" spans="1:1" x14ac:dyDescent="0.25">
      <c r="A3950"/>
    </row>
    <row r="3951" spans="1:1" x14ac:dyDescent="0.25">
      <c r="A3951"/>
    </row>
    <row r="3952" spans="1:1" x14ac:dyDescent="0.25">
      <c r="A3952"/>
    </row>
    <row r="3953" spans="1:1" x14ac:dyDescent="0.25">
      <c r="A3953"/>
    </row>
    <row r="3954" spans="1:1" x14ac:dyDescent="0.25">
      <c r="A3954"/>
    </row>
    <row r="3955" spans="1:1" x14ac:dyDescent="0.25">
      <c r="A3955"/>
    </row>
    <row r="3956" spans="1:1" x14ac:dyDescent="0.25">
      <c r="A3956"/>
    </row>
    <row r="3957" spans="1:1" x14ac:dyDescent="0.25">
      <c r="A3957"/>
    </row>
    <row r="3958" spans="1:1" x14ac:dyDescent="0.25">
      <c r="A3958"/>
    </row>
    <row r="3959" spans="1:1" x14ac:dyDescent="0.25">
      <c r="A3959"/>
    </row>
    <row r="3960" spans="1:1" x14ac:dyDescent="0.25">
      <c r="A3960"/>
    </row>
    <row r="3961" spans="1:1" x14ac:dyDescent="0.25">
      <c r="A3961"/>
    </row>
    <row r="3962" spans="1:1" x14ac:dyDescent="0.25">
      <c r="A3962"/>
    </row>
    <row r="3963" spans="1:1" x14ac:dyDescent="0.25">
      <c r="A3963"/>
    </row>
    <row r="3964" spans="1:1" x14ac:dyDescent="0.25">
      <c r="A3964"/>
    </row>
    <row r="3965" spans="1:1" x14ac:dyDescent="0.25">
      <c r="A3965"/>
    </row>
    <row r="3966" spans="1:1" x14ac:dyDescent="0.25">
      <c r="A3966"/>
    </row>
    <row r="3967" spans="1:1" x14ac:dyDescent="0.25">
      <c r="A3967"/>
    </row>
    <row r="3968" spans="1:1" x14ac:dyDescent="0.25">
      <c r="A3968"/>
    </row>
    <row r="3969" spans="1:1" x14ac:dyDescent="0.25">
      <c r="A3969"/>
    </row>
    <row r="3970" spans="1:1" x14ac:dyDescent="0.25">
      <c r="A3970"/>
    </row>
    <row r="3971" spans="1:1" x14ac:dyDescent="0.25">
      <c r="A3971"/>
    </row>
    <row r="3972" spans="1:1" x14ac:dyDescent="0.25">
      <c r="A3972"/>
    </row>
    <row r="3973" spans="1:1" x14ac:dyDescent="0.25">
      <c r="A3973"/>
    </row>
    <row r="3974" spans="1:1" x14ac:dyDescent="0.25">
      <c r="A3974"/>
    </row>
    <row r="3975" spans="1:1" x14ac:dyDescent="0.25">
      <c r="A3975"/>
    </row>
    <row r="3976" spans="1:1" x14ac:dyDescent="0.25">
      <c r="A3976"/>
    </row>
    <row r="3977" spans="1:1" x14ac:dyDescent="0.25">
      <c r="A3977"/>
    </row>
    <row r="3978" spans="1:1" x14ac:dyDescent="0.25">
      <c r="A3978"/>
    </row>
    <row r="3979" spans="1:1" x14ac:dyDescent="0.25">
      <c r="A3979"/>
    </row>
    <row r="3980" spans="1:1" x14ac:dyDescent="0.25">
      <c r="A3980"/>
    </row>
    <row r="3981" spans="1:1" x14ac:dyDescent="0.25">
      <c r="A3981"/>
    </row>
    <row r="3982" spans="1:1" x14ac:dyDescent="0.25">
      <c r="A3982"/>
    </row>
    <row r="3983" spans="1:1" x14ac:dyDescent="0.25">
      <c r="A3983"/>
    </row>
    <row r="3984" spans="1:1" x14ac:dyDescent="0.25">
      <c r="A3984"/>
    </row>
    <row r="3985" spans="1:1" x14ac:dyDescent="0.25">
      <c r="A3985"/>
    </row>
    <row r="3986" spans="1:1" x14ac:dyDescent="0.25">
      <c r="A3986"/>
    </row>
    <row r="3987" spans="1:1" x14ac:dyDescent="0.25">
      <c r="A3987"/>
    </row>
    <row r="3988" spans="1:1" x14ac:dyDescent="0.25">
      <c r="A3988"/>
    </row>
    <row r="3989" spans="1:1" x14ac:dyDescent="0.25">
      <c r="A3989"/>
    </row>
    <row r="3990" spans="1:1" x14ac:dyDescent="0.25">
      <c r="A3990"/>
    </row>
    <row r="3991" spans="1:1" x14ac:dyDescent="0.25">
      <c r="A3991"/>
    </row>
    <row r="3992" spans="1:1" x14ac:dyDescent="0.25">
      <c r="A3992"/>
    </row>
    <row r="3993" spans="1:1" x14ac:dyDescent="0.25">
      <c r="A3993"/>
    </row>
    <row r="3994" spans="1:1" x14ac:dyDescent="0.25">
      <c r="A3994"/>
    </row>
    <row r="3995" spans="1:1" x14ac:dyDescent="0.25">
      <c r="A3995"/>
    </row>
    <row r="3996" spans="1:1" x14ac:dyDescent="0.25">
      <c r="A3996"/>
    </row>
    <row r="3997" spans="1:1" x14ac:dyDescent="0.25">
      <c r="A3997"/>
    </row>
    <row r="3998" spans="1:1" x14ac:dyDescent="0.25">
      <c r="A3998"/>
    </row>
    <row r="3999" spans="1:1" x14ac:dyDescent="0.25">
      <c r="A3999"/>
    </row>
    <row r="4000" spans="1:1" x14ac:dyDescent="0.25">
      <c r="A4000"/>
    </row>
    <row r="4001" spans="1:1" x14ac:dyDescent="0.25">
      <c r="A4001"/>
    </row>
    <row r="4002" spans="1:1" x14ac:dyDescent="0.25">
      <c r="A4002"/>
    </row>
    <row r="4003" spans="1:1" x14ac:dyDescent="0.25">
      <c r="A4003"/>
    </row>
    <row r="4004" spans="1:1" x14ac:dyDescent="0.25">
      <c r="A4004"/>
    </row>
    <row r="4005" spans="1:1" x14ac:dyDescent="0.25">
      <c r="A4005"/>
    </row>
    <row r="4006" spans="1:1" x14ac:dyDescent="0.25">
      <c r="A4006"/>
    </row>
    <row r="4007" spans="1:1" x14ac:dyDescent="0.25">
      <c r="A4007"/>
    </row>
    <row r="4008" spans="1:1" x14ac:dyDescent="0.25">
      <c r="A4008"/>
    </row>
    <row r="4009" spans="1:1" x14ac:dyDescent="0.25">
      <c r="A4009"/>
    </row>
    <row r="4010" spans="1:1" x14ac:dyDescent="0.25">
      <c r="A4010"/>
    </row>
    <row r="4011" spans="1:1" x14ac:dyDescent="0.25">
      <c r="A4011"/>
    </row>
    <row r="4012" spans="1:1" x14ac:dyDescent="0.25">
      <c r="A4012"/>
    </row>
    <row r="4013" spans="1:1" x14ac:dyDescent="0.25">
      <c r="A4013"/>
    </row>
    <row r="4014" spans="1:1" x14ac:dyDescent="0.25">
      <c r="A4014"/>
    </row>
    <row r="4015" spans="1:1" x14ac:dyDescent="0.25">
      <c r="A4015"/>
    </row>
    <row r="4016" spans="1:1" x14ac:dyDescent="0.25">
      <c r="A4016"/>
    </row>
    <row r="4017" spans="1:1" x14ac:dyDescent="0.25">
      <c r="A4017"/>
    </row>
    <row r="4018" spans="1:1" x14ac:dyDescent="0.25">
      <c r="A4018"/>
    </row>
    <row r="4019" spans="1:1" x14ac:dyDescent="0.25">
      <c r="A4019"/>
    </row>
    <row r="4020" spans="1:1" x14ac:dyDescent="0.25">
      <c r="A4020"/>
    </row>
    <row r="4021" spans="1:1" x14ac:dyDescent="0.25">
      <c r="A4021"/>
    </row>
    <row r="4022" spans="1:1" x14ac:dyDescent="0.25">
      <c r="A4022"/>
    </row>
    <row r="4023" spans="1:1" x14ac:dyDescent="0.25">
      <c r="A4023"/>
    </row>
    <row r="4024" spans="1:1" x14ac:dyDescent="0.25">
      <c r="A4024"/>
    </row>
    <row r="4025" spans="1:1" x14ac:dyDescent="0.25">
      <c r="A4025"/>
    </row>
    <row r="4026" spans="1:1" x14ac:dyDescent="0.25">
      <c r="A4026"/>
    </row>
    <row r="4027" spans="1:1" x14ac:dyDescent="0.25">
      <c r="A4027"/>
    </row>
    <row r="4028" spans="1:1" x14ac:dyDescent="0.25">
      <c r="A4028"/>
    </row>
    <row r="4029" spans="1:1" x14ac:dyDescent="0.25">
      <c r="A4029"/>
    </row>
    <row r="4030" spans="1:1" x14ac:dyDescent="0.25">
      <c r="A4030"/>
    </row>
    <row r="4031" spans="1:1" x14ac:dyDescent="0.25">
      <c r="A4031"/>
    </row>
    <row r="4032" spans="1:1" x14ac:dyDescent="0.25">
      <c r="A4032"/>
    </row>
    <row r="4033" spans="1:1" x14ac:dyDescent="0.25">
      <c r="A4033"/>
    </row>
    <row r="4034" spans="1:1" x14ac:dyDescent="0.25">
      <c r="A4034"/>
    </row>
    <row r="4035" spans="1:1" x14ac:dyDescent="0.25">
      <c r="A4035"/>
    </row>
    <row r="4036" spans="1:1" x14ac:dyDescent="0.25">
      <c r="A4036"/>
    </row>
    <row r="4037" spans="1:1" x14ac:dyDescent="0.25">
      <c r="A4037"/>
    </row>
    <row r="4038" spans="1:1" x14ac:dyDescent="0.25">
      <c r="A4038"/>
    </row>
    <row r="4039" spans="1:1" x14ac:dyDescent="0.25">
      <c r="A4039"/>
    </row>
    <row r="4040" spans="1:1" x14ac:dyDescent="0.25">
      <c r="A4040"/>
    </row>
    <row r="4041" spans="1:1" x14ac:dyDescent="0.25">
      <c r="A4041"/>
    </row>
    <row r="4042" spans="1:1" x14ac:dyDescent="0.25">
      <c r="A4042"/>
    </row>
    <row r="4043" spans="1:1" x14ac:dyDescent="0.25">
      <c r="A4043"/>
    </row>
    <row r="4044" spans="1:1" x14ac:dyDescent="0.25">
      <c r="A4044"/>
    </row>
    <row r="4045" spans="1:1" x14ac:dyDescent="0.25">
      <c r="A4045"/>
    </row>
    <row r="4046" spans="1:1" x14ac:dyDescent="0.25">
      <c r="A4046"/>
    </row>
    <row r="4047" spans="1:1" x14ac:dyDescent="0.25">
      <c r="A4047"/>
    </row>
    <row r="4048" spans="1:1" x14ac:dyDescent="0.25">
      <c r="A4048"/>
    </row>
    <row r="4049" spans="1:1" x14ac:dyDescent="0.25">
      <c r="A4049"/>
    </row>
    <row r="4050" spans="1:1" x14ac:dyDescent="0.25">
      <c r="A4050"/>
    </row>
    <row r="4051" spans="1:1" x14ac:dyDescent="0.25">
      <c r="A4051"/>
    </row>
    <row r="4052" spans="1:1" x14ac:dyDescent="0.25">
      <c r="A4052"/>
    </row>
    <row r="4053" spans="1:1" x14ac:dyDescent="0.25">
      <c r="A4053"/>
    </row>
    <row r="4054" spans="1:1" x14ac:dyDescent="0.25">
      <c r="A4054"/>
    </row>
    <row r="4055" spans="1:1" x14ac:dyDescent="0.25">
      <c r="A4055"/>
    </row>
    <row r="4056" spans="1:1" x14ac:dyDescent="0.25">
      <c r="A4056"/>
    </row>
    <row r="4057" spans="1:1" x14ac:dyDescent="0.25">
      <c r="A4057"/>
    </row>
    <row r="4058" spans="1:1" x14ac:dyDescent="0.25">
      <c r="A4058"/>
    </row>
    <row r="4059" spans="1:1" x14ac:dyDescent="0.25">
      <c r="A4059"/>
    </row>
    <row r="4060" spans="1:1" x14ac:dyDescent="0.25">
      <c r="A4060"/>
    </row>
    <row r="4061" spans="1:1" x14ac:dyDescent="0.25">
      <c r="A4061"/>
    </row>
    <row r="4062" spans="1:1" x14ac:dyDescent="0.25">
      <c r="A4062"/>
    </row>
    <row r="4063" spans="1:1" x14ac:dyDescent="0.25">
      <c r="A4063"/>
    </row>
    <row r="4064" spans="1:1" x14ac:dyDescent="0.25">
      <c r="A4064"/>
    </row>
    <row r="4065" spans="1:1" x14ac:dyDescent="0.25">
      <c r="A4065"/>
    </row>
    <row r="4066" spans="1:1" x14ac:dyDescent="0.25">
      <c r="A4066"/>
    </row>
    <row r="4067" spans="1:1" x14ac:dyDescent="0.25">
      <c r="A4067"/>
    </row>
    <row r="4068" spans="1:1" x14ac:dyDescent="0.25">
      <c r="A4068"/>
    </row>
    <row r="4069" spans="1:1" x14ac:dyDescent="0.25">
      <c r="A4069"/>
    </row>
    <row r="4070" spans="1:1" x14ac:dyDescent="0.25">
      <c r="A4070"/>
    </row>
    <row r="4071" spans="1:1" x14ac:dyDescent="0.25">
      <c r="A4071"/>
    </row>
    <row r="4072" spans="1:1" x14ac:dyDescent="0.25">
      <c r="A4072"/>
    </row>
    <row r="4073" spans="1:1" x14ac:dyDescent="0.25">
      <c r="A4073"/>
    </row>
    <row r="4074" spans="1:1" x14ac:dyDescent="0.25">
      <c r="A4074"/>
    </row>
    <row r="4075" spans="1:1" x14ac:dyDescent="0.25">
      <c r="A4075"/>
    </row>
    <row r="4076" spans="1:1" x14ac:dyDescent="0.25">
      <c r="A4076"/>
    </row>
    <row r="4077" spans="1:1" x14ac:dyDescent="0.25">
      <c r="A4077"/>
    </row>
    <row r="4078" spans="1:1" x14ac:dyDescent="0.25">
      <c r="A4078"/>
    </row>
    <row r="4079" spans="1:1" x14ac:dyDescent="0.25">
      <c r="A4079"/>
    </row>
    <row r="4080" spans="1:1" x14ac:dyDescent="0.25">
      <c r="A4080"/>
    </row>
    <row r="4081" spans="1:1" x14ac:dyDescent="0.25">
      <c r="A4081"/>
    </row>
    <row r="4082" spans="1:1" x14ac:dyDescent="0.25">
      <c r="A4082"/>
    </row>
    <row r="4083" spans="1:1" x14ac:dyDescent="0.25">
      <c r="A4083"/>
    </row>
    <row r="4084" spans="1:1" x14ac:dyDescent="0.25">
      <c r="A4084"/>
    </row>
    <row r="4085" spans="1:1" x14ac:dyDescent="0.25">
      <c r="A4085"/>
    </row>
    <row r="4086" spans="1:1" x14ac:dyDescent="0.25">
      <c r="A4086"/>
    </row>
    <row r="4087" spans="1:1" x14ac:dyDescent="0.25">
      <c r="A4087"/>
    </row>
    <row r="4088" spans="1:1" x14ac:dyDescent="0.25">
      <c r="A4088"/>
    </row>
    <row r="4089" spans="1:1" x14ac:dyDescent="0.25">
      <c r="A4089"/>
    </row>
    <row r="4090" spans="1:1" x14ac:dyDescent="0.25">
      <c r="A4090"/>
    </row>
    <row r="4091" spans="1:1" x14ac:dyDescent="0.25">
      <c r="A4091"/>
    </row>
    <row r="4092" spans="1:1" x14ac:dyDescent="0.25">
      <c r="A4092"/>
    </row>
    <row r="4093" spans="1:1" x14ac:dyDescent="0.25">
      <c r="A4093"/>
    </row>
    <row r="4094" spans="1:1" x14ac:dyDescent="0.25">
      <c r="A4094"/>
    </row>
    <row r="4095" spans="1:1" x14ac:dyDescent="0.25">
      <c r="A4095"/>
    </row>
    <row r="4096" spans="1:1" x14ac:dyDescent="0.25">
      <c r="A4096"/>
    </row>
    <row r="4097" spans="1:1" x14ac:dyDescent="0.25">
      <c r="A4097"/>
    </row>
    <row r="4098" spans="1:1" x14ac:dyDescent="0.25">
      <c r="A4098"/>
    </row>
    <row r="4099" spans="1:1" x14ac:dyDescent="0.25">
      <c r="A4099"/>
    </row>
    <row r="4100" spans="1:1" x14ac:dyDescent="0.25">
      <c r="A4100"/>
    </row>
    <row r="4101" spans="1:1" x14ac:dyDescent="0.25">
      <c r="A4101"/>
    </row>
    <row r="4102" spans="1:1" x14ac:dyDescent="0.25">
      <c r="A4102"/>
    </row>
    <row r="4103" spans="1:1" x14ac:dyDescent="0.25">
      <c r="A4103"/>
    </row>
    <row r="4104" spans="1:1" x14ac:dyDescent="0.25">
      <c r="A4104"/>
    </row>
    <row r="4105" spans="1:1" x14ac:dyDescent="0.25">
      <c r="A4105"/>
    </row>
    <row r="4106" spans="1:1" x14ac:dyDescent="0.25">
      <c r="A4106"/>
    </row>
    <row r="4107" spans="1:1" x14ac:dyDescent="0.25">
      <c r="A4107"/>
    </row>
    <row r="4108" spans="1:1" x14ac:dyDescent="0.25">
      <c r="A4108"/>
    </row>
    <row r="4109" spans="1:1" x14ac:dyDescent="0.25">
      <c r="A4109"/>
    </row>
    <row r="4110" spans="1:1" x14ac:dyDescent="0.25">
      <c r="A4110"/>
    </row>
    <row r="4111" spans="1:1" x14ac:dyDescent="0.25">
      <c r="A4111"/>
    </row>
    <row r="4112" spans="1:1" x14ac:dyDescent="0.25">
      <c r="A4112"/>
    </row>
    <row r="4113" spans="1:1" x14ac:dyDescent="0.25">
      <c r="A4113"/>
    </row>
    <row r="4114" spans="1:1" x14ac:dyDescent="0.25">
      <c r="A4114"/>
    </row>
    <row r="4115" spans="1:1" x14ac:dyDescent="0.25">
      <c r="A4115"/>
    </row>
    <row r="4116" spans="1:1" x14ac:dyDescent="0.25">
      <c r="A4116"/>
    </row>
    <row r="4117" spans="1:1" x14ac:dyDescent="0.25">
      <c r="A4117"/>
    </row>
    <row r="4118" spans="1:1" x14ac:dyDescent="0.25">
      <c r="A4118"/>
    </row>
    <row r="4119" spans="1:1" x14ac:dyDescent="0.25">
      <c r="A4119"/>
    </row>
    <row r="4120" spans="1:1" x14ac:dyDescent="0.25">
      <c r="A4120"/>
    </row>
    <row r="4121" spans="1:1" x14ac:dyDescent="0.25">
      <c r="A4121"/>
    </row>
    <row r="4122" spans="1:1" x14ac:dyDescent="0.25">
      <c r="A4122"/>
    </row>
    <row r="4123" spans="1:1" x14ac:dyDescent="0.25">
      <c r="A4123"/>
    </row>
    <row r="4124" spans="1:1" x14ac:dyDescent="0.25">
      <c r="A4124"/>
    </row>
    <row r="4125" spans="1:1" x14ac:dyDescent="0.25">
      <c r="A4125"/>
    </row>
    <row r="4126" spans="1:1" x14ac:dyDescent="0.25">
      <c r="A4126"/>
    </row>
    <row r="4127" spans="1:1" x14ac:dyDescent="0.25">
      <c r="A4127"/>
    </row>
    <row r="4128" spans="1:1" x14ac:dyDescent="0.25">
      <c r="A4128"/>
    </row>
    <row r="4129" spans="1:1" x14ac:dyDescent="0.25">
      <c r="A4129"/>
    </row>
    <row r="4130" spans="1:1" x14ac:dyDescent="0.25">
      <c r="A4130"/>
    </row>
    <row r="4131" spans="1:1" x14ac:dyDescent="0.25">
      <c r="A4131"/>
    </row>
    <row r="4132" spans="1:1" x14ac:dyDescent="0.25">
      <c r="A4132"/>
    </row>
    <row r="4133" spans="1:1" x14ac:dyDescent="0.25">
      <c r="A4133"/>
    </row>
    <row r="4134" spans="1:1" x14ac:dyDescent="0.25">
      <c r="A4134"/>
    </row>
    <row r="4135" spans="1:1" x14ac:dyDescent="0.25">
      <c r="A4135"/>
    </row>
    <row r="4136" spans="1:1" x14ac:dyDescent="0.25">
      <c r="A4136"/>
    </row>
    <row r="4137" spans="1:1" x14ac:dyDescent="0.25">
      <c r="A4137"/>
    </row>
    <row r="4138" spans="1:1" x14ac:dyDescent="0.25">
      <c r="A4138"/>
    </row>
    <row r="4139" spans="1:1" x14ac:dyDescent="0.25">
      <c r="A4139"/>
    </row>
    <row r="4140" spans="1:1" x14ac:dyDescent="0.25">
      <c r="A4140"/>
    </row>
    <row r="4141" spans="1:1" x14ac:dyDescent="0.25">
      <c r="A4141"/>
    </row>
    <row r="4142" spans="1:1" x14ac:dyDescent="0.25">
      <c r="A4142"/>
    </row>
    <row r="4143" spans="1:1" x14ac:dyDescent="0.25">
      <c r="A4143"/>
    </row>
    <row r="4144" spans="1:1" x14ac:dyDescent="0.25">
      <c r="A4144"/>
    </row>
    <row r="4145" spans="1:1" x14ac:dyDescent="0.25">
      <c r="A4145"/>
    </row>
    <row r="4146" spans="1:1" x14ac:dyDescent="0.25">
      <c r="A4146"/>
    </row>
    <row r="4147" spans="1:1" x14ac:dyDescent="0.25">
      <c r="A4147"/>
    </row>
    <row r="4148" spans="1:1" x14ac:dyDescent="0.25">
      <c r="A4148"/>
    </row>
    <row r="4149" spans="1:1" x14ac:dyDescent="0.25">
      <c r="A4149"/>
    </row>
    <row r="4150" spans="1:1" x14ac:dyDescent="0.25">
      <c r="A4150"/>
    </row>
    <row r="4151" spans="1:1" x14ac:dyDescent="0.25">
      <c r="A4151"/>
    </row>
    <row r="4152" spans="1:1" x14ac:dyDescent="0.25">
      <c r="A4152"/>
    </row>
    <row r="4153" spans="1:1" x14ac:dyDescent="0.25">
      <c r="A4153"/>
    </row>
    <row r="4154" spans="1:1" x14ac:dyDescent="0.25">
      <c r="A4154"/>
    </row>
    <row r="4155" spans="1:1" x14ac:dyDescent="0.25">
      <c r="A4155"/>
    </row>
    <row r="4156" spans="1:1" x14ac:dyDescent="0.25">
      <c r="A4156"/>
    </row>
    <row r="4157" spans="1:1" x14ac:dyDescent="0.25">
      <c r="A4157"/>
    </row>
    <row r="4158" spans="1:1" x14ac:dyDescent="0.25">
      <c r="A4158"/>
    </row>
    <row r="4159" spans="1:1" x14ac:dyDescent="0.25">
      <c r="A4159"/>
    </row>
    <row r="4160" spans="1:1" x14ac:dyDescent="0.25">
      <c r="A4160"/>
    </row>
    <row r="4161" spans="1:1" x14ac:dyDescent="0.25">
      <c r="A4161"/>
    </row>
    <row r="4162" spans="1:1" x14ac:dyDescent="0.25">
      <c r="A4162"/>
    </row>
    <row r="4163" spans="1:1" x14ac:dyDescent="0.25">
      <c r="A4163"/>
    </row>
    <row r="4164" spans="1:1" x14ac:dyDescent="0.25">
      <c r="A4164"/>
    </row>
    <row r="4165" spans="1:1" x14ac:dyDescent="0.25">
      <c r="A4165"/>
    </row>
    <row r="4166" spans="1:1" x14ac:dyDescent="0.25">
      <c r="A4166"/>
    </row>
    <row r="4167" spans="1:1" x14ac:dyDescent="0.25">
      <c r="A4167"/>
    </row>
    <row r="4168" spans="1:1" x14ac:dyDescent="0.25">
      <c r="A4168"/>
    </row>
    <row r="4169" spans="1:1" x14ac:dyDescent="0.25">
      <c r="A4169"/>
    </row>
    <row r="4170" spans="1:1" x14ac:dyDescent="0.25">
      <c r="A4170"/>
    </row>
    <row r="4171" spans="1:1" x14ac:dyDescent="0.25">
      <c r="A4171"/>
    </row>
    <row r="4172" spans="1:1" x14ac:dyDescent="0.25">
      <c r="A4172"/>
    </row>
    <row r="4173" spans="1:1" x14ac:dyDescent="0.25">
      <c r="A4173"/>
    </row>
    <row r="4174" spans="1:1" x14ac:dyDescent="0.25">
      <c r="A4174"/>
    </row>
    <row r="4175" spans="1:1" x14ac:dyDescent="0.25">
      <c r="A4175"/>
    </row>
    <row r="4176" spans="1:1" x14ac:dyDescent="0.25">
      <c r="A4176"/>
    </row>
    <row r="4177" spans="1:1" x14ac:dyDescent="0.25">
      <c r="A4177"/>
    </row>
    <row r="4178" spans="1:1" x14ac:dyDescent="0.25">
      <c r="A4178"/>
    </row>
    <row r="4179" spans="1:1" x14ac:dyDescent="0.25">
      <c r="A4179"/>
    </row>
    <row r="4180" spans="1:1" x14ac:dyDescent="0.25">
      <c r="A4180"/>
    </row>
    <row r="4181" spans="1:1" x14ac:dyDescent="0.25">
      <c r="A4181"/>
    </row>
    <row r="4182" spans="1:1" x14ac:dyDescent="0.25">
      <c r="A4182"/>
    </row>
    <row r="4183" spans="1:1" x14ac:dyDescent="0.25">
      <c r="A4183"/>
    </row>
    <row r="4184" spans="1:1" x14ac:dyDescent="0.25">
      <c r="A4184"/>
    </row>
    <row r="4185" spans="1:1" x14ac:dyDescent="0.25">
      <c r="A4185"/>
    </row>
    <row r="4186" spans="1:1" x14ac:dyDescent="0.25">
      <c r="A4186"/>
    </row>
    <row r="4187" spans="1:1" x14ac:dyDescent="0.25">
      <c r="A4187"/>
    </row>
    <row r="4188" spans="1:1" x14ac:dyDescent="0.25">
      <c r="A4188"/>
    </row>
    <row r="4189" spans="1:1" x14ac:dyDescent="0.25">
      <c r="A4189"/>
    </row>
    <row r="4190" spans="1:1" x14ac:dyDescent="0.25">
      <c r="A4190"/>
    </row>
    <row r="4191" spans="1:1" x14ac:dyDescent="0.25">
      <c r="A4191"/>
    </row>
    <row r="4192" spans="1:1" x14ac:dyDescent="0.25">
      <c r="A4192"/>
    </row>
    <row r="4193" spans="1:1" x14ac:dyDescent="0.25">
      <c r="A4193"/>
    </row>
    <row r="4194" spans="1:1" x14ac:dyDescent="0.25">
      <c r="A4194"/>
    </row>
    <row r="4195" spans="1:1" x14ac:dyDescent="0.25">
      <c r="A4195"/>
    </row>
    <row r="4196" spans="1:1" x14ac:dyDescent="0.25">
      <c r="A4196"/>
    </row>
    <row r="4197" spans="1:1" x14ac:dyDescent="0.25">
      <c r="A4197"/>
    </row>
    <row r="4198" spans="1:1" x14ac:dyDescent="0.25">
      <c r="A4198"/>
    </row>
    <row r="4199" spans="1:1" x14ac:dyDescent="0.25">
      <c r="A4199"/>
    </row>
    <row r="4200" spans="1:1" x14ac:dyDescent="0.25">
      <c r="A4200"/>
    </row>
    <row r="4201" spans="1:1" x14ac:dyDescent="0.25">
      <c r="A4201"/>
    </row>
    <row r="4202" spans="1:1" x14ac:dyDescent="0.25">
      <c r="A4202"/>
    </row>
    <row r="4203" spans="1:1" x14ac:dyDescent="0.25">
      <c r="A4203"/>
    </row>
    <row r="4204" spans="1:1" x14ac:dyDescent="0.25">
      <c r="A4204"/>
    </row>
    <row r="4205" spans="1:1" x14ac:dyDescent="0.25">
      <c r="A4205"/>
    </row>
    <row r="4206" spans="1:1" x14ac:dyDescent="0.25">
      <c r="A4206"/>
    </row>
    <row r="4207" spans="1:1" x14ac:dyDescent="0.25">
      <c r="A4207"/>
    </row>
    <row r="4208" spans="1:1" x14ac:dyDescent="0.25">
      <c r="A4208"/>
    </row>
    <row r="4209" spans="1:1" x14ac:dyDescent="0.25">
      <c r="A4209"/>
    </row>
    <row r="4210" spans="1:1" x14ac:dyDescent="0.25">
      <c r="A4210"/>
    </row>
    <row r="4211" spans="1:1" x14ac:dyDescent="0.25">
      <c r="A4211"/>
    </row>
    <row r="4212" spans="1:1" x14ac:dyDescent="0.25">
      <c r="A4212"/>
    </row>
    <row r="4213" spans="1:1" x14ac:dyDescent="0.25">
      <c r="A4213"/>
    </row>
    <row r="4214" spans="1:1" x14ac:dyDescent="0.25">
      <c r="A4214"/>
    </row>
    <row r="4215" spans="1:1" x14ac:dyDescent="0.25">
      <c r="A4215"/>
    </row>
    <row r="4216" spans="1:1" x14ac:dyDescent="0.25">
      <c r="A4216"/>
    </row>
    <row r="4217" spans="1:1" x14ac:dyDescent="0.25">
      <c r="A4217"/>
    </row>
    <row r="4218" spans="1:1" x14ac:dyDescent="0.25">
      <c r="A4218"/>
    </row>
    <row r="4219" spans="1:1" x14ac:dyDescent="0.25">
      <c r="A4219"/>
    </row>
    <row r="4220" spans="1:1" x14ac:dyDescent="0.25">
      <c r="A4220"/>
    </row>
    <row r="4221" spans="1:1" x14ac:dyDescent="0.25">
      <c r="A4221"/>
    </row>
    <row r="4222" spans="1:1" x14ac:dyDescent="0.25">
      <c r="A4222"/>
    </row>
    <row r="4223" spans="1:1" x14ac:dyDescent="0.25">
      <c r="A4223"/>
    </row>
    <row r="4224" spans="1:1" x14ac:dyDescent="0.25">
      <c r="A4224"/>
    </row>
    <row r="4225" spans="1:1" x14ac:dyDescent="0.25">
      <c r="A4225"/>
    </row>
    <row r="4226" spans="1:1" x14ac:dyDescent="0.25">
      <c r="A4226"/>
    </row>
    <row r="4227" spans="1:1" x14ac:dyDescent="0.25">
      <c r="A4227"/>
    </row>
    <row r="4228" spans="1:1" x14ac:dyDescent="0.25">
      <c r="A4228"/>
    </row>
    <row r="4229" spans="1:1" x14ac:dyDescent="0.25">
      <c r="A4229"/>
    </row>
    <row r="4230" spans="1:1" x14ac:dyDescent="0.25">
      <c r="A4230"/>
    </row>
    <row r="4231" spans="1:1" x14ac:dyDescent="0.25">
      <c r="A4231"/>
    </row>
    <row r="4232" spans="1:1" x14ac:dyDescent="0.25">
      <c r="A4232"/>
    </row>
    <row r="4233" spans="1:1" x14ac:dyDescent="0.25">
      <c r="A4233"/>
    </row>
    <row r="4234" spans="1:1" x14ac:dyDescent="0.25">
      <c r="A4234"/>
    </row>
    <row r="4235" spans="1:1" x14ac:dyDescent="0.25">
      <c r="A4235"/>
    </row>
    <row r="4236" spans="1:1" x14ac:dyDescent="0.25">
      <c r="A4236"/>
    </row>
    <row r="4237" spans="1:1" x14ac:dyDescent="0.25">
      <c r="A4237"/>
    </row>
    <row r="4238" spans="1:1" x14ac:dyDescent="0.25">
      <c r="A4238"/>
    </row>
    <row r="4239" spans="1:1" x14ac:dyDescent="0.25">
      <c r="A4239"/>
    </row>
    <row r="4240" spans="1:1" x14ac:dyDescent="0.25">
      <c r="A4240"/>
    </row>
    <row r="4241" spans="1:1" x14ac:dyDescent="0.25">
      <c r="A4241"/>
    </row>
    <row r="4242" spans="1:1" x14ac:dyDescent="0.25">
      <c r="A4242"/>
    </row>
    <row r="4243" spans="1:1" x14ac:dyDescent="0.25">
      <c r="A4243"/>
    </row>
    <row r="4244" spans="1:1" x14ac:dyDescent="0.25">
      <c r="A4244"/>
    </row>
    <row r="4245" spans="1:1" x14ac:dyDescent="0.25">
      <c r="A4245"/>
    </row>
    <row r="4246" spans="1:1" x14ac:dyDescent="0.25">
      <c r="A4246"/>
    </row>
    <row r="4247" spans="1:1" x14ac:dyDescent="0.25">
      <c r="A4247"/>
    </row>
    <row r="4248" spans="1:1" x14ac:dyDescent="0.25">
      <c r="A4248"/>
    </row>
    <row r="4249" spans="1:1" x14ac:dyDescent="0.25">
      <c r="A4249"/>
    </row>
    <row r="4250" spans="1:1" x14ac:dyDescent="0.25">
      <c r="A4250"/>
    </row>
    <row r="4251" spans="1:1" x14ac:dyDescent="0.25">
      <c r="A4251"/>
    </row>
    <row r="4252" spans="1:1" x14ac:dyDescent="0.25">
      <c r="A4252"/>
    </row>
    <row r="4253" spans="1:1" x14ac:dyDescent="0.25">
      <c r="A4253"/>
    </row>
    <row r="4254" spans="1:1" x14ac:dyDescent="0.25">
      <c r="A4254"/>
    </row>
    <row r="4255" spans="1:1" x14ac:dyDescent="0.25">
      <c r="A4255"/>
    </row>
    <row r="4256" spans="1:1" x14ac:dyDescent="0.25">
      <c r="A4256"/>
    </row>
    <row r="4257" spans="1:1" x14ac:dyDescent="0.25">
      <c r="A4257"/>
    </row>
    <row r="4258" spans="1:1" x14ac:dyDescent="0.25">
      <c r="A4258"/>
    </row>
    <row r="4259" spans="1:1" x14ac:dyDescent="0.25">
      <c r="A4259"/>
    </row>
    <row r="4260" spans="1:1" x14ac:dyDescent="0.25">
      <c r="A4260"/>
    </row>
    <row r="4261" spans="1:1" x14ac:dyDescent="0.25">
      <c r="A4261"/>
    </row>
    <row r="4262" spans="1:1" x14ac:dyDescent="0.25">
      <c r="A4262"/>
    </row>
    <row r="4263" spans="1:1" x14ac:dyDescent="0.25">
      <c r="A4263"/>
    </row>
    <row r="4264" spans="1:1" x14ac:dyDescent="0.25">
      <c r="A4264"/>
    </row>
    <row r="4265" spans="1:1" x14ac:dyDescent="0.25">
      <c r="A4265"/>
    </row>
    <row r="4266" spans="1:1" x14ac:dyDescent="0.25">
      <c r="A4266"/>
    </row>
    <row r="4267" spans="1:1" x14ac:dyDescent="0.25">
      <c r="A4267"/>
    </row>
    <row r="4268" spans="1:1" x14ac:dyDescent="0.25">
      <c r="A4268"/>
    </row>
    <row r="4269" spans="1:1" x14ac:dyDescent="0.25">
      <c r="A4269"/>
    </row>
    <row r="4270" spans="1:1" x14ac:dyDescent="0.25">
      <c r="A4270"/>
    </row>
    <row r="4271" spans="1:1" x14ac:dyDescent="0.25">
      <c r="A4271"/>
    </row>
    <row r="4272" spans="1:1" x14ac:dyDescent="0.25">
      <c r="A4272"/>
    </row>
    <row r="4273" spans="1:1" x14ac:dyDescent="0.25">
      <c r="A4273"/>
    </row>
    <row r="4274" spans="1:1" x14ac:dyDescent="0.25">
      <c r="A4274"/>
    </row>
    <row r="4275" spans="1:1" x14ac:dyDescent="0.25">
      <c r="A4275"/>
    </row>
    <row r="4276" spans="1:1" x14ac:dyDescent="0.25">
      <c r="A4276"/>
    </row>
    <row r="4277" spans="1:1" x14ac:dyDescent="0.25">
      <c r="A4277"/>
    </row>
    <row r="4278" spans="1:1" x14ac:dyDescent="0.25">
      <c r="A4278"/>
    </row>
    <row r="4279" spans="1:1" x14ac:dyDescent="0.25">
      <c r="A4279"/>
    </row>
    <row r="4280" spans="1:1" x14ac:dyDescent="0.25">
      <c r="A4280"/>
    </row>
    <row r="4281" spans="1:1" x14ac:dyDescent="0.25">
      <c r="A4281"/>
    </row>
    <row r="4282" spans="1:1" x14ac:dyDescent="0.25">
      <c r="A4282"/>
    </row>
    <row r="4283" spans="1:1" x14ac:dyDescent="0.25">
      <c r="A4283"/>
    </row>
    <row r="4284" spans="1:1" x14ac:dyDescent="0.25">
      <c r="A4284"/>
    </row>
    <row r="4285" spans="1:1" x14ac:dyDescent="0.25">
      <c r="A4285"/>
    </row>
    <row r="4286" spans="1:1" x14ac:dyDescent="0.25">
      <c r="A4286"/>
    </row>
    <row r="4287" spans="1:1" x14ac:dyDescent="0.25">
      <c r="A4287"/>
    </row>
    <row r="4288" spans="1:1" x14ac:dyDescent="0.25">
      <c r="A4288"/>
    </row>
    <row r="4289" spans="1:1" x14ac:dyDescent="0.25">
      <c r="A4289"/>
    </row>
    <row r="4290" spans="1:1" x14ac:dyDescent="0.25">
      <c r="A4290"/>
    </row>
    <row r="4291" spans="1:1" x14ac:dyDescent="0.25">
      <c r="A4291"/>
    </row>
    <row r="4292" spans="1:1" x14ac:dyDescent="0.25">
      <c r="A4292"/>
    </row>
    <row r="4293" spans="1:1" x14ac:dyDescent="0.25">
      <c r="A4293"/>
    </row>
    <row r="4294" spans="1:1" x14ac:dyDescent="0.25">
      <c r="A4294"/>
    </row>
    <row r="4295" spans="1:1" x14ac:dyDescent="0.25">
      <c r="A4295"/>
    </row>
    <row r="4296" spans="1:1" x14ac:dyDescent="0.25">
      <c r="A4296"/>
    </row>
    <row r="4297" spans="1:1" x14ac:dyDescent="0.25">
      <c r="A4297"/>
    </row>
    <row r="4298" spans="1:1" x14ac:dyDescent="0.25">
      <c r="A4298"/>
    </row>
    <row r="4299" spans="1:1" x14ac:dyDescent="0.25">
      <c r="A4299"/>
    </row>
    <row r="4300" spans="1:1" x14ac:dyDescent="0.25">
      <c r="A4300"/>
    </row>
    <row r="4301" spans="1:1" x14ac:dyDescent="0.25">
      <c r="A4301"/>
    </row>
    <row r="4302" spans="1:1" x14ac:dyDescent="0.25">
      <c r="A4302"/>
    </row>
    <row r="4303" spans="1:1" x14ac:dyDescent="0.25">
      <c r="A4303"/>
    </row>
    <row r="4304" spans="1:1" x14ac:dyDescent="0.25">
      <c r="A4304"/>
    </row>
    <row r="4305" spans="1:1" x14ac:dyDescent="0.25">
      <c r="A4305"/>
    </row>
    <row r="4306" spans="1:1" x14ac:dyDescent="0.25">
      <c r="A4306"/>
    </row>
    <row r="4307" spans="1:1" x14ac:dyDescent="0.25">
      <c r="A4307"/>
    </row>
    <row r="4308" spans="1:1" x14ac:dyDescent="0.25">
      <c r="A4308"/>
    </row>
    <row r="4309" spans="1:1" x14ac:dyDescent="0.25">
      <c r="A4309"/>
    </row>
    <row r="4310" spans="1:1" x14ac:dyDescent="0.25">
      <c r="A4310"/>
    </row>
    <row r="4311" spans="1:1" x14ac:dyDescent="0.25">
      <c r="A4311"/>
    </row>
    <row r="4312" spans="1:1" x14ac:dyDescent="0.25">
      <c r="A4312"/>
    </row>
    <row r="4313" spans="1:1" x14ac:dyDescent="0.25">
      <c r="A4313"/>
    </row>
    <row r="4314" spans="1:1" x14ac:dyDescent="0.25">
      <c r="A4314"/>
    </row>
    <row r="4315" spans="1:1" x14ac:dyDescent="0.25">
      <c r="A4315"/>
    </row>
    <row r="4316" spans="1:1" x14ac:dyDescent="0.25">
      <c r="A4316"/>
    </row>
    <row r="4317" spans="1:1" x14ac:dyDescent="0.25">
      <c r="A4317"/>
    </row>
    <row r="4318" spans="1:1" x14ac:dyDescent="0.25">
      <c r="A4318"/>
    </row>
    <row r="4319" spans="1:1" x14ac:dyDescent="0.25">
      <c r="A4319"/>
    </row>
    <row r="4320" spans="1:1" x14ac:dyDescent="0.25">
      <c r="A4320"/>
    </row>
    <row r="4321" spans="1:1" x14ac:dyDescent="0.25">
      <c r="A4321"/>
    </row>
    <row r="4322" spans="1:1" x14ac:dyDescent="0.25">
      <c r="A4322"/>
    </row>
    <row r="4323" spans="1:1" x14ac:dyDescent="0.25">
      <c r="A4323"/>
    </row>
    <row r="4324" spans="1:1" x14ac:dyDescent="0.25">
      <c r="A4324"/>
    </row>
    <row r="4325" spans="1:1" x14ac:dyDescent="0.25">
      <c r="A4325"/>
    </row>
    <row r="4326" spans="1:1" x14ac:dyDescent="0.25">
      <c r="A4326"/>
    </row>
    <row r="4327" spans="1:1" x14ac:dyDescent="0.25">
      <c r="A4327"/>
    </row>
    <row r="4328" spans="1:1" x14ac:dyDescent="0.25">
      <c r="A4328"/>
    </row>
    <row r="4329" spans="1:1" x14ac:dyDescent="0.25">
      <c r="A4329"/>
    </row>
    <row r="4330" spans="1:1" x14ac:dyDescent="0.25">
      <c r="A4330"/>
    </row>
    <row r="4331" spans="1:1" x14ac:dyDescent="0.25">
      <c r="A4331"/>
    </row>
    <row r="4332" spans="1:1" x14ac:dyDescent="0.25">
      <c r="A4332"/>
    </row>
    <row r="4333" spans="1:1" x14ac:dyDescent="0.25">
      <c r="A4333"/>
    </row>
    <row r="4334" spans="1:1" x14ac:dyDescent="0.25">
      <c r="A4334"/>
    </row>
    <row r="4335" spans="1:1" x14ac:dyDescent="0.25">
      <c r="A4335"/>
    </row>
    <row r="4336" spans="1:1" x14ac:dyDescent="0.25">
      <c r="A4336"/>
    </row>
    <row r="4337" spans="1:1" x14ac:dyDescent="0.25">
      <c r="A4337"/>
    </row>
    <row r="4338" spans="1:1" x14ac:dyDescent="0.25">
      <c r="A4338"/>
    </row>
    <row r="4339" spans="1:1" x14ac:dyDescent="0.25">
      <c r="A4339"/>
    </row>
    <row r="4340" spans="1:1" x14ac:dyDescent="0.25">
      <c r="A4340"/>
    </row>
    <row r="4341" spans="1:1" x14ac:dyDescent="0.25">
      <c r="A4341"/>
    </row>
    <row r="4342" spans="1:1" x14ac:dyDescent="0.25">
      <c r="A4342"/>
    </row>
    <row r="4343" spans="1:1" x14ac:dyDescent="0.25">
      <c r="A4343"/>
    </row>
    <row r="4344" spans="1:1" x14ac:dyDescent="0.25">
      <c r="A4344"/>
    </row>
    <row r="4345" spans="1:1" x14ac:dyDescent="0.25">
      <c r="A4345"/>
    </row>
    <row r="4346" spans="1:1" x14ac:dyDescent="0.25">
      <c r="A4346"/>
    </row>
    <row r="4347" spans="1:1" x14ac:dyDescent="0.25">
      <c r="A4347"/>
    </row>
    <row r="4348" spans="1:1" x14ac:dyDescent="0.25">
      <c r="A4348"/>
    </row>
    <row r="4349" spans="1:1" x14ac:dyDescent="0.25">
      <c r="A4349"/>
    </row>
    <row r="4350" spans="1:1" x14ac:dyDescent="0.25">
      <c r="A4350"/>
    </row>
    <row r="4351" spans="1:1" x14ac:dyDescent="0.25">
      <c r="A4351"/>
    </row>
    <row r="4352" spans="1:1" x14ac:dyDescent="0.25">
      <c r="A4352"/>
    </row>
    <row r="4353" spans="1:1" x14ac:dyDescent="0.25">
      <c r="A4353"/>
    </row>
    <row r="4354" spans="1:1" x14ac:dyDescent="0.25">
      <c r="A4354"/>
    </row>
    <row r="4355" spans="1:1" x14ac:dyDescent="0.25">
      <c r="A4355"/>
    </row>
    <row r="4356" spans="1:1" x14ac:dyDescent="0.25">
      <c r="A4356"/>
    </row>
    <row r="4357" spans="1:1" x14ac:dyDescent="0.25">
      <c r="A4357"/>
    </row>
    <row r="4358" spans="1:1" x14ac:dyDescent="0.25">
      <c r="A4358"/>
    </row>
    <row r="4359" spans="1:1" x14ac:dyDescent="0.25">
      <c r="A4359"/>
    </row>
    <row r="4360" spans="1:1" x14ac:dyDescent="0.25">
      <c r="A4360"/>
    </row>
    <row r="4361" spans="1:1" x14ac:dyDescent="0.25">
      <c r="A4361"/>
    </row>
    <row r="4362" spans="1:1" x14ac:dyDescent="0.25">
      <c r="A4362"/>
    </row>
    <row r="4363" spans="1:1" x14ac:dyDescent="0.25">
      <c r="A4363"/>
    </row>
    <row r="4364" spans="1:1" x14ac:dyDescent="0.25">
      <c r="A4364"/>
    </row>
    <row r="4365" spans="1:1" x14ac:dyDescent="0.25">
      <c r="A4365"/>
    </row>
    <row r="4366" spans="1:1" x14ac:dyDescent="0.25">
      <c r="A4366"/>
    </row>
    <row r="4367" spans="1:1" x14ac:dyDescent="0.25">
      <c r="A4367"/>
    </row>
    <row r="4368" spans="1:1" x14ac:dyDescent="0.25">
      <c r="A4368"/>
    </row>
    <row r="4369" spans="1:1" x14ac:dyDescent="0.25">
      <c r="A4369"/>
    </row>
    <row r="4370" spans="1:1" x14ac:dyDescent="0.25">
      <c r="A4370"/>
    </row>
    <row r="4371" spans="1:1" x14ac:dyDescent="0.25">
      <c r="A4371"/>
    </row>
    <row r="4372" spans="1:1" x14ac:dyDescent="0.25">
      <c r="A4372"/>
    </row>
    <row r="4373" spans="1:1" x14ac:dyDescent="0.25">
      <c r="A4373"/>
    </row>
    <row r="4374" spans="1:1" x14ac:dyDescent="0.25">
      <c r="A4374"/>
    </row>
    <row r="4375" spans="1:1" x14ac:dyDescent="0.25">
      <c r="A4375"/>
    </row>
    <row r="4376" spans="1:1" x14ac:dyDescent="0.25">
      <c r="A4376"/>
    </row>
    <row r="4377" spans="1:1" x14ac:dyDescent="0.25">
      <c r="A4377"/>
    </row>
    <row r="4378" spans="1:1" x14ac:dyDescent="0.25">
      <c r="A4378"/>
    </row>
    <row r="4379" spans="1:1" x14ac:dyDescent="0.25">
      <c r="A4379"/>
    </row>
    <row r="4380" spans="1:1" x14ac:dyDescent="0.25">
      <c r="A4380"/>
    </row>
    <row r="4381" spans="1:1" x14ac:dyDescent="0.25">
      <c r="A4381"/>
    </row>
    <row r="4382" spans="1:1" x14ac:dyDescent="0.25">
      <c r="A4382"/>
    </row>
    <row r="4383" spans="1:1" x14ac:dyDescent="0.25">
      <c r="A4383"/>
    </row>
    <row r="4384" spans="1:1" x14ac:dyDescent="0.25">
      <c r="A4384"/>
    </row>
    <row r="4385" spans="1:1" x14ac:dyDescent="0.25">
      <c r="A4385"/>
    </row>
    <row r="4386" spans="1:1" x14ac:dyDescent="0.25">
      <c r="A4386"/>
    </row>
    <row r="4387" spans="1:1" x14ac:dyDescent="0.25">
      <c r="A4387"/>
    </row>
    <row r="4388" spans="1:1" x14ac:dyDescent="0.25">
      <c r="A4388"/>
    </row>
    <row r="4389" spans="1:1" x14ac:dyDescent="0.25">
      <c r="A4389"/>
    </row>
    <row r="4390" spans="1:1" x14ac:dyDescent="0.25">
      <c r="A4390"/>
    </row>
    <row r="4391" spans="1:1" x14ac:dyDescent="0.25">
      <c r="A4391"/>
    </row>
    <row r="4392" spans="1:1" x14ac:dyDescent="0.25">
      <c r="A4392"/>
    </row>
    <row r="4393" spans="1:1" x14ac:dyDescent="0.25">
      <c r="A4393"/>
    </row>
    <row r="4394" spans="1:1" x14ac:dyDescent="0.25">
      <c r="A4394"/>
    </row>
    <row r="4395" spans="1:1" x14ac:dyDescent="0.25">
      <c r="A4395"/>
    </row>
    <row r="4396" spans="1:1" x14ac:dyDescent="0.25">
      <c r="A4396"/>
    </row>
    <row r="4397" spans="1:1" x14ac:dyDescent="0.25">
      <c r="A4397"/>
    </row>
    <row r="4398" spans="1:1" x14ac:dyDescent="0.25">
      <c r="A4398"/>
    </row>
    <row r="4399" spans="1:1" x14ac:dyDescent="0.25">
      <c r="A4399"/>
    </row>
    <row r="4400" spans="1:1" x14ac:dyDescent="0.25">
      <c r="A4400"/>
    </row>
    <row r="4401" spans="1:1" x14ac:dyDescent="0.25">
      <c r="A4401"/>
    </row>
    <row r="4402" spans="1:1" x14ac:dyDescent="0.25">
      <c r="A4402"/>
    </row>
    <row r="4403" spans="1:1" x14ac:dyDescent="0.25">
      <c r="A4403"/>
    </row>
    <row r="4404" spans="1:1" x14ac:dyDescent="0.25">
      <c r="A4404"/>
    </row>
    <row r="4405" spans="1:1" x14ac:dyDescent="0.25">
      <c r="A4405"/>
    </row>
    <row r="4406" spans="1:1" x14ac:dyDescent="0.25">
      <c r="A4406"/>
    </row>
    <row r="4407" spans="1:1" x14ac:dyDescent="0.25">
      <c r="A4407"/>
    </row>
    <row r="4408" spans="1:1" x14ac:dyDescent="0.25">
      <c r="A4408"/>
    </row>
    <row r="4409" spans="1:1" x14ac:dyDescent="0.25">
      <c r="A4409"/>
    </row>
    <row r="4410" spans="1:1" x14ac:dyDescent="0.25">
      <c r="A4410"/>
    </row>
    <row r="4411" spans="1:1" x14ac:dyDescent="0.25">
      <c r="A4411"/>
    </row>
    <row r="4412" spans="1:1" x14ac:dyDescent="0.25">
      <c r="A4412"/>
    </row>
    <row r="4413" spans="1:1" x14ac:dyDescent="0.25">
      <c r="A4413"/>
    </row>
    <row r="4414" spans="1:1" x14ac:dyDescent="0.25">
      <c r="A4414"/>
    </row>
    <row r="4415" spans="1:1" x14ac:dyDescent="0.25">
      <c r="A4415"/>
    </row>
    <row r="4416" spans="1:1" x14ac:dyDescent="0.25">
      <c r="A4416"/>
    </row>
    <row r="4417" spans="1:1" x14ac:dyDescent="0.25">
      <c r="A4417"/>
    </row>
    <row r="4418" spans="1:1" x14ac:dyDescent="0.25">
      <c r="A4418"/>
    </row>
    <row r="4419" spans="1:1" x14ac:dyDescent="0.25">
      <c r="A4419"/>
    </row>
    <row r="4420" spans="1:1" x14ac:dyDescent="0.25">
      <c r="A4420"/>
    </row>
    <row r="4421" spans="1:1" x14ac:dyDescent="0.25">
      <c r="A4421"/>
    </row>
    <row r="4422" spans="1:1" x14ac:dyDescent="0.25">
      <c r="A4422"/>
    </row>
    <row r="4423" spans="1:1" x14ac:dyDescent="0.25">
      <c r="A4423"/>
    </row>
    <row r="4424" spans="1:1" x14ac:dyDescent="0.25">
      <c r="A4424"/>
    </row>
    <row r="4425" spans="1:1" x14ac:dyDescent="0.25">
      <c r="A4425"/>
    </row>
    <row r="4426" spans="1:1" x14ac:dyDescent="0.25">
      <c r="A4426"/>
    </row>
    <row r="4427" spans="1:1" x14ac:dyDescent="0.25">
      <c r="A4427"/>
    </row>
    <row r="4428" spans="1:1" x14ac:dyDescent="0.25">
      <c r="A4428"/>
    </row>
    <row r="4429" spans="1:1" x14ac:dyDescent="0.25">
      <c r="A4429"/>
    </row>
    <row r="4430" spans="1:1" x14ac:dyDescent="0.25">
      <c r="A4430"/>
    </row>
    <row r="4431" spans="1:1" x14ac:dyDescent="0.25">
      <c r="A4431"/>
    </row>
    <row r="4432" spans="1:1" x14ac:dyDescent="0.25">
      <c r="A4432"/>
    </row>
    <row r="4433" spans="1:1" x14ac:dyDescent="0.25">
      <c r="A4433"/>
    </row>
    <row r="4434" spans="1:1" x14ac:dyDescent="0.25">
      <c r="A4434"/>
    </row>
    <row r="4435" spans="1:1" x14ac:dyDescent="0.25">
      <c r="A4435"/>
    </row>
    <row r="4436" spans="1:1" x14ac:dyDescent="0.25">
      <c r="A4436"/>
    </row>
    <row r="4437" spans="1:1" x14ac:dyDescent="0.25">
      <c r="A4437"/>
    </row>
    <row r="4438" spans="1:1" x14ac:dyDescent="0.25">
      <c r="A4438"/>
    </row>
    <row r="4439" spans="1:1" x14ac:dyDescent="0.25">
      <c r="A4439"/>
    </row>
    <row r="4440" spans="1:1" x14ac:dyDescent="0.25">
      <c r="A4440"/>
    </row>
    <row r="4441" spans="1:1" x14ac:dyDescent="0.25">
      <c r="A4441"/>
    </row>
    <row r="4442" spans="1:1" x14ac:dyDescent="0.25">
      <c r="A4442"/>
    </row>
    <row r="4443" spans="1:1" x14ac:dyDescent="0.25">
      <c r="A4443"/>
    </row>
    <row r="4444" spans="1:1" x14ac:dyDescent="0.25">
      <c r="A4444"/>
    </row>
    <row r="4445" spans="1:1" x14ac:dyDescent="0.25">
      <c r="A4445"/>
    </row>
    <row r="4446" spans="1:1" x14ac:dyDescent="0.25">
      <c r="A4446"/>
    </row>
    <row r="4447" spans="1:1" x14ac:dyDescent="0.25">
      <c r="A4447"/>
    </row>
    <row r="4448" spans="1:1" x14ac:dyDescent="0.25">
      <c r="A4448"/>
    </row>
    <row r="4449" spans="1:1" x14ac:dyDescent="0.25">
      <c r="A4449"/>
    </row>
    <row r="4450" spans="1:1" x14ac:dyDescent="0.25">
      <c r="A4450"/>
    </row>
    <row r="4451" spans="1:1" x14ac:dyDescent="0.25">
      <c r="A4451"/>
    </row>
    <row r="4452" spans="1:1" x14ac:dyDescent="0.25">
      <c r="A4452"/>
    </row>
    <row r="4453" spans="1:1" x14ac:dyDescent="0.25">
      <c r="A4453"/>
    </row>
    <row r="4454" spans="1:1" x14ac:dyDescent="0.25">
      <c r="A4454"/>
    </row>
    <row r="4455" spans="1:1" x14ac:dyDescent="0.25">
      <c r="A4455"/>
    </row>
    <row r="4456" spans="1:1" x14ac:dyDescent="0.25">
      <c r="A4456"/>
    </row>
    <row r="4457" spans="1:1" x14ac:dyDescent="0.25">
      <c r="A4457"/>
    </row>
    <row r="4458" spans="1:1" x14ac:dyDescent="0.25">
      <c r="A4458"/>
    </row>
    <row r="4459" spans="1:1" x14ac:dyDescent="0.25">
      <c r="A4459"/>
    </row>
    <row r="4460" spans="1:1" x14ac:dyDescent="0.25">
      <c r="A4460"/>
    </row>
    <row r="4461" spans="1:1" x14ac:dyDescent="0.25">
      <c r="A4461"/>
    </row>
    <row r="4462" spans="1:1" x14ac:dyDescent="0.25">
      <c r="A4462"/>
    </row>
    <row r="4463" spans="1:1" x14ac:dyDescent="0.25">
      <c r="A4463"/>
    </row>
    <row r="4464" spans="1:1" x14ac:dyDescent="0.25">
      <c r="A4464"/>
    </row>
    <row r="4465" spans="1:1" x14ac:dyDescent="0.25">
      <c r="A4465"/>
    </row>
    <row r="4466" spans="1:1" x14ac:dyDescent="0.25">
      <c r="A4466"/>
    </row>
    <row r="4467" spans="1:1" x14ac:dyDescent="0.25">
      <c r="A4467"/>
    </row>
    <row r="4468" spans="1:1" x14ac:dyDescent="0.25">
      <c r="A4468"/>
    </row>
    <row r="4469" spans="1:1" x14ac:dyDescent="0.25">
      <c r="A4469"/>
    </row>
    <row r="4470" spans="1:1" x14ac:dyDescent="0.25">
      <c r="A4470"/>
    </row>
    <row r="4471" spans="1:1" x14ac:dyDescent="0.25">
      <c r="A4471"/>
    </row>
    <row r="4472" spans="1:1" x14ac:dyDescent="0.25">
      <c r="A4472"/>
    </row>
    <row r="4473" spans="1:1" x14ac:dyDescent="0.25">
      <c r="A4473"/>
    </row>
    <row r="4474" spans="1:1" x14ac:dyDescent="0.25">
      <c r="A4474"/>
    </row>
    <row r="4475" spans="1:1" x14ac:dyDescent="0.25">
      <c r="A4475"/>
    </row>
    <row r="4476" spans="1:1" x14ac:dyDescent="0.25">
      <c r="A4476"/>
    </row>
    <row r="4477" spans="1:1" x14ac:dyDescent="0.25">
      <c r="A4477"/>
    </row>
    <row r="4478" spans="1:1" x14ac:dyDescent="0.25">
      <c r="A4478"/>
    </row>
    <row r="4479" spans="1:1" x14ac:dyDescent="0.25">
      <c r="A4479"/>
    </row>
    <row r="4480" spans="1:1" x14ac:dyDescent="0.25">
      <c r="A4480"/>
    </row>
    <row r="4481" spans="1:1" x14ac:dyDescent="0.25">
      <c r="A4481"/>
    </row>
    <row r="4482" spans="1:1" x14ac:dyDescent="0.25">
      <c r="A4482"/>
    </row>
    <row r="4483" spans="1:1" x14ac:dyDescent="0.25">
      <c r="A4483"/>
    </row>
    <row r="4484" spans="1:1" x14ac:dyDescent="0.25">
      <c r="A4484"/>
    </row>
    <row r="4485" spans="1:1" x14ac:dyDescent="0.25">
      <c r="A4485"/>
    </row>
    <row r="4486" spans="1:1" x14ac:dyDescent="0.25">
      <c r="A4486"/>
    </row>
    <row r="4487" spans="1:1" x14ac:dyDescent="0.25">
      <c r="A4487"/>
    </row>
    <row r="4488" spans="1:1" x14ac:dyDescent="0.25">
      <c r="A4488"/>
    </row>
    <row r="4489" spans="1:1" x14ac:dyDescent="0.25">
      <c r="A4489"/>
    </row>
    <row r="4490" spans="1:1" x14ac:dyDescent="0.25">
      <c r="A4490"/>
    </row>
    <row r="4491" spans="1:1" x14ac:dyDescent="0.25">
      <c r="A4491"/>
    </row>
    <row r="4492" spans="1:1" x14ac:dyDescent="0.25">
      <c r="A4492"/>
    </row>
    <row r="4493" spans="1:1" x14ac:dyDescent="0.25">
      <c r="A4493"/>
    </row>
    <row r="4494" spans="1:1" x14ac:dyDescent="0.25">
      <c r="A4494"/>
    </row>
    <row r="4495" spans="1:1" x14ac:dyDescent="0.25">
      <c r="A4495"/>
    </row>
    <row r="4496" spans="1:1" x14ac:dyDescent="0.25">
      <c r="A4496"/>
    </row>
    <row r="4497" spans="1:1" x14ac:dyDescent="0.25">
      <c r="A4497"/>
    </row>
    <row r="4498" spans="1:1" x14ac:dyDescent="0.25">
      <c r="A4498"/>
    </row>
    <row r="4499" spans="1:1" x14ac:dyDescent="0.25">
      <c r="A4499"/>
    </row>
    <row r="4500" spans="1:1" x14ac:dyDescent="0.25">
      <c r="A4500"/>
    </row>
    <row r="4501" spans="1:1" x14ac:dyDescent="0.25">
      <c r="A4501"/>
    </row>
    <row r="4502" spans="1:1" x14ac:dyDescent="0.25">
      <c r="A4502"/>
    </row>
    <row r="4503" spans="1:1" x14ac:dyDescent="0.25">
      <c r="A4503"/>
    </row>
    <row r="4504" spans="1:1" x14ac:dyDescent="0.25">
      <c r="A4504"/>
    </row>
    <row r="4505" spans="1:1" x14ac:dyDescent="0.25">
      <c r="A4505"/>
    </row>
    <row r="4506" spans="1:1" x14ac:dyDescent="0.25">
      <c r="A4506"/>
    </row>
    <row r="4507" spans="1:1" x14ac:dyDescent="0.25">
      <c r="A4507"/>
    </row>
    <row r="4508" spans="1:1" x14ac:dyDescent="0.25">
      <c r="A4508"/>
    </row>
    <row r="4509" spans="1:1" x14ac:dyDescent="0.25">
      <c r="A4509"/>
    </row>
    <row r="4510" spans="1:1" x14ac:dyDescent="0.25">
      <c r="A4510"/>
    </row>
    <row r="4511" spans="1:1" x14ac:dyDescent="0.25">
      <c r="A4511"/>
    </row>
    <row r="4512" spans="1:1" x14ac:dyDescent="0.25">
      <c r="A4512"/>
    </row>
    <row r="4513" spans="1:1" x14ac:dyDescent="0.25">
      <c r="A4513"/>
    </row>
    <row r="4514" spans="1:1" x14ac:dyDescent="0.25">
      <c r="A4514"/>
    </row>
    <row r="4515" spans="1:1" x14ac:dyDescent="0.25">
      <c r="A4515"/>
    </row>
    <row r="4516" spans="1:1" x14ac:dyDescent="0.25">
      <c r="A4516"/>
    </row>
    <row r="4517" spans="1:1" x14ac:dyDescent="0.25">
      <c r="A4517"/>
    </row>
    <row r="4518" spans="1:1" x14ac:dyDescent="0.25">
      <c r="A4518"/>
    </row>
    <row r="4519" spans="1:1" x14ac:dyDescent="0.25">
      <c r="A4519"/>
    </row>
    <row r="4520" spans="1:1" x14ac:dyDescent="0.25">
      <c r="A4520"/>
    </row>
    <row r="4521" spans="1:1" x14ac:dyDescent="0.25">
      <c r="A4521"/>
    </row>
    <row r="4522" spans="1:1" x14ac:dyDescent="0.25">
      <c r="A4522"/>
    </row>
    <row r="4523" spans="1:1" x14ac:dyDescent="0.25">
      <c r="A4523"/>
    </row>
    <row r="4524" spans="1:1" x14ac:dyDescent="0.25">
      <c r="A4524"/>
    </row>
    <row r="4525" spans="1:1" x14ac:dyDescent="0.25">
      <c r="A4525"/>
    </row>
    <row r="4526" spans="1:1" x14ac:dyDescent="0.25">
      <c r="A4526"/>
    </row>
    <row r="4527" spans="1:1" x14ac:dyDescent="0.25">
      <c r="A4527"/>
    </row>
    <row r="4528" spans="1:1" x14ac:dyDescent="0.25">
      <c r="A4528"/>
    </row>
    <row r="4529" spans="1:1" x14ac:dyDescent="0.25">
      <c r="A4529"/>
    </row>
    <row r="4530" spans="1:1" x14ac:dyDescent="0.25">
      <c r="A4530"/>
    </row>
    <row r="4531" spans="1:1" x14ac:dyDescent="0.25">
      <c r="A4531"/>
    </row>
    <row r="4532" spans="1:1" x14ac:dyDescent="0.25">
      <c r="A4532"/>
    </row>
    <row r="4533" spans="1:1" x14ac:dyDescent="0.25">
      <c r="A4533"/>
    </row>
    <row r="4534" spans="1:1" x14ac:dyDescent="0.25">
      <c r="A4534"/>
    </row>
    <row r="4535" spans="1:1" x14ac:dyDescent="0.25">
      <c r="A4535"/>
    </row>
    <row r="4536" spans="1:1" x14ac:dyDescent="0.25">
      <c r="A4536"/>
    </row>
    <row r="4537" spans="1:1" x14ac:dyDescent="0.25">
      <c r="A4537"/>
    </row>
    <row r="4538" spans="1:1" x14ac:dyDescent="0.25">
      <c r="A4538"/>
    </row>
    <row r="4539" spans="1:1" x14ac:dyDescent="0.25">
      <c r="A4539"/>
    </row>
    <row r="4540" spans="1:1" x14ac:dyDescent="0.25">
      <c r="A4540"/>
    </row>
    <row r="4541" spans="1:1" x14ac:dyDescent="0.25">
      <c r="A4541"/>
    </row>
    <row r="4542" spans="1:1" x14ac:dyDescent="0.25">
      <c r="A4542"/>
    </row>
    <row r="4543" spans="1:1" x14ac:dyDescent="0.25">
      <c r="A4543"/>
    </row>
    <row r="4544" spans="1:1" x14ac:dyDescent="0.25">
      <c r="A4544"/>
    </row>
    <row r="4545" spans="1:1" x14ac:dyDescent="0.25">
      <c r="A4545"/>
    </row>
    <row r="4546" spans="1:1" x14ac:dyDescent="0.25">
      <c r="A4546"/>
    </row>
    <row r="4547" spans="1:1" x14ac:dyDescent="0.25">
      <c r="A4547"/>
    </row>
    <row r="4548" spans="1:1" x14ac:dyDescent="0.25">
      <c r="A4548"/>
    </row>
    <row r="4549" spans="1:1" x14ac:dyDescent="0.25">
      <c r="A4549"/>
    </row>
    <row r="4550" spans="1:1" x14ac:dyDescent="0.25">
      <c r="A4550"/>
    </row>
    <row r="4551" spans="1:1" x14ac:dyDescent="0.25">
      <c r="A4551"/>
    </row>
    <row r="4552" spans="1:1" x14ac:dyDescent="0.25">
      <c r="A4552"/>
    </row>
    <row r="4553" spans="1:1" x14ac:dyDescent="0.25">
      <c r="A4553"/>
    </row>
    <row r="4554" spans="1:1" x14ac:dyDescent="0.25">
      <c r="A4554"/>
    </row>
    <row r="4555" spans="1:1" x14ac:dyDescent="0.25">
      <c r="A4555"/>
    </row>
    <row r="4556" spans="1:1" x14ac:dyDescent="0.25">
      <c r="A4556"/>
    </row>
    <row r="4557" spans="1:1" x14ac:dyDescent="0.25">
      <c r="A4557"/>
    </row>
    <row r="4558" spans="1:1" x14ac:dyDescent="0.25">
      <c r="A4558"/>
    </row>
    <row r="4559" spans="1:1" x14ac:dyDescent="0.25">
      <c r="A4559"/>
    </row>
    <row r="4560" spans="1:1" x14ac:dyDescent="0.25">
      <c r="A4560"/>
    </row>
    <row r="4561" spans="1:1" x14ac:dyDescent="0.25">
      <c r="A4561"/>
    </row>
    <row r="4562" spans="1:1" x14ac:dyDescent="0.25">
      <c r="A4562"/>
    </row>
    <row r="4563" spans="1:1" x14ac:dyDescent="0.25">
      <c r="A4563"/>
    </row>
    <row r="4564" spans="1:1" x14ac:dyDescent="0.25">
      <c r="A4564"/>
    </row>
    <row r="4565" spans="1:1" x14ac:dyDescent="0.25">
      <c r="A4565"/>
    </row>
    <row r="4566" spans="1:1" x14ac:dyDescent="0.25">
      <c r="A4566"/>
    </row>
    <row r="4567" spans="1:1" x14ac:dyDescent="0.25">
      <c r="A4567"/>
    </row>
    <row r="4568" spans="1:1" x14ac:dyDescent="0.25">
      <c r="A4568"/>
    </row>
    <row r="4569" spans="1:1" x14ac:dyDescent="0.25">
      <c r="A4569"/>
    </row>
    <row r="4570" spans="1:1" x14ac:dyDescent="0.25">
      <c r="A4570"/>
    </row>
    <row r="4571" spans="1:1" x14ac:dyDescent="0.25">
      <c r="A4571"/>
    </row>
    <row r="4572" spans="1:1" x14ac:dyDescent="0.25">
      <c r="A4572"/>
    </row>
    <row r="4573" spans="1:1" x14ac:dyDescent="0.25">
      <c r="A4573"/>
    </row>
    <row r="4574" spans="1:1" x14ac:dyDescent="0.25">
      <c r="A4574"/>
    </row>
    <row r="4575" spans="1:1" x14ac:dyDescent="0.25">
      <c r="A4575"/>
    </row>
    <row r="4576" spans="1:1" x14ac:dyDescent="0.25">
      <c r="A4576"/>
    </row>
    <row r="4577" spans="1:1" x14ac:dyDescent="0.25">
      <c r="A4577"/>
    </row>
    <row r="4578" spans="1:1" x14ac:dyDescent="0.25">
      <c r="A4578"/>
    </row>
    <row r="4579" spans="1:1" x14ac:dyDescent="0.25">
      <c r="A4579"/>
    </row>
    <row r="4580" spans="1:1" x14ac:dyDescent="0.25">
      <c r="A4580"/>
    </row>
    <row r="4581" spans="1:1" x14ac:dyDescent="0.25">
      <c r="A4581"/>
    </row>
    <row r="4582" spans="1:1" x14ac:dyDescent="0.25">
      <c r="A4582"/>
    </row>
    <row r="4583" spans="1:1" x14ac:dyDescent="0.25">
      <c r="A4583"/>
    </row>
    <row r="4584" spans="1:1" x14ac:dyDescent="0.25">
      <c r="A4584"/>
    </row>
    <row r="4585" spans="1:1" x14ac:dyDescent="0.25">
      <c r="A4585"/>
    </row>
    <row r="4586" spans="1:1" x14ac:dyDescent="0.25">
      <c r="A4586"/>
    </row>
    <row r="4587" spans="1:1" x14ac:dyDescent="0.25">
      <c r="A4587"/>
    </row>
    <row r="4588" spans="1:1" x14ac:dyDescent="0.25">
      <c r="A4588"/>
    </row>
    <row r="4589" spans="1:1" x14ac:dyDescent="0.25">
      <c r="A4589"/>
    </row>
    <row r="4590" spans="1:1" x14ac:dyDescent="0.25">
      <c r="A4590"/>
    </row>
    <row r="4591" spans="1:1" x14ac:dyDescent="0.25">
      <c r="A4591"/>
    </row>
    <row r="4592" spans="1:1" x14ac:dyDescent="0.25">
      <c r="A4592"/>
    </row>
    <row r="4593" spans="1:1" x14ac:dyDescent="0.25">
      <c r="A4593"/>
    </row>
    <row r="4594" spans="1:1" x14ac:dyDescent="0.25">
      <c r="A4594"/>
    </row>
    <row r="4595" spans="1:1" x14ac:dyDescent="0.25">
      <c r="A4595"/>
    </row>
    <row r="4596" spans="1:1" x14ac:dyDescent="0.25">
      <c r="A4596"/>
    </row>
    <row r="4597" spans="1:1" x14ac:dyDescent="0.25">
      <c r="A4597"/>
    </row>
    <row r="4598" spans="1:1" x14ac:dyDescent="0.25">
      <c r="A4598"/>
    </row>
    <row r="4599" spans="1:1" x14ac:dyDescent="0.25">
      <c r="A4599"/>
    </row>
    <row r="4600" spans="1:1" x14ac:dyDescent="0.25">
      <c r="A4600"/>
    </row>
    <row r="4601" spans="1:1" x14ac:dyDescent="0.25">
      <c r="A4601"/>
    </row>
    <row r="4602" spans="1:1" x14ac:dyDescent="0.25">
      <c r="A4602"/>
    </row>
    <row r="4603" spans="1:1" x14ac:dyDescent="0.25">
      <c r="A4603"/>
    </row>
    <row r="4604" spans="1:1" x14ac:dyDescent="0.25">
      <c r="A4604"/>
    </row>
    <row r="4605" spans="1:1" x14ac:dyDescent="0.25">
      <c r="A4605"/>
    </row>
    <row r="4606" spans="1:1" x14ac:dyDescent="0.25">
      <c r="A4606"/>
    </row>
    <row r="4607" spans="1:1" x14ac:dyDescent="0.25">
      <c r="A4607"/>
    </row>
    <row r="4608" spans="1:1" x14ac:dyDescent="0.25">
      <c r="A4608"/>
    </row>
    <row r="4609" spans="1:1" x14ac:dyDescent="0.25">
      <c r="A4609"/>
    </row>
    <row r="4610" spans="1:1" x14ac:dyDescent="0.25">
      <c r="A4610"/>
    </row>
    <row r="4611" spans="1:1" x14ac:dyDescent="0.25">
      <c r="A4611"/>
    </row>
    <row r="4612" spans="1:1" x14ac:dyDescent="0.25">
      <c r="A4612"/>
    </row>
    <row r="4613" spans="1:1" x14ac:dyDescent="0.25">
      <c r="A4613"/>
    </row>
    <row r="4614" spans="1:1" x14ac:dyDescent="0.25">
      <c r="A4614"/>
    </row>
    <row r="4615" spans="1:1" x14ac:dyDescent="0.25">
      <c r="A4615"/>
    </row>
    <row r="4616" spans="1:1" x14ac:dyDescent="0.25">
      <c r="A4616"/>
    </row>
    <row r="4617" spans="1:1" x14ac:dyDescent="0.25">
      <c r="A4617"/>
    </row>
    <row r="4618" spans="1:1" x14ac:dyDescent="0.25">
      <c r="A4618"/>
    </row>
    <row r="4619" spans="1:1" x14ac:dyDescent="0.25">
      <c r="A4619"/>
    </row>
    <row r="4620" spans="1:1" x14ac:dyDescent="0.25">
      <c r="A4620"/>
    </row>
    <row r="4621" spans="1:1" x14ac:dyDescent="0.25">
      <c r="A4621"/>
    </row>
    <row r="4622" spans="1:1" x14ac:dyDescent="0.25">
      <c r="A4622"/>
    </row>
    <row r="4623" spans="1:1" x14ac:dyDescent="0.25">
      <c r="A4623"/>
    </row>
    <row r="4624" spans="1:1" x14ac:dyDescent="0.25">
      <c r="A4624"/>
    </row>
    <row r="4625" spans="1:1" x14ac:dyDescent="0.25">
      <c r="A4625"/>
    </row>
    <row r="4626" spans="1:1" x14ac:dyDescent="0.25">
      <c r="A4626"/>
    </row>
    <row r="4627" spans="1:1" x14ac:dyDescent="0.25">
      <c r="A4627"/>
    </row>
    <row r="4628" spans="1:1" x14ac:dyDescent="0.25">
      <c r="A4628"/>
    </row>
    <row r="4629" spans="1:1" x14ac:dyDescent="0.25">
      <c r="A4629"/>
    </row>
    <row r="4630" spans="1:1" x14ac:dyDescent="0.25">
      <c r="A4630"/>
    </row>
    <row r="4631" spans="1:1" x14ac:dyDescent="0.25">
      <c r="A4631"/>
    </row>
    <row r="4632" spans="1:1" x14ac:dyDescent="0.25">
      <c r="A4632"/>
    </row>
    <row r="4633" spans="1:1" x14ac:dyDescent="0.25">
      <c r="A4633"/>
    </row>
    <row r="4634" spans="1:1" x14ac:dyDescent="0.25">
      <c r="A4634"/>
    </row>
    <row r="4635" spans="1:1" x14ac:dyDescent="0.25">
      <c r="A4635"/>
    </row>
    <row r="4636" spans="1:1" x14ac:dyDescent="0.25">
      <c r="A4636"/>
    </row>
    <row r="4637" spans="1:1" x14ac:dyDescent="0.25">
      <c r="A4637"/>
    </row>
    <row r="4638" spans="1:1" x14ac:dyDescent="0.25">
      <c r="A4638"/>
    </row>
    <row r="4639" spans="1:1" x14ac:dyDescent="0.25">
      <c r="A4639"/>
    </row>
    <row r="4640" spans="1:1" x14ac:dyDescent="0.25">
      <c r="A4640"/>
    </row>
    <row r="4641" spans="1:1" x14ac:dyDescent="0.25">
      <c r="A4641"/>
    </row>
    <row r="4642" spans="1:1" x14ac:dyDescent="0.25">
      <c r="A4642"/>
    </row>
    <row r="4643" spans="1:1" x14ac:dyDescent="0.25">
      <c r="A4643"/>
    </row>
    <row r="4644" spans="1:1" x14ac:dyDescent="0.25">
      <c r="A4644"/>
    </row>
    <row r="4645" spans="1:1" x14ac:dyDescent="0.25">
      <c r="A4645"/>
    </row>
    <row r="4646" spans="1:1" x14ac:dyDescent="0.25">
      <c r="A4646"/>
    </row>
    <row r="4647" spans="1:1" x14ac:dyDescent="0.25">
      <c r="A4647"/>
    </row>
    <row r="4648" spans="1:1" x14ac:dyDescent="0.25">
      <c r="A4648"/>
    </row>
    <row r="4649" spans="1:1" x14ac:dyDescent="0.25">
      <c r="A4649"/>
    </row>
    <row r="4650" spans="1:1" x14ac:dyDescent="0.25">
      <c r="A4650"/>
    </row>
    <row r="4651" spans="1:1" x14ac:dyDescent="0.25">
      <c r="A4651"/>
    </row>
    <row r="4652" spans="1:1" x14ac:dyDescent="0.25">
      <c r="A4652"/>
    </row>
    <row r="4653" spans="1:1" x14ac:dyDescent="0.25">
      <c r="A4653"/>
    </row>
    <row r="4654" spans="1:1" x14ac:dyDescent="0.25">
      <c r="A4654"/>
    </row>
    <row r="4655" spans="1:1" x14ac:dyDescent="0.25">
      <c r="A4655"/>
    </row>
    <row r="4656" spans="1:1" x14ac:dyDescent="0.25">
      <c r="A4656"/>
    </row>
    <row r="4657" spans="1:1" x14ac:dyDescent="0.25">
      <c r="A4657"/>
    </row>
    <row r="4658" spans="1:1" x14ac:dyDescent="0.25">
      <c r="A4658"/>
    </row>
    <row r="4659" spans="1:1" x14ac:dyDescent="0.25">
      <c r="A4659"/>
    </row>
    <row r="4660" spans="1:1" x14ac:dyDescent="0.25">
      <c r="A4660"/>
    </row>
    <row r="4661" spans="1:1" x14ac:dyDescent="0.25">
      <c r="A4661"/>
    </row>
    <row r="4662" spans="1:1" x14ac:dyDescent="0.25">
      <c r="A4662"/>
    </row>
    <row r="4663" spans="1:1" x14ac:dyDescent="0.25">
      <c r="A4663"/>
    </row>
    <row r="4664" spans="1:1" x14ac:dyDescent="0.25">
      <c r="A4664"/>
    </row>
    <row r="4665" spans="1:1" x14ac:dyDescent="0.25">
      <c r="A4665"/>
    </row>
    <row r="4666" spans="1:1" x14ac:dyDescent="0.25">
      <c r="A4666"/>
    </row>
    <row r="4667" spans="1:1" x14ac:dyDescent="0.25">
      <c r="A4667"/>
    </row>
    <row r="4668" spans="1:1" x14ac:dyDescent="0.25">
      <c r="A4668"/>
    </row>
    <row r="4669" spans="1:1" x14ac:dyDescent="0.25">
      <c r="A4669"/>
    </row>
    <row r="4670" spans="1:1" x14ac:dyDescent="0.25">
      <c r="A4670"/>
    </row>
    <row r="4671" spans="1:1" x14ac:dyDescent="0.25">
      <c r="A4671"/>
    </row>
    <row r="4672" spans="1:1" x14ac:dyDescent="0.25">
      <c r="A4672"/>
    </row>
    <row r="4673" spans="1:1" x14ac:dyDescent="0.25">
      <c r="A4673"/>
    </row>
    <row r="4674" spans="1:1" x14ac:dyDescent="0.25">
      <c r="A4674"/>
    </row>
    <row r="4675" spans="1:1" x14ac:dyDescent="0.25">
      <c r="A4675"/>
    </row>
    <row r="4676" spans="1:1" x14ac:dyDescent="0.25">
      <c r="A4676"/>
    </row>
    <row r="4677" spans="1:1" x14ac:dyDescent="0.25">
      <c r="A4677"/>
    </row>
    <row r="4678" spans="1:1" x14ac:dyDescent="0.25">
      <c r="A4678"/>
    </row>
    <row r="4679" spans="1:1" x14ac:dyDescent="0.25">
      <c r="A4679"/>
    </row>
    <row r="4680" spans="1:1" x14ac:dyDescent="0.25">
      <c r="A4680"/>
    </row>
    <row r="4681" spans="1:1" x14ac:dyDescent="0.25">
      <c r="A4681"/>
    </row>
    <row r="4682" spans="1:1" x14ac:dyDescent="0.25">
      <c r="A4682"/>
    </row>
    <row r="4683" spans="1:1" x14ac:dyDescent="0.25">
      <c r="A4683"/>
    </row>
    <row r="4684" spans="1:1" x14ac:dyDescent="0.25">
      <c r="A4684"/>
    </row>
    <row r="4685" spans="1:1" x14ac:dyDescent="0.25">
      <c r="A4685"/>
    </row>
    <row r="4686" spans="1:1" x14ac:dyDescent="0.25">
      <c r="A4686"/>
    </row>
    <row r="4687" spans="1:1" x14ac:dyDescent="0.25">
      <c r="A4687"/>
    </row>
    <row r="4688" spans="1:1" x14ac:dyDescent="0.25">
      <c r="A4688"/>
    </row>
    <row r="4689" spans="1:1" x14ac:dyDescent="0.25">
      <c r="A4689"/>
    </row>
    <row r="4690" spans="1:1" x14ac:dyDescent="0.25">
      <c r="A4690"/>
    </row>
    <row r="4691" spans="1:1" x14ac:dyDescent="0.25">
      <c r="A4691"/>
    </row>
    <row r="4692" spans="1:1" x14ac:dyDescent="0.25">
      <c r="A4692"/>
    </row>
    <row r="4693" spans="1:1" x14ac:dyDescent="0.25">
      <c r="A4693"/>
    </row>
    <row r="4694" spans="1:1" x14ac:dyDescent="0.25">
      <c r="A4694"/>
    </row>
    <row r="4695" spans="1:1" x14ac:dyDescent="0.25">
      <c r="A4695"/>
    </row>
    <row r="4696" spans="1:1" x14ac:dyDescent="0.25">
      <c r="A4696"/>
    </row>
    <row r="4697" spans="1:1" x14ac:dyDescent="0.25">
      <c r="A4697"/>
    </row>
    <row r="4698" spans="1:1" x14ac:dyDescent="0.25">
      <c r="A4698"/>
    </row>
    <row r="4699" spans="1:1" x14ac:dyDescent="0.25">
      <c r="A4699"/>
    </row>
    <row r="4700" spans="1:1" x14ac:dyDescent="0.25">
      <c r="A4700"/>
    </row>
    <row r="4701" spans="1:1" x14ac:dyDescent="0.25">
      <c r="A4701"/>
    </row>
    <row r="4702" spans="1:1" x14ac:dyDescent="0.25">
      <c r="A4702"/>
    </row>
    <row r="4703" spans="1:1" x14ac:dyDescent="0.25">
      <c r="A4703"/>
    </row>
    <row r="4704" spans="1:1" x14ac:dyDescent="0.25">
      <c r="A4704"/>
    </row>
    <row r="4705" spans="1:1" x14ac:dyDescent="0.25">
      <c r="A4705"/>
    </row>
    <row r="4706" spans="1:1" x14ac:dyDescent="0.25">
      <c r="A4706"/>
    </row>
    <row r="4707" spans="1:1" x14ac:dyDescent="0.25">
      <c r="A4707"/>
    </row>
    <row r="4708" spans="1:1" x14ac:dyDescent="0.25">
      <c r="A4708"/>
    </row>
    <row r="4709" spans="1:1" x14ac:dyDescent="0.25">
      <c r="A4709"/>
    </row>
    <row r="4710" spans="1:1" x14ac:dyDescent="0.25">
      <c r="A4710"/>
    </row>
    <row r="4711" spans="1:1" x14ac:dyDescent="0.25">
      <c r="A4711"/>
    </row>
    <row r="4712" spans="1:1" x14ac:dyDescent="0.25">
      <c r="A4712"/>
    </row>
    <row r="4713" spans="1:1" x14ac:dyDescent="0.25">
      <c r="A4713"/>
    </row>
    <row r="4714" spans="1:1" x14ac:dyDescent="0.25">
      <c r="A4714"/>
    </row>
    <row r="4715" spans="1:1" x14ac:dyDescent="0.25">
      <c r="A4715"/>
    </row>
    <row r="4716" spans="1:1" x14ac:dyDescent="0.25">
      <c r="A4716"/>
    </row>
    <row r="4717" spans="1:1" x14ac:dyDescent="0.25">
      <c r="A4717"/>
    </row>
    <row r="4718" spans="1:1" x14ac:dyDescent="0.25">
      <c r="A4718"/>
    </row>
    <row r="4719" spans="1:1" x14ac:dyDescent="0.25">
      <c r="A4719"/>
    </row>
    <row r="4720" spans="1:1" x14ac:dyDescent="0.25">
      <c r="A4720"/>
    </row>
    <row r="4721" spans="1:1" x14ac:dyDescent="0.25">
      <c r="A4721"/>
    </row>
    <row r="4722" spans="1:1" x14ac:dyDescent="0.25">
      <c r="A4722"/>
    </row>
    <row r="4723" spans="1:1" x14ac:dyDescent="0.25">
      <c r="A4723"/>
    </row>
    <row r="4724" spans="1:1" x14ac:dyDescent="0.25">
      <c r="A4724"/>
    </row>
    <row r="4725" spans="1:1" x14ac:dyDescent="0.25">
      <c r="A4725"/>
    </row>
    <row r="4726" spans="1:1" x14ac:dyDescent="0.25">
      <c r="A4726"/>
    </row>
    <row r="4727" spans="1:1" x14ac:dyDescent="0.25">
      <c r="A4727"/>
    </row>
    <row r="4728" spans="1:1" x14ac:dyDescent="0.25">
      <c r="A4728"/>
    </row>
    <row r="4729" spans="1:1" x14ac:dyDescent="0.25">
      <c r="A4729"/>
    </row>
    <row r="4730" spans="1:1" x14ac:dyDescent="0.25">
      <c r="A4730"/>
    </row>
    <row r="4731" spans="1:1" x14ac:dyDescent="0.25">
      <c r="A4731"/>
    </row>
    <row r="4732" spans="1:1" x14ac:dyDescent="0.25">
      <c r="A4732"/>
    </row>
    <row r="4733" spans="1:1" x14ac:dyDescent="0.25">
      <c r="A4733"/>
    </row>
    <row r="4734" spans="1:1" x14ac:dyDescent="0.25">
      <c r="A4734"/>
    </row>
    <row r="4735" spans="1:1" x14ac:dyDescent="0.25">
      <c r="A4735"/>
    </row>
    <row r="4736" spans="1:1" x14ac:dyDescent="0.25">
      <c r="A4736"/>
    </row>
    <row r="4737" spans="1:1" x14ac:dyDescent="0.25">
      <c r="A4737"/>
    </row>
    <row r="4738" spans="1:1" x14ac:dyDescent="0.25">
      <c r="A4738"/>
    </row>
    <row r="4739" spans="1:1" x14ac:dyDescent="0.25">
      <c r="A4739"/>
    </row>
    <row r="4740" spans="1:1" x14ac:dyDescent="0.25">
      <c r="A4740"/>
    </row>
    <row r="4741" spans="1:1" x14ac:dyDescent="0.25">
      <c r="A4741"/>
    </row>
    <row r="4742" spans="1:1" x14ac:dyDescent="0.25">
      <c r="A4742"/>
    </row>
    <row r="4743" spans="1:1" x14ac:dyDescent="0.25">
      <c r="A4743"/>
    </row>
    <row r="4744" spans="1:1" x14ac:dyDescent="0.25">
      <c r="A4744"/>
    </row>
    <row r="4745" spans="1:1" x14ac:dyDescent="0.25">
      <c r="A4745"/>
    </row>
    <row r="4746" spans="1:1" x14ac:dyDescent="0.25">
      <c r="A4746"/>
    </row>
    <row r="4747" spans="1:1" x14ac:dyDescent="0.25">
      <c r="A4747"/>
    </row>
    <row r="4748" spans="1:1" x14ac:dyDescent="0.25">
      <c r="A4748"/>
    </row>
    <row r="4749" spans="1:1" x14ac:dyDescent="0.25">
      <c r="A4749"/>
    </row>
    <row r="4750" spans="1:1" x14ac:dyDescent="0.25">
      <c r="A4750"/>
    </row>
    <row r="4751" spans="1:1" x14ac:dyDescent="0.25">
      <c r="A4751"/>
    </row>
    <row r="4752" spans="1:1" x14ac:dyDescent="0.25">
      <c r="A4752"/>
    </row>
    <row r="4753" spans="1:1" x14ac:dyDescent="0.25">
      <c r="A4753"/>
    </row>
    <row r="4754" spans="1:1" x14ac:dyDescent="0.25">
      <c r="A4754"/>
    </row>
    <row r="4755" spans="1:1" x14ac:dyDescent="0.25">
      <c r="A4755"/>
    </row>
    <row r="4756" spans="1:1" x14ac:dyDescent="0.25">
      <c r="A4756"/>
    </row>
    <row r="4757" spans="1:1" x14ac:dyDescent="0.25">
      <c r="A4757"/>
    </row>
    <row r="4758" spans="1:1" x14ac:dyDescent="0.25">
      <c r="A4758"/>
    </row>
    <row r="4759" spans="1:1" x14ac:dyDescent="0.25">
      <c r="A4759"/>
    </row>
    <row r="4760" spans="1:1" x14ac:dyDescent="0.25">
      <c r="A4760"/>
    </row>
    <row r="4761" spans="1:1" x14ac:dyDescent="0.25">
      <c r="A4761"/>
    </row>
    <row r="4762" spans="1:1" x14ac:dyDescent="0.25">
      <c r="A4762"/>
    </row>
    <row r="4763" spans="1:1" x14ac:dyDescent="0.25">
      <c r="A4763"/>
    </row>
    <row r="4764" spans="1:1" x14ac:dyDescent="0.25">
      <c r="A4764"/>
    </row>
    <row r="4765" spans="1:1" x14ac:dyDescent="0.25">
      <c r="A4765"/>
    </row>
    <row r="4766" spans="1:1" x14ac:dyDescent="0.25">
      <c r="A4766"/>
    </row>
    <row r="4767" spans="1:1" x14ac:dyDescent="0.25">
      <c r="A4767"/>
    </row>
    <row r="4768" spans="1:1" x14ac:dyDescent="0.25">
      <c r="A4768"/>
    </row>
    <row r="4769" spans="1:1" x14ac:dyDescent="0.25">
      <c r="A4769"/>
    </row>
    <row r="4770" spans="1:1" x14ac:dyDescent="0.25">
      <c r="A4770"/>
    </row>
    <row r="4771" spans="1:1" x14ac:dyDescent="0.25">
      <c r="A4771"/>
    </row>
    <row r="4772" spans="1:1" x14ac:dyDescent="0.25">
      <c r="A4772"/>
    </row>
    <row r="4773" spans="1:1" x14ac:dyDescent="0.25">
      <c r="A4773"/>
    </row>
    <row r="4774" spans="1:1" x14ac:dyDescent="0.25">
      <c r="A4774"/>
    </row>
    <row r="4775" spans="1:1" x14ac:dyDescent="0.25">
      <c r="A4775"/>
    </row>
    <row r="4776" spans="1:1" x14ac:dyDescent="0.25">
      <c r="A4776"/>
    </row>
    <row r="4777" spans="1:1" x14ac:dyDescent="0.25">
      <c r="A4777"/>
    </row>
    <row r="4778" spans="1:1" x14ac:dyDescent="0.25">
      <c r="A4778"/>
    </row>
    <row r="4779" spans="1:1" x14ac:dyDescent="0.25">
      <c r="A4779"/>
    </row>
    <row r="4780" spans="1:1" x14ac:dyDescent="0.25">
      <c r="A4780"/>
    </row>
    <row r="4781" spans="1:1" x14ac:dyDescent="0.25">
      <c r="A4781"/>
    </row>
    <row r="4782" spans="1:1" x14ac:dyDescent="0.25">
      <c r="A4782"/>
    </row>
    <row r="4783" spans="1:1" x14ac:dyDescent="0.25">
      <c r="A4783"/>
    </row>
    <row r="4784" spans="1:1" x14ac:dyDescent="0.25">
      <c r="A4784"/>
    </row>
    <row r="4785" spans="1:1" x14ac:dyDescent="0.25">
      <c r="A4785"/>
    </row>
    <row r="4786" spans="1:1" x14ac:dyDescent="0.25">
      <c r="A4786"/>
    </row>
    <row r="4787" spans="1:1" x14ac:dyDescent="0.25">
      <c r="A4787"/>
    </row>
    <row r="4788" spans="1:1" x14ac:dyDescent="0.25">
      <c r="A4788"/>
    </row>
    <row r="4789" spans="1:1" x14ac:dyDescent="0.25">
      <c r="A4789"/>
    </row>
    <row r="4790" spans="1:1" x14ac:dyDescent="0.25">
      <c r="A4790"/>
    </row>
    <row r="4791" spans="1:1" x14ac:dyDescent="0.25">
      <c r="A4791"/>
    </row>
    <row r="4792" spans="1:1" x14ac:dyDescent="0.25">
      <c r="A4792"/>
    </row>
    <row r="4793" spans="1:1" x14ac:dyDescent="0.25">
      <c r="A4793"/>
    </row>
    <row r="4794" spans="1:1" x14ac:dyDescent="0.25">
      <c r="A4794"/>
    </row>
    <row r="4795" spans="1:1" x14ac:dyDescent="0.25">
      <c r="A4795"/>
    </row>
    <row r="4796" spans="1:1" x14ac:dyDescent="0.25">
      <c r="A4796"/>
    </row>
    <row r="4797" spans="1:1" x14ac:dyDescent="0.25">
      <c r="A4797"/>
    </row>
    <row r="4798" spans="1:1" x14ac:dyDescent="0.25">
      <c r="A4798"/>
    </row>
    <row r="4799" spans="1:1" x14ac:dyDescent="0.25">
      <c r="A4799"/>
    </row>
    <row r="4800" spans="1:1" x14ac:dyDescent="0.25">
      <c r="A4800"/>
    </row>
    <row r="4801" spans="1:1" x14ac:dyDescent="0.25">
      <c r="A4801"/>
    </row>
    <row r="4802" spans="1:1" x14ac:dyDescent="0.25">
      <c r="A4802"/>
    </row>
    <row r="4803" spans="1:1" x14ac:dyDescent="0.25">
      <c r="A4803"/>
    </row>
    <row r="4804" spans="1:1" x14ac:dyDescent="0.25">
      <c r="A4804"/>
    </row>
    <row r="4805" spans="1:1" x14ac:dyDescent="0.25">
      <c r="A4805"/>
    </row>
    <row r="4806" spans="1:1" x14ac:dyDescent="0.25">
      <c r="A4806"/>
    </row>
    <row r="4807" spans="1:1" x14ac:dyDescent="0.25">
      <c r="A4807"/>
    </row>
    <row r="4808" spans="1:1" x14ac:dyDescent="0.25">
      <c r="A4808"/>
    </row>
    <row r="4809" spans="1:1" x14ac:dyDescent="0.25">
      <c r="A4809"/>
    </row>
    <row r="4810" spans="1:1" x14ac:dyDescent="0.25">
      <c r="A4810"/>
    </row>
    <row r="4811" spans="1:1" x14ac:dyDescent="0.25">
      <c r="A4811"/>
    </row>
    <row r="4812" spans="1:1" x14ac:dyDescent="0.25">
      <c r="A4812"/>
    </row>
    <row r="4813" spans="1:1" x14ac:dyDescent="0.25">
      <c r="A4813"/>
    </row>
    <row r="4814" spans="1:1" x14ac:dyDescent="0.25">
      <c r="A4814"/>
    </row>
    <row r="4815" spans="1:1" x14ac:dyDescent="0.25">
      <c r="A4815"/>
    </row>
    <row r="4816" spans="1:1" x14ac:dyDescent="0.25">
      <c r="A4816"/>
    </row>
    <row r="4817" spans="1:1" x14ac:dyDescent="0.25">
      <c r="A4817"/>
    </row>
    <row r="4818" spans="1:1" x14ac:dyDescent="0.25">
      <c r="A4818"/>
    </row>
    <row r="4819" spans="1:1" x14ac:dyDescent="0.25">
      <c r="A4819"/>
    </row>
    <row r="4820" spans="1:1" x14ac:dyDescent="0.25">
      <c r="A4820"/>
    </row>
    <row r="4821" spans="1:1" x14ac:dyDescent="0.25">
      <c r="A4821"/>
    </row>
    <row r="4822" spans="1:1" x14ac:dyDescent="0.25">
      <c r="A4822"/>
    </row>
    <row r="4823" spans="1:1" x14ac:dyDescent="0.25">
      <c r="A4823"/>
    </row>
    <row r="4824" spans="1:1" x14ac:dyDescent="0.25">
      <c r="A4824"/>
    </row>
    <row r="4825" spans="1:1" x14ac:dyDescent="0.25">
      <c r="A4825"/>
    </row>
    <row r="4826" spans="1:1" x14ac:dyDescent="0.25">
      <c r="A4826"/>
    </row>
    <row r="4827" spans="1:1" x14ac:dyDescent="0.25">
      <c r="A4827"/>
    </row>
    <row r="4828" spans="1:1" x14ac:dyDescent="0.25">
      <c r="A4828"/>
    </row>
    <row r="4829" spans="1:1" x14ac:dyDescent="0.25">
      <c r="A4829"/>
    </row>
    <row r="4830" spans="1:1" x14ac:dyDescent="0.25">
      <c r="A4830"/>
    </row>
    <row r="4831" spans="1:1" x14ac:dyDescent="0.25">
      <c r="A4831"/>
    </row>
    <row r="4832" spans="1:1" x14ac:dyDescent="0.25">
      <c r="A4832"/>
    </row>
    <row r="4833" spans="1:1" x14ac:dyDescent="0.25">
      <c r="A4833"/>
    </row>
    <row r="4834" spans="1:1" x14ac:dyDescent="0.25">
      <c r="A4834"/>
    </row>
    <row r="4835" spans="1:1" x14ac:dyDescent="0.25">
      <c r="A4835"/>
    </row>
    <row r="4836" spans="1:1" x14ac:dyDescent="0.25">
      <c r="A4836"/>
    </row>
    <row r="4837" spans="1:1" x14ac:dyDescent="0.25">
      <c r="A4837"/>
    </row>
    <row r="4838" spans="1:1" x14ac:dyDescent="0.25">
      <c r="A4838"/>
    </row>
    <row r="4839" spans="1:1" x14ac:dyDescent="0.25">
      <c r="A4839"/>
    </row>
    <row r="4840" spans="1:1" x14ac:dyDescent="0.25">
      <c r="A4840"/>
    </row>
    <row r="4841" spans="1:1" x14ac:dyDescent="0.25">
      <c r="A4841"/>
    </row>
    <row r="4842" spans="1:1" x14ac:dyDescent="0.25">
      <c r="A4842"/>
    </row>
    <row r="4843" spans="1:1" x14ac:dyDescent="0.25">
      <c r="A4843"/>
    </row>
    <row r="4844" spans="1:1" x14ac:dyDescent="0.25">
      <c r="A4844"/>
    </row>
    <row r="4845" spans="1:1" x14ac:dyDescent="0.25">
      <c r="A4845"/>
    </row>
    <row r="4846" spans="1:1" x14ac:dyDescent="0.25">
      <c r="A4846"/>
    </row>
    <row r="4847" spans="1:1" x14ac:dyDescent="0.25">
      <c r="A4847"/>
    </row>
    <row r="4848" spans="1:1" x14ac:dyDescent="0.25">
      <c r="A4848"/>
    </row>
    <row r="4849" spans="1:1" x14ac:dyDescent="0.25">
      <c r="A4849"/>
    </row>
    <row r="4850" spans="1:1" x14ac:dyDescent="0.25">
      <c r="A4850"/>
    </row>
    <row r="4851" spans="1:1" x14ac:dyDescent="0.25">
      <c r="A4851"/>
    </row>
    <row r="4852" spans="1:1" x14ac:dyDescent="0.25">
      <c r="A4852"/>
    </row>
    <row r="4853" spans="1:1" x14ac:dyDescent="0.25">
      <c r="A4853"/>
    </row>
    <row r="4854" spans="1:1" x14ac:dyDescent="0.25">
      <c r="A4854"/>
    </row>
    <row r="4855" spans="1:1" x14ac:dyDescent="0.25">
      <c r="A4855"/>
    </row>
    <row r="4856" spans="1:1" x14ac:dyDescent="0.25">
      <c r="A4856"/>
    </row>
    <row r="4857" spans="1:1" x14ac:dyDescent="0.25">
      <c r="A4857"/>
    </row>
    <row r="4858" spans="1:1" x14ac:dyDescent="0.25">
      <c r="A4858"/>
    </row>
    <row r="4859" spans="1:1" x14ac:dyDescent="0.25">
      <c r="A4859"/>
    </row>
    <row r="4860" spans="1:1" x14ac:dyDescent="0.25">
      <c r="A4860"/>
    </row>
    <row r="4861" spans="1:1" x14ac:dyDescent="0.25">
      <c r="A4861"/>
    </row>
    <row r="4862" spans="1:1" x14ac:dyDescent="0.25">
      <c r="A4862"/>
    </row>
    <row r="4863" spans="1:1" x14ac:dyDescent="0.25">
      <c r="A4863"/>
    </row>
    <row r="4864" spans="1:1" x14ac:dyDescent="0.25">
      <c r="A4864"/>
    </row>
    <row r="4865" spans="1:1" x14ac:dyDescent="0.25">
      <c r="A4865"/>
    </row>
    <row r="4866" spans="1:1" x14ac:dyDescent="0.25">
      <c r="A4866"/>
    </row>
    <row r="4867" spans="1:1" x14ac:dyDescent="0.25">
      <c r="A4867"/>
    </row>
    <row r="4868" spans="1:1" x14ac:dyDescent="0.25">
      <c r="A4868"/>
    </row>
    <row r="4869" spans="1:1" x14ac:dyDescent="0.25">
      <c r="A4869"/>
    </row>
    <row r="4870" spans="1:1" x14ac:dyDescent="0.25">
      <c r="A4870"/>
    </row>
    <row r="4871" spans="1:1" x14ac:dyDescent="0.25">
      <c r="A4871"/>
    </row>
    <row r="4872" spans="1:1" x14ac:dyDescent="0.25">
      <c r="A4872"/>
    </row>
    <row r="4873" spans="1:1" x14ac:dyDescent="0.25">
      <c r="A4873"/>
    </row>
    <row r="4874" spans="1:1" x14ac:dyDescent="0.25">
      <c r="A4874"/>
    </row>
    <row r="4875" spans="1:1" x14ac:dyDescent="0.25">
      <c r="A4875"/>
    </row>
    <row r="4876" spans="1:1" x14ac:dyDescent="0.25">
      <c r="A4876"/>
    </row>
    <row r="4877" spans="1:1" x14ac:dyDescent="0.25">
      <c r="A4877"/>
    </row>
    <row r="4878" spans="1:1" x14ac:dyDescent="0.25">
      <c r="A4878"/>
    </row>
    <row r="4879" spans="1:1" x14ac:dyDescent="0.25">
      <c r="A4879"/>
    </row>
    <row r="4880" spans="1:1" x14ac:dyDescent="0.25">
      <c r="A4880"/>
    </row>
    <row r="4881" spans="1:1" x14ac:dyDescent="0.25">
      <c r="A4881"/>
    </row>
    <row r="4882" spans="1:1" x14ac:dyDescent="0.25">
      <c r="A4882"/>
    </row>
    <row r="4883" spans="1:1" x14ac:dyDescent="0.25">
      <c r="A4883"/>
    </row>
    <row r="4884" spans="1:1" x14ac:dyDescent="0.25">
      <c r="A4884"/>
    </row>
    <row r="4885" spans="1:1" x14ac:dyDescent="0.25">
      <c r="A4885"/>
    </row>
    <row r="4886" spans="1:1" x14ac:dyDescent="0.25">
      <c r="A4886"/>
    </row>
    <row r="4887" spans="1:1" x14ac:dyDescent="0.25">
      <c r="A4887"/>
    </row>
    <row r="4888" spans="1:1" x14ac:dyDescent="0.25">
      <c r="A4888"/>
    </row>
    <row r="4889" spans="1:1" x14ac:dyDescent="0.25">
      <c r="A4889"/>
    </row>
    <row r="4890" spans="1:1" x14ac:dyDescent="0.25">
      <c r="A4890"/>
    </row>
    <row r="4891" spans="1:1" x14ac:dyDescent="0.25">
      <c r="A4891"/>
    </row>
    <row r="4892" spans="1:1" x14ac:dyDescent="0.25">
      <c r="A4892"/>
    </row>
    <row r="4893" spans="1:1" x14ac:dyDescent="0.25">
      <c r="A4893"/>
    </row>
    <row r="4894" spans="1:1" x14ac:dyDescent="0.25">
      <c r="A4894"/>
    </row>
    <row r="4895" spans="1:1" x14ac:dyDescent="0.25">
      <c r="A4895"/>
    </row>
    <row r="4896" spans="1:1" x14ac:dyDescent="0.25">
      <c r="A4896"/>
    </row>
    <row r="4897" spans="1:1" x14ac:dyDescent="0.25">
      <c r="A4897"/>
    </row>
    <row r="4898" spans="1:1" x14ac:dyDescent="0.25">
      <c r="A4898"/>
    </row>
    <row r="4899" spans="1:1" x14ac:dyDescent="0.25">
      <c r="A4899"/>
    </row>
    <row r="4900" spans="1:1" x14ac:dyDescent="0.25">
      <c r="A4900"/>
    </row>
    <row r="4901" spans="1:1" x14ac:dyDescent="0.25">
      <c r="A4901"/>
    </row>
    <row r="4902" spans="1:1" x14ac:dyDescent="0.25">
      <c r="A4902"/>
    </row>
    <row r="4903" spans="1:1" x14ac:dyDescent="0.25">
      <c r="A4903"/>
    </row>
    <row r="4904" spans="1:1" x14ac:dyDescent="0.25">
      <c r="A4904"/>
    </row>
    <row r="4905" spans="1:1" x14ac:dyDescent="0.25">
      <c r="A4905"/>
    </row>
    <row r="4906" spans="1:1" x14ac:dyDescent="0.25">
      <c r="A4906"/>
    </row>
    <row r="4907" spans="1:1" x14ac:dyDescent="0.25">
      <c r="A4907"/>
    </row>
    <row r="4908" spans="1:1" x14ac:dyDescent="0.25">
      <c r="A4908"/>
    </row>
    <row r="4909" spans="1:1" x14ac:dyDescent="0.25">
      <c r="A4909"/>
    </row>
    <row r="4910" spans="1:1" x14ac:dyDescent="0.25">
      <c r="A4910"/>
    </row>
    <row r="4911" spans="1:1" x14ac:dyDescent="0.25">
      <c r="A4911"/>
    </row>
    <row r="4912" spans="1:1" x14ac:dyDescent="0.25">
      <c r="A4912"/>
    </row>
    <row r="4913" spans="1:1" x14ac:dyDescent="0.25">
      <c r="A4913"/>
    </row>
    <row r="4914" spans="1:1" x14ac:dyDescent="0.25">
      <c r="A4914"/>
    </row>
    <row r="4915" spans="1:1" x14ac:dyDescent="0.25">
      <c r="A4915"/>
    </row>
    <row r="4916" spans="1:1" x14ac:dyDescent="0.25">
      <c r="A4916"/>
    </row>
    <row r="4917" spans="1:1" x14ac:dyDescent="0.25">
      <c r="A4917"/>
    </row>
    <row r="4918" spans="1:1" x14ac:dyDescent="0.25">
      <c r="A4918"/>
    </row>
    <row r="4919" spans="1:1" x14ac:dyDescent="0.25">
      <c r="A4919"/>
    </row>
    <row r="4920" spans="1:1" x14ac:dyDescent="0.25">
      <c r="A4920"/>
    </row>
    <row r="4921" spans="1:1" x14ac:dyDescent="0.25">
      <c r="A4921"/>
    </row>
    <row r="4922" spans="1:1" x14ac:dyDescent="0.25">
      <c r="A4922"/>
    </row>
    <row r="4923" spans="1:1" x14ac:dyDescent="0.25">
      <c r="A4923"/>
    </row>
    <row r="4924" spans="1:1" x14ac:dyDescent="0.25">
      <c r="A4924"/>
    </row>
    <row r="4925" spans="1:1" x14ac:dyDescent="0.25">
      <c r="A4925"/>
    </row>
    <row r="4926" spans="1:1" x14ac:dyDescent="0.25">
      <c r="A4926"/>
    </row>
    <row r="4927" spans="1:1" x14ac:dyDescent="0.25">
      <c r="A4927"/>
    </row>
    <row r="4928" spans="1:1" x14ac:dyDescent="0.25">
      <c r="A4928"/>
    </row>
    <row r="4929" spans="1:1" x14ac:dyDescent="0.25">
      <c r="A4929"/>
    </row>
    <row r="4930" spans="1:1" x14ac:dyDescent="0.25">
      <c r="A4930"/>
    </row>
    <row r="4931" spans="1:1" x14ac:dyDescent="0.25">
      <c r="A4931"/>
    </row>
    <row r="4932" spans="1:1" x14ac:dyDescent="0.25">
      <c r="A4932"/>
    </row>
    <row r="4933" spans="1:1" x14ac:dyDescent="0.25">
      <c r="A4933"/>
    </row>
    <row r="4934" spans="1:1" x14ac:dyDescent="0.25">
      <c r="A4934"/>
    </row>
    <row r="4935" spans="1:1" x14ac:dyDescent="0.25">
      <c r="A4935"/>
    </row>
    <row r="4936" spans="1:1" x14ac:dyDescent="0.25">
      <c r="A4936"/>
    </row>
    <row r="4937" spans="1:1" x14ac:dyDescent="0.25">
      <c r="A4937"/>
    </row>
    <row r="4938" spans="1:1" x14ac:dyDescent="0.25">
      <c r="A4938"/>
    </row>
    <row r="4939" spans="1:1" x14ac:dyDescent="0.25">
      <c r="A4939"/>
    </row>
    <row r="4940" spans="1:1" x14ac:dyDescent="0.25">
      <c r="A4940"/>
    </row>
    <row r="4941" spans="1:1" x14ac:dyDescent="0.25">
      <c r="A4941"/>
    </row>
    <row r="4942" spans="1:1" x14ac:dyDescent="0.25">
      <c r="A4942"/>
    </row>
    <row r="4943" spans="1:1" x14ac:dyDescent="0.25">
      <c r="A4943"/>
    </row>
    <row r="4944" spans="1:1" x14ac:dyDescent="0.25">
      <c r="A4944"/>
    </row>
    <row r="4945" spans="1:1" x14ac:dyDescent="0.25">
      <c r="A4945"/>
    </row>
    <row r="4946" spans="1:1" x14ac:dyDescent="0.25">
      <c r="A4946"/>
    </row>
    <row r="4947" spans="1:1" x14ac:dyDescent="0.25">
      <c r="A4947"/>
    </row>
    <row r="4948" spans="1:1" x14ac:dyDescent="0.25">
      <c r="A4948"/>
    </row>
    <row r="4949" spans="1:1" x14ac:dyDescent="0.25">
      <c r="A4949"/>
    </row>
    <row r="4950" spans="1:1" x14ac:dyDescent="0.25">
      <c r="A4950"/>
    </row>
    <row r="4951" spans="1:1" x14ac:dyDescent="0.25">
      <c r="A4951"/>
    </row>
    <row r="4952" spans="1:1" x14ac:dyDescent="0.25">
      <c r="A4952"/>
    </row>
    <row r="4953" spans="1:1" x14ac:dyDescent="0.25">
      <c r="A4953"/>
    </row>
    <row r="4954" spans="1:1" x14ac:dyDescent="0.25">
      <c r="A4954"/>
    </row>
    <row r="4955" spans="1:1" x14ac:dyDescent="0.25">
      <c r="A4955"/>
    </row>
    <row r="4956" spans="1:1" x14ac:dyDescent="0.25">
      <c r="A4956"/>
    </row>
    <row r="4957" spans="1:1" x14ac:dyDescent="0.25">
      <c r="A4957"/>
    </row>
    <row r="4958" spans="1:1" x14ac:dyDescent="0.25">
      <c r="A4958"/>
    </row>
    <row r="4959" spans="1:1" x14ac:dyDescent="0.25">
      <c r="A4959"/>
    </row>
    <row r="4960" spans="1:1" x14ac:dyDescent="0.25">
      <c r="A4960"/>
    </row>
    <row r="4961" spans="1:1" x14ac:dyDescent="0.25">
      <c r="A4961"/>
    </row>
    <row r="4962" spans="1:1" x14ac:dyDescent="0.25">
      <c r="A4962"/>
    </row>
    <row r="4963" spans="1:1" x14ac:dyDescent="0.25">
      <c r="A4963"/>
    </row>
    <row r="4964" spans="1:1" x14ac:dyDescent="0.25">
      <c r="A4964"/>
    </row>
    <row r="4965" spans="1:1" x14ac:dyDescent="0.25">
      <c r="A4965"/>
    </row>
    <row r="4966" spans="1:1" x14ac:dyDescent="0.25">
      <c r="A4966"/>
    </row>
    <row r="4967" spans="1:1" x14ac:dyDescent="0.25">
      <c r="A4967"/>
    </row>
    <row r="4968" spans="1:1" x14ac:dyDescent="0.25">
      <c r="A4968"/>
    </row>
    <row r="4969" spans="1:1" x14ac:dyDescent="0.25">
      <c r="A4969"/>
    </row>
    <row r="4970" spans="1:1" x14ac:dyDescent="0.25">
      <c r="A4970"/>
    </row>
    <row r="4971" spans="1:1" x14ac:dyDescent="0.25">
      <c r="A4971"/>
    </row>
    <row r="4972" spans="1:1" x14ac:dyDescent="0.25">
      <c r="A4972"/>
    </row>
    <row r="4973" spans="1:1" x14ac:dyDescent="0.25">
      <c r="A4973"/>
    </row>
    <row r="4974" spans="1:1" x14ac:dyDescent="0.25">
      <c r="A4974"/>
    </row>
    <row r="4975" spans="1:1" x14ac:dyDescent="0.25">
      <c r="A4975"/>
    </row>
    <row r="4976" spans="1:1" x14ac:dyDescent="0.25">
      <c r="A4976"/>
    </row>
    <row r="4977" spans="1:1" x14ac:dyDescent="0.25">
      <c r="A4977"/>
    </row>
    <row r="4978" spans="1:1" x14ac:dyDescent="0.25">
      <c r="A4978"/>
    </row>
    <row r="4979" spans="1:1" x14ac:dyDescent="0.25">
      <c r="A4979"/>
    </row>
    <row r="4980" spans="1:1" x14ac:dyDescent="0.25">
      <c r="A4980"/>
    </row>
    <row r="4981" spans="1:1" x14ac:dyDescent="0.25">
      <c r="A4981"/>
    </row>
    <row r="4982" spans="1:1" x14ac:dyDescent="0.25">
      <c r="A4982"/>
    </row>
    <row r="4983" spans="1:1" x14ac:dyDescent="0.25">
      <c r="A4983"/>
    </row>
    <row r="4984" spans="1:1" x14ac:dyDescent="0.25">
      <c r="A4984"/>
    </row>
    <row r="4985" spans="1:1" x14ac:dyDescent="0.25">
      <c r="A4985"/>
    </row>
    <row r="4986" spans="1:1" x14ac:dyDescent="0.25">
      <c r="A4986"/>
    </row>
    <row r="4987" spans="1:1" x14ac:dyDescent="0.25">
      <c r="A4987"/>
    </row>
    <row r="4988" spans="1:1" x14ac:dyDescent="0.25">
      <c r="A4988"/>
    </row>
    <row r="4989" spans="1:1" x14ac:dyDescent="0.25">
      <c r="A4989"/>
    </row>
    <row r="4990" spans="1:1" x14ac:dyDescent="0.25">
      <c r="A4990"/>
    </row>
    <row r="4991" spans="1:1" x14ac:dyDescent="0.25">
      <c r="A4991"/>
    </row>
    <row r="4992" spans="1:1" x14ac:dyDescent="0.25">
      <c r="A4992"/>
    </row>
    <row r="4993" spans="1:1" x14ac:dyDescent="0.25">
      <c r="A4993"/>
    </row>
    <row r="4994" spans="1:1" x14ac:dyDescent="0.25">
      <c r="A4994"/>
    </row>
    <row r="4995" spans="1:1" x14ac:dyDescent="0.25">
      <c r="A4995"/>
    </row>
    <row r="4996" spans="1:1" x14ac:dyDescent="0.25">
      <c r="A4996"/>
    </row>
    <row r="4997" spans="1:1" x14ac:dyDescent="0.25">
      <c r="A4997"/>
    </row>
    <row r="4998" spans="1:1" x14ac:dyDescent="0.25">
      <c r="A4998"/>
    </row>
    <row r="4999" spans="1:1" x14ac:dyDescent="0.25">
      <c r="A4999"/>
    </row>
    <row r="5000" spans="1:1" x14ac:dyDescent="0.25">
      <c r="A5000"/>
    </row>
    <row r="5001" spans="1:1" x14ac:dyDescent="0.25">
      <c r="A5001"/>
    </row>
    <row r="5002" spans="1:1" x14ac:dyDescent="0.25">
      <c r="A5002"/>
    </row>
    <row r="5003" spans="1:1" x14ac:dyDescent="0.25">
      <c r="A5003"/>
    </row>
    <row r="5004" spans="1:1" x14ac:dyDescent="0.25">
      <c r="A5004"/>
    </row>
    <row r="5005" spans="1:1" x14ac:dyDescent="0.25">
      <c r="A5005"/>
    </row>
    <row r="5006" spans="1:1" x14ac:dyDescent="0.25">
      <c r="A5006"/>
    </row>
    <row r="5007" spans="1:1" x14ac:dyDescent="0.25">
      <c r="A5007"/>
    </row>
    <row r="5008" spans="1:1" x14ac:dyDescent="0.25">
      <c r="A5008"/>
    </row>
    <row r="5009" spans="1:1" x14ac:dyDescent="0.25">
      <c r="A5009"/>
    </row>
    <row r="5010" spans="1:1" x14ac:dyDescent="0.25">
      <c r="A5010"/>
    </row>
    <row r="5011" spans="1:1" x14ac:dyDescent="0.25">
      <c r="A5011"/>
    </row>
    <row r="5012" spans="1:1" x14ac:dyDescent="0.25">
      <c r="A5012"/>
    </row>
    <row r="5013" spans="1:1" x14ac:dyDescent="0.25">
      <c r="A5013"/>
    </row>
    <row r="5014" spans="1:1" x14ac:dyDescent="0.25">
      <c r="A5014"/>
    </row>
    <row r="5015" spans="1:1" x14ac:dyDescent="0.25">
      <c r="A5015"/>
    </row>
    <row r="5016" spans="1:1" x14ac:dyDescent="0.25">
      <c r="A5016"/>
    </row>
    <row r="5017" spans="1:1" x14ac:dyDescent="0.25">
      <c r="A5017"/>
    </row>
    <row r="5018" spans="1:1" x14ac:dyDescent="0.25">
      <c r="A5018"/>
    </row>
    <row r="5019" spans="1:1" x14ac:dyDescent="0.25">
      <c r="A5019"/>
    </row>
    <row r="5020" spans="1:1" x14ac:dyDescent="0.25">
      <c r="A5020"/>
    </row>
    <row r="5021" spans="1:1" x14ac:dyDescent="0.25">
      <c r="A5021"/>
    </row>
    <row r="5022" spans="1:1" x14ac:dyDescent="0.25">
      <c r="A5022"/>
    </row>
    <row r="5023" spans="1:1" x14ac:dyDescent="0.25">
      <c r="A5023"/>
    </row>
    <row r="5024" spans="1:1" x14ac:dyDescent="0.25">
      <c r="A5024"/>
    </row>
    <row r="5025" spans="1:1" x14ac:dyDescent="0.25">
      <c r="A5025"/>
    </row>
    <row r="5026" spans="1:1" x14ac:dyDescent="0.25">
      <c r="A5026"/>
    </row>
    <row r="5027" spans="1:1" x14ac:dyDescent="0.25">
      <c r="A5027"/>
    </row>
    <row r="5028" spans="1:1" x14ac:dyDescent="0.25">
      <c r="A5028"/>
    </row>
    <row r="5029" spans="1:1" x14ac:dyDescent="0.25">
      <c r="A5029"/>
    </row>
    <row r="5030" spans="1:1" x14ac:dyDescent="0.25">
      <c r="A5030"/>
    </row>
    <row r="5031" spans="1:1" x14ac:dyDescent="0.25">
      <c r="A5031"/>
    </row>
    <row r="5032" spans="1:1" x14ac:dyDescent="0.25">
      <c r="A5032"/>
    </row>
    <row r="5033" spans="1:1" x14ac:dyDescent="0.25">
      <c r="A5033"/>
    </row>
    <row r="5034" spans="1:1" x14ac:dyDescent="0.25">
      <c r="A5034"/>
    </row>
    <row r="5035" spans="1:1" x14ac:dyDescent="0.25">
      <c r="A5035"/>
    </row>
    <row r="5036" spans="1:1" x14ac:dyDescent="0.25">
      <c r="A5036"/>
    </row>
    <row r="5037" spans="1:1" x14ac:dyDescent="0.25">
      <c r="A5037"/>
    </row>
    <row r="5038" spans="1:1" x14ac:dyDescent="0.25">
      <c r="A5038"/>
    </row>
    <row r="5039" spans="1:1" x14ac:dyDescent="0.25">
      <c r="A5039"/>
    </row>
    <row r="5040" spans="1:1" x14ac:dyDescent="0.25">
      <c r="A5040"/>
    </row>
    <row r="5041" spans="1:1" x14ac:dyDescent="0.25">
      <c r="A5041"/>
    </row>
    <row r="5042" spans="1:1" x14ac:dyDescent="0.25">
      <c r="A5042"/>
    </row>
    <row r="5043" spans="1:1" x14ac:dyDescent="0.25">
      <c r="A5043"/>
    </row>
    <row r="5044" spans="1:1" x14ac:dyDescent="0.25">
      <c r="A5044"/>
    </row>
    <row r="5045" spans="1:1" x14ac:dyDescent="0.25">
      <c r="A5045"/>
    </row>
    <row r="5046" spans="1:1" x14ac:dyDescent="0.25">
      <c r="A5046"/>
    </row>
    <row r="5047" spans="1:1" x14ac:dyDescent="0.25">
      <c r="A5047"/>
    </row>
    <row r="5048" spans="1:1" x14ac:dyDescent="0.25">
      <c r="A5048"/>
    </row>
    <row r="5049" spans="1:1" x14ac:dyDescent="0.25">
      <c r="A5049"/>
    </row>
    <row r="5050" spans="1:1" x14ac:dyDescent="0.25">
      <c r="A5050"/>
    </row>
    <row r="5051" spans="1:1" x14ac:dyDescent="0.25">
      <c r="A5051"/>
    </row>
    <row r="5052" spans="1:1" x14ac:dyDescent="0.25">
      <c r="A5052"/>
    </row>
    <row r="5053" spans="1:1" x14ac:dyDescent="0.25">
      <c r="A5053"/>
    </row>
    <row r="5054" spans="1:1" x14ac:dyDescent="0.25">
      <c r="A5054"/>
    </row>
    <row r="5055" spans="1:1" x14ac:dyDescent="0.25">
      <c r="A5055"/>
    </row>
    <row r="5056" spans="1:1" x14ac:dyDescent="0.25">
      <c r="A5056"/>
    </row>
    <row r="5057" spans="1:1" x14ac:dyDescent="0.25">
      <c r="A5057"/>
    </row>
    <row r="5058" spans="1:1" x14ac:dyDescent="0.25">
      <c r="A5058"/>
    </row>
    <row r="5059" spans="1:1" x14ac:dyDescent="0.25">
      <c r="A5059"/>
    </row>
    <row r="5060" spans="1:1" x14ac:dyDescent="0.25">
      <c r="A5060"/>
    </row>
    <row r="5061" spans="1:1" x14ac:dyDescent="0.25">
      <c r="A5061"/>
    </row>
    <row r="5062" spans="1:1" x14ac:dyDescent="0.25">
      <c r="A5062"/>
    </row>
    <row r="5063" spans="1:1" x14ac:dyDescent="0.25">
      <c r="A5063"/>
    </row>
    <row r="5064" spans="1:1" x14ac:dyDescent="0.25">
      <c r="A5064"/>
    </row>
    <row r="5065" spans="1:1" x14ac:dyDescent="0.25">
      <c r="A5065"/>
    </row>
    <row r="5066" spans="1:1" x14ac:dyDescent="0.25">
      <c r="A5066"/>
    </row>
    <row r="5067" spans="1:1" x14ac:dyDescent="0.25">
      <c r="A5067"/>
    </row>
    <row r="5068" spans="1:1" x14ac:dyDescent="0.25">
      <c r="A5068"/>
    </row>
    <row r="5069" spans="1:1" x14ac:dyDescent="0.25">
      <c r="A5069"/>
    </row>
    <row r="5070" spans="1:1" x14ac:dyDescent="0.25">
      <c r="A5070"/>
    </row>
    <row r="5071" spans="1:1" x14ac:dyDescent="0.25">
      <c r="A5071"/>
    </row>
    <row r="5072" spans="1:1" x14ac:dyDescent="0.25">
      <c r="A5072"/>
    </row>
    <row r="5073" spans="1:1" x14ac:dyDescent="0.25">
      <c r="A5073"/>
    </row>
    <row r="5074" spans="1:1" x14ac:dyDescent="0.25">
      <c r="A5074"/>
    </row>
    <row r="5075" spans="1:1" x14ac:dyDescent="0.25">
      <c r="A5075"/>
    </row>
    <row r="5076" spans="1:1" x14ac:dyDescent="0.25">
      <c r="A5076"/>
    </row>
    <row r="5077" spans="1:1" x14ac:dyDescent="0.25">
      <c r="A5077"/>
    </row>
    <row r="5078" spans="1:1" x14ac:dyDescent="0.25">
      <c r="A5078"/>
    </row>
    <row r="5079" spans="1:1" x14ac:dyDescent="0.25">
      <c r="A5079"/>
    </row>
    <row r="5080" spans="1:1" x14ac:dyDescent="0.25">
      <c r="A5080"/>
    </row>
    <row r="5081" spans="1:1" x14ac:dyDescent="0.25">
      <c r="A5081"/>
    </row>
    <row r="5082" spans="1:1" x14ac:dyDescent="0.25">
      <c r="A5082"/>
    </row>
    <row r="5083" spans="1:1" x14ac:dyDescent="0.25">
      <c r="A5083"/>
    </row>
    <row r="5084" spans="1:1" x14ac:dyDescent="0.25">
      <c r="A5084"/>
    </row>
    <row r="5085" spans="1:1" x14ac:dyDescent="0.25">
      <c r="A5085"/>
    </row>
    <row r="5086" spans="1:1" x14ac:dyDescent="0.25">
      <c r="A5086"/>
    </row>
    <row r="5087" spans="1:1" x14ac:dyDescent="0.25">
      <c r="A5087"/>
    </row>
    <row r="5088" spans="1:1" x14ac:dyDescent="0.25">
      <c r="A5088"/>
    </row>
    <row r="5089" spans="1:1" x14ac:dyDescent="0.25">
      <c r="A5089"/>
    </row>
    <row r="5090" spans="1:1" x14ac:dyDescent="0.25">
      <c r="A5090"/>
    </row>
    <row r="5091" spans="1:1" x14ac:dyDescent="0.25">
      <c r="A5091"/>
    </row>
    <row r="5092" spans="1:1" x14ac:dyDescent="0.25">
      <c r="A5092"/>
    </row>
    <row r="5093" spans="1:1" x14ac:dyDescent="0.25">
      <c r="A5093"/>
    </row>
    <row r="5094" spans="1:1" x14ac:dyDescent="0.25">
      <c r="A5094"/>
    </row>
    <row r="5095" spans="1:1" x14ac:dyDescent="0.25">
      <c r="A5095"/>
    </row>
    <row r="5096" spans="1:1" x14ac:dyDescent="0.25">
      <c r="A5096"/>
    </row>
    <row r="5097" spans="1:1" x14ac:dyDescent="0.25">
      <c r="A5097"/>
    </row>
    <row r="5098" spans="1:1" x14ac:dyDescent="0.25">
      <c r="A5098"/>
    </row>
    <row r="5099" spans="1:1" x14ac:dyDescent="0.25">
      <c r="A5099"/>
    </row>
    <row r="5100" spans="1:1" x14ac:dyDescent="0.25">
      <c r="A5100"/>
    </row>
    <row r="5101" spans="1:1" x14ac:dyDescent="0.25">
      <c r="A5101"/>
    </row>
    <row r="5102" spans="1:1" x14ac:dyDescent="0.25">
      <c r="A5102"/>
    </row>
    <row r="5103" spans="1:1" x14ac:dyDescent="0.25">
      <c r="A5103"/>
    </row>
    <row r="5104" spans="1:1" x14ac:dyDescent="0.25">
      <c r="A5104"/>
    </row>
    <row r="5105" spans="1:1" x14ac:dyDescent="0.25">
      <c r="A5105"/>
    </row>
    <row r="5106" spans="1:1" x14ac:dyDescent="0.25">
      <c r="A5106"/>
    </row>
    <row r="5107" spans="1:1" x14ac:dyDescent="0.25">
      <c r="A5107"/>
    </row>
    <row r="5108" spans="1:1" x14ac:dyDescent="0.25">
      <c r="A5108"/>
    </row>
    <row r="5109" spans="1:1" x14ac:dyDescent="0.25">
      <c r="A5109"/>
    </row>
    <row r="5110" spans="1:1" x14ac:dyDescent="0.25">
      <c r="A5110"/>
    </row>
    <row r="5111" spans="1:1" x14ac:dyDescent="0.25">
      <c r="A5111"/>
    </row>
    <row r="5112" spans="1:1" x14ac:dyDescent="0.25">
      <c r="A5112"/>
    </row>
    <row r="5113" spans="1:1" x14ac:dyDescent="0.25">
      <c r="A5113"/>
    </row>
    <row r="5114" spans="1:1" x14ac:dyDescent="0.25">
      <c r="A5114"/>
    </row>
    <row r="5115" spans="1:1" x14ac:dyDescent="0.25">
      <c r="A5115"/>
    </row>
    <row r="5116" spans="1:1" x14ac:dyDescent="0.25">
      <c r="A5116"/>
    </row>
    <row r="5117" spans="1:1" x14ac:dyDescent="0.25">
      <c r="A5117"/>
    </row>
    <row r="5118" spans="1:1" x14ac:dyDescent="0.25">
      <c r="A5118"/>
    </row>
    <row r="5119" spans="1:1" x14ac:dyDescent="0.25">
      <c r="A5119"/>
    </row>
    <row r="5120" spans="1:1" x14ac:dyDescent="0.25">
      <c r="A5120"/>
    </row>
    <row r="5121" spans="1:1" x14ac:dyDescent="0.25">
      <c r="A5121"/>
    </row>
    <row r="5122" spans="1:1" x14ac:dyDescent="0.25">
      <c r="A5122"/>
    </row>
    <row r="5123" spans="1:1" x14ac:dyDescent="0.25">
      <c r="A5123"/>
    </row>
    <row r="5124" spans="1:1" x14ac:dyDescent="0.25">
      <c r="A5124"/>
    </row>
    <row r="5125" spans="1:1" x14ac:dyDescent="0.25">
      <c r="A5125"/>
    </row>
    <row r="5126" spans="1:1" x14ac:dyDescent="0.25">
      <c r="A5126"/>
    </row>
    <row r="5127" spans="1:1" x14ac:dyDescent="0.25">
      <c r="A5127"/>
    </row>
    <row r="5128" spans="1:1" x14ac:dyDescent="0.25">
      <c r="A5128"/>
    </row>
    <row r="5129" spans="1:1" x14ac:dyDescent="0.25">
      <c r="A5129"/>
    </row>
    <row r="5130" spans="1:1" x14ac:dyDescent="0.25">
      <c r="A5130"/>
    </row>
    <row r="5131" spans="1:1" x14ac:dyDescent="0.25">
      <c r="A5131"/>
    </row>
    <row r="5132" spans="1:1" x14ac:dyDescent="0.25">
      <c r="A5132"/>
    </row>
    <row r="5133" spans="1:1" x14ac:dyDescent="0.25">
      <c r="A5133"/>
    </row>
    <row r="5134" spans="1:1" x14ac:dyDescent="0.25">
      <c r="A5134"/>
    </row>
    <row r="5135" spans="1:1" x14ac:dyDescent="0.25">
      <c r="A5135"/>
    </row>
    <row r="5136" spans="1:1" x14ac:dyDescent="0.25">
      <c r="A5136"/>
    </row>
    <row r="5137" spans="1:1" x14ac:dyDescent="0.25">
      <c r="A5137"/>
    </row>
    <row r="5138" spans="1:1" x14ac:dyDescent="0.25">
      <c r="A5138"/>
    </row>
    <row r="5139" spans="1:1" x14ac:dyDescent="0.25">
      <c r="A5139"/>
    </row>
    <row r="5140" spans="1:1" x14ac:dyDescent="0.25">
      <c r="A5140"/>
    </row>
    <row r="5141" spans="1:1" x14ac:dyDescent="0.25">
      <c r="A5141"/>
    </row>
    <row r="5142" spans="1:1" x14ac:dyDescent="0.25">
      <c r="A5142"/>
    </row>
    <row r="5143" spans="1:1" x14ac:dyDescent="0.25">
      <c r="A5143"/>
    </row>
    <row r="5144" spans="1:1" x14ac:dyDescent="0.25">
      <c r="A5144"/>
    </row>
    <row r="5145" spans="1:1" x14ac:dyDescent="0.25">
      <c r="A5145"/>
    </row>
    <row r="5146" spans="1:1" x14ac:dyDescent="0.25">
      <c r="A5146"/>
    </row>
    <row r="5147" spans="1:1" x14ac:dyDescent="0.25">
      <c r="A5147"/>
    </row>
    <row r="5148" spans="1:1" x14ac:dyDescent="0.25">
      <c r="A5148"/>
    </row>
    <row r="5149" spans="1:1" x14ac:dyDescent="0.25">
      <c r="A5149"/>
    </row>
    <row r="5150" spans="1:1" x14ac:dyDescent="0.25">
      <c r="A5150"/>
    </row>
    <row r="5151" spans="1:1" x14ac:dyDescent="0.25">
      <c r="A5151"/>
    </row>
    <row r="5152" spans="1:1" x14ac:dyDescent="0.25">
      <c r="A5152"/>
    </row>
    <row r="5153" spans="1:1" x14ac:dyDescent="0.25">
      <c r="A5153"/>
    </row>
    <row r="5154" spans="1:1" x14ac:dyDescent="0.25">
      <c r="A5154"/>
    </row>
    <row r="5155" spans="1:1" x14ac:dyDescent="0.25">
      <c r="A5155"/>
    </row>
    <row r="5156" spans="1:1" x14ac:dyDescent="0.25">
      <c r="A5156"/>
    </row>
    <row r="5157" spans="1:1" x14ac:dyDescent="0.25">
      <c r="A5157"/>
    </row>
    <row r="5158" spans="1:1" x14ac:dyDescent="0.25">
      <c r="A5158"/>
    </row>
    <row r="5159" spans="1:1" x14ac:dyDescent="0.25">
      <c r="A5159"/>
    </row>
    <row r="5160" spans="1:1" x14ac:dyDescent="0.25">
      <c r="A5160"/>
    </row>
    <row r="5161" spans="1:1" x14ac:dyDescent="0.25">
      <c r="A5161"/>
    </row>
    <row r="5162" spans="1:1" x14ac:dyDescent="0.25">
      <c r="A5162"/>
    </row>
    <row r="5163" spans="1:1" x14ac:dyDescent="0.25">
      <c r="A5163"/>
    </row>
    <row r="5164" spans="1:1" x14ac:dyDescent="0.25">
      <c r="A5164"/>
    </row>
    <row r="5165" spans="1:1" x14ac:dyDescent="0.25">
      <c r="A5165"/>
    </row>
    <row r="5166" spans="1:1" x14ac:dyDescent="0.25">
      <c r="A5166"/>
    </row>
    <row r="5167" spans="1:1" x14ac:dyDescent="0.25">
      <c r="A5167"/>
    </row>
    <row r="5168" spans="1:1" x14ac:dyDescent="0.25">
      <c r="A5168"/>
    </row>
    <row r="5169" spans="1:1" x14ac:dyDescent="0.25">
      <c r="A5169"/>
    </row>
    <row r="5170" spans="1:1" x14ac:dyDescent="0.25">
      <c r="A5170"/>
    </row>
    <row r="5171" spans="1:1" x14ac:dyDescent="0.25">
      <c r="A5171"/>
    </row>
    <row r="5172" spans="1:1" x14ac:dyDescent="0.25">
      <c r="A5172"/>
    </row>
    <row r="5173" spans="1:1" x14ac:dyDescent="0.25">
      <c r="A5173"/>
    </row>
    <row r="5174" spans="1:1" x14ac:dyDescent="0.25">
      <c r="A5174"/>
    </row>
    <row r="5175" spans="1:1" x14ac:dyDescent="0.25">
      <c r="A5175"/>
    </row>
    <row r="5176" spans="1:1" x14ac:dyDescent="0.25">
      <c r="A5176"/>
    </row>
    <row r="5177" spans="1:1" x14ac:dyDescent="0.25">
      <c r="A5177"/>
    </row>
    <row r="5178" spans="1:1" x14ac:dyDescent="0.25">
      <c r="A5178"/>
    </row>
    <row r="5179" spans="1:1" x14ac:dyDescent="0.25">
      <c r="A5179"/>
    </row>
    <row r="5180" spans="1:1" x14ac:dyDescent="0.25">
      <c r="A5180"/>
    </row>
    <row r="5181" spans="1:1" x14ac:dyDescent="0.25">
      <c r="A5181"/>
    </row>
    <row r="5182" spans="1:1" x14ac:dyDescent="0.25">
      <c r="A5182"/>
    </row>
    <row r="5183" spans="1:1" x14ac:dyDescent="0.25">
      <c r="A5183"/>
    </row>
    <row r="5184" spans="1:1" x14ac:dyDescent="0.25">
      <c r="A5184"/>
    </row>
    <row r="5185" spans="1:1" x14ac:dyDescent="0.25">
      <c r="A5185"/>
    </row>
    <row r="5186" spans="1:1" x14ac:dyDescent="0.25">
      <c r="A5186"/>
    </row>
    <row r="5187" spans="1:1" x14ac:dyDescent="0.25">
      <c r="A5187"/>
    </row>
    <row r="5188" spans="1:1" x14ac:dyDescent="0.25">
      <c r="A5188"/>
    </row>
    <row r="5189" spans="1:1" x14ac:dyDescent="0.25">
      <c r="A5189"/>
    </row>
    <row r="5190" spans="1:1" x14ac:dyDescent="0.25">
      <c r="A5190"/>
    </row>
    <row r="5191" spans="1:1" x14ac:dyDescent="0.25">
      <c r="A5191"/>
    </row>
    <row r="5192" spans="1:1" x14ac:dyDescent="0.25">
      <c r="A5192"/>
    </row>
    <row r="5193" spans="1:1" x14ac:dyDescent="0.25">
      <c r="A5193"/>
    </row>
    <row r="5194" spans="1:1" x14ac:dyDescent="0.25">
      <c r="A5194"/>
    </row>
    <row r="5195" spans="1:1" x14ac:dyDescent="0.25">
      <c r="A5195"/>
    </row>
    <row r="5196" spans="1:1" x14ac:dyDescent="0.25">
      <c r="A5196"/>
    </row>
    <row r="5197" spans="1:1" x14ac:dyDescent="0.25">
      <c r="A5197"/>
    </row>
    <row r="5198" spans="1:1" x14ac:dyDescent="0.25">
      <c r="A5198"/>
    </row>
    <row r="5199" spans="1:1" x14ac:dyDescent="0.25">
      <c r="A5199"/>
    </row>
    <row r="5200" spans="1:1" x14ac:dyDescent="0.25">
      <c r="A5200"/>
    </row>
    <row r="5201" spans="1:1" x14ac:dyDescent="0.25">
      <c r="A5201"/>
    </row>
    <row r="5202" spans="1:1" x14ac:dyDescent="0.25">
      <c r="A5202"/>
    </row>
    <row r="5203" spans="1:1" x14ac:dyDescent="0.25">
      <c r="A5203"/>
    </row>
    <row r="5204" spans="1:1" x14ac:dyDescent="0.25">
      <c r="A5204"/>
    </row>
    <row r="5205" spans="1:1" x14ac:dyDescent="0.25">
      <c r="A5205"/>
    </row>
    <row r="5206" spans="1:1" x14ac:dyDescent="0.25">
      <c r="A5206"/>
    </row>
    <row r="5207" spans="1:1" x14ac:dyDescent="0.25">
      <c r="A5207"/>
    </row>
    <row r="5208" spans="1:1" x14ac:dyDescent="0.25">
      <c r="A5208"/>
    </row>
    <row r="5209" spans="1:1" x14ac:dyDescent="0.25">
      <c r="A5209"/>
    </row>
    <row r="5210" spans="1:1" x14ac:dyDescent="0.25">
      <c r="A5210"/>
    </row>
    <row r="5211" spans="1:1" x14ac:dyDescent="0.25">
      <c r="A5211"/>
    </row>
    <row r="5212" spans="1:1" x14ac:dyDescent="0.25">
      <c r="A5212"/>
    </row>
    <row r="5213" spans="1:1" x14ac:dyDescent="0.25">
      <c r="A5213"/>
    </row>
    <row r="5214" spans="1:1" x14ac:dyDescent="0.25">
      <c r="A5214"/>
    </row>
    <row r="5215" spans="1:1" x14ac:dyDescent="0.25">
      <c r="A5215"/>
    </row>
    <row r="5216" spans="1:1" x14ac:dyDescent="0.25">
      <c r="A5216"/>
    </row>
    <row r="5217" spans="1:1" x14ac:dyDescent="0.25">
      <c r="A5217"/>
    </row>
    <row r="5218" spans="1:1" x14ac:dyDescent="0.25">
      <c r="A5218"/>
    </row>
    <row r="5219" spans="1:1" x14ac:dyDescent="0.25">
      <c r="A5219"/>
    </row>
    <row r="5220" spans="1:1" x14ac:dyDescent="0.25">
      <c r="A5220"/>
    </row>
    <row r="5221" spans="1:1" x14ac:dyDescent="0.25">
      <c r="A5221"/>
    </row>
    <row r="5222" spans="1:1" x14ac:dyDescent="0.25">
      <c r="A5222"/>
    </row>
    <row r="5223" spans="1:1" x14ac:dyDescent="0.25">
      <c r="A5223"/>
    </row>
    <row r="5224" spans="1:1" x14ac:dyDescent="0.25">
      <c r="A5224"/>
    </row>
    <row r="5225" spans="1:1" x14ac:dyDescent="0.25">
      <c r="A5225"/>
    </row>
    <row r="5226" spans="1:1" x14ac:dyDescent="0.25">
      <c r="A5226"/>
    </row>
    <row r="5227" spans="1:1" x14ac:dyDescent="0.25">
      <c r="A5227"/>
    </row>
    <row r="5228" spans="1:1" x14ac:dyDescent="0.25">
      <c r="A5228"/>
    </row>
    <row r="5229" spans="1:1" x14ac:dyDescent="0.25">
      <c r="A5229"/>
    </row>
    <row r="5230" spans="1:1" x14ac:dyDescent="0.25">
      <c r="A5230"/>
    </row>
    <row r="5231" spans="1:1" x14ac:dyDescent="0.25">
      <c r="A5231"/>
    </row>
    <row r="5232" spans="1:1" x14ac:dyDescent="0.25">
      <c r="A5232"/>
    </row>
    <row r="5233" spans="1:1" x14ac:dyDescent="0.25">
      <c r="A5233"/>
    </row>
    <row r="5234" spans="1:1" x14ac:dyDescent="0.25">
      <c r="A5234"/>
    </row>
    <row r="5235" spans="1:1" x14ac:dyDescent="0.25">
      <c r="A5235"/>
    </row>
    <row r="5236" spans="1:1" x14ac:dyDescent="0.25">
      <c r="A5236"/>
    </row>
    <row r="5237" spans="1:1" x14ac:dyDescent="0.25">
      <c r="A5237"/>
    </row>
    <row r="5238" spans="1:1" x14ac:dyDescent="0.25">
      <c r="A5238"/>
    </row>
    <row r="5239" spans="1:1" x14ac:dyDescent="0.25">
      <c r="A5239"/>
    </row>
    <row r="5240" spans="1:1" x14ac:dyDescent="0.25">
      <c r="A5240"/>
    </row>
    <row r="5241" spans="1:1" x14ac:dyDescent="0.25">
      <c r="A5241"/>
    </row>
    <row r="5242" spans="1:1" x14ac:dyDescent="0.25">
      <c r="A5242"/>
    </row>
    <row r="5243" spans="1:1" x14ac:dyDescent="0.25">
      <c r="A5243"/>
    </row>
    <row r="5244" spans="1:1" x14ac:dyDescent="0.25">
      <c r="A5244"/>
    </row>
    <row r="5245" spans="1:1" x14ac:dyDescent="0.25">
      <c r="A5245"/>
    </row>
    <row r="5246" spans="1:1" x14ac:dyDescent="0.25">
      <c r="A5246"/>
    </row>
    <row r="5247" spans="1:1" x14ac:dyDescent="0.25">
      <c r="A5247"/>
    </row>
    <row r="5248" spans="1:1" x14ac:dyDescent="0.25">
      <c r="A5248"/>
    </row>
    <row r="5249" spans="1:1" x14ac:dyDescent="0.25">
      <c r="A5249"/>
    </row>
    <row r="5250" spans="1:1" x14ac:dyDescent="0.25">
      <c r="A5250"/>
    </row>
    <row r="5251" spans="1:1" x14ac:dyDescent="0.25">
      <c r="A5251"/>
    </row>
    <row r="5252" spans="1:1" x14ac:dyDescent="0.25">
      <c r="A5252"/>
    </row>
    <row r="5253" spans="1:1" x14ac:dyDescent="0.25">
      <c r="A5253"/>
    </row>
    <row r="5254" spans="1:1" x14ac:dyDescent="0.25">
      <c r="A5254"/>
    </row>
    <row r="5255" spans="1:1" x14ac:dyDescent="0.25">
      <c r="A5255"/>
    </row>
    <row r="5256" spans="1:1" x14ac:dyDescent="0.25">
      <c r="A5256"/>
    </row>
    <row r="5257" spans="1:1" x14ac:dyDescent="0.25">
      <c r="A5257"/>
    </row>
    <row r="5258" spans="1:1" x14ac:dyDescent="0.25">
      <c r="A5258"/>
    </row>
    <row r="5259" spans="1:1" x14ac:dyDescent="0.25">
      <c r="A5259"/>
    </row>
    <row r="5260" spans="1:1" x14ac:dyDescent="0.25">
      <c r="A5260"/>
    </row>
    <row r="5261" spans="1:1" x14ac:dyDescent="0.25">
      <c r="A5261"/>
    </row>
    <row r="5262" spans="1:1" x14ac:dyDescent="0.25">
      <c r="A5262"/>
    </row>
    <row r="5263" spans="1:1" x14ac:dyDescent="0.25">
      <c r="A5263"/>
    </row>
    <row r="5264" spans="1:1" x14ac:dyDescent="0.25">
      <c r="A5264"/>
    </row>
    <row r="5265" spans="1:1" x14ac:dyDescent="0.25">
      <c r="A5265"/>
    </row>
    <row r="5266" spans="1:1" x14ac:dyDescent="0.25">
      <c r="A5266"/>
    </row>
    <row r="5267" spans="1:1" x14ac:dyDescent="0.25">
      <c r="A5267"/>
    </row>
    <row r="5268" spans="1:1" x14ac:dyDescent="0.25">
      <c r="A5268"/>
    </row>
    <row r="5269" spans="1:1" x14ac:dyDescent="0.25">
      <c r="A5269"/>
    </row>
    <row r="5270" spans="1:1" x14ac:dyDescent="0.25">
      <c r="A5270"/>
    </row>
    <row r="5271" spans="1:1" x14ac:dyDescent="0.25">
      <c r="A5271"/>
    </row>
    <row r="5272" spans="1:1" x14ac:dyDescent="0.25">
      <c r="A5272"/>
    </row>
    <row r="5273" spans="1:1" x14ac:dyDescent="0.25">
      <c r="A5273"/>
    </row>
    <row r="5274" spans="1:1" x14ac:dyDescent="0.25">
      <c r="A5274"/>
    </row>
    <row r="5275" spans="1:1" x14ac:dyDescent="0.25">
      <c r="A5275"/>
    </row>
    <row r="5276" spans="1:1" x14ac:dyDescent="0.25">
      <c r="A5276"/>
    </row>
    <row r="5277" spans="1:1" x14ac:dyDescent="0.25">
      <c r="A5277"/>
    </row>
    <row r="5278" spans="1:1" x14ac:dyDescent="0.25">
      <c r="A5278"/>
    </row>
    <row r="5279" spans="1:1" x14ac:dyDescent="0.25">
      <c r="A5279"/>
    </row>
    <row r="5280" spans="1:1" x14ac:dyDescent="0.25">
      <c r="A5280"/>
    </row>
    <row r="5281" spans="1:1" x14ac:dyDescent="0.25">
      <c r="A5281"/>
    </row>
    <row r="5282" spans="1:1" x14ac:dyDescent="0.25">
      <c r="A5282"/>
    </row>
    <row r="5283" spans="1:1" x14ac:dyDescent="0.25">
      <c r="A5283"/>
    </row>
    <row r="5284" spans="1:1" x14ac:dyDescent="0.25">
      <c r="A5284"/>
    </row>
    <row r="5285" spans="1:1" x14ac:dyDescent="0.25">
      <c r="A5285"/>
    </row>
    <row r="5286" spans="1:1" x14ac:dyDescent="0.25">
      <c r="A5286"/>
    </row>
    <row r="5287" spans="1:1" x14ac:dyDescent="0.25">
      <c r="A5287"/>
    </row>
    <row r="5288" spans="1:1" x14ac:dyDescent="0.25">
      <c r="A5288"/>
    </row>
    <row r="5289" spans="1:1" x14ac:dyDescent="0.25">
      <c r="A5289"/>
    </row>
    <row r="5290" spans="1:1" x14ac:dyDescent="0.25">
      <c r="A5290"/>
    </row>
    <row r="5291" spans="1:1" x14ac:dyDescent="0.25">
      <c r="A5291"/>
    </row>
    <row r="5292" spans="1:1" x14ac:dyDescent="0.25">
      <c r="A5292"/>
    </row>
    <row r="5293" spans="1:1" x14ac:dyDescent="0.25">
      <c r="A5293"/>
    </row>
    <row r="5294" spans="1:1" x14ac:dyDescent="0.25">
      <c r="A5294"/>
    </row>
    <row r="5295" spans="1:1" x14ac:dyDescent="0.25">
      <c r="A5295"/>
    </row>
    <row r="5296" spans="1:1" x14ac:dyDescent="0.25">
      <c r="A5296"/>
    </row>
    <row r="5297" spans="1:1" x14ac:dyDescent="0.25">
      <c r="A5297"/>
    </row>
    <row r="5298" spans="1:1" x14ac:dyDescent="0.25">
      <c r="A5298"/>
    </row>
    <row r="5299" spans="1:1" x14ac:dyDescent="0.25">
      <c r="A5299"/>
    </row>
    <row r="5300" spans="1:1" x14ac:dyDescent="0.25">
      <c r="A5300"/>
    </row>
    <row r="5301" spans="1:1" x14ac:dyDescent="0.25">
      <c r="A5301"/>
    </row>
    <row r="5302" spans="1:1" x14ac:dyDescent="0.25">
      <c r="A5302"/>
    </row>
    <row r="5303" spans="1:1" x14ac:dyDescent="0.25">
      <c r="A5303"/>
    </row>
    <row r="5304" spans="1:1" x14ac:dyDescent="0.25">
      <c r="A5304"/>
    </row>
    <row r="5305" spans="1:1" x14ac:dyDescent="0.25">
      <c r="A5305"/>
    </row>
    <row r="5306" spans="1:1" x14ac:dyDescent="0.25">
      <c r="A5306"/>
    </row>
    <row r="5307" spans="1:1" x14ac:dyDescent="0.25">
      <c r="A5307"/>
    </row>
    <row r="5308" spans="1:1" x14ac:dyDescent="0.25">
      <c r="A5308"/>
    </row>
    <row r="5309" spans="1:1" x14ac:dyDescent="0.25">
      <c r="A5309"/>
    </row>
    <row r="5310" spans="1:1" x14ac:dyDescent="0.25">
      <c r="A5310"/>
    </row>
    <row r="5311" spans="1:1" x14ac:dyDescent="0.25">
      <c r="A5311"/>
    </row>
    <row r="5312" spans="1:1" x14ac:dyDescent="0.25">
      <c r="A5312"/>
    </row>
    <row r="5313" spans="1:1" x14ac:dyDescent="0.25">
      <c r="A5313"/>
    </row>
    <row r="5314" spans="1:1" x14ac:dyDescent="0.25">
      <c r="A5314"/>
    </row>
    <row r="5315" spans="1:1" x14ac:dyDescent="0.25">
      <c r="A5315"/>
    </row>
    <row r="5316" spans="1:1" x14ac:dyDescent="0.25">
      <c r="A5316"/>
    </row>
    <row r="5317" spans="1:1" x14ac:dyDescent="0.25">
      <c r="A5317"/>
    </row>
    <row r="5318" spans="1:1" x14ac:dyDescent="0.25">
      <c r="A5318"/>
    </row>
    <row r="5319" spans="1:1" x14ac:dyDescent="0.25">
      <c r="A5319"/>
    </row>
    <row r="5320" spans="1:1" x14ac:dyDescent="0.25">
      <c r="A5320"/>
    </row>
    <row r="5321" spans="1:1" x14ac:dyDescent="0.25">
      <c r="A5321"/>
    </row>
    <row r="5322" spans="1:1" x14ac:dyDescent="0.25">
      <c r="A5322"/>
    </row>
    <row r="5323" spans="1:1" x14ac:dyDescent="0.25">
      <c r="A5323"/>
    </row>
    <row r="5324" spans="1:1" x14ac:dyDescent="0.25">
      <c r="A5324"/>
    </row>
    <row r="5325" spans="1:1" x14ac:dyDescent="0.25">
      <c r="A5325"/>
    </row>
    <row r="5326" spans="1:1" x14ac:dyDescent="0.25">
      <c r="A5326"/>
    </row>
    <row r="5327" spans="1:1" x14ac:dyDescent="0.25">
      <c r="A5327"/>
    </row>
    <row r="5328" spans="1:1" x14ac:dyDescent="0.25">
      <c r="A5328"/>
    </row>
    <row r="5329" spans="1:1" x14ac:dyDescent="0.25">
      <c r="A5329"/>
    </row>
    <row r="5330" spans="1:1" x14ac:dyDescent="0.25">
      <c r="A5330"/>
    </row>
    <row r="5331" spans="1:1" x14ac:dyDescent="0.25">
      <c r="A5331"/>
    </row>
    <row r="5332" spans="1:1" x14ac:dyDescent="0.25">
      <c r="A5332"/>
    </row>
    <row r="5333" spans="1:1" x14ac:dyDescent="0.25">
      <c r="A5333"/>
    </row>
    <row r="5334" spans="1:1" x14ac:dyDescent="0.25">
      <c r="A5334"/>
    </row>
    <row r="5335" spans="1:1" x14ac:dyDescent="0.25">
      <c r="A5335"/>
    </row>
    <row r="5336" spans="1:1" x14ac:dyDescent="0.25">
      <c r="A5336"/>
    </row>
    <row r="5337" spans="1:1" x14ac:dyDescent="0.25">
      <c r="A5337"/>
    </row>
    <row r="5338" spans="1:1" x14ac:dyDescent="0.25">
      <c r="A5338"/>
    </row>
    <row r="5339" spans="1:1" x14ac:dyDescent="0.25">
      <c r="A5339"/>
    </row>
    <row r="5340" spans="1:1" x14ac:dyDescent="0.25">
      <c r="A5340"/>
    </row>
    <row r="5341" spans="1:1" x14ac:dyDescent="0.25">
      <c r="A5341"/>
    </row>
    <row r="5342" spans="1:1" x14ac:dyDescent="0.25">
      <c r="A5342"/>
    </row>
    <row r="5343" spans="1:1" x14ac:dyDescent="0.25">
      <c r="A5343"/>
    </row>
    <row r="5344" spans="1:1" x14ac:dyDescent="0.25">
      <c r="A5344"/>
    </row>
    <row r="5345" spans="1:1" x14ac:dyDescent="0.25">
      <c r="A5345"/>
    </row>
    <row r="5346" spans="1:1" x14ac:dyDescent="0.25">
      <c r="A5346"/>
    </row>
    <row r="5347" spans="1:1" x14ac:dyDescent="0.25">
      <c r="A5347"/>
    </row>
    <row r="5348" spans="1:1" x14ac:dyDescent="0.25">
      <c r="A5348"/>
    </row>
    <row r="5349" spans="1:1" x14ac:dyDescent="0.25">
      <c r="A5349"/>
    </row>
    <row r="5350" spans="1:1" x14ac:dyDescent="0.25">
      <c r="A5350"/>
    </row>
    <row r="5351" spans="1:1" x14ac:dyDescent="0.25">
      <c r="A5351"/>
    </row>
    <row r="5352" spans="1:1" x14ac:dyDescent="0.25">
      <c r="A5352"/>
    </row>
    <row r="5353" spans="1:1" x14ac:dyDescent="0.25">
      <c r="A5353"/>
    </row>
    <row r="5354" spans="1:1" x14ac:dyDescent="0.25">
      <c r="A5354"/>
    </row>
    <row r="5355" spans="1:1" x14ac:dyDescent="0.25">
      <c r="A5355"/>
    </row>
    <row r="5356" spans="1:1" x14ac:dyDescent="0.25">
      <c r="A5356"/>
    </row>
    <row r="5357" spans="1:1" x14ac:dyDescent="0.25">
      <c r="A5357"/>
    </row>
    <row r="5358" spans="1:1" x14ac:dyDescent="0.25">
      <c r="A5358"/>
    </row>
    <row r="5359" spans="1:1" x14ac:dyDescent="0.25">
      <c r="A5359"/>
    </row>
    <row r="5360" spans="1:1" x14ac:dyDescent="0.25">
      <c r="A5360"/>
    </row>
    <row r="5361" spans="1:1" x14ac:dyDescent="0.25">
      <c r="A5361"/>
    </row>
    <row r="5362" spans="1:1" x14ac:dyDescent="0.25">
      <c r="A5362"/>
    </row>
    <row r="5363" spans="1:1" x14ac:dyDescent="0.25">
      <c r="A5363"/>
    </row>
    <row r="5364" spans="1:1" x14ac:dyDescent="0.25">
      <c r="A5364"/>
    </row>
    <row r="5365" spans="1:1" x14ac:dyDescent="0.25">
      <c r="A5365"/>
    </row>
    <row r="5366" spans="1:1" x14ac:dyDescent="0.25">
      <c r="A5366"/>
    </row>
    <row r="5367" spans="1:1" x14ac:dyDescent="0.25">
      <c r="A5367"/>
    </row>
    <row r="5368" spans="1:1" x14ac:dyDescent="0.25">
      <c r="A5368"/>
    </row>
    <row r="5369" spans="1:1" x14ac:dyDescent="0.25">
      <c r="A5369"/>
    </row>
    <row r="5370" spans="1:1" x14ac:dyDescent="0.25">
      <c r="A5370"/>
    </row>
    <row r="5371" spans="1:1" x14ac:dyDescent="0.25">
      <c r="A5371"/>
    </row>
    <row r="5372" spans="1:1" x14ac:dyDescent="0.25">
      <c r="A5372"/>
    </row>
    <row r="5373" spans="1:1" x14ac:dyDescent="0.25">
      <c r="A5373"/>
    </row>
    <row r="5374" spans="1:1" x14ac:dyDescent="0.25">
      <c r="A5374"/>
    </row>
    <row r="5375" spans="1:1" x14ac:dyDescent="0.25">
      <c r="A5375"/>
    </row>
    <row r="5376" spans="1:1" x14ac:dyDescent="0.25">
      <c r="A5376"/>
    </row>
    <row r="5377" spans="1:1" x14ac:dyDescent="0.25">
      <c r="A5377"/>
    </row>
    <row r="5378" spans="1:1" x14ac:dyDescent="0.25">
      <c r="A5378"/>
    </row>
    <row r="5379" spans="1:1" x14ac:dyDescent="0.25">
      <c r="A5379"/>
    </row>
    <row r="5380" spans="1:1" x14ac:dyDescent="0.25">
      <c r="A5380"/>
    </row>
    <row r="5381" spans="1:1" x14ac:dyDescent="0.25">
      <c r="A5381"/>
    </row>
    <row r="5382" spans="1:1" x14ac:dyDescent="0.25">
      <c r="A5382"/>
    </row>
    <row r="5383" spans="1:1" x14ac:dyDescent="0.25">
      <c r="A5383"/>
    </row>
    <row r="5384" spans="1:1" x14ac:dyDescent="0.25">
      <c r="A5384"/>
    </row>
    <row r="5385" spans="1:1" x14ac:dyDescent="0.25">
      <c r="A5385"/>
    </row>
    <row r="5386" spans="1:1" x14ac:dyDescent="0.25">
      <c r="A5386"/>
    </row>
    <row r="5387" spans="1:1" x14ac:dyDescent="0.25">
      <c r="A5387"/>
    </row>
    <row r="5388" spans="1:1" x14ac:dyDescent="0.25">
      <c r="A5388"/>
    </row>
    <row r="5389" spans="1:1" x14ac:dyDescent="0.25">
      <c r="A5389"/>
    </row>
    <row r="5390" spans="1:1" x14ac:dyDescent="0.25">
      <c r="A5390"/>
    </row>
    <row r="5391" spans="1:1" x14ac:dyDescent="0.25">
      <c r="A5391"/>
    </row>
    <row r="5392" spans="1:1" x14ac:dyDescent="0.25">
      <c r="A5392"/>
    </row>
    <row r="5393" spans="1:1" x14ac:dyDescent="0.25">
      <c r="A5393"/>
    </row>
    <row r="5394" spans="1:1" x14ac:dyDescent="0.25">
      <c r="A5394"/>
    </row>
    <row r="5395" spans="1:1" x14ac:dyDescent="0.25">
      <c r="A5395"/>
    </row>
    <row r="5396" spans="1:1" x14ac:dyDescent="0.25">
      <c r="A5396"/>
    </row>
    <row r="5397" spans="1:1" x14ac:dyDescent="0.25">
      <c r="A5397"/>
    </row>
    <row r="5398" spans="1:1" x14ac:dyDescent="0.25">
      <c r="A5398"/>
    </row>
    <row r="5399" spans="1:1" x14ac:dyDescent="0.25">
      <c r="A5399"/>
    </row>
    <row r="5400" spans="1:1" x14ac:dyDescent="0.25">
      <c r="A5400"/>
    </row>
    <row r="5401" spans="1:1" x14ac:dyDescent="0.25">
      <c r="A5401"/>
    </row>
    <row r="5402" spans="1:1" x14ac:dyDescent="0.25">
      <c r="A5402"/>
    </row>
    <row r="5403" spans="1:1" x14ac:dyDescent="0.25">
      <c r="A5403"/>
    </row>
    <row r="5404" spans="1:1" x14ac:dyDescent="0.25">
      <c r="A5404"/>
    </row>
    <row r="5405" spans="1:1" x14ac:dyDescent="0.25">
      <c r="A5405"/>
    </row>
    <row r="5406" spans="1:1" x14ac:dyDescent="0.25">
      <c r="A5406"/>
    </row>
    <row r="5407" spans="1:1" x14ac:dyDescent="0.25">
      <c r="A5407"/>
    </row>
    <row r="5408" spans="1:1" x14ac:dyDescent="0.25">
      <c r="A5408"/>
    </row>
    <row r="5409" spans="1:1" x14ac:dyDescent="0.25">
      <c r="A5409"/>
    </row>
    <row r="5410" spans="1:1" x14ac:dyDescent="0.25">
      <c r="A5410"/>
    </row>
    <row r="5411" spans="1:1" x14ac:dyDescent="0.25">
      <c r="A5411"/>
    </row>
    <row r="5412" spans="1:1" x14ac:dyDescent="0.25">
      <c r="A5412"/>
    </row>
    <row r="5413" spans="1:1" x14ac:dyDescent="0.25">
      <c r="A5413"/>
    </row>
    <row r="5414" spans="1:1" x14ac:dyDescent="0.25">
      <c r="A5414"/>
    </row>
    <row r="5415" spans="1:1" x14ac:dyDescent="0.25">
      <c r="A5415"/>
    </row>
    <row r="5416" spans="1:1" x14ac:dyDescent="0.25">
      <c r="A5416"/>
    </row>
    <row r="5417" spans="1:1" x14ac:dyDescent="0.25">
      <c r="A5417"/>
    </row>
    <row r="5418" spans="1:1" x14ac:dyDescent="0.25">
      <c r="A5418"/>
    </row>
    <row r="5419" spans="1:1" x14ac:dyDescent="0.25">
      <c r="A5419"/>
    </row>
    <row r="5420" spans="1:1" x14ac:dyDescent="0.25">
      <c r="A5420"/>
    </row>
    <row r="5421" spans="1:1" x14ac:dyDescent="0.25">
      <c r="A5421"/>
    </row>
    <row r="5422" spans="1:1" x14ac:dyDescent="0.25">
      <c r="A5422"/>
    </row>
    <row r="5423" spans="1:1" x14ac:dyDescent="0.25">
      <c r="A5423"/>
    </row>
    <row r="5424" spans="1:1" x14ac:dyDescent="0.25">
      <c r="A5424"/>
    </row>
    <row r="5425" spans="1:1" x14ac:dyDescent="0.25">
      <c r="A5425"/>
    </row>
    <row r="5426" spans="1:1" x14ac:dyDescent="0.25">
      <c r="A5426"/>
    </row>
    <row r="5427" spans="1:1" x14ac:dyDescent="0.25">
      <c r="A5427"/>
    </row>
    <row r="5428" spans="1:1" x14ac:dyDescent="0.25">
      <c r="A5428"/>
    </row>
    <row r="5429" spans="1:1" x14ac:dyDescent="0.25">
      <c r="A5429"/>
    </row>
    <row r="5430" spans="1:1" x14ac:dyDescent="0.25">
      <c r="A5430"/>
    </row>
    <row r="5431" spans="1:1" x14ac:dyDescent="0.25">
      <c r="A5431"/>
    </row>
    <row r="5432" spans="1:1" x14ac:dyDescent="0.25">
      <c r="A5432"/>
    </row>
    <row r="5433" spans="1:1" x14ac:dyDescent="0.25">
      <c r="A5433"/>
    </row>
    <row r="5434" spans="1:1" x14ac:dyDescent="0.25">
      <c r="A5434"/>
    </row>
    <row r="5435" spans="1:1" x14ac:dyDescent="0.25">
      <c r="A5435"/>
    </row>
    <row r="5436" spans="1:1" x14ac:dyDescent="0.25">
      <c r="A5436"/>
    </row>
    <row r="5437" spans="1:1" x14ac:dyDescent="0.25">
      <c r="A5437"/>
    </row>
    <row r="5438" spans="1:1" x14ac:dyDescent="0.25">
      <c r="A5438"/>
    </row>
    <row r="5439" spans="1:1" x14ac:dyDescent="0.25">
      <c r="A5439"/>
    </row>
    <row r="5440" spans="1:1" x14ac:dyDescent="0.25">
      <c r="A5440"/>
    </row>
    <row r="5441" spans="1:1" x14ac:dyDescent="0.25">
      <c r="A5441"/>
    </row>
    <row r="5442" spans="1:1" x14ac:dyDescent="0.25">
      <c r="A5442"/>
    </row>
    <row r="5443" spans="1:1" x14ac:dyDescent="0.25">
      <c r="A5443"/>
    </row>
    <row r="5444" spans="1:1" x14ac:dyDescent="0.25">
      <c r="A5444"/>
    </row>
    <row r="5445" spans="1:1" x14ac:dyDescent="0.25">
      <c r="A5445"/>
    </row>
    <row r="5446" spans="1:1" x14ac:dyDescent="0.25">
      <c r="A5446"/>
    </row>
    <row r="5447" spans="1:1" x14ac:dyDescent="0.25">
      <c r="A5447"/>
    </row>
    <row r="5448" spans="1:1" x14ac:dyDescent="0.25">
      <c r="A5448"/>
    </row>
    <row r="5449" spans="1:1" x14ac:dyDescent="0.25">
      <c r="A5449"/>
    </row>
    <row r="5450" spans="1:1" x14ac:dyDescent="0.25">
      <c r="A5450"/>
    </row>
    <row r="5451" spans="1:1" x14ac:dyDescent="0.25">
      <c r="A5451"/>
    </row>
    <row r="5452" spans="1:1" x14ac:dyDescent="0.25">
      <c r="A5452"/>
    </row>
    <row r="5453" spans="1:1" x14ac:dyDescent="0.25">
      <c r="A5453"/>
    </row>
    <row r="5454" spans="1:1" x14ac:dyDescent="0.25">
      <c r="A5454"/>
    </row>
    <row r="5455" spans="1:1" x14ac:dyDescent="0.25">
      <c r="A5455"/>
    </row>
    <row r="5456" spans="1:1" x14ac:dyDescent="0.25">
      <c r="A5456"/>
    </row>
    <row r="5457" spans="1:1" x14ac:dyDescent="0.25">
      <c r="A5457"/>
    </row>
    <row r="5458" spans="1:1" x14ac:dyDescent="0.25">
      <c r="A5458"/>
    </row>
    <row r="5459" spans="1:1" x14ac:dyDescent="0.25">
      <c r="A5459"/>
    </row>
    <row r="5460" spans="1:1" x14ac:dyDescent="0.25">
      <c r="A5460"/>
    </row>
    <row r="5461" spans="1:1" x14ac:dyDescent="0.25">
      <c r="A5461"/>
    </row>
    <row r="5462" spans="1:1" x14ac:dyDescent="0.25">
      <c r="A5462"/>
    </row>
    <row r="5463" spans="1:1" x14ac:dyDescent="0.25">
      <c r="A5463"/>
    </row>
    <row r="5464" spans="1:1" x14ac:dyDescent="0.25">
      <c r="A5464"/>
    </row>
    <row r="5465" spans="1:1" x14ac:dyDescent="0.25">
      <c r="A5465"/>
    </row>
    <row r="5466" spans="1:1" x14ac:dyDescent="0.25">
      <c r="A5466"/>
    </row>
    <row r="5467" spans="1:1" x14ac:dyDescent="0.25">
      <c r="A5467"/>
    </row>
    <row r="5468" spans="1:1" x14ac:dyDescent="0.25">
      <c r="A5468"/>
    </row>
    <row r="5469" spans="1:1" x14ac:dyDescent="0.25">
      <c r="A5469"/>
    </row>
    <row r="5470" spans="1:1" x14ac:dyDescent="0.25">
      <c r="A5470"/>
    </row>
    <row r="5471" spans="1:1" x14ac:dyDescent="0.25">
      <c r="A5471"/>
    </row>
    <row r="5472" spans="1:1" x14ac:dyDescent="0.25">
      <c r="A5472"/>
    </row>
    <row r="5473" spans="1:1" x14ac:dyDescent="0.25">
      <c r="A5473"/>
    </row>
    <row r="5474" spans="1:1" x14ac:dyDescent="0.25">
      <c r="A5474"/>
    </row>
    <row r="5475" spans="1:1" x14ac:dyDescent="0.25">
      <c r="A5475"/>
    </row>
    <row r="5476" spans="1:1" x14ac:dyDescent="0.25">
      <c r="A5476"/>
    </row>
    <row r="5477" spans="1:1" x14ac:dyDescent="0.25">
      <c r="A5477"/>
    </row>
    <row r="5478" spans="1:1" x14ac:dyDescent="0.25">
      <c r="A5478"/>
    </row>
    <row r="5479" spans="1:1" x14ac:dyDescent="0.25">
      <c r="A5479"/>
    </row>
    <row r="5480" spans="1:1" x14ac:dyDescent="0.25">
      <c r="A5480"/>
    </row>
    <row r="5481" spans="1:1" x14ac:dyDescent="0.25">
      <c r="A5481"/>
    </row>
    <row r="5482" spans="1:1" x14ac:dyDescent="0.25">
      <c r="A5482"/>
    </row>
    <row r="5483" spans="1:1" x14ac:dyDescent="0.25">
      <c r="A5483"/>
    </row>
    <row r="5484" spans="1:1" x14ac:dyDescent="0.25">
      <c r="A5484"/>
    </row>
    <row r="5485" spans="1:1" x14ac:dyDescent="0.25">
      <c r="A5485"/>
    </row>
    <row r="5486" spans="1:1" x14ac:dyDescent="0.25">
      <c r="A5486"/>
    </row>
    <row r="5487" spans="1:1" x14ac:dyDescent="0.25">
      <c r="A5487"/>
    </row>
    <row r="5488" spans="1:1" x14ac:dyDescent="0.25">
      <c r="A5488"/>
    </row>
    <row r="5489" spans="1:1" x14ac:dyDescent="0.25">
      <c r="A5489"/>
    </row>
    <row r="5490" spans="1:1" x14ac:dyDescent="0.25">
      <c r="A5490"/>
    </row>
    <row r="5491" spans="1:1" x14ac:dyDescent="0.25">
      <c r="A5491"/>
    </row>
    <row r="5492" spans="1:1" x14ac:dyDescent="0.25">
      <c r="A5492"/>
    </row>
    <row r="5493" spans="1:1" x14ac:dyDescent="0.25">
      <c r="A5493"/>
    </row>
    <row r="5494" spans="1:1" x14ac:dyDescent="0.25">
      <c r="A5494"/>
    </row>
    <row r="5495" spans="1:1" x14ac:dyDescent="0.25">
      <c r="A5495"/>
    </row>
    <row r="5496" spans="1:1" x14ac:dyDescent="0.25">
      <c r="A5496"/>
    </row>
    <row r="5497" spans="1:1" x14ac:dyDescent="0.25">
      <c r="A5497"/>
    </row>
    <row r="5498" spans="1:1" x14ac:dyDescent="0.25">
      <c r="A5498"/>
    </row>
    <row r="5499" spans="1:1" x14ac:dyDescent="0.25">
      <c r="A5499"/>
    </row>
    <row r="5500" spans="1:1" x14ac:dyDescent="0.25">
      <c r="A5500"/>
    </row>
    <row r="5501" spans="1:1" x14ac:dyDescent="0.25">
      <c r="A5501"/>
    </row>
    <row r="5502" spans="1:1" x14ac:dyDescent="0.25">
      <c r="A5502"/>
    </row>
    <row r="5503" spans="1:1" x14ac:dyDescent="0.25">
      <c r="A5503"/>
    </row>
    <row r="5504" spans="1:1" x14ac:dyDescent="0.25">
      <c r="A5504"/>
    </row>
    <row r="5505" spans="1:1" x14ac:dyDescent="0.25">
      <c r="A5505"/>
    </row>
    <row r="5506" spans="1:1" x14ac:dyDescent="0.25">
      <c r="A5506"/>
    </row>
    <row r="5507" spans="1:1" x14ac:dyDescent="0.25">
      <c r="A5507"/>
    </row>
    <row r="5508" spans="1:1" x14ac:dyDescent="0.25">
      <c r="A5508"/>
    </row>
    <row r="5509" spans="1:1" x14ac:dyDescent="0.25">
      <c r="A5509"/>
    </row>
    <row r="5510" spans="1:1" x14ac:dyDescent="0.25">
      <c r="A5510"/>
    </row>
    <row r="5511" spans="1:1" x14ac:dyDescent="0.25">
      <c r="A5511"/>
    </row>
    <row r="5512" spans="1:1" x14ac:dyDescent="0.25">
      <c r="A5512"/>
    </row>
    <row r="5513" spans="1:1" x14ac:dyDescent="0.25">
      <c r="A5513"/>
    </row>
    <row r="5514" spans="1:1" x14ac:dyDescent="0.25">
      <c r="A5514"/>
    </row>
    <row r="5515" spans="1:1" x14ac:dyDescent="0.25">
      <c r="A5515"/>
    </row>
    <row r="5516" spans="1:1" x14ac:dyDescent="0.25">
      <c r="A5516"/>
    </row>
    <row r="5517" spans="1:1" x14ac:dyDescent="0.25">
      <c r="A5517"/>
    </row>
    <row r="5518" spans="1:1" x14ac:dyDescent="0.25">
      <c r="A5518"/>
    </row>
    <row r="5519" spans="1:1" x14ac:dyDescent="0.25">
      <c r="A5519"/>
    </row>
    <row r="5520" spans="1:1" x14ac:dyDescent="0.25">
      <c r="A5520"/>
    </row>
    <row r="5521" spans="1:1" x14ac:dyDescent="0.25">
      <c r="A5521"/>
    </row>
    <row r="5522" spans="1:1" x14ac:dyDescent="0.25">
      <c r="A5522"/>
    </row>
    <row r="5523" spans="1:1" x14ac:dyDescent="0.25">
      <c r="A5523"/>
    </row>
    <row r="5524" spans="1:1" x14ac:dyDescent="0.25">
      <c r="A5524"/>
    </row>
    <row r="5525" spans="1:1" x14ac:dyDescent="0.25">
      <c r="A5525"/>
    </row>
    <row r="5526" spans="1:1" x14ac:dyDescent="0.25">
      <c r="A5526"/>
    </row>
    <row r="5527" spans="1:1" x14ac:dyDescent="0.25">
      <c r="A5527"/>
    </row>
    <row r="5528" spans="1:1" x14ac:dyDescent="0.25">
      <c r="A5528"/>
    </row>
    <row r="5529" spans="1:1" x14ac:dyDescent="0.25">
      <c r="A5529"/>
    </row>
    <row r="5530" spans="1:1" x14ac:dyDescent="0.25">
      <c r="A5530"/>
    </row>
    <row r="5531" spans="1:1" x14ac:dyDescent="0.25">
      <c r="A5531"/>
    </row>
    <row r="5532" spans="1:1" x14ac:dyDescent="0.25">
      <c r="A5532"/>
    </row>
    <row r="5533" spans="1:1" x14ac:dyDescent="0.25">
      <c r="A5533"/>
    </row>
    <row r="5534" spans="1:1" x14ac:dyDescent="0.25">
      <c r="A5534"/>
    </row>
    <row r="5535" spans="1:1" x14ac:dyDescent="0.25">
      <c r="A5535"/>
    </row>
    <row r="5536" spans="1:1" x14ac:dyDescent="0.25">
      <c r="A5536"/>
    </row>
    <row r="5537" spans="1:1" x14ac:dyDescent="0.25">
      <c r="A5537"/>
    </row>
    <row r="5538" spans="1:1" x14ac:dyDescent="0.25">
      <c r="A5538"/>
    </row>
    <row r="5539" spans="1:1" x14ac:dyDescent="0.25">
      <c r="A5539"/>
    </row>
    <row r="5540" spans="1:1" x14ac:dyDescent="0.25">
      <c r="A5540"/>
    </row>
    <row r="5541" spans="1:1" x14ac:dyDescent="0.25">
      <c r="A5541"/>
    </row>
    <row r="5542" spans="1:1" x14ac:dyDescent="0.25">
      <c r="A5542"/>
    </row>
    <row r="5543" spans="1:1" x14ac:dyDescent="0.25">
      <c r="A5543"/>
    </row>
    <row r="5544" spans="1:1" x14ac:dyDescent="0.25">
      <c r="A5544"/>
    </row>
    <row r="5545" spans="1:1" x14ac:dyDescent="0.25">
      <c r="A5545"/>
    </row>
    <row r="5546" spans="1:1" x14ac:dyDescent="0.25">
      <c r="A5546"/>
    </row>
    <row r="5547" spans="1:1" x14ac:dyDescent="0.25">
      <c r="A5547"/>
    </row>
    <row r="5548" spans="1:1" x14ac:dyDescent="0.25">
      <c r="A5548"/>
    </row>
    <row r="5549" spans="1:1" x14ac:dyDescent="0.25">
      <c r="A5549"/>
    </row>
    <row r="5550" spans="1:1" x14ac:dyDescent="0.25">
      <c r="A5550"/>
    </row>
    <row r="5551" spans="1:1" x14ac:dyDescent="0.25">
      <c r="A5551"/>
    </row>
    <row r="5552" spans="1:1" x14ac:dyDescent="0.25">
      <c r="A5552"/>
    </row>
    <row r="5553" spans="1:1" x14ac:dyDescent="0.25">
      <c r="A5553"/>
    </row>
    <row r="5554" spans="1:1" x14ac:dyDescent="0.25">
      <c r="A5554"/>
    </row>
    <row r="5555" spans="1:1" x14ac:dyDescent="0.25">
      <c r="A5555"/>
    </row>
    <row r="5556" spans="1:1" x14ac:dyDescent="0.25">
      <c r="A5556"/>
    </row>
    <row r="5557" spans="1:1" x14ac:dyDescent="0.25">
      <c r="A5557"/>
    </row>
    <row r="5558" spans="1:1" x14ac:dyDescent="0.25">
      <c r="A5558"/>
    </row>
    <row r="5559" spans="1:1" x14ac:dyDescent="0.25">
      <c r="A5559"/>
    </row>
    <row r="5560" spans="1:1" x14ac:dyDescent="0.25">
      <c r="A5560"/>
    </row>
    <row r="5561" spans="1:1" x14ac:dyDescent="0.25">
      <c r="A5561"/>
    </row>
    <row r="5562" spans="1:1" x14ac:dyDescent="0.25">
      <c r="A5562"/>
    </row>
    <row r="5563" spans="1:1" x14ac:dyDescent="0.25">
      <c r="A5563"/>
    </row>
    <row r="5564" spans="1:1" x14ac:dyDescent="0.25">
      <c r="A5564"/>
    </row>
    <row r="5565" spans="1:1" x14ac:dyDescent="0.25">
      <c r="A5565"/>
    </row>
    <row r="5566" spans="1:1" x14ac:dyDescent="0.25">
      <c r="A5566"/>
    </row>
    <row r="5567" spans="1:1" x14ac:dyDescent="0.25">
      <c r="A5567"/>
    </row>
    <row r="5568" spans="1:1" x14ac:dyDescent="0.25">
      <c r="A5568"/>
    </row>
    <row r="5569" spans="1:1" x14ac:dyDescent="0.25">
      <c r="A5569"/>
    </row>
    <row r="5570" spans="1:1" x14ac:dyDescent="0.25">
      <c r="A5570"/>
    </row>
    <row r="5571" spans="1:1" x14ac:dyDescent="0.25">
      <c r="A5571"/>
    </row>
    <row r="5572" spans="1:1" x14ac:dyDescent="0.25">
      <c r="A5572"/>
    </row>
    <row r="5573" spans="1:1" x14ac:dyDescent="0.25">
      <c r="A5573"/>
    </row>
    <row r="5574" spans="1:1" x14ac:dyDescent="0.25">
      <c r="A5574"/>
    </row>
    <row r="5575" spans="1:1" x14ac:dyDescent="0.25">
      <c r="A5575"/>
    </row>
    <row r="5576" spans="1:1" x14ac:dyDescent="0.25">
      <c r="A5576"/>
    </row>
    <row r="5577" spans="1:1" x14ac:dyDescent="0.25">
      <c r="A5577"/>
    </row>
    <row r="5578" spans="1:1" x14ac:dyDescent="0.25">
      <c r="A5578"/>
    </row>
    <row r="5579" spans="1:1" x14ac:dyDescent="0.25">
      <c r="A5579"/>
    </row>
    <row r="5580" spans="1:1" x14ac:dyDescent="0.25">
      <c r="A5580"/>
    </row>
    <row r="5581" spans="1:1" x14ac:dyDescent="0.25">
      <c r="A5581"/>
    </row>
    <row r="5582" spans="1:1" x14ac:dyDescent="0.25">
      <c r="A5582"/>
    </row>
    <row r="5583" spans="1:1" x14ac:dyDescent="0.25">
      <c r="A5583"/>
    </row>
    <row r="5584" spans="1:1" x14ac:dyDescent="0.25">
      <c r="A5584"/>
    </row>
    <row r="5585" spans="1:1" x14ac:dyDescent="0.25">
      <c r="A5585"/>
    </row>
    <row r="5586" spans="1:1" x14ac:dyDescent="0.25">
      <c r="A5586"/>
    </row>
    <row r="5587" spans="1:1" x14ac:dyDescent="0.25">
      <c r="A5587"/>
    </row>
    <row r="5588" spans="1:1" x14ac:dyDescent="0.25">
      <c r="A5588"/>
    </row>
    <row r="5589" spans="1:1" x14ac:dyDescent="0.25">
      <c r="A5589"/>
    </row>
    <row r="5590" spans="1:1" x14ac:dyDescent="0.25">
      <c r="A5590"/>
    </row>
    <row r="5591" spans="1:1" x14ac:dyDescent="0.25">
      <c r="A5591"/>
    </row>
    <row r="5592" spans="1:1" x14ac:dyDescent="0.25">
      <c r="A5592"/>
    </row>
    <row r="5593" spans="1:1" x14ac:dyDescent="0.25">
      <c r="A5593"/>
    </row>
    <row r="5594" spans="1:1" x14ac:dyDescent="0.25">
      <c r="A5594"/>
    </row>
    <row r="5595" spans="1:1" x14ac:dyDescent="0.25">
      <c r="A5595"/>
    </row>
    <row r="5596" spans="1:1" x14ac:dyDescent="0.25">
      <c r="A5596"/>
    </row>
    <row r="5597" spans="1:1" x14ac:dyDescent="0.25">
      <c r="A5597"/>
    </row>
    <row r="5598" spans="1:1" x14ac:dyDescent="0.25">
      <c r="A5598"/>
    </row>
    <row r="5599" spans="1:1" x14ac:dyDescent="0.25">
      <c r="A5599"/>
    </row>
    <row r="5600" spans="1:1" x14ac:dyDescent="0.25">
      <c r="A5600"/>
    </row>
    <row r="5601" spans="1:1" x14ac:dyDescent="0.25">
      <c r="A5601"/>
    </row>
    <row r="5602" spans="1:1" x14ac:dyDescent="0.25">
      <c r="A5602"/>
    </row>
    <row r="5603" spans="1:1" x14ac:dyDescent="0.25">
      <c r="A5603"/>
    </row>
    <row r="5604" spans="1:1" x14ac:dyDescent="0.25">
      <c r="A5604"/>
    </row>
    <row r="5605" spans="1:1" x14ac:dyDescent="0.25">
      <c r="A5605"/>
    </row>
    <row r="5606" spans="1:1" x14ac:dyDescent="0.25">
      <c r="A5606"/>
    </row>
    <row r="5607" spans="1:1" x14ac:dyDescent="0.25">
      <c r="A5607"/>
    </row>
    <row r="5608" spans="1:1" x14ac:dyDescent="0.25">
      <c r="A5608"/>
    </row>
    <row r="5609" spans="1:1" x14ac:dyDescent="0.25">
      <c r="A5609"/>
    </row>
    <row r="5610" spans="1:1" x14ac:dyDescent="0.25">
      <c r="A5610"/>
    </row>
    <row r="5611" spans="1:1" x14ac:dyDescent="0.25">
      <c r="A5611"/>
    </row>
    <row r="5612" spans="1:1" x14ac:dyDescent="0.25">
      <c r="A5612"/>
    </row>
    <row r="5613" spans="1:1" x14ac:dyDescent="0.25">
      <c r="A5613"/>
    </row>
    <row r="5614" spans="1:1" x14ac:dyDescent="0.25">
      <c r="A5614"/>
    </row>
    <row r="5615" spans="1:1" x14ac:dyDescent="0.25">
      <c r="A5615"/>
    </row>
    <row r="5616" spans="1:1" x14ac:dyDescent="0.25">
      <c r="A5616"/>
    </row>
    <row r="5617" spans="1:1" x14ac:dyDescent="0.25">
      <c r="A5617"/>
    </row>
    <row r="5618" spans="1:1" x14ac:dyDescent="0.25">
      <c r="A5618"/>
    </row>
    <row r="5619" spans="1:1" x14ac:dyDescent="0.25">
      <c r="A5619"/>
    </row>
    <row r="5620" spans="1:1" x14ac:dyDescent="0.25">
      <c r="A5620"/>
    </row>
    <row r="5621" spans="1:1" x14ac:dyDescent="0.25">
      <c r="A5621"/>
    </row>
    <row r="5622" spans="1:1" x14ac:dyDescent="0.25">
      <c r="A5622"/>
    </row>
    <row r="5623" spans="1:1" x14ac:dyDescent="0.25">
      <c r="A5623"/>
    </row>
    <row r="5624" spans="1:1" x14ac:dyDescent="0.25">
      <c r="A5624"/>
    </row>
    <row r="5625" spans="1:1" x14ac:dyDescent="0.25">
      <c r="A5625"/>
    </row>
    <row r="5626" spans="1:1" x14ac:dyDescent="0.25">
      <c r="A5626"/>
    </row>
    <row r="5627" spans="1:1" x14ac:dyDescent="0.25">
      <c r="A5627"/>
    </row>
    <row r="5628" spans="1:1" x14ac:dyDescent="0.25">
      <c r="A5628"/>
    </row>
    <row r="5629" spans="1:1" x14ac:dyDescent="0.25">
      <c r="A5629"/>
    </row>
    <row r="5630" spans="1:1" x14ac:dyDescent="0.25">
      <c r="A5630"/>
    </row>
    <row r="5631" spans="1:1" x14ac:dyDescent="0.25">
      <c r="A5631"/>
    </row>
    <row r="5632" spans="1:1" x14ac:dyDescent="0.25">
      <c r="A5632"/>
    </row>
    <row r="5633" spans="1:1" x14ac:dyDescent="0.25">
      <c r="A5633"/>
    </row>
    <row r="5634" spans="1:1" x14ac:dyDescent="0.25">
      <c r="A5634"/>
    </row>
    <row r="5635" spans="1:1" x14ac:dyDescent="0.25">
      <c r="A5635"/>
    </row>
    <row r="5636" spans="1:1" x14ac:dyDescent="0.25">
      <c r="A5636"/>
    </row>
    <row r="5637" spans="1:1" x14ac:dyDescent="0.25">
      <c r="A5637"/>
    </row>
    <row r="5638" spans="1:1" x14ac:dyDescent="0.25">
      <c r="A5638"/>
    </row>
    <row r="5639" spans="1:1" x14ac:dyDescent="0.25">
      <c r="A5639"/>
    </row>
    <row r="5640" spans="1:1" x14ac:dyDescent="0.25">
      <c r="A5640"/>
    </row>
    <row r="5641" spans="1:1" x14ac:dyDescent="0.25">
      <c r="A5641"/>
    </row>
    <row r="5642" spans="1:1" x14ac:dyDescent="0.25">
      <c r="A5642"/>
    </row>
    <row r="5643" spans="1:1" x14ac:dyDescent="0.25">
      <c r="A5643"/>
    </row>
    <row r="5644" spans="1:1" x14ac:dyDescent="0.25">
      <c r="A5644"/>
    </row>
    <row r="5645" spans="1:1" x14ac:dyDescent="0.25">
      <c r="A5645"/>
    </row>
    <row r="5646" spans="1:1" x14ac:dyDescent="0.25">
      <c r="A5646"/>
    </row>
    <row r="5647" spans="1:1" x14ac:dyDescent="0.25">
      <c r="A5647"/>
    </row>
    <row r="5648" spans="1:1" x14ac:dyDescent="0.25">
      <c r="A5648"/>
    </row>
    <row r="5649" spans="1:1" x14ac:dyDescent="0.25">
      <c r="A5649"/>
    </row>
    <row r="5650" spans="1:1" x14ac:dyDescent="0.25">
      <c r="A5650"/>
    </row>
    <row r="5651" spans="1:1" x14ac:dyDescent="0.25">
      <c r="A5651"/>
    </row>
    <row r="5652" spans="1:1" x14ac:dyDescent="0.25">
      <c r="A5652"/>
    </row>
    <row r="5653" spans="1:1" x14ac:dyDescent="0.25">
      <c r="A5653"/>
    </row>
    <row r="5654" spans="1:1" x14ac:dyDescent="0.25">
      <c r="A5654"/>
    </row>
    <row r="5655" spans="1:1" x14ac:dyDescent="0.25">
      <c r="A5655"/>
    </row>
    <row r="5656" spans="1:1" x14ac:dyDescent="0.25">
      <c r="A5656"/>
    </row>
    <row r="5657" spans="1:1" x14ac:dyDescent="0.25">
      <c r="A5657"/>
    </row>
    <row r="5658" spans="1:1" x14ac:dyDescent="0.25">
      <c r="A5658"/>
    </row>
    <row r="5659" spans="1:1" x14ac:dyDescent="0.25">
      <c r="A5659"/>
    </row>
    <row r="5660" spans="1:1" x14ac:dyDescent="0.25">
      <c r="A5660"/>
    </row>
    <row r="5661" spans="1:1" x14ac:dyDescent="0.25">
      <c r="A5661"/>
    </row>
    <row r="5662" spans="1:1" x14ac:dyDescent="0.25">
      <c r="A5662"/>
    </row>
    <row r="5663" spans="1:1" x14ac:dyDescent="0.25">
      <c r="A5663"/>
    </row>
    <row r="5664" spans="1:1" x14ac:dyDescent="0.25">
      <c r="A5664"/>
    </row>
    <row r="5665" spans="1:1" x14ac:dyDescent="0.25">
      <c r="A5665"/>
    </row>
    <row r="5666" spans="1:1" x14ac:dyDescent="0.25">
      <c r="A5666"/>
    </row>
    <row r="5667" spans="1:1" x14ac:dyDescent="0.25">
      <c r="A5667"/>
    </row>
    <row r="5668" spans="1:1" x14ac:dyDescent="0.25">
      <c r="A5668"/>
    </row>
    <row r="5669" spans="1:1" x14ac:dyDescent="0.25">
      <c r="A5669"/>
    </row>
    <row r="5670" spans="1:1" x14ac:dyDescent="0.25">
      <c r="A5670"/>
    </row>
    <row r="5671" spans="1:1" x14ac:dyDescent="0.25">
      <c r="A5671"/>
    </row>
    <row r="5672" spans="1:1" x14ac:dyDescent="0.25">
      <c r="A5672"/>
    </row>
    <row r="5673" spans="1:1" x14ac:dyDescent="0.25">
      <c r="A5673"/>
    </row>
    <row r="5674" spans="1:1" x14ac:dyDescent="0.25">
      <c r="A5674"/>
    </row>
    <row r="5675" spans="1:1" x14ac:dyDescent="0.25">
      <c r="A5675"/>
    </row>
    <row r="5676" spans="1:1" x14ac:dyDescent="0.25">
      <c r="A5676"/>
    </row>
    <row r="5677" spans="1:1" x14ac:dyDescent="0.25">
      <c r="A5677"/>
    </row>
    <row r="5678" spans="1:1" x14ac:dyDescent="0.25">
      <c r="A5678"/>
    </row>
    <row r="5679" spans="1:1" x14ac:dyDescent="0.25">
      <c r="A5679"/>
    </row>
    <row r="5680" spans="1:1" x14ac:dyDescent="0.25">
      <c r="A5680"/>
    </row>
    <row r="5681" spans="1:1" x14ac:dyDescent="0.25">
      <c r="A5681"/>
    </row>
    <row r="5682" spans="1:1" x14ac:dyDescent="0.25">
      <c r="A5682"/>
    </row>
    <row r="5683" spans="1:1" x14ac:dyDescent="0.25">
      <c r="A5683"/>
    </row>
    <row r="5684" spans="1:1" x14ac:dyDescent="0.25">
      <c r="A5684"/>
    </row>
    <row r="5685" spans="1:1" x14ac:dyDescent="0.25">
      <c r="A5685"/>
    </row>
    <row r="5686" spans="1:1" x14ac:dyDescent="0.25">
      <c r="A5686"/>
    </row>
    <row r="5687" spans="1:1" x14ac:dyDescent="0.25">
      <c r="A5687"/>
    </row>
    <row r="5688" spans="1:1" x14ac:dyDescent="0.25">
      <c r="A5688"/>
    </row>
    <row r="5689" spans="1:1" x14ac:dyDescent="0.25">
      <c r="A5689"/>
    </row>
    <row r="5690" spans="1:1" x14ac:dyDescent="0.25">
      <c r="A5690"/>
    </row>
    <row r="5691" spans="1:1" x14ac:dyDescent="0.25">
      <c r="A5691"/>
    </row>
    <row r="5692" spans="1:1" x14ac:dyDescent="0.25">
      <c r="A5692"/>
    </row>
    <row r="5693" spans="1:1" x14ac:dyDescent="0.25">
      <c r="A5693"/>
    </row>
    <row r="5694" spans="1:1" x14ac:dyDescent="0.25">
      <c r="A5694"/>
    </row>
    <row r="5695" spans="1:1" x14ac:dyDescent="0.25">
      <c r="A5695"/>
    </row>
    <row r="5696" spans="1:1" x14ac:dyDescent="0.25">
      <c r="A5696"/>
    </row>
    <row r="5697" spans="1:1" x14ac:dyDescent="0.25">
      <c r="A5697"/>
    </row>
    <row r="5698" spans="1:1" x14ac:dyDescent="0.25">
      <c r="A5698"/>
    </row>
    <row r="5699" spans="1:1" x14ac:dyDescent="0.25">
      <c r="A5699"/>
    </row>
    <row r="5700" spans="1:1" x14ac:dyDescent="0.25">
      <c r="A5700"/>
    </row>
    <row r="5701" spans="1:1" x14ac:dyDescent="0.25">
      <c r="A5701"/>
    </row>
    <row r="5702" spans="1:1" x14ac:dyDescent="0.25">
      <c r="A5702"/>
    </row>
    <row r="5703" spans="1:1" x14ac:dyDescent="0.25">
      <c r="A5703"/>
    </row>
    <row r="5704" spans="1:1" x14ac:dyDescent="0.25">
      <c r="A5704"/>
    </row>
    <row r="5705" spans="1:1" x14ac:dyDescent="0.25">
      <c r="A5705"/>
    </row>
    <row r="5706" spans="1:1" x14ac:dyDescent="0.25">
      <c r="A5706"/>
    </row>
    <row r="5707" spans="1:1" x14ac:dyDescent="0.25">
      <c r="A5707"/>
    </row>
    <row r="5708" spans="1:1" x14ac:dyDescent="0.25">
      <c r="A5708"/>
    </row>
    <row r="5709" spans="1:1" x14ac:dyDescent="0.25">
      <c r="A5709"/>
    </row>
    <row r="5710" spans="1:1" x14ac:dyDescent="0.25">
      <c r="A5710"/>
    </row>
    <row r="5711" spans="1:1" x14ac:dyDescent="0.25">
      <c r="A5711"/>
    </row>
    <row r="5712" spans="1:1" x14ac:dyDescent="0.25">
      <c r="A5712"/>
    </row>
    <row r="5713" spans="1:1" x14ac:dyDescent="0.25">
      <c r="A5713"/>
    </row>
    <row r="5714" spans="1:1" x14ac:dyDescent="0.25">
      <c r="A5714"/>
    </row>
    <row r="5715" spans="1:1" x14ac:dyDescent="0.25">
      <c r="A5715"/>
    </row>
    <row r="5716" spans="1:1" x14ac:dyDescent="0.25">
      <c r="A5716"/>
    </row>
    <row r="5717" spans="1:1" x14ac:dyDescent="0.25">
      <c r="A5717"/>
    </row>
    <row r="5718" spans="1:1" x14ac:dyDescent="0.25">
      <c r="A5718"/>
    </row>
    <row r="5719" spans="1:1" x14ac:dyDescent="0.25">
      <c r="A5719"/>
    </row>
    <row r="5720" spans="1:1" x14ac:dyDescent="0.25">
      <c r="A5720"/>
    </row>
    <row r="5721" spans="1:1" x14ac:dyDescent="0.25">
      <c r="A5721"/>
    </row>
    <row r="5722" spans="1:1" x14ac:dyDescent="0.25">
      <c r="A5722"/>
    </row>
    <row r="5723" spans="1:1" x14ac:dyDescent="0.25">
      <c r="A5723"/>
    </row>
    <row r="5724" spans="1:1" x14ac:dyDescent="0.25">
      <c r="A5724"/>
    </row>
    <row r="5725" spans="1:1" x14ac:dyDescent="0.25">
      <c r="A5725"/>
    </row>
    <row r="5726" spans="1:1" x14ac:dyDescent="0.25">
      <c r="A5726"/>
    </row>
    <row r="5727" spans="1:1" x14ac:dyDescent="0.25">
      <c r="A5727"/>
    </row>
    <row r="5728" spans="1:1" x14ac:dyDescent="0.25">
      <c r="A5728"/>
    </row>
    <row r="5729" spans="1:1" x14ac:dyDescent="0.25">
      <c r="A5729"/>
    </row>
    <row r="5730" spans="1:1" x14ac:dyDescent="0.25">
      <c r="A5730"/>
    </row>
    <row r="5731" spans="1:1" x14ac:dyDescent="0.25">
      <c r="A5731"/>
    </row>
    <row r="5732" spans="1:1" x14ac:dyDescent="0.25">
      <c r="A5732"/>
    </row>
    <row r="5733" spans="1:1" x14ac:dyDescent="0.25">
      <c r="A5733"/>
    </row>
    <row r="5734" spans="1:1" x14ac:dyDescent="0.25">
      <c r="A5734"/>
    </row>
    <row r="5735" spans="1:1" x14ac:dyDescent="0.25">
      <c r="A5735"/>
    </row>
    <row r="5736" spans="1:1" x14ac:dyDescent="0.25">
      <c r="A5736"/>
    </row>
    <row r="5737" spans="1:1" x14ac:dyDescent="0.25">
      <c r="A5737"/>
    </row>
    <row r="5738" spans="1:1" x14ac:dyDescent="0.25">
      <c r="A5738"/>
    </row>
    <row r="5739" spans="1:1" x14ac:dyDescent="0.25">
      <c r="A5739"/>
    </row>
    <row r="5740" spans="1:1" x14ac:dyDescent="0.25">
      <c r="A5740"/>
    </row>
    <row r="5741" spans="1:1" x14ac:dyDescent="0.25">
      <c r="A5741"/>
    </row>
    <row r="5742" spans="1:1" x14ac:dyDescent="0.25">
      <c r="A5742"/>
    </row>
    <row r="5743" spans="1:1" x14ac:dyDescent="0.25">
      <c r="A5743"/>
    </row>
    <row r="5744" spans="1:1" x14ac:dyDescent="0.25">
      <c r="A5744"/>
    </row>
    <row r="5745" spans="1:1" x14ac:dyDescent="0.25">
      <c r="A5745"/>
    </row>
    <row r="5746" spans="1:1" x14ac:dyDescent="0.25">
      <c r="A5746"/>
    </row>
    <row r="5747" spans="1:1" x14ac:dyDescent="0.25">
      <c r="A5747"/>
    </row>
    <row r="5748" spans="1:1" x14ac:dyDescent="0.25">
      <c r="A5748"/>
    </row>
    <row r="5749" spans="1:1" x14ac:dyDescent="0.25">
      <c r="A5749"/>
    </row>
    <row r="5750" spans="1:1" x14ac:dyDescent="0.25">
      <c r="A5750"/>
    </row>
    <row r="5751" spans="1:1" x14ac:dyDescent="0.25">
      <c r="A5751"/>
    </row>
    <row r="5752" spans="1:1" x14ac:dyDescent="0.25">
      <c r="A5752"/>
    </row>
    <row r="5753" spans="1:1" x14ac:dyDescent="0.25">
      <c r="A5753"/>
    </row>
    <row r="5754" spans="1:1" x14ac:dyDescent="0.25">
      <c r="A5754"/>
    </row>
    <row r="5755" spans="1:1" x14ac:dyDescent="0.25">
      <c r="A5755"/>
    </row>
    <row r="5756" spans="1:1" x14ac:dyDescent="0.25">
      <c r="A5756"/>
    </row>
    <row r="5757" spans="1:1" x14ac:dyDescent="0.25">
      <c r="A5757"/>
    </row>
    <row r="5758" spans="1:1" x14ac:dyDescent="0.25">
      <c r="A5758"/>
    </row>
    <row r="5759" spans="1:1" x14ac:dyDescent="0.25">
      <c r="A5759"/>
    </row>
    <row r="5760" spans="1:1" x14ac:dyDescent="0.25">
      <c r="A5760"/>
    </row>
    <row r="5761" spans="1:1" x14ac:dyDescent="0.25">
      <c r="A5761"/>
    </row>
    <row r="5762" spans="1:1" x14ac:dyDescent="0.25">
      <c r="A5762"/>
    </row>
    <row r="5763" spans="1:1" x14ac:dyDescent="0.25">
      <c r="A5763"/>
    </row>
    <row r="5764" spans="1:1" x14ac:dyDescent="0.25">
      <c r="A5764"/>
    </row>
    <row r="5765" spans="1:1" x14ac:dyDescent="0.25">
      <c r="A5765"/>
    </row>
    <row r="5766" spans="1:1" x14ac:dyDescent="0.25">
      <c r="A5766"/>
    </row>
    <row r="5767" spans="1:1" x14ac:dyDescent="0.25">
      <c r="A5767"/>
    </row>
    <row r="5768" spans="1:1" x14ac:dyDescent="0.25">
      <c r="A5768"/>
    </row>
    <row r="5769" spans="1:1" x14ac:dyDescent="0.25">
      <c r="A5769"/>
    </row>
    <row r="5770" spans="1:1" x14ac:dyDescent="0.25">
      <c r="A5770"/>
    </row>
    <row r="5771" spans="1:1" x14ac:dyDescent="0.25">
      <c r="A5771"/>
    </row>
    <row r="5772" spans="1:1" x14ac:dyDescent="0.25">
      <c r="A5772"/>
    </row>
    <row r="5773" spans="1:1" x14ac:dyDescent="0.25">
      <c r="A5773"/>
    </row>
    <row r="5774" spans="1:1" x14ac:dyDescent="0.25">
      <c r="A5774"/>
    </row>
    <row r="5775" spans="1:1" x14ac:dyDescent="0.25">
      <c r="A5775"/>
    </row>
    <row r="5776" spans="1:1" x14ac:dyDescent="0.25">
      <c r="A5776"/>
    </row>
    <row r="5777" spans="1:1" x14ac:dyDescent="0.25">
      <c r="A5777"/>
    </row>
    <row r="5778" spans="1:1" x14ac:dyDescent="0.25">
      <c r="A5778"/>
    </row>
    <row r="5779" spans="1:1" x14ac:dyDescent="0.25">
      <c r="A5779"/>
    </row>
    <row r="5780" spans="1:1" x14ac:dyDescent="0.25">
      <c r="A5780"/>
    </row>
    <row r="5781" spans="1:1" x14ac:dyDescent="0.25">
      <c r="A5781"/>
    </row>
    <row r="5782" spans="1:1" x14ac:dyDescent="0.25">
      <c r="A5782"/>
    </row>
    <row r="5783" spans="1:1" x14ac:dyDescent="0.25">
      <c r="A5783"/>
    </row>
    <row r="5784" spans="1:1" x14ac:dyDescent="0.25">
      <c r="A5784"/>
    </row>
    <row r="5785" spans="1:1" x14ac:dyDescent="0.25">
      <c r="A5785"/>
    </row>
    <row r="5786" spans="1:1" x14ac:dyDescent="0.25">
      <c r="A5786"/>
    </row>
    <row r="5787" spans="1:1" x14ac:dyDescent="0.25">
      <c r="A5787"/>
    </row>
    <row r="5788" spans="1:1" x14ac:dyDescent="0.25">
      <c r="A5788"/>
    </row>
    <row r="5789" spans="1:1" x14ac:dyDescent="0.25">
      <c r="A5789"/>
    </row>
    <row r="5790" spans="1:1" x14ac:dyDescent="0.25">
      <c r="A5790"/>
    </row>
    <row r="5791" spans="1:1" x14ac:dyDescent="0.25">
      <c r="A5791"/>
    </row>
    <row r="5792" spans="1:1" x14ac:dyDescent="0.25">
      <c r="A5792"/>
    </row>
    <row r="5793" spans="1:1" x14ac:dyDescent="0.25">
      <c r="A5793"/>
    </row>
    <row r="5794" spans="1:1" x14ac:dyDescent="0.25">
      <c r="A5794"/>
    </row>
    <row r="5795" spans="1:1" x14ac:dyDescent="0.25">
      <c r="A5795"/>
    </row>
    <row r="5796" spans="1:1" x14ac:dyDescent="0.25">
      <c r="A5796"/>
    </row>
    <row r="5797" spans="1:1" x14ac:dyDescent="0.25">
      <c r="A5797"/>
    </row>
    <row r="5798" spans="1:1" x14ac:dyDescent="0.25">
      <c r="A5798"/>
    </row>
    <row r="5799" spans="1:1" x14ac:dyDescent="0.25">
      <c r="A5799"/>
    </row>
    <row r="5800" spans="1:1" x14ac:dyDescent="0.25">
      <c r="A5800"/>
    </row>
    <row r="5801" spans="1:1" x14ac:dyDescent="0.25">
      <c r="A5801"/>
    </row>
    <row r="5802" spans="1:1" x14ac:dyDescent="0.25">
      <c r="A5802"/>
    </row>
    <row r="5803" spans="1:1" x14ac:dyDescent="0.25">
      <c r="A5803"/>
    </row>
    <row r="5804" spans="1:1" x14ac:dyDescent="0.25">
      <c r="A5804"/>
    </row>
    <row r="5805" spans="1:1" x14ac:dyDescent="0.25">
      <c r="A5805"/>
    </row>
    <row r="5806" spans="1:1" x14ac:dyDescent="0.25">
      <c r="A5806"/>
    </row>
    <row r="5807" spans="1:1" x14ac:dyDescent="0.25">
      <c r="A5807"/>
    </row>
    <row r="5808" spans="1:1" x14ac:dyDescent="0.25">
      <c r="A5808"/>
    </row>
    <row r="5809" spans="1:1" x14ac:dyDescent="0.25">
      <c r="A5809"/>
    </row>
    <row r="5810" spans="1:1" x14ac:dyDescent="0.25">
      <c r="A5810"/>
    </row>
    <row r="5811" spans="1:1" x14ac:dyDescent="0.25">
      <c r="A5811"/>
    </row>
    <row r="5812" spans="1:1" x14ac:dyDescent="0.25">
      <c r="A5812"/>
    </row>
    <row r="5813" spans="1:1" x14ac:dyDescent="0.25">
      <c r="A5813"/>
    </row>
    <row r="5814" spans="1:1" x14ac:dyDescent="0.25">
      <c r="A5814"/>
    </row>
    <row r="5815" spans="1:1" x14ac:dyDescent="0.25">
      <c r="A5815"/>
    </row>
    <row r="5816" spans="1:1" x14ac:dyDescent="0.25">
      <c r="A5816"/>
    </row>
    <row r="5817" spans="1:1" x14ac:dyDescent="0.25">
      <c r="A5817"/>
    </row>
    <row r="5818" spans="1:1" x14ac:dyDescent="0.25">
      <c r="A5818"/>
    </row>
    <row r="5819" spans="1:1" x14ac:dyDescent="0.25">
      <c r="A5819"/>
    </row>
    <row r="5820" spans="1:1" x14ac:dyDescent="0.25">
      <c r="A5820"/>
    </row>
    <row r="5821" spans="1:1" x14ac:dyDescent="0.25">
      <c r="A5821"/>
    </row>
    <row r="5822" spans="1:1" x14ac:dyDescent="0.25">
      <c r="A5822"/>
    </row>
    <row r="5823" spans="1:1" x14ac:dyDescent="0.25">
      <c r="A5823"/>
    </row>
    <row r="5824" spans="1:1" x14ac:dyDescent="0.25">
      <c r="A5824"/>
    </row>
    <row r="5825" spans="1:1" x14ac:dyDescent="0.25">
      <c r="A5825"/>
    </row>
    <row r="5826" spans="1:1" x14ac:dyDescent="0.25">
      <c r="A5826"/>
    </row>
    <row r="5827" spans="1:1" x14ac:dyDescent="0.25">
      <c r="A5827"/>
    </row>
    <row r="5828" spans="1:1" x14ac:dyDescent="0.25">
      <c r="A5828"/>
    </row>
    <row r="5829" spans="1:1" x14ac:dyDescent="0.25">
      <c r="A5829"/>
    </row>
    <row r="5830" spans="1:1" x14ac:dyDescent="0.25">
      <c r="A5830"/>
    </row>
    <row r="5831" spans="1:1" x14ac:dyDescent="0.25">
      <c r="A5831"/>
    </row>
    <row r="5832" spans="1:1" x14ac:dyDescent="0.25">
      <c r="A5832"/>
    </row>
    <row r="5833" spans="1:1" x14ac:dyDescent="0.25">
      <c r="A5833"/>
    </row>
    <row r="5834" spans="1:1" x14ac:dyDescent="0.25">
      <c r="A5834"/>
    </row>
    <row r="5835" spans="1:1" x14ac:dyDescent="0.25">
      <c r="A5835"/>
    </row>
    <row r="5836" spans="1:1" x14ac:dyDescent="0.25">
      <c r="A5836"/>
    </row>
    <row r="5837" spans="1:1" x14ac:dyDescent="0.25">
      <c r="A5837"/>
    </row>
    <row r="5838" spans="1:1" x14ac:dyDescent="0.25">
      <c r="A5838"/>
    </row>
    <row r="5839" spans="1:1" x14ac:dyDescent="0.25">
      <c r="A5839"/>
    </row>
    <row r="5840" spans="1:1" x14ac:dyDescent="0.25">
      <c r="A5840"/>
    </row>
    <row r="5841" spans="1:1" x14ac:dyDescent="0.25">
      <c r="A5841"/>
    </row>
    <row r="5842" spans="1:1" x14ac:dyDescent="0.25">
      <c r="A5842"/>
    </row>
    <row r="5843" spans="1:1" x14ac:dyDescent="0.25">
      <c r="A5843"/>
    </row>
    <row r="5844" spans="1:1" x14ac:dyDescent="0.25">
      <c r="A5844"/>
    </row>
    <row r="5845" spans="1:1" x14ac:dyDescent="0.25">
      <c r="A5845"/>
    </row>
    <row r="5846" spans="1:1" x14ac:dyDescent="0.25">
      <c r="A5846"/>
    </row>
    <row r="5847" spans="1:1" x14ac:dyDescent="0.25">
      <c r="A5847"/>
    </row>
    <row r="5848" spans="1:1" x14ac:dyDescent="0.25">
      <c r="A5848"/>
    </row>
    <row r="5849" spans="1:1" x14ac:dyDescent="0.25">
      <c r="A5849"/>
    </row>
    <row r="5850" spans="1:1" x14ac:dyDescent="0.25">
      <c r="A5850"/>
    </row>
    <row r="5851" spans="1:1" x14ac:dyDescent="0.25">
      <c r="A5851"/>
    </row>
    <row r="5852" spans="1:1" x14ac:dyDescent="0.25">
      <c r="A5852"/>
    </row>
    <row r="5853" spans="1:1" x14ac:dyDescent="0.25">
      <c r="A5853"/>
    </row>
    <row r="5854" spans="1:1" x14ac:dyDescent="0.25">
      <c r="A5854"/>
    </row>
    <row r="5855" spans="1:1" x14ac:dyDescent="0.25">
      <c r="A5855"/>
    </row>
    <row r="5856" spans="1:1" x14ac:dyDescent="0.25">
      <c r="A5856"/>
    </row>
    <row r="5857" spans="1:1" x14ac:dyDescent="0.25">
      <c r="A5857"/>
    </row>
    <row r="5858" spans="1:1" x14ac:dyDescent="0.25">
      <c r="A5858"/>
    </row>
    <row r="5859" spans="1:1" x14ac:dyDescent="0.25">
      <c r="A5859"/>
    </row>
    <row r="5860" spans="1:1" x14ac:dyDescent="0.25">
      <c r="A5860"/>
    </row>
    <row r="5861" spans="1:1" x14ac:dyDescent="0.25">
      <c r="A5861"/>
    </row>
  </sheetData>
  <sheetProtection algorithmName="SHA-512" hashValue="J/+yYk7oO/2GV1eD4tm3ulbMSFhqX4u/vlZCSCy+v/NqB/Wb5Qlqq0L7PxaJZqtz6XhxO0cGHMAlZ3hm5EQRBA==" saltValue="VnUmazUVLdqc0LQMtA/VCw==" spinCount="100000" sheet="1" objects="1" scenarios="1"/>
  <pageMargins left="0.7" right="0.7" top="0.75" bottom="0.75" header="0.3" footer="0.3"/>
  <pageSetup scale="53" fitToHeight="0" orientation="landscape"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0">
    <tabColor rgb="FF92D050"/>
    <pageSetUpPr fitToPage="1"/>
  </sheetPr>
  <dimension ref="A2:G5861"/>
  <sheetViews>
    <sheetView showGridLines="0" zoomScale="110" zoomScaleNormal="110" workbookViewId="0">
      <selection activeCell="F26" sqref="A1:XFD1048576"/>
    </sheetView>
  </sheetViews>
  <sheetFormatPr defaultRowHeight="15" x14ac:dyDescent="0.25"/>
  <cols>
    <col min="1" max="1" width="36.5703125" style="2" bestFit="1" customWidth="1"/>
    <col min="2" max="5" width="12.28515625" bestFit="1" customWidth="1"/>
    <col min="6" max="6" width="14.7109375" customWidth="1"/>
    <col min="7" max="7" width="11.140625" customWidth="1"/>
    <col min="8" max="9" width="11.140625" bestFit="1" customWidth="1"/>
    <col min="10" max="14" width="10.140625" bestFit="1" customWidth="1"/>
    <col min="15" max="15" width="11.28515625" bestFit="1" customWidth="1"/>
    <col min="16" max="17" width="11.140625" bestFit="1" customWidth="1"/>
    <col min="18" max="20" width="12.7109375" bestFit="1" customWidth="1"/>
    <col min="21" max="21" width="8.42578125" bestFit="1" customWidth="1"/>
    <col min="22" max="22" width="9.42578125" bestFit="1" customWidth="1"/>
    <col min="23" max="24" width="8.42578125" bestFit="1" customWidth="1"/>
    <col min="26" max="26" width="11.28515625" bestFit="1" customWidth="1"/>
  </cols>
  <sheetData>
    <row r="2" spans="1:7" x14ac:dyDescent="0.25">
      <c r="A2" s="35"/>
      <c r="F2" s="78" t="s">
        <v>325</v>
      </c>
    </row>
    <row r="3" spans="1:7" s="15" customFormat="1" ht="30" x14ac:dyDescent="0.25">
      <c r="A3" s="33" t="s">
        <v>216</v>
      </c>
      <c r="B3" s="64" t="str" vm="1476">
        <f>CUBEMEMBER("ThisWorkbookDataModel","[Calendar].[Квартал].&amp;[2023-03-31T00:00:00]")</f>
        <v>3/31/2023</v>
      </c>
      <c r="C3" s="64" t="str" vm="1475">
        <f>CUBEMEMBER("ThisWorkbookDataModel","[Calendar].[Квартал].&amp;[2023-06-30T00:00:00]")</f>
        <v>6/30/2023</v>
      </c>
      <c r="D3" s="64" t="str" vm="1477">
        <f>CUBEMEMBER("ThisWorkbookDataModel","[Calendar].[Квартал].&amp;[2023-09-30T00:00:00]")</f>
        <v>9/30/2023</v>
      </c>
      <c r="E3" s="64" t="str" vm="1478">
        <f>CUBEMEMBER("ThisWorkbookDataModel","[Calendar].[Квартал].&amp;[2023-12-31T00:00:00]")</f>
        <v>12/31/2023</v>
      </c>
      <c r="F3" s="72" t="s">
        <v>153</v>
      </c>
    </row>
    <row r="4" spans="1:7" s="15" customFormat="1" x14ac:dyDescent="0.25">
      <c r="A4" s="67" t="s">
        <v>217</v>
      </c>
      <c r="B4" s="82">
        <f>'1. BilansNaSostojba'!C8</f>
        <v>306784240</v>
      </c>
      <c r="C4" s="82">
        <f>'1. BilansNaSostojba'!D8</f>
        <v>273673103</v>
      </c>
      <c r="D4" s="82">
        <f>'1. BilansNaSostojba'!E8</f>
        <v>208579505</v>
      </c>
      <c r="E4" s="82">
        <f>'1. BilansNaSostojba'!F8</f>
        <v>157289120</v>
      </c>
      <c r="F4" s="83">
        <f>E4</f>
        <v>157289120</v>
      </c>
    </row>
    <row r="5" spans="1:7" x14ac:dyDescent="0.25">
      <c r="A5" s="43" t="s">
        <v>218</v>
      </c>
      <c r="B5" s="82">
        <f>'1. BilansNaSostojba'!C18</f>
        <v>92729742</v>
      </c>
      <c r="C5" s="82">
        <f>'1. BilansNaSostojba'!D18</f>
        <v>91550799</v>
      </c>
      <c r="D5" s="82">
        <f>'1. BilansNaSostojba'!E18</f>
        <v>90371856</v>
      </c>
      <c r="E5" s="82">
        <f>'1. BilansNaSostojba'!F18</f>
        <v>107811293</v>
      </c>
      <c r="F5" s="83">
        <f>E5</f>
        <v>107811293</v>
      </c>
      <c r="G5" s="96"/>
    </row>
    <row r="6" spans="1:7" x14ac:dyDescent="0.25">
      <c r="A6" s="43" t="s">
        <v>219</v>
      </c>
      <c r="B6" s="82">
        <f>'3.Specificirani prihodi'!C21</f>
        <v>217342424</v>
      </c>
      <c r="C6" s="82">
        <f>'3.Specificirani prihodi'!D21</f>
        <v>63143392</v>
      </c>
      <c r="D6" s="82">
        <f>'3.Specificirani prihodi'!E21</f>
        <v>54800105</v>
      </c>
      <c r="E6" s="82">
        <f>'3.Specificirani prihodi'!F21</f>
        <v>64523525</v>
      </c>
      <c r="F6" s="83">
        <f>SUM(B6:E6)</f>
        <v>399809446</v>
      </c>
    </row>
    <row r="7" spans="1:7" s="8" customFormat="1" x14ac:dyDescent="0.25">
      <c r="A7" s="43" t="s">
        <v>170</v>
      </c>
      <c r="B7" s="82">
        <f>'3.Specificirani prihodi'!C32</f>
        <v>218651469</v>
      </c>
      <c r="C7" s="82">
        <f>'3.Specificirani prihodi'!D32</f>
        <v>64523964</v>
      </c>
      <c r="D7" s="82">
        <f>'3.Specificirani prihodi'!E32</f>
        <v>56215721</v>
      </c>
      <c r="E7" s="82">
        <f>'3.Specificirani prihodi'!F32</f>
        <v>65803765</v>
      </c>
      <c r="F7" s="83">
        <f>SUM(B7:E7)</f>
        <v>405194919</v>
      </c>
    </row>
    <row r="8" spans="1:7" s="8" customFormat="1" x14ac:dyDescent="0.25">
      <c r="A8" s="43" t="s">
        <v>220</v>
      </c>
      <c r="B8" s="82">
        <f>'4.Specificirani rashodi'!C25</f>
        <v>95353388</v>
      </c>
      <c r="C8" s="82">
        <f>'4.Specificirani rashodi'!D25</f>
        <v>96648507</v>
      </c>
      <c r="D8" s="82">
        <f>'4.Specificirani rashodi'!E25</f>
        <v>105950516</v>
      </c>
      <c r="E8" s="82">
        <f>'4.Specificirani rashodi'!F25</f>
        <v>98543686</v>
      </c>
      <c r="F8" s="83">
        <f>SUM(B8:E8)</f>
        <v>396496097</v>
      </c>
    </row>
    <row r="9" spans="1:7" s="8" customFormat="1" x14ac:dyDescent="0.25">
      <c r="A9" s="43" t="s">
        <v>173</v>
      </c>
      <c r="B9" s="82">
        <f>'4.Specificirani rashodi'!C32</f>
        <v>95372288</v>
      </c>
      <c r="C9" s="82">
        <f>'4.Specificirani rashodi'!D32</f>
        <v>96667407</v>
      </c>
      <c r="D9" s="82">
        <f>'4.Specificirani rashodi'!E32</f>
        <v>105969416</v>
      </c>
      <c r="E9" s="82">
        <f>'4.Specificirani rashodi'!F32</f>
        <v>98562586</v>
      </c>
      <c r="F9" s="83">
        <f>SUM(B9:E9)</f>
        <v>396571697</v>
      </c>
      <c r="G9" s="14"/>
    </row>
    <row r="10" spans="1:7" s="8" customFormat="1" x14ac:dyDescent="0.25">
      <c r="A10" s="68" t="s">
        <v>221</v>
      </c>
      <c r="B10" s="82">
        <f>'4.Specificirani rashodi'!C34</f>
        <v>59066646</v>
      </c>
      <c r="C10" s="82">
        <f>'4.Specificirani rashodi'!D34</f>
        <v>58837290</v>
      </c>
      <c r="D10" s="82">
        <f>'4.Specificirani rashodi'!E34</f>
        <v>58727487</v>
      </c>
      <c r="E10" s="82">
        <f>'4.Specificirani rashodi'!F34</f>
        <v>58511687</v>
      </c>
      <c r="F10" s="83">
        <f>SUM(B10:E10)</f>
        <v>235143110</v>
      </c>
    </row>
    <row r="11" spans="1:7" x14ac:dyDescent="0.25">
      <c r="A11" s="43" t="s">
        <v>222</v>
      </c>
      <c r="B11" s="82">
        <f>'4.Specificirani rashodi'!C35</f>
        <v>314</v>
      </c>
      <c r="C11" s="82">
        <f>'4.Specificirani rashodi'!D35</f>
        <v>313</v>
      </c>
      <c r="D11" s="82">
        <f>'4.Specificirani rashodi'!E35</f>
        <v>312</v>
      </c>
      <c r="E11" s="82">
        <f>'4.Specificirani rashodi'!F35</f>
        <v>308</v>
      </c>
      <c r="F11" s="83">
        <f>AVERAGE(B11:E11)</f>
        <v>311.75</v>
      </c>
    </row>
    <row r="12" spans="1:7" x14ac:dyDescent="0.25">
      <c r="A12" s="43" t="s">
        <v>223</v>
      </c>
      <c r="B12" s="82">
        <v>0</v>
      </c>
      <c r="C12" s="82">
        <v>0</v>
      </c>
      <c r="D12" s="82">
        <v>0</v>
      </c>
      <c r="E12" s="82">
        <v>0</v>
      </c>
      <c r="F12" s="83">
        <f>SUM(B12:E12)</f>
        <v>0</v>
      </c>
    </row>
    <row r="13" spans="1:7" x14ac:dyDescent="0.25">
      <c r="A13" s="43" t="s">
        <v>191</v>
      </c>
      <c r="B13" s="82">
        <f>'1. BilansNaSostojba'!C25+'1. BilansNaSostojba'!C26</f>
        <v>162977979</v>
      </c>
      <c r="C13" s="82">
        <f>'1. BilansNaSostojba'!D25+'1. BilansNaSostojba'!D26</f>
        <v>162977979</v>
      </c>
      <c r="D13" s="82">
        <f>'1. BilansNaSostojba'!E25+'1. BilansNaSostojba'!E26</f>
        <v>162977979</v>
      </c>
      <c r="E13" s="82">
        <f>'1. BilansNaSostojba'!F25+'1. BilansNaSostojba'!F26</f>
        <v>162977979</v>
      </c>
      <c r="F13" s="83">
        <f t="shared" ref="F13:F18" si="0">E13</f>
        <v>162977979</v>
      </c>
    </row>
    <row r="14" spans="1:7" x14ac:dyDescent="0.25">
      <c r="A14" s="43" t="s">
        <v>224</v>
      </c>
      <c r="B14" s="82">
        <f>'1. BilansNaSostojba'!C23</f>
        <v>126859046</v>
      </c>
      <c r="C14" s="82">
        <f>'1. BilansNaSostojba'!D23</f>
        <v>126859046</v>
      </c>
      <c r="D14" s="82">
        <f>'1. BilansNaSostojba'!E23</f>
        <v>126859046</v>
      </c>
      <c r="E14" s="82">
        <f>'1. BilansNaSostojba'!F23</f>
        <v>126859046</v>
      </c>
      <c r="F14" s="83">
        <f t="shared" si="0"/>
        <v>126859046</v>
      </c>
    </row>
    <row r="15" spans="1:7" x14ac:dyDescent="0.25">
      <c r="A15" s="43" t="s">
        <v>225</v>
      </c>
      <c r="B15" s="82">
        <f>'1. BilansNaSostojba'!C24+'1. BilansNaSostojba'!C27</f>
        <v>467918357</v>
      </c>
      <c r="C15" s="82">
        <f>'1. BilansNaSostojba'!D24+'1. BilansNaSostojba'!D27</f>
        <v>433963814</v>
      </c>
      <c r="D15" s="82">
        <f>'1. BilansNaSostojba'!E24+'1. BilansNaSostojba'!E27</f>
        <v>382399019</v>
      </c>
      <c r="E15" s="82">
        <f>'1. BilansNaSostojba'!F24+'1. BilansNaSostojba'!F27</f>
        <v>347829098</v>
      </c>
      <c r="F15" s="83">
        <f t="shared" si="0"/>
        <v>347829098</v>
      </c>
    </row>
    <row r="16" spans="1:7" x14ac:dyDescent="0.25">
      <c r="A16" s="43" t="s">
        <v>226</v>
      </c>
      <c r="B16" s="82">
        <f>'1. BilansNaSostojba'!C9</f>
        <v>577942859</v>
      </c>
      <c r="C16" s="82">
        <f>'1. BilansNaSostojba'!D9</f>
        <v>568915774</v>
      </c>
      <c r="D16" s="82">
        <f>'1. BilansNaSostojba'!E9</f>
        <v>570163773</v>
      </c>
      <c r="E16" s="82">
        <f>'1. BilansNaSostojba'!F9</f>
        <v>574772085</v>
      </c>
      <c r="F16" s="83">
        <f t="shared" si="0"/>
        <v>574772085</v>
      </c>
    </row>
    <row r="17" spans="1:6" x14ac:dyDescent="0.25">
      <c r="A17" s="43" t="s">
        <v>227</v>
      </c>
      <c r="B17" s="82">
        <f>'1. BilansNaSostojba'!C10</f>
        <v>52035825</v>
      </c>
      <c r="C17" s="82">
        <f>'1. BilansNaSostojba'!D10</f>
        <v>59040561</v>
      </c>
      <c r="D17" s="82">
        <f>'1. BilansNaSostojba'!E10</f>
        <v>70142422</v>
      </c>
      <c r="E17" s="82">
        <f>'1. BilansNaSostojba'!F10</f>
        <v>99694011</v>
      </c>
      <c r="F17" s="83">
        <f t="shared" si="0"/>
        <v>99694011</v>
      </c>
    </row>
    <row r="18" spans="1:6" x14ac:dyDescent="0.25">
      <c r="A18" s="52" t="s">
        <v>228</v>
      </c>
      <c r="B18" s="90">
        <f>'1. BilansNaSostojba'!C11</f>
        <v>936762924</v>
      </c>
      <c r="C18" s="90">
        <f>'1. BilansNaSostojba'!D11</f>
        <v>901629438</v>
      </c>
      <c r="D18" s="90">
        <f>'1. BilansNaSostojba'!E11</f>
        <v>848885700</v>
      </c>
      <c r="E18" s="90">
        <f>'1. BilansNaSostojba'!F11</f>
        <v>831755216</v>
      </c>
      <c r="F18" s="93">
        <f t="shared" si="0"/>
        <v>831755216</v>
      </c>
    </row>
    <row r="19" spans="1:6" x14ac:dyDescent="0.25">
      <c r="A19"/>
    </row>
    <row r="20" spans="1:6" x14ac:dyDescent="0.25">
      <c r="A20"/>
    </row>
    <row r="21" spans="1:6" x14ac:dyDescent="0.25">
      <c r="A21"/>
    </row>
    <row r="22" spans="1:6" x14ac:dyDescent="0.25">
      <c r="A22"/>
    </row>
    <row r="23" spans="1:6" x14ac:dyDescent="0.25">
      <c r="A23"/>
    </row>
    <row r="24" spans="1:6" x14ac:dyDescent="0.25">
      <c r="A24"/>
    </row>
    <row r="25" spans="1:6" x14ac:dyDescent="0.25">
      <c r="A25"/>
    </row>
    <row r="26" spans="1:6" x14ac:dyDescent="0.25">
      <c r="A26"/>
    </row>
    <row r="27" spans="1:6" x14ac:dyDescent="0.25">
      <c r="A27"/>
    </row>
    <row r="28" spans="1:6" x14ac:dyDescent="0.25">
      <c r="A28"/>
    </row>
    <row r="29" spans="1:6" x14ac:dyDescent="0.25">
      <c r="A29"/>
    </row>
    <row r="30" spans="1:6" x14ac:dyDescent="0.25">
      <c r="A30"/>
    </row>
    <row r="31" spans="1:6" x14ac:dyDescent="0.25">
      <c r="A31"/>
    </row>
    <row r="32" spans="1:6" x14ac:dyDescent="0.25">
      <c r="A32"/>
    </row>
    <row r="33" spans="1:1" x14ac:dyDescent="0.25">
      <c r="A33"/>
    </row>
    <row r="34" spans="1:1" x14ac:dyDescent="0.25">
      <c r="A34"/>
    </row>
    <row r="35" spans="1:1" x14ac:dyDescent="0.25">
      <c r="A35"/>
    </row>
    <row r="36" spans="1:1" x14ac:dyDescent="0.25">
      <c r="A36"/>
    </row>
    <row r="37" spans="1:1" x14ac:dyDescent="0.25">
      <c r="A37"/>
    </row>
    <row r="38" spans="1:1" x14ac:dyDescent="0.25">
      <c r="A38"/>
    </row>
    <row r="39" spans="1:1" x14ac:dyDescent="0.25">
      <c r="A39"/>
    </row>
    <row r="40" spans="1:1" x14ac:dyDescent="0.25">
      <c r="A40"/>
    </row>
    <row r="41" spans="1:1" x14ac:dyDescent="0.25">
      <c r="A41"/>
    </row>
    <row r="42" spans="1:1" x14ac:dyDescent="0.25">
      <c r="A42"/>
    </row>
    <row r="43" spans="1:1" x14ac:dyDescent="0.25">
      <c r="A43"/>
    </row>
    <row r="44" spans="1:1" x14ac:dyDescent="0.25">
      <c r="A44"/>
    </row>
    <row r="45" spans="1:1" x14ac:dyDescent="0.25">
      <c r="A45"/>
    </row>
    <row r="46" spans="1:1" x14ac:dyDescent="0.25">
      <c r="A46"/>
    </row>
    <row r="47" spans="1:1" x14ac:dyDescent="0.25">
      <c r="A47"/>
    </row>
    <row r="48" spans="1:1" x14ac:dyDescent="0.25">
      <c r="A48"/>
    </row>
    <row r="49" spans="1:1" x14ac:dyDescent="0.25">
      <c r="A49"/>
    </row>
    <row r="50" spans="1:1" x14ac:dyDescent="0.25">
      <c r="A50"/>
    </row>
    <row r="51" spans="1:1" x14ac:dyDescent="0.25">
      <c r="A51"/>
    </row>
    <row r="52" spans="1:1" x14ac:dyDescent="0.25">
      <c r="A52"/>
    </row>
    <row r="53" spans="1:1" x14ac:dyDescent="0.25">
      <c r="A53"/>
    </row>
    <row r="54" spans="1:1" x14ac:dyDescent="0.25">
      <c r="A54"/>
    </row>
    <row r="55" spans="1:1" x14ac:dyDescent="0.25">
      <c r="A55"/>
    </row>
    <row r="56" spans="1:1" x14ac:dyDescent="0.25">
      <c r="A56"/>
    </row>
    <row r="57" spans="1:1" x14ac:dyDescent="0.25">
      <c r="A57"/>
    </row>
    <row r="58" spans="1:1" x14ac:dyDescent="0.25">
      <c r="A58"/>
    </row>
    <row r="59" spans="1:1" x14ac:dyDescent="0.25">
      <c r="A59"/>
    </row>
    <row r="60" spans="1:1" x14ac:dyDescent="0.25">
      <c r="A60"/>
    </row>
    <row r="61" spans="1:1" x14ac:dyDescent="0.25">
      <c r="A61"/>
    </row>
    <row r="62" spans="1:1" x14ac:dyDescent="0.25">
      <c r="A62"/>
    </row>
    <row r="63" spans="1:1" x14ac:dyDescent="0.25">
      <c r="A63"/>
    </row>
    <row r="64" spans="1:1" x14ac:dyDescent="0.25">
      <c r="A64"/>
    </row>
    <row r="65" spans="1:1" x14ac:dyDescent="0.25">
      <c r="A65"/>
    </row>
    <row r="66" spans="1:1" x14ac:dyDescent="0.25">
      <c r="A66"/>
    </row>
    <row r="67" spans="1:1" x14ac:dyDescent="0.25">
      <c r="A67"/>
    </row>
    <row r="68" spans="1:1" x14ac:dyDescent="0.25">
      <c r="A68"/>
    </row>
    <row r="69" spans="1:1" x14ac:dyDescent="0.25">
      <c r="A69"/>
    </row>
    <row r="70" spans="1:1" x14ac:dyDescent="0.25">
      <c r="A70"/>
    </row>
    <row r="71" spans="1:1" x14ac:dyDescent="0.25">
      <c r="A71"/>
    </row>
    <row r="72" spans="1:1" x14ac:dyDescent="0.25">
      <c r="A72"/>
    </row>
    <row r="73" spans="1:1" x14ac:dyDescent="0.25">
      <c r="A73"/>
    </row>
    <row r="74" spans="1:1" x14ac:dyDescent="0.25">
      <c r="A74"/>
    </row>
    <row r="75" spans="1:1" x14ac:dyDescent="0.25">
      <c r="A75"/>
    </row>
    <row r="76" spans="1:1" x14ac:dyDescent="0.25">
      <c r="A76"/>
    </row>
    <row r="77" spans="1:1" x14ac:dyDescent="0.25">
      <c r="A77"/>
    </row>
    <row r="78" spans="1:1" x14ac:dyDescent="0.25">
      <c r="A78"/>
    </row>
    <row r="79" spans="1:1" x14ac:dyDescent="0.25">
      <c r="A79"/>
    </row>
    <row r="80" spans="1:1" x14ac:dyDescent="0.25">
      <c r="A80"/>
    </row>
    <row r="81" spans="1:1" x14ac:dyDescent="0.25">
      <c r="A81"/>
    </row>
    <row r="82" spans="1:1" x14ac:dyDescent="0.25">
      <c r="A82"/>
    </row>
    <row r="83" spans="1:1" x14ac:dyDescent="0.25">
      <c r="A83"/>
    </row>
    <row r="84" spans="1:1" x14ac:dyDescent="0.25">
      <c r="A84"/>
    </row>
    <row r="85" spans="1:1" x14ac:dyDescent="0.25">
      <c r="A85"/>
    </row>
    <row r="86" spans="1:1" x14ac:dyDescent="0.25">
      <c r="A86"/>
    </row>
    <row r="87" spans="1:1" x14ac:dyDescent="0.25">
      <c r="A87"/>
    </row>
    <row r="88" spans="1:1" x14ac:dyDescent="0.25">
      <c r="A88"/>
    </row>
    <row r="89" spans="1:1" x14ac:dyDescent="0.25">
      <c r="A89"/>
    </row>
    <row r="90" spans="1:1" x14ac:dyDescent="0.25">
      <c r="A90"/>
    </row>
    <row r="91" spans="1:1" x14ac:dyDescent="0.25">
      <c r="A91"/>
    </row>
    <row r="92" spans="1:1" x14ac:dyDescent="0.25">
      <c r="A92"/>
    </row>
    <row r="93" spans="1:1" x14ac:dyDescent="0.25">
      <c r="A93"/>
    </row>
    <row r="94" spans="1:1" x14ac:dyDescent="0.25">
      <c r="A94"/>
    </row>
    <row r="95" spans="1:1" x14ac:dyDescent="0.25">
      <c r="A95"/>
    </row>
    <row r="96" spans="1:1" x14ac:dyDescent="0.25">
      <c r="A96"/>
    </row>
    <row r="97" spans="1:1" x14ac:dyDescent="0.25">
      <c r="A97"/>
    </row>
    <row r="98" spans="1:1" x14ac:dyDescent="0.25">
      <c r="A98"/>
    </row>
    <row r="99" spans="1:1" x14ac:dyDescent="0.25">
      <c r="A99"/>
    </row>
    <row r="100" spans="1:1" x14ac:dyDescent="0.25">
      <c r="A100"/>
    </row>
    <row r="101" spans="1:1" x14ac:dyDescent="0.25">
      <c r="A101"/>
    </row>
    <row r="102" spans="1:1" x14ac:dyDescent="0.25">
      <c r="A102"/>
    </row>
    <row r="103" spans="1:1" x14ac:dyDescent="0.25">
      <c r="A103"/>
    </row>
    <row r="104" spans="1:1" x14ac:dyDescent="0.25">
      <c r="A104"/>
    </row>
    <row r="105" spans="1:1" x14ac:dyDescent="0.25">
      <c r="A105"/>
    </row>
    <row r="106" spans="1:1" x14ac:dyDescent="0.25">
      <c r="A106"/>
    </row>
    <row r="107" spans="1:1" x14ac:dyDescent="0.25">
      <c r="A107"/>
    </row>
    <row r="108" spans="1:1" x14ac:dyDescent="0.25">
      <c r="A108"/>
    </row>
    <row r="109" spans="1:1" x14ac:dyDescent="0.25">
      <c r="A109"/>
    </row>
    <row r="110" spans="1:1" x14ac:dyDescent="0.25">
      <c r="A110"/>
    </row>
    <row r="111" spans="1:1" x14ac:dyDescent="0.25">
      <c r="A111"/>
    </row>
    <row r="112" spans="1:1" x14ac:dyDescent="0.25">
      <c r="A112"/>
    </row>
    <row r="113" spans="1:1" x14ac:dyDescent="0.25">
      <c r="A113"/>
    </row>
    <row r="114" spans="1:1" x14ac:dyDescent="0.25">
      <c r="A114"/>
    </row>
    <row r="115" spans="1:1" x14ac:dyDescent="0.25">
      <c r="A115"/>
    </row>
    <row r="116" spans="1:1" x14ac:dyDescent="0.25">
      <c r="A116"/>
    </row>
    <row r="117" spans="1:1" x14ac:dyDescent="0.25">
      <c r="A117"/>
    </row>
    <row r="118" spans="1:1" x14ac:dyDescent="0.25">
      <c r="A118"/>
    </row>
    <row r="119" spans="1:1" x14ac:dyDescent="0.25">
      <c r="A119"/>
    </row>
    <row r="120" spans="1:1" x14ac:dyDescent="0.25">
      <c r="A120"/>
    </row>
    <row r="121" spans="1:1" x14ac:dyDescent="0.25">
      <c r="A121"/>
    </row>
    <row r="122" spans="1:1" x14ac:dyDescent="0.25">
      <c r="A122"/>
    </row>
    <row r="123" spans="1:1" x14ac:dyDescent="0.25">
      <c r="A123"/>
    </row>
    <row r="124" spans="1:1" x14ac:dyDescent="0.25">
      <c r="A124"/>
    </row>
    <row r="125" spans="1:1" x14ac:dyDescent="0.25">
      <c r="A125"/>
    </row>
    <row r="126" spans="1:1" x14ac:dyDescent="0.25">
      <c r="A126"/>
    </row>
    <row r="127" spans="1:1" x14ac:dyDescent="0.25">
      <c r="A127"/>
    </row>
    <row r="128" spans="1:1" x14ac:dyDescent="0.25">
      <c r="A128"/>
    </row>
    <row r="129" spans="1:1" x14ac:dyDescent="0.25">
      <c r="A129"/>
    </row>
    <row r="130" spans="1:1" x14ac:dyDescent="0.25">
      <c r="A130"/>
    </row>
    <row r="131" spans="1:1" x14ac:dyDescent="0.25">
      <c r="A131"/>
    </row>
    <row r="132" spans="1:1" x14ac:dyDescent="0.25">
      <c r="A132"/>
    </row>
    <row r="133" spans="1:1" x14ac:dyDescent="0.25">
      <c r="A133"/>
    </row>
    <row r="134" spans="1:1" x14ac:dyDescent="0.25">
      <c r="A134"/>
    </row>
    <row r="135" spans="1:1" x14ac:dyDescent="0.25">
      <c r="A135"/>
    </row>
    <row r="136" spans="1:1" x14ac:dyDescent="0.25">
      <c r="A136"/>
    </row>
    <row r="137" spans="1:1" x14ac:dyDescent="0.25">
      <c r="A137"/>
    </row>
    <row r="138" spans="1:1" x14ac:dyDescent="0.25">
      <c r="A138"/>
    </row>
    <row r="139" spans="1:1" x14ac:dyDescent="0.25">
      <c r="A139"/>
    </row>
    <row r="140" spans="1:1" x14ac:dyDescent="0.25">
      <c r="A140"/>
    </row>
    <row r="141" spans="1:1" x14ac:dyDescent="0.25">
      <c r="A141"/>
    </row>
    <row r="142" spans="1:1" x14ac:dyDescent="0.25">
      <c r="A142"/>
    </row>
    <row r="143" spans="1:1" x14ac:dyDescent="0.25">
      <c r="A143"/>
    </row>
    <row r="144" spans="1:1" x14ac:dyDescent="0.25">
      <c r="A144"/>
    </row>
    <row r="145" spans="1:1" x14ac:dyDescent="0.25">
      <c r="A145"/>
    </row>
    <row r="146" spans="1:1" x14ac:dyDescent="0.25">
      <c r="A146"/>
    </row>
    <row r="147" spans="1:1" x14ac:dyDescent="0.25">
      <c r="A147"/>
    </row>
    <row r="148" spans="1:1" x14ac:dyDescent="0.25">
      <c r="A148"/>
    </row>
    <row r="149" spans="1:1" x14ac:dyDescent="0.25">
      <c r="A149"/>
    </row>
    <row r="150" spans="1:1" x14ac:dyDescent="0.25">
      <c r="A150"/>
    </row>
    <row r="151" spans="1:1" x14ac:dyDescent="0.25">
      <c r="A151"/>
    </row>
    <row r="152" spans="1:1" x14ac:dyDescent="0.25">
      <c r="A152"/>
    </row>
    <row r="153" spans="1:1" x14ac:dyDescent="0.25">
      <c r="A153"/>
    </row>
    <row r="154" spans="1:1" x14ac:dyDescent="0.25">
      <c r="A154"/>
    </row>
    <row r="155" spans="1:1" x14ac:dyDescent="0.25">
      <c r="A155"/>
    </row>
    <row r="156" spans="1:1" x14ac:dyDescent="0.25">
      <c r="A156"/>
    </row>
    <row r="157" spans="1:1" x14ac:dyDescent="0.25">
      <c r="A157"/>
    </row>
    <row r="158" spans="1:1" x14ac:dyDescent="0.25">
      <c r="A158"/>
    </row>
    <row r="159" spans="1:1" x14ac:dyDescent="0.25">
      <c r="A159"/>
    </row>
    <row r="160" spans="1:1" x14ac:dyDescent="0.25">
      <c r="A160"/>
    </row>
    <row r="161" spans="1:1" x14ac:dyDescent="0.25">
      <c r="A161"/>
    </row>
    <row r="162" spans="1:1" x14ac:dyDescent="0.25">
      <c r="A162"/>
    </row>
    <row r="163" spans="1:1" x14ac:dyDescent="0.25">
      <c r="A163"/>
    </row>
    <row r="164" spans="1:1" x14ac:dyDescent="0.25">
      <c r="A164"/>
    </row>
    <row r="165" spans="1:1" x14ac:dyDescent="0.25">
      <c r="A165"/>
    </row>
    <row r="166" spans="1:1" x14ac:dyDescent="0.25">
      <c r="A166"/>
    </row>
    <row r="167" spans="1:1" x14ac:dyDescent="0.25">
      <c r="A167"/>
    </row>
    <row r="168" spans="1:1" x14ac:dyDescent="0.25">
      <c r="A168"/>
    </row>
    <row r="169" spans="1:1" x14ac:dyDescent="0.25">
      <c r="A169"/>
    </row>
    <row r="170" spans="1:1" x14ac:dyDescent="0.25">
      <c r="A170"/>
    </row>
    <row r="171" spans="1:1" x14ac:dyDescent="0.25">
      <c r="A171"/>
    </row>
    <row r="172" spans="1:1" x14ac:dyDescent="0.25">
      <c r="A172"/>
    </row>
    <row r="173" spans="1:1" x14ac:dyDescent="0.25">
      <c r="A173"/>
    </row>
    <row r="174" spans="1:1" x14ac:dyDescent="0.25">
      <c r="A174"/>
    </row>
    <row r="175" spans="1:1" x14ac:dyDescent="0.25">
      <c r="A175"/>
    </row>
    <row r="176" spans="1:1" x14ac:dyDescent="0.25">
      <c r="A176"/>
    </row>
    <row r="177" spans="1:1" x14ac:dyDescent="0.25">
      <c r="A177"/>
    </row>
    <row r="178" spans="1:1" x14ac:dyDescent="0.25">
      <c r="A178"/>
    </row>
    <row r="179" spans="1:1" x14ac:dyDescent="0.25">
      <c r="A179"/>
    </row>
    <row r="180" spans="1:1" x14ac:dyDescent="0.25">
      <c r="A180"/>
    </row>
    <row r="181" spans="1:1" x14ac:dyDescent="0.25">
      <c r="A181"/>
    </row>
    <row r="182" spans="1:1" x14ac:dyDescent="0.25">
      <c r="A182"/>
    </row>
    <row r="183" spans="1:1" x14ac:dyDescent="0.25">
      <c r="A183"/>
    </row>
    <row r="184" spans="1:1" x14ac:dyDescent="0.25">
      <c r="A184"/>
    </row>
    <row r="185" spans="1:1" x14ac:dyDescent="0.25">
      <c r="A185"/>
    </row>
    <row r="186" spans="1:1" x14ac:dyDescent="0.25">
      <c r="A186"/>
    </row>
    <row r="187" spans="1:1" x14ac:dyDescent="0.25">
      <c r="A187"/>
    </row>
    <row r="188" spans="1:1" x14ac:dyDescent="0.25">
      <c r="A188"/>
    </row>
    <row r="189" spans="1:1" x14ac:dyDescent="0.25">
      <c r="A189"/>
    </row>
    <row r="190" spans="1:1" x14ac:dyDescent="0.25">
      <c r="A190"/>
    </row>
    <row r="191" spans="1:1" x14ac:dyDescent="0.25">
      <c r="A191"/>
    </row>
    <row r="192" spans="1:1" x14ac:dyDescent="0.25">
      <c r="A192"/>
    </row>
    <row r="193" spans="1:1" x14ac:dyDescent="0.25">
      <c r="A193"/>
    </row>
    <row r="194" spans="1:1" x14ac:dyDescent="0.25">
      <c r="A194"/>
    </row>
    <row r="195" spans="1:1" x14ac:dyDescent="0.25">
      <c r="A195"/>
    </row>
    <row r="196" spans="1:1" x14ac:dyDescent="0.25">
      <c r="A196"/>
    </row>
    <row r="197" spans="1:1" x14ac:dyDescent="0.25">
      <c r="A197"/>
    </row>
    <row r="198" spans="1:1" x14ac:dyDescent="0.25">
      <c r="A198"/>
    </row>
    <row r="199" spans="1:1" x14ac:dyDescent="0.25">
      <c r="A199"/>
    </row>
    <row r="200" spans="1:1" x14ac:dyDescent="0.25">
      <c r="A200"/>
    </row>
    <row r="201" spans="1:1" x14ac:dyDescent="0.25">
      <c r="A201"/>
    </row>
    <row r="202" spans="1:1" x14ac:dyDescent="0.25">
      <c r="A202"/>
    </row>
    <row r="203" spans="1:1" x14ac:dyDescent="0.25">
      <c r="A203"/>
    </row>
    <row r="204" spans="1:1" x14ac:dyDescent="0.25">
      <c r="A204"/>
    </row>
    <row r="205" spans="1:1" x14ac:dyDescent="0.25">
      <c r="A205"/>
    </row>
    <row r="206" spans="1:1" x14ac:dyDescent="0.25">
      <c r="A206"/>
    </row>
    <row r="207" spans="1:1" x14ac:dyDescent="0.25">
      <c r="A207"/>
    </row>
    <row r="208" spans="1:1" x14ac:dyDescent="0.25">
      <c r="A208"/>
    </row>
    <row r="209" spans="1:1" x14ac:dyDescent="0.25">
      <c r="A209"/>
    </row>
    <row r="210" spans="1:1" x14ac:dyDescent="0.25">
      <c r="A210"/>
    </row>
    <row r="211" spans="1:1" x14ac:dyDescent="0.25">
      <c r="A211"/>
    </row>
    <row r="212" spans="1:1" x14ac:dyDescent="0.25">
      <c r="A212"/>
    </row>
    <row r="213" spans="1:1" x14ac:dyDescent="0.25">
      <c r="A213"/>
    </row>
    <row r="214" spans="1:1" x14ac:dyDescent="0.25">
      <c r="A214"/>
    </row>
    <row r="215" spans="1:1" x14ac:dyDescent="0.25">
      <c r="A215"/>
    </row>
    <row r="216" spans="1:1" x14ac:dyDescent="0.25">
      <c r="A216"/>
    </row>
    <row r="217" spans="1:1" x14ac:dyDescent="0.25">
      <c r="A217"/>
    </row>
    <row r="218" spans="1:1" x14ac:dyDescent="0.25">
      <c r="A218"/>
    </row>
    <row r="219" spans="1:1" x14ac:dyDescent="0.25">
      <c r="A219"/>
    </row>
    <row r="220" spans="1:1" x14ac:dyDescent="0.25">
      <c r="A220"/>
    </row>
    <row r="221" spans="1:1" x14ac:dyDescent="0.25">
      <c r="A221"/>
    </row>
    <row r="222" spans="1:1" x14ac:dyDescent="0.25">
      <c r="A222"/>
    </row>
    <row r="223" spans="1:1" x14ac:dyDescent="0.25">
      <c r="A223"/>
    </row>
    <row r="224" spans="1:1" x14ac:dyDescent="0.25">
      <c r="A224"/>
    </row>
    <row r="225" spans="1:1" x14ac:dyDescent="0.25">
      <c r="A225"/>
    </row>
    <row r="226" spans="1:1" x14ac:dyDescent="0.25">
      <c r="A226"/>
    </row>
    <row r="227" spans="1:1" x14ac:dyDescent="0.25">
      <c r="A227"/>
    </row>
    <row r="228" spans="1:1" x14ac:dyDescent="0.25">
      <c r="A228"/>
    </row>
    <row r="229" spans="1:1" x14ac:dyDescent="0.25">
      <c r="A229"/>
    </row>
    <row r="230" spans="1:1" x14ac:dyDescent="0.25">
      <c r="A230"/>
    </row>
    <row r="231" spans="1:1" x14ac:dyDescent="0.25">
      <c r="A231"/>
    </row>
    <row r="232" spans="1:1" x14ac:dyDescent="0.25">
      <c r="A232"/>
    </row>
    <row r="233" spans="1:1" x14ac:dyDescent="0.25">
      <c r="A233"/>
    </row>
    <row r="234" spans="1:1" x14ac:dyDescent="0.25">
      <c r="A234"/>
    </row>
    <row r="235" spans="1:1" x14ac:dyDescent="0.25">
      <c r="A235"/>
    </row>
    <row r="236" spans="1:1" x14ac:dyDescent="0.25">
      <c r="A236"/>
    </row>
    <row r="237" spans="1:1" x14ac:dyDescent="0.25">
      <c r="A237"/>
    </row>
    <row r="238" spans="1:1" x14ac:dyDescent="0.25">
      <c r="A238"/>
    </row>
    <row r="239" spans="1:1" x14ac:dyDescent="0.25">
      <c r="A239"/>
    </row>
    <row r="240" spans="1:1" x14ac:dyDescent="0.25">
      <c r="A240"/>
    </row>
    <row r="241" spans="1:1" x14ac:dyDescent="0.25">
      <c r="A241"/>
    </row>
    <row r="242" spans="1:1" x14ac:dyDescent="0.25">
      <c r="A242"/>
    </row>
    <row r="243" spans="1:1" x14ac:dyDescent="0.25">
      <c r="A243"/>
    </row>
    <row r="244" spans="1:1" x14ac:dyDescent="0.25">
      <c r="A244"/>
    </row>
    <row r="245" spans="1:1" x14ac:dyDescent="0.25">
      <c r="A245"/>
    </row>
    <row r="246" spans="1:1" x14ac:dyDescent="0.25">
      <c r="A246"/>
    </row>
    <row r="247" spans="1:1" x14ac:dyDescent="0.25">
      <c r="A247"/>
    </row>
    <row r="248" spans="1:1" x14ac:dyDescent="0.25">
      <c r="A248"/>
    </row>
    <row r="249" spans="1:1" x14ac:dyDescent="0.25">
      <c r="A249"/>
    </row>
    <row r="250" spans="1:1" x14ac:dyDescent="0.25">
      <c r="A250"/>
    </row>
    <row r="251" spans="1:1" x14ac:dyDescent="0.25">
      <c r="A251"/>
    </row>
    <row r="252" spans="1:1" x14ac:dyDescent="0.25">
      <c r="A252"/>
    </row>
    <row r="253" spans="1:1" x14ac:dyDescent="0.25">
      <c r="A253"/>
    </row>
    <row r="254" spans="1:1" x14ac:dyDescent="0.25">
      <c r="A254"/>
    </row>
    <row r="255" spans="1:1" x14ac:dyDescent="0.25">
      <c r="A255"/>
    </row>
    <row r="256" spans="1:1" x14ac:dyDescent="0.25">
      <c r="A256"/>
    </row>
    <row r="257" spans="1:1" x14ac:dyDescent="0.25">
      <c r="A257"/>
    </row>
    <row r="258" spans="1:1" x14ac:dyDescent="0.25">
      <c r="A258"/>
    </row>
    <row r="259" spans="1:1" x14ac:dyDescent="0.25">
      <c r="A259"/>
    </row>
    <row r="260" spans="1:1" x14ac:dyDescent="0.25">
      <c r="A260"/>
    </row>
    <row r="261" spans="1:1" x14ac:dyDescent="0.25">
      <c r="A261"/>
    </row>
    <row r="262" spans="1:1" x14ac:dyDescent="0.25">
      <c r="A262"/>
    </row>
    <row r="263" spans="1:1" x14ac:dyDescent="0.25">
      <c r="A263"/>
    </row>
    <row r="264" spans="1:1" x14ac:dyDescent="0.25">
      <c r="A264"/>
    </row>
    <row r="265" spans="1:1" x14ac:dyDescent="0.25">
      <c r="A265"/>
    </row>
    <row r="266" spans="1:1" x14ac:dyDescent="0.25">
      <c r="A266"/>
    </row>
    <row r="267" spans="1:1" x14ac:dyDescent="0.25">
      <c r="A267"/>
    </row>
    <row r="268" spans="1:1" x14ac:dyDescent="0.25">
      <c r="A268"/>
    </row>
    <row r="269" spans="1:1" x14ac:dyDescent="0.25">
      <c r="A269"/>
    </row>
    <row r="270" spans="1:1" x14ac:dyDescent="0.25">
      <c r="A270"/>
    </row>
    <row r="271" spans="1:1" x14ac:dyDescent="0.25">
      <c r="A271"/>
    </row>
    <row r="272" spans="1:1" x14ac:dyDescent="0.25">
      <c r="A272"/>
    </row>
    <row r="273" spans="1:1" x14ac:dyDescent="0.25">
      <c r="A273"/>
    </row>
    <row r="274" spans="1:1" x14ac:dyDescent="0.25">
      <c r="A274"/>
    </row>
    <row r="275" spans="1:1" x14ac:dyDescent="0.25">
      <c r="A275"/>
    </row>
    <row r="276" spans="1:1" x14ac:dyDescent="0.25">
      <c r="A276"/>
    </row>
    <row r="277" spans="1:1" x14ac:dyDescent="0.25">
      <c r="A277"/>
    </row>
    <row r="278" spans="1:1" x14ac:dyDescent="0.25">
      <c r="A278"/>
    </row>
    <row r="279" spans="1:1" x14ac:dyDescent="0.25">
      <c r="A279"/>
    </row>
    <row r="280" spans="1:1" x14ac:dyDescent="0.25">
      <c r="A280"/>
    </row>
    <row r="281" spans="1:1" x14ac:dyDescent="0.25">
      <c r="A281"/>
    </row>
    <row r="282" spans="1:1" x14ac:dyDescent="0.25">
      <c r="A282"/>
    </row>
    <row r="283" spans="1:1" x14ac:dyDescent="0.25">
      <c r="A283"/>
    </row>
    <row r="284" spans="1:1" x14ac:dyDescent="0.25">
      <c r="A284"/>
    </row>
    <row r="285" spans="1:1" x14ac:dyDescent="0.25">
      <c r="A285"/>
    </row>
    <row r="286" spans="1:1" x14ac:dyDescent="0.25">
      <c r="A286"/>
    </row>
    <row r="287" spans="1:1" x14ac:dyDescent="0.25">
      <c r="A287"/>
    </row>
    <row r="288" spans="1:1" x14ac:dyDescent="0.25">
      <c r="A288"/>
    </row>
    <row r="289" spans="1:1" x14ac:dyDescent="0.25">
      <c r="A289"/>
    </row>
    <row r="290" spans="1:1" x14ac:dyDescent="0.25">
      <c r="A290"/>
    </row>
    <row r="291" spans="1:1" x14ac:dyDescent="0.25">
      <c r="A291"/>
    </row>
    <row r="292" spans="1:1" x14ac:dyDescent="0.25">
      <c r="A292"/>
    </row>
    <row r="293" spans="1:1" x14ac:dyDescent="0.25">
      <c r="A293"/>
    </row>
    <row r="294" spans="1:1" x14ac:dyDescent="0.25">
      <c r="A294"/>
    </row>
    <row r="295" spans="1:1" x14ac:dyDescent="0.25">
      <c r="A295"/>
    </row>
    <row r="296" spans="1:1" x14ac:dyDescent="0.25">
      <c r="A296"/>
    </row>
    <row r="297" spans="1:1" x14ac:dyDescent="0.25">
      <c r="A297"/>
    </row>
    <row r="298" spans="1:1" x14ac:dyDescent="0.25">
      <c r="A298"/>
    </row>
    <row r="299" spans="1:1" x14ac:dyDescent="0.25">
      <c r="A299"/>
    </row>
    <row r="300" spans="1:1" x14ac:dyDescent="0.25">
      <c r="A300"/>
    </row>
    <row r="301" spans="1:1" x14ac:dyDescent="0.25">
      <c r="A301"/>
    </row>
    <row r="302" spans="1:1" x14ac:dyDescent="0.25">
      <c r="A302"/>
    </row>
    <row r="303" spans="1:1" x14ac:dyDescent="0.25">
      <c r="A303"/>
    </row>
    <row r="304" spans="1:1" x14ac:dyDescent="0.25">
      <c r="A304"/>
    </row>
    <row r="305" spans="1:1" x14ac:dyDescent="0.25">
      <c r="A305"/>
    </row>
    <row r="306" spans="1:1" x14ac:dyDescent="0.25">
      <c r="A306"/>
    </row>
    <row r="307" spans="1:1" x14ac:dyDescent="0.25">
      <c r="A307"/>
    </row>
    <row r="308" spans="1:1" x14ac:dyDescent="0.25">
      <c r="A308"/>
    </row>
    <row r="309" spans="1:1" x14ac:dyDescent="0.25">
      <c r="A309"/>
    </row>
    <row r="310" spans="1:1" x14ac:dyDescent="0.25">
      <c r="A310"/>
    </row>
    <row r="311" spans="1:1" x14ac:dyDescent="0.25">
      <c r="A311"/>
    </row>
    <row r="312" spans="1:1" x14ac:dyDescent="0.25">
      <c r="A312"/>
    </row>
    <row r="313" spans="1:1" x14ac:dyDescent="0.25">
      <c r="A313"/>
    </row>
    <row r="314" spans="1:1" x14ac:dyDescent="0.25">
      <c r="A314"/>
    </row>
    <row r="315" spans="1:1" x14ac:dyDescent="0.25">
      <c r="A315"/>
    </row>
    <row r="316" spans="1:1" x14ac:dyDescent="0.25">
      <c r="A316"/>
    </row>
    <row r="317" spans="1:1" x14ac:dyDescent="0.25">
      <c r="A317"/>
    </row>
    <row r="318" spans="1:1" x14ac:dyDescent="0.25">
      <c r="A318"/>
    </row>
    <row r="319" spans="1:1" x14ac:dyDescent="0.25">
      <c r="A319"/>
    </row>
    <row r="320" spans="1:1" x14ac:dyDescent="0.25">
      <c r="A320"/>
    </row>
    <row r="321" spans="1:1" x14ac:dyDescent="0.25">
      <c r="A321"/>
    </row>
    <row r="322" spans="1:1" x14ac:dyDescent="0.25">
      <c r="A322"/>
    </row>
    <row r="323" spans="1:1" x14ac:dyDescent="0.25">
      <c r="A323"/>
    </row>
    <row r="324" spans="1:1" x14ac:dyDescent="0.25">
      <c r="A324"/>
    </row>
    <row r="325" spans="1:1" x14ac:dyDescent="0.25">
      <c r="A325"/>
    </row>
    <row r="326" spans="1:1" x14ac:dyDescent="0.25">
      <c r="A326"/>
    </row>
    <row r="327" spans="1:1" x14ac:dyDescent="0.25">
      <c r="A327"/>
    </row>
    <row r="328" spans="1:1" x14ac:dyDescent="0.25">
      <c r="A328"/>
    </row>
    <row r="329" spans="1:1" x14ac:dyDescent="0.25">
      <c r="A329"/>
    </row>
    <row r="330" spans="1:1" x14ac:dyDescent="0.25">
      <c r="A330"/>
    </row>
    <row r="331" spans="1:1" x14ac:dyDescent="0.25">
      <c r="A331"/>
    </row>
    <row r="332" spans="1:1" x14ac:dyDescent="0.25">
      <c r="A332"/>
    </row>
    <row r="333" spans="1:1" x14ac:dyDescent="0.25">
      <c r="A333"/>
    </row>
    <row r="334" spans="1:1" x14ac:dyDescent="0.25">
      <c r="A334"/>
    </row>
    <row r="335" spans="1:1" x14ac:dyDescent="0.25">
      <c r="A335"/>
    </row>
    <row r="336" spans="1:1" x14ac:dyDescent="0.25">
      <c r="A336"/>
    </row>
    <row r="337" spans="1:1" x14ac:dyDescent="0.25">
      <c r="A337"/>
    </row>
    <row r="338" spans="1:1" x14ac:dyDescent="0.25">
      <c r="A338"/>
    </row>
    <row r="339" spans="1:1" x14ac:dyDescent="0.25">
      <c r="A339"/>
    </row>
    <row r="340" spans="1:1" x14ac:dyDescent="0.25">
      <c r="A340"/>
    </row>
    <row r="341" spans="1:1" x14ac:dyDescent="0.25">
      <c r="A341"/>
    </row>
    <row r="342" spans="1:1" x14ac:dyDescent="0.25">
      <c r="A342"/>
    </row>
    <row r="343" spans="1:1" x14ac:dyDescent="0.25">
      <c r="A343"/>
    </row>
    <row r="344" spans="1:1" x14ac:dyDescent="0.25">
      <c r="A344"/>
    </row>
    <row r="345" spans="1:1" x14ac:dyDescent="0.25">
      <c r="A345"/>
    </row>
    <row r="346" spans="1:1" x14ac:dyDescent="0.25">
      <c r="A346"/>
    </row>
    <row r="347" spans="1:1" x14ac:dyDescent="0.25">
      <c r="A347"/>
    </row>
    <row r="348" spans="1:1" x14ac:dyDescent="0.25">
      <c r="A348"/>
    </row>
    <row r="349" spans="1:1" x14ac:dyDescent="0.25">
      <c r="A349"/>
    </row>
    <row r="350" spans="1:1" x14ac:dyDescent="0.25">
      <c r="A350"/>
    </row>
    <row r="351" spans="1:1" x14ac:dyDescent="0.25">
      <c r="A351"/>
    </row>
    <row r="352" spans="1:1" x14ac:dyDescent="0.25">
      <c r="A352"/>
    </row>
    <row r="353" spans="1:1" x14ac:dyDescent="0.25">
      <c r="A353"/>
    </row>
    <row r="354" spans="1:1" x14ac:dyDescent="0.25">
      <c r="A354"/>
    </row>
    <row r="355" spans="1:1" x14ac:dyDescent="0.25">
      <c r="A355"/>
    </row>
    <row r="356" spans="1:1" x14ac:dyDescent="0.25">
      <c r="A356"/>
    </row>
    <row r="357" spans="1:1" x14ac:dyDescent="0.25">
      <c r="A357"/>
    </row>
    <row r="358" spans="1:1" x14ac:dyDescent="0.25">
      <c r="A358"/>
    </row>
    <row r="359" spans="1:1" x14ac:dyDescent="0.25">
      <c r="A359"/>
    </row>
    <row r="360" spans="1:1" x14ac:dyDescent="0.25">
      <c r="A360"/>
    </row>
    <row r="361" spans="1:1" x14ac:dyDescent="0.25">
      <c r="A361"/>
    </row>
    <row r="362" spans="1:1" x14ac:dyDescent="0.25">
      <c r="A362"/>
    </row>
    <row r="363" spans="1:1" x14ac:dyDescent="0.25">
      <c r="A363"/>
    </row>
    <row r="364" spans="1:1" x14ac:dyDescent="0.25">
      <c r="A364"/>
    </row>
    <row r="365" spans="1:1" x14ac:dyDescent="0.25">
      <c r="A365"/>
    </row>
    <row r="366" spans="1:1" x14ac:dyDescent="0.25">
      <c r="A366"/>
    </row>
    <row r="367" spans="1:1" x14ac:dyDescent="0.25">
      <c r="A367"/>
    </row>
    <row r="368" spans="1:1" x14ac:dyDescent="0.25">
      <c r="A368"/>
    </row>
    <row r="369" spans="1:1" x14ac:dyDescent="0.25">
      <c r="A369"/>
    </row>
    <row r="370" spans="1:1" x14ac:dyDescent="0.25">
      <c r="A370"/>
    </row>
    <row r="371" spans="1:1" x14ac:dyDescent="0.25">
      <c r="A371"/>
    </row>
    <row r="372" spans="1:1" x14ac:dyDescent="0.25">
      <c r="A372"/>
    </row>
    <row r="373" spans="1:1" x14ac:dyDescent="0.25">
      <c r="A373"/>
    </row>
    <row r="374" spans="1:1" x14ac:dyDescent="0.25">
      <c r="A374"/>
    </row>
    <row r="375" spans="1:1" x14ac:dyDescent="0.25">
      <c r="A375"/>
    </row>
    <row r="376" spans="1:1" x14ac:dyDescent="0.25">
      <c r="A376"/>
    </row>
    <row r="377" spans="1:1" x14ac:dyDescent="0.25">
      <c r="A377"/>
    </row>
    <row r="378" spans="1:1" x14ac:dyDescent="0.25">
      <c r="A378"/>
    </row>
    <row r="379" spans="1:1" x14ac:dyDescent="0.25">
      <c r="A379"/>
    </row>
    <row r="380" spans="1:1" x14ac:dyDescent="0.25">
      <c r="A380"/>
    </row>
    <row r="381" spans="1:1" x14ac:dyDescent="0.25">
      <c r="A381"/>
    </row>
    <row r="382" spans="1:1" x14ac:dyDescent="0.25">
      <c r="A382"/>
    </row>
    <row r="383" spans="1:1" x14ac:dyDescent="0.25">
      <c r="A383"/>
    </row>
    <row r="384" spans="1:1" x14ac:dyDescent="0.25">
      <c r="A384"/>
    </row>
    <row r="385" spans="1:1" x14ac:dyDescent="0.25">
      <c r="A385"/>
    </row>
    <row r="386" spans="1:1" x14ac:dyDescent="0.25">
      <c r="A386"/>
    </row>
    <row r="387" spans="1:1" x14ac:dyDescent="0.25">
      <c r="A387"/>
    </row>
    <row r="388" spans="1:1" x14ac:dyDescent="0.25">
      <c r="A388"/>
    </row>
    <row r="389" spans="1:1" x14ac:dyDescent="0.25">
      <c r="A389"/>
    </row>
    <row r="390" spans="1:1" x14ac:dyDescent="0.25">
      <c r="A390"/>
    </row>
    <row r="391" spans="1:1" x14ac:dyDescent="0.25">
      <c r="A391"/>
    </row>
    <row r="392" spans="1:1" x14ac:dyDescent="0.25">
      <c r="A392"/>
    </row>
    <row r="393" spans="1:1" x14ac:dyDescent="0.25">
      <c r="A393"/>
    </row>
    <row r="394" spans="1:1" x14ac:dyDescent="0.25">
      <c r="A394"/>
    </row>
    <row r="395" spans="1:1" x14ac:dyDescent="0.25">
      <c r="A395"/>
    </row>
    <row r="396" spans="1:1" x14ac:dyDescent="0.25">
      <c r="A396"/>
    </row>
    <row r="397" spans="1:1" x14ac:dyDescent="0.25">
      <c r="A397"/>
    </row>
    <row r="398" spans="1:1" x14ac:dyDescent="0.25">
      <c r="A398"/>
    </row>
    <row r="399" spans="1:1" x14ac:dyDescent="0.25">
      <c r="A399"/>
    </row>
    <row r="400" spans="1:1" x14ac:dyDescent="0.25">
      <c r="A400"/>
    </row>
    <row r="401" spans="1:1" x14ac:dyDescent="0.25">
      <c r="A401"/>
    </row>
    <row r="402" spans="1:1" x14ac:dyDescent="0.25">
      <c r="A402"/>
    </row>
    <row r="403" spans="1:1" x14ac:dyDescent="0.25">
      <c r="A403"/>
    </row>
    <row r="404" spans="1:1" x14ac:dyDescent="0.25">
      <c r="A404"/>
    </row>
    <row r="405" spans="1:1" x14ac:dyDescent="0.25">
      <c r="A405"/>
    </row>
    <row r="406" spans="1:1" x14ac:dyDescent="0.25">
      <c r="A406"/>
    </row>
    <row r="407" spans="1:1" x14ac:dyDescent="0.25">
      <c r="A407"/>
    </row>
    <row r="408" spans="1:1" x14ac:dyDescent="0.25">
      <c r="A408"/>
    </row>
    <row r="409" spans="1:1" x14ac:dyDescent="0.25">
      <c r="A409"/>
    </row>
    <row r="410" spans="1:1" x14ac:dyDescent="0.25">
      <c r="A410"/>
    </row>
    <row r="411" spans="1:1" x14ac:dyDescent="0.25">
      <c r="A411"/>
    </row>
    <row r="412" spans="1:1" x14ac:dyDescent="0.25">
      <c r="A412"/>
    </row>
    <row r="413" spans="1:1" x14ac:dyDescent="0.25">
      <c r="A413"/>
    </row>
    <row r="414" spans="1:1" x14ac:dyDescent="0.25">
      <c r="A414"/>
    </row>
    <row r="415" spans="1:1" x14ac:dyDescent="0.25">
      <c r="A415"/>
    </row>
    <row r="416" spans="1:1" x14ac:dyDescent="0.25">
      <c r="A416"/>
    </row>
    <row r="417" spans="1:1" x14ac:dyDescent="0.25">
      <c r="A417"/>
    </row>
    <row r="418" spans="1:1" x14ac:dyDescent="0.25">
      <c r="A418"/>
    </row>
    <row r="419" spans="1:1" x14ac:dyDescent="0.25">
      <c r="A419"/>
    </row>
    <row r="420" spans="1:1" x14ac:dyDescent="0.25">
      <c r="A420"/>
    </row>
    <row r="421" spans="1:1" x14ac:dyDescent="0.25">
      <c r="A421"/>
    </row>
    <row r="422" spans="1:1" x14ac:dyDescent="0.25">
      <c r="A422"/>
    </row>
    <row r="423" spans="1:1" x14ac:dyDescent="0.25">
      <c r="A423"/>
    </row>
    <row r="424" spans="1:1" x14ac:dyDescent="0.25">
      <c r="A424"/>
    </row>
    <row r="425" spans="1:1" x14ac:dyDescent="0.25">
      <c r="A425"/>
    </row>
    <row r="426" spans="1:1" x14ac:dyDescent="0.25">
      <c r="A426"/>
    </row>
    <row r="427" spans="1:1" x14ac:dyDescent="0.25">
      <c r="A427"/>
    </row>
    <row r="428" spans="1:1" x14ac:dyDescent="0.25">
      <c r="A428"/>
    </row>
    <row r="429" spans="1:1" x14ac:dyDescent="0.25">
      <c r="A429"/>
    </row>
    <row r="430" spans="1:1" x14ac:dyDescent="0.25">
      <c r="A430"/>
    </row>
    <row r="431" spans="1:1" x14ac:dyDescent="0.25">
      <c r="A431"/>
    </row>
    <row r="432" spans="1:1" x14ac:dyDescent="0.25">
      <c r="A432"/>
    </row>
    <row r="433" spans="1:1" x14ac:dyDescent="0.25">
      <c r="A433"/>
    </row>
    <row r="434" spans="1:1" x14ac:dyDescent="0.25">
      <c r="A434"/>
    </row>
    <row r="435" spans="1:1" x14ac:dyDescent="0.25">
      <c r="A435"/>
    </row>
    <row r="436" spans="1:1" x14ac:dyDescent="0.25">
      <c r="A436"/>
    </row>
    <row r="437" spans="1:1" x14ac:dyDescent="0.25">
      <c r="A437"/>
    </row>
    <row r="438" spans="1:1" x14ac:dyDescent="0.25">
      <c r="A438"/>
    </row>
    <row r="439" spans="1:1" x14ac:dyDescent="0.25">
      <c r="A439"/>
    </row>
    <row r="440" spans="1:1" x14ac:dyDescent="0.25">
      <c r="A440"/>
    </row>
    <row r="441" spans="1:1" x14ac:dyDescent="0.25">
      <c r="A441"/>
    </row>
    <row r="442" spans="1:1" x14ac:dyDescent="0.25">
      <c r="A442"/>
    </row>
    <row r="443" spans="1:1" x14ac:dyDescent="0.25">
      <c r="A443"/>
    </row>
    <row r="444" spans="1:1" x14ac:dyDescent="0.25">
      <c r="A444"/>
    </row>
    <row r="445" spans="1:1" x14ac:dyDescent="0.25">
      <c r="A445"/>
    </row>
    <row r="446" spans="1:1" x14ac:dyDescent="0.25">
      <c r="A446"/>
    </row>
    <row r="447" spans="1:1" x14ac:dyDescent="0.25">
      <c r="A447"/>
    </row>
    <row r="448" spans="1:1" x14ac:dyDescent="0.25">
      <c r="A448"/>
    </row>
    <row r="449" spans="1:1" x14ac:dyDescent="0.25">
      <c r="A449"/>
    </row>
    <row r="450" spans="1:1" x14ac:dyDescent="0.25">
      <c r="A450"/>
    </row>
    <row r="451" spans="1:1" x14ac:dyDescent="0.25">
      <c r="A451"/>
    </row>
    <row r="452" spans="1:1" x14ac:dyDescent="0.25">
      <c r="A452"/>
    </row>
    <row r="453" spans="1:1" x14ac:dyDescent="0.25">
      <c r="A453"/>
    </row>
    <row r="454" spans="1:1" x14ac:dyDescent="0.25">
      <c r="A454"/>
    </row>
    <row r="455" spans="1:1" x14ac:dyDescent="0.25">
      <c r="A455"/>
    </row>
    <row r="456" spans="1:1" x14ac:dyDescent="0.25">
      <c r="A456"/>
    </row>
    <row r="457" spans="1:1" x14ac:dyDescent="0.25">
      <c r="A457"/>
    </row>
    <row r="458" spans="1:1" x14ac:dyDescent="0.25">
      <c r="A458"/>
    </row>
    <row r="459" spans="1:1" x14ac:dyDescent="0.25">
      <c r="A459"/>
    </row>
    <row r="460" spans="1:1" x14ac:dyDescent="0.25">
      <c r="A460"/>
    </row>
    <row r="461" spans="1:1" x14ac:dyDescent="0.25">
      <c r="A461"/>
    </row>
    <row r="462" spans="1:1" x14ac:dyDescent="0.25">
      <c r="A462"/>
    </row>
    <row r="463" spans="1:1" x14ac:dyDescent="0.25">
      <c r="A463"/>
    </row>
    <row r="464" spans="1:1" x14ac:dyDescent="0.25">
      <c r="A464"/>
    </row>
    <row r="465" spans="1:1" x14ac:dyDescent="0.25">
      <c r="A465"/>
    </row>
    <row r="466" spans="1:1" x14ac:dyDescent="0.25">
      <c r="A466"/>
    </row>
    <row r="467" spans="1:1" x14ac:dyDescent="0.25">
      <c r="A467"/>
    </row>
    <row r="468" spans="1:1" x14ac:dyDescent="0.25">
      <c r="A468"/>
    </row>
    <row r="469" spans="1:1" x14ac:dyDescent="0.25">
      <c r="A469"/>
    </row>
    <row r="470" spans="1:1" x14ac:dyDescent="0.25">
      <c r="A470"/>
    </row>
    <row r="471" spans="1:1" x14ac:dyDescent="0.25">
      <c r="A471"/>
    </row>
    <row r="472" spans="1:1" x14ac:dyDescent="0.25">
      <c r="A472"/>
    </row>
    <row r="473" spans="1:1" x14ac:dyDescent="0.25">
      <c r="A473"/>
    </row>
    <row r="474" spans="1:1" x14ac:dyDescent="0.25">
      <c r="A474"/>
    </row>
    <row r="475" spans="1:1" x14ac:dyDescent="0.25">
      <c r="A475"/>
    </row>
    <row r="476" spans="1:1" x14ac:dyDescent="0.25">
      <c r="A476"/>
    </row>
    <row r="477" spans="1:1" x14ac:dyDescent="0.25">
      <c r="A477"/>
    </row>
    <row r="478" spans="1:1" x14ac:dyDescent="0.25">
      <c r="A478"/>
    </row>
    <row r="479" spans="1:1" x14ac:dyDescent="0.25">
      <c r="A479"/>
    </row>
    <row r="480" spans="1:1" x14ac:dyDescent="0.25">
      <c r="A480"/>
    </row>
    <row r="481" spans="1:1" x14ac:dyDescent="0.25">
      <c r="A481"/>
    </row>
    <row r="482" spans="1:1" x14ac:dyDescent="0.25">
      <c r="A482"/>
    </row>
    <row r="483" spans="1:1" x14ac:dyDescent="0.25">
      <c r="A483"/>
    </row>
    <row r="484" spans="1:1" x14ac:dyDescent="0.25">
      <c r="A484"/>
    </row>
    <row r="485" spans="1:1" x14ac:dyDescent="0.25">
      <c r="A485"/>
    </row>
    <row r="486" spans="1:1" x14ac:dyDescent="0.25">
      <c r="A486"/>
    </row>
    <row r="487" spans="1:1" x14ac:dyDescent="0.25">
      <c r="A487"/>
    </row>
    <row r="488" spans="1:1" x14ac:dyDescent="0.25">
      <c r="A488"/>
    </row>
    <row r="489" spans="1:1" x14ac:dyDescent="0.25">
      <c r="A489"/>
    </row>
    <row r="490" spans="1:1" x14ac:dyDescent="0.25">
      <c r="A490"/>
    </row>
    <row r="491" spans="1:1" x14ac:dyDescent="0.25">
      <c r="A491"/>
    </row>
    <row r="492" spans="1:1" x14ac:dyDescent="0.25">
      <c r="A492"/>
    </row>
    <row r="493" spans="1:1" x14ac:dyDescent="0.25">
      <c r="A493"/>
    </row>
    <row r="494" spans="1:1" x14ac:dyDescent="0.25">
      <c r="A494"/>
    </row>
    <row r="495" spans="1:1" x14ac:dyDescent="0.25">
      <c r="A495"/>
    </row>
    <row r="496" spans="1:1" x14ac:dyDescent="0.25">
      <c r="A496"/>
    </row>
    <row r="497" spans="1:1" x14ac:dyDescent="0.25">
      <c r="A497"/>
    </row>
    <row r="498" spans="1:1" x14ac:dyDescent="0.25">
      <c r="A498"/>
    </row>
    <row r="499" spans="1:1" x14ac:dyDescent="0.25">
      <c r="A499"/>
    </row>
    <row r="500" spans="1:1" x14ac:dyDescent="0.25">
      <c r="A500"/>
    </row>
    <row r="501" spans="1:1" x14ac:dyDescent="0.25">
      <c r="A501"/>
    </row>
    <row r="502" spans="1:1" x14ac:dyDescent="0.25">
      <c r="A502"/>
    </row>
    <row r="503" spans="1:1" x14ac:dyDescent="0.25">
      <c r="A503"/>
    </row>
    <row r="504" spans="1:1" x14ac:dyDescent="0.25">
      <c r="A504"/>
    </row>
    <row r="505" spans="1:1" x14ac:dyDescent="0.25">
      <c r="A505"/>
    </row>
    <row r="506" spans="1:1" x14ac:dyDescent="0.25">
      <c r="A506"/>
    </row>
    <row r="507" spans="1:1" x14ac:dyDescent="0.25">
      <c r="A507"/>
    </row>
    <row r="508" spans="1:1" x14ac:dyDescent="0.25">
      <c r="A508"/>
    </row>
    <row r="509" spans="1:1" x14ac:dyDescent="0.25">
      <c r="A509"/>
    </row>
    <row r="510" spans="1:1" x14ac:dyDescent="0.25">
      <c r="A510"/>
    </row>
    <row r="511" spans="1:1" x14ac:dyDescent="0.25">
      <c r="A511"/>
    </row>
    <row r="512" spans="1:1" x14ac:dyDescent="0.25">
      <c r="A512"/>
    </row>
    <row r="513" spans="1:1" x14ac:dyDescent="0.25">
      <c r="A513"/>
    </row>
    <row r="514" spans="1:1" x14ac:dyDescent="0.25">
      <c r="A514"/>
    </row>
    <row r="515" spans="1:1" x14ac:dyDescent="0.25">
      <c r="A515"/>
    </row>
    <row r="516" spans="1:1" x14ac:dyDescent="0.25">
      <c r="A516"/>
    </row>
    <row r="517" spans="1:1" x14ac:dyDescent="0.25">
      <c r="A517"/>
    </row>
    <row r="518" spans="1:1" x14ac:dyDescent="0.25">
      <c r="A518"/>
    </row>
    <row r="519" spans="1:1" x14ac:dyDescent="0.25">
      <c r="A519"/>
    </row>
    <row r="520" spans="1:1" x14ac:dyDescent="0.25">
      <c r="A520"/>
    </row>
    <row r="521" spans="1:1" x14ac:dyDescent="0.25">
      <c r="A521"/>
    </row>
    <row r="522" spans="1:1" x14ac:dyDescent="0.25">
      <c r="A522"/>
    </row>
    <row r="523" spans="1:1" x14ac:dyDescent="0.25">
      <c r="A523"/>
    </row>
    <row r="524" spans="1:1" x14ac:dyDescent="0.25">
      <c r="A524"/>
    </row>
    <row r="525" spans="1:1" x14ac:dyDescent="0.25">
      <c r="A525"/>
    </row>
    <row r="526" spans="1:1" x14ac:dyDescent="0.25">
      <c r="A526"/>
    </row>
    <row r="527" spans="1:1" x14ac:dyDescent="0.25">
      <c r="A527"/>
    </row>
    <row r="528" spans="1:1" x14ac:dyDescent="0.25">
      <c r="A528"/>
    </row>
    <row r="529" spans="1:1" x14ac:dyDescent="0.25">
      <c r="A529"/>
    </row>
    <row r="530" spans="1:1" x14ac:dyDescent="0.25">
      <c r="A530"/>
    </row>
    <row r="531" spans="1:1" x14ac:dyDescent="0.25">
      <c r="A531"/>
    </row>
    <row r="532" spans="1:1" x14ac:dyDescent="0.25">
      <c r="A532"/>
    </row>
    <row r="533" spans="1:1" x14ac:dyDescent="0.25">
      <c r="A533"/>
    </row>
    <row r="534" spans="1:1" x14ac:dyDescent="0.25">
      <c r="A534"/>
    </row>
    <row r="535" spans="1:1" x14ac:dyDescent="0.25">
      <c r="A535"/>
    </row>
    <row r="536" spans="1:1" x14ac:dyDescent="0.25">
      <c r="A536"/>
    </row>
    <row r="537" spans="1:1" x14ac:dyDescent="0.25">
      <c r="A537"/>
    </row>
    <row r="538" spans="1:1" x14ac:dyDescent="0.25">
      <c r="A538"/>
    </row>
    <row r="539" spans="1:1" x14ac:dyDescent="0.25">
      <c r="A539"/>
    </row>
    <row r="540" spans="1:1" x14ac:dyDescent="0.25">
      <c r="A540"/>
    </row>
    <row r="541" spans="1:1" x14ac:dyDescent="0.25">
      <c r="A541"/>
    </row>
    <row r="542" spans="1:1" x14ac:dyDescent="0.25">
      <c r="A542"/>
    </row>
    <row r="543" spans="1:1" x14ac:dyDescent="0.25">
      <c r="A543"/>
    </row>
    <row r="544" spans="1:1" x14ac:dyDescent="0.25">
      <c r="A544"/>
    </row>
    <row r="545" spans="1:1" x14ac:dyDescent="0.25">
      <c r="A545"/>
    </row>
    <row r="546" spans="1:1" x14ac:dyDescent="0.25">
      <c r="A546"/>
    </row>
    <row r="547" spans="1:1" x14ac:dyDescent="0.25">
      <c r="A547"/>
    </row>
    <row r="548" spans="1:1" x14ac:dyDescent="0.25">
      <c r="A548"/>
    </row>
    <row r="549" spans="1:1" x14ac:dyDescent="0.25">
      <c r="A549"/>
    </row>
    <row r="550" spans="1:1" x14ac:dyDescent="0.25">
      <c r="A550"/>
    </row>
    <row r="551" spans="1:1" x14ac:dyDescent="0.25">
      <c r="A551"/>
    </row>
    <row r="552" spans="1:1" x14ac:dyDescent="0.25">
      <c r="A552"/>
    </row>
    <row r="553" spans="1:1" x14ac:dyDescent="0.25">
      <c r="A553"/>
    </row>
    <row r="554" spans="1:1" x14ac:dyDescent="0.25">
      <c r="A554"/>
    </row>
    <row r="555" spans="1:1" x14ac:dyDescent="0.25">
      <c r="A555"/>
    </row>
    <row r="556" spans="1:1" x14ac:dyDescent="0.25">
      <c r="A556"/>
    </row>
    <row r="557" spans="1:1" x14ac:dyDescent="0.25">
      <c r="A557"/>
    </row>
    <row r="558" spans="1:1" x14ac:dyDescent="0.25">
      <c r="A558"/>
    </row>
    <row r="559" spans="1:1" x14ac:dyDescent="0.25">
      <c r="A559"/>
    </row>
    <row r="560" spans="1:1" x14ac:dyDescent="0.25">
      <c r="A560"/>
    </row>
    <row r="561" spans="1:1" x14ac:dyDescent="0.25">
      <c r="A561"/>
    </row>
    <row r="562" spans="1:1" x14ac:dyDescent="0.25">
      <c r="A562"/>
    </row>
    <row r="563" spans="1:1" x14ac:dyDescent="0.25">
      <c r="A563"/>
    </row>
    <row r="564" spans="1:1" x14ac:dyDescent="0.25">
      <c r="A564"/>
    </row>
    <row r="565" spans="1:1" x14ac:dyDescent="0.25">
      <c r="A565"/>
    </row>
    <row r="566" spans="1:1" x14ac:dyDescent="0.25">
      <c r="A566"/>
    </row>
    <row r="567" spans="1:1" x14ac:dyDescent="0.25">
      <c r="A567"/>
    </row>
    <row r="568" spans="1:1" x14ac:dyDescent="0.25">
      <c r="A568"/>
    </row>
    <row r="569" spans="1:1" x14ac:dyDescent="0.25">
      <c r="A569"/>
    </row>
    <row r="570" spans="1:1" x14ac:dyDescent="0.25">
      <c r="A570"/>
    </row>
    <row r="571" spans="1:1" x14ac:dyDescent="0.25">
      <c r="A571"/>
    </row>
    <row r="572" spans="1:1" x14ac:dyDescent="0.25">
      <c r="A572"/>
    </row>
    <row r="573" spans="1:1" x14ac:dyDescent="0.25">
      <c r="A573"/>
    </row>
    <row r="574" spans="1:1" x14ac:dyDescent="0.25">
      <c r="A574"/>
    </row>
    <row r="575" spans="1:1" x14ac:dyDescent="0.25">
      <c r="A575"/>
    </row>
    <row r="576" spans="1:1" x14ac:dyDescent="0.25">
      <c r="A576"/>
    </row>
    <row r="577" spans="1:1" x14ac:dyDescent="0.25">
      <c r="A577"/>
    </row>
    <row r="578" spans="1:1" x14ac:dyDescent="0.25">
      <c r="A578"/>
    </row>
    <row r="579" spans="1:1" x14ac:dyDescent="0.25">
      <c r="A579"/>
    </row>
    <row r="580" spans="1:1" x14ac:dyDescent="0.25">
      <c r="A580"/>
    </row>
    <row r="581" spans="1:1" x14ac:dyDescent="0.25">
      <c r="A581"/>
    </row>
    <row r="582" spans="1:1" x14ac:dyDescent="0.25">
      <c r="A582"/>
    </row>
    <row r="583" spans="1:1" x14ac:dyDescent="0.25">
      <c r="A583"/>
    </row>
    <row r="584" spans="1:1" x14ac:dyDescent="0.25">
      <c r="A584"/>
    </row>
    <row r="585" spans="1:1" x14ac:dyDescent="0.25">
      <c r="A585"/>
    </row>
    <row r="586" spans="1:1" x14ac:dyDescent="0.25">
      <c r="A586"/>
    </row>
    <row r="587" spans="1:1" x14ac:dyDescent="0.25">
      <c r="A587"/>
    </row>
    <row r="588" spans="1:1" x14ac:dyDescent="0.25">
      <c r="A588"/>
    </row>
    <row r="589" spans="1:1" x14ac:dyDescent="0.25">
      <c r="A589"/>
    </row>
    <row r="590" spans="1:1" x14ac:dyDescent="0.25">
      <c r="A590"/>
    </row>
    <row r="591" spans="1:1" x14ac:dyDescent="0.25">
      <c r="A591"/>
    </row>
    <row r="592" spans="1:1" x14ac:dyDescent="0.25">
      <c r="A592"/>
    </row>
    <row r="593" spans="1:1" x14ac:dyDescent="0.25">
      <c r="A593"/>
    </row>
    <row r="594" spans="1:1" x14ac:dyDescent="0.25">
      <c r="A594"/>
    </row>
    <row r="595" spans="1:1" x14ac:dyDescent="0.25">
      <c r="A595"/>
    </row>
    <row r="596" spans="1:1" x14ac:dyDescent="0.25">
      <c r="A596"/>
    </row>
    <row r="597" spans="1:1" x14ac:dyDescent="0.25">
      <c r="A597"/>
    </row>
    <row r="598" spans="1:1" x14ac:dyDescent="0.25">
      <c r="A598"/>
    </row>
    <row r="599" spans="1:1" x14ac:dyDescent="0.25">
      <c r="A599"/>
    </row>
    <row r="600" spans="1:1" x14ac:dyDescent="0.25">
      <c r="A600"/>
    </row>
    <row r="601" spans="1:1" x14ac:dyDescent="0.25">
      <c r="A601"/>
    </row>
    <row r="602" spans="1:1" x14ac:dyDescent="0.25">
      <c r="A602"/>
    </row>
    <row r="603" spans="1:1" x14ac:dyDescent="0.25">
      <c r="A603"/>
    </row>
    <row r="604" spans="1:1" x14ac:dyDescent="0.25">
      <c r="A604"/>
    </row>
    <row r="605" spans="1:1" x14ac:dyDescent="0.25">
      <c r="A605"/>
    </row>
    <row r="606" spans="1:1" x14ac:dyDescent="0.25">
      <c r="A606"/>
    </row>
    <row r="607" spans="1:1" x14ac:dyDescent="0.25">
      <c r="A607"/>
    </row>
    <row r="608" spans="1:1" x14ac:dyDescent="0.25">
      <c r="A608"/>
    </row>
    <row r="609" spans="1:1" x14ac:dyDescent="0.25">
      <c r="A609"/>
    </row>
    <row r="610" spans="1:1" x14ac:dyDescent="0.25">
      <c r="A610"/>
    </row>
    <row r="611" spans="1:1" x14ac:dyDescent="0.25">
      <c r="A611"/>
    </row>
    <row r="612" spans="1:1" x14ac:dyDescent="0.25">
      <c r="A612"/>
    </row>
    <row r="613" spans="1:1" x14ac:dyDescent="0.25">
      <c r="A613"/>
    </row>
    <row r="614" spans="1:1" x14ac:dyDescent="0.25">
      <c r="A614"/>
    </row>
    <row r="615" spans="1:1" x14ac:dyDescent="0.25">
      <c r="A615"/>
    </row>
    <row r="616" spans="1:1" x14ac:dyDescent="0.25">
      <c r="A616"/>
    </row>
    <row r="617" spans="1:1" x14ac:dyDescent="0.25">
      <c r="A617"/>
    </row>
    <row r="618" spans="1:1" x14ac:dyDescent="0.25">
      <c r="A618"/>
    </row>
    <row r="619" spans="1:1" x14ac:dyDescent="0.25">
      <c r="A619"/>
    </row>
    <row r="620" spans="1:1" x14ac:dyDescent="0.25">
      <c r="A620"/>
    </row>
    <row r="621" spans="1:1" x14ac:dyDescent="0.25">
      <c r="A621"/>
    </row>
    <row r="622" spans="1:1" x14ac:dyDescent="0.25">
      <c r="A622"/>
    </row>
    <row r="623" spans="1:1" x14ac:dyDescent="0.25">
      <c r="A623"/>
    </row>
    <row r="624" spans="1:1" x14ac:dyDescent="0.25">
      <c r="A624"/>
    </row>
    <row r="625" spans="1:1" x14ac:dyDescent="0.25">
      <c r="A625"/>
    </row>
    <row r="626" spans="1:1" x14ac:dyDescent="0.25">
      <c r="A626"/>
    </row>
    <row r="627" spans="1:1" x14ac:dyDescent="0.25">
      <c r="A627"/>
    </row>
    <row r="628" spans="1:1" x14ac:dyDescent="0.25">
      <c r="A628"/>
    </row>
    <row r="629" spans="1:1" x14ac:dyDescent="0.25">
      <c r="A629"/>
    </row>
    <row r="630" spans="1:1" x14ac:dyDescent="0.25">
      <c r="A630"/>
    </row>
    <row r="631" spans="1:1" x14ac:dyDescent="0.25">
      <c r="A631"/>
    </row>
    <row r="632" spans="1:1" x14ac:dyDescent="0.25">
      <c r="A632"/>
    </row>
    <row r="633" spans="1:1" x14ac:dyDescent="0.25">
      <c r="A633"/>
    </row>
    <row r="634" spans="1:1" x14ac:dyDescent="0.25">
      <c r="A634"/>
    </row>
    <row r="635" spans="1:1" x14ac:dyDescent="0.25">
      <c r="A635"/>
    </row>
    <row r="636" spans="1:1" x14ac:dyDescent="0.25">
      <c r="A636"/>
    </row>
    <row r="637" spans="1:1" x14ac:dyDescent="0.25">
      <c r="A637"/>
    </row>
    <row r="638" spans="1:1" x14ac:dyDescent="0.25">
      <c r="A638"/>
    </row>
    <row r="639" spans="1:1" x14ac:dyDescent="0.25">
      <c r="A639"/>
    </row>
    <row r="640" spans="1:1" x14ac:dyDescent="0.25">
      <c r="A640"/>
    </row>
    <row r="641" spans="1:1" x14ac:dyDescent="0.25">
      <c r="A641"/>
    </row>
    <row r="642" spans="1:1" x14ac:dyDescent="0.25">
      <c r="A642"/>
    </row>
    <row r="643" spans="1:1" x14ac:dyDescent="0.25">
      <c r="A643"/>
    </row>
    <row r="644" spans="1:1" x14ac:dyDescent="0.25">
      <c r="A644"/>
    </row>
    <row r="645" spans="1:1" x14ac:dyDescent="0.25">
      <c r="A645"/>
    </row>
    <row r="646" spans="1:1" x14ac:dyDescent="0.25">
      <c r="A646"/>
    </row>
    <row r="647" spans="1:1" x14ac:dyDescent="0.25">
      <c r="A647"/>
    </row>
    <row r="648" spans="1:1" x14ac:dyDescent="0.25">
      <c r="A648"/>
    </row>
    <row r="649" spans="1:1" x14ac:dyDescent="0.25">
      <c r="A649"/>
    </row>
    <row r="650" spans="1:1" x14ac:dyDescent="0.25">
      <c r="A650"/>
    </row>
    <row r="651" spans="1:1" x14ac:dyDescent="0.25">
      <c r="A651"/>
    </row>
    <row r="652" spans="1:1" x14ac:dyDescent="0.25">
      <c r="A652"/>
    </row>
    <row r="653" spans="1:1" x14ac:dyDescent="0.25">
      <c r="A653"/>
    </row>
    <row r="654" spans="1:1" x14ac:dyDescent="0.25">
      <c r="A654"/>
    </row>
    <row r="655" spans="1:1" x14ac:dyDescent="0.25">
      <c r="A655"/>
    </row>
    <row r="656" spans="1:1" x14ac:dyDescent="0.25">
      <c r="A656"/>
    </row>
    <row r="657" spans="1:1" x14ac:dyDescent="0.25">
      <c r="A657"/>
    </row>
    <row r="658" spans="1:1" x14ac:dyDescent="0.25">
      <c r="A658"/>
    </row>
    <row r="659" spans="1:1" x14ac:dyDescent="0.25">
      <c r="A659"/>
    </row>
    <row r="660" spans="1:1" x14ac:dyDescent="0.25">
      <c r="A660"/>
    </row>
    <row r="661" spans="1:1" x14ac:dyDescent="0.25">
      <c r="A661"/>
    </row>
    <row r="662" spans="1:1" x14ac:dyDescent="0.25">
      <c r="A662"/>
    </row>
    <row r="663" spans="1:1" x14ac:dyDescent="0.25">
      <c r="A663"/>
    </row>
    <row r="664" spans="1:1" x14ac:dyDescent="0.25">
      <c r="A664"/>
    </row>
    <row r="665" spans="1:1" x14ac:dyDescent="0.25">
      <c r="A665"/>
    </row>
    <row r="666" spans="1:1" x14ac:dyDescent="0.25">
      <c r="A666"/>
    </row>
    <row r="667" spans="1:1" x14ac:dyDescent="0.25">
      <c r="A667"/>
    </row>
    <row r="668" spans="1:1" x14ac:dyDescent="0.25">
      <c r="A668"/>
    </row>
    <row r="669" spans="1:1" x14ac:dyDescent="0.25">
      <c r="A669"/>
    </row>
    <row r="670" spans="1:1" x14ac:dyDescent="0.25">
      <c r="A670"/>
    </row>
    <row r="671" spans="1:1" x14ac:dyDescent="0.25">
      <c r="A671"/>
    </row>
    <row r="672" spans="1:1" x14ac:dyDescent="0.25">
      <c r="A672"/>
    </row>
    <row r="673" spans="1:1" x14ac:dyDescent="0.25">
      <c r="A673"/>
    </row>
    <row r="674" spans="1:1" x14ac:dyDescent="0.25">
      <c r="A674"/>
    </row>
    <row r="675" spans="1:1" x14ac:dyDescent="0.25">
      <c r="A675"/>
    </row>
    <row r="676" spans="1:1" x14ac:dyDescent="0.25">
      <c r="A676"/>
    </row>
    <row r="677" spans="1:1" x14ac:dyDescent="0.25">
      <c r="A677"/>
    </row>
    <row r="678" spans="1:1" x14ac:dyDescent="0.25">
      <c r="A678"/>
    </row>
    <row r="679" spans="1:1" x14ac:dyDescent="0.25">
      <c r="A679"/>
    </row>
    <row r="680" spans="1:1" x14ac:dyDescent="0.25">
      <c r="A680"/>
    </row>
    <row r="681" spans="1:1" x14ac:dyDescent="0.25">
      <c r="A681"/>
    </row>
    <row r="682" spans="1:1" x14ac:dyDescent="0.25">
      <c r="A682"/>
    </row>
    <row r="683" spans="1:1" x14ac:dyDescent="0.25">
      <c r="A683"/>
    </row>
    <row r="684" spans="1:1" x14ac:dyDescent="0.25">
      <c r="A684"/>
    </row>
    <row r="685" spans="1:1" x14ac:dyDescent="0.25">
      <c r="A685"/>
    </row>
    <row r="686" spans="1:1" x14ac:dyDescent="0.25">
      <c r="A686"/>
    </row>
    <row r="687" spans="1:1" x14ac:dyDescent="0.25">
      <c r="A687"/>
    </row>
    <row r="688" spans="1:1" x14ac:dyDescent="0.25">
      <c r="A688"/>
    </row>
    <row r="689" spans="1:1" x14ac:dyDescent="0.25">
      <c r="A689"/>
    </row>
    <row r="690" spans="1:1" x14ac:dyDescent="0.25">
      <c r="A690"/>
    </row>
    <row r="691" spans="1:1" x14ac:dyDescent="0.25">
      <c r="A691"/>
    </row>
    <row r="692" spans="1:1" x14ac:dyDescent="0.25">
      <c r="A692"/>
    </row>
    <row r="693" spans="1:1" x14ac:dyDescent="0.25">
      <c r="A693"/>
    </row>
    <row r="694" spans="1:1" x14ac:dyDescent="0.25">
      <c r="A694"/>
    </row>
    <row r="695" spans="1:1" x14ac:dyDescent="0.25">
      <c r="A695"/>
    </row>
    <row r="696" spans="1:1" x14ac:dyDescent="0.25">
      <c r="A696"/>
    </row>
    <row r="697" spans="1:1" x14ac:dyDescent="0.25">
      <c r="A697"/>
    </row>
    <row r="698" spans="1:1" x14ac:dyDescent="0.25">
      <c r="A698"/>
    </row>
    <row r="699" spans="1:1" x14ac:dyDescent="0.25">
      <c r="A699"/>
    </row>
    <row r="700" spans="1:1" x14ac:dyDescent="0.25">
      <c r="A700"/>
    </row>
    <row r="701" spans="1:1" x14ac:dyDescent="0.25">
      <c r="A701"/>
    </row>
    <row r="702" spans="1:1" x14ac:dyDescent="0.25">
      <c r="A702"/>
    </row>
    <row r="703" spans="1:1" x14ac:dyDescent="0.25">
      <c r="A703"/>
    </row>
    <row r="704" spans="1:1" x14ac:dyDescent="0.25">
      <c r="A704"/>
    </row>
    <row r="705" spans="1:1" x14ac:dyDescent="0.25">
      <c r="A705"/>
    </row>
    <row r="706" spans="1:1" x14ac:dyDescent="0.25">
      <c r="A706"/>
    </row>
    <row r="707" spans="1:1" x14ac:dyDescent="0.25">
      <c r="A707"/>
    </row>
    <row r="708" spans="1:1" x14ac:dyDescent="0.25">
      <c r="A708"/>
    </row>
    <row r="709" spans="1:1" x14ac:dyDescent="0.25">
      <c r="A709"/>
    </row>
    <row r="710" spans="1:1" x14ac:dyDescent="0.25">
      <c r="A710"/>
    </row>
    <row r="711" spans="1:1" x14ac:dyDescent="0.25">
      <c r="A711"/>
    </row>
    <row r="712" spans="1:1" x14ac:dyDescent="0.25">
      <c r="A712"/>
    </row>
    <row r="713" spans="1:1" x14ac:dyDescent="0.25">
      <c r="A713"/>
    </row>
    <row r="714" spans="1:1" x14ac:dyDescent="0.25">
      <c r="A714"/>
    </row>
    <row r="715" spans="1:1" x14ac:dyDescent="0.25">
      <c r="A715"/>
    </row>
    <row r="716" spans="1:1" x14ac:dyDescent="0.25">
      <c r="A716"/>
    </row>
    <row r="717" spans="1:1" x14ac:dyDescent="0.25">
      <c r="A717"/>
    </row>
    <row r="718" spans="1:1" x14ac:dyDescent="0.25">
      <c r="A718"/>
    </row>
    <row r="719" spans="1:1" x14ac:dyDescent="0.25">
      <c r="A719"/>
    </row>
    <row r="720" spans="1:1" x14ac:dyDescent="0.25">
      <c r="A720"/>
    </row>
    <row r="721" spans="1:1" x14ac:dyDescent="0.25">
      <c r="A721"/>
    </row>
    <row r="722" spans="1:1" x14ac:dyDescent="0.25">
      <c r="A722"/>
    </row>
    <row r="723" spans="1:1" x14ac:dyDescent="0.25">
      <c r="A723"/>
    </row>
    <row r="724" spans="1:1" x14ac:dyDescent="0.25">
      <c r="A724"/>
    </row>
    <row r="725" spans="1:1" x14ac:dyDescent="0.25">
      <c r="A725"/>
    </row>
    <row r="726" spans="1:1" x14ac:dyDescent="0.25">
      <c r="A726"/>
    </row>
    <row r="727" spans="1:1" x14ac:dyDescent="0.25">
      <c r="A727"/>
    </row>
    <row r="728" spans="1:1" x14ac:dyDescent="0.25">
      <c r="A728"/>
    </row>
    <row r="729" spans="1:1" x14ac:dyDescent="0.25">
      <c r="A729"/>
    </row>
    <row r="730" spans="1:1" x14ac:dyDescent="0.25">
      <c r="A730"/>
    </row>
    <row r="731" spans="1:1" x14ac:dyDescent="0.25">
      <c r="A731"/>
    </row>
    <row r="732" spans="1:1" x14ac:dyDescent="0.25">
      <c r="A732"/>
    </row>
    <row r="733" spans="1:1" x14ac:dyDescent="0.25">
      <c r="A733"/>
    </row>
    <row r="734" spans="1:1" x14ac:dyDescent="0.25">
      <c r="A734"/>
    </row>
    <row r="735" spans="1:1" x14ac:dyDescent="0.25">
      <c r="A735"/>
    </row>
    <row r="736" spans="1:1" x14ac:dyDescent="0.25">
      <c r="A736"/>
    </row>
    <row r="737" spans="1:1" x14ac:dyDescent="0.25">
      <c r="A737"/>
    </row>
    <row r="738" spans="1:1" x14ac:dyDescent="0.25">
      <c r="A738"/>
    </row>
    <row r="739" spans="1:1" x14ac:dyDescent="0.25">
      <c r="A739"/>
    </row>
    <row r="740" spans="1:1" x14ac:dyDescent="0.25">
      <c r="A740"/>
    </row>
    <row r="741" spans="1:1" x14ac:dyDescent="0.25">
      <c r="A741"/>
    </row>
    <row r="742" spans="1:1" x14ac:dyDescent="0.25">
      <c r="A742"/>
    </row>
    <row r="743" spans="1:1" x14ac:dyDescent="0.25">
      <c r="A743"/>
    </row>
    <row r="744" spans="1:1" x14ac:dyDescent="0.25">
      <c r="A744"/>
    </row>
    <row r="745" spans="1:1" x14ac:dyDescent="0.25">
      <c r="A745"/>
    </row>
    <row r="746" spans="1:1" x14ac:dyDescent="0.25">
      <c r="A746"/>
    </row>
    <row r="747" spans="1:1" x14ac:dyDescent="0.25">
      <c r="A747"/>
    </row>
    <row r="748" spans="1:1" x14ac:dyDescent="0.25">
      <c r="A748"/>
    </row>
    <row r="749" spans="1:1" x14ac:dyDescent="0.25">
      <c r="A749"/>
    </row>
    <row r="750" spans="1:1" x14ac:dyDescent="0.25">
      <c r="A750"/>
    </row>
    <row r="751" spans="1:1" x14ac:dyDescent="0.25">
      <c r="A751"/>
    </row>
    <row r="752" spans="1:1" x14ac:dyDescent="0.25">
      <c r="A752"/>
    </row>
    <row r="753" spans="1:1" x14ac:dyDescent="0.25">
      <c r="A753"/>
    </row>
    <row r="754" spans="1:1" x14ac:dyDescent="0.25">
      <c r="A754"/>
    </row>
    <row r="755" spans="1:1" x14ac:dyDescent="0.25">
      <c r="A755"/>
    </row>
    <row r="756" spans="1:1" x14ac:dyDescent="0.25">
      <c r="A756"/>
    </row>
    <row r="757" spans="1:1" x14ac:dyDescent="0.25">
      <c r="A757"/>
    </row>
    <row r="758" spans="1:1" x14ac:dyDescent="0.25">
      <c r="A758"/>
    </row>
    <row r="759" spans="1:1" x14ac:dyDescent="0.25">
      <c r="A759"/>
    </row>
    <row r="760" spans="1:1" x14ac:dyDescent="0.25">
      <c r="A760"/>
    </row>
    <row r="761" spans="1:1" x14ac:dyDescent="0.25">
      <c r="A761"/>
    </row>
    <row r="762" spans="1:1" x14ac:dyDescent="0.25">
      <c r="A762"/>
    </row>
    <row r="763" spans="1:1" x14ac:dyDescent="0.25">
      <c r="A763"/>
    </row>
    <row r="764" spans="1:1" x14ac:dyDescent="0.25">
      <c r="A764"/>
    </row>
    <row r="765" spans="1:1" x14ac:dyDescent="0.25">
      <c r="A765"/>
    </row>
    <row r="766" spans="1:1" x14ac:dyDescent="0.25">
      <c r="A766"/>
    </row>
    <row r="767" spans="1:1" x14ac:dyDescent="0.25">
      <c r="A767"/>
    </row>
    <row r="768" spans="1:1" x14ac:dyDescent="0.25">
      <c r="A768"/>
    </row>
    <row r="769" spans="1:1" x14ac:dyDescent="0.25">
      <c r="A769"/>
    </row>
    <row r="770" spans="1:1" x14ac:dyDescent="0.25">
      <c r="A770"/>
    </row>
    <row r="771" spans="1:1" x14ac:dyDescent="0.25">
      <c r="A771"/>
    </row>
    <row r="772" spans="1:1" x14ac:dyDescent="0.25">
      <c r="A772"/>
    </row>
    <row r="773" spans="1:1" x14ac:dyDescent="0.25">
      <c r="A773"/>
    </row>
    <row r="774" spans="1:1" x14ac:dyDescent="0.25">
      <c r="A774"/>
    </row>
    <row r="775" spans="1:1" x14ac:dyDescent="0.25">
      <c r="A775"/>
    </row>
    <row r="776" spans="1:1" x14ac:dyDescent="0.25">
      <c r="A776"/>
    </row>
    <row r="777" spans="1:1" x14ac:dyDescent="0.25">
      <c r="A777"/>
    </row>
    <row r="778" spans="1:1" x14ac:dyDescent="0.25">
      <c r="A778"/>
    </row>
    <row r="779" spans="1:1" x14ac:dyDescent="0.25">
      <c r="A779"/>
    </row>
    <row r="780" spans="1:1" x14ac:dyDescent="0.25">
      <c r="A780"/>
    </row>
    <row r="781" spans="1:1" x14ac:dyDescent="0.25">
      <c r="A781"/>
    </row>
    <row r="782" spans="1:1" x14ac:dyDescent="0.25">
      <c r="A782"/>
    </row>
    <row r="783" spans="1:1" x14ac:dyDescent="0.25">
      <c r="A783"/>
    </row>
    <row r="784" spans="1:1" x14ac:dyDescent="0.25">
      <c r="A784"/>
    </row>
    <row r="785" spans="1:1" x14ac:dyDescent="0.25">
      <c r="A785"/>
    </row>
    <row r="786" spans="1:1" x14ac:dyDescent="0.25">
      <c r="A786"/>
    </row>
    <row r="787" spans="1:1" x14ac:dyDescent="0.25">
      <c r="A787"/>
    </row>
    <row r="788" spans="1:1" x14ac:dyDescent="0.25">
      <c r="A788"/>
    </row>
    <row r="789" spans="1:1" x14ac:dyDescent="0.25">
      <c r="A789"/>
    </row>
    <row r="790" spans="1:1" x14ac:dyDescent="0.25">
      <c r="A790"/>
    </row>
    <row r="791" spans="1:1" x14ac:dyDescent="0.25">
      <c r="A791"/>
    </row>
    <row r="792" spans="1:1" x14ac:dyDescent="0.25">
      <c r="A792"/>
    </row>
    <row r="793" spans="1:1" x14ac:dyDescent="0.25">
      <c r="A793"/>
    </row>
    <row r="794" spans="1:1" x14ac:dyDescent="0.25">
      <c r="A794"/>
    </row>
    <row r="795" spans="1:1" x14ac:dyDescent="0.25">
      <c r="A795"/>
    </row>
    <row r="796" spans="1:1" x14ac:dyDescent="0.25">
      <c r="A796"/>
    </row>
    <row r="797" spans="1:1" x14ac:dyDescent="0.25">
      <c r="A797"/>
    </row>
    <row r="798" spans="1:1" x14ac:dyDescent="0.25">
      <c r="A798"/>
    </row>
    <row r="799" spans="1:1" x14ac:dyDescent="0.25">
      <c r="A799"/>
    </row>
    <row r="800" spans="1:1" x14ac:dyDescent="0.25">
      <c r="A800"/>
    </row>
    <row r="801" spans="1:1" x14ac:dyDescent="0.25">
      <c r="A801"/>
    </row>
    <row r="802" spans="1:1" x14ac:dyDescent="0.25">
      <c r="A802"/>
    </row>
    <row r="803" spans="1:1" x14ac:dyDescent="0.25">
      <c r="A803"/>
    </row>
    <row r="804" spans="1:1" x14ac:dyDescent="0.25">
      <c r="A804"/>
    </row>
    <row r="805" spans="1:1" x14ac:dyDescent="0.25">
      <c r="A805"/>
    </row>
    <row r="806" spans="1:1" x14ac:dyDescent="0.25">
      <c r="A806"/>
    </row>
    <row r="807" spans="1:1" x14ac:dyDescent="0.25">
      <c r="A807"/>
    </row>
    <row r="808" spans="1:1" x14ac:dyDescent="0.25">
      <c r="A808"/>
    </row>
    <row r="809" spans="1:1" x14ac:dyDescent="0.25">
      <c r="A809"/>
    </row>
    <row r="810" spans="1:1" x14ac:dyDescent="0.25">
      <c r="A810"/>
    </row>
    <row r="811" spans="1:1" x14ac:dyDescent="0.25">
      <c r="A811"/>
    </row>
    <row r="812" spans="1:1" x14ac:dyDescent="0.25">
      <c r="A812"/>
    </row>
    <row r="813" spans="1:1" x14ac:dyDescent="0.25">
      <c r="A813"/>
    </row>
    <row r="814" spans="1:1" x14ac:dyDescent="0.25">
      <c r="A814"/>
    </row>
    <row r="815" spans="1:1" x14ac:dyDescent="0.25">
      <c r="A815"/>
    </row>
    <row r="816" spans="1:1" x14ac:dyDescent="0.25">
      <c r="A816"/>
    </row>
    <row r="817" spans="1:1" x14ac:dyDescent="0.25">
      <c r="A817"/>
    </row>
    <row r="818" spans="1:1" x14ac:dyDescent="0.25">
      <c r="A818"/>
    </row>
    <row r="819" spans="1:1" x14ac:dyDescent="0.25">
      <c r="A819"/>
    </row>
    <row r="820" spans="1:1" x14ac:dyDescent="0.25">
      <c r="A820"/>
    </row>
    <row r="821" spans="1:1" x14ac:dyDescent="0.25">
      <c r="A821"/>
    </row>
    <row r="822" spans="1:1" x14ac:dyDescent="0.25">
      <c r="A822"/>
    </row>
    <row r="823" spans="1:1" x14ac:dyDescent="0.25">
      <c r="A823"/>
    </row>
    <row r="824" spans="1:1" x14ac:dyDescent="0.25">
      <c r="A824"/>
    </row>
    <row r="825" spans="1:1" x14ac:dyDescent="0.25">
      <c r="A825"/>
    </row>
    <row r="826" spans="1:1" x14ac:dyDescent="0.25">
      <c r="A826"/>
    </row>
    <row r="827" spans="1:1" x14ac:dyDescent="0.25">
      <c r="A827"/>
    </row>
    <row r="828" spans="1:1" x14ac:dyDescent="0.25">
      <c r="A828"/>
    </row>
    <row r="829" spans="1:1" x14ac:dyDescent="0.25">
      <c r="A829"/>
    </row>
    <row r="830" spans="1:1" x14ac:dyDescent="0.25">
      <c r="A830"/>
    </row>
    <row r="831" spans="1:1" x14ac:dyDescent="0.25">
      <c r="A831"/>
    </row>
    <row r="832" spans="1:1" x14ac:dyDescent="0.25">
      <c r="A832"/>
    </row>
    <row r="833" spans="1:1" x14ac:dyDescent="0.25">
      <c r="A833"/>
    </row>
    <row r="834" spans="1:1" x14ac:dyDescent="0.25">
      <c r="A834"/>
    </row>
    <row r="835" spans="1:1" x14ac:dyDescent="0.25">
      <c r="A835"/>
    </row>
    <row r="836" spans="1:1" x14ac:dyDescent="0.25">
      <c r="A836"/>
    </row>
    <row r="837" spans="1:1" x14ac:dyDescent="0.25">
      <c r="A837"/>
    </row>
    <row r="838" spans="1:1" x14ac:dyDescent="0.25">
      <c r="A838"/>
    </row>
    <row r="839" spans="1:1" x14ac:dyDescent="0.25">
      <c r="A839"/>
    </row>
    <row r="840" spans="1:1" x14ac:dyDescent="0.25">
      <c r="A840"/>
    </row>
    <row r="841" spans="1:1" x14ac:dyDescent="0.25">
      <c r="A841"/>
    </row>
    <row r="842" spans="1:1" x14ac:dyDescent="0.25">
      <c r="A842"/>
    </row>
    <row r="843" spans="1:1" x14ac:dyDescent="0.25">
      <c r="A843"/>
    </row>
    <row r="844" spans="1:1" x14ac:dyDescent="0.25">
      <c r="A844"/>
    </row>
    <row r="845" spans="1:1" x14ac:dyDescent="0.25">
      <c r="A845"/>
    </row>
    <row r="846" spans="1:1" x14ac:dyDescent="0.25">
      <c r="A846"/>
    </row>
    <row r="847" spans="1:1" x14ac:dyDescent="0.25">
      <c r="A847"/>
    </row>
    <row r="848" spans="1:1" x14ac:dyDescent="0.25">
      <c r="A848"/>
    </row>
    <row r="849" spans="1:1" x14ac:dyDescent="0.25">
      <c r="A849"/>
    </row>
    <row r="850" spans="1:1" x14ac:dyDescent="0.25">
      <c r="A850"/>
    </row>
    <row r="851" spans="1:1" x14ac:dyDescent="0.25">
      <c r="A851"/>
    </row>
    <row r="852" spans="1:1" x14ac:dyDescent="0.25">
      <c r="A852"/>
    </row>
    <row r="853" spans="1:1" x14ac:dyDescent="0.25">
      <c r="A853"/>
    </row>
    <row r="854" spans="1:1" x14ac:dyDescent="0.25">
      <c r="A854"/>
    </row>
    <row r="855" spans="1:1" x14ac:dyDescent="0.25">
      <c r="A855"/>
    </row>
    <row r="856" spans="1:1" x14ac:dyDescent="0.25">
      <c r="A856"/>
    </row>
    <row r="857" spans="1:1" x14ac:dyDescent="0.25">
      <c r="A857"/>
    </row>
    <row r="858" spans="1:1" x14ac:dyDescent="0.25">
      <c r="A858"/>
    </row>
    <row r="859" spans="1:1" x14ac:dyDescent="0.25">
      <c r="A859"/>
    </row>
    <row r="860" spans="1:1" x14ac:dyDescent="0.25">
      <c r="A860"/>
    </row>
    <row r="861" spans="1:1" x14ac:dyDescent="0.25">
      <c r="A861"/>
    </row>
    <row r="862" spans="1:1" x14ac:dyDescent="0.25">
      <c r="A862"/>
    </row>
    <row r="863" spans="1:1" x14ac:dyDescent="0.25">
      <c r="A863"/>
    </row>
    <row r="864" spans="1:1" x14ac:dyDescent="0.25">
      <c r="A864"/>
    </row>
    <row r="865" spans="1:1" x14ac:dyDescent="0.25">
      <c r="A865"/>
    </row>
    <row r="866" spans="1:1" x14ac:dyDescent="0.25">
      <c r="A866"/>
    </row>
    <row r="867" spans="1:1" x14ac:dyDescent="0.25">
      <c r="A867"/>
    </row>
    <row r="868" spans="1:1" x14ac:dyDescent="0.25">
      <c r="A868"/>
    </row>
    <row r="869" spans="1:1" x14ac:dyDescent="0.25">
      <c r="A869"/>
    </row>
    <row r="870" spans="1:1" x14ac:dyDescent="0.25">
      <c r="A870"/>
    </row>
    <row r="871" spans="1:1" x14ac:dyDescent="0.25">
      <c r="A871"/>
    </row>
    <row r="872" spans="1:1" x14ac:dyDescent="0.25">
      <c r="A872"/>
    </row>
    <row r="873" spans="1:1" x14ac:dyDescent="0.25">
      <c r="A873"/>
    </row>
    <row r="874" spans="1:1" x14ac:dyDescent="0.25">
      <c r="A874"/>
    </row>
    <row r="875" spans="1:1" x14ac:dyDescent="0.25">
      <c r="A875"/>
    </row>
    <row r="876" spans="1:1" x14ac:dyDescent="0.25">
      <c r="A876"/>
    </row>
    <row r="877" spans="1:1" x14ac:dyDescent="0.25">
      <c r="A877"/>
    </row>
    <row r="878" spans="1:1" x14ac:dyDescent="0.25">
      <c r="A878"/>
    </row>
    <row r="879" spans="1:1" x14ac:dyDescent="0.25">
      <c r="A879"/>
    </row>
    <row r="880" spans="1:1" x14ac:dyDescent="0.25">
      <c r="A880"/>
    </row>
    <row r="881" spans="1:1" x14ac:dyDescent="0.25">
      <c r="A881"/>
    </row>
    <row r="882" spans="1:1" x14ac:dyDescent="0.25">
      <c r="A882"/>
    </row>
    <row r="883" spans="1:1" x14ac:dyDescent="0.25">
      <c r="A883"/>
    </row>
    <row r="884" spans="1:1" x14ac:dyDescent="0.25">
      <c r="A884"/>
    </row>
    <row r="885" spans="1:1" x14ac:dyDescent="0.25">
      <c r="A885"/>
    </row>
    <row r="886" spans="1:1" x14ac:dyDescent="0.25">
      <c r="A886"/>
    </row>
    <row r="887" spans="1:1" x14ac:dyDescent="0.25">
      <c r="A887"/>
    </row>
    <row r="888" spans="1:1" x14ac:dyDescent="0.25">
      <c r="A888"/>
    </row>
    <row r="889" spans="1:1" x14ac:dyDescent="0.25">
      <c r="A889"/>
    </row>
    <row r="890" spans="1:1" x14ac:dyDescent="0.25">
      <c r="A890"/>
    </row>
    <row r="891" spans="1:1" x14ac:dyDescent="0.25">
      <c r="A891"/>
    </row>
    <row r="892" spans="1:1" x14ac:dyDescent="0.25">
      <c r="A892"/>
    </row>
    <row r="893" spans="1:1" x14ac:dyDescent="0.25">
      <c r="A893"/>
    </row>
    <row r="894" spans="1:1" x14ac:dyDescent="0.25">
      <c r="A894"/>
    </row>
    <row r="895" spans="1:1" x14ac:dyDescent="0.25">
      <c r="A895"/>
    </row>
    <row r="896" spans="1:1" x14ac:dyDescent="0.25">
      <c r="A896"/>
    </row>
    <row r="897" spans="1:1" x14ac:dyDescent="0.25">
      <c r="A897"/>
    </row>
    <row r="898" spans="1:1" x14ac:dyDescent="0.25">
      <c r="A898"/>
    </row>
    <row r="899" spans="1:1" x14ac:dyDescent="0.25">
      <c r="A899"/>
    </row>
    <row r="900" spans="1:1" x14ac:dyDescent="0.25">
      <c r="A900"/>
    </row>
    <row r="901" spans="1:1" x14ac:dyDescent="0.25">
      <c r="A901"/>
    </row>
    <row r="902" spans="1:1" x14ac:dyDescent="0.25">
      <c r="A902"/>
    </row>
    <row r="903" spans="1:1" x14ac:dyDescent="0.25">
      <c r="A903"/>
    </row>
    <row r="904" spans="1:1" x14ac:dyDescent="0.25">
      <c r="A904"/>
    </row>
    <row r="905" spans="1:1" x14ac:dyDescent="0.25">
      <c r="A905"/>
    </row>
    <row r="906" spans="1:1" x14ac:dyDescent="0.25">
      <c r="A906"/>
    </row>
    <row r="907" spans="1:1" x14ac:dyDescent="0.25">
      <c r="A907"/>
    </row>
    <row r="908" spans="1:1" x14ac:dyDescent="0.25">
      <c r="A908"/>
    </row>
    <row r="909" spans="1:1" x14ac:dyDescent="0.25">
      <c r="A909"/>
    </row>
    <row r="910" spans="1:1" x14ac:dyDescent="0.25">
      <c r="A910"/>
    </row>
    <row r="911" spans="1:1" x14ac:dyDescent="0.25">
      <c r="A911"/>
    </row>
    <row r="912" spans="1:1" x14ac:dyDescent="0.25">
      <c r="A912"/>
    </row>
    <row r="913" spans="1:1" x14ac:dyDescent="0.25">
      <c r="A913"/>
    </row>
    <row r="914" spans="1:1" x14ac:dyDescent="0.25">
      <c r="A914"/>
    </row>
    <row r="915" spans="1:1" x14ac:dyDescent="0.25">
      <c r="A915"/>
    </row>
    <row r="916" spans="1:1" x14ac:dyDescent="0.25">
      <c r="A916"/>
    </row>
    <row r="917" spans="1:1" x14ac:dyDescent="0.25">
      <c r="A917"/>
    </row>
    <row r="918" spans="1:1" x14ac:dyDescent="0.25">
      <c r="A918"/>
    </row>
    <row r="919" spans="1:1" x14ac:dyDescent="0.25">
      <c r="A919"/>
    </row>
    <row r="920" spans="1:1" x14ac:dyDescent="0.25">
      <c r="A920"/>
    </row>
    <row r="921" spans="1:1" x14ac:dyDescent="0.25">
      <c r="A921"/>
    </row>
    <row r="922" spans="1:1" x14ac:dyDescent="0.25">
      <c r="A922"/>
    </row>
    <row r="923" spans="1:1" x14ac:dyDescent="0.25">
      <c r="A923"/>
    </row>
    <row r="924" spans="1:1" x14ac:dyDescent="0.25">
      <c r="A924"/>
    </row>
    <row r="925" spans="1:1" x14ac:dyDescent="0.25">
      <c r="A925"/>
    </row>
    <row r="926" spans="1:1" x14ac:dyDescent="0.25">
      <c r="A926"/>
    </row>
    <row r="927" spans="1:1" x14ac:dyDescent="0.25">
      <c r="A927"/>
    </row>
    <row r="928" spans="1:1" x14ac:dyDescent="0.25">
      <c r="A928"/>
    </row>
    <row r="929" spans="1:1" x14ac:dyDescent="0.25">
      <c r="A929"/>
    </row>
    <row r="930" spans="1:1" x14ac:dyDescent="0.25">
      <c r="A930"/>
    </row>
    <row r="931" spans="1:1" x14ac:dyDescent="0.25">
      <c r="A931"/>
    </row>
    <row r="932" spans="1:1" x14ac:dyDescent="0.25">
      <c r="A932"/>
    </row>
    <row r="933" spans="1:1" x14ac:dyDescent="0.25">
      <c r="A933"/>
    </row>
    <row r="934" spans="1:1" x14ac:dyDescent="0.25">
      <c r="A934"/>
    </row>
    <row r="935" spans="1:1" x14ac:dyDescent="0.25">
      <c r="A935"/>
    </row>
    <row r="936" spans="1:1" x14ac:dyDescent="0.25">
      <c r="A936"/>
    </row>
    <row r="937" spans="1:1" x14ac:dyDescent="0.25">
      <c r="A937"/>
    </row>
    <row r="938" spans="1:1" x14ac:dyDescent="0.25">
      <c r="A938"/>
    </row>
    <row r="939" spans="1:1" x14ac:dyDescent="0.25">
      <c r="A939"/>
    </row>
    <row r="940" spans="1:1" x14ac:dyDescent="0.25">
      <c r="A940"/>
    </row>
    <row r="941" spans="1:1" x14ac:dyDescent="0.25">
      <c r="A941"/>
    </row>
    <row r="942" spans="1:1" x14ac:dyDescent="0.25">
      <c r="A942"/>
    </row>
    <row r="943" spans="1:1" x14ac:dyDescent="0.25">
      <c r="A943"/>
    </row>
    <row r="944" spans="1:1" x14ac:dyDescent="0.25">
      <c r="A944"/>
    </row>
    <row r="945" spans="1:1" x14ac:dyDescent="0.25">
      <c r="A945"/>
    </row>
    <row r="946" spans="1:1" x14ac:dyDescent="0.25">
      <c r="A946"/>
    </row>
    <row r="947" spans="1:1" x14ac:dyDescent="0.25">
      <c r="A947"/>
    </row>
    <row r="948" spans="1:1" x14ac:dyDescent="0.25">
      <c r="A948"/>
    </row>
    <row r="949" spans="1:1" x14ac:dyDescent="0.25">
      <c r="A949"/>
    </row>
    <row r="950" spans="1:1" x14ac:dyDescent="0.25">
      <c r="A950"/>
    </row>
    <row r="951" spans="1:1" x14ac:dyDescent="0.25">
      <c r="A951"/>
    </row>
    <row r="952" spans="1:1" x14ac:dyDescent="0.25">
      <c r="A952"/>
    </row>
    <row r="953" spans="1:1" x14ac:dyDescent="0.25">
      <c r="A953"/>
    </row>
    <row r="954" spans="1:1" x14ac:dyDescent="0.25">
      <c r="A954"/>
    </row>
    <row r="955" spans="1:1" x14ac:dyDescent="0.25">
      <c r="A955"/>
    </row>
    <row r="956" spans="1:1" x14ac:dyDescent="0.25">
      <c r="A956"/>
    </row>
    <row r="957" spans="1:1" x14ac:dyDescent="0.25">
      <c r="A957"/>
    </row>
    <row r="958" spans="1:1" x14ac:dyDescent="0.25">
      <c r="A958"/>
    </row>
    <row r="959" spans="1:1" x14ac:dyDescent="0.25">
      <c r="A959"/>
    </row>
    <row r="960" spans="1:1" x14ac:dyDescent="0.25">
      <c r="A960"/>
    </row>
    <row r="961" spans="1:1" x14ac:dyDescent="0.25">
      <c r="A961"/>
    </row>
    <row r="962" spans="1:1" x14ac:dyDescent="0.25">
      <c r="A962"/>
    </row>
    <row r="963" spans="1:1" x14ac:dyDescent="0.25">
      <c r="A963"/>
    </row>
    <row r="964" spans="1:1" x14ac:dyDescent="0.25">
      <c r="A964"/>
    </row>
    <row r="965" spans="1:1" x14ac:dyDescent="0.25">
      <c r="A965"/>
    </row>
    <row r="966" spans="1:1" x14ac:dyDescent="0.25">
      <c r="A966"/>
    </row>
    <row r="967" spans="1:1" x14ac:dyDescent="0.25">
      <c r="A967"/>
    </row>
    <row r="968" spans="1:1" x14ac:dyDescent="0.25">
      <c r="A968"/>
    </row>
    <row r="969" spans="1:1" x14ac:dyDescent="0.25">
      <c r="A969"/>
    </row>
    <row r="970" spans="1:1" x14ac:dyDescent="0.25">
      <c r="A970"/>
    </row>
    <row r="971" spans="1:1" x14ac:dyDescent="0.25">
      <c r="A971"/>
    </row>
    <row r="972" spans="1:1" x14ac:dyDescent="0.25">
      <c r="A972"/>
    </row>
    <row r="973" spans="1:1" x14ac:dyDescent="0.25">
      <c r="A973"/>
    </row>
    <row r="974" spans="1:1" x14ac:dyDescent="0.25">
      <c r="A974"/>
    </row>
    <row r="975" spans="1:1" x14ac:dyDescent="0.25">
      <c r="A975"/>
    </row>
    <row r="976" spans="1:1" x14ac:dyDescent="0.25">
      <c r="A976"/>
    </row>
    <row r="977" spans="1:1" x14ac:dyDescent="0.25">
      <c r="A977"/>
    </row>
    <row r="978" spans="1:1" x14ac:dyDescent="0.25">
      <c r="A978"/>
    </row>
    <row r="979" spans="1:1" x14ac:dyDescent="0.25">
      <c r="A979"/>
    </row>
    <row r="980" spans="1:1" x14ac:dyDescent="0.25">
      <c r="A980"/>
    </row>
    <row r="981" spans="1:1" x14ac:dyDescent="0.25">
      <c r="A981"/>
    </row>
    <row r="982" spans="1:1" x14ac:dyDescent="0.25">
      <c r="A982"/>
    </row>
    <row r="983" spans="1:1" x14ac:dyDescent="0.25">
      <c r="A983"/>
    </row>
    <row r="984" spans="1:1" x14ac:dyDescent="0.25">
      <c r="A984"/>
    </row>
    <row r="985" spans="1:1" x14ac:dyDescent="0.25">
      <c r="A985"/>
    </row>
    <row r="986" spans="1:1" x14ac:dyDescent="0.25">
      <c r="A986"/>
    </row>
    <row r="987" spans="1:1" x14ac:dyDescent="0.25">
      <c r="A987"/>
    </row>
    <row r="988" spans="1:1" x14ac:dyDescent="0.25">
      <c r="A988"/>
    </row>
    <row r="989" spans="1:1" x14ac:dyDescent="0.25">
      <c r="A989"/>
    </row>
    <row r="990" spans="1:1" x14ac:dyDescent="0.25">
      <c r="A990"/>
    </row>
    <row r="991" spans="1:1" x14ac:dyDescent="0.25">
      <c r="A991"/>
    </row>
    <row r="992" spans="1:1" x14ac:dyDescent="0.25">
      <c r="A992"/>
    </row>
    <row r="993" spans="1:1" x14ac:dyDescent="0.25">
      <c r="A993"/>
    </row>
    <row r="994" spans="1:1" x14ac:dyDescent="0.25">
      <c r="A994"/>
    </row>
    <row r="995" spans="1:1" x14ac:dyDescent="0.25">
      <c r="A995"/>
    </row>
    <row r="996" spans="1:1" x14ac:dyDescent="0.25">
      <c r="A996"/>
    </row>
    <row r="997" spans="1:1" x14ac:dyDescent="0.25">
      <c r="A997"/>
    </row>
    <row r="998" spans="1:1" x14ac:dyDescent="0.25">
      <c r="A998"/>
    </row>
    <row r="999" spans="1:1" x14ac:dyDescent="0.25">
      <c r="A999"/>
    </row>
    <row r="1000" spans="1:1" x14ac:dyDescent="0.25">
      <c r="A1000"/>
    </row>
    <row r="1001" spans="1:1" x14ac:dyDescent="0.25">
      <c r="A1001"/>
    </row>
    <row r="1002" spans="1:1" x14ac:dyDescent="0.25">
      <c r="A1002"/>
    </row>
    <row r="1003" spans="1:1" x14ac:dyDescent="0.25">
      <c r="A1003"/>
    </row>
    <row r="1004" spans="1:1" x14ac:dyDescent="0.25">
      <c r="A1004"/>
    </row>
    <row r="1005" spans="1:1" x14ac:dyDescent="0.25">
      <c r="A1005"/>
    </row>
    <row r="1006" spans="1:1" x14ac:dyDescent="0.25">
      <c r="A1006"/>
    </row>
    <row r="1007" spans="1:1" x14ac:dyDescent="0.25">
      <c r="A1007"/>
    </row>
    <row r="1008" spans="1:1" x14ac:dyDescent="0.25">
      <c r="A1008"/>
    </row>
    <row r="1009" spans="1:1" x14ac:dyDescent="0.25">
      <c r="A1009"/>
    </row>
    <row r="1010" spans="1:1" x14ac:dyDescent="0.25">
      <c r="A1010"/>
    </row>
    <row r="1011" spans="1:1" x14ac:dyDescent="0.25">
      <c r="A1011"/>
    </row>
    <row r="1012" spans="1:1" x14ac:dyDescent="0.25">
      <c r="A1012"/>
    </row>
    <row r="1013" spans="1:1" x14ac:dyDescent="0.25">
      <c r="A1013"/>
    </row>
    <row r="1014" spans="1:1" x14ac:dyDescent="0.25">
      <c r="A1014"/>
    </row>
    <row r="1015" spans="1:1" x14ac:dyDescent="0.25">
      <c r="A1015"/>
    </row>
    <row r="1016" spans="1:1" x14ac:dyDescent="0.25">
      <c r="A1016"/>
    </row>
    <row r="1017" spans="1:1" x14ac:dyDescent="0.25">
      <c r="A1017"/>
    </row>
    <row r="1018" spans="1:1" x14ac:dyDescent="0.25">
      <c r="A1018"/>
    </row>
    <row r="1019" spans="1:1" x14ac:dyDescent="0.25">
      <c r="A1019"/>
    </row>
    <row r="1020" spans="1:1" x14ac:dyDescent="0.25">
      <c r="A1020"/>
    </row>
    <row r="1021" spans="1:1" x14ac:dyDescent="0.25">
      <c r="A1021"/>
    </row>
    <row r="1022" spans="1:1" x14ac:dyDescent="0.25">
      <c r="A1022"/>
    </row>
    <row r="1023" spans="1:1" x14ac:dyDescent="0.25">
      <c r="A1023"/>
    </row>
    <row r="1024" spans="1:1" x14ac:dyDescent="0.25">
      <c r="A1024"/>
    </row>
    <row r="1025" spans="1:1" x14ac:dyDescent="0.25">
      <c r="A1025"/>
    </row>
    <row r="1026" spans="1:1" x14ac:dyDescent="0.25">
      <c r="A1026"/>
    </row>
    <row r="1027" spans="1:1" x14ac:dyDescent="0.25">
      <c r="A1027"/>
    </row>
    <row r="1028" spans="1:1" x14ac:dyDescent="0.25">
      <c r="A1028"/>
    </row>
    <row r="1029" spans="1:1" x14ac:dyDescent="0.25">
      <c r="A1029"/>
    </row>
    <row r="1030" spans="1:1" x14ac:dyDescent="0.25">
      <c r="A1030"/>
    </row>
    <row r="1031" spans="1:1" x14ac:dyDescent="0.25">
      <c r="A1031"/>
    </row>
    <row r="1032" spans="1:1" x14ac:dyDescent="0.25">
      <c r="A1032"/>
    </row>
    <row r="1033" spans="1:1" x14ac:dyDescent="0.25">
      <c r="A1033"/>
    </row>
    <row r="1034" spans="1:1" x14ac:dyDescent="0.25">
      <c r="A1034"/>
    </row>
    <row r="1035" spans="1:1" x14ac:dyDescent="0.25">
      <c r="A1035"/>
    </row>
    <row r="1036" spans="1:1" x14ac:dyDescent="0.25">
      <c r="A1036"/>
    </row>
    <row r="1037" spans="1:1" x14ac:dyDescent="0.25">
      <c r="A1037"/>
    </row>
    <row r="1038" spans="1:1" x14ac:dyDescent="0.25">
      <c r="A1038"/>
    </row>
    <row r="1039" spans="1:1" x14ac:dyDescent="0.25">
      <c r="A1039"/>
    </row>
    <row r="1040" spans="1:1" x14ac:dyDescent="0.25">
      <c r="A1040"/>
    </row>
    <row r="1041" spans="1:1" x14ac:dyDescent="0.25">
      <c r="A1041"/>
    </row>
    <row r="1042" spans="1:1" x14ac:dyDescent="0.25">
      <c r="A1042"/>
    </row>
    <row r="1043" spans="1:1" x14ac:dyDescent="0.25">
      <c r="A1043"/>
    </row>
    <row r="1044" spans="1:1" x14ac:dyDescent="0.25">
      <c r="A1044"/>
    </row>
    <row r="1045" spans="1:1" x14ac:dyDescent="0.25">
      <c r="A1045"/>
    </row>
    <row r="1046" spans="1:1" x14ac:dyDescent="0.25">
      <c r="A1046"/>
    </row>
    <row r="1047" spans="1:1" x14ac:dyDescent="0.25">
      <c r="A1047"/>
    </row>
    <row r="1048" spans="1:1" x14ac:dyDescent="0.25">
      <c r="A1048"/>
    </row>
    <row r="1049" spans="1:1" x14ac:dyDescent="0.25">
      <c r="A1049"/>
    </row>
    <row r="1050" spans="1:1" x14ac:dyDescent="0.25">
      <c r="A1050"/>
    </row>
    <row r="1051" spans="1:1" x14ac:dyDescent="0.25">
      <c r="A1051"/>
    </row>
    <row r="1052" spans="1:1" x14ac:dyDescent="0.25">
      <c r="A1052"/>
    </row>
    <row r="1053" spans="1:1" x14ac:dyDescent="0.25">
      <c r="A1053"/>
    </row>
    <row r="1054" spans="1:1" x14ac:dyDescent="0.25">
      <c r="A1054"/>
    </row>
    <row r="1055" spans="1:1" x14ac:dyDescent="0.25">
      <c r="A1055"/>
    </row>
    <row r="1056" spans="1:1" x14ac:dyDescent="0.25">
      <c r="A1056"/>
    </row>
    <row r="1057" spans="1:1" x14ac:dyDescent="0.25">
      <c r="A1057"/>
    </row>
    <row r="1058" spans="1:1" x14ac:dyDescent="0.25">
      <c r="A1058"/>
    </row>
    <row r="1059" spans="1:1" x14ac:dyDescent="0.25">
      <c r="A1059"/>
    </row>
    <row r="1060" spans="1:1" x14ac:dyDescent="0.25">
      <c r="A1060"/>
    </row>
    <row r="1061" spans="1:1" x14ac:dyDescent="0.25">
      <c r="A1061"/>
    </row>
    <row r="1062" spans="1:1" x14ac:dyDescent="0.25">
      <c r="A1062"/>
    </row>
    <row r="1063" spans="1:1" x14ac:dyDescent="0.25">
      <c r="A1063"/>
    </row>
    <row r="1064" spans="1:1" x14ac:dyDescent="0.25">
      <c r="A1064"/>
    </row>
    <row r="1065" spans="1:1" x14ac:dyDescent="0.25">
      <c r="A1065"/>
    </row>
    <row r="1066" spans="1:1" x14ac:dyDescent="0.25">
      <c r="A1066"/>
    </row>
    <row r="1067" spans="1:1" x14ac:dyDescent="0.25">
      <c r="A1067"/>
    </row>
    <row r="1068" spans="1:1" x14ac:dyDescent="0.25">
      <c r="A1068"/>
    </row>
    <row r="1069" spans="1:1" x14ac:dyDescent="0.25">
      <c r="A1069"/>
    </row>
    <row r="1070" spans="1:1" x14ac:dyDescent="0.25">
      <c r="A1070"/>
    </row>
    <row r="1071" spans="1:1" x14ac:dyDescent="0.25">
      <c r="A1071"/>
    </row>
    <row r="1072" spans="1:1" x14ac:dyDescent="0.25">
      <c r="A1072"/>
    </row>
    <row r="1073" spans="1:1" x14ac:dyDescent="0.25">
      <c r="A1073"/>
    </row>
    <row r="1074" spans="1:1" x14ac:dyDescent="0.25">
      <c r="A1074"/>
    </row>
    <row r="1075" spans="1:1" x14ac:dyDescent="0.25">
      <c r="A1075"/>
    </row>
    <row r="1076" spans="1:1" x14ac:dyDescent="0.25">
      <c r="A1076"/>
    </row>
    <row r="1077" spans="1:1" x14ac:dyDescent="0.25">
      <c r="A1077"/>
    </row>
    <row r="1078" spans="1:1" x14ac:dyDescent="0.25">
      <c r="A1078"/>
    </row>
    <row r="1079" spans="1:1" x14ac:dyDescent="0.25">
      <c r="A1079"/>
    </row>
    <row r="1080" spans="1:1" x14ac:dyDescent="0.25">
      <c r="A1080"/>
    </row>
    <row r="1081" spans="1:1" x14ac:dyDescent="0.25">
      <c r="A1081"/>
    </row>
    <row r="1082" spans="1:1" x14ac:dyDescent="0.25">
      <c r="A1082"/>
    </row>
    <row r="1083" spans="1:1" x14ac:dyDescent="0.25">
      <c r="A1083"/>
    </row>
    <row r="1084" spans="1:1" x14ac:dyDescent="0.25">
      <c r="A1084"/>
    </row>
    <row r="1085" spans="1:1" x14ac:dyDescent="0.25">
      <c r="A1085"/>
    </row>
    <row r="1086" spans="1:1" x14ac:dyDescent="0.25">
      <c r="A1086"/>
    </row>
    <row r="1087" spans="1:1" x14ac:dyDescent="0.25">
      <c r="A1087"/>
    </row>
    <row r="1088" spans="1:1" x14ac:dyDescent="0.25">
      <c r="A1088"/>
    </row>
    <row r="1089" spans="1:1" x14ac:dyDescent="0.25">
      <c r="A1089"/>
    </row>
    <row r="1090" spans="1:1" x14ac:dyDescent="0.25">
      <c r="A1090"/>
    </row>
    <row r="1091" spans="1:1" x14ac:dyDescent="0.25">
      <c r="A1091"/>
    </row>
    <row r="1092" spans="1:1" x14ac:dyDescent="0.25">
      <c r="A1092"/>
    </row>
    <row r="1093" spans="1:1" x14ac:dyDescent="0.25">
      <c r="A1093"/>
    </row>
    <row r="1094" spans="1:1" x14ac:dyDescent="0.25">
      <c r="A1094"/>
    </row>
    <row r="1095" spans="1:1" x14ac:dyDescent="0.25">
      <c r="A1095"/>
    </row>
    <row r="1096" spans="1:1" x14ac:dyDescent="0.25">
      <c r="A1096"/>
    </row>
    <row r="1097" spans="1:1" x14ac:dyDescent="0.25">
      <c r="A1097"/>
    </row>
    <row r="1098" spans="1:1" x14ac:dyDescent="0.25">
      <c r="A1098"/>
    </row>
    <row r="1099" spans="1:1" x14ac:dyDescent="0.25">
      <c r="A1099"/>
    </row>
    <row r="1100" spans="1:1" x14ac:dyDescent="0.25">
      <c r="A1100"/>
    </row>
    <row r="1101" spans="1:1" x14ac:dyDescent="0.25">
      <c r="A1101"/>
    </row>
    <row r="1102" spans="1:1" x14ac:dyDescent="0.25">
      <c r="A1102"/>
    </row>
    <row r="1103" spans="1:1" x14ac:dyDescent="0.25">
      <c r="A1103"/>
    </row>
    <row r="1104" spans="1:1" x14ac:dyDescent="0.25">
      <c r="A1104"/>
    </row>
    <row r="1105" spans="1:1" x14ac:dyDescent="0.25">
      <c r="A1105"/>
    </row>
    <row r="1106" spans="1:1" x14ac:dyDescent="0.25">
      <c r="A1106"/>
    </row>
    <row r="1107" spans="1:1" x14ac:dyDescent="0.25">
      <c r="A1107"/>
    </row>
    <row r="1108" spans="1:1" x14ac:dyDescent="0.25">
      <c r="A1108"/>
    </row>
    <row r="1109" spans="1:1" x14ac:dyDescent="0.25">
      <c r="A1109"/>
    </row>
    <row r="1110" spans="1:1" x14ac:dyDescent="0.25">
      <c r="A1110"/>
    </row>
    <row r="1111" spans="1:1" x14ac:dyDescent="0.25">
      <c r="A1111"/>
    </row>
    <row r="1112" spans="1:1" x14ac:dyDescent="0.25">
      <c r="A1112"/>
    </row>
    <row r="1113" spans="1:1" x14ac:dyDescent="0.25">
      <c r="A1113"/>
    </row>
    <row r="1114" spans="1:1" x14ac:dyDescent="0.25">
      <c r="A1114"/>
    </row>
    <row r="1115" spans="1:1" x14ac:dyDescent="0.25">
      <c r="A1115"/>
    </row>
    <row r="1116" spans="1:1" x14ac:dyDescent="0.25">
      <c r="A1116"/>
    </row>
    <row r="1117" spans="1:1" x14ac:dyDescent="0.25">
      <c r="A1117"/>
    </row>
    <row r="1118" spans="1:1" x14ac:dyDescent="0.25">
      <c r="A1118"/>
    </row>
    <row r="1119" spans="1:1" x14ac:dyDescent="0.25">
      <c r="A1119"/>
    </row>
    <row r="1120" spans="1:1" x14ac:dyDescent="0.25">
      <c r="A1120"/>
    </row>
    <row r="1121" spans="1:1" x14ac:dyDescent="0.25">
      <c r="A1121"/>
    </row>
    <row r="1122" spans="1:1" x14ac:dyDescent="0.25">
      <c r="A1122"/>
    </row>
    <row r="1123" spans="1:1" x14ac:dyDescent="0.25">
      <c r="A1123"/>
    </row>
    <row r="1124" spans="1:1" x14ac:dyDescent="0.25">
      <c r="A1124"/>
    </row>
    <row r="1125" spans="1:1" x14ac:dyDescent="0.25">
      <c r="A1125"/>
    </row>
    <row r="1126" spans="1:1" x14ac:dyDescent="0.25">
      <c r="A1126"/>
    </row>
    <row r="1127" spans="1:1" x14ac:dyDescent="0.25">
      <c r="A1127"/>
    </row>
    <row r="1128" spans="1:1" x14ac:dyDescent="0.25">
      <c r="A1128"/>
    </row>
    <row r="1129" spans="1:1" x14ac:dyDescent="0.25">
      <c r="A1129"/>
    </row>
    <row r="1130" spans="1:1" x14ac:dyDescent="0.25">
      <c r="A1130"/>
    </row>
    <row r="1131" spans="1:1" x14ac:dyDescent="0.25">
      <c r="A1131"/>
    </row>
    <row r="1132" spans="1:1" x14ac:dyDescent="0.25">
      <c r="A1132"/>
    </row>
    <row r="1133" spans="1:1" x14ac:dyDescent="0.25">
      <c r="A1133"/>
    </row>
    <row r="1134" spans="1:1" x14ac:dyDescent="0.25">
      <c r="A1134"/>
    </row>
    <row r="1135" spans="1:1" x14ac:dyDescent="0.25">
      <c r="A1135"/>
    </row>
    <row r="1136" spans="1:1" x14ac:dyDescent="0.25">
      <c r="A1136"/>
    </row>
    <row r="1137" spans="1:1" x14ac:dyDescent="0.25">
      <c r="A1137"/>
    </row>
    <row r="1138" spans="1:1" x14ac:dyDescent="0.25">
      <c r="A1138"/>
    </row>
    <row r="1139" spans="1:1" x14ac:dyDescent="0.25">
      <c r="A1139"/>
    </row>
    <row r="1140" spans="1:1" x14ac:dyDescent="0.25">
      <c r="A1140"/>
    </row>
    <row r="1141" spans="1:1" x14ac:dyDescent="0.25">
      <c r="A1141"/>
    </row>
    <row r="1142" spans="1:1" x14ac:dyDescent="0.25">
      <c r="A1142"/>
    </row>
    <row r="1143" spans="1:1" x14ac:dyDescent="0.25">
      <c r="A1143"/>
    </row>
    <row r="1144" spans="1:1" x14ac:dyDescent="0.25">
      <c r="A1144"/>
    </row>
    <row r="1145" spans="1:1" x14ac:dyDescent="0.25">
      <c r="A1145"/>
    </row>
    <row r="1146" spans="1:1" x14ac:dyDescent="0.25">
      <c r="A1146"/>
    </row>
    <row r="1147" spans="1:1" x14ac:dyDescent="0.25">
      <c r="A1147"/>
    </row>
    <row r="1148" spans="1:1" x14ac:dyDescent="0.25">
      <c r="A1148"/>
    </row>
    <row r="1149" spans="1:1" x14ac:dyDescent="0.25">
      <c r="A1149"/>
    </row>
    <row r="1150" spans="1:1" x14ac:dyDescent="0.25">
      <c r="A1150"/>
    </row>
    <row r="1151" spans="1:1" x14ac:dyDescent="0.25">
      <c r="A1151"/>
    </row>
    <row r="1152" spans="1:1" x14ac:dyDescent="0.25">
      <c r="A1152"/>
    </row>
    <row r="1153" spans="1:1" x14ac:dyDescent="0.25">
      <c r="A1153"/>
    </row>
    <row r="1154" spans="1:1" x14ac:dyDescent="0.25">
      <c r="A1154"/>
    </row>
    <row r="1155" spans="1:1" x14ac:dyDescent="0.25">
      <c r="A1155"/>
    </row>
    <row r="1156" spans="1:1" x14ac:dyDescent="0.25">
      <c r="A1156"/>
    </row>
    <row r="1157" spans="1:1" x14ac:dyDescent="0.25">
      <c r="A1157"/>
    </row>
    <row r="1158" spans="1:1" x14ac:dyDescent="0.25">
      <c r="A1158"/>
    </row>
    <row r="1159" spans="1:1" x14ac:dyDescent="0.25">
      <c r="A1159"/>
    </row>
    <row r="1160" spans="1:1" x14ac:dyDescent="0.25">
      <c r="A1160"/>
    </row>
    <row r="1161" spans="1:1" x14ac:dyDescent="0.25">
      <c r="A1161"/>
    </row>
    <row r="1162" spans="1:1" x14ac:dyDescent="0.25">
      <c r="A1162"/>
    </row>
    <row r="1163" spans="1:1" x14ac:dyDescent="0.25">
      <c r="A1163"/>
    </row>
    <row r="1164" spans="1:1" x14ac:dyDescent="0.25">
      <c r="A1164"/>
    </row>
    <row r="1165" spans="1:1" x14ac:dyDescent="0.25">
      <c r="A1165"/>
    </row>
    <row r="1166" spans="1:1" x14ac:dyDescent="0.25">
      <c r="A1166"/>
    </row>
    <row r="1167" spans="1:1" x14ac:dyDescent="0.25">
      <c r="A1167"/>
    </row>
    <row r="1168" spans="1:1" x14ac:dyDescent="0.25">
      <c r="A1168"/>
    </row>
    <row r="1169" spans="1:1" x14ac:dyDescent="0.25">
      <c r="A1169"/>
    </row>
    <row r="1170" spans="1:1" x14ac:dyDescent="0.25">
      <c r="A1170"/>
    </row>
    <row r="1171" spans="1:1" x14ac:dyDescent="0.25">
      <c r="A1171"/>
    </row>
    <row r="1172" spans="1:1" x14ac:dyDescent="0.25">
      <c r="A1172"/>
    </row>
    <row r="1173" spans="1:1" x14ac:dyDescent="0.25">
      <c r="A1173"/>
    </row>
    <row r="1174" spans="1:1" x14ac:dyDescent="0.25">
      <c r="A1174"/>
    </row>
    <row r="1175" spans="1:1" x14ac:dyDescent="0.25">
      <c r="A1175"/>
    </row>
    <row r="1176" spans="1:1" x14ac:dyDescent="0.25">
      <c r="A1176"/>
    </row>
    <row r="1177" spans="1:1" x14ac:dyDescent="0.25">
      <c r="A1177"/>
    </row>
    <row r="1178" spans="1:1" x14ac:dyDescent="0.25">
      <c r="A1178"/>
    </row>
    <row r="1179" spans="1:1" x14ac:dyDescent="0.25">
      <c r="A1179"/>
    </row>
    <row r="1180" spans="1:1" x14ac:dyDescent="0.25">
      <c r="A1180"/>
    </row>
    <row r="1181" spans="1:1" x14ac:dyDescent="0.25">
      <c r="A1181"/>
    </row>
    <row r="1182" spans="1:1" x14ac:dyDescent="0.25">
      <c r="A1182"/>
    </row>
    <row r="1183" spans="1:1" x14ac:dyDescent="0.25">
      <c r="A1183"/>
    </row>
    <row r="1184" spans="1:1" x14ac:dyDescent="0.25">
      <c r="A1184"/>
    </row>
    <row r="1185" spans="1:1" x14ac:dyDescent="0.25">
      <c r="A1185"/>
    </row>
    <row r="1186" spans="1:1" x14ac:dyDescent="0.25">
      <c r="A1186"/>
    </row>
    <row r="1187" spans="1:1" x14ac:dyDescent="0.25">
      <c r="A1187"/>
    </row>
    <row r="1188" spans="1:1" x14ac:dyDescent="0.25">
      <c r="A1188"/>
    </row>
    <row r="1189" spans="1:1" x14ac:dyDescent="0.25">
      <c r="A1189"/>
    </row>
    <row r="1190" spans="1:1" x14ac:dyDescent="0.25">
      <c r="A1190"/>
    </row>
    <row r="1191" spans="1:1" x14ac:dyDescent="0.25">
      <c r="A1191"/>
    </row>
    <row r="1192" spans="1:1" x14ac:dyDescent="0.25">
      <c r="A1192"/>
    </row>
    <row r="1193" spans="1:1" x14ac:dyDescent="0.25">
      <c r="A1193"/>
    </row>
    <row r="1194" spans="1:1" x14ac:dyDescent="0.25">
      <c r="A1194"/>
    </row>
    <row r="1195" spans="1:1" x14ac:dyDescent="0.25">
      <c r="A1195"/>
    </row>
    <row r="1196" spans="1:1" x14ac:dyDescent="0.25">
      <c r="A1196"/>
    </row>
    <row r="1197" spans="1:1" x14ac:dyDescent="0.25">
      <c r="A1197"/>
    </row>
    <row r="1198" spans="1:1" x14ac:dyDescent="0.25">
      <c r="A1198"/>
    </row>
    <row r="1199" spans="1:1" x14ac:dyDescent="0.25">
      <c r="A1199"/>
    </row>
    <row r="1200" spans="1:1" x14ac:dyDescent="0.25">
      <c r="A1200"/>
    </row>
    <row r="1201" spans="1:1" x14ac:dyDescent="0.25">
      <c r="A1201"/>
    </row>
    <row r="1202" spans="1:1" x14ac:dyDescent="0.25">
      <c r="A1202"/>
    </row>
    <row r="1203" spans="1:1" x14ac:dyDescent="0.25">
      <c r="A1203"/>
    </row>
    <row r="1204" spans="1:1" x14ac:dyDescent="0.25">
      <c r="A1204"/>
    </row>
    <row r="1205" spans="1:1" x14ac:dyDescent="0.25">
      <c r="A1205"/>
    </row>
    <row r="1206" spans="1:1" x14ac:dyDescent="0.25">
      <c r="A1206"/>
    </row>
    <row r="1207" spans="1:1" x14ac:dyDescent="0.25">
      <c r="A1207"/>
    </row>
    <row r="1208" spans="1:1" x14ac:dyDescent="0.25">
      <c r="A1208"/>
    </row>
    <row r="1209" spans="1:1" x14ac:dyDescent="0.25">
      <c r="A1209"/>
    </row>
    <row r="1210" spans="1:1" x14ac:dyDescent="0.25">
      <c r="A1210"/>
    </row>
    <row r="1211" spans="1:1" x14ac:dyDescent="0.25">
      <c r="A1211"/>
    </row>
    <row r="1212" spans="1:1" x14ac:dyDescent="0.25">
      <c r="A1212"/>
    </row>
    <row r="1213" spans="1:1" x14ac:dyDescent="0.25">
      <c r="A1213"/>
    </row>
    <row r="1214" spans="1:1" x14ac:dyDescent="0.25">
      <c r="A1214"/>
    </row>
    <row r="1215" spans="1:1" x14ac:dyDescent="0.25">
      <c r="A1215"/>
    </row>
    <row r="1216" spans="1:1" x14ac:dyDescent="0.25">
      <c r="A1216"/>
    </row>
    <row r="1217" spans="1:1" x14ac:dyDescent="0.25">
      <c r="A1217"/>
    </row>
    <row r="1218" spans="1:1" x14ac:dyDescent="0.25">
      <c r="A1218"/>
    </row>
    <row r="1219" spans="1:1" x14ac:dyDescent="0.25">
      <c r="A1219"/>
    </row>
    <row r="1220" spans="1:1" x14ac:dyDescent="0.25">
      <c r="A1220"/>
    </row>
    <row r="1221" spans="1:1" x14ac:dyDescent="0.25">
      <c r="A1221"/>
    </row>
    <row r="1222" spans="1:1" x14ac:dyDescent="0.25">
      <c r="A1222"/>
    </row>
    <row r="1223" spans="1:1" x14ac:dyDescent="0.25">
      <c r="A1223"/>
    </row>
    <row r="1224" spans="1:1" x14ac:dyDescent="0.25">
      <c r="A1224"/>
    </row>
    <row r="1225" spans="1:1" x14ac:dyDescent="0.25">
      <c r="A1225"/>
    </row>
    <row r="1226" spans="1:1" x14ac:dyDescent="0.25">
      <c r="A1226"/>
    </row>
    <row r="1227" spans="1:1" x14ac:dyDescent="0.25">
      <c r="A1227"/>
    </row>
    <row r="1228" spans="1:1" x14ac:dyDescent="0.25">
      <c r="A1228"/>
    </row>
    <row r="1229" spans="1:1" x14ac:dyDescent="0.25">
      <c r="A1229"/>
    </row>
    <row r="1230" spans="1:1" x14ac:dyDescent="0.25">
      <c r="A1230"/>
    </row>
    <row r="1231" spans="1:1" x14ac:dyDescent="0.25">
      <c r="A1231"/>
    </row>
    <row r="1232" spans="1:1" x14ac:dyDescent="0.25">
      <c r="A1232"/>
    </row>
    <row r="1233" spans="1:1" x14ac:dyDescent="0.25">
      <c r="A1233"/>
    </row>
    <row r="1234" spans="1:1" x14ac:dyDescent="0.25">
      <c r="A1234"/>
    </row>
    <row r="1235" spans="1:1" x14ac:dyDescent="0.25">
      <c r="A1235"/>
    </row>
    <row r="1236" spans="1:1" x14ac:dyDescent="0.25">
      <c r="A1236"/>
    </row>
    <row r="1237" spans="1:1" x14ac:dyDescent="0.25">
      <c r="A1237"/>
    </row>
    <row r="1238" spans="1:1" x14ac:dyDescent="0.25">
      <c r="A1238"/>
    </row>
    <row r="1239" spans="1:1" x14ac:dyDescent="0.25">
      <c r="A1239"/>
    </row>
    <row r="1240" spans="1:1" x14ac:dyDescent="0.25">
      <c r="A1240"/>
    </row>
    <row r="1241" spans="1:1" x14ac:dyDescent="0.25">
      <c r="A1241"/>
    </row>
    <row r="1242" spans="1:1" x14ac:dyDescent="0.25">
      <c r="A1242"/>
    </row>
    <row r="1243" spans="1:1" x14ac:dyDescent="0.25">
      <c r="A1243"/>
    </row>
    <row r="1244" spans="1:1" x14ac:dyDescent="0.25">
      <c r="A1244"/>
    </row>
    <row r="1245" spans="1:1" x14ac:dyDescent="0.25">
      <c r="A1245"/>
    </row>
    <row r="1246" spans="1:1" x14ac:dyDescent="0.25">
      <c r="A1246"/>
    </row>
    <row r="1247" spans="1:1" x14ac:dyDescent="0.25">
      <c r="A1247"/>
    </row>
    <row r="1248" spans="1:1" x14ac:dyDescent="0.25">
      <c r="A1248"/>
    </row>
    <row r="1249" spans="1:1" x14ac:dyDescent="0.25">
      <c r="A1249"/>
    </row>
    <row r="1250" spans="1:1" x14ac:dyDescent="0.25">
      <c r="A1250"/>
    </row>
    <row r="1251" spans="1:1" x14ac:dyDescent="0.25">
      <c r="A1251"/>
    </row>
    <row r="1252" spans="1:1" x14ac:dyDescent="0.25">
      <c r="A1252"/>
    </row>
    <row r="1253" spans="1:1" x14ac:dyDescent="0.25">
      <c r="A1253"/>
    </row>
    <row r="1254" spans="1:1" x14ac:dyDescent="0.25">
      <c r="A1254"/>
    </row>
    <row r="1255" spans="1:1" x14ac:dyDescent="0.25">
      <c r="A1255"/>
    </row>
    <row r="1256" spans="1:1" x14ac:dyDescent="0.25">
      <c r="A1256"/>
    </row>
    <row r="1257" spans="1:1" x14ac:dyDescent="0.25">
      <c r="A1257"/>
    </row>
    <row r="1258" spans="1:1" x14ac:dyDescent="0.25">
      <c r="A1258"/>
    </row>
    <row r="1259" spans="1:1" x14ac:dyDescent="0.25">
      <c r="A1259"/>
    </row>
    <row r="1260" spans="1:1" x14ac:dyDescent="0.25">
      <c r="A1260"/>
    </row>
    <row r="1261" spans="1:1" x14ac:dyDescent="0.25">
      <c r="A1261"/>
    </row>
    <row r="1262" spans="1:1" x14ac:dyDescent="0.25">
      <c r="A1262"/>
    </row>
    <row r="1263" spans="1:1" x14ac:dyDescent="0.25">
      <c r="A1263"/>
    </row>
    <row r="1264" spans="1:1" x14ac:dyDescent="0.25">
      <c r="A1264"/>
    </row>
    <row r="1265" spans="1:1" x14ac:dyDescent="0.25">
      <c r="A1265"/>
    </row>
    <row r="1266" spans="1:1" x14ac:dyDescent="0.25">
      <c r="A1266"/>
    </row>
    <row r="1267" spans="1:1" x14ac:dyDescent="0.25">
      <c r="A1267"/>
    </row>
    <row r="1268" spans="1:1" x14ac:dyDescent="0.25">
      <c r="A1268"/>
    </row>
    <row r="1269" spans="1:1" x14ac:dyDescent="0.25">
      <c r="A1269"/>
    </row>
    <row r="1270" spans="1:1" x14ac:dyDescent="0.25">
      <c r="A1270"/>
    </row>
    <row r="1271" spans="1:1" x14ac:dyDescent="0.25">
      <c r="A1271"/>
    </row>
    <row r="1272" spans="1:1" x14ac:dyDescent="0.25">
      <c r="A1272"/>
    </row>
    <row r="1273" spans="1:1" x14ac:dyDescent="0.25">
      <c r="A1273"/>
    </row>
    <row r="1274" spans="1:1" x14ac:dyDescent="0.25">
      <c r="A1274"/>
    </row>
    <row r="1275" spans="1:1" x14ac:dyDescent="0.25">
      <c r="A1275"/>
    </row>
    <row r="1276" spans="1:1" x14ac:dyDescent="0.25">
      <c r="A1276"/>
    </row>
    <row r="1277" spans="1:1" x14ac:dyDescent="0.25">
      <c r="A1277"/>
    </row>
    <row r="1278" spans="1:1" x14ac:dyDescent="0.25">
      <c r="A1278"/>
    </row>
    <row r="1279" spans="1:1" x14ac:dyDescent="0.25">
      <c r="A1279"/>
    </row>
    <row r="1280" spans="1:1" x14ac:dyDescent="0.25">
      <c r="A1280"/>
    </row>
    <row r="1281" spans="1:1" x14ac:dyDescent="0.25">
      <c r="A1281"/>
    </row>
    <row r="1282" spans="1:1" x14ac:dyDescent="0.25">
      <c r="A1282"/>
    </row>
    <row r="1283" spans="1:1" x14ac:dyDescent="0.25">
      <c r="A1283"/>
    </row>
    <row r="1284" spans="1:1" x14ac:dyDescent="0.25">
      <c r="A1284"/>
    </row>
    <row r="1285" spans="1:1" x14ac:dyDescent="0.25">
      <c r="A1285"/>
    </row>
    <row r="1286" spans="1:1" x14ac:dyDescent="0.25">
      <c r="A1286"/>
    </row>
    <row r="1287" spans="1:1" x14ac:dyDescent="0.25">
      <c r="A1287"/>
    </row>
    <row r="1288" spans="1:1" x14ac:dyDescent="0.25">
      <c r="A1288"/>
    </row>
    <row r="1289" spans="1:1" x14ac:dyDescent="0.25">
      <c r="A1289"/>
    </row>
    <row r="1290" spans="1:1" x14ac:dyDescent="0.25">
      <c r="A1290"/>
    </row>
    <row r="1291" spans="1:1" x14ac:dyDescent="0.25">
      <c r="A1291"/>
    </row>
    <row r="1292" spans="1:1" x14ac:dyDescent="0.25">
      <c r="A1292"/>
    </row>
    <row r="1293" spans="1:1" x14ac:dyDescent="0.25">
      <c r="A1293"/>
    </row>
    <row r="1294" spans="1:1" x14ac:dyDescent="0.25">
      <c r="A1294"/>
    </row>
    <row r="1295" spans="1:1" x14ac:dyDescent="0.25">
      <c r="A1295"/>
    </row>
    <row r="1296" spans="1:1" x14ac:dyDescent="0.25">
      <c r="A1296"/>
    </row>
    <row r="1297" spans="1:1" x14ac:dyDescent="0.25">
      <c r="A1297"/>
    </row>
    <row r="1298" spans="1:1" x14ac:dyDescent="0.25">
      <c r="A1298"/>
    </row>
    <row r="1299" spans="1:1" x14ac:dyDescent="0.25">
      <c r="A1299"/>
    </row>
    <row r="1300" spans="1:1" x14ac:dyDescent="0.25">
      <c r="A1300"/>
    </row>
    <row r="1301" spans="1:1" x14ac:dyDescent="0.25">
      <c r="A1301"/>
    </row>
    <row r="1302" spans="1:1" x14ac:dyDescent="0.25">
      <c r="A1302"/>
    </row>
    <row r="1303" spans="1:1" x14ac:dyDescent="0.25">
      <c r="A1303"/>
    </row>
    <row r="1304" spans="1:1" x14ac:dyDescent="0.25">
      <c r="A1304"/>
    </row>
    <row r="1305" spans="1:1" x14ac:dyDescent="0.25">
      <c r="A1305"/>
    </row>
    <row r="1306" spans="1:1" x14ac:dyDescent="0.25">
      <c r="A1306"/>
    </row>
    <row r="1307" spans="1:1" x14ac:dyDescent="0.25">
      <c r="A1307"/>
    </row>
    <row r="1308" spans="1:1" x14ac:dyDescent="0.25">
      <c r="A1308"/>
    </row>
    <row r="1309" spans="1:1" x14ac:dyDescent="0.25">
      <c r="A1309"/>
    </row>
    <row r="1310" spans="1:1" x14ac:dyDescent="0.25">
      <c r="A1310"/>
    </row>
    <row r="1311" spans="1:1" x14ac:dyDescent="0.25">
      <c r="A1311"/>
    </row>
    <row r="1312" spans="1:1" x14ac:dyDescent="0.25">
      <c r="A1312"/>
    </row>
    <row r="1313" spans="1:1" x14ac:dyDescent="0.25">
      <c r="A1313"/>
    </row>
    <row r="1314" spans="1:1" x14ac:dyDescent="0.25">
      <c r="A1314"/>
    </row>
    <row r="1315" spans="1:1" x14ac:dyDescent="0.25">
      <c r="A1315"/>
    </row>
    <row r="1316" spans="1:1" x14ac:dyDescent="0.25">
      <c r="A1316"/>
    </row>
    <row r="1317" spans="1:1" x14ac:dyDescent="0.25">
      <c r="A1317"/>
    </row>
    <row r="1318" spans="1:1" x14ac:dyDescent="0.25">
      <c r="A1318"/>
    </row>
    <row r="1319" spans="1:1" x14ac:dyDescent="0.25">
      <c r="A1319"/>
    </row>
    <row r="1320" spans="1:1" x14ac:dyDescent="0.25">
      <c r="A1320"/>
    </row>
    <row r="1321" spans="1:1" x14ac:dyDescent="0.25">
      <c r="A1321"/>
    </row>
    <row r="1322" spans="1:1" x14ac:dyDescent="0.25">
      <c r="A1322"/>
    </row>
    <row r="1323" spans="1:1" x14ac:dyDescent="0.25">
      <c r="A1323"/>
    </row>
    <row r="1324" spans="1:1" x14ac:dyDescent="0.25">
      <c r="A1324"/>
    </row>
    <row r="1325" spans="1:1" x14ac:dyDescent="0.25">
      <c r="A1325"/>
    </row>
    <row r="1326" spans="1:1" x14ac:dyDescent="0.25">
      <c r="A1326"/>
    </row>
    <row r="1327" spans="1:1" x14ac:dyDescent="0.25">
      <c r="A1327"/>
    </row>
    <row r="1328" spans="1:1" x14ac:dyDescent="0.25">
      <c r="A1328"/>
    </row>
    <row r="1329" spans="1:1" x14ac:dyDescent="0.25">
      <c r="A1329"/>
    </row>
    <row r="1330" spans="1:1" x14ac:dyDescent="0.25">
      <c r="A1330"/>
    </row>
    <row r="1331" spans="1:1" x14ac:dyDescent="0.25">
      <c r="A1331"/>
    </row>
    <row r="1332" spans="1:1" x14ac:dyDescent="0.25">
      <c r="A1332"/>
    </row>
    <row r="1333" spans="1:1" x14ac:dyDescent="0.25">
      <c r="A1333"/>
    </row>
    <row r="1334" spans="1:1" x14ac:dyDescent="0.25">
      <c r="A1334"/>
    </row>
    <row r="1335" spans="1:1" x14ac:dyDescent="0.25">
      <c r="A1335"/>
    </row>
    <row r="1336" spans="1:1" x14ac:dyDescent="0.25">
      <c r="A1336"/>
    </row>
    <row r="1337" spans="1:1" x14ac:dyDescent="0.25">
      <c r="A1337"/>
    </row>
    <row r="1338" spans="1:1" x14ac:dyDescent="0.25">
      <c r="A1338"/>
    </row>
    <row r="1339" spans="1:1" x14ac:dyDescent="0.25">
      <c r="A1339"/>
    </row>
    <row r="1340" spans="1:1" x14ac:dyDescent="0.25">
      <c r="A1340"/>
    </row>
    <row r="1341" spans="1:1" x14ac:dyDescent="0.25">
      <c r="A1341"/>
    </row>
    <row r="1342" spans="1:1" x14ac:dyDescent="0.25">
      <c r="A1342"/>
    </row>
    <row r="1343" spans="1:1" x14ac:dyDescent="0.25">
      <c r="A1343"/>
    </row>
    <row r="1344" spans="1:1" x14ac:dyDescent="0.25">
      <c r="A1344"/>
    </row>
    <row r="1345" spans="1:1" x14ac:dyDescent="0.25">
      <c r="A1345"/>
    </row>
    <row r="1346" spans="1:1" x14ac:dyDescent="0.25">
      <c r="A1346"/>
    </row>
    <row r="1347" spans="1:1" x14ac:dyDescent="0.25">
      <c r="A1347"/>
    </row>
    <row r="1348" spans="1:1" x14ac:dyDescent="0.25">
      <c r="A1348"/>
    </row>
    <row r="1349" spans="1:1" x14ac:dyDescent="0.25">
      <c r="A1349"/>
    </row>
    <row r="1350" spans="1:1" x14ac:dyDescent="0.25">
      <c r="A1350"/>
    </row>
    <row r="1351" spans="1:1" x14ac:dyDescent="0.25">
      <c r="A1351"/>
    </row>
    <row r="1352" spans="1:1" x14ac:dyDescent="0.25">
      <c r="A1352"/>
    </row>
    <row r="1353" spans="1:1" x14ac:dyDescent="0.25">
      <c r="A1353"/>
    </row>
    <row r="1354" spans="1:1" x14ac:dyDescent="0.25">
      <c r="A1354"/>
    </row>
    <row r="1355" spans="1:1" x14ac:dyDescent="0.25">
      <c r="A1355"/>
    </row>
    <row r="1356" spans="1:1" x14ac:dyDescent="0.25">
      <c r="A1356"/>
    </row>
    <row r="1357" spans="1:1" x14ac:dyDescent="0.25">
      <c r="A1357"/>
    </row>
    <row r="1358" spans="1:1" x14ac:dyDescent="0.25">
      <c r="A1358"/>
    </row>
    <row r="1359" spans="1:1" x14ac:dyDescent="0.25">
      <c r="A1359"/>
    </row>
    <row r="1360" spans="1:1" x14ac:dyDescent="0.25">
      <c r="A1360"/>
    </row>
    <row r="1361" spans="1:1" x14ac:dyDescent="0.25">
      <c r="A1361"/>
    </row>
    <row r="1362" spans="1:1" x14ac:dyDescent="0.25">
      <c r="A1362"/>
    </row>
    <row r="1363" spans="1:1" x14ac:dyDescent="0.25">
      <c r="A1363"/>
    </row>
    <row r="1364" spans="1:1" x14ac:dyDescent="0.25">
      <c r="A1364"/>
    </row>
    <row r="1365" spans="1:1" x14ac:dyDescent="0.25">
      <c r="A1365"/>
    </row>
    <row r="1366" spans="1:1" x14ac:dyDescent="0.25">
      <c r="A1366"/>
    </row>
    <row r="1367" spans="1:1" x14ac:dyDescent="0.25">
      <c r="A1367"/>
    </row>
    <row r="1368" spans="1:1" x14ac:dyDescent="0.25">
      <c r="A1368"/>
    </row>
    <row r="1369" spans="1:1" x14ac:dyDescent="0.25">
      <c r="A1369"/>
    </row>
    <row r="1370" spans="1:1" x14ac:dyDescent="0.25">
      <c r="A1370"/>
    </row>
    <row r="1371" spans="1:1" x14ac:dyDescent="0.25">
      <c r="A1371"/>
    </row>
    <row r="1372" spans="1:1" x14ac:dyDescent="0.25">
      <c r="A1372"/>
    </row>
    <row r="1373" spans="1:1" x14ac:dyDescent="0.25">
      <c r="A1373"/>
    </row>
    <row r="1374" spans="1:1" x14ac:dyDescent="0.25">
      <c r="A1374"/>
    </row>
    <row r="1375" spans="1:1" x14ac:dyDescent="0.25">
      <c r="A1375"/>
    </row>
    <row r="1376" spans="1:1" x14ac:dyDescent="0.25">
      <c r="A1376"/>
    </row>
    <row r="1377" spans="1:1" x14ac:dyDescent="0.25">
      <c r="A1377"/>
    </row>
    <row r="1378" spans="1:1" x14ac:dyDescent="0.25">
      <c r="A1378"/>
    </row>
    <row r="1379" spans="1:1" x14ac:dyDescent="0.25">
      <c r="A1379"/>
    </row>
    <row r="1380" spans="1:1" x14ac:dyDescent="0.25">
      <c r="A1380"/>
    </row>
    <row r="1381" spans="1:1" x14ac:dyDescent="0.25">
      <c r="A1381"/>
    </row>
    <row r="1382" spans="1:1" x14ac:dyDescent="0.25">
      <c r="A1382"/>
    </row>
    <row r="1383" spans="1:1" x14ac:dyDescent="0.25">
      <c r="A1383"/>
    </row>
    <row r="1384" spans="1:1" x14ac:dyDescent="0.25">
      <c r="A1384"/>
    </row>
    <row r="1385" spans="1:1" x14ac:dyDescent="0.25">
      <c r="A1385"/>
    </row>
    <row r="1386" spans="1:1" x14ac:dyDescent="0.25">
      <c r="A1386"/>
    </row>
    <row r="1387" spans="1:1" x14ac:dyDescent="0.25">
      <c r="A1387"/>
    </row>
    <row r="1388" spans="1:1" x14ac:dyDescent="0.25">
      <c r="A1388"/>
    </row>
    <row r="1389" spans="1:1" x14ac:dyDescent="0.25">
      <c r="A1389"/>
    </row>
    <row r="1390" spans="1:1" x14ac:dyDescent="0.25">
      <c r="A1390"/>
    </row>
    <row r="1391" spans="1:1" x14ac:dyDescent="0.25">
      <c r="A1391"/>
    </row>
    <row r="1392" spans="1:1" x14ac:dyDescent="0.25">
      <c r="A1392"/>
    </row>
    <row r="1393" spans="1:1" x14ac:dyDescent="0.25">
      <c r="A1393"/>
    </row>
    <row r="1394" spans="1:1" x14ac:dyDescent="0.25">
      <c r="A1394"/>
    </row>
    <row r="1395" spans="1:1" x14ac:dyDescent="0.25">
      <c r="A1395"/>
    </row>
    <row r="1396" spans="1:1" x14ac:dyDescent="0.25">
      <c r="A1396"/>
    </row>
    <row r="1397" spans="1:1" x14ac:dyDescent="0.25">
      <c r="A1397"/>
    </row>
    <row r="1398" spans="1:1" x14ac:dyDescent="0.25">
      <c r="A1398"/>
    </row>
    <row r="1399" spans="1:1" x14ac:dyDescent="0.25">
      <c r="A1399"/>
    </row>
    <row r="1400" spans="1:1" x14ac:dyDescent="0.25">
      <c r="A1400"/>
    </row>
    <row r="1401" spans="1:1" x14ac:dyDescent="0.25">
      <c r="A1401"/>
    </row>
    <row r="1402" spans="1:1" x14ac:dyDescent="0.25">
      <c r="A1402"/>
    </row>
    <row r="1403" spans="1:1" x14ac:dyDescent="0.25">
      <c r="A1403"/>
    </row>
    <row r="1404" spans="1:1" x14ac:dyDescent="0.25">
      <c r="A1404"/>
    </row>
    <row r="1405" spans="1:1" x14ac:dyDescent="0.25">
      <c r="A1405"/>
    </row>
    <row r="1406" spans="1:1" x14ac:dyDescent="0.25">
      <c r="A1406"/>
    </row>
    <row r="1407" spans="1:1" x14ac:dyDescent="0.25">
      <c r="A1407"/>
    </row>
    <row r="1408" spans="1:1" x14ac:dyDescent="0.25">
      <c r="A1408"/>
    </row>
    <row r="1409" spans="1:1" x14ac:dyDescent="0.25">
      <c r="A1409"/>
    </row>
    <row r="1410" spans="1:1" x14ac:dyDescent="0.25">
      <c r="A1410"/>
    </row>
    <row r="1411" spans="1:1" x14ac:dyDescent="0.25">
      <c r="A1411"/>
    </row>
    <row r="1412" spans="1:1" x14ac:dyDescent="0.25">
      <c r="A1412"/>
    </row>
    <row r="1413" spans="1:1" x14ac:dyDescent="0.25">
      <c r="A1413"/>
    </row>
    <row r="1414" spans="1:1" x14ac:dyDescent="0.25">
      <c r="A1414"/>
    </row>
    <row r="1415" spans="1:1" x14ac:dyDescent="0.25">
      <c r="A1415"/>
    </row>
    <row r="1416" spans="1:1" x14ac:dyDescent="0.25">
      <c r="A1416"/>
    </row>
    <row r="1417" spans="1:1" x14ac:dyDescent="0.25">
      <c r="A1417"/>
    </row>
    <row r="1418" spans="1:1" x14ac:dyDescent="0.25">
      <c r="A1418"/>
    </row>
    <row r="1419" spans="1:1" x14ac:dyDescent="0.25">
      <c r="A1419"/>
    </row>
    <row r="1420" spans="1:1" x14ac:dyDescent="0.25">
      <c r="A1420"/>
    </row>
    <row r="1421" spans="1:1" x14ac:dyDescent="0.25">
      <c r="A1421"/>
    </row>
    <row r="1422" spans="1:1" x14ac:dyDescent="0.25">
      <c r="A1422"/>
    </row>
    <row r="1423" spans="1:1" x14ac:dyDescent="0.25">
      <c r="A1423"/>
    </row>
    <row r="1424" spans="1:1" x14ac:dyDescent="0.25">
      <c r="A1424"/>
    </row>
    <row r="1425" spans="1:1" x14ac:dyDescent="0.25">
      <c r="A1425"/>
    </row>
    <row r="1426" spans="1:1" x14ac:dyDescent="0.25">
      <c r="A1426"/>
    </row>
    <row r="1427" spans="1:1" x14ac:dyDescent="0.25">
      <c r="A1427"/>
    </row>
    <row r="1428" spans="1:1" x14ac:dyDescent="0.25">
      <c r="A1428"/>
    </row>
    <row r="1429" spans="1:1" x14ac:dyDescent="0.25">
      <c r="A1429"/>
    </row>
    <row r="1430" spans="1:1" x14ac:dyDescent="0.25">
      <c r="A1430"/>
    </row>
    <row r="1431" spans="1:1" x14ac:dyDescent="0.25">
      <c r="A1431"/>
    </row>
    <row r="1432" spans="1:1" x14ac:dyDescent="0.25">
      <c r="A1432"/>
    </row>
    <row r="1433" spans="1:1" x14ac:dyDescent="0.25">
      <c r="A1433"/>
    </row>
    <row r="1434" spans="1:1" x14ac:dyDescent="0.25">
      <c r="A1434"/>
    </row>
    <row r="1435" spans="1:1" x14ac:dyDescent="0.25">
      <c r="A1435"/>
    </row>
    <row r="1436" spans="1:1" x14ac:dyDescent="0.25">
      <c r="A1436"/>
    </row>
    <row r="1437" spans="1:1" x14ac:dyDescent="0.25">
      <c r="A1437"/>
    </row>
    <row r="1438" spans="1:1" x14ac:dyDescent="0.25">
      <c r="A1438"/>
    </row>
    <row r="1439" spans="1:1" x14ac:dyDescent="0.25">
      <c r="A1439"/>
    </row>
    <row r="1440" spans="1:1" x14ac:dyDescent="0.25">
      <c r="A1440"/>
    </row>
    <row r="1441" spans="1:1" x14ac:dyDescent="0.25">
      <c r="A1441"/>
    </row>
    <row r="1442" spans="1:1" x14ac:dyDescent="0.25">
      <c r="A1442"/>
    </row>
    <row r="1443" spans="1:1" x14ac:dyDescent="0.25">
      <c r="A1443"/>
    </row>
    <row r="1444" spans="1:1" x14ac:dyDescent="0.25">
      <c r="A1444"/>
    </row>
    <row r="1445" spans="1:1" x14ac:dyDescent="0.25">
      <c r="A1445"/>
    </row>
    <row r="1446" spans="1:1" x14ac:dyDescent="0.25">
      <c r="A1446"/>
    </row>
    <row r="1447" spans="1:1" x14ac:dyDescent="0.25">
      <c r="A1447"/>
    </row>
    <row r="1448" spans="1:1" x14ac:dyDescent="0.25">
      <c r="A1448"/>
    </row>
    <row r="1449" spans="1:1" x14ac:dyDescent="0.25">
      <c r="A1449"/>
    </row>
    <row r="1450" spans="1:1" x14ac:dyDescent="0.25">
      <c r="A1450"/>
    </row>
    <row r="1451" spans="1:1" x14ac:dyDescent="0.25">
      <c r="A1451"/>
    </row>
    <row r="1452" spans="1:1" x14ac:dyDescent="0.25">
      <c r="A1452"/>
    </row>
    <row r="1453" spans="1:1" x14ac:dyDescent="0.25">
      <c r="A1453"/>
    </row>
    <row r="1454" spans="1:1" x14ac:dyDescent="0.25">
      <c r="A1454"/>
    </row>
    <row r="1455" spans="1:1" x14ac:dyDescent="0.25">
      <c r="A1455"/>
    </row>
    <row r="1456" spans="1:1" x14ac:dyDescent="0.25">
      <c r="A1456"/>
    </row>
    <row r="1457" spans="1:1" x14ac:dyDescent="0.25">
      <c r="A1457"/>
    </row>
    <row r="1458" spans="1:1" x14ac:dyDescent="0.25">
      <c r="A1458"/>
    </row>
    <row r="1459" spans="1:1" x14ac:dyDescent="0.25">
      <c r="A1459"/>
    </row>
    <row r="1460" spans="1:1" x14ac:dyDescent="0.25">
      <c r="A1460"/>
    </row>
    <row r="1461" spans="1:1" x14ac:dyDescent="0.25">
      <c r="A1461"/>
    </row>
    <row r="1462" spans="1:1" x14ac:dyDescent="0.25">
      <c r="A1462"/>
    </row>
    <row r="1463" spans="1:1" x14ac:dyDescent="0.25">
      <c r="A1463"/>
    </row>
    <row r="1464" spans="1:1" x14ac:dyDescent="0.25">
      <c r="A1464"/>
    </row>
    <row r="1465" spans="1:1" x14ac:dyDescent="0.25">
      <c r="A1465"/>
    </row>
    <row r="1466" spans="1:1" x14ac:dyDescent="0.25">
      <c r="A1466"/>
    </row>
    <row r="1467" spans="1:1" x14ac:dyDescent="0.25">
      <c r="A1467"/>
    </row>
    <row r="1468" spans="1:1" x14ac:dyDescent="0.25">
      <c r="A1468"/>
    </row>
    <row r="1469" spans="1:1" x14ac:dyDescent="0.25">
      <c r="A1469"/>
    </row>
    <row r="1470" spans="1:1" x14ac:dyDescent="0.25">
      <c r="A1470"/>
    </row>
    <row r="1471" spans="1:1" x14ac:dyDescent="0.25">
      <c r="A1471"/>
    </row>
    <row r="1472" spans="1:1" x14ac:dyDescent="0.25">
      <c r="A1472"/>
    </row>
    <row r="1473" spans="1:1" x14ac:dyDescent="0.25">
      <c r="A1473"/>
    </row>
    <row r="1474" spans="1:1" x14ac:dyDescent="0.25">
      <c r="A1474"/>
    </row>
    <row r="1475" spans="1:1" x14ac:dyDescent="0.25">
      <c r="A1475"/>
    </row>
    <row r="1476" spans="1:1" x14ac:dyDescent="0.25">
      <c r="A1476"/>
    </row>
    <row r="1477" spans="1:1" x14ac:dyDescent="0.25">
      <c r="A1477"/>
    </row>
    <row r="1478" spans="1:1" x14ac:dyDescent="0.25">
      <c r="A1478"/>
    </row>
    <row r="1479" spans="1:1" x14ac:dyDescent="0.25">
      <c r="A1479"/>
    </row>
    <row r="1480" spans="1:1" x14ac:dyDescent="0.25">
      <c r="A1480"/>
    </row>
    <row r="1481" spans="1:1" x14ac:dyDescent="0.25">
      <c r="A1481"/>
    </row>
    <row r="1482" spans="1:1" x14ac:dyDescent="0.25">
      <c r="A1482"/>
    </row>
    <row r="1483" spans="1:1" x14ac:dyDescent="0.25">
      <c r="A1483"/>
    </row>
    <row r="1484" spans="1:1" x14ac:dyDescent="0.25">
      <c r="A1484"/>
    </row>
    <row r="1485" spans="1:1" x14ac:dyDescent="0.25">
      <c r="A1485"/>
    </row>
    <row r="1486" spans="1:1" x14ac:dyDescent="0.25">
      <c r="A1486"/>
    </row>
    <row r="1487" spans="1:1" x14ac:dyDescent="0.25">
      <c r="A1487"/>
    </row>
    <row r="1488" spans="1:1" x14ac:dyDescent="0.25">
      <c r="A1488"/>
    </row>
    <row r="1489" spans="1:1" x14ac:dyDescent="0.25">
      <c r="A1489"/>
    </row>
    <row r="1490" spans="1:1" x14ac:dyDescent="0.25">
      <c r="A1490"/>
    </row>
    <row r="1491" spans="1:1" x14ac:dyDescent="0.25">
      <c r="A1491"/>
    </row>
    <row r="1492" spans="1:1" x14ac:dyDescent="0.25">
      <c r="A1492"/>
    </row>
    <row r="1493" spans="1:1" x14ac:dyDescent="0.25">
      <c r="A1493"/>
    </row>
    <row r="1494" spans="1:1" x14ac:dyDescent="0.25">
      <c r="A1494"/>
    </row>
    <row r="1495" spans="1:1" x14ac:dyDescent="0.25">
      <c r="A1495"/>
    </row>
    <row r="1496" spans="1:1" x14ac:dyDescent="0.25">
      <c r="A1496"/>
    </row>
    <row r="1497" spans="1:1" x14ac:dyDescent="0.25">
      <c r="A1497"/>
    </row>
    <row r="1498" spans="1:1" x14ac:dyDescent="0.25">
      <c r="A1498"/>
    </row>
    <row r="1499" spans="1:1" x14ac:dyDescent="0.25">
      <c r="A1499"/>
    </row>
    <row r="1500" spans="1:1" x14ac:dyDescent="0.25">
      <c r="A1500"/>
    </row>
    <row r="1501" spans="1:1" x14ac:dyDescent="0.25">
      <c r="A1501"/>
    </row>
    <row r="1502" spans="1:1" x14ac:dyDescent="0.25">
      <c r="A1502"/>
    </row>
    <row r="1503" spans="1:1" x14ac:dyDescent="0.25">
      <c r="A1503"/>
    </row>
    <row r="1504" spans="1:1" x14ac:dyDescent="0.25">
      <c r="A1504"/>
    </row>
    <row r="1505" spans="1:1" x14ac:dyDescent="0.25">
      <c r="A1505"/>
    </row>
    <row r="1506" spans="1:1" x14ac:dyDescent="0.25">
      <c r="A1506"/>
    </row>
    <row r="1507" spans="1:1" x14ac:dyDescent="0.25">
      <c r="A1507"/>
    </row>
    <row r="1508" spans="1:1" x14ac:dyDescent="0.25">
      <c r="A1508"/>
    </row>
    <row r="1509" spans="1:1" x14ac:dyDescent="0.25">
      <c r="A1509"/>
    </row>
    <row r="1510" spans="1:1" x14ac:dyDescent="0.25">
      <c r="A1510"/>
    </row>
    <row r="1511" spans="1:1" x14ac:dyDescent="0.25">
      <c r="A1511"/>
    </row>
    <row r="1512" spans="1:1" x14ac:dyDescent="0.25">
      <c r="A1512"/>
    </row>
    <row r="1513" spans="1:1" x14ac:dyDescent="0.25">
      <c r="A1513"/>
    </row>
    <row r="1514" spans="1:1" x14ac:dyDescent="0.25">
      <c r="A1514"/>
    </row>
    <row r="1515" spans="1:1" x14ac:dyDescent="0.25">
      <c r="A1515"/>
    </row>
    <row r="1516" spans="1:1" x14ac:dyDescent="0.25">
      <c r="A1516"/>
    </row>
    <row r="1517" spans="1:1" x14ac:dyDescent="0.25">
      <c r="A1517"/>
    </row>
    <row r="1518" spans="1:1" x14ac:dyDescent="0.25">
      <c r="A1518"/>
    </row>
    <row r="1519" spans="1:1" x14ac:dyDescent="0.25">
      <c r="A1519"/>
    </row>
    <row r="1520" spans="1:1" x14ac:dyDescent="0.25">
      <c r="A1520"/>
    </row>
    <row r="1521" spans="1:1" x14ac:dyDescent="0.25">
      <c r="A1521"/>
    </row>
    <row r="1522" spans="1:1" x14ac:dyDescent="0.25">
      <c r="A1522"/>
    </row>
    <row r="1523" spans="1:1" x14ac:dyDescent="0.25">
      <c r="A1523"/>
    </row>
    <row r="1524" spans="1:1" x14ac:dyDescent="0.25">
      <c r="A1524"/>
    </row>
    <row r="1525" spans="1:1" x14ac:dyDescent="0.25">
      <c r="A1525"/>
    </row>
    <row r="1526" spans="1:1" x14ac:dyDescent="0.25">
      <c r="A1526"/>
    </row>
    <row r="1527" spans="1:1" x14ac:dyDescent="0.25">
      <c r="A1527"/>
    </row>
    <row r="1528" spans="1:1" x14ac:dyDescent="0.25">
      <c r="A1528"/>
    </row>
    <row r="1529" spans="1:1" x14ac:dyDescent="0.25">
      <c r="A1529"/>
    </row>
    <row r="1530" spans="1:1" x14ac:dyDescent="0.25">
      <c r="A1530"/>
    </row>
    <row r="1531" spans="1:1" x14ac:dyDescent="0.25">
      <c r="A1531"/>
    </row>
    <row r="1532" spans="1:1" x14ac:dyDescent="0.25">
      <c r="A1532"/>
    </row>
    <row r="1533" spans="1:1" x14ac:dyDescent="0.25">
      <c r="A1533"/>
    </row>
    <row r="1534" spans="1:1" x14ac:dyDescent="0.25">
      <c r="A1534"/>
    </row>
    <row r="1535" spans="1:1" x14ac:dyDescent="0.25">
      <c r="A1535"/>
    </row>
    <row r="1536" spans="1:1" x14ac:dyDescent="0.25">
      <c r="A1536"/>
    </row>
    <row r="1537" spans="1:1" x14ac:dyDescent="0.25">
      <c r="A1537"/>
    </row>
    <row r="1538" spans="1:1" x14ac:dyDescent="0.25">
      <c r="A1538"/>
    </row>
    <row r="1539" spans="1:1" x14ac:dyDescent="0.25">
      <c r="A1539"/>
    </row>
    <row r="1540" spans="1:1" x14ac:dyDescent="0.25">
      <c r="A1540"/>
    </row>
    <row r="1541" spans="1:1" x14ac:dyDescent="0.25">
      <c r="A1541"/>
    </row>
    <row r="1542" spans="1:1" x14ac:dyDescent="0.25">
      <c r="A1542"/>
    </row>
    <row r="1543" spans="1:1" x14ac:dyDescent="0.25">
      <c r="A1543"/>
    </row>
    <row r="1544" spans="1:1" x14ac:dyDescent="0.25">
      <c r="A1544"/>
    </row>
    <row r="1545" spans="1:1" x14ac:dyDescent="0.25">
      <c r="A1545"/>
    </row>
    <row r="1546" spans="1:1" x14ac:dyDescent="0.25">
      <c r="A1546"/>
    </row>
    <row r="1547" spans="1:1" x14ac:dyDescent="0.25">
      <c r="A1547"/>
    </row>
    <row r="1548" spans="1:1" x14ac:dyDescent="0.25">
      <c r="A1548"/>
    </row>
    <row r="1549" spans="1:1" x14ac:dyDescent="0.25">
      <c r="A1549"/>
    </row>
    <row r="1550" spans="1:1" x14ac:dyDescent="0.25">
      <c r="A1550"/>
    </row>
    <row r="1551" spans="1:1" x14ac:dyDescent="0.25">
      <c r="A1551"/>
    </row>
    <row r="1552" spans="1:1" x14ac:dyDescent="0.25">
      <c r="A1552"/>
    </row>
    <row r="1553" spans="1:1" x14ac:dyDescent="0.25">
      <c r="A1553"/>
    </row>
    <row r="1554" spans="1:1" x14ac:dyDescent="0.25">
      <c r="A1554"/>
    </row>
    <row r="1555" spans="1:1" x14ac:dyDescent="0.25">
      <c r="A1555"/>
    </row>
    <row r="1556" spans="1:1" x14ac:dyDescent="0.25">
      <c r="A1556"/>
    </row>
    <row r="1557" spans="1:1" x14ac:dyDescent="0.25">
      <c r="A1557"/>
    </row>
    <row r="1558" spans="1:1" x14ac:dyDescent="0.25">
      <c r="A1558"/>
    </row>
    <row r="1559" spans="1:1" x14ac:dyDescent="0.25">
      <c r="A1559"/>
    </row>
    <row r="1560" spans="1:1" x14ac:dyDescent="0.25">
      <c r="A1560"/>
    </row>
    <row r="1561" spans="1:1" x14ac:dyDescent="0.25">
      <c r="A1561"/>
    </row>
    <row r="1562" spans="1:1" x14ac:dyDescent="0.25">
      <c r="A1562"/>
    </row>
    <row r="1563" spans="1:1" x14ac:dyDescent="0.25">
      <c r="A1563"/>
    </row>
    <row r="1564" spans="1:1" x14ac:dyDescent="0.25">
      <c r="A1564"/>
    </row>
    <row r="1565" spans="1:1" x14ac:dyDescent="0.25">
      <c r="A1565"/>
    </row>
    <row r="1566" spans="1:1" x14ac:dyDescent="0.25">
      <c r="A1566"/>
    </row>
    <row r="1567" spans="1:1" x14ac:dyDescent="0.25">
      <c r="A1567"/>
    </row>
    <row r="1568" spans="1:1" x14ac:dyDescent="0.25">
      <c r="A1568"/>
    </row>
    <row r="1569" spans="1:1" x14ac:dyDescent="0.25">
      <c r="A1569"/>
    </row>
    <row r="1570" spans="1:1" x14ac:dyDescent="0.25">
      <c r="A1570"/>
    </row>
    <row r="1571" spans="1:1" x14ac:dyDescent="0.25">
      <c r="A1571"/>
    </row>
    <row r="1572" spans="1:1" x14ac:dyDescent="0.25">
      <c r="A1572"/>
    </row>
    <row r="1573" spans="1:1" x14ac:dyDescent="0.25">
      <c r="A1573"/>
    </row>
    <row r="1574" spans="1:1" x14ac:dyDescent="0.25">
      <c r="A1574"/>
    </row>
    <row r="1575" spans="1:1" x14ac:dyDescent="0.25">
      <c r="A1575"/>
    </row>
    <row r="1576" spans="1:1" x14ac:dyDescent="0.25">
      <c r="A1576"/>
    </row>
    <row r="1577" spans="1:1" x14ac:dyDescent="0.25">
      <c r="A1577"/>
    </row>
    <row r="1578" spans="1:1" x14ac:dyDescent="0.25">
      <c r="A1578"/>
    </row>
    <row r="1579" spans="1:1" x14ac:dyDescent="0.25">
      <c r="A1579"/>
    </row>
    <row r="1580" spans="1:1" x14ac:dyDescent="0.25">
      <c r="A1580"/>
    </row>
    <row r="1581" spans="1:1" x14ac:dyDescent="0.25">
      <c r="A1581"/>
    </row>
    <row r="1582" spans="1:1" x14ac:dyDescent="0.25">
      <c r="A1582"/>
    </row>
    <row r="1583" spans="1:1" x14ac:dyDescent="0.25">
      <c r="A1583"/>
    </row>
    <row r="1584" spans="1:1" x14ac:dyDescent="0.25">
      <c r="A1584"/>
    </row>
    <row r="1585" spans="1:1" x14ac:dyDescent="0.25">
      <c r="A1585"/>
    </row>
    <row r="1586" spans="1:1" x14ac:dyDescent="0.25">
      <c r="A1586"/>
    </row>
    <row r="1587" spans="1:1" x14ac:dyDescent="0.25">
      <c r="A1587"/>
    </row>
    <row r="1588" spans="1:1" x14ac:dyDescent="0.25">
      <c r="A1588"/>
    </row>
    <row r="1589" spans="1:1" x14ac:dyDescent="0.25">
      <c r="A1589"/>
    </row>
    <row r="1590" spans="1:1" x14ac:dyDescent="0.25">
      <c r="A1590"/>
    </row>
    <row r="1591" spans="1:1" x14ac:dyDescent="0.25">
      <c r="A1591"/>
    </row>
    <row r="1592" spans="1:1" x14ac:dyDescent="0.25">
      <c r="A1592"/>
    </row>
    <row r="1593" spans="1:1" x14ac:dyDescent="0.25">
      <c r="A1593"/>
    </row>
    <row r="1594" spans="1:1" x14ac:dyDescent="0.25">
      <c r="A1594"/>
    </row>
    <row r="1595" spans="1:1" x14ac:dyDescent="0.25">
      <c r="A1595"/>
    </row>
    <row r="1596" spans="1:1" x14ac:dyDescent="0.25">
      <c r="A1596"/>
    </row>
    <row r="1597" spans="1:1" x14ac:dyDescent="0.25">
      <c r="A1597"/>
    </row>
    <row r="1598" spans="1:1" x14ac:dyDescent="0.25">
      <c r="A1598"/>
    </row>
    <row r="1599" spans="1:1" x14ac:dyDescent="0.25">
      <c r="A1599"/>
    </row>
    <row r="1600" spans="1:1" x14ac:dyDescent="0.25">
      <c r="A1600"/>
    </row>
    <row r="1601" spans="1:1" x14ac:dyDescent="0.25">
      <c r="A1601"/>
    </row>
    <row r="1602" spans="1:1" x14ac:dyDescent="0.25">
      <c r="A1602"/>
    </row>
    <row r="1603" spans="1:1" x14ac:dyDescent="0.25">
      <c r="A1603"/>
    </row>
    <row r="1604" spans="1:1" x14ac:dyDescent="0.25">
      <c r="A1604"/>
    </row>
    <row r="1605" spans="1:1" x14ac:dyDescent="0.25">
      <c r="A1605"/>
    </row>
    <row r="1606" spans="1:1" x14ac:dyDescent="0.25">
      <c r="A1606"/>
    </row>
    <row r="1607" spans="1:1" x14ac:dyDescent="0.25">
      <c r="A1607"/>
    </row>
    <row r="1608" spans="1:1" x14ac:dyDescent="0.25">
      <c r="A1608"/>
    </row>
    <row r="1609" spans="1:1" x14ac:dyDescent="0.25">
      <c r="A1609"/>
    </row>
    <row r="1610" spans="1:1" x14ac:dyDescent="0.25">
      <c r="A1610"/>
    </row>
    <row r="1611" spans="1:1" x14ac:dyDescent="0.25">
      <c r="A1611"/>
    </row>
    <row r="1612" spans="1:1" x14ac:dyDescent="0.25">
      <c r="A1612"/>
    </row>
    <row r="1613" spans="1:1" x14ac:dyDescent="0.25">
      <c r="A1613"/>
    </row>
    <row r="1614" spans="1:1" x14ac:dyDescent="0.25">
      <c r="A1614"/>
    </row>
    <row r="1615" spans="1:1" x14ac:dyDescent="0.25">
      <c r="A1615"/>
    </row>
    <row r="1616" spans="1:1" x14ac:dyDescent="0.25">
      <c r="A1616"/>
    </row>
    <row r="1617" spans="1:1" x14ac:dyDescent="0.25">
      <c r="A1617"/>
    </row>
    <row r="1618" spans="1:1" x14ac:dyDescent="0.25">
      <c r="A1618"/>
    </row>
    <row r="1619" spans="1:1" x14ac:dyDescent="0.25">
      <c r="A1619"/>
    </row>
    <row r="1620" spans="1:1" x14ac:dyDescent="0.25">
      <c r="A1620"/>
    </row>
    <row r="1621" spans="1:1" x14ac:dyDescent="0.25">
      <c r="A1621"/>
    </row>
    <row r="1622" spans="1:1" x14ac:dyDescent="0.25">
      <c r="A1622"/>
    </row>
    <row r="1623" spans="1:1" x14ac:dyDescent="0.25">
      <c r="A1623"/>
    </row>
    <row r="1624" spans="1:1" x14ac:dyDescent="0.25">
      <c r="A1624"/>
    </row>
    <row r="1625" spans="1:1" x14ac:dyDescent="0.25">
      <c r="A1625"/>
    </row>
    <row r="1626" spans="1:1" x14ac:dyDescent="0.25">
      <c r="A1626"/>
    </row>
    <row r="1627" spans="1:1" x14ac:dyDescent="0.25">
      <c r="A1627"/>
    </row>
    <row r="1628" spans="1:1" x14ac:dyDescent="0.25">
      <c r="A1628"/>
    </row>
    <row r="1629" spans="1:1" x14ac:dyDescent="0.25">
      <c r="A1629"/>
    </row>
    <row r="1630" spans="1:1" x14ac:dyDescent="0.25">
      <c r="A1630"/>
    </row>
    <row r="1631" spans="1:1" x14ac:dyDescent="0.25">
      <c r="A1631"/>
    </row>
    <row r="1632" spans="1:1" x14ac:dyDescent="0.25">
      <c r="A1632"/>
    </row>
    <row r="1633" spans="1:1" x14ac:dyDescent="0.25">
      <c r="A1633"/>
    </row>
    <row r="1634" spans="1:1" x14ac:dyDescent="0.25">
      <c r="A1634"/>
    </row>
    <row r="1635" spans="1:1" x14ac:dyDescent="0.25">
      <c r="A1635"/>
    </row>
    <row r="1636" spans="1:1" x14ac:dyDescent="0.25">
      <c r="A1636"/>
    </row>
    <row r="1637" spans="1:1" x14ac:dyDescent="0.25">
      <c r="A1637"/>
    </row>
    <row r="1638" spans="1:1" x14ac:dyDescent="0.25">
      <c r="A1638"/>
    </row>
    <row r="1639" spans="1:1" x14ac:dyDescent="0.25">
      <c r="A1639"/>
    </row>
    <row r="1640" spans="1:1" x14ac:dyDescent="0.25">
      <c r="A1640"/>
    </row>
    <row r="1641" spans="1:1" x14ac:dyDescent="0.25">
      <c r="A1641"/>
    </row>
    <row r="1642" spans="1:1" x14ac:dyDescent="0.25">
      <c r="A1642"/>
    </row>
    <row r="1643" spans="1:1" x14ac:dyDescent="0.25">
      <c r="A1643"/>
    </row>
    <row r="1644" spans="1:1" x14ac:dyDescent="0.25">
      <c r="A1644"/>
    </row>
    <row r="1645" spans="1:1" x14ac:dyDescent="0.25">
      <c r="A1645"/>
    </row>
    <row r="1646" spans="1:1" x14ac:dyDescent="0.25">
      <c r="A1646"/>
    </row>
    <row r="1647" spans="1:1" x14ac:dyDescent="0.25">
      <c r="A1647"/>
    </row>
    <row r="1648" spans="1:1" x14ac:dyDescent="0.25">
      <c r="A1648"/>
    </row>
    <row r="1649" spans="1:1" x14ac:dyDescent="0.25">
      <c r="A1649"/>
    </row>
    <row r="1650" spans="1:1" x14ac:dyDescent="0.25">
      <c r="A1650"/>
    </row>
    <row r="1651" spans="1:1" x14ac:dyDescent="0.25">
      <c r="A1651"/>
    </row>
    <row r="1652" spans="1:1" x14ac:dyDescent="0.25">
      <c r="A1652"/>
    </row>
    <row r="1653" spans="1:1" x14ac:dyDescent="0.25">
      <c r="A1653"/>
    </row>
    <row r="1654" spans="1:1" x14ac:dyDescent="0.25">
      <c r="A1654"/>
    </row>
    <row r="1655" spans="1:1" x14ac:dyDescent="0.25">
      <c r="A1655"/>
    </row>
    <row r="1656" spans="1:1" x14ac:dyDescent="0.25">
      <c r="A1656"/>
    </row>
    <row r="1657" spans="1:1" x14ac:dyDescent="0.25">
      <c r="A1657"/>
    </row>
    <row r="1658" spans="1:1" x14ac:dyDescent="0.25">
      <c r="A1658"/>
    </row>
    <row r="1659" spans="1:1" x14ac:dyDescent="0.25">
      <c r="A1659"/>
    </row>
    <row r="1660" spans="1:1" x14ac:dyDescent="0.25">
      <c r="A1660"/>
    </row>
    <row r="1661" spans="1:1" x14ac:dyDescent="0.25">
      <c r="A1661"/>
    </row>
    <row r="1662" spans="1:1" x14ac:dyDescent="0.25">
      <c r="A1662"/>
    </row>
    <row r="1663" spans="1:1" x14ac:dyDescent="0.25">
      <c r="A1663"/>
    </row>
    <row r="1664" spans="1:1" x14ac:dyDescent="0.25">
      <c r="A1664"/>
    </row>
    <row r="1665" spans="1:1" x14ac:dyDescent="0.25">
      <c r="A1665"/>
    </row>
    <row r="1666" spans="1:1" x14ac:dyDescent="0.25">
      <c r="A1666"/>
    </row>
    <row r="1667" spans="1:1" x14ac:dyDescent="0.25">
      <c r="A1667"/>
    </row>
    <row r="1668" spans="1:1" x14ac:dyDescent="0.25">
      <c r="A1668"/>
    </row>
    <row r="1669" spans="1:1" x14ac:dyDescent="0.25">
      <c r="A1669"/>
    </row>
    <row r="1670" spans="1:1" x14ac:dyDescent="0.25">
      <c r="A1670"/>
    </row>
    <row r="1671" spans="1:1" x14ac:dyDescent="0.25">
      <c r="A1671"/>
    </row>
    <row r="1672" spans="1:1" x14ac:dyDescent="0.25">
      <c r="A1672"/>
    </row>
    <row r="1673" spans="1:1" x14ac:dyDescent="0.25">
      <c r="A1673"/>
    </row>
    <row r="1674" spans="1:1" x14ac:dyDescent="0.25">
      <c r="A1674"/>
    </row>
    <row r="1675" spans="1:1" x14ac:dyDescent="0.25">
      <c r="A1675"/>
    </row>
    <row r="1676" spans="1:1" x14ac:dyDescent="0.25">
      <c r="A1676"/>
    </row>
    <row r="1677" spans="1:1" x14ac:dyDescent="0.25">
      <c r="A1677"/>
    </row>
    <row r="1678" spans="1:1" x14ac:dyDescent="0.25">
      <c r="A1678"/>
    </row>
    <row r="1679" spans="1:1" x14ac:dyDescent="0.25">
      <c r="A1679"/>
    </row>
    <row r="1680" spans="1:1" x14ac:dyDescent="0.25">
      <c r="A1680"/>
    </row>
    <row r="1681" spans="1:1" x14ac:dyDescent="0.25">
      <c r="A1681"/>
    </row>
    <row r="1682" spans="1:1" x14ac:dyDescent="0.25">
      <c r="A1682"/>
    </row>
    <row r="1683" spans="1:1" x14ac:dyDescent="0.25">
      <c r="A1683"/>
    </row>
    <row r="1684" spans="1:1" x14ac:dyDescent="0.25">
      <c r="A1684"/>
    </row>
    <row r="1685" spans="1:1" x14ac:dyDescent="0.25">
      <c r="A1685"/>
    </row>
    <row r="1686" spans="1:1" x14ac:dyDescent="0.25">
      <c r="A1686"/>
    </row>
    <row r="1687" spans="1:1" x14ac:dyDescent="0.25">
      <c r="A1687"/>
    </row>
    <row r="1688" spans="1:1" x14ac:dyDescent="0.25">
      <c r="A1688"/>
    </row>
    <row r="1689" spans="1:1" x14ac:dyDescent="0.25">
      <c r="A1689"/>
    </row>
    <row r="1690" spans="1:1" x14ac:dyDescent="0.25">
      <c r="A1690"/>
    </row>
    <row r="1691" spans="1:1" x14ac:dyDescent="0.25">
      <c r="A1691"/>
    </row>
    <row r="1692" spans="1:1" x14ac:dyDescent="0.25">
      <c r="A1692"/>
    </row>
    <row r="1693" spans="1:1" x14ac:dyDescent="0.25">
      <c r="A1693"/>
    </row>
    <row r="1694" spans="1:1" x14ac:dyDescent="0.25">
      <c r="A1694"/>
    </row>
    <row r="1695" spans="1:1" x14ac:dyDescent="0.25">
      <c r="A1695"/>
    </row>
    <row r="1696" spans="1:1" x14ac:dyDescent="0.25">
      <c r="A1696"/>
    </row>
    <row r="1697" spans="1:1" x14ac:dyDescent="0.25">
      <c r="A1697"/>
    </row>
    <row r="1698" spans="1:1" x14ac:dyDescent="0.25">
      <c r="A1698"/>
    </row>
    <row r="1699" spans="1:1" x14ac:dyDescent="0.25">
      <c r="A1699"/>
    </row>
    <row r="1700" spans="1:1" x14ac:dyDescent="0.25">
      <c r="A1700"/>
    </row>
    <row r="1701" spans="1:1" x14ac:dyDescent="0.25">
      <c r="A1701"/>
    </row>
    <row r="1702" spans="1:1" x14ac:dyDescent="0.25">
      <c r="A1702"/>
    </row>
    <row r="1703" spans="1:1" x14ac:dyDescent="0.25">
      <c r="A1703"/>
    </row>
    <row r="1704" spans="1:1" x14ac:dyDescent="0.25">
      <c r="A1704"/>
    </row>
    <row r="1705" spans="1:1" x14ac:dyDescent="0.25">
      <c r="A1705"/>
    </row>
    <row r="1706" spans="1:1" x14ac:dyDescent="0.25">
      <c r="A1706"/>
    </row>
    <row r="1707" spans="1:1" x14ac:dyDescent="0.25">
      <c r="A1707"/>
    </row>
    <row r="1708" spans="1:1" x14ac:dyDescent="0.25">
      <c r="A1708"/>
    </row>
    <row r="1709" spans="1:1" x14ac:dyDescent="0.25">
      <c r="A1709"/>
    </row>
    <row r="1710" spans="1:1" x14ac:dyDescent="0.25">
      <c r="A1710"/>
    </row>
    <row r="1711" spans="1:1" x14ac:dyDescent="0.25">
      <c r="A1711"/>
    </row>
    <row r="1712" spans="1:1" x14ac:dyDescent="0.25">
      <c r="A1712"/>
    </row>
    <row r="1713" spans="1:1" x14ac:dyDescent="0.25">
      <c r="A1713"/>
    </row>
    <row r="1714" spans="1:1" x14ac:dyDescent="0.25">
      <c r="A1714"/>
    </row>
    <row r="1715" spans="1:1" x14ac:dyDescent="0.25">
      <c r="A1715"/>
    </row>
    <row r="1716" spans="1:1" x14ac:dyDescent="0.25">
      <c r="A1716"/>
    </row>
    <row r="1717" spans="1:1" x14ac:dyDescent="0.25">
      <c r="A1717"/>
    </row>
    <row r="1718" spans="1:1" x14ac:dyDescent="0.25">
      <c r="A1718"/>
    </row>
    <row r="1719" spans="1:1" x14ac:dyDescent="0.25">
      <c r="A1719"/>
    </row>
    <row r="1720" spans="1:1" x14ac:dyDescent="0.25">
      <c r="A1720"/>
    </row>
    <row r="1721" spans="1:1" x14ac:dyDescent="0.25">
      <c r="A1721"/>
    </row>
    <row r="1722" spans="1:1" x14ac:dyDescent="0.25">
      <c r="A1722"/>
    </row>
    <row r="1723" spans="1:1" x14ac:dyDescent="0.25">
      <c r="A1723"/>
    </row>
    <row r="1724" spans="1:1" x14ac:dyDescent="0.25">
      <c r="A1724"/>
    </row>
    <row r="1725" spans="1:1" x14ac:dyDescent="0.25">
      <c r="A1725"/>
    </row>
    <row r="1726" spans="1:1" x14ac:dyDescent="0.25">
      <c r="A1726"/>
    </row>
    <row r="1727" spans="1:1" x14ac:dyDescent="0.25">
      <c r="A1727"/>
    </row>
    <row r="1728" spans="1:1" x14ac:dyDescent="0.25">
      <c r="A1728"/>
    </row>
    <row r="1729" spans="1:1" x14ac:dyDescent="0.25">
      <c r="A1729"/>
    </row>
    <row r="1730" spans="1:1" x14ac:dyDescent="0.25">
      <c r="A1730"/>
    </row>
    <row r="1731" spans="1:1" x14ac:dyDescent="0.25">
      <c r="A1731"/>
    </row>
    <row r="1732" spans="1:1" x14ac:dyDescent="0.25">
      <c r="A1732"/>
    </row>
    <row r="1733" spans="1:1" x14ac:dyDescent="0.25">
      <c r="A1733"/>
    </row>
    <row r="1734" spans="1:1" x14ac:dyDescent="0.25">
      <c r="A1734"/>
    </row>
    <row r="1735" spans="1:1" x14ac:dyDescent="0.25">
      <c r="A1735"/>
    </row>
    <row r="1736" spans="1:1" x14ac:dyDescent="0.25">
      <c r="A1736"/>
    </row>
    <row r="1737" spans="1:1" x14ac:dyDescent="0.25">
      <c r="A1737"/>
    </row>
    <row r="1738" spans="1:1" x14ac:dyDescent="0.25">
      <c r="A1738"/>
    </row>
    <row r="1739" spans="1:1" x14ac:dyDescent="0.25">
      <c r="A1739"/>
    </row>
    <row r="1740" spans="1:1" x14ac:dyDescent="0.25">
      <c r="A1740"/>
    </row>
    <row r="1741" spans="1:1" x14ac:dyDescent="0.25">
      <c r="A1741"/>
    </row>
    <row r="1742" spans="1:1" x14ac:dyDescent="0.25">
      <c r="A1742"/>
    </row>
    <row r="1743" spans="1:1" x14ac:dyDescent="0.25">
      <c r="A1743"/>
    </row>
    <row r="1744" spans="1:1" x14ac:dyDescent="0.25">
      <c r="A1744"/>
    </row>
    <row r="1745" spans="1:1" x14ac:dyDescent="0.25">
      <c r="A1745"/>
    </row>
    <row r="1746" spans="1:1" x14ac:dyDescent="0.25">
      <c r="A1746"/>
    </row>
    <row r="1747" spans="1:1" x14ac:dyDescent="0.25">
      <c r="A1747"/>
    </row>
    <row r="1748" spans="1:1" x14ac:dyDescent="0.25">
      <c r="A1748"/>
    </row>
    <row r="1749" spans="1:1" x14ac:dyDescent="0.25">
      <c r="A1749"/>
    </row>
    <row r="1750" spans="1:1" x14ac:dyDescent="0.25">
      <c r="A1750"/>
    </row>
    <row r="1751" spans="1:1" x14ac:dyDescent="0.25">
      <c r="A1751"/>
    </row>
    <row r="1752" spans="1:1" x14ac:dyDescent="0.25">
      <c r="A1752"/>
    </row>
    <row r="1753" spans="1:1" x14ac:dyDescent="0.25">
      <c r="A1753"/>
    </row>
    <row r="1754" spans="1:1" x14ac:dyDescent="0.25">
      <c r="A1754"/>
    </row>
    <row r="1755" spans="1:1" x14ac:dyDescent="0.25">
      <c r="A1755"/>
    </row>
    <row r="1756" spans="1:1" x14ac:dyDescent="0.25">
      <c r="A1756"/>
    </row>
    <row r="1757" spans="1:1" x14ac:dyDescent="0.25">
      <c r="A1757"/>
    </row>
    <row r="1758" spans="1:1" x14ac:dyDescent="0.25">
      <c r="A1758"/>
    </row>
    <row r="1759" spans="1:1" x14ac:dyDescent="0.25">
      <c r="A1759"/>
    </row>
    <row r="1760" spans="1:1" x14ac:dyDescent="0.25">
      <c r="A1760"/>
    </row>
    <row r="1761" spans="1:1" x14ac:dyDescent="0.25">
      <c r="A1761"/>
    </row>
    <row r="1762" spans="1:1" x14ac:dyDescent="0.25">
      <c r="A1762"/>
    </row>
    <row r="1763" spans="1:1" x14ac:dyDescent="0.25">
      <c r="A1763"/>
    </row>
    <row r="1764" spans="1:1" x14ac:dyDescent="0.25">
      <c r="A1764"/>
    </row>
    <row r="1765" spans="1:1" x14ac:dyDescent="0.25">
      <c r="A1765"/>
    </row>
    <row r="1766" spans="1:1" x14ac:dyDescent="0.25">
      <c r="A1766"/>
    </row>
    <row r="1767" spans="1:1" x14ac:dyDescent="0.25">
      <c r="A1767"/>
    </row>
    <row r="1768" spans="1:1" x14ac:dyDescent="0.25">
      <c r="A1768"/>
    </row>
    <row r="1769" spans="1:1" x14ac:dyDescent="0.25">
      <c r="A1769"/>
    </row>
    <row r="1770" spans="1:1" x14ac:dyDescent="0.25">
      <c r="A1770"/>
    </row>
    <row r="1771" spans="1:1" x14ac:dyDescent="0.25">
      <c r="A1771"/>
    </row>
    <row r="1772" spans="1:1" x14ac:dyDescent="0.25">
      <c r="A1772"/>
    </row>
    <row r="1773" spans="1:1" x14ac:dyDescent="0.25">
      <c r="A1773"/>
    </row>
    <row r="1774" spans="1:1" x14ac:dyDescent="0.25">
      <c r="A1774"/>
    </row>
    <row r="1775" spans="1:1" x14ac:dyDescent="0.25">
      <c r="A1775"/>
    </row>
    <row r="1776" spans="1:1" x14ac:dyDescent="0.25">
      <c r="A1776"/>
    </row>
    <row r="1777" spans="1:1" x14ac:dyDescent="0.25">
      <c r="A1777"/>
    </row>
    <row r="1778" spans="1:1" x14ac:dyDescent="0.25">
      <c r="A1778"/>
    </row>
    <row r="1779" spans="1:1" x14ac:dyDescent="0.25">
      <c r="A1779"/>
    </row>
    <row r="1780" spans="1:1" x14ac:dyDescent="0.25">
      <c r="A1780"/>
    </row>
    <row r="1781" spans="1:1" x14ac:dyDescent="0.25">
      <c r="A1781"/>
    </row>
    <row r="1782" spans="1:1" x14ac:dyDescent="0.25">
      <c r="A1782"/>
    </row>
    <row r="1783" spans="1:1" x14ac:dyDescent="0.25">
      <c r="A1783"/>
    </row>
    <row r="1784" spans="1:1" x14ac:dyDescent="0.25">
      <c r="A1784"/>
    </row>
    <row r="1785" spans="1:1" x14ac:dyDescent="0.25">
      <c r="A1785"/>
    </row>
    <row r="1786" spans="1:1" x14ac:dyDescent="0.25">
      <c r="A1786"/>
    </row>
    <row r="1787" spans="1:1" x14ac:dyDescent="0.25">
      <c r="A1787"/>
    </row>
    <row r="1788" spans="1:1" x14ac:dyDescent="0.25">
      <c r="A1788"/>
    </row>
    <row r="1789" spans="1:1" x14ac:dyDescent="0.25">
      <c r="A1789"/>
    </row>
    <row r="1790" spans="1:1" x14ac:dyDescent="0.25">
      <c r="A1790"/>
    </row>
    <row r="1791" spans="1:1" x14ac:dyDescent="0.25">
      <c r="A1791"/>
    </row>
    <row r="1792" spans="1:1" x14ac:dyDescent="0.25">
      <c r="A1792"/>
    </row>
    <row r="1793" spans="1:1" x14ac:dyDescent="0.25">
      <c r="A1793"/>
    </row>
    <row r="1794" spans="1:1" x14ac:dyDescent="0.25">
      <c r="A1794"/>
    </row>
    <row r="1795" spans="1:1" x14ac:dyDescent="0.25">
      <c r="A1795"/>
    </row>
    <row r="1796" spans="1:1" x14ac:dyDescent="0.25">
      <c r="A1796"/>
    </row>
    <row r="1797" spans="1:1" x14ac:dyDescent="0.25">
      <c r="A1797"/>
    </row>
    <row r="1798" spans="1:1" x14ac:dyDescent="0.25">
      <c r="A1798"/>
    </row>
    <row r="1799" spans="1:1" x14ac:dyDescent="0.25">
      <c r="A1799"/>
    </row>
    <row r="1800" spans="1:1" x14ac:dyDescent="0.25">
      <c r="A1800"/>
    </row>
    <row r="1801" spans="1:1" x14ac:dyDescent="0.25">
      <c r="A1801"/>
    </row>
    <row r="1802" spans="1:1" x14ac:dyDescent="0.25">
      <c r="A1802"/>
    </row>
    <row r="1803" spans="1:1" x14ac:dyDescent="0.25">
      <c r="A1803"/>
    </row>
    <row r="1804" spans="1:1" x14ac:dyDescent="0.25">
      <c r="A1804"/>
    </row>
    <row r="1805" spans="1:1" x14ac:dyDescent="0.25">
      <c r="A1805"/>
    </row>
    <row r="1806" spans="1:1" x14ac:dyDescent="0.25">
      <c r="A1806"/>
    </row>
    <row r="1807" spans="1:1" x14ac:dyDescent="0.25">
      <c r="A1807"/>
    </row>
    <row r="1808" spans="1:1" x14ac:dyDescent="0.25">
      <c r="A1808"/>
    </row>
    <row r="1809" spans="1:1" x14ac:dyDescent="0.25">
      <c r="A1809"/>
    </row>
    <row r="1810" spans="1:1" x14ac:dyDescent="0.25">
      <c r="A1810"/>
    </row>
    <row r="1811" spans="1:1" x14ac:dyDescent="0.25">
      <c r="A1811"/>
    </row>
    <row r="1812" spans="1:1" x14ac:dyDescent="0.25">
      <c r="A1812"/>
    </row>
    <row r="1813" spans="1:1" x14ac:dyDescent="0.25">
      <c r="A1813"/>
    </row>
    <row r="1814" spans="1:1" x14ac:dyDescent="0.25">
      <c r="A1814"/>
    </row>
    <row r="1815" spans="1:1" x14ac:dyDescent="0.25">
      <c r="A1815"/>
    </row>
    <row r="1816" spans="1:1" x14ac:dyDescent="0.25">
      <c r="A1816"/>
    </row>
    <row r="1817" spans="1:1" x14ac:dyDescent="0.25">
      <c r="A1817"/>
    </row>
    <row r="1818" spans="1:1" x14ac:dyDescent="0.25">
      <c r="A1818"/>
    </row>
    <row r="1819" spans="1:1" x14ac:dyDescent="0.25">
      <c r="A1819"/>
    </row>
    <row r="1820" spans="1:1" x14ac:dyDescent="0.25">
      <c r="A1820"/>
    </row>
    <row r="1821" spans="1:1" x14ac:dyDescent="0.25">
      <c r="A1821"/>
    </row>
    <row r="1822" spans="1:1" x14ac:dyDescent="0.25">
      <c r="A1822"/>
    </row>
    <row r="1823" spans="1:1" x14ac:dyDescent="0.25">
      <c r="A1823"/>
    </row>
    <row r="1824" spans="1:1" x14ac:dyDescent="0.25">
      <c r="A1824"/>
    </row>
    <row r="1825" spans="1:1" x14ac:dyDescent="0.25">
      <c r="A1825"/>
    </row>
    <row r="1826" spans="1:1" x14ac:dyDescent="0.25">
      <c r="A1826"/>
    </row>
    <row r="1827" spans="1:1" x14ac:dyDescent="0.25">
      <c r="A1827"/>
    </row>
    <row r="1828" spans="1:1" x14ac:dyDescent="0.25">
      <c r="A1828"/>
    </row>
    <row r="1829" spans="1:1" x14ac:dyDescent="0.25">
      <c r="A1829"/>
    </row>
    <row r="1830" spans="1:1" x14ac:dyDescent="0.25">
      <c r="A1830"/>
    </row>
    <row r="1831" spans="1:1" x14ac:dyDescent="0.25">
      <c r="A1831"/>
    </row>
    <row r="1832" spans="1:1" x14ac:dyDescent="0.25">
      <c r="A1832"/>
    </row>
    <row r="1833" spans="1:1" x14ac:dyDescent="0.25">
      <c r="A1833"/>
    </row>
    <row r="1834" spans="1:1" x14ac:dyDescent="0.25">
      <c r="A1834"/>
    </row>
    <row r="1835" spans="1:1" x14ac:dyDescent="0.25">
      <c r="A1835"/>
    </row>
    <row r="1836" spans="1:1" x14ac:dyDescent="0.25">
      <c r="A1836"/>
    </row>
    <row r="1837" spans="1:1" x14ac:dyDescent="0.25">
      <c r="A1837"/>
    </row>
    <row r="1838" spans="1:1" x14ac:dyDescent="0.25">
      <c r="A1838"/>
    </row>
    <row r="1839" spans="1:1" x14ac:dyDescent="0.25">
      <c r="A1839"/>
    </row>
    <row r="1840" spans="1:1" x14ac:dyDescent="0.25">
      <c r="A1840"/>
    </row>
    <row r="1841" spans="1:1" x14ac:dyDescent="0.25">
      <c r="A1841"/>
    </row>
    <row r="1842" spans="1:1" x14ac:dyDescent="0.25">
      <c r="A1842"/>
    </row>
    <row r="1843" spans="1:1" x14ac:dyDescent="0.25">
      <c r="A1843"/>
    </row>
    <row r="1844" spans="1:1" x14ac:dyDescent="0.25">
      <c r="A1844"/>
    </row>
    <row r="1845" spans="1:1" x14ac:dyDescent="0.25">
      <c r="A1845"/>
    </row>
    <row r="1846" spans="1:1" x14ac:dyDescent="0.25">
      <c r="A1846"/>
    </row>
    <row r="1847" spans="1:1" x14ac:dyDescent="0.25">
      <c r="A1847"/>
    </row>
    <row r="1848" spans="1:1" x14ac:dyDescent="0.25">
      <c r="A1848"/>
    </row>
    <row r="1849" spans="1:1" x14ac:dyDescent="0.25">
      <c r="A1849"/>
    </row>
    <row r="1850" spans="1:1" x14ac:dyDescent="0.25">
      <c r="A1850"/>
    </row>
    <row r="1851" spans="1:1" x14ac:dyDescent="0.25">
      <c r="A1851"/>
    </row>
    <row r="1852" spans="1:1" x14ac:dyDescent="0.25">
      <c r="A1852"/>
    </row>
    <row r="1853" spans="1:1" x14ac:dyDescent="0.25">
      <c r="A1853"/>
    </row>
    <row r="1854" spans="1:1" x14ac:dyDescent="0.25">
      <c r="A1854"/>
    </row>
    <row r="1855" spans="1:1" x14ac:dyDescent="0.25">
      <c r="A1855"/>
    </row>
    <row r="1856" spans="1:1" x14ac:dyDescent="0.25">
      <c r="A1856"/>
    </row>
    <row r="1857" spans="1:1" x14ac:dyDescent="0.25">
      <c r="A1857"/>
    </row>
    <row r="1858" spans="1:1" x14ac:dyDescent="0.25">
      <c r="A1858"/>
    </row>
    <row r="1859" spans="1:1" x14ac:dyDescent="0.25">
      <c r="A1859"/>
    </row>
    <row r="1860" spans="1:1" x14ac:dyDescent="0.25">
      <c r="A1860"/>
    </row>
    <row r="1861" spans="1:1" x14ac:dyDescent="0.25">
      <c r="A1861"/>
    </row>
    <row r="1862" spans="1:1" x14ac:dyDescent="0.25">
      <c r="A1862"/>
    </row>
    <row r="1863" spans="1:1" x14ac:dyDescent="0.25">
      <c r="A1863"/>
    </row>
    <row r="1864" spans="1:1" x14ac:dyDescent="0.25">
      <c r="A1864"/>
    </row>
    <row r="1865" spans="1:1" x14ac:dyDescent="0.25">
      <c r="A1865"/>
    </row>
    <row r="1866" spans="1:1" x14ac:dyDescent="0.25">
      <c r="A1866"/>
    </row>
    <row r="1867" spans="1:1" x14ac:dyDescent="0.25">
      <c r="A1867"/>
    </row>
    <row r="1868" spans="1:1" x14ac:dyDescent="0.25">
      <c r="A1868"/>
    </row>
    <row r="1869" spans="1:1" x14ac:dyDescent="0.25">
      <c r="A1869"/>
    </row>
    <row r="1870" spans="1:1" x14ac:dyDescent="0.25">
      <c r="A1870"/>
    </row>
    <row r="1871" spans="1:1" x14ac:dyDescent="0.25">
      <c r="A1871"/>
    </row>
    <row r="1872" spans="1:1" x14ac:dyDescent="0.25">
      <c r="A1872"/>
    </row>
    <row r="1873" spans="1:1" x14ac:dyDescent="0.25">
      <c r="A1873"/>
    </row>
    <row r="1874" spans="1:1" x14ac:dyDescent="0.25">
      <c r="A1874"/>
    </row>
    <row r="1875" spans="1:1" x14ac:dyDescent="0.25">
      <c r="A1875"/>
    </row>
    <row r="1876" spans="1:1" x14ac:dyDescent="0.25">
      <c r="A1876"/>
    </row>
    <row r="1877" spans="1:1" x14ac:dyDescent="0.25">
      <c r="A1877"/>
    </row>
    <row r="1878" spans="1:1" x14ac:dyDescent="0.25">
      <c r="A1878"/>
    </row>
    <row r="1879" spans="1:1" x14ac:dyDescent="0.25">
      <c r="A1879"/>
    </row>
    <row r="1880" spans="1:1" x14ac:dyDescent="0.25">
      <c r="A1880"/>
    </row>
    <row r="1881" spans="1:1" x14ac:dyDescent="0.25">
      <c r="A1881"/>
    </row>
    <row r="1882" spans="1:1" x14ac:dyDescent="0.25">
      <c r="A1882"/>
    </row>
    <row r="1883" spans="1:1" x14ac:dyDescent="0.25">
      <c r="A1883"/>
    </row>
    <row r="1884" spans="1:1" x14ac:dyDescent="0.25">
      <c r="A1884"/>
    </row>
    <row r="1885" spans="1:1" x14ac:dyDescent="0.25">
      <c r="A1885"/>
    </row>
    <row r="1886" spans="1:1" x14ac:dyDescent="0.25">
      <c r="A1886"/>
    </row>
    <row r="1887" spans="1:1" x14ac:dyDescent="0.25">
      <c r="A1887"/>
    </row>
    <row r="1888" spans="1:1" x14ac:dyDescent="0.25">
      <c r="A1888"/>
    </row>
    <row r="1889" spans="1:1" x14ac:dyDescent="0.25">
      <c r="A1889"/>
    </row>
    <row r="1890" spans="1:1" x14ac:dyDescent="0.25">
      <c r="A1890"/>
    </row>
    <row r="1891" spans="1:1" x14ac:dyDescent="0.25">
      <c r="A1891"/>
    </row>
    <row r="1892" spans="1:1" x14ac:dyDescent="0.25">
      <c r="A1892"/>
    </row>
    <row r="1893" spans="1:1" x14ac:dyDescent="0.25">
      <c r="A1893"/>
    </row>
    <row r="1894" spans="1:1" x14ac:dyDescent="0.25">
      <c r="A1894"/>
    </row>
    <row r="1895" spans="1:1" x14ac:dyDescent="0.25">
      <c r="A1895"/>
    </row>
    <row r="1896" spans="1:1" x14ac:dyDescent="0.25">
      <c r="A1896"/>
    </row>
    <row r="1897" spans="1:1" x14ac:dyDescent="0.25">
      <c r="A1897"/>
    </row>
    <row r="1898" spans="1:1" x14ac:dyDescent="0.25">
      <c r="A1898"/>
    </row>
    <row r="1899" spans="1:1" x14ac:dyDescent="0.25">
      <c r="A1899"/>
    </row>
    <row r="1900" spans="1:1" x14ac:dyDescent="0.25">
      <c r="A1900"/>
    </row>
    <row r="1901" spans="1:1" x14ac:dyDescent="0.25">
      <c r="A1901"/>
    </row>
    <row r="1902" spans="1:1" x14ac:dyDescent="0.25">
      <c r="A1902"/>
    </row>
    <row r="1903" spans="1:1" x14ac:dyDescent="0.25">
      <c r="A1903"/>
    </row>
    <row r="1904" spans="1:1" x14ac:dyDescent="0.25">
      <c r="A1904"/>
    </row>
    <row r="1905" spans="1:1" x14ac:dyDescent="0.25">
      <c r="A1905"/>
    </row>
    <row r="1906" spans="1:1" x14ac:dyDescent="0.25">
      <c r="A1906"/>
    </row>
    <row r="1907" spans="1:1" x14ac:dyDescent="0.25">
      <c r="A1907"/>
    </row>
    <row r="1908" spans="1:1" x14ac:dyDescent="0.25">
      <c r="A1908"/>
    </row>
    <row r="1909" spans="1:1" x14ac:dyDescent="0.25">
      <c r="A1909"/>
    </row>
    <row r="1910" spans="1:1" x14ac:dyDescent="0.25">
      <c r="A1910"/>
    </row>
    <row r="1911" spans="1:1" x14ac:dyDescent="0.25">
      <c r="A1911"/>
    </row>
    <row r="1912" spans="1:1" x14ac:dyDescent="0.25">
      <c r="A1912"/>
    </row>
    <row r="1913" spans="1:1" x14ac:dyDescent="0.25">
      <c r="A1913"/>
    </row>
    <row r="1914" spans="1:1" x14ac:dyDescent="0.25">
      <c r="A1914"/>
    </row>
    <row r="1915" spans="1:1" x14ac:dyDescent="0.25">
      <c r="A1915"/>
    </row>
    <row r="1916" spans="1:1" x14ac:dyDescent="0.25">
      <c r="A1916"/>
    </row>
    <row r="1917" spans="1:1" x14ac:dyDescent="0.25">
      <c r="A1917"/>
    </row>
    <row r="1918" spans="1:1" x14ac:dyDescent="0.25">
      <c r="A1918"/>
    </row>
    <row r="1919" spans="1:1" x14ac:dyDescent="0.25">
      <c r="A1919"/>
    </row>
    <row r="1920" spans="1:1" x14ac:dyDescent="0.25">
      <c r="A1920"/>
    </row>
    <row r="1921" spans="1:1" x14ac:dyDescent="0.25">
      <c r="A1921"/>
    </row>
    <row r="1922" spans="1:1" x14ac:dyDescent="0.25">
      <c r="A1922"/>
    </row>
    <row r="1923" spans="1:1" x14ac:dyDescent="0.25">
      <c r="A1923"/>
    </row>
    <row r="1924" spans="1:1" x14ac:dyDescent="0.25">
      <c r="A1924"/>
    </row>
    <row r="1925" spans="1:1" x14ac:dyDescent="0.25">
      <c r="A1925"/>
    </row>
    <row r="1926" spans="1:1" x14ac:dyDescent="0.25">
      <c r="A1926"/>
    </row>
    <row r="1927" spans="1:1" x14ac:dyDescent="0.25">
      <c r="A1927"/>
    </row>
    <row r="1928" spans="1:1" x14ac:dyDescent="0.25">
      <c r="A1928"/>
    </row>
    <row r="1929" spans="1:1" x14ac:dyDescent="0.25">
      <c r="A1929"/>
    </row>
    <row r="1930" spans="1:1" x14ac:dyDescent="0.25">
      <c r="A1930"/>
    </row>
    <row r="1931" spans="1:1" x14ac:dyDescent="0.25">
      <c r="A1931"/>
    </row>
    <row r="1932" spans="1:1" x14ac:dyDescent="0.25">
      <c r="A1932"/>
    </row>
    <row r="1933" spans="1:1" x14ac:dyDescent="0.25">
      <c r="A1933"/>
    </row>
    <row r="1934" spans="1:1" x14ac:dyDescent="0.25">
      <c r="A1934"/>
    </row>
    <row r="1935" spans="1:1" x14ac:dyDescent="0.25">
      <c r="A1935"/>
    </row>
    <row r="1936" spans="1:1" x14ac:dyDescent="0.25">
      <c r="A1936"/>
    </row>
    <row r="1937" spans="1:1" x14ac:dyDescent="0.25">
      <c r="A1937"/>
    </row>
    <row r="1938" spans="1:1" x14ac:dyDescent="0.25">
      <c r="A1938"/>
    </row>
    <row r="1939" spans="1:1" x14ac:dyDescent="0.25">
      <c r="A1939"/>
    </row>
    <row r="1940" spans="1:1" x14ac:dyDescent="0.25">
      <c r="A1940"/>
    </row>
    <row r="1941" spans="1:1" x14ac:dyDescent="0.25">
      <c r="A1941"/>
    </row>
    <row r="1942" spans="1:1" x14ac:dyDescent="0.25">
      <c r="A1942"/>
    </row>
    <row r="1943" spans="1:1" x14ac:dyDescent="0.25">
      <c r="A1943"/>
    </row>
    <row r="1944" spans="1:1" x14ac:dyDescent="0.25">
      <c r="A1944"/>
    </row>
    <row r="1945" spans="1:1" x14ac:dyDescent="0.25">
      <c r="A1945"/>
    </row>
    <row r="1946" spans="1:1" x14ac:dyDescent="0.25">
      <c r="A1946"/>
    </row>
    <row r="1947" spans="1:1" x14ac:dyDescent="0.25">
      <c r="A1947"/>
    </row>
    <row r="1948" spans="1:1" x14ac:dyDescent="0.25">
      <c r="A1948"/>
    </row>
    <row r="1949" spans="1:1" x14ac:dyDescent="0.25">
      <c r="A1949"/>
    </row>
    <row r="1950" spans="1:1" x14ac:dyDescent="0.25">
      <c r="A1950"/>
    </row>
    <row r="1951" spans="1:1" x14ac:dyDescent="0.25">
      <c r="A1951"/>
    </row>
    <row r="1952" spans="1:1" x14ac:dyDescent="0.25">
      <c r="A1952"/>
    </row>
    <row r="1953" spans="1:1" x14ac:dyDescent="0.25">
      <c r="A1953"/>
    </row>
    <row r="1954" spans="1:1" x14ac:dyDescent="0.25">
      <c r="A1954"/>
    </row>
    <row r="1955" spans="1:1" x14ac:dyDescent="0.25">
      <c r="A1955"/>
    </row>
    <row r="1956" spans="1:1" x14ac:dyDescent="0.25">
      <c r="A1956"/>
    </row>
    <row r="1957" spans="1:1" x14ac:dyDescent="0.25">
      <c r="A1957"/>
    </row>
    <row r="1958" spans="1:1" x14ac:dyDescent="0.25">
      <c r="A1958"/>
    </row>
    <row r="1959" spans="1:1" x14ac:dyDescent="0.25">
      <c r="A1959"/>
    </row>
    <row r="1960" spans="1:1" x14ac:dyDescent="0.25">
      <c r="A1960"/>
    </row>
    <row r="1961" spans="1:1" x14ac:dyDescent="0.25">
      <c r="A1961"/>
    </row>
    <row r="1962" spans="1:1" x14ac:dyDescent="0.25">
      <c r="A1962"/>
    </row>
    <row r="1963" spans="1:1" x14ac:dyDescent="0.25">
      <c r="A1963"/>
    </row>
    <row r="1964" spans="1:1" x14ac:dyDescent="0.25">
      <c r="A1964"/>
    </row>
    <row r="1965" spans="1:1" x14ac:dyDescent="0.25">
      <c r="A1965"/>
    </row>
    <row r="1966" spans="1:1" x14ac:dyDescent="0.25">
      <c r="A1966"/>
    </row>
    <row r="1967" spans="1:1" x14ac:dyDescent="0.25">
      <c r="A1967"/>
    </row>
    <row r="1968" spans="1:1" x14ac:dyDescent="0.25">
      <c r="A1968"/>
    </row>
    <row r="1969" spans="1:1" x14ac:dyDescent="0.25">
      <c r="A1969"/>
    </row>
    <row r="1970" spans="1:1" x14ac:dyDescent="0.25">
      <c r="A1970"/>
    </row>
    <row r="1971" spans="1:1" x14ac:dyDescent="0.25">
      <c r="A1971"/>
    </row>
    <row r="1972" spans="1:1" x14ac:dyDescent="0.25">
      <c r="A1972"/>
    </row>
    <row r="1973" spans="1:1" x14ac:dyDescent="0.25">
      <c r="A1973"/>
    </row>
    <row r="1974" spans="1:1" x14ac:dyDescent="0.25">
      <c r="A1974"/>
    </row>
    <row r="1975" spans="1:1" x14ac:dyDescent="0.25">
      <c r="A1975"/>
    </row>
    <row r="1976" spans="1:1" x14ac:dyDescent="0.25">
      <c r="A1976"/>
    </row>
    <row r="1977" spans="1:1" x14ac:dyDescent="0.25">
      <c r="A1977"/>
    </row>
    <row r="1978" spans="1:1" x14ac:dyDescent="0.25">
      <c r="A1978"/>
    </row>
    <row r="1979" spans="1:1" x14ac:dyDescent="0.25">
      <c r="A1979"/>
    </row>
    <row r="1980" spans="1:1" x14ac:dyDescent="0.25">
      <c r="A1980"/>
    </row>
    <row r="1981" spans="1:1" x14ac:dyDescent="0.25">
      <c r="A1981"/>
    </row>
    <row r="1982" spans="1:1" x14ac:dyDescent="0.25">
      <c r="A1982"/>
    </row>
    <row r="1983" spans="1:1" x14ac:dyDescent="0.25">
      <c r="A1983"/>
    </row>
    <row r="1984" spans="1:1" x14ac:dyDescent="0.25">
      <c r="A1984"/>
    </row>
    <row r="1985" spans="1:1" x14ac:dyDescent="0.25">
      <c r="A1985"/>
    </row>
    <row r="1986" spans="1:1" x14ac:dyDescent="0.25">
      <c r="A1986"/>
    </row>
    <row r="1987" spans="1:1" x14ac:dyDescent="0.25">
      <c r="A1987"/>
    </row>
    <row r="1988" spans="1:1" x14ac:dyDescent="0.25">
      <c r="A1988"/>
    </row>
    <row r="1989" spans="1:1" x14ac:dyDescent="0.25">
      <c r="A1989"/>
    </row>
    <row r="1990" spans="1:1" x14ac:dyDescent="0.25">
      <c r="A1990"/>
    </row>
    <row r="1991" spans="1:1" x14ac:dyDescent="0.25">
      <c r="A1991"/>
    </row>
    <row r="1992" spans="1:1" x14ac:dyDescent="0.25">
      <c r="A1992"/>
    </row>
    <row r="1993" spans="1:1" x14ac:dyDescent="0.25">
      <c r="A1993"/>
    </row>
    <row r="1994" spans="1:1" x14ac:dyDescent="0.25">
      <c r="A1994"/>
    </row>
    <row r="1995" spans="1:1" x14ac:dyDescent="0.25">
      <c r="A1995"/>
    </row>
    <row r="1996" spans="1:1" x14ac:dyDescent="0.25">
      <c r="A1996"/>
    </row>
    <row r="1997" spans="1:1" x14ac:dyDescent="0.25">
      <c r="A1997"/>
    </row>
    <row r="1998" spans="1:1" x14ac:dyDescent="0.25">
      <c r="A1998"/>
    </row>
    <row r="1999" spans="1:1" x14ac:dyDescent="0.25">
      <c r="A1999"/>
    </row>
    <row r="2000" spans="1:1" x14ac:dyDescent="0.25">
      <c r="A2000"/>
    </row>
    <row r="2001" spans="1:1" x14ac:dyDescent="0.25">
      <c r="A2001"/>
    </row>
    <row r="2002" spans="1:1" x14ac:dyDescent="0.25">
      <c r="A2002"/>
    </row>
    <row r="2003" spans="1:1" x14ac:dyDescent="0.25">
      <c r="A2003"/>
    </row>
    <row r="2004" spans="1:1" x14ac:dyDescent="0.25">
      <c r="A2004"/>
    </row>
    <row r="2005" spans="1:1" x14ac:dyDescent="0.25">
      <c r="A2005"/>
    </row>
    <row r="2006" spans="1:1" x14ac:dyDescent="0.25">
      <c r="A2006"/>
    </row>
    <row r="2007" spans="1:1" x14ac:dyDescent="0.25">
      <c r="A2007"/>
    </row>
    <row r="2008" spans="1:1" x14ac:dyDescent="0.25">
      <c r="A2008"/>
    </row>
    <row r="2009" spans="1:1" x14ac:dyDescent="0.25">
      <c r="A2009"/>
    </row>
    <row r="2010" spans="1:1" x14ac:dyDescent="0.25">
      <c r="A2010"/>
    </row>
    <row r="2011" spans="1:1" x14ac:dyDescent="0.25">
      <c r="A2011"/>
    </row>
    <row r="2012" spans="1:1" x14ac:dyDescent="0.25">
      <c r="A2012"/>
    </row>
    <row r="2013" spans="1:1" x14ac:dyDescent="0.25">
      <c r="A2013"/>
    </row>
    <row r="2014" spans="1:1" x14ac:dyDescent="0.25">
      <c r="A2014"/>
    </row>
    <row r="2015" spans="1:1" x14ac:dyDescent="0.25">
      <c r="A2015"/>
    </row>
    <row r="2016" spans="1:1" x14ac:dyDescent="0.25">
      <c r="A2016"/>
    </row>
    <row r="2017" spans="1:1" x14ac:dyDescent="0.25">
      <c r="A2017"/>
    </row>
    <row r="2018" spans="1:1" x14ac:dyDescent="0.25">
      <c r="A2018"/>
    </row>
    <row r="2019" spans="1:1" x14ac:dyDescent="0.25">
      <c r="A2019"/>
    </row>
    <row r="2020" spans="1:1" x14ac:dyDescent="0.25">
      <c r="A2020"/>
    </row>
    <row r="2021" spans="1:1" x14ac:dyDescent="0.25">
      <c r="A2021"/>
    </row>
    <row r="2022" spans="1:1" x14ac:dyDescent="0.25">
      <c r="A2022"/>
    </row>
    <row r="2023" spans="1:1" x14ac:dyDescent="0.25">
      <c r="A2023"/>
    </row>
    <row r="2024" spans="1:1" x14ac:dyDescent="0.25">
      <c r="A2024"/>
    </row>
    <row r="2025" spans="1:1" x14ac:dyDescent="0.25">
      <c r="A2025"/>
    </row>
    <row r="2026" spans="1:1" x14ac:dyDescent="0.25">
      <c r="A2026"/>
    </row>
    <row r="2027" spans="1:1" x14ac:dyDescent="0.25">
      <c r="A2027"/>
    </row>
    <row r="2028" spans="1:1" x14ac:dyDescent="0.25">
      <c r="A2028"/>
    </row>
    <row r="2029" spans="1:1" x14ac:dyDescent="0.25">
      <c r="A2029"/>
    </row>
    <row r="2030" spans="1:1" x14ac:dyDescent="0.25">
      <c r="A2030"/>
    </row>
    <row r="2031" spans="1:1" x14ac:dyDescent="0.25">
      <c r="A2031"/>
    </row>
    <row r="2032" spans="1:1" x14ac:dyDescent="0.25">
      <c r="A2032"/>
    </row>
    <row r="2033" spans="1:1" x14ac:dyDescent="0.25">
      <c r="A2033"/>
    </row>
    <row r="2034" spans="1:1" x14ac:dyDescent="0.25">
      <c r="A2034"/>
    </row>
    <row r="2035" spans="1:1" x14ac:dyDescent="0.25">
      <c r="A2035"/>
    </row>
    <row r="2036" spans="1:1" x14ac:dyDescent="0.25">
      <c r="A2036"/>
    </row>
    <row r="2037" spans="1:1" x14ac:dyDescent="0.25">
      <c r="A2037"/>
    </row>
    <row r="2038" spans="1:1" x14ac:dyDescent="0.25">
      <c r="A2038"/>
    </row>
    <row r="2039" spans="1:1" x14ac:dyDescent="0.25">
      <c r="A2039"/>
    </row>
    <row r="2040" spans="1:1" x14ac:dyDescent="0.25">
      <c r="A2040"/>
    </row>
    <row r="2041" spans="1:1" x14ac:dyDescent="0.25">
      <c r="A2041"/>
    </row>
    <row r="2042" spans="1:1" x14ac:dyDescent="0.25">
      <c r="A2042"/>
    </row>
    <row r="2043" spans="1:1" x14ac:dyDescent="0.25">
      <c r="A2043"/>
    </row>
    <row r="2044" spans="1:1" x14ac:dyDescent="0.25">
      <c r="A2044"/>
    </row>
    <row r="2045" spans="1:1" x14ac:dyDescent="0.25">
      <c r="A2045"/>
    </row>
    <row r="2046" spans="1:1" x14ac:dyDescent="0.25">
      <c r="A2046"/>
    </row>
    <row r="2047" spans="1:1" x14ac:dyDescent="0.25">
      <c r="A2047"/>
    </row>
    <row r="2048" spans="1:1" x14ac:dyDescent="0.25">
      <c r="A2048"/>
    </row>
    <row r="2049" spans="1:1" x14ac:dyDescent="0.25">
      <c r="A2049"/>
    </row>
    <row r="2050" spans="1:1" x14ac:dyDescent="0.25">
      <c r="A2050"/>
    </row>
    <row r="2051" spans="1:1" x14ac:dyDescent="0.25">
      <c r="A2051"/>
    </row>
    <row r="2052" spans="1:1" x14ac:dyDescent="0.25">
      <c r="A2052"/>
    </row>
    <row r="2053" spans="1:1" x14ac:dyDescent="0.25">
      <c r="A2053"/>
    </row>
    <row r="2054" spans="1:1" x14ac:dyDescent="0.25">
      <c r="A2054"/>
    </row>
    <row r="2055" spans="1:1" x14ac:dyDescent="0.25">
      <c r="A2055"/>
    </row>
    <row r="2056" spans="1:1" x14ac:dyDescent="0.25">
      <c r="A2056"/>
    </row>
    <row r="2057" spans="1:1" x14ac:dyDescent="0.25">
      <c r="A2057"/>
    </row>
    <row r="2058" spans="1:1" x14ac:dyDescent="0.25">
      <c r="A2058"/>
    </row>
    <row r="2059" spans="1:1" x14ac:dyDescent="0.25">
      <c r="A2059"/>
    </row>
    <row r="2060" spans="1:1" x14ac:dyDescent="0.25">
      <c r="A2060"/>
    </row>
    <row r="2061" spans="1:1" x14ac:dyDescent="0.25">
      <c r="A2061"/>
    </row>
    <row r="2062" spans="1:1" x14ac:dyDescent="0.25">
      <c r="A2062"/>
    </row>
    <row r="2063" spans="1:1" x14ac:dyDescent="0.25">
      <c r="A2063"/>
    </row>
    <row r="2064" spans="1:1" x14ac:dyDescent="0.25">
      <c r="A2064"/>
    </row>
    <row r="2065" spans="1:1" x14ac:dyDescent="0.25">
      <c r="A2065"/>
    </row>
    <row r="2066" spans="1:1" x14ac:dyDescent="0.25">
      <c r="A2066"/>
    </row>
    <row r="2067" spans="1:1" x14ac:dyDescent="0.25">
      <c r="A2067"/>
    </row>
    <row r="2068" spans="1:1" x14ac:dyDescent="0.25">
      <c r="A2068"/>
    </row>
    <row r="2069" spans="1:1" x14ac:dyDescent="0.25">
      <c r="A2069"/>
    </row>
    <row r="2070" spans="1:1" x14ac:dyDescent="0.25">
      <c r="A2070"/>
    </row>
    <row r="2071" spans="1:1" x14ac:dyDescent="0.25">
      <c r="A2071"/>
    </row>
    <row r="2072" spans="1:1" x14ac:dyDescent="0.25">
      <c r="A2072"/>
    </row>
    <row r="2073" spans="1:1" x14ac:dyDescent="0.25">
      <c r="A2073"/>
    </row>
    <row r="2074" spans="1:1" x14ac:dyDescent="0.25">
      <c r="A2074"/>
    </row>
    <row r="2075" spans="1:1" x14ac:dyDescent="0.25">
      <c r="A2075"/>
    </row>
    <row r="2076" spans="1:1" x14ac:dyDescent="0.25">
      <c r="A2076"/>
    </row>
    <row r="2077" spans="1:1" x14ac:dyDescent="0.25">
      <c r="A2077"/>
    </row>
    <row r="2078" spans="1:1" x14ac:dyDescent="0.25">
      <c r="A2078"/>
    </row>
    <row r="2079" spans="1:1" x14ac:dyDescent="0.25">
      <c r="A2079"/>
    </row>
    <row r="2080" spans="1:1" x14ac:dyDescent="0.25">
      <c r="A2080"/>
    </row>
    <row r="2081" spans="1:1" x14ac:dyDescent="0.25">
      <c r="A2081"/>
    </row>
    <row r="2082" spans="1:1" x14ac:dyDescent="0.25">
      <c r="A2082"/>
    </row>
    <row r="2083" spans="1:1" x14ac:dyDescent="0.25">
      <c r="A2083"/>
    </row>
    <row r="2084" spans="1:1" x14ac:dyDescent="0.25">
      <c r="A2084"/>
    </row>
    <row r="2085" spans="1:1" x14ac:dyDescent="0.25">
      <c r="A2085"/>
    </row>
    <row r="2086" spans="1:1" x14ac:dyDescent="0.25">
      <c r="A2086"/>
    </row>
    <row r="2087" spans="1:1" x14ac:dyDescent="0.25">
      <c r="A2087"/>
    </row>
    <row r="2088" spans="1:1" x14ac:dyDescent="0.25">
      <c r="A2088"/>
    </row>
    <row r="2089" spans="1:1" x14ac:dyDescent="0.25">
      <c r="A2089"/>
    </row>
    <row r="2090" spans="1:1" x14ac:dyDescent="0.25">
      <c r="A2090"/>
    </row>
    <row r="2091" spans="1:1" x14ac:dyDescent="0.25">
      <c r="A2091"/>
    </row>
    <row r="2092" spans="1:1" x14ac:dyDescent="0.25">
      <c r="A2092"/>
    </row>
    <row r="2093" spans="1:1" x14ac:dyDescent="0.25">
      <c r="A2093"/>
    </row>
    <row r="2094" spans="1:1" x14ac:dyDescent="0.25">
      <c r="A2094"/>
    </row>
    <row r="2095" spans="1:1" x14ac:dyDescent="0.25">
      <c r="A2095"/>
    </row>
    <row r="2096" spans="1:1" x14ac:dyDescent="0.25">
      <c r="A2096"/>
    </row>
    <row r="2097" spans="1:1" x14ac:dyDescent="0.25">
      <c r="A2097"/>
    </row>
    <row r="2098" spans="1:1" x14ac:dyDescent="0.25">
      <c r="A2098"/>
    </row>
    <row r="2099" spans="1:1" x14ac:dyDescent="0.25">
      <c r="A2099"/>
    </row>
    <row r="2100" spans="1:1" x14ac:dyDescent="0.25">
      <c r="A2100"/>
    </row>
    <row r="2101" spans="1:1" x14ac:dyDescent="0.25">
      <c r="A2101"/>
    </row>
    <row r="2102" spans="1:1" x14ac:dyDescent="0.25">
      <c r="A2102"/>
    </row>
    <row r="2103" spans="1:1" x14ac:dyDescent="0.25">
      <c r="A2103"/>
    </row>
    <row r="2104" spans="1:1" x14ac:dyDescent="0.25">
      <c r="A2104"/>
    </row>
    <row r="2105" spans="1:1" x14ac:dyDescent="0.25">
      <c r="A2105"/>
    </row>
    <row r="2106" spans="1:1" x14ac:dyDescent="0.25">
      <c r="A2106"/>
    </row>
    <row r="2107" spans="1:1" x14ac:dyDescent="0.25">
      <c r="A2107"/>
    </row>
    <row r="2108" spans="1:1" x14ac:dyDescent="0.25">
      <c r="A2108"/>
    </row>
    <row r="2109" spans="1:1" x14ac:dyDescent="0.25">
      <c r="A2109"/>
    </row>
    <row r="2110" spans="1:1" x14ac:dyDescent="0.25">
      <c r="A2110"/>
    </row>
    <row r="2111" spans="1:1" x14ac:dyDescent="0.25">
      <c r="A2111"/>
    </row>
    <row r="2112" spans="1:1" x14ac:dyDescent="0.25">
      <c r="A2112"/>
    </row>
    <row r="2113" spans="1:1" x14ac:dyDescent="0.25">
      <c r="A2113"/>
    </row>
    <row r="2114" spans="1:1" x14ac:dyDescent="0.25">
      <c r="A2114"/>
    </row>
    <row r="2115" spans="1:1" x14ac:dyDescent="0.25">
      <c r="A2115"/>
    </row>
    <row r="2116" spans="1:1" x14ac:dyDescent="0.25">
      <c r="A2116"/>
    </row>
    <row r="2117" spans="1:1" x14ac:dyDescent="0.25">
      <c r="A2117"/>
    </row>
    <row r="2118" spans="1:1" x14ac:dyDescent="0.25">
      <c r="A2118"/>
    </row>
    <row r="2119" spans="1:1" x14ac:dyDescent="0.25">
      <c r="A2119"/>
    </row>
    <row r="2120" spans="1:1" x14ac:dyDescent="0.25">
      <c r="A2120"/>
    </row>
    <row r="2121" spans="1:1" x14ac:dyDescent="0.25">
      <c r="A2121"/>
    </row>
    <row r="2122" spans="1:1" x14ac:dyDescent="0.25">
      <c r="A2122"/>
    </row>
    <row r="2123" spans="1:1" x14ac:dyDescent="0.25">
      <c r="A2123"/>
    </row>
    <row r="2124" spans="1:1" x14ac:dyDescent="0.25">
      <c r="A2124"/>
    </row>
    <row r="2125" spans="1:1" x14ac:dyDescent="0.25">
      <c r="A2125"/>
    </row>
    <row r="2126" spans="1:1" x14ac:dyDescent="0.25">
      <c r="A2126"/>
    </row>
    <row r="2127" spans="1:1" x14ac:dyDescent="0.25">
      <c r="A2127"/>
    </row>
    <row r="2128" spans="1:1" x14ac:dyDescent="0.25">
      <c r="A2128"/>
    </row>
    <row r="2129" spans="1:1" x14ac:dyDescent="0.25">
      <c r="A2129"/>
    </row>
    <row r="2130" spans="1:1" x14ac:dyDescent="0.25">
      <c r="A2130"/>
    </row>
    <row r="2131" spans="1:1" x14ac:dyDescent="0.25">
      <c r="A2131"/>
    </row>
    <row r="2132" spans="1:1" x14ac:dyDescent="0.25">
      <c r="A2132"/>
    </row>
    <row r="2133" spans="1:1" x14ac:dyDescent="0.25">
      <c r="A2133"/>
    </row>
    <row r="2134" spans="1:1" x14ac:dyDescent="0.25">
      <c r="A2134"/>
    </row>
    <row r="2135" spans="1:1" x14ac:dyDescent="0.25">
      <c r="A2135"/>
    </row>
    <row r="2136" spans="1:1" x14ac:dyDescent="0.25">
      <c r="A2136"/>
    </row>
    <row r="2137" spans="1:1" x14ac:dyDescent="0.25">
      <c r="A2137"/>
    </row>
    <row r="2138" spans="1:1" x14ac:dyDescent="0.25">
      <c r="A2138"/>
    </row>
    <row r="2139" spans="1:1" x14ac:dyDescent="0.25">
      <c r="A2139"/>
    </row>
    <row r="2140" spans="1:1" x14ac:dyDescent="0.25">
      <c r="A2140"/>
    </row>
    <row r="2141" spans="1:1" x14ac:dyDescent="0.25">
      <c r="A2141"/>
    </row>
    <row r="2142" spans="1:1" x14ac:dyDescent="0.25">
      <c r="A2142"/>
    </row>
    <row r="2143" spans="1:1" x14ac:dyDescent="0.25">
      <c r="A2143"/>
    </row>
    <row r="2144" spans="1:1" x14ac:dyDescent="0.25">
      <c r="A2144"/>
    </row>
    <row r="2145" spans="1:1" x14ac:dyDescent="0.25">
      <c r="A2145"/>
    </row>
    <row r="2146" spans="1:1" x14ac:dyDescent="0.25">
      <c r="A2146"/>
    </row>
    <row r="2147" spans="1:1" x14ac:dyDescent="0.25">
      <c r="A2147"/>
    </row>
    <row r="2148" spans="1:1" x14ac:dyDescent="0.25">
      <c r="A2148"/>
    </row>
    <row r="2149" spans="1:1" x14ac:dyDescent="0.25">
      <c r="A2149"/>
    </row>
    <row r="2150" spans="1:1" x14ac:dyDescent="0.25">
      <c r="A2150"/>
    </row>
    <row r="2151" spans="1:1" x14ac:dyDescent="0.25">
      <c r="A2151"/>
    </row>
    <row r="2152" spans="1:1" x14ac:dyDescent="0.25">
      <c r="A2152"/>
    </row>
    <row r="2153" spans="1:1" x14ac:dyDescent="0.25">
      <c r="A2153"/>
    </row>
    <row r="2154" spans="1:1" x14ac:dyDescent="0.25">
      <c r="A2154"/>
    </row>
    <row r="2155" spans="1:1" x14ac:dyDescent="0.25">
      <c r="A2155"/>
    </row>
    <row r="2156" spans="1:1" x14ac:dyDescent="0.25">
      <c r="A2156"/>
    </row>
    <row r="2157" spans="1:1" x14ac:dyDescent="0.25">
      <c r="A2157"/>
    </row>
    <row r="2158" spans="1:1" x14ac:dyDescent="0.25">
      <c r="A2158"/>
    </row>
    <row r="2159" spans="1:1" x14ac:dyDescent="0.25">
      <c r="A2159"/>
    </row>
    <row r="2160" spans="1:1" x14ac:dyDescent="0.25">
      <c r="A2160"/>
    </row>
    <row r="2161" spans="1:1" x14ac:dyDescent="0.25">
      <c r="A2161"/>
    </row>
    <row r="2162" spans="1:1" x14ac:dyDescent="0.25">
      <c r="A2162"/>
    </row>
    <row r="2163" spans="1:1" x14ac:dyDescent="0.25">
      <c r="A2163"/>
    </row>
    <row r="2164" spans="1:1" x14ac:dyDescent="0.25">
      <c r="A2164"/>
    </row>
    <row r="2165" spans="1:1" x14ac:dyDescent="0.25">
      <c r="A2165"/>
    </row>
    <row r="2166" spans="1:1" x14ac:dyDescent="0.25">
      <c r="A2166"/>
    </row>
    <row r="2167" spans="1:1" x14ac:dyDescent="0.25">
      <c r="A2167"/>
    </row>
    <row r="2168" spans="1:1" x14ac:dyDescent="0.25">
      <c r="A2168"/>
    </row>
    <row r="2169" spans="1:1" x14ac:dyDescent="0.25">
      <c r="A2169"/>
    </row>
    <row r="2170" spans="1:1" x14ac:dyDescent="0.25">
      <c r="A2170"/>
    </row>
    <row r="2171" spans="1:1" x14ac:dyDescent="0.25">
      <c r="A2171"/>
    </row>
    <row r="2172" spans="1:1" x14ac:dyDescent="0.25">
      <c r="A2172"/>
    </row>
    <row r="2173" spans="1:1" x14ac:dyDescent="0.25">
      <c r="A2173"/>
    </row>
    <row r="2174" spans="1:1" x14ac:dyDescent="0.25">
      <c r="A2174"/>
    </row>
    <row r="2175" spans="1:1" x14ac:dyDescent="0.25">
      <c r="A2175"/>
    </row>
    <row r="2176" spans="1:1" x14ac:dyDescent="0.25">
      <c r="A2176"/>
    </row>
    <row r="2177" spans="1:1" x14ac:dyDescent="0.25">
      <c r="A2177"/>
    </row>
    <row r="2178" spans="1:1" x14ac:dyDescent="0.25">
      <c r="A2178"/>
    </row>
    <row r="2179" spans="1:1" x14ac:dyDescent="0.25">
      <c r="A2179"/>
    </row>
    <row r="2180" spans="1:1" x14ac:dyDescent="0.25">
      <c r="A2180"/>
    </row>
    <row r="2181" spans="1:1" x14ac:dyDescent="0.25">
      <c r="A2181"/>
    </row>
    <row r="2182" spans="1:1" x14ac:dyDescent="0.25">
      <c r="A2182"/>
    </row>
    <row r="2183" spans="1:1" x14ac:dyDescent="0.25">
      <c r="A2183"/>
    </row>
    <row r="2184" spans="1:1" x14ac:dyDescent="0.25">
      <c r="A2184"/>
    </row>
    <row r="2185" spans="1:1" x14ac:dyDescent="0.25">
      <c r="A2185"/>
    </row>
    <row r="2186" spans="1:1" x14ac:dyDescent="0.25">
      <c r="A2186"/>
    </row>
    <row r="2187" spans="1:1" x14ac:dyDescent="0.25">
      <c r="A2187"/>
    </row>
    <row r="2188" spans="1:1" x14ac:dyDescent="0.25">
      <c r="A2188"/>
    </row>
    <row r="2189" spans="1:1" x14ac:dyDescent="0.25">
      <c r="A2189"/>
    </row>
    <row r="2190" spans="1:1" x14ac:dyDescent="0.25">
      <c r="A2190"/>
    </row>
    <row r="2191" spans="1:1" x14ac:dyDescent="0.25">
      <c r="A2191"/>
    </row>
    <row r="2192" spans="1:1" x14ac:dyDescent="0.25">
      <c r="A2192"/>
    </row>
    <row r="2193" spans="1:1" x14ac:dyDescent="0.25">
      <c r="A2193"/>
    </row>
    <row r="2194" spans="1:1" x14ac:dyDescent="0.25">
      <c r="A2194"/>
    </row>
    <row r="2195" spans="1:1" x14ac:dyDescent="0.25">
      <c r="A2195"/>
    </row>
    <row r="2196" spans="1:1" x14ac:dyDescent="0.25">
      <c r="A2196"/>
    </row>
    <row r="2197" spans="1:1" x14ac:dyDescent="0.25">
      <c r="A2197"/>
    </row>
    <row r="2198" spans="1:1" x14ac:dyDescent="0.25">
      <c r="A2198"/>
    </row>
    <row r="2199" spans="1:1" x14ac:dyDescent="0.25">
      <c r="A2199"/>
    </row>
    <row r="2200" spans="1:1" x14ac:dyDescent="0.25">
      <c r="A2200"/>
    </row>
    <row r="2201" spans="1:1" x14ac:dyDescent="0.25">
      <c r="A2201"/>
    </row>
    <row r="2202" spans="1:1" x14ac:dyDescent="0.25">
      <c r="A2202"/>
    </row>
    <row r="2203" spans="1:1" x14ac:dyDescent="0.25">
      <c r="A2203"/>
    </row>
    <row r="2204" spans="1:1" x14ac:dyDescent="0.25">
      <c r="A2204"/>
    </row>
    <row r="2205" spans="1:1" x14ac:dyDescent="0.25">
      <c r="A2205"/>
    </row>
    <row r="2206" spans="1:1" x14ac:dyDescent="0.25">
      <c r="A2206"/>
    </row>
    <row r="2207" spans="1:1" x14ac:dyDescent="0.25">
      <c r="A2207"/>
    </row>
    <row r="2208" spans="1:1" x14ac:dyDescent="0.25">
      <c r="A2208"/>
    </row>
    <row r="2209" spans="1:1" x14ac:dyDescent="0.25">
      <c r="A2209"/>
    </row>
    <row r="2210" spans="1:1" x14ac:dyDescent="0.25">
      <c r="A2210"/>
    </row>
    <row r="2211" spans="1:1" x14ac:dyDescent="0.25">
      <c r="A2211"/>
    </row>
    <row r="2212" spans="1:1" x14ac:dyDescent="0.25">
      <c r="A2212"/>
    </row>
    <row r="2213" spans="1:1" x14ac:dyDescent="0.25">
      <c r="A2213"/>
    </row>
    <row r="2214" spans="1:1" x14ac:dyDescent="0.25">
      <c r="A2214"/>
    </row>
    <row r="2215" spans="1:1" x14ac:dyDescent="0.25">
      <c r="A2215"/>
    </row>
    <row r="2216" spans="1:1" x14ac:dyDescent="0.25">
      <c r="A2216"/>
    </row>
    <row r="2217" spans="1:1" x14ac:dyDescent="0.25">
      <c r="A2217"/>
    </row>
    <row r="2218" spans="1:1" x14ac:dyDescent="0.25">
      <c r="A2218"/>
    </row>
    <row r="2219" spans="1:1" x14ac:dyDescent="0.25">
      <c r="A2219"/>
    </row>
    <row r="2220" spans="1:1" x14ac:dyDescent="0.25">
      <c r="A2220"/>
    </row>
    <row r="2221" spans="1:1" x14ac:dyDescent="0.25">
      <c r="A2221"/>
    </row>
    <row r="2222" spans="1:1" x14ac:dyDescent="0.25">
      <c r="A2222"/>
    </row>
    <row r="2223" spans="1:1" x14ac:dyDescent="0.25">
      <c r="A2223"/>
    </row>
    <row r="2224" spans="1:1" x14ac:dyDescent="0.25">
      <c r="A2224"/>
    </row>
    <row r="2225" spans="1:1" x14ac:dyDescent="0.25">
      <c r="A2225"/>
    </row>
    <row r="2226" spans="1:1" x14ac:dyDescent="0.25">
      <c r="A2226"/>
    </row>
    <row r="2227" spans="1:1" x14ac:dyDescent="0.25">
      <c r="A2227"/>
    </row>
    <row r="2228" spans="1:1" x14ac:dyDescent="0.25">
      <c r="A2228"/>
    </row>
    <row r="2229" spans="1:1" x14ac:dyDescent="0.25">
      <c r="A2229"/>
    </row>
    <row r="2230" spans="1:1" x14ac:dyDescent="0.25">
      <c r="A2230"/>
    </row>
    <row r="2231" spans="1:1" x14ac:dyDescent="0.25">
      <c r="A2231"/>
    </row>
    <row r="2232" spans="1:1" x14ac:dyDescent="0.25">
      <c r="A2232"/>
    </row>
    <row r="2233" spans="1:1" x14ac:dyDescent="0.25">
      <c r="A2233"/>
    </row>
    <row r="2234" spans="1:1" x14ac:dyDescent="0.25">
      <c r="A2234"/>
    </row>
    <row r="2235" spans="1:1" x14ac:dyDescent="0.25">
      <c r="A2235"/>
    </row>
    <row r="2236" spans="1:1" x14ac:dyDescent="0.25">
      <c r="A2236"/>
    </row>
    <row r="2237" spans="1:1" x14ac:dyDescent="0.25">
      <c r="A2237"/>
    </row>
    <row r="2238" spans="1:1" x14ac:dyDescent="0.25">
      <c r="A2238"/>
    </row>
    <row r="2239" spans="1:1" x14ac:dyDescent="0.25">
      <c r="A2239"/>
    </row>
    <row r="2240" spans="1:1" x14ac:dyDescent="0.25">
      <c r="A2240"/>
    </row>
    <row r="2241" spans="1:1" x14ac:dyDescent="0.25">
      <c r="A2241"/>
    </row>
    <row r="2242" spans="1:1" x14ac:dyDescent="0.25">
      <c r="A2242"/>
    </row>
    <row r="2243" spans="1:1" x14ac:dyDescent="0.25">
      <c r="A2243"/>
    </row>
    <row r="2244" spans="1:1" x14ac:dyDescent="0.25">
      <c r="A2244"/>
    </row>
    <row r="2245" spans="1:1" x14ac:dyDescent="0.25">
      <c r="A2245"/>
    </row>
    <row r="2246" spans="1:1" x14ac:dyDescent="0.25">
      <c r="A2246"/>
    </row>
    <row r="2247" spans="1:1" x14ac:dyDescent="0.25">
      <c r="A2247"/>
    </row>
    <row r="2248" spans="1:1" x14ac:dyDescent="0.25">
      <c r="A2248"/>
    </row>
    <row r="2249" spans="1:1" x14ac:dyDescent="0.25">
      <c r="A2249"/>
    </row>
    <row r="2250" spans="1:1" x14ac:dyDescent="0.25">
      <c r="A2250"/>
    </row>
    <row r="2251" spans="1:1" x14ac:dyDescent="0.25">
      <c r="A2251"/>
    </row>
    <row r="2252" spans="1:1" x14ac:dyDescent="0.25">
      <c r="A2252"/>
    </row>
    <row r="2253" spans="1:1" x14ac:dyDescent="0.25">
      <c r="A2253"/>
    </row>
    <row r="2254" spans="1:1" x14ac:dyDescent="0.25">
      <c r="A2254"/>
    </row>
    <row r="2255" spans="1:1" x14ac:dyDescent="0.25">
      <c r="A2255"/>
    </row>
    <row r="2256" spans="1:1" x14ac:dyDescent="0.25">
      <c r="A2256"/>
    </row>
    <row r="2257" spans="1:1" x14ac:dyDescent="0.25">
      <c r="A2257"/>
    </row>
    <row r="2258" spans="1:1" x14ac:dyDescent="0.25">
      <c r="A2258"/>
    </row>
    <row r="2259" spans="1:1" x14ac:dyDescent="0.25">
      <c r="A2259"/>
    </row>
    <row r="2260" spans="1:1" x14ac:dyDescent="0.25">
      <c r="A2260"/>
    </row>
    <row r="2261" spans="1:1" x14ac:dyDescent="0.25">
      <c r="A2261"/>
    </row>
    <row r="2262" spans="1:1" x14ac:dyDescent="0.25">
      <c r="A2262"/>
    </row>
    <row r="2263" spans="1:1" x14ac:dyDescent="0.25">
      <c r="A2263"/>
    </row>
    <row r="2264" spans="1:1" x14ac:dyDescent="0.25">
      <c r="A2264"/>
    </row>
    <row r="2265" spans="1:1" x14ac:dyDescent="0.25">
      <c r="A2265"/>
    </row>
    <row r="2266" spans="1:1" x14ac:dyDescent="0.25">
      <c r="A2266"/>
    </row>
    <row r="2267" spans="1:1" x14ac:dyDescent="0.25">
      <c r="A2267"/>
    </row>
    <row r="2268" spans="1:1" x14ac:dyDescent="0.25">
      <c r="A2268"/>
    </row>
    <row r="2269" spans="1:1" x14ac:dyDescent="0.25">
      <c r="A2269"/>
    </row>
    <row r="2270" spans="1:1" x14ac:dyDescent="0.25">
      <c r="A2270"/>
    </row>
    <row r="2271" spans="1:1" x14ac:dyDescent="0.25">
      <c r="A2271"/>
    </row>
    <row r="2272" spans="1:1" x14ac:dyDescent="0.25">
      <c r="A2272"/>
    </row>
    <row r="2273" spans="1:1" x14ac:dyDescent="0.25">
      <c r="A2273"/>
    </row>
    <row r="2274" spans="1:1" x14ac:dyDescent="0.25">
      <c r="A2274"/>
    </row>
    <row r="2275" spans="1:1" x14ac:dyDescent="0.25">
      <c r="A2275"/>
    </row>
    <row r="2276" spans="1:1" x14ac:dyDescent="0.25">
      <c r="A2276"/>
    </row>
    <row r="2277" spans="1:1" x14ac:dyDescent="0.25">
      <c r="A2277"/>
    </row>
    <row r="2278" spans="1:1" x14ac:dyDescent="0.25">
      <c r="A2278"/>
    </row>
    <row r="2279" spans="1:1" x14ac:dyDescent="0.25">
      <c r="A2279"/>
    </row>
    <row r="2280" spans="1:1" x14ac:dyDescent="0.25">
      <c r="A2280"/>
    </row>
    <row r="2281" spans="1:1" x14ac:dyDescent="0.25">
      <c r="A2281"/>
    </row>
    <row r="2282" spans="1:1" x14ac:dyDescent="0.25">
      <c r="A2282"/>
    </row>
    <row r="2283" spans="1:1" x14ac:dyDescent="0.25">
      <c r="A2283"/>
    </row>
    <row r="2284" spans="1:1" x14ac:dyDescent="0.25">
      <c r="A2284"/>
    </row>
    <row r="2285" spans="1:1" x14ac:dyDescent="0.25">
      <c r="A2285"/>
    </row>
    <row r="2286" spans="1:1" x14ac:dyDescent="0.25">
      <c r="A2286"/>
    </row>
    <row r="2287" spans="1:1" x14ac:dyDescent="0.25">
      <c r="A2287"/>
    </row>
    <row r="2288" spans="1:1" x14ac:dyDescent="0.25">
      <c r="A2288"/>
    </row>
    <row r="2289" spans="1:1" x14ac:dyDescent="0.25">
      <c r="A2289"/>
    </row>
    <row r="2290" spans="1:1" x14ac:dyDescent="0.25">
      <c r="A2290"/>
    </row>
    <row r="2291" spans="1:1" x14ac:dyDescent="0.25">
      <c r="A2291"/>
    </row>
    <row r="2292" spans="1:1" x14ac:dyDescent="0.25">
      <c r="A2292"/>
    </row>
    <row r="2293" spans="1:1" x14ac:dyDescent="0.25">
      <c r="A2293"/>
    </row>
    <row r="2294" spans="1:1" x14ac:dyDescent="0.25">
      <c r="A2294"/>
    </row>
    <row r="2295" spans="1:1" x14ac:dyDescent="0.25">
      <c r="A2295"/>
    </row>
    <row r="2296" spans="1:1" x14ac:dyDescent="0.25">
      <c r="A2296"/>
    </row>
    <row r="2297" spans="1:1" x14ac:dyDescent="0.25">
      <c r="A2297"/>
    </row>
    <row r="2298" spans="1:1" x14ac:dyDescent="0.25">
      <c r="A2298"/>
    </row>
    <row r="2299" spans="1:1" x14ac:dyDescent="0.25">
      <c r="A2299"/>
    </row>
    <row r="2300" spans="1:1" x14ac:dyDescent="0.25">
      <c r="A2300"/>
    </row>
    <row r="2301" spans="1:1" x14ac:dyDescent="0.25">
      <c r="A2301"/>
    </row>
    <row r="2302" spans="1:1" x14ac:dyDescent="0.25">
      <c r="A2302"/>
    </row>
    <row r="2303" spans="1:1" x14ac:dyDescent="0.25">
      <c r="A2303"/>
    </row>
    <row r="2304" spans="1:1" x14ac:dyDescent="0.25">
      <c r="A2304"/>
    </row>
    <row r="2305" spans="1:1" x14ac:dyDescent="0.25">
      <c r="A2305"/>
    </row>
    <row r="2306" spans="1:1" x14ac:dyDescent="0.25">
      <c r="A2306"/>
    </row>
    <row r="2307" spans="1:1" x14ac:dyDescent="0.25">
      <c r="A2307"/>
    </row>
    <row r="2308" spans="1:1" x14ac:dyDescent="0.25">
      <c r="A2308"/>
    </row>
    <row r="2309" spans="1:1" x14ac:dyDescent="0.25">
      <c r="A2309"/>
    </row>
    <row r="2310" spans="1:1" x14ac:dyDescent="0.25">
      <c r="A2310"/>
    </row>
    <row r="2311" spans="1:1" x14ac:dyDescent="0.25">
      <c r="A2311"/>
    </row>
    <row r="2312" spans="1:1" x14ac:dyDescent="0.25">
      <c r="A2312"/>
    </row>
    <row r="2313" spans="1:1" x14ac:dyDescent="0.25">
      <c r="A2313"/>
    </row>
    <row r="2314" spans="1:1" x14ac:dyDescent="0.25">
      <c r="A2314"/>
    </row>
    <row r="2315" spans="1:1" x14ac:dyDescent="0.25">
      <c r="A2315"/>
    </row>
    <row r="2316" spans="1:1" x14ac:dyDescent="0.25">
      <c r="A2316"/>
    </row>
    <row r="2317" spans="1:1" x14ac:dyDescent="0.25">
      <c r="A2317"/>
    </row>
    <row r="2318" spans="1:1" x14ac:dyDescent="0.25">
      <c r="A2318"/>
    </row>
    <row r="2319" spans="1:1" x14ac:dyDescent="0.25">
      <c r="A2319"/>
    </row>
    <row r="2320" spans="1:1" x14ac:dyDescent="0.25">
      <c r="A2320"/>
    </row>
    <row r="2321" spans="1:1" x14ac:dyDescent="0.25">
      <c r="A2321"/>
    </row>
    <row r="2322" spans="1:1" x14ac:dyDescent="0.25">
      <c r="A2322"/>
    </row>
    <row r="2323" spans="1:1" x14ac:dyDescent="0.25">
      <c r="A2323"/>
    </row>
    <row r="2324" spans="1:1" x14ac:dyDescent="0.25">
      <c r="A2324"/>
    </row>
    <row r="2325" spans="1:1" x14ac:dyDescent="0.25">
      <c r="A2325"/>
    </row>
    <row r="2326" spans="1:1" x14ac:dyDescent="0.25">
      <c r="A2326"/>
    </row>
    <row r="2327" spans="1:1" x14ac:dyDescent="0.25">
      <c r="A2327"/>
    </row>
    <row r="2328" spans="1:1" x14ac:dyDescent="0.25">
      <c r="A2328"/>
    </row>
    <row r="2329" spans="1:1" x14ac:dyDescent="0.25">
      <c r="A2329"/>
    </row>
    <row r="2330" spans="1:1" x14ac:dyDescent="0.25">
      <c r="A2330"/>
    </row>
    <row r="2331" spans="1:1" x14ac:dyDescent="0.25">
      <c r="A2331"/>
    </row>
    <row r="2332" spans="1:1" x14ac:dyDescent="0.25">
      <c r="A2332"/>
    </row>
    <row r="2333" spans="1:1" x14ac:dyDescent="0.25">
      <c r="A2333"/>
    </row>
    <row r="2334" spans="1:1" x14ac:dyDescent="0.25">
      <c r="A2334"/>
    </row>
    <row r="2335" spans="1:1" x14ac:dyDescent="0.25">
      <c r="A2335"/>
    </row>
    <row r="2336" spans="1:1" x14ac:dyDescent="0.25">
      <c r="A2336"/>
    </row>
    <row r="2337" spans="1:1" x14ac:dyDescent="0.25">
      <c r="A2337"/>
    </row>
    <row r="2338" spans="1:1" x14ac:dyDescent="0.25">
      <c r="A2338"/>
    </row>
    <row r="2339" spans="1:1" x14ac:dyDescent="0.25">
      <c r="A2339"/>
    </row>
    <row r="2340" spans="1:1" x14ac:dyDescent="0.25">
      <c r="A2340"/>
    </row>
    <row r="2341" spans="1:1" x14ac:dyDescent="0.25">
      <c r="A2341"/>
    </row>
    <row r="2342" spans="1:1" x14ac:dyDescent="0.25">
      <c r="A2342"/>
    </row>
    <row r="2343" spans="1:1" x14ac:dyDescent="0.25">
      <c r="A2343"/>
    </row>
    <row r="2344" spans="1:1" x14ac:dyDescent="0.25">
      <c r="A2344"/>
    </row>
    <row r="2345" spans="1:1" x14ac:dyDescent="0.25">
      <c r="A2345"/>
    </row>
    <row r="2346" spans="1:1" x14ac:dyDescent="0.25">
      <c r="A2346"/>
    </row>
    <row r="2347" spans="1:1" x14ac:dyDescent="0.25">
      <c r="A2347"/>
    </row>
    <row r="2348" spans="1:1" x14ac:dyDescent="0.25">
      <c r="A2348"/>
    </row>
    <row r="2349" spans="1:1" x14ac:dyDescent="0.25">
      <c r="A2349"/>
    </row>
    <row r="2350" spans="1:1" x14ac:dyDescent="0.25">
      <c r="A2350"/>
    </row>
    <row r="2351" spans="1:1" x14ac:dyDescent="0.25">
      <c r="A2351"/>
    </row>
    <row r="2352" spans="1:1" x14ac:dyDescent="0.25">
      <c r="A2352"/>
    </row>
    <row r="2353" spans="1:1" x14ac:dyDescent="0.25">
      <c r="A2353"/>
    </row>
    <row r="2354" spans="1:1" x14ac:dyDescent="0.25">
      <c r="A2354"/>
    </row>
    <row r="2355" spans="1:1" x14ac:dyDescent="0.25">
      <c r="A2355"/>
    </row>
    <row r="2356" spans="1:1" x14ac:dyDescent="0.25">
      <c r="A2356"/>
    </row>
    <row r="2357" spans="1:1" x14ac:dyDescent="0.25">
      <c r="A2357"/>
    </row>
    <row r="2358" spans="1:1" x14ac:dyDescent="0.25">
      <c r="A2358"/>
    </row>
    <row r="2359" spans="1:1" x14ac:dyDescent="0.25">
      <c r="A2359"/>
    </row>
    <row r="2360" spans="1:1" x14ac:dyDescent="0.25">
      <c r="A2360"/>
    </row>
    <row r="2361" spans="1:1" x14ac:dyDescent="0.25">
      <c r="A2361"/>
    </row>
    <row r="2362" spans="1:1" x14ac:dyDescent="0.25">
      <c r="A2362"/>
    </row>
    <row r="2363" spans="1:1" x14ac:dyDescent="0.25">
      <c r="A2363"/>
    </row>
    <row r="2364" spans="1:1" x14ac:dyDescent="0.25">
      <c r="A2364"/>
    </row>
    <row r="2365" spans="1:1" x14ac:dyDescent="0.25">
      <c r="A2365"/>
    </row>
    <row r="2366" spans="1:1" x14ac:dyDescent="0.25">
      <c r="A2366"/>
    </row>
    <row r="2367" spans="1:1" x14ac:dyDescent="0.25">
      <c r="A2367"/>
    </row>
    <row r="2368" spans="1:1" x14ac:dyDescent="0.25">
      <c r="A2368"/>
    </row>
    <row r="2369" spans="1:1" x14ac:dyDescent="0.25">
      <c r="A2369"/>
    </row>
    <row r="2370" spans="1:1" x14ac:dyDescent="0.25">
      <c r="A2370"/>
    </row>
    <row r="2371" spans="1:1" x14ac:dyDescent="0.25">
      <c r="A2371"/>
    </row>
    <row r="2372" spans="1:1" x14ac:dyDescent="0.25">
      <c r="A2372"/>
    </row>
    <row r="2373" spans="1:1" x14ac:dyDescent="0.25">
      <c r="A2373"/>
    </row>
    <row r="2374" spans="1:1" x14ac:dyDescent="0.25">
      <c r="A2374"/>
    </row>
    <row r="2375" spans="1:1" x14ac:dyDescent="0.25">
      <c r="A2375"/>
    </row>
    <row r="2376" spans="1:1" x14ac:dyDescent="0.25">
      <c r="A2376"/>
    </row>
    <row r="2377" spans="1:1" x14ac:dyDescent="0.25">
      <c r="A2377"/>
    </row>
    <row r="2378" spans="1:1" x14ac:dyDescent="0.25">
      <c r="A2378"/>
    </row>
    <row r="2379" spans="1:1" x14ac:dyDescent="0.25">
      <c r="A2379"/>
    </row>
    <row r="2380" spans="1:1" x14ac:dyDescent="0.25">
      <c r="A2380"/>
    </row>
    <row r="2381" spans="1:1" x14ac:dyDescent="0.25">
      <c r="A2381"/>
    </row>
    <row r="2382" spans="1:1" x14ac:dyDescent="0.25">
      <c r="A2382"/>
    </row>
    <row r="2383" spans="1:1" x14ac:dyDescent="0.25">
      <c r="A2383"/>
    </row>
    <row r="2384" spans="1:1" x14ac:dyDescent="0.25">
      <c r="A2384"/>
    </row>
    <row r="2385" spans="1:1" x14ac:dyDescent="0.25">
      <c r="A2385"/>
    </row>
    <row r="2386" spans="1:1" x14ac:dyDescent="0.25">
      <c r="A2386"/>
    </row>
    <row r="2387" spans="1:1" x14ac:dyDescent="0.25">
      <c r="A2387"/>
    </row>
    <row r="2388" spans="1:1" x14ac:dyDescent="0.25">
      <c r="A2388"/>
    </row>
    <row r="2389" spans="1:1" x14ac:dyDescent="0.25">
      <c r="A2389"/>
    </row>
    <row r="2390" spans="1:1" x14ac:dyDescent="0.25">
      <c r="A2390"/>
    </row>
    <row r="2391" spans="1:1" x14ac:dyDescent="0.25">
      <c r="A2391"/>
    </row>
    <row r="2392" spans="1:1" x14ac:dyDescent="0.25">
      <c r="A2392"/>
    </row>
    <row r="2393" spans="1:1" x14ac:dyDescent="0.25">
      <c r="A2393"/>
    </row>
    <row r="2394" spans="1:1" x14ac:dyDescent="0.25">
      <c r="A2394"/>
    </row>
    <row r="2395" spans="1:1" x14ac:dyDescent="0.25">
      <c r="A2395"/>
    </row>
    <row r="2396" spans="1:1" x14ac:dyDescent="0.25">
      <c r="A2396"/>
    </row>
    <row r="2397" spans="1:1" x14ac:dyDescent="0.25">
      <c r="A2397"/>
    </row>
    <row r="2398" spans="1:1" x14ac:dyDescent="0.25">
      <c r="A2398"/>
    </row>
    <row r="2399" spans="1:1" x14ac:dyDescent="0.25">
      <c r="A2399"/>
    </row>
    <row r="2400" spans="1:1" x14ac:dyDescent="0.25">
      <c r="A2400"/>
    </row>
    <row r="2401" spans="1:1" x14ac:dyDescent="0.25">
      <c r="A2401"/>
    </row>
    <row r="2402" spans="1:1" x14ac:dyDescent="0.25">
      <c r="A2402"/>
    </row>
    <row r="2403" spans="1:1" x14ac:dyDescent="0.25">
      <c r="A2403"/>
    </row>
    <row r="2404" spans="1:1" x14ac:dyDescent="0.25">
      <c r="A2404"/>
    </row>
    <row r="2405" spans="1:1" x14ac:dyDescent="0.25">
      <c r="A2405"/>
    </row>
    <row r="2406" spans="1:1" x14ac:dyDescent="0.25">
      <c r="A2406"/>
    </row>
    <row r="2407" spans="1:1" x14ac:dyDescent="0.25">
      <c r="A2407"/>
    </row>
    <row r="2408" spans="1:1" x14ac:dyDescent="0.25">
      <c r="A2408"/>
    </row>
    <row r="2409" spans="1:1" x14ac:dyDescent="0.25">
      <c r="A2409"/>
    </row>
    <row r="2410" spans="1:1" x14ac:dyDescent="0.25">
      <c r="A2410"/>
    </row>
    <row r="2411" spans="1:1" x14ac:dyDescent="0.25">
      <c r="A2411"/>
    </row>
    <row r="2412" spans="1:1" x14ac:dyDescent="0.25">
      <c r="A2412"/>
    </row>
    <row r="2413" spans="1:1" x14ac:dyDescent="0.25">
      <c r="A2413"/>
    </row>
    <row r="2414" spans="1:1" x14ac:dyDescent="0.25">
      <c r="A2414"/>
    </row>
    <row r="2415" spans="1:1" x14ac:dyDescent="0.25">
      <c r="A2415"/>
    </row>
    <row r="2416" spans="1:1" x14ac:dyDescent="0.25">
      <c r="A2416"/>
    </row>
    <row r="2417" spans="1:1" x14ac:dyDescent="0.25">
      <c r="A2417"/>
    </row>
    <row r="2418" spans="1:1" x14ac:dyDescent="0.25">
      <c r="A2418"/>
    </row>
    <row r="2419" spans="1:1" x14ac:dyDescent="0.25">
      <c r="A2419"/>
    </row>
    <row r="2420" spans="1:1" x14ac:dyDescent="0.25">
      <c r="A2420"/>
    </row>
    <row r="2421" spans="1:1" x14ac:dyDescent="0.25">
      <c r="A2421"/>
    </row>
    <row r="2422" spans="1:1" x14ac:dyDescent="0.25">
      <c r="A2422"/>
    </row>
    <row r="2423" spans="1:1" x14ac:dyDescent="0.25">
      <c r="A2423"/>
    </row>
    <row r="2424" spans="1:1" x14ac:dyDescent="0.25">
      <c r="A2424"/>
    </row>
    <row r="2425" spans="1:1" x14ac:dyDescent="0.25">
      <c r="A2425"/>
    </row>
    <row r="2426" spans="1:1" x14ac:dyDescent="0.25">
      <c r="A2426"/>
    </row>
    <row r="2427" spans="1:1" x14ac:dyDescent="0.25">
      <c r="A2427"/>
    </row>
    <row r="2428" spans="1:1" x14ac:dyDescent="0.25">
      <c r="A2428"/>
    </row>
    <row r="2429" spans="1:1" x14ac:dyDescent="0.25">
      <c r="A2429"/>
    </row>
    <row r="2430" spans="1:1" x14ac:dyDescent="0.25">
      <c r="A2430"/>
    </row>
    <row r="2431" spans="1:1" x14ac:dyDescent="0.25">
      <c r="A2431"/>
    </row>
    <row r="2432" spans="1:1" x14ac:dyDescent="0.25">
      <c r="A2432"/>
    </row>
    <row r="2433" spans="1:1" x14ac:dyDescent="0.25">
      <c r="A2433"/>
    </row>
    <row r="2434" spans="1:1" x14ac:dyDescent="0.25">
      <c r="A2434"/>
    </row>
    <row r="2435" spans="1:1" x14ac:dyDescent="0.25">
      <c r="A2435"/>
    </row>
    <row r="2436" spans="1:1" x14ac:dyDescent="0.25">
      <c r="A2436"/>
    </row>
    <row r="2437" spans="1:1" x14ac:dyDescent="0.25">
      <c r="A2437"/>
    </row>
    <row r="2438" spans="1:1" x14ac:dyDescent="0.25">
      <c r="A2438"/>
    </row>
    <row r="2439" spans="1:1" x14ac:dyDescent="0.25">
      <c r="A2439"/>
    </row>
    <row r="2440" spans="1:1" x14ac:dyDescent="0.25">
      <c r="A2440"/>
    </row>
    <row r="2441" spans="1:1" x14ac:dyDescent="0.25">
      <c r="A2441"/>
    </row>
    <row r="2442" spans="1:1" x14ac:dyDescent="0.25">
      <c r="A2442"/>
    </row>
    <row r="2443" spans="1:1" x14ac:dyDescent="0.25">
      <c r="A2443"/>
    </row>
    <row r="2444" spans="1:1" x14ac:dyDescent="0.25">
      <c r="A2444"/>
    </row>
    <row r="2445" spans="1:1" x14ac:dyDescent="0.25">
      <c r="A2445"/>
    </row>
    <row r="2446" spans="1:1" x14ac:dyDescent="0.25">
      <c r="A2446"/>
    </row>
    <row r="2447" spans="1:1" x14ac:dyDescent="0.25">
      <c r="A2447"/>
    </row>
    <row r="2448" spans="1:1" x14ac:dyDescent="0.25">
      <c r="A2448"/>
    </row>
    <row r="2449" spans="1:1" x14ac:dyDescent="0.25">
      <c r="A2449"/>
    </row>
    <row r="2450" spans="1:1" x14ac:dyDescent="0.25">
      <c r="A2450"/>
    </row>
    <row r="2451" spans="1:1" x14ac:dyDescent="0.25">
      <c r="A2451"/>
    </row>
    <row r="2452" spans="1:1" x14ac:dyDescent="0.25">
      <c r="A2452"/>
    </row>
    <row r="2453" spans="1:1" x14ac:dyDescent="0.25">
      <c r="A2453"/>
    </row>
    <row r="2454" spans="1:1" x14ac:dyDescent="0.25">
      <c r="A2454"/>
    </row>
    <row r="2455" spans="1:1" x14ac:dyDescent="0.25">
      <c r="A2455"/>
    </row>
    <row r="2456" spans="1:1" x14ac:dyDescent="0.25">
      <c r="A2456"/>
    </row>
    <row r="2457" spans="1:1" x14ac:dyDescent="0.25">
      <c r="A2457"/>
    </row>
    <row r="2458" spans="1:1" x14ac:dyDescent="0.25">
      <c r="A2458"/>
    </row>
    <row r="2459" spans="1:1" x14ac:dyDescent="0.25">
      <c r="A2459"/>
    </row>
    <row r="2460" spans="1:1" x14ac:dyDescent="0.25">
      <c r="A2460"/>
    </row>
    <row r="2461" spans="1:1" x14ac:dyDescent="0.25">
      <c r="A2461"/>
    </row>
    <row r="2462" spans="1:1" x14ac:dyDescent="0.25">
      <c r="A2462"/>
    </row>
    <row r="2463" spans="1:1" x14ac:dyDescent="0.25">
      <c r="A2463"/>
    </row>
    <row r="2464" spans="1:1" x14ac:dyDescent="0.25">
      <c r="A2464"/>
    </row>
    <row r="2465" spans="1:1" x14ac:dyDescent="0.25">
      <c r="A2465"/>
    </row>
    <row r="2466" spans="1:1" x14ac:dyDescent="0.25">
      <c r="A2466"/>
    </row>
    <row r="2467" spans="1:1" x14ac:dyDescent="0.25">
      <c r="A2467"/>
    </row>
    <row r="2468" spans="1:1" x14ac:dyDescent="0.25">
      <c r="A2468"/>
    </row>
    <row r="2469" spans="1:1" x14ac:dyDescent="0.25">
      <c r="A2469"/>
    </row>
    <row r="2470" spans="1:1" x14ac:dyDescent="0.25">
      <c r="A2470"/>
    </row>
    <row r="2471" spans="1:1" x14ac:dyDescent="0.25">
      <c r="A2471"/>
    </row>
    <row r="2472" spans="1:1" x14ac:dyDescent="0.25">
      <c r="A2472"/>
    </row>
    <row r="2473" spans="1:1" x14ac:dyDescent="0.25">
      <c r="A2473"/>
    </row>
    <row r="2474" spans="1:1" x14ac:dyDescent="0.25">
      <c r="A2474"/>
    </row>
    <row r="2475" spans="1:1" x14ac:dyDescent="0.25">
      <c r="A2475"/>
    </row>
    <row r="2476" spans="1:1" x14ac:dyDescent="0.25">
      <c r="A2476"/>
    </row>
    <row r="2477" spans="1:1" x14ac:dyDescent="0.25">
      <c r="A2477"/>
    </row>
    <row r="2478" spans="1:1" x14ac:dyDescent="0.25">
      <c r="A2478"/>
    </row>
    <row r="2479" spans="1:1" x14ac:dyDescent="0.25">
      <c r="A2479"/>
    </row>
    <row r="2480" spans="1:1" x14ac:dyDescent="0.25">
      <c r="A2480"/>
    </row>
    <row r="2481" spans="1:1" x14ac:dyDescent="0.25">
      <c r="A2481"/>
    </row>
    <row r="2482" spans="1:1" x14ac:dyDescent="0.25">
      <c r="A2482"/>
    </row>
    <row r="2483" spans="1:1" x14ac:dyDescent="0.25">
      <c r="A2483"/>
    </row>
    <row r="2484" spans="1:1" x14ac:dyDescent="0.25">
      <c r="A2484"/>
    </row>
    <row r="2485" spans="1:1" x14ac:dyDescent="0.25">
      <c r="A2485"/>
    </row>
    <row r="2486" spans="1:1" x14ac:dyDescent="0.25">
      <c r="A2486"/>
    </row>
    <row r="2487" spans="1:1" x14ac:dyDescent="0.25">
      <c r="A2487"/>
    </row>
    <row r="2488" spans="1:1" x14ac:dyDescent="0.25">
      <c r="A2488"/>
    </row>
    <row r="2489" spans="1:1" x14ac:dyDescent="0.25">
      <c r="A2489"/>
    </row>
    <row r="2490" spans="1:1" x14ac:dyDescent="0.25">
      <c r="A2490"/>
    </row>
    <row r="2491" spans="1:1" x14ac:dyDescent="0.25">
      <c r="A2491"/>
    </row>
    <row r="2492" spans="1:1" x14ac:dyDescent="0.25">
      <c r="A2492"/>
    </row>
    <row r="2493" spans="1:1" x14ac:dyDescent="0.25">
      <c r="A2493"/>
    </row>
    <row r="2494" spans="1:1" x14ac:dyDescent="0.25">
      <c r="A2494"/>
    </row>
    <row r="2495" spans="1:1" x14ac:dyDescent="0.25">
      <c r="A2495"/>
    </row>
    <row r="2496" spans="1:1" x14ac:dyDescent="0.25">
      <c r="A2496"/>
    </row>
    <row r="2497" spans="1:1" x14ac:dyDescent="0.25">
      <c r="A2497"/>
    </row>
    <row r="2498" spans="1:1" x14ac:dyDescent="0.25">
      <c r="A2498"/>
    </row>
    <row r="2499" spans="1:1" x14ac:dyDescent="0.25">
      <c r="A2499"/>
    </row>
    <row r="2500" spans="1:1" x14ac:dyDescent="0.25">
      <c r="A2500"/>
    </row>
    <row r="2501" spans="1:1" x14ac:dyDescent="0.25">
      <c r="A2501"/>
    </row>
    <row r="2502" spans="1:1" x14ac:dyDescent="0.25">
      <c r="A2502"/>
    </row>
    <row r="2503" spans="1:1" x14ac:dyDescent="0.25">
      <c r="A2503"/>
    </row>
    <row r="2504" spans="1:1" x14ac:dyDescent="0.25">
      <c r="A2504"/>
    </row>
    <row r="2505" spans="1:1" x14ac:dyDescent="0.25">
      <c r="A2505"/>
    </row>
    <row r="2506" spans="1:1" x14ac:dyDescent="0.25">
      <c r="A2506"/>
    </row>
    <row r="2507" spans="1:1" x14ac:dyDescent="0.25">
      <c r="A2507"/>
    </row>
    <row r="2508" spans="1:1" x14ac:dyDescent="0.25">
      <c r="A2508"/>
    </row>
    <row r="2509" spans="1:1" x14ac:dyDescent="0.25">
      <c r="A2509"/>
    </row>
    <row r="2510" spans="1:1" x14ac:dyDescent="0.25">
      <c r="A2510"/>
    </row>
    <row r="2511" spans="1:1" x14ac:dyDescent="0.25">
      <c r="A2511"/>
    </row>
    <row r="2512" spans="1:1" x14ac:dyDescent="0.25">
      <c r="A2512"/>
    </row>
    <row r="2513" spans="1:1" x14ac:dyDescent="0.25">
      <c r="A2513"/>
    </row>
    <row r="2514" spans="1:1" x14ac:dyDescent="0.25">
      <c r="A2514"/>
    </row>
    <row r="2515" spans="1:1" x14ac:dyDescent="0.25">
      <c r="A2515"/>
    </row>
    <row r="2516" spans="1:1" x14ac:dyDescent="0.25">
      <c r="A2516"/>
    </row>
    <row r="2517" spans="1:1" x14ac:dyDescent="0.25">
      <c r="A2517"/>
    </row>
    <row r="2518" spans="1:1" x14ac:dyDescent="0.25">
      <c r="A2518"/>
    </row>
    <row r="2519" spans="1:1" x14ac:dyDescent="0.25">
      <c r="A2519"/>
    </row>
    <row r="2520" spans="1:1" x14ac:dyDescent="0.25">
      <c r="A2520"/>
    </row>
    <row r="2521" spans="1:1" x14ac:dyDescent="0.25">
      <c r="A2521"/>
    </row>
    <row r="2522" spans="1:1" x14ac:dyDescent="0.25">
      <c r="A2522"/>
    </row>
    <row r="2523" spans="1:1" x14ac:dyDescent="0.25">
      <c r="A2523"/>
    </row>
    <row r="2524" spans="1:1" x14ac:dyDescent="0.25">
      <c r="A2524"/>
    </row>
    <row r="2525" spans="1:1" x14ac:dyDescent="0.25">
      <c r="A2525"/>
    </row>
    <row r="2526" spans="1:1" x14ac:dyDescent="0.25">
      <c r="A2526"/>
    </row>
    <row r="2527" spans="1:1" x14ac:dyDescent="0.25">
      <c r="A2527"/>
    </row>
    <row r="2528" spans="1:1" x14ac:dyDescent="0.25">
      <c r="A2528"/>
    </row>
    <row r="2529" spans="1:1" x14ac:dyDescent="0.25">
      <c r="A2529"/>
    </row>
    <row r="2530" spans="1:1" x14ac:dyDescent="0.25">
      <c r="A2530"/>
    </row>
    <row r="2531" spans="1:1" x14ac:dyDescent="0.25">
      <c r="A2531"/>
    </row>
    <row r="2532" spans="1:1" x14ac:dyDescent="0.25">
      <c r="A2532"/>
    </row>
    <row r="2533" spans="1:1" x14ac:dyDescent="0.25">
      <c r="A2533"/>
    </row>
    <row r="2534" spans="1:1" x14ac:dyDescent="0.25">
      <c r="A2534"/>
    </row>
    <row r="2535" spans="1:1" x14ac:dyDescent="0.25">
      <c r="A2535"/>
    </row>
    <row r="2536" spans="1:1" x14ac:dyDescent="0.25">
      <c r="A2536"/>
    </row>
    <row r="2537" spans="1:1" x14ac:dyDescent="0.25">
      <c r="A2537"/>
    </row>
    <row r="2538" spans="1:1" x14ac:dyDescent="0.25">
      <c r="A2538"/>
    </row>
    <row r="2539" spans="1:1" x14ac:dyDescent="0.25">
      <c r="A2539"/>
    </row>
    <row r="2540" spans="1:1" x14ac:dyDescent="0.25">
      <c r="A2540"/>
    </row>
    <row r="2541" spans="1:1" x14ac:dyDescent="0.25">
      <c r="A2541"/>
    </row>
    <row r="2542" spans="1:1" x14ac:dyDescent="0.25">
      <c r="A2542"/>
    </row>
    <row r="2543" spans="1:1" x14ac:dyDescent="0.25">
      <c r="A2543"/>
    </row>
    <row r="2544" spans="1:1" x14ac:dyDescent="0.25">
      <c r="A2544"/>
    </row>
    <row r="2545" spans="1:1" x14ac:dyDescent="0.25">
      <c r="A2545"/>
    </row>
    <row r="2546" spans="1:1" x14ac:dyDescent="0.25">
      <c r="A2546"/>
    </row>
    <row r="2547" spans="1:1" x14ac:dyDescent="0.25">
      <c r="A2547"/>
    </row>
    <row r="2548" spans="1:1" x14ac:dyDescent="0.25">
      <c r="A2548"/>
    </row>
    <row r="2549" spans="1:1" x14ac:dyDescent="0.25">
      <c r="A2549"/>
    </row>
    <row r="2550" spans="1:1" x14ac:dyDescent="0.25">
      <c r="A2550"/>
    </row>
    <row r="2551" spans="1:1" x14ac:dyDescent="0.25">
      <c r="A2551"/>
    </row>
    <row r="2552" spans="1:1" x14ac:dyDescent="0.25">
      <c r="A2552"/>
    </row>
    <row r="2553" spans="1:1" x14ac:dyDescent="0.25">
      <c r="A2553"/>
    </row>
    <row r="2554" spans="1:1" x14ac:dyDescent="0.25">
      <c r="A2554"/>
    </row>
    <row r="2555" spans="1:1" x14ac:dyDescent="0.25">
      <c r="A2555"/>
    </row>
    <row r="2556" spans="1:1" x14ac:dyDescent="0.25">
      <c r="A2556"/>
    </row>
    <row r="2557" spans="1:1" x14ac:dyDescent="0.25">
      <c r="A2557"/>
    </row>
    <row r="2558" spans="1:1" x14ac:dyDescent="0.25">
      <c r="A2558"/>
    </row>
    <row r="2559" spans="1:1" x14ac:dyDescent="0.25">
      <c r="A2559"/>
    </row>
    <row r="2560" spans="1:1" x14ac:dyDescent="0.25">
      <c r="A2560"/>
    </row>
    <row r="2561" spans="1:1" x14ac:dyDescent="0.25">
      <c r="A2561"/>
    </row>
    <row r="2562" spans="1:1" x14ac:dyDescent="0.25">
      <c r="A2562"/>
    </row>
    <row r="2563" spans="1:1" x14ac:dyDescent="0.25">
      <c r="A2563"/>
    </row>
    <row r="2564" spans="1:1" x14ac:dyDescent="0.25">
      <c r="A2564"/>
    </row>
    <row r="2565" spans="1:1" x14ac:dyDescent="0.25">
      <c r="A2565"/>
    </row>
    <row r="2566" spans="1:1" x14ac:dyDescent="0.25">
      <c r="A2566"/>
    </row>
    <row r="2567" spans="1:1" x14ac:dyDescent="0.25">
      <c r="A2567"/>
    </row>
    <row r="2568" spans="1:1" x14ac:dyDescent="0.25">
      <c r="A2568"/>
    </row>
    <row r="2569" spans="1:1" x14ac:dyDescent="0.25">
      <c r="A2569"/>
    </row>
    <row r="2570" spans="1:1" x14ac:dyDescent="0.25">
      <c r="A2570"/>
    </row>
    <row r="2571" spans="1:1" x14ac:dyDescent="0.25">
      <c r="A2571"/>
    </row>
    <row r="2572" spans="1:1" x14ac:dyDescent="0.25">
      <c r="A2572"/>
    </row>
    <row r="2573" spans="1:1" x14ac:dyDescent="0.25">
      <c r="A2573"/>
    </row>
    <row r="2574" spans="1:1" x14ac:dyDescent="0.25">
      <c r="A2574"/>
    </row>
    <row r="2575" spans="1:1" x14ac:dyDescent="0.25">
      <c r="A2575"/>
    </row>
    <row r="2576" spans="1:1" x14ac:dyDescent="0.25">
      <c r="A2576"/>
    </row>
    <row r="2577" spans="1:1" x14ac:dyDescent="0.25">
      <c r="A2577"/>
    </row>
    <row r="2578" spans="1:1" x14ac:dyDescent="0.25">
      <c r="A2578"/>
    </row>
    <row r="2579" spans="1:1" x14ac:dyDescent="0.25">
      <c r="A2579"/>
    </row>
    <row r="2580" spans="1:1" x14ac:dyDescent="0.25">
      <c r="A2580"/>
    </row>
    <row r="2581" spans="1:1" x14ac:dyDescent="0.25">
      <c r="A2581"/>
    </row>
    <row r="2582" spans="1:1" x14ac:dyDescent="0.25">
      <c r="A2582"/>
    </row>
    <row r="2583" spans="1:1" x14ac:dyDescent="0.25">
      <c r="A2583"/>
    </row>
    <row r="2584" spans="1:1" x14ac:dyDescent="0.25">
      <c r="A2584"/>
    </row>
    <row r="2585" spans="1:1" x14ac:dyDescent="0.25">
      <c r="A2585"/>
    </row>
    <row r="2586" spans="1:1" x14ac:dyDescent="0.25">
      <c r="A2586"/>
    </row>
    <row r="2587" spans="1:1" x14ac:dyDescent="0.25">
      <c r="A2587"/>
    </row>
    <row r="2588" spans="1:1" x14ac:dyDescent="0.25">
      <c r="A2588"/>
    </row>
    <row r="2589" spans="1:1" x14ac:dyDescent="0.25">
      <c r="A2589"/>
    </row>
    <row r="2590" spans="1:1" x14ac:dyDescent="0.25">
      <c r="A2590"/>
    </row>
    <row r="2591" spans="1:1" x14ac:dyDescent="0.25">
      <c r="A2591"/>
    </row>
    <row r="2592" spans="1:1" x14ac:dyDescent="0.25">
      <c r="A2592"/>
    </row>
    <row r="2593" spans="1:1" x14ac:dyDescent="0.25">
      <c r="A2593"/>
    </row>
    <row r="2594" spans="1:1" x14ac:dyDescent="0.25">
      <c r="A2594"/>
    </row>
    <row r="2595" spans="1:1" x14ac:dyDescent="0.25">
      <c r="A2595"/>
    </row>
    <row r="2596" spans="1:1" x14ac:dyDescent="0.25">
      <c r="A2596"/>
    </row>
    <row r="2597" spans="1:1" x14ac:dyDescent="0.25">
      <c r="A2597"/>
    </row>
    <row r="2598" spans="1:1" x14ac:dyDescent="0.25">
      <c r="A2598"/>
    </row>
    <row r="2599" spans="1:1" x14ac:dyDescent="0.25">
      <c r="A2599"/>
    </row>
    <row r="2600" spans="1:1" x14ac:dyDescent="0.25">
      <c r="A2600"/>
    </row>
    <row r="2601" spans="1:1" x14ac:dyDescent="0.25">
      <c r="A2601"/>
    </row>
    <row r="2602" spans="1:1" x14ac:dyDescent="0.25">
      <c r="A2602"/>
    </row>
    <row r="2603" spans="1:1" x14ac:dyDescent="0.25">
      <c r="A2603"/>
    </row>
    <row r="2604" spans="1:1" x14ac:dyDescent="0.25">
      <c r="A2604"/>
    </row>
    <row r="2605" spans="1:1" x14ac:dyDescent="0.25">
      <c r="A2605"/>
    </row>
    <row r="2606" spans="1:1" x14ac:dyDescent="0.25">
      <c r="A2606"/>
    </row>
    <row r="2607" spans="1:1" x14ac:dyDescent="0.25">
      <c r="A2607"/>
    </row>
    <row r="2608" spans="1:1" x14ac:dyDescent="0.25">
      <c r="A2608"/>
    </row>
    <row r="2609" spans="1:1" x14ac:dyDescent="0.25">
      <c r="A2609"/>
    </row>
    <row r="2610" spans="1:1" x14ac:dyDescent="0.25">
      <c r="A2610"/>
    </row>
    <row r="2611" spans="1:1" x14ac:dyDescent="0.25">
      <c r="A2611"/>
    </row>
    <row r="2612" spans="1:1" x14ac:dyDescent="0.25">
      <c r="A2612"/>
    </row>
    <row r="2613" spans="1:1" x14ac:dyDescent="0.25">
      <c r="A2613"/>
    </row>
    <row r="2614" spans="1:1" x14ac:dyDescent="0.25">
      <c r="A2614"/>
    </row>
    <row r="2615" spans="1:1" x14ac:dyDescent="0.25">
      <c r="A2615"/>
    </row>
    <row r="2616" spans="1:1" x14ac:dyDescent="0.25">
      <c r="A2616"/>
    </row>
    <row r="2617" spans="1:1" x14ac:dyDescent="0.25">
      <c r="A2617"/>
    </row>
    <row r="2618" spans="1:1" x14ac:dyDescent="0.25">
      <c r="A2618"/>
    </row>
    <row r="2619" spans="1:1" x14ac:dyDescent="0.25">
      <c r="A2619"/>
    </row>
    <row r="2620" spans="1:1" x14ac:dyDescent="0.25">
      <c r="A2620"/>
    </row>
    <row r="2621" spans="1:1" x14ac:dyDescent="0.25">
      <c r="A2621"/>
    </row>
    <row r="2622" spans="1:1" x14ac:dyDescent="0.25">
      <c r="A2622"/>
    </row>
    <row r="2623" spans="1:1" x14ac:dyDescent="0.25">
      <c r="A2623"/>
    </row>
    <row r="2624" spans="1:1" x14ac:dyDescent="0.25">
      <c r="A2624"/>
    </row>
    <row r="2625" spans="1:1" x14ac:dyDescent="0.25">
      <c r="A2625"/>
    </row>
    <row r="2626" spans="1:1" x14ac:dyDescent="0.25">
      <c r="A2626"/>
    </row>
    <row r="2627" spans="1:1" x14ac:dyDescent="0.25">
      <c r="A2627"/>
    </row>
    <row r="2628" spans="1:1" x14ac:dyDescent="0.25">
      <c r="A2628"/>
    </row>
    <row r="2629" spans="1:1" x14ac:dyDescent="0.25">
      <c r="A2629"/>
    </row>
    <row r="2630" spans="1:1" x14ac:dyDescent="0.25">
      <c r="A2630"/>
    </row>
    <row r="2631" spans="1:1" x14ac:dyDescent="0.25">
      <c r="A2631"/>
    </row>
    <row r="2632" spans="1:1" x14ac:dyDescent="0.25">
      <c r="A2632"/>
    </row>
    <row r="2633" spans="1:1" x14ac:dyDescent="0.25">
      <c r="A2633"/>
    </row>
    <row r="2634" spans="1:1" x14ac:dyDescent="0.25">
      <c r="A2634"/>
    </row>
    <row r="2635" spans="1:1" x14ac:dyDescent="0.25">
      <c r="A2635"/>
    </row>
    <row r="2636" spans="1:1" x14ac:dyDescent="0.25">
      <c r="A2636"/>
    </row>
    <row r="2637" spans="1:1" x14ac:dyDescent="0.25">
      <c r="A2637"/>
    </row>
    <row r="2638" spans="1:1" x14ac:dyDescent="0.25">
      <c r="A2638"/>
    </row>
    <row r="2639" spans="1:1" x14ac:dyDescent="0.25">
      <c r="A2639"/>
    </row>
    <row r="2640" spans="1:1" x14ac:dyDescent="0.25">
      <c r="A2640"/>
    </row>
    <row r="2641" spans="1:1" x14ac:dyDescent="0.25">
      <c r="A2641"/>
    </row>
    <row r="2642" spans="1:1" x14ac:dyDescent="0.25">
      <c r="A2642"/>
    </row>
    <row r="2643" spans="1:1" x14ac:dyDescent="0.25">
      <c r="A2643"/>
    </row>
    <row r="2644" spans="1:1" x14ac:dyDescent="0.25">
      <c r="A2644"/>
    </row>
    <row r="2645" spans="1:1" x14ac:dyDescent="0.25">
      <c r="A2645"/>
    </row>
    <row r="2646" spans="1:1" x14ac:dyDescent="0.25">
      <c r="A2646"/>
    </row>
    <row r="2647" spans="1:1" x14ac:dyDescent="0.25">
      <c r="A2647"/>
    </row>
    <row r="2648" spans="1:1" x14ac:dyDescent="0.25">
      <c r="A2648"/>
    </row>
    <row r="2649" spans="1:1" x14ac:dyDescent="0.25">
      <c r="A2649"/>
    </row>
    <row r="2650" spans="1:1" x14ac:dyDescent="0.25">
      <c r="A2650"/>
    </row>
    <row r="2651" spans="1:1" x14ac:dyDescent="0.25">
      <c r="A2651"/>
    </row>
    <row r="2652" spans="1:1" x14ac:dyDescent="0.25">
      <c r="A2652"/>
    </row>
    <row r="2653" spans="1:1" x14ac:dyDescent="0.25">
      <c r="A2653"/>
    </row>
    <row r="2654" spans="1:1" x14ac:dyDescent="0.25">
      <c r="A2654"/>
    </row>
    <row r="2655" spans="1:1" x14ac:dyDescent="0.25">
      <c r="A2655"/>
    </row>
    <row r="2656" spans="1:1" x14ac:dyDescent="0.25">
      <c r="A2656"/>
    </row>
    <row r="2657" spans="1:1" x14ac:dyDescent="0.25">
      <c r="A2657"/>
    </row>
    <row r="2658" spans="1:1" x14ac:dyDescent="0.25">
      <c r="A2658"/>
    </row>
    <row r="2659" spans="1:1" x14ac:dyDescent="0.25">
      <c r="A2659"/>
    </row>
    <row r="2660" spans="1:1" x14ac:dyDescent="0.25">
      <c r="A2660"/>
    </row>
    <row r="2661" spans="1:1" x14ac:dyDescent="0.25">
      <c r="A2661"/>
    </row>
    <row r="2662" spans="1:1" x14ac:dyDescent="0.25">
      <c r="A2662"/>
    </row>
    <row r="2663" spans="1:1" x14ac:dyDescent="0.25">
      <c r="A2663"/>
    </row>
    <row r="2664" spans="1:1" x14ac:dyDescent="0.25">
      <c r="A2664"/>
    </row>
    <row r="2665" spans="1:1" x14ac:dyDescent="0.25">
      <c r="A2665"/>
    </row>
    <row r="2666" spans="1:1" x14ac:dyDescent="0.25">
      <c r="A2666"/>
    </row>
    <row r="2667" spans="1:1" x14ac:dyDescent="0.25">
      <c r="A2667"/>
    </row>
    <row r="2668" spans="1:1" x14ac:dyDescent="0.25">
      <c r="A2668"/>
    </row>
    <row r="2669" spans="1:1" x14ac:dyDescent="0.25">
      <c r="A2669"/>
    </row>
    <row r="2670" spans="1:1" x14ac:dyDescent="0.25">
      <c r="A2670"/>
    </row>
    <row r="2671" spans="1:1" x14ac:dyDescent="0.25">
      <c r="A2671"/>
    </row>
    <row r="2672" spans="1:1" x14ac:dyDescent="0.25">
      <c r="A2672"/>
    </row>
    <row r="2673" spans="1:1" x14ac:dyDescent="0.25">
      <c r="A2673"/>
    </row>
    <row r="2674" spans="1:1" x14ac:dyDescent="0.25">
      <c r="A2674"/>
    </row>
    <row r="2675" spans="1:1" x14ac:dyDescent="0.25">
      <c r="A2675"/>
    </row>
    <row r="2676" spans="1:1" x14ac:dyDescent="0.25">
      <c r="A2676"/>
    </row>
    <row r="2677" spans="1:1" x14ac:dyDescent="0.25">
      <c r="A2677"/>
    </row>
    <row r="2678" spans="1:1" x14ac:dyDescent="0.25">
      <c r="A2678"/>
    </row>
    <row r="2679" spans="1:1" x14ac:dyDescent="0.25">
      <c r="A2679"/>
    </row>
    <row r="2680" spans="1:1" x14ac:dyDescent="0.25">
      <c r="A2680"/>
    </row>
    <row r="2681" spans="1:1" x14ac:dyDescent="0.25">
      <c r="A2681"/>
    </row>
    <row r="2682" spans="1:1" x14ac:dyDescent="0.25">
      <c r="A2682"/>
    </row>
    <row r="2683" spans="1:1" x14ac:dyDescent="0.25">
      <c r="A2683"/>
    </row>
    <row r="2684" spans="1:1" x14ac:dyDescent="0.25">
      <c r="A2684"/>
    </row>
    <row r="2685" spans="1:1" x14ac:dyDescent="0.25">
      <c r="A2685"/>
    </row>
    <row r="2686" spans="1:1" x14ac:dyDescent="0.25">
      <c r="A2686"/>
    </row>
    <row r="2687" spans="1:1" x14ac:dyDescent="0.25">
      <c r="A2687"/>
    </row>
    <row r="2688" spans="1:1" x14ac:dyDescent="0.25">
      <c r="A2688"/>
    </row>
    <row r="2689" spans="1:1" x14ac:dyDescent="0.25">
      <c r="A2689"/>
    </row>
    <row r="2690" spans="1:1" x14ac:dyDescent="0.25">
      <c r="A2690"/>
    </row>
    <row r="2691" spans="1:1" x14ac:dyDescent="0.25">
      <c r="A2691"/>
    </row>
    <row r="2692" spans="1:1" x14ac:dyDescent="0.25">
      <c r="A2692"/>
    </row>
    <row r="2693" spans="1:1" x14ac:dyDescent="0.25">
      <c r="A2693"/>
    </row>
    <row r="2694" spans="1:1" x14ac:dyDescent="0.25">
      <c r="A2694"/>
    </row>
    <row r="2695" spans="1:1" x14ac:dyDescent="0.25">
      <c r="A2695"/>
    </row>
    <row r="2696" spans="1:1" x14ac:dyDescent="0.25">
      <c r="A2696"/>
    </row>
    <row r="2697" spans="1:1" x14ac:dyDescent="0.25">
      <c r="A2697"/>
    </row>
    <row r="2698" spans="1:1" x14ac:dyDescent="0.25">
      <c r="A2698"/>
    </row>
    <row r="2699" spans="1:1" x14ac:dyDescent="0.25">
      <c r="A2699"/>
    </row>
    <row r="2700" spans="1:1" x14ac:dyDescent="0.25">
      <c r="A2700"/>
    </row>
    <row r="2701" spans="1:1" x14ac:dyDescent="0.25">
      <c r="A2701"/>
    </row>
    <row r="2702" spans="1:1" x14ac:dyDescent="0.25">
      <c r="A2702"/>
    </row>
    <row r="2703" spans="1:1" x14ac:dyDescent="0.25">
      <c r="A2703"/>
    </row>
    <row r="2704" spans="1:1" x14ac:dyDescent="0.25">
      <c r="A2704"/>
    </row>
    <row r="2705" spans="1:1" x14ac:dyDescent="0.25">
      <c r="A2705"/>
    </row>
    <row r="2706" spans="1:1" x14ac:dyDescent="0.25">
      <c r="A2706"/>
    </row>
    <row r="2707" spans="1:1" x14ac:dyDescent="0.25">
      <c r="A2707"/>
    </row>
    <row r="2708" spans="1:1" x14ac:dyDescent="0.25">
      <c r="A2708"/>
    </row>
    <row r="2709" spans="1:1" x14ac:dyDescent="0.25">
      <c r="A2709"/>
    </row>
    <row r="2710" spans="1:1" x14ac:dyDescent="0.25">
      <c r="A2710"/>
    </row>
    <row r="2711" spans="1:1" x14ac:dyDescent="0.25">
      <c r="A2711"/>
    </row>
    <row r="2712" spans="1:1" x14ac:dyDescent="0.25">
      <c r="A2712"/>
    </row>
    <row r="2713" spans="1:1" x14ac:dyDescent="0.25">
      <c r="A2713"/>
    </row>
    <row r="2714" spans="1:1" x14ac:dyDescent="0.25">
      <c r="A2714"/>
    </row>
    <row r="2715" spans="1:1" x14ac:dyDescent="0.25">
      <c r="A2715"/>
    </row>
    <row r="2716" spans="1:1" x14ac:dyDescent="0.25">
      <c r="A2716"/>
    </row>
    <row r="2717" spans="1:1" x14ac:dyDescent="0.25">
      <c r="A2717"/>
    </row>
    <row r="2718" spans="1:1" x14ac:dyDescent="0.25">
      <c r="A2718"/>
    </row>
    <row r="2719" spans="1:1" x14ac:dyDescent="0.25">
      <c r="A2719"/>
    </row>
    <row r="2720" spans="1:1" x14ac:dyDescent="0.25">
      <c r="A2720"/>
    </row>
    <row r="2721" spans="1:1" x14ac:dyDescent="0.25">
      <c r="A2721"/>
    </row>
    <row r="2722" spans="1:1" x14ac:dyDescent="0.25">
      <c r="A2722"/>
    </row>
    <row r="2723" spans="1:1" x14ac:dyDescent="0.25">
      <c r="A2723"/>
    </row>
    <row r="2724" spans="1:1" x14ac:dyDescent="0.25">
      <c r="A2724"/>
    </row>
    <row r="2725" spans="1:1" x14ac:dyDescent="0.25">
      <c r="A2725"/>
    </row>
    <row r="2726" spans="1:1" x14ac:dyDescent="0.25">
      <c r="A2726"/>
    </row>
    <row r="2727" spans="1:1" x14ac:dyDescent="0.25">
      <c r="A2727"/>
    </row>
    <row r="2728" spans="1:1" x14ac:dyDescent="0.25">
      <c r="A2728"/>
    </row>
    <row r="2729" spans="1:1" x14ac:dyDescent="0.25">
      <c r="A2729"/>
    </row>
    <row r="2730" spans="1:1" x14ac:dyDescent="0.25">
      <c r="A2730"/>
    </row>
    <row r="2731" spans="1:1" x14ac:dyDescent="0.25">
      <c r="A2731"/>
    </row>
    <row r="2732" spans="1:1" x14ac:dyDescent="0.25">
      <c r="A2732"/>
    </row>
    <row r="2733" spans="1:1" x14ac:dyDescent="0.25">
      <c r="A2733"/>
    </row>
    <row r="2734" spans="1:1" x14ac:dyDescent="0.25">
      <c r="A2734"/>
    </row>
    <row r="2735" spans="1:1" x14ac:dyDescent="0.25">
      <c r="A2735"/>
    </row>
    <row r="2736" spans="1:1" x14ac:dyDescent="0.25">
      <c r="A2736"/>
    </row>
    <row r="2737" spans="1:1" x14ac:dyDescent="0.25">
      <c r="A2737"/>
    </row>
    <row r="2738" spans="1:1" x14ac:dyDescent="0.25">
      <c r="A2738"/>
    </row>
    <row r="2739" spans="1:1" x14ac:dyDescent="0.25">
      <c r="A2739"/>
    </row>
    <row r="2740" spans="1:1" x14ac:dyDescent="0.25">
      <c r="A2740"/>
    </row>
    <row r="2741" spans="1:1" x14ac:dyDescent="0.25">
      <c r="A2741"/>
    </row>
    <row r="2742" spans="1:1" x14ac:dyDescent="0.25">
      <c r="A2742"/>
    </row>
    <row r="2743" spans="1:1" x14ac:dyDescent="0.25">
      <c r="A2743"/>
    </row>
    <row r="2744" spans="1:1" x14ac:dyDescent="0.25">
      <c r="A2744"/>
    </row>
    <row r="2745" spans="1:1" x14ac:dyDescent="0.25">
      <c r="A2745"/>
    </row>
    <row r="2746" spans="1:1" x14ac:dyDescent="0.25">
      <c r="A2746"/>
    </row>
    <row r="2747" spans="1:1" x14ac:dyDescent="0.25">
      <c r="A2747"/>
    </row>
    <row r="2748" spans="1:1" x14ac:dyDescent="0.25">
      <c r="A2748"/>
    </row>
    <row r="2749" spans="1:1" x14ac:dyDescent="0.25">
      <c r="A2749"/>
    </row>
    <row r="2750" spans="1:1" x14ac:dyDescent="0.25">
      <c r="A2750"/>
    </row>
    <row r="2751" spans="1:1" x14ac:dyDescent="0.25">
      <c r="A2751"/>
    </row>
    <row r="2752" spans="1:1" x14ac:dyDescent="0.25">
      <c r="A2752"/>
    </row>
    <row r="2753" spans="1:1" x14ac:dyDescent="0.25">
      <c r="A2753"/>
    </row>
    <row r="2754" spans="1:1" x14ac:dyDescent="0.25">
      <c r="A2754"/>
    </row>
    <row r="2755" spans="1:1" x14ac:dyDescent="0.25">
      <c r="A2755"/>
    </row>
    <row r="2756" spans="1:1" x14ac:dyDescent="0.25">
      <c r="A2756"/>
    </row>
    <row r="2757" spans="1:1" x14ac:dyDescent="0.25">
      <c r="A2757"/>
    </row>
    <row r="2758" spans="1:1" x14ac:dyDescent="0.25">
      <c r="A2758"/>
    </row>
    <row r="2759" spans="1:1" x14ac:dyDescent="0.25">
      <c r="A2759"/>
    </row>
    <row r="2760" spans="1:1" x14ac:dyDescent="0.25">
      <c r="A2760"/>
    </row>
    <row r="2761" spans="1:1" x14ac:dyDescent="0.25">
      <c r="A2761"/>
    </row>
    <row r="2762" spans="1:1" x14ac:dyDescent="0.25">
      <c r="A2762"/>
    </row>
    <row r="2763" spans="1:1" x14ac:dyDescent="0.25">
      <c r="A2763"/>
    </row>
    <row r="2764" spans="1:1" x14ac:dyDescent="0.25">
      <c r="A2764"/>
    </row>
    <row r="2765" spans="1:1" x14ac:dyDescent="0.25">
      <c r="A2765"/>
    </row>
    <row r="2766" spans="1:1" x14ac:dyDescent="0.25">
      <c r="A2766"/>
    </row>
    <row r="2767" spans="1:1" x14ac:dyDescent="0.25">
      <c r="A2767"/>
    </row>
    <row r="2768" spans="1:1" x14ac:dyDescent="0.25">
      <c r="A2768"/>
    </row>
    <row r="2769" spans="1:1" x14ac:dyDescent="0.25">
      <c r="A2769"/>
    </row>
    <row r="2770" spans="1:1" x14ac:dyDescent="0.25">
      <c r="A2770"/>
    </row>
    <row r="2771" spans="1:1" x14ac:dyDescent="0.25">
      <c r="A2771"/>
    </row>
    <row r="2772" spans="1:1" x14ac:dyDescent="0.25">
      <c r="A2772"/>
    </row>
    <row r="2773" spans="1:1" x14ac:dyDescent="0.25">
      <c r="A2773"/>
    </row>
    <row r="2774" spans="1:1" x14ac:dyDescent="0.25">
      <c r="A2774"/>
    </row>
    <row r="2775" spans="1:1" x14ac:dyDescent="0.25">
      <c r="A2775"/>
    </row>
    <row r="2776" spans="1:1" x14ac:dyDescent="0.25">
      <c r="A2776"/>
    </row>
    <row r="2777" spans="1:1" x14ac:dyDescent="0.25">
      <c r="A2777"/>
    </row>
    <row r="2778" spans="1:1" x14ac:dyDescent="0.25">
      <c r="A2778"/>
    </row>
    <row r="2779" spans="1:1" x14ac:dyDescent="0.25">
      <c r="A2779"/>
    </row>
    <row r="2780" spans="1:1" x14ac:dyDescent="0.25">
      <c r="A2780"/>
    </row>
    <row r="2781" spans="1:1" x14ac:dyDescent="0.25">
      <c r="A2781"/>
    </row>
    <row r="2782" spans="1:1" x14ac:dyDescent="0.25">
      <c r="A2782"/>
    </row>
    <row r="2783" spans="1:1" x14ac:dyDescent="0.25">
      <c r="A2783"/>
    </row>
    <row r="2784" spans="1:1" x14ac:dyDescent="0.25">
      <c r="A2784"/>
    </row>
    <row r="2785" spans="1:1" x14ac:dyDescent="0.25">
      <c r="A2785"/>
    </row>
    <row r="2786" spans="1:1" x14ac:dyDescent="0.25">
      <c r="A2786"/>
    </row>
    <row r="2787" spans="1:1" x14ac:dyDescent="0.25">
      <c r="A2787"/>
    </row>
    <row r="2788" spans="1:1" x14ac:dyDescent="0.25">
      <c r="A2788"/>
    </row>
    <row r="2789" spans="1:1" x14ac:dyDescent="0.25">
      <c r="A2789"/>
    </row>
    <row r="2790" spans="1:1" x14ac:dyDescent="0.25">
      <c r="A2790"/>
    </row>
    <row r="2791" spans="1:1" x14ac:dyDescent="0.25">
      <c r="A2791"/>
    </row>
    <row r="2792" spans="1:1" x14ac:dyDescent="0.25">
      <c r="A2792"/>
    </row>
    <row r="2793" spans="1:1" x14ac:dyDescent="0.25">
      <c r="A2793"/>
    </row>
    <row r="2794" spans="1:1" x14ac:dyDescent="0.25">
      <c r="A2794"/>
    </row>
    <row r="2795" spans="1:1" x14ac:dyDescent="0.25">
      <c r="A2795"/>
    </row>
    <row r="2796" spans="1:1" x14ac:dyDescent="0.25">
      <c r="A2796"/>
    </row>
    <row r="2797" spans="1:1" x14ac:dyDescent="0.25">
      <c r="A2797"/>
    </row>
    <row r="2798" spans="1:1" x14ac:dyDescent="0.25">
      <c r="A2798"/>
    </row>
    <row r="2799" spans="1:1" x14ac:dyDescent="0.25">
      <c r="A2799"/>
    </row>
    <row r="2800" spans="1:1" x14ac:dyDescent="0.25">
      <c r="A2800"/>
    </row>
    <row r="2801" spans="1:1" x14ac:dyDescent="0.25">
      <c r="A2801"/>
    </row>
    <row r="2802" spans="1:1" x14ac:dyDescent="0.25">
      <c r="A2802"/>
    </row>
    <row r="2803" spans="1:1" x14ac:dyDescent="0.25">
      <c r="A2803"/>
    </row>
    <row r="2804" spans="1:1" x14ac:dyDescent="0.25">
      <c r="A2804"/>
    </row>
    <row r="2805" spans="1:1" x14ac:dyDescent="0.25">
      <c r="A2805"/>
    </row>
    <row r="2806" spans="1:1" x14ac:dyDescent="0.25">
      <c r="A2806"/>
    </row>
    <row r="2807" spans="1:1" x14ac:dyDescent="0.25">
      <c r="A2807"/>
    </row>
    <row r="2808" spans="1:1" x14ac:dyDescent="0.25">
      <c r="A2808"/>
    </row>
    <row r="2809" spans="1:1" x14ac:dyDescent="0.25">
      <c r="A2809"/>
    </row>
    <row r="2810" spans="1:1" x14ac:dyDescent="0.25">
      <c r="A2810"/>
    </row>
    <row r="2811" spans="1:1" x14ac:dyDescent="0.25">
      <c r="A2811"/>
    </row>
    <row r="2812" spans="1:1" x14ac:dyDescent="0.25">
      <c r="A2812"/>
    </row>
    <row r="2813" spans="1:1" x14ac:dyDescent="0.25">
      <c r="A2813"/>
    </row>
    <row r="2814" spans="1:1" x14ac:dyDescent="0.25">
      <c r="A2814"/>
    </row>
    <row r="2815" spans="1:1" x14ac:dyDescent="0.25">
      <c r="A2815"/>
    </row>
    <row r="2816" spans="1:1" x14ac:dyDescent="0.25">
      <c r="A2816"/>
    </row>
    <row r="2817" spans="1:1" x14ac:dyDescent="0.25">
      <c r="A2817"/>
    </row>
    <row r="2818" spans="1:1" x14ac:dyDescent="0.25">
      <c r="A2818"/>
    </row>
    <row r="2819" spans="1:1" x14ac:dyDescent="0.25">
      <c r="A2819"/>
    </row>
    <row r="2820" spans="1:1" x14ac:dyDescent="0.25">
      <c r="A2820"/>
    </row>
    <row r="2821" spans="1:1" x14ac:dyDescent="0.25">
      <c r="A2821"/>
    </row>
    <row r="2822" spans="1:1" x14ac:dyDescent="0.25">
      <c r="A2822"/>
    </row>
    <row r="2823" spans="1:1" x14ac:dyDescent="0.25">
      <c r="A2823"/>
    </row>
    <row r="2824" spans="1:1" x14ac:dyDescent="0.25">
      <c r="A2824"/>
    </row>
    <row r="2825" spans="1:1" x14ac:dyDescent="0.25">
      <c r="A2825"/>
    </row>
    <row r="2826" spans="1:1" x14ac:dyDescent="0.25">
      <c r="A2826"/>
    </row>
    <row r="2827" spans="1:1" x14ac:dyDescent="0.25">
      <c r="A2827"/>
    </row>
    <row r="2828" spans="1:1" x14ac:dyDescent="0.25">
      <c r="A2828"/>
    </row>
    <row r="2829" spans="1:1" x14ac:dyDescent="0.25">
      <c r="A2829"/>
    </row>
    <row r="2830" spans="1:1" x14ac:dyDescent="0.25">
      <c r="A2830"/>
    </row>
    <row r="2831" spans="1:1" x14ac:dyDescent="0.25">
      <c r="A2831"/>
    </row>
    <row r="2832" spans="1:1" x14ac:dyDescent="0.25">
      <c r="A2832"/>
    </row>
    <row r="2833" spans="1:1" x14ac:dyDescent="0.25">
      <c r="A2833"/>
    </row>
    <row r="2834" spans="1:1" x14ac:dyDescent="0.25">
      <c r="A2834"/>
    </row>
    <row r="2835" spans="1:1" x14ac:dyDescent="0.25">
      <c r="A2835"/>
    </row>
    <row r="2836" spans="1:1" x14ac:dyDescent="0.25">
      <c r="A2836"/>
    </row>
    <row r="2837" spans="1:1" x14ac:dyDescent="0.25">
      <c r="A2837"/>
    </row>
    <row r="2838" spans="1:1" x14ac:dyDescent="0.25">
      <c r="A2838"/>
    </row>
    <row r="2839" spans="1:1" x14ac:dyDescent="0.25">
      <c r="A2839"/>
    </row>
    <row r="2840" spans="1:1" x14ac:dyDescent="0.25">
      <c r="A2840"/>
    </row>
    <row r="2841" spans="1:1" x14ac:dyDescent="0.25">
      <c r="A2841"/>
    </row>
    <row r="2842" spans="1:1" x14ac:dyDescent="0.25">
      <c r="A2842"/>
    </row>
    <row r="2843" spans="1:1" x14ac:dyDescent="0.25">
      <c r="A2843"/>
    </row>
    <row r="2844" spans="1:1" x14ac:dyDescent="0.25">
      <c r="A2844"/>
    </row>
    <row r="2845" spans="1:1" x14ac:dyDescent="0.25">
      <c r="A2845"/>
    </row>
    <row r="2846" spans="1:1" x14ac:dyDescent="0.25">
      <c r="A2846"/>
    </row>
    <row r="2847" spans="1:1" x14ac:dyDescent="0.25">
      <c r="A2847"/>
    </row>
    <row r="2848" spans="1:1" x14ac:dyDescent="0.25">
      <c r="A2848"/>
    </row>
    <row r="2849" spans="1:1" x14ac:dyDescent="0.25">
      <c r="A2849"/>
    </row>
    <row r="2850" spans="1:1" x14ac:dyDescent="0.25">
      <c r="A2850"/>
    </row>
    <row r="2851" spans="1:1" x14ac:dyDescent="0.25">
      <c r="A2851"/>
    </row>
    <row r="2852" spans="1:1" x14ac:dyDescent="0.25">
      <c r="A2852"/>
    </row>
    <row r="2853" spans="1:1" x14ac:dyDescent="0.25">
      <c r="A2853"/>
    </row>
    <row r="2854" spans="1:1" x14ac:dyDescent="0.25">
      <c r="A2854"/>
    </row>
    <row r="2855" spans="1:1" x14ac:dyDescent="0.25">
      <c r="A2855"/>
    </row>
    <row r="2856" spans="1:1" x14ac:dyDescent="0.25">
      <c r="A2856"/>
    </row>
    <row r="2857" spans="1:1" x14ac:dyDescent="0.25">
      <c r="A2857"/>
    </row>
    <row r="2858" spans="1:1" x14ac:dyDescent="0.25">
      <c r="A2858"/>
    </row>
    <row r="2859" spans="1:1" x14ac:dyDescent="0.25">
      <c r="A2859"/>
    </row>
    <row r="2860" spans="1:1" x14ac:dyDescent="0.25">
      <c r="A2860"/>
    </row>
    <row r="2861" spans="1:1" x14ac:dyDescent="0.25">
      <c r="A2861"/>
    </row>
    <row r="2862" spans="1:1" x14ac:dyDescent="0.25">
      <c r="A2862"/>
    </row>
    <row r="2863" spans="1:1" x14ac:dyDescent="0.25">
      <c r="A2863"/>
    </row>
    <row r="2864" spans="1:1" x14ac:dyDescent="0.25">
      <c r="A2864"/>
    </row>
    <row r="2865" spans="1:1" x14ac:dyDescent="0.25">
      <c r="A2865"/>
    </row>
    <row r="2866" spans="1:1" x14ac:dyDescent="0.25">
      <c r="A2866"/>
    </row>
    <row r="2867" spans="1:1" x14ac:dyDescent="0.25">
      <c r="A2867"/>
    </row>
    <row r="2868" spans="1:1" x14ac:dyDescent="0.25">
      <c r="A2868"/>
    </row>
    <row r="2869" spans="1:1" x14ac:dyDescent="0.25">
      <c r="A2869"/>
    </row>
    <row r="2870" spans="1:1" x14ac:dyDescent="0.25">
      <c r="A2870"/>
    </row>
    <row r="2871" spans="1:1" x14ac:dyDescent="0.25">
      <c r="A2871"/>
    </row>
    <row r="2872" spans="1:1" x14ac:dyDescent="0.25">
      <c r="A2872"/>
    </row>
    <row r="2873" spans="1:1" x14ac:dyDescent="0.25">
      <c r="A2873"/>
    </row>
    <row r="2874" spans="1:1" x14ac:dyDescent="0.25">
      <c r="A2874"/>
    </row>
    <row r="2875" spans="1:1" x14ac:dyDescent="0.25">
      <c r="A2875"/>
    </row>
    <row r="2876" spans="1:1" x14ac:dyDescent="0.25">
      <c r="A2876"/>
    </row>
    <row r="2877" spans="1:1" x14ac:dyDescent="0.25">
      <c r="A2877"/>
    </row>
    <row r="2878" spans="1:1" x14ac:dyDescent="0.25">
      <c r="A2878"/>
    </row>
    <row r="2879" spans="1:1" x14ac:dyDescent="0.25">
      <c r="A2879"/>
    </row>
    <row r="2880" spans="1:1" x14ac:dyDescent="0.25">
      <c r="A2880"/>
    </row>
    <row r="2881" spans="1:1" x14ac:dyDescent="0.25">
      <c r="A2881"/>
    </row>
    <row r="2882" spans="1:1" x14ac:dyDescent="0.25">
      <c r="A2882"/>
    </row>
    <row r="2883" spans="1:1" x14ac:dyDescent="0.25">
      <c r="A2883"/>
    </row>
    <row r="2884" spans="1:1" x14ac:dyDescent="0.25">
      <c r="A2884"/>
    </row>
    <row r="2885" spans="1:1" x14ac:dyDescent="0.25">
      <c r="A2885"/>
    </row>
    <row r="2886" spans="1:1" x14ac:dyDescent="0.25">
      <c r="A2886"/>
    </row>
    <row r="2887" spans="1:1" x14ac:dyDescent="0.25">
      <c r="A2887"/>
    </row>
    <row r="2888" spans="1:1" x14ac:dyDescent="0.25">
      <c r="A2888"/>
    </row>
    <row r="2889" spans="1:1" x14ac:dyDescent="0.25">
      <c r="A2889"/>
    </row>
    <row r="2890" spans="1:1" x14ac:dyDescent="0.25">
      <c r="A2890"/>
    </row>
    <row r="2891" spans="1:1" x14ac:dyDescent="0.25">
      <c r="A2891"/>
    </row>
    <row r="2892" spans="1:1" x14ac:dyDescent="0.25">
      <c r="A2892"/>
    </row>
    <row r="2893" spans="1:1" x14ac:dyDescent="0.25">
      <c r="A2893"/>
    </row>
    <row r="2894" spans="1:1" x14ac:dyDescent="0.25">
      <c r="A2894"/>
    </row>
    <row r="2895" spans="1:1" x14ac:dyDescent="0.25">
      <c r="A2895"/>
    </row>
    <row r="2896" spans="1:1" x14ac:dyDescent="0.25">
      <c r="A2896"/>
    </row>
    <row r="2897" spans="1:1" x14ac:dyDescent="0.25">
      <c r="A2897"/>
    </row>
    <row r="2898" spans="1:1" x14ac:dyDescent="0.25">
      <c r="A2898"/>
    </row>
    <row r="2899" spans="1:1" x14ac:dyDescent="0.25">
      <c r="A2899"/>
    </row>
    <row r="2900" spans="1:1" x14ac:dyDescent="0.25">
      <c r="A2900"/>
    </row>
    <row r="2901" spans="1:1" x14ac:dyDescent="0.25">
      <c r="A2901"/>
    </row>
    <row r="2902" spans="1:1" x14ac:dyDescent="0.25">
      <c r="A2902"/>
    </row>
    <row r="2903" spans="1:1" x14ac:dyDescent="0.25">
      <c r="A2903"/>
    </row>
    <row r="2904" spans="1:1" x14ac:dyDescent="0.25">
      <c r="A2904"/>
    </row>
    <row r="2905" spans="1:1" x14ac:dyDescent="0.25">
      <c r="A2905"/>
    </row>
    <row r="2906" spans="1:1" x14ac:dyDescent="0.25">
      <c r="A2906"/>
    </row>
    <row r="2907" spans="1:1" x14ac:dyDescent="0.25">
      <c r="A2907"/>
    </row>
    <row r="2908" spans="1:1" x14ac:dyDescent="0.25">
      <c r="A2908"/>
    </row>
    <row r="2909" spans="1:1" x14ac:dyDescent="0.25">
      <c r="A2909"/>
    </row>
    <row r="2910" spans="1:1" x14ac:dyDescent="0.25">
      <c r="A2910"/>
    </row>
    <row r="2911" spans="1:1" x14ac:dyDescent="0.25">
      <c r="A2911"/>
    </row>
    <row r="2912" spans="1:1" x14ac:dyDescent="0.25">
      <c r="A2912"/>
    </row>
    <row r="2913" spans="1:1" x14ac:dyDescent="0.25">
      <c r="A2913"/>
    </row>
    <row r="2914" spans="1:1" x14ac:dyDescent="0.25">
      <c r="A2914"/>
    </row>
    <row r="2915" spans="1:1" x14ac:dyDescent="0.25">
      <c r="A2915"/>
    </row>
    <row r="2916" spans="1:1" x14ac:dyDescent="0.25">
      <c r="A2916"/>
    </row>
    <row r="2917" spans="1:1" x14ac:dyDescent="0.25">
      <c r="A2917"/>
    </row>
    <row r="2918" spans="1:1" x14ac:dyDescent="0.25">
      <c r="A2918"/>
    </row>
    <row r="2919" spans="1:1" x14ac:dyDescent="0.25">
      <c r="A2919"/>
    </row>
    <row r="2920" spans="1:1" x14ac:dyDescent="0.25">
      <c r="A2920"/>
    </row>
    <row r="2921" spans="1:1" x14ac:dyDescent="0.25">
      <c r="A2921"/>
    </row>
    <row r="2922" spans="1:1" x14ac:dyDescent="0.25">
      <c r="A2922"/>
    </row>
    <row r="2923" spans="1:1" x14ac:dyDescent="0.25">
      <c r="A2923"/>
    </row>
    <row r="2924" spans="1:1" x14ac:dyDescent="0.25">
      <c r="A2924"/>
    </row>
    <row r="2925" spans="1:1" x14ac:dyDescent="0.25">
      <c r="A2925"/>
    </row>
    <row r="2926" spans="1:1" x14ac:dyDescent="0.25">
      <c r="A2926"/>
    </row>
    <row r="2927" spans="1:1" x14ac:dyDescent="0.25">
      <c r="A2927"/>
    </row>
    <row r="2928" spans="1:1" x14ac:dyDescent="0.25">
      <c r="A2928"/>
    </row>
    <row r="2929" spans="1:1" x14ac:dyDescent="0.25">
      <c r="A2929"/>
    </row>
    <row r="2930" spans="1:1" x14ac:dyDescent="0.25">
      <c r="A2930"/>
    </row>
    <row r="2931" spans="1:1" x14ac:dyDescent="0.25">
      <c r="A2931"/>
    </row>
    <row r="2932" spans="1:1" x14ac:dyDescent="0.25">
      <c r="A2932"/>
    </row>
    <row r="2933" spans="1:1" x14ac:dyDescent="0.25">
      <c r="A2933"/>
    </row>
    <row r="2934" spans="1:1" x14ac:dyDescent="0.25">
      <c r="A2934"/>
    </row>
    <row r="2935" spans="1:1" x14ac:dyDescent="0.25">
      <c r="A2935"/>
    </row>
    <row r="2936" spans="1:1" x14ac:dyDescent="0.25">
      <c r="A2936"/>
    </row>
    <row r="2937" spans="1:1" x14ac:dyDescent="0.25">
      <c r="A2937"/>
    </row>
    <row r="2938" spans="1:1" x14ac:dyDescent="0.25">
      <c r="A2938"/>
    </row>
    <row r="2939" spans="1:1" x14ac:dyDescent="0.25">
      <c r="A2939"/>
    </row>
    <row r="2940" spans="1:1" x14ac:dyDescent="0.25">
      <c r="A2940"/>
    </row>
    <row r="2941" spans="1:1" x14ac:dyDescent="0.25">
      <c r="A2941"/>
    </row>
    <row r="2942" spans="1:1" x14ac:dyDescent="0.25">
      <c r="A2942"/>
    </row>
    <row r="2943" spans="1:1" x14ac:dyDescent="0.25">
      <c r="A2943"/>
    </row>
    <row r="2944" spans="1:1" x14ac:dyDescent="0.25">
      <c r="A2944"/>
    </row>
    <row r="2945" spans="1:1" x14ac:dyDescent="0.25">
      <c r="A2945"/>
    </row>
    <row r="2946" spans="1:1" x14ac:dyDescent="0.25">
      <c r="A2946"/>
    </row>
    <row r="2947" spans="1:1" x14ac:dyDescent="0.25">
      <c r="A2947"/>
    </row>
    <row r="2948" spans="1:1" x14ac:dyDescent="0.25">
      <c r="A2948"/>
    </row>
    <row r="2949" spans="1:1" x14ac:dyDescent="0.25">
      <c r="A2949"/>
    </row>
    <row r="2950" spans="1:1" x14ac:dyDescent="0.25">
      <c r="A2950"/>
    </row>
    <row r="2951" spans="1:1" x14ac:dyDescent="0.25">
      <c r="A2951"/>
    </row>
    <row r="2952" spans="1:1" x14ac:dyDescent="0.25">
      <c r="A2952"/>
    </row>
    <row r="2953" spans="1:1" x14ac:dyDescent="0.25">
      <c r="A2953"/>
    </row>
    <row r="2954" spans="1:1" x14ac:dyDescent="0.25">
      <c r="A2954"/>
    </row>
    <row r="2955" spans="1:1" x14ac:dyDescent="0.25">
      <c r="A2955"/>
    </row>
    <row r="2956" spans="1:1" x14ac:dyDescent="0.25">
      <c r="A2956"/>
    </row>
    <row r="2957" spans="1:1" x14ac:dyDescent="0.25">
      <c r="A2957"/>
    </row>
    <row r="2958" spans="1:1" x14ac:dyDescent="0.25">
      <c r="A2958"/>
    </row>
    <row r="2959" spans="1:1" x14ac:dyDescent="0.25">
      <c r="A2959"/>
    </row>
    <row r="2960" spans="1:1" x14ac:dyDescent="0.25">
      <c r="A2960"/>
    </row>
    <row r="2961" spans="1:1" x14ac:dyDescent="0.25">
      <c r="A2961"/>
    </row>
    <row r="2962" spans="1:1" x14ac:dyDescent="0.25">
      <c r="A2962"/>
    </row>
    <row r="2963" spans="1:1" x14ac:dyDescent="0.25">
      <c r="A2963"/>
    </row>
    <row r="2964" spans="1:1" x14ac:dyDescent="0.25">
      <c r="A2964"/>
    </row>
    <row r="2965" spans="1:1" x14ac:dyDescent="0.25">
      <c r="A2965"/>
    </row>
    <row r="2966" spans="1:1" x14ac:dyDescent="0.25">
      <c r="A2966"/>
    </row>
    <row r="2967" spans="1:1" x14ac:dyDescent="0.25">
      <c r="A2967"/>
    </row>
    <row r="2968" spans="1:1" x14ac:dyDescent="0.25">
      <c r="A2968"/>
    </row>
    <row r="2969" spans="1:1" x14ac:dyDescent="0.25">
      <c r="A2969"/>
    </row>
    <row r="2970" spans="1:1" x14ac:dyDescent="0.25">
      <c r="A2970"/>
    </row>
    <row r="2971" spans="1:1" x14ac:dyDescent="0.25">
      <c r="A2971"/>
    </row>
    <row r="2972" spans="1:1" x14ac:dyDescent="0.25">
      <c r="A2972"/>
    </row>
    <row r="2973" spans="1:1" x14ac:dyDescent="0.25">
      <c r="A2973"/>
    </row>
    <row r="2974" spans="1:1" x14ac:dyDescent="0.25">
      <c r="A2974"/>
    </row>
    <row r="2975" spans="1:1" x14ac:dyDescent="0.25">
      <c r="A2975"/>
    </row>
    <row r="2976" spans="1:1" x14ac:dyDescent="0.25">
      <c r="A2976"/>
    </row>
    <row r="2977" spans="1:1" x14ac:dyDescent="0.25">
      <c r="A2977"/>
    </row>
    <row r="2978" spans="1:1" x14ac:dyDescent="0.25">
      <c r="A2978"/>
    </row>
    <row r="2979" spans="1:1" x14ac:dyDescent="0.25">
      <c r="A2979"/>
    </row>
    <row r="2980" spans="1:1" x14ac:dyDescent="0.25">
      <c r="A2980"/>
    </row>
    <row r="2981" spans="1:1" x14ac:dyDescent="0.25">
      <c r="A2981"/>
    </row>
    <row r="2982" spans="1:1" x14ac:dyDescent="0.25">
      <c r="A2982"/>
    </row>
    <row r="2983" spans="1:1" x14ac:dyDescent="0.25">
      <c r="A2983"/>
    </row>
    <row r="2984" spans="1:1" x14ac:dyDescent="0.25">
      <c r="A2984"/>
    </row>
    <row r="2985" spans="1:1" x14ac:dyDescent="0.25">
      <c r="A2985"/>
    </row>
    <row r="2986" spans="1:1" x14ac:dyDescent="0.25">
      <c r="A2986"/>
    </row>
    <row r="2987" spans="1:1" x14ac:dyDescent="0.25">
      <c r="A2987"/>
    </row>
    <row r="2988" spans="1:1" x14ac:dyDescent="0.25">
      <c r="A2988"/>
    </row>
    <row r="2989" spans="1:1" x14ac:dyDescent="0.25">
      <c r="A2989"/>
    </row>
    <row r="2990" spans="1:1" x14ac:dyDescent="0.25">
      <c r="A2990"/>
    </row>
    <row r="2991" spans="1:1" x14ac:dyDescent="0.25">
      <c r="A2991"/>
    </row>
    <row r="2992" spans="1:1" x14ac:dyDescent="0.25">
      <c r="A2992"/>
    </row>
    <row r="2993" spans="1:1" x14ac:dyDescent="0.25">
      <c r="A2993"/>
    </row>
    <row r="2994" spans="1:1" x14ac:dyDescent="0.25">
      <c r="A2994"/>
    </row>
    <row r="2995" spans="1:1" x14ac:dyDescent="0.25">
      <c r="A2995"/>
    </row>
    <row r="2996" spans="1:1" x14ac:dyDescent="0.25">
      <c r="A2996"/>
    </row>
    <row r="2997" spans="1:1" x14ac:dyDescent="0.25">
      <c r="A2997"/>
    </row>
    <row r="2998" spans="1:1" x14ac:dyDescent="0.25">
      <c r="A2998"/>
    </row>
    <row r="2999" spans="1:1" x14ac:dyDescent="0.25">
      <c r="A2999"/>
    </row>
    <row r="3000" spans="1:1" x14ac:dyDescent="0.25">
      <c r="A3000"/>
    </row>
    <row r="3001" spans="1:1" x14ac:dyDescent="0.25">
      <c r="A3001"/>
    </row>
    <row r="3002" spans="1:1" x14ac:dyDescent="0.25">
      <c r="A3002"/>
    </row>
    <row r="3003" spans="1:1" x14ac:dyDescent="0.25">
      <c r="A3003"/>
    </row>
    <row r="3004" spans="1:1" x14ac:dyDescent="0.25">
      <c r="A3004"/>
    </row>
    <row r="3005" spans="1:1" x14ac:dyDescent="0.25">
      <c r="A3005"/>
    </row>
    <row r="3006" spans="1:1" x14ac:dyDescent="0.25">
      <c r="A3006"/>
    </row>
    <row r="3007" spans="1:1" x14ac:dyDescent="0.25">
      <c r="A3007"/>
    </row>
    <row r="3008" spans="1:1" x14ac:dyDescent="0.25">
      <c r="A3008"/>
    </row>
    <row r="3009" spans="1:1" x14ac:dyDescent="0.25">
      <c r="A3009"/>
    </row>
    <row r="3010" spans="1:1" x14ac:dyDescent="0.25">
      <c r="A3010"/>
    </row>
    <row r="3011" spans="1:1" x14ac:dyDescent="0.25">
      <c r="A3011"/>
    </row>
    <row r="3012" spans="1:1" x14ac:dyDescent="0.25">
      <c r="A3012"/>
    </row>
    <row r="3013" spans="1:1" x14ac:dyDescent="0.25">
      <c r="A3013"/>
    </row>
    <row r="3014" spans="1:1" x14ac:dyDescent="0.25">
      <c r="A3014"/>
    </row>
    <row r="3015" spans="1:1" x14ac:dyDescent="0.25">
      <c r="A3015"/>
    </row>
    <row r="3016" spans="1:1" x14ac:dyDescent="0.25">
      <c r="A3016"/>
    </row>
    <row r="3017" spans="1:1" x14ac:dyDescent="0.25">
      <c r="A3017"/>
    </row>
    <row r="3018" spans="1:1" x14ac:dyDescent="0.25">
      <c r="A3018"/>
    </row>
    <row r="3019" spans="1:1" x14ac:dyDescent="0.25">
      <c r="A3019"/>
    </row>
    <row r="3020" spans="1:1" x14ac:dyDescent="0.25">
      <c r="A3020"/>
    </row>
    <row r="3021" spans="1:1" x14ac:dyDescent="0.25">
      <c r="A3021"/>
    </row>
    <row r="3022" spans="1:1" x14ac:dyDescent="0.25">
      <c r="A3022"/>
    </row>
    <row r="3023" spans="1:1" x14ac:dyDescent="0.25">
      <c r="A3023"/>
    </row>
    <row r="3024" spans="1:1" x14ac:dyDescent="0.25">
      <c r="A3024"/>
    </row>
    <row r="3025" spans="1:1" x14ac:dyDescent="0.25">
      <c r="A3025"/>
    </row>
    <row r="3026" spans="1:1" x14ac:dyDescent="0.25">
      <c r="A3026"/>
    </row>
    <row r="3027" spans="1:1" x14ac:dyDescent="0.25">
      <c r="A3027"/>
    </row>
    <row r="3028" spans="1:1" x14ac:dyDescent="0.25">
      <c r="A3028"/>
    </row>
    <row r="3029" spans="1:1" x14ac:dyDescent="0.25">
      <c r="A3029"/>
    </row>
    <row r="3030" spans="1:1" x14ac:dyDescent="0.25">
      <c r="A3030"/>
    </row>
    <row r="3031" spans="1:1" x14ac:dyDescent="0.25">
      <c r="A3031"/>
    </row>
    <row r="3032" spans="1:1" x14ac:dyDescent="0.25">
      <c r="A3032"/>
    </row>
    <row r="3033" spans="1:1" x14ac:dyDescent="0.25">
      <c r="A3033"/>
    </row>
    <row r="3034" spans="1:1" x14ac:dyDescent="0.25">
      <c r="A3034"/>
    </row>
    <row r="3035" spans="1:1" x14ac:dyDescent="0.25">
      <c r="A3035"/>
    </row>
    <row r="3036" spans="1:1" x14ac:dyDescent="0.25">
      <c r="A3036"/>
    </row>
    <row r="3037" spans="1:1" x14ac:dyDescent="0.25">
      <c r="A3037"/>
    </row>
    <row r="3038" spans="1:1" x14ac:dyDescent="0.25">
      <c r="A3038"/>
    </row>
    <row r="3039" spans="1:1" x14ac:dyDescent="0.25">
      <c r="A3039"/>
    </row>
    <row r="3040" spans="1:1" x14ac:dyDescent="0.25">
      <c r="A3040"/>
    </row>
    <row r="3041" spans="1:1" x14ac:dyDescent="0.25">
      <c r="A3041"/>
    </row>
    <row r="3042" spans="1:1" x14ac:dyDescent="0.25">
      <c r="A3042"/>
    </row>
    <row r="3043" spans="1:1" x14ac:dyDescent="0.25">
      <c r="A3043"/>
    </row>
    <row r="3044" spans="1:1" x14ac:dyDescent="0.25">
      <c r="A3044"/>
    </row>
    <row r="3045" spans="1:1" x14ac:dyDescent="0.25">
      <c r="A3045"/>
    </row>
    <row r="3046" spans="1:1" x14ac:dyDescent="0.25">
      <c r="A3046"/>
    </row>
    <row r="3047" spans="1:1" x14ac:dyDescent="0.25">
      <c r="A3047"/>
    </row>
    <row r="3048" spans="1:1" x14ac:dyDescent="0.25">
      <c r="A3048"/>
    </row>
    <row r="3049" spans="1:1" x14ac:dyDescent="0.25">
      <c r="A3049"/>
    </row>
    <row r="3050" spans="1:1" x14ac:dyDescent="0.25">
      <c r="A3050"/>
    </row>
    <row r="3051" spans="1:1" x14ac:dyDescent="0.25">
      <c r="A3051"/>
    </row>
    <row r="3052" spans="1:1" x14ac:dyDescent="0.25">
      <c r="A3052"/>
    </row>
    <row r="3053" spans="1:1" x14ac:dyDescent="0.25">
      <c r="A3053"/>
    </row>
    <row r="3054" spans="1:1" x14ac:dyDescent="0.25">
      <c r="A3054"/>
    </row>
    <row r="3055" spans="1:1" x14ac:dyDescent="0.25">
      <c r="A3055"/>
    </row>
    <row r="3056" spans="1:1" x14ac:dyDescent="0.25">
      <c r="A3056"/>
    </row>
    <row r="3057" spans="1:1" x14ac:dyDescent="0.25">
      <c r="A3057"/>
    </row>
    <row r="3058" spans="1:1" x14ac:dyDescent="0.25">
      <c r="A3058"/>
    </row>
    <row r="3059" spans="1:1" x14ac:dyDescent="0.25">
      <c r="A3059"/>
    </row>
    <row r="3060" spans="1:1" x14ac:dyDescent="0.25">
      <c r="A3060"/>
    </row>
    <row r="3061" spans="1:1" x14ac:dyDescent="0.25">
      <c r="A3061"/>
    </row>
    <row r="3062" spans="1:1" x14ac:dyDescent="0.25">
      <c r="A3062"/>
    </row>
    <row r="3063" spans="1:1" x14ac:dyDescent="0.25">
      <c r="A3063"/>
    </row>
    <row r="3064" spans="1:1" x14ac:dyDescent="0.25">
      <c r="A3064"/>
    </row>
    <row r="3065" spans="1:1" x14ac:dyDescent="0.25">
      <c r="A3065"/>
    </row>
    <row r="3066" spans="1:1" x14ac:dyDescent="0.25">
      <c r="A3066"/>
    </row>
    <row r="3067" spans="1:1" x14ac:dyDescent="0.25">
      <c r="A3067"/>
    </row>
    <row r="3068" spans="1:1" x14ac:dyDescent="0.25">
      <c r="A3068"/>
    </row>
    <row r="3069" spans="1:1" x14ac:dyDescent="0.25">
      <c r="A3069"/>
    </row>
    <row r="3070" spans="1:1" x14ac:dyDescent="0.25">
      <c r="A3070"/>
    </row>
    <row r="3071" spans="1:1" x14ac:dyDescent="0.25">
      <c r="A3071"/>
    </row>
    <row r="3072" spans="1:1" x14ac:dyDescent="0.25">
      <c r="A3072"/>
    </row>
    <row r="3073" spans="1:1" x14ac:dyDescent="0.25">
      <c r="A3073"/>
    </row>
    <row r="3074" spans="1:1" x14ac:dyDescent="0.25">
      <c r="A3074"/>
    </row>
    <row r="3075" spans="1:1" x14ac:dyDescent="0.25">
      <c r="A3075"/>
    </row>
    <row r="3076" spans="1:1" x14ac:dyDescent="0.25">
      <c r="A3076"/>
    </row>
    <row r="3077" spans="1:1" x14ac:dyDescent="0.25">
      <c r="A3077"/>
    </row>
    <row r="3078" spans="1:1" x14ac:dyDescent="0.25">
      <c r="A3078"/>
    </row>
    <row r="3079" spans="1:1" x14ac:dyDescent="0.25">
      <c r="A3079"/>
    </row>
    <row r="3080" spans="1:1" x14ac:dyDescent="0.25">
      <c r="A3080"/>
    </row>
    <row r="3081" spans="1:1" x14ac:dyDescent="0.25">
      <c r="A3081"/>
    </row>
    <row r="3082" spans="1:1" x14ac:dyDescent="0.25">
      <c r="A3082"/>
    </row>
    <row r="3083" spans="1:1" x14ac:dyDescent="0.25">
      <c r="A3083"/>
    </row>
    <row r="3084" spans="1:1" x14ac:dyDescent="0.25">
      <c r="A3084"/>
    </row>
    <row r="3085" spans="1:1" x14ac:dyDescent="0.25">
      <c r="A3085"/>
    </row>
    <row r="3086" spans="1:1" x14ac:dyDescent="0.25">
      <c r="A3086"/>
    </row>
    <row r="3087" spans="1:1" x14ac:dyDescent="0.25">
      <c r="A3087"/>
    </row>
    <row r="3088" spans="1:1" x14ac:dyDescent="0.25">
      <c r="A3088"/>
    </row>
    <row r="3089" spans="1:1" x14ac:dyDescent="0.25">
      <c r="A3089"/>
    </row>
    <row r="3090" spans="1:1" x14ac:dyDescent="0.25">
      <c r="A3090"/>
    </row>
    <row r="3091" spans="1:1" x14ac:dyDescent="0.25">
      <c r="A3091"/>
    </row>
    <row r="3092" spans="1:1" x14ac:dyDescent="0.25">
      <c r="A3092"/>
    </row>
    <row r="3093" spans="1:1" x14ac:dyDescent="0.25">
      <c r="A3093"/>
    </row>
    <row r="3094" spans="1:1" x14ac:dyDescent="0.25">
      <c r="A3094"/>
    </row>
    <row r="3095" spans="1:1" x14ac:dyDescent="0.25">
      <c r="A3095"/>
    </row>
    <row r="3096" spans="1:1" x14ac:dyDescent="0.25">
      <c r="A3096"/>
    </row>
    <row r="3097" spans="1:1" x14ac:dyDescent="0.25">
      <c r="A3097"/>
    </row>
    <row r="3098" spans="1:1" x14ac:dyDescent="0.25">
      <c r="A3098"/>
    </row>
    <row r="3099" spans="1:1" x14ac:dyDescent="0.25">
      <c r="A3099"/>
    </row>
    <row r="3100" spans="1:1" x14ac:dyDescent="0.25">
      <c r="A3100"/>
    </row>
    <row r="3101" spans="1:1" x14ac:dyDescent="0.25">
      <c r="A3101"/>
    </row>
    <row r="3102" spans="1:1" x14ac:dyDescent="0.25">
      <c r="A3102"/>
    </row>
    <row r="3103" spans="1:1" x14ac:dyDescent="0.25">
      <c r="A3103"/>
    </row>
    <row r="3104" spans="1:1" x14ac:dyDescent="0.25">
      <c r="A3104"/>
    </row>
    <row r="3105" spans="1:1" x14ac:dyDescent="0.25">
      <c r="A3105"/>
    </row>
    <row r="3106" spans="1:1" x14ac:dyDescent="0.25">
      <c r="A3106"/>
    </row>
    <row r="3107" spans="1:1" x14ac:dyDescent="0.25">
      <c r="A3107"/>
    </row>
    <row r="3108" spans="1:1" x14ac:dyDescent="0.25">
      <c r="A3108"/>
    </row>
    <row r="3109" spans="1:1" x14ac:dyDescent="0.25">
      <c r="A3109"/>
    </row>
    <row r="3110" spans="1:1" x14ac:dyDescent="0.25">
      <c r="A3110"/>
    </row>
    <row r="3111" spans="1:1" x14ac:dyDescent="0.25">
      <c r="A3111"/>
    </row>
    <row r="3112" spans="1:1" x14ac:dyDescent="0.25">
      <c r="A3112"/>
    </row>
    <row r="3113" spans="1:1" x14ac:dyDescent="0.25">
      <c r="A3113"/>
    </row>
    <row r="3114" spans="1:1" x14ac:dyDescent="0.25">
      <c r="A3114"/>
    </row>
    <row r="3115" spans="1:1" x14ac:dyDescent="0.25">
      <c r="A3115"/>
    </row>
    <row r="3116" spans="1:1" x14ac:dyDescent="0.25">
      <c r="A3116"/>
    </row>
    <row r="3117" spans="1:1" x14ac:dyDescent="0.25">
      <c r="A3117"/>
    </row>
    <row r="3118" spans="1:1" x14ac:dyDescent="0.25">
      <c r="A3118"/>
    </row>
    <row r="3119" spans="1:1" x14ac:dyDescent="0.25">
      <c r="A3119"/>
    </row>
    <row r="3120" spans="1:1" x14ac:dyDescent="0.25">
      <c r="A3120"/>
    </row>
    <row r="3121" spans="1:1" x14ac:dyDescent="0.25">
      <c r="A3121"/>
    </row>
    <row r="3122" spans="1:1" x14ac:dyDescent="0.25">
      <c r="A3122"/>
    </row>
    <row r="3123" spans="1:1" x14ac:dyDescent="0.25">
      <c r="A3123"/>
    </row>
    <row r="3124" spans="1:1" x14ac:dyDescent="0.25">
      <c r="A3124"/>
    </row>
    <row r="3125" spans="1:1" x14ac:dyDescent="0.25">
      <c r="A3125"/>
    </row>
    <row r="3126" spans="1:1" x14ac:dyDescent="0.25">
      <c r="A3126"/>
    </row>
    <row r="3127" spans="1:1" x14ac:dyDescent="0.25">
      <c r="A3127"/>
    </row>
    <row r="3128" spans="1:1" x14ac:dyDescent="0.25">
      <c r="A3128"/>
    </row>
    <row r="3129" spans="1:1" x14ac:dyDescent="0.25">
      <c r="A3129"/>
    </row>
    <row r="3130" spans="1:1" x14ac:dyDescent="0.25">
      <c r="A3130"/>
    </row>
    <row r="3131" spans="1:1" x14ac:dyDescent="0.25">
      <c r="A3131"/>
    </row>
    <row r="3132" spans="1:1" x14ac:dyDescent="0.25">
      <c r="A3132"/>
    </row>
    <row r="3133" spans="1:1" x14ac:dyDescent="0.25">
      <c r="A3133"/>
    </row>
    <row r="3134" spans="1:1" x14ac:dyDescent="0.25">
      <c r="A3134"/>
    </row>
    <row r="3135" spans="1:1" x14ac:dyDescent="0.25">
      <c r="A3135"/>
    </row>
    <row r="3136" spans="1:1" x14ac:dyDescent="0.25">
      <c r="A3136"/>
    </row>
    <row r="3137" spans="1:1" x14ac:dyDescent="0.25">
      <c r="A3137"/>
    </row>
    <row r="3138" spans="1:1" x14ac:dyDescent="0.25">
      <c r="A3138"/>
    </row>
    <row r="3139" spans="1:1" x14ac:dyDescent="0.25">
      <c r="A3139"/>
    </row>
    <row r="3140" spans="1:1" x14ac:dyDescent="0.25">
      <c r="A3140"/>
    </row>
    <row r="3141" spans="1:1" x14ac:dyDescent="0.25">
      <c r="A3141"/>
    </row>
    <row r="3142" spans="1:1" x14ac:dyDescent="0.25">
      <c r="A3142"/>
    </row>
    <row r="3143" spans="1:1" x14ac:dyDescent="0.25">
      <c r="A3143"/>
    </row>
    <row r="3144" spans="1:1" x14ac:dyDescent="0.25">
      <c r="A3144"/>
    </row>
    <row r="3145" spans="1:1" x14ac:dyDescent="0.25">
      <c r="A3145"/>
    </row>
    <row r="3146" spans="1:1" x14ac:dyDescent="0.25">
      <c r="A3146"/>
    </row>
    <row r="3147" spans="1:1" x14ac:dyDescent="0.25">
      <c r="A3147"/>
    </row>
    <row r="3148" spans="1:1" x14ac:dyDescent="0.25">
      <c r="A3148"/>
    </row>
    <row r="3149" spans="1:1" x14ac:dyDescent="0.25">
      <c r="A3149"/>
    </row>
    <row r="3150" spans="1:1" x14ac:dyDescent="0.25">
      <c r="A3150"/>
    </row>
    <row r="3151" spans="1:1" x14ac:dyDescent="0.25">
      <c r="A3151"/>
    </row>
    <row r="3152" spans="1:1" x14ac:dyDescent="0.25">
      <c r="A3152"/>
    </row>
    <row r="3153" spans="1:1" x14ac:dyDescent="0.25">
      <c r="A3153"/>
    </row>
    <row r="3154" spans="1:1" x14ac:dyDescent="0.25">
      <c r="A3154"/>
    </row>
    <row r="3155" spans="1:1" x14ac:dyDescent="0.25">
      <c r="A3155"/>
    </row>
    <row r="3156" spans="1:1" x14ac:dyDescent="0.25">
      <c r="A3156"/>
    </row>
    <row r="3157" spans="1:1" x14ac:dyDescent="0.25">
      <c r="A3157"/>
    </row>
    <row r="3158" spans="1:1" x14ac:dyDescent="0.25">
      <c r="A3158"/>
    </row>
    <row r="3159" spans="1:1" x14ac:dyDescent="0.25">
      <c r="A3159"/>
    </row>
    <row r="3160" spans="1:1" x14ac:dyDescent="0.25">
      <c r="A3160"/>
    </row>
    <row r="3161" spans="1:1" x14ac:dyDescent="0.25">
      <c r="A3161"/>
    </row>
    <row r="3162" spans="1:1" x14ac:dyDescent="0.25">
      <c r="A3162"/>
    </row>
    <row r="3163" spans="1:1" x14ac:dyDescent="0.25">
      <c r="A3163"/>
    </row>
    <row r="3164" spans="1:1" x14ac:dyDescent="0.25">
      <c r="A3164"/>
    </row>
    <row r="3165" spans="1:1" x14ac:dyDescent="0.25">
      <c r="A3165"/>
    </row>
    <row r="3166" spans="1:1" x14ac:dyDescent="0.25">
      <c r="A3166"/>
    </row>
    <row r="3167" spans="1:1" x14ac:dyDescent="0.25">
      <c r="A3167"/>
    </row>
    <row r="3168" spans="1:1" x14ac:dyDescent="0.25">
      <c r="A3168"/>
    </row>
    <row r="3169" spans="1:1" x14ac:dyDescent="0.25">
      <c r="A3169"/>
    </row>
    <row r="3170" spans="1:1" x14ac:dyDescent="0.25">
      <c r="A3170"/>
    </row>
    <row r="3171" spans="1:1" x14ac:dyDescent="0.25">
      <c r="A3171"/>
    </row>
    <row r="3172" spans="1:1" x14ac:dyDescent="0.25">
      <c r="A3172"/>
    </row>
    <row r="3173" spans="1:1" x14ac:dyDescent="0.25">
      <c r="A3173"/>
    </row>
    <row r="3174" spans="1:1" x14ac:dyDescent="0.25">
      <c r="A3174"/>
    </row>
    <row r="3175" spans="1:1" x14ac:dyDescent="0.25">
      <c r="A3175"/>
    </row>
    <row r="3176" spans="1:1" x14ac:dyDescent="0.25">
      <c r="A3176"/>
    </row>
    <row r="3177" spans="1:1" x14ac:dyDescent="0.25">
      <c r="A3177"/>
    </row>
    <row r="3178" spans="1:1" x14ac:dyDescent="0.25">
      <c r="A3178"/>
    </row>
    <row r="3179" spans="1:1" x14ac:dyDescent="0.25">
      <c r="A3179"/>
    </row>
    <row r="3180" spans="1:1" x14ac:dyDescent="0.25">
      <c r="A3180"/>
    </row>
    <row r="3181" spans="1:1" x14ac:dyDescent="0.25">
      <c r="A3181"/>
    </row>
    <row r="3182" spans="1:1" x14ac:dyDescent="0.25">
      <c r="A3182"/>
    </row>
    <row r="3183" spans="1:1" x14ac:dyDescent="0.25">
      <c r="A3183"/>
    </row>
    <row r="3184" spans="1:1" x14ac:dyDescent="0.25">
      <c r="A3184"/>
    </row>
    <row r="3185" spans="1:1" x14ac:dyDescent="0.25">
      <c r="A3185"/>
    </row>
    <row r="3186" spans="1:1" x14ac:dyDescent="0.25">
      <c r="A3186"/>
    </row>
    <row r="3187" spans="1:1" x14ac:dyDescent="0.25">
      <c r="A3187"/>
    </row>
    <row r="3188" spans="1:1" x14ac:dyDescent="0.25">
      <c r="A3188"/>
    </row>
    <row r="3189" spans="1:1" x14ac:dyDescent="0.25">
      <c r="A3189"/>
    </row>
    <row r="3190" spans="1:1" x14ac:dyDescent="0.25">
      <c r="A3190"/>
    </row>
    <row r="3191" spans="1:1" x14ac:dyDescent="0.25">
      <c r="A3191"/>
    </row>
    <row r="3192" spans="1:1" x14ac:dyDescent="0.25">
      <c r="A3192"/>
    </row>
    <row r="3193" spans="1:1" x14ac:dyDescent="0.25">
      <c r="A3193"/>
    </row>
    <row r="3194" spans="1:1" x14ac:dyDescent="0.25">
      <c r="A3194"/>
    </row>
    <row r="3195" spans="1:1" x14ac:dyDescent="0.25">
      <c r="A3195"/>
    </row>
    <row r="3196" spans="1:1" x14ac:dyDescent="0.25">
      <c r="A3196"/>
    </row>
    <row r="3197" spans="1:1" x14ac:dyDescent="0.25">
      <c r="A3197"/>
    </row>
    <row r="3198" spans="1:1" x14ac:dyDescent="0.25">
      <c r="A3198"/>
    </row>
    <row r="3199" spans="1:1" x14ac:dyDescent="0.25">
      <c r="A3199"/>
    </row>
    <row r="3200" spans="1:1" x14ac:dyDescent="0.25">
      <c r="A3200"/>
    </row>
    <row r="3201" spans="1:1" x14ac:dyDescent="0.25">
      <c r="A3201"/>
    </row>
    <row r="3202" spans="1:1" x14ac:dyDescent="0.25">
      <c r="A3202"/>
    </row>
    <row r="3203" spans="1:1" x14ac:dyDescent="0.25">
      <c r="A3203"/>
    </row>
    <row r="3204" spans="1:1" x14ac:dyDescent="0.25">
      <c r="A3204"/>
    </row>
    <row r="3205" spans="1:1" x14ac:dyDescent="0.25">
      <c r="A3205"/>
    </row>
    <row r="3206" spans="1:1" x14ac:dyDescent="0.25">
      <c r="A3206"/>
    </row>
    <row r="3207" spans="1:1" x14ac:dyDescent="0.25">
      <c r="A3207"/>
    </row>
    <row r="3208" spans="1:1" x14ac:dyDescent="0.25">
      <c r="A3208"/>
    </row>
    <row r="3209" spans="1:1" x14ac:dyDescent="0.25">
      <c r="A3209"/>
    </row>
    <row r="3210" spans="1:1" x14ac:dyDescent="0.25">
      <c r="A3210"/>
    </row>
    <row r="3211" spans="1:1" x14ac:dyDescent="0.25">
      <c r="A3211"/>
    </row>
    <row r="3212" spans="1:1" x14ac:dyDescent="0.25">
      <c r="A3212"/>
    </row>
    <row r="3213" spans="1:1" x14ac:dyDescent="0.25">
      <c r="A3213"/>
    </row>
    <row r="3214" spans="1:1" x14ac:dyDescent="0.25">
      <c r="A3214"/>
    </row>
    <row r="3215" spans="1:1" x14ac:dyDescent="0.25">
      <c r="A3215"/>
    </row>
    <row r="3216" spans="1:1" x14ac:dyDescent="0.25">
      <c r="A3216"/>
    </row>
    <row r="3217" spans="1:1" x14ac:dyDescent="0.25">
      <c r="A3217"/>
    </row>
    <row r="3218" spans="1:1" x14ac:dyDescent="0.25">
      <c r="A3218"/>
    </row>
    <row r="3219" spans="1:1" x14ac:dyDescent="0.25">
      <c r="A3219"/>
    </row>
    <row r="3220" spans="1:1" x14ac:dyDescent="0.25">
      <c r="A3220"/>
    </row>
    <row r="3221" spans="1:1" x14ac:dyDescent="0.25">
      <c r="A3221"/>
    </row>
    <row r="3222" spans="1:1" x14ac:dyDescent="0.25">
      <c r="A3222"/>
    </row>
    <row r="3223" spans="1:1" x14ac:dyDescent="0.25">
      <c r="A3223"/>
    </row>
    <row r="3224" spans="1:1" x14ac:dyDescent="0.25">
      <c r="A3224"/>
    </row>
    <row r="3225" spans="1:1" x14ac:dyDescent="0.25">
      <c r="A3225"/>
    </row>
    <row r="3226" spans="1:1" x14ac:dyDescent="0.25">
      <c r="A3226"/>
    </row>
    <row r="3227" spans="1:1" x14ac:dyDescent="0.25">
      <c r="A3227"/>
    </row>
    <row r="3228" spans="1:1" x14ac:dyDescent="0.25">
      <c r="A3228"/>
    </row>
    <row r="3229" spans="1:1" x14ac:dyDescent="0.25">
      <c r="A3229"/>
    </row>
    <row r="3230" spans="1:1" x14ac:dyDescent="0.25">
      <c r="A3230"/>
    </row>
    <row r="3231" spans="1:1" x14ac:dyDescent="0.25">
      <c r="A3231"/>
    </row>
    <row r="3232" spans="1:1" x14ac:dyDescent="0.25">
      <c r="A3232"/>
    </row>
    <row r="3233" spans="1:1" x14ac:dyDescent="0.25">
      <c r="A3233"/>
    </row>
    <row r="3234" spans="1:1" x14ac:dyDescent="0.25">
      <c r="A3234"/>
    </row>
    <row r="3235" spans="1:1" x14ac:dyDescent="0.25">
      <c r="A3235"/>
    </row>
    <row r="3236" spans="1:1" x14ac:dyDescent="0.25">
      <c r="A3236"/>
    </row>
    <row r="3237" spans="1:1" x14ac:dyDescent="0.25">
      <c r="A3237"/>
    </row>
    <row r="3238" spans="1:1" x14ac:dyDescent="0.25">
      <c r="A3238"/>
    </row>
    <row r="3239" spans="1:1" x14ac:dyDescent="0.25">
      <c r="A3239"/>
    </row>
    <row r="3240" spans="1:1" x14ac:dyDescent="0.25">
      <c r="A3240"/>
    </row>
    <row r="3241" spans="1:1" x14ac:dyDescent="0.25">
      <c r="A3241"/>
    </row>
    <row r="3242" spans="1:1" x14ac:dyDescent="0.25">
      <c r="A3242"/>
    </row>
    <row r="3243" spans="1:1" x14ac:dyDescent="0.25">
      <c r="A3243"/>
    </row>
    <row r="3244" spans="1:1" x14ac:dyDescent="0.25">
      <c r="A3244"/>
    </row>
    <row r="3245" spans="1:1" x14ac:dyDescent="0.25">
      <c r="A3245"/>
    </row>
    <row r="3246" spans="1:1" x14ac:dyDescent="0.25">
      <c r="A3246"/>
    </row>
    <row r="3247" spans="1:1" x14ac:dyDescent="0.25">
      <c r="A3247"/>
    </row>
    <row r="3248" spans="1:1" x14ac:dyDescent="0.25">
      <c r="A3248"/>
    </row>
    <row r="3249" spans="1:1" x14ac:dyDescent="0.25">
      <c r="A3249"/>
    </row>
    <row r="3250" spans="1:1" x14ac:dyDescent="0.25">
      <c r="A3250"/>
    </row>
    <row r="3251" spans="1:1" x14ac:dyDescent="0.25">
      <c r="A3251"/>
    </row>
    <row r="3252" spans="1:1" x14ac:dyDescent="0.25">
      <c r="A3252"/>
    </row>
    <row r="3253" spans="1:1" x14ac:dyDescent="0.25">
      <c r="A3253"/>
    </row>
    <row r="3254" spans="1:1" x14ac:dyDescent="0.25">
      <c r="A3254"/>
    </row>
    <row r="3255" spans="1:1" x14ac:dyDescent="0.25">
      <c r="A3255"/>
    </row>
    <row r="3256" spans="1:1" x14ac:dyDescent="0.25">
      <c r="A3256"/>
    </row>
    <row r="3257" spans="1:1" x14ac:dyDescent="0.25">
      <c r="A3257"/>
    </row>
    <row r="3258" spans="1:1" x14ac:dyDescent="0.25">
      <c r="A3258"/>
    </row>
    <row r="3259" spans="1:1" x14ac:dyDescent="0.25">
      <c r="A3259"/>
    </row>
    <row r="3260" spans="1:1" x14ac:dyDescent="0.25">
      <c r="A3260"/>
    </row>
    <row r="3261" spans="1:1" x14ac:dyDescent="0.25">
      <c r="A3261"/>
    </row>
    <row r="3262" spans="1:1" x14ac:dyDescent="0.25">
      <c r="A3262"/>
    </row>
    <row r="3263" spans="1:1" x14ac:dyDescent="0.25">
      <c r="A3263"/>
    </row>
    <row r="3264" spans="1:1" x14ac:dyDescent="0.25">
      <c r="A3264"/>
    </row>
    <row r="3265" spans="1:1" x14ac:dyDescent="0.25">
      <c r="A3265"/>
    </row>
    <row r="3266" spans="1:1" x14ac:dyDescent="0.25">
      <c r="A3266"/>
    </row>
    <row r="3267" spans="1:1" x14ac:dyDescent="0.25">
      <c r="A3267"/>
    </row>
    <row r="3268" spans="1:1" x14ac:dyDescent="0.25">
      <c r="A3268"/>
    </row>
    <row r="3269" spans="1:1" x14ac:dyDescent="0.25">
      <c r="A3269"/>
    </row>
    <row r="3270" spans="1:1" x14ac:dyDescent="0.25">
      <c r="A3270"/>
    </row>
    <row r="3271" spans="1:1" x14ac:dyDescent="0.25">
      <c r="A3271"/>
    </row>
    <row r="3272" spans="1:1" x14ac:dyDescent="0.25">
      <c r="A3272"/>
    </row>
    <row r="3273" spans="1:1" x14ac:dyDescent="0.25">
      <c r="A3273"/>
    </row>
    <row r="3274" spans="1:1" x14ac:dyDescent="0.25">
      <c r="A3274"/>
    </row>
    <row r="3275" spans="1:1" x14ac:dyDescent="0.25">
      <c r="A3275"/>
    </row>
    <row r="3276" spans="1:1" x14ac:dyDescent="0.25">
      <c r="A3276"/>
    </row>
    <row r="3277" spans="1:1" x14ac:dyDescent="0.25">
      <c r="A3277"/>
    </row>
    <row r="3278" spans="1:1" x14ac:dyDescent="0.25">
      <c r="A3278"/>
    </row>
    <row r="3279" spans="1:1" x14ac:dyDescent="0.25">
      <c r="A3279"/>
    </row>
    <row r="3280" spans="1:1" x14ac:dyDescent="0.25">
      <c r="A3280"/>
    </row>
    <row r="3281" spans="1:1" x14ac:dyDescent="0.25">
      <c r="A3281"/>
    </row>
    <row r="3282" spans="1:1" x14ac:dyDescent="0.25">
      <c r="A3282"/>
    </row>
    <row r="3283" spans="1:1" x14ac:dyDescent="0.25">
      <c r="A3283"/>
    </row>
    <row r="3284" spans="1:1" x14ac:dyDescent="0.25">
      <c r="A3284"/>
    </row>
    <row r="3285" spans="1:1" x14ac:dyDescent="0.25">
      <c r="A3285"/>
    </row>
    <row r="3286" spans="1:1" x14ac:dyDescent="0.25">
      <c r="A3286"/>
    </row>
    <row r="3287" spans="1:1" x14ac:dyDescent="0.25">
      <c r="A3287"/>
    </row>
    <row r="3288" spans="1:1" x14ac:dyDescent="0.25">
      <c r="A3288"/>
    </row>
    <row r="3289" spans="1:1" x14ac:dyDescent="0.25">
      <c r="A3289"/>
    </row>
    <row r="3290" spans="1:1" x14ac:dyDescent="0.25">
      <c r="A3290"/>
    </row>
    <row r="3291" spans="1:1" x14ac:dyDescent="0.25">
      <c r="A3291"/>
    </row>
    <row r="3292" spans="1:1" x14ac:dyDescent="0.25">
      <c r="A3292"/>
    </row>
    <row r="3293" spans="1:1" x14ac:dyDescent="0.25">
      <c r="A3293"/>
    </row>
    <row r="3294" spans="1:1" x14ac:dyDescent="0.25">
      <c r="A3294"/>
    </row>
    <row r="3295" spans="1:1" x14ac:dyDescent="0.25">
      <c r="A3295"/>
    </row>
    <row r="3296" spans="1:1" x14ac:dyDescent="0.25">
      <c r="A3296"/>
    </row>
    <row r="3297" spans="1:1" x14ac:dyDescent="0.25">
      <c r="A3297"/>
    </row>
    <row r="3298" spans="1:1" x14ac:dyDescent="0.25">
      <c r="A3298"/>
    </row>
    <row r="3299" spans="1:1" x14ac:dyDescent="0.25">
      <c r="A3299"/>
    </row>
    <row r="3300" spans="1:1" x14ac:dyDescent="0.25">
      <c r="A3300"/>
    </row>
    <row r="3301" spans="1:1" x14ac:dyDescent="0.25">
      <c r="A3301"/>
    </row>
    <row r="3302" spans="1:1" x14ac:dyDescent="0.25">
      <c r="A3302"/>
    </row>
    <row r="3303" spans="1:1" x14ac:dyDescent="0.25">
      <c r="A3303"/>
    </row>
    <row r="3304" spans="1:1" x14ac:dyDescent="0.25">
      <c r="A3304"/>
    </row>
    <row r="3305" spans="1:1" x14ac:dyDescent="0.25">
      <c r="A3305"/>
    </row>
    <row r="3306" spans="1:1" x14ac:dyDescent="0.25">
      <c r="A3306"/>
    </row>
    <row r="3307" spans="1:1" x14ac:dyDescent="0.25">
      <c r="A3307"/>
    </row>
    <row r="3308" spans="1:1" x14ac:dyDescent="0.25">
      <c r="A3308"/>
    </row>
    <row r="3309" spans="1:1" x14ac:dyDescent="0.25">
      <c r="A3309"/>
    </row>
    <row r="3310" spans="1:1" x14ac:dyDescent="0.25">
      <c r="A3310"/>
    </row>
    <row r="3311" spans="1:1" x14ac:dyDescent="0.25">
      <c r="A3311"/>
    </row>
    <row r="3312" spans="1:1" x14ac:dyDescent="0.25">
      <c r="A3312"/>
    </row>
    <row r="3313" spans="1:1" x14ac:dyDescent="0.25">
      <c r="A3313"/>
    </row>
    <row r="3314" spans="1:1" x14ac:dyDescent="0.25">
      <c r="A3314"/>
    </row>
    <row r="3315" spans="1:1" x14ac:dyDescent="0.25">
      <c r="A3315"/>
    </row>
    <row r="3316" spans="1:1" x14ac:dyDescent="0.25">
      <c r="A3316"/>
    </row>
    <row r="3317" spans="1:1" x14ac:dyDescent="0.25">
      <c r="A3317"/>
    </row>
    <row r="3318" spans="1:1" x14ac:dyDescent="0.25">
      <c r="A3318"/>
    </row>
    <row r="3319" spans="1:1" x14ac:dyDescent="0.25">
      <c r="A3319"/>
    </row>
    <row r="3320" spans="1:1" x14ac:dyDescent="0.25">
      <c r="A3320"/>
    </row>
    <row r="3321" spans="1:1" x14ac:dyDescent="0.25">
      <c r="A3321"/>
    </row>
    <row r="3322" spans="1:1" x14ac:dyDescent="0.25">
      <c r="A3322"/>
    </row>
    <row r="3323" spans="1:1" x14ac:dyDescent="0.25">
      <c r="A3323"/>
    </row>
    <row r="3324" spans="1:1" x14ac:dyDescent="0.25">
      <c r="A3324"/>
    </row>
    <row r="3325" spans="1:1" x14ac:dyDescent="0.25">
      <c r="A3325"/>
    </row>
    <row r="3326" spans="1:1" x14ac:dyDescent="0.25">
      <c r="A3326"/>
    </row>
    <row r="3327" spans="1:1" x14ac:dyDescent="0.25">
      <c r="A3327"/>
    </row>
    <row r="3328" spans="1:1" x14ac:dyDescent="0.25">
      <c r="A3328"/>
    </row>
    <row r="3329" spans="1:1" x14ac:dyDescent="0.25">
      <c r="A3329"/>
    </row>
    <row r="3330" spans="1:1" x14ac:dyDescent="0.25">
      <c r="A3330"/>
    </row>
    <row r="3331" spans="1:1" x14ac:dyDescent="0.25">
      <c r="A3331"/>
    </row>
    <row r="3332" spans="1:1" x14ac:dyDescent="0.25">
      <c r="A3332"/>
    </row>
    <row r="3333" spans="1:1" x14ac:dyDescent="0.25">
      <c r="A3333"/>
    </row>
    <row r="3334" spans="1:1" x14ac:dyDescent="0.25">
      <c r="A3334"/>
    </row>
    <row r="3335" spans="1:1" x14ac:dyDescent="0.25">
      <c r="A3335"/>
    </row>
    <row r="3336" spans="1:1" x14ac:dyDescent="0.25">
      <c r="A3336"/>
    </row>
    <row r="3337" spans="1:1" x14ac:dyDescent="0.25">
      <c r="A3337"/>
    </row>
    <row r="3338" spans="1:1" x14ac:dyDescent="0.25">
      <c r="A3338"/>
    </row>
    <row r="3339" spans="1:1" x14ac:dyDescent="0.25">
      <c r="A3339"/>
    </row>
    <row r="3340" spans="1:1" x14ac:dyDescent="0.25">
      <c r="A3340"/>
    </row>
    <row r="3341" spans="1:1" x14ac:dyDescent="0.25">
      <c r="A3341"/>
    </row>
    <row r="3342" spans="1:1" x14ac:dyDescent="0.25">
      <c r="A3342"/>
    </row>
    <row r="3343" spans="1:1" x14ac:dyDescent="0.25">
      <c r="A3343"/>
    </row>
    <row r="3344" spans="1:1" x14ac:dyDescent="0.25">
      <c r="A3344"/>
    </row>
    <row r="3345" spans="1:1" x14ac:dyDescent="0.25">
      <c r="A3345"/>
    </row>
    <row r="3346" spans="1:1" x14ac:dyDescent="0.25">
      <c r="A3346"/>
    </row>
    <row r="3347" spans="1:1" x14ac:dyDescent="0.25">
      <c r="A3347"/>
    </row>
    <row r="3348" spans="1:1" x14ac:dyDescent="0.25">
      <c r="A3348"/>
    </row>
    <row r="3349" spans="1:1" x14ac:dyDescent="0.25">
      <c r="A3349"/>
    </row>
    <row r="3350" spans="1:1" x14ac:dyDescent="0.25">
      <c r="A3350"/>
    </row>
    <row r="3351" spans="1:1" x14ac:dyDescent="0.25">
      <c r="A3351"/>
    </row>
    <row r="3352" spans="1:1" x14ac:dyDescent="0.25">
      <c r="A3352"/>
    </row>
    <row r="3353" spans="1:1" x14ac:dyDescent="0.25">
      <c r="A3353"/>
    </row>
    <row r="3354" spans="1:1" x14ac:dyDescent="0.25">
      <c r="A3354"/>
    </row>
    <row r="3355" spans="1:1" x14ac:dyDescent="0.25">
      <c r="A3355"/>
    </row>
    <row r="3356" spans="1:1" x14ac:dyDescent="0.25">
      <c r="A3356"/>
    </row>
    <row r="3357" spans="1:1" x14ac:dyDescent="0.25">
      <c r="A3357"/>
    </row>
    <row r="3358" spans="1:1" x14ac:dyDescent="0.25">
      <c r="A3358"/>
    </row>
    <row r="3359" spans="1:1" x14ac:dyDescent="0.25">
      <c r="A3359"/>
    </row>
    <row r="3360" spans="1:1" x14ac:dyDescent="0.25">
      <c r="A3360"/>
    </row>
    <row r="3361" spans="1:1" x14ac:dyDescent="0.25">
      <c r="A3361"/>
    </row>
    <row r="3362" spans="1:1" x14ac:dyDescent="0.25">
      <c r="A3362"/>
    </row>
    <row r="3363" spans="1:1" x14ac:dyDescent="0.25">
      <c r="A3363"/>
    </row>
    <row r="3364" spans="1:1" x14ac:dyDescent="0.25">
      <c r="A3364"/>
    </row>
    <row r="3365" spans="1:1" x14ac:dyDescent="0.25">
      <c r="A3365"/>
    </row>
    <row r="3366" spans="1:1" x14ac:dyDescent="0.25">
      <c r="A3366"/>
    </row>
    <row r="3367" spans="1:1" x14ac:dyDescent="0.25">
      <c r="A3367"/>
    </row>
    <row r="3368" spans="1:1" x14ac:dyDescent="0.25">
      <c r="A3368"/>
    </row>
    <row r="3369" spans="1:1" x14ac:dyDescent="0.25">
      <c r="A3369"/>
    </row>
    <row r="3370" spans="1:1" x14ac:dyDescent="0.25">
      <c r="A3370"/>
    </row>
    <row r="3371" spans="1:1" x14ac:dyDescent="0.25">
      <c r="A3371"/>
    </row>
    <row r="3372" spans="1:1" x14ac:dyDescent="0.25">
      <c r="A3372"/>
    </row>
    <row r="3373" spans="1:1" x14ac:dyDescent="0.25">
      <c r="A3373"/>
    </row>
    <row r="3374" spans="1:1" x14ac:dyDescent="0.25">
      <c r="A3374"/>
    </row>
    <row r="3375" spans="1:1" x14ac:dyDescent="0.25">
      <c r="A3375"/>
    </row>
    <row r="3376" spans="1:1" x14ac:dyDescent="0.25">
      <c r="A3376"/>
    </row>
    <row r="3377" spans="1:1" x14ac:dyDescent="0.25">
      <c r="A3377"/>
    </row>
    <row r="3378" spans="1:1" x14ac:dyDescent="0.25">
      <c r="A3378"/>
    </row>
    <row r="3379" spans="1:1" x14ac:dyDescent="0.25">
      <c r="A3379"/>
    </row>
    <row r="3380" spans="1:1" x14ac:dyDescent="0.25">
      <c r="A3380"/>
    </row>
    <row r="3381" spans="1:1" x14ac:dyDescent="0.25">
      <c r="A3381"/>
    </row>
    <row r="3382" spans="1:1" x14ac:dyDescent="0.25">
      <c r="A3382"/>
    </row>
    <row r="3383" spans="1:1" x14ac:dyDescent="0.25">
      <c r="A3383"/>
    </row>
    <row r="3384" spans="1:1" x14ac:dyDescent="0.25">
      <c r="A3384"/>
    </row>
    <row r="3385" spans="1:1" x14ac:dyDescent="0.25">
      <c r="A3385"/>
    </row>
    <row r="3386" spans="1:1" x14ac:dyDescent="0.25">
      <c r="A3386"/>
    </row>
    <row r="3387" spans="1:1" x14ac:dyDescent="0.25">
      <c r="A3387"/>
    </row>
    <row r="3388" spans="1:1" x14ac:dyDescent="0.25">
      <c r="A3388"/>
    </row>
    <row r="3389" spans="1:1" x14ac:dyDescent="0.25">
      <c r="A3389"/>
    </row>
    <row r="3390" spans="1:1" x14ac:dyDescent="0.25">
      <c r="A3390"/>
    </row>
    <row r="3391" spans="1:1" x14ac:dyDescent="0.25">
      <c r="A3391"/>
    </row>
    <row r="3392" spans="1:1" x14ac:dyDescent="0.25">
      <c r="A3392"/>
    </row>
    <row r="3393" spans="1:1" x14ac:dyDescent="0.25">
      <c r="A3393"/>
    </row>
    <row r="3394" spans="1:1" x14ac:dyDescent="0.25">
      <c r="A3394"/>
    </row>
    <row r="3395" spans="1:1" x14ac:dyDescent="0.25">
      <c r="A3395"/>
    </row>
    <row r="3396" spans="1:1" x14ac:dyDescent="0.25">
      <c r="A3396"/>
    </row>
    <row r="3397" spans="1:1" x14ac:dyDescent="0.25">
      <c r="A3397"/>
    </row>
    <row r="3398" spans="1:1" x14ac:dyDescent="0.25">
      <c r="A3398"/>
    </row>
    <row r="3399" spans="1:1" x14ac:dyDescent="0.25">
      <c r="A3399"/>
    </row>
    <row r="3400" spans="1:1" x14ac:dyDescent="0.25">
      <c r="A3400"/>
    </row>
    <row r="3401" spans="1:1" x14ac:dyDescent="0.25">
      <c r="A3401"/>
    </row>
    <row r="3402" spans="1:1" x14ac:dyDescent="0.25">
      <c r="A3402"/>
    </row>
    <row r="3403" spans="1:1" x14ac:dyDescent="0.25">
      <c r="A3403"/>
    </row>
    <row r="3404" spans="1:1" x14ac:dyDescent="0.25">
      <c r="A3404"/>
    </row>
    <row r="3405" spans="1:1" x14ac:dyDescent="0.25">
      <c r="A3405"/>
    </row>
    <row r="3406" spans="1:1" x14ac:dyDescent="0.25">
      <c r="A3406"/>
    </row>
    <row r="3407" spans="1:1" x14ac:dyDescent="0.25">
      <c r="A3407"/>
    </row>
    <row r="3408" spans="1:1" x14ac:dyDescent="0.25">
      <c r="A3408"/>
    </row>
    <row r="3409" spans="1:1" x14ac:dyDescent="0.25">
      <c r="A3409"/>
    </row>
    <row r="3410" spans="1:1" x14ac:dyDescent="0.25">
      <c r="A3410"/>
    </row>
    <row r="3411" spans="1:1" x14ac:dyDescent="0.25">
      <c r="A3411"/>
    </row>
    <row r="3412" spans="1:1" x14ac:dyDescent="0.25">
      <c r="A3412"/>
    </row>
    <row r="3413" spans="1:1" x14ac:dyDescent="0.25">
      <c r="A3413"/>
    </row>
    <row r="3414" spans="1:1" x14ac:dyDescent="0.25">
      <c r="A3414"/>
    </row>
    <row r="3415" spans="1:1" x14ac:dyDescent="0.25">
      <c r="A3415"/>
    </row>
    <row r="3416" spans="1:1" x14ac:dyDescent="0.25">
      <c r="A3416"/>
    </row>
    <row r="3417" spans="1:1" x14ac:dyDescent="0.25">
      <c r="A3417"/>
    </row>
    <row r="3418" spans="1:1" x14ac:dyDescent="0.25">
      <c r="A3418"/>
    </row>
    <row r="3419" spans="1:1" x14ac:dyDescent="0.25">
      <c r="A3419"/>
    </row>
    <row r="3420" spans="1:1" x14ac:dyDescent="0.25">
      <c r="A3420"/>
    </row>
    <row r="3421" spans="1:1" x14ac:dyDescent="0.25">
      <c r="A3421"/>
    </row>
    <row r="3422" spans="1:1" x14ac:dyDescent="0.25">
      <c r="A3422"/>
    </row>
    <row r="3423" spans="1:1" x14ac:dyDescent="0.25">
      <c r="A3423"/>
    </row>
    <row r="3424" spans="1:1" x14ac:dyDescent="0.25">
      <c r="A3424"/>
    </row>
    <row r="3425" spans="1:1" x14ac:dyDescent="0.25">
      <c r="A3425"/>
    </row>
    <row r="3426" spans="1:1" x14ac:dyDescent="0.25">
      <c r="A3426"/>
    </row>
    <row r="3427" spans="1:1" x14ac:dyDescent="0.25">
      <c r="A3427"/>
    </row>
    <row r="3428" spans="1:1" x14ac:dyDescent="0.25">
      <c r="A3428"/>
    </row>
    <row r="3429" spans="1:1" x14ac:dyDescent="0.25">
      <c r="A3429"/>
    </row>
    <row r="3430" spans="1:1" x14ac:dyDescent="0.25">
      <c r="A3430"/>
    </row>
    <row r="3431" spans="1:1" x14ac:dyDescent="0.25">
      <c r="A3431"/>
    </row>
    <row r="3432" spans="1:1" x14ac:dyDescent="0.25">
      <c r="A3432"/>
    </row>
    <row r="3433" spans="1:1" x14ac:dyDescent="0.25">
      <c r="A3433"/>
    </row>
    <row r="3434" spans="1:1" x14ac:dyDescent="0.25">
      <c r="A3434"/>
    </row>
    <row r="3435" spans="1:1" x14ac:dyDescent="0.25">
      <c r="A3435"/>
    </row>
    <row r="3436" spans="1:1" x14ac:dyDescent="0.25">
      <c r="A3436"/>
    </row>
    <row r="3437" spans="1:1" x14ac:dyDescent="0.25">
      <c r="A3437"/>
    </row>
    <row r="3438" spans="1:1" x14ac:dyDescent="0.25">
      <c r="A3438"/>
    </row>
    <row r="3439" spans="1:1" x14ac:dyDescent="0.25">
      <c r="A3439"/>
    </row>
    <row r="3440" spans="1:1" x14ac:dyDescent="0.25">
      <c r="A3440"/>
    </row>
    <row r="3441" spans="1:1" x14ac:dyDescent="0.25">
      <c r="A3441"/>
    </row>
    <row r="3442" spans="1:1" x14ac:dyDescent="0.25">
      <c r="A3442"/>
    </row>
    <row r="3443" spans="1:1" x14ac:dyDescent="0.25">
      <c r="A3443"/>
    </row>
    <row r="3444" spans="1:1" x14ac:dyDescent="0.25">
      <c r="A3444"/>
    </row>
    <row r="3445" spans="1:1" x14ac:dyDescent="0.25">
      <c r="A3445"/>
    </row>
    <row r="3446" spans="1:1" x14ac:dyDescent="0.25">
      <c r="A3446"/>
    </row>
    <row r="3447" spans="1:1" x14ac:dyDescent="0.25">
      <c r="A3447"/>
    </row>
    <row r="3448" spans="1:1" x14ac:dyDescent="0.25">
      <c r="A3448"/>
    </row>
    <row r="3449" spans="1:1" x14ac:dyDescent="0.25">
      <c r="A3449"/>
    </row>
    <row r="3450" spans="1:1" x14ac:dyDescent="0.25">
      <c r="A3450"/>
    </row>
    <row r="3451" spans="1:1" x14ac:dyDescent="0.25">
      <c r="A3451"/>
    </row>
    <row r="3452" spans="1:1" x14ac:dyDescent="0.25">
      <c r="A3452"/>
    </row>
    <row r="3453" spans="1:1" x14ac:dyDescent="0.25">
      <c r="A3453"/>
    </row>
    <row r="3454" spans="1:1" x14ac:dyDescent="0.25">
      <c r="A3454"/>
    </row>
    <row r="3455" spans="1:1" x14ac:dyDescent="0.25">
      <c r="A3455"/>
    </row>
    <row r="3456" spans="1:1" x14ac:dyDescent="0.25">
      <c r="A3456"/>
    </row>
    <row r="3457" spans="1:1" x14ac:dyDescent="0.25">
      <c r="A3457"/>
    </row>
    <row r="3458" spans="1:1" x14ac:dyDescent="0.25">
      <c r="A3458"/>
    </row>
    <row r="3459" spans="1:1" x14ac:dyDescent="0.25">
      <c r="A3459"/>
    </row>
    <row r="3460" spans="1:1" x14ac:dyDescent="0.25">
      <c r="A3460"/>
    </row>
    <row r="3461" spans="1:1" x14ac:dyDescent="0.25">
      <c r="A3461"/>
    </row>
    <row r="3462" spans="1:1" x14ac:dyDescent="0.25">
      <c r="A3462"/>
    </row>
    <row r="3463" spans="1:1" x14ac:dyDescent="0.25">
      <c r="A3463"/>
    </row>
    <row r="3464" spans="1:1" x14ac:dyDescent="0.25">
      <c r="A3464"/>
    </row>
    <row r="3465" spans="1:1" x14ac:dyDescent="0.25">
      <c r="A3465"/>
    </row>
    <row r="3466" spans="1:1" x14ac:dyDescent="0.25">
      <c r="A3466"/>
    </row>
    <row r="3467" spans="1:1" x14ac:dyDescent="0.25">
      <c r="A3467"/>
    </row>
    <row r="3468" spans="1:1" x14ac:dyDescent="0.25">
      <c r="A3468"/>
    </row>
    <row r="3469" spans="1:1" x14ac:dyDescent="0.25">
      <c r="A3469"/>
    </row>
    <row r="3470" spans="1:1" x14ac:dyDescent="0.25">
      <c r="A3470"/>
    </row>
    <row r="3471" spans="1:1" x14ac:dyDescent="0.25">
      <c r="A3471"/>
    </row>
    <row r="3472" spans="1:1" x14ac:dyDescent="0.25">
      <c r="A3472"/>
    </row>
    <row r="3473" spans="1:1" x14ac:dyDescent="0.25">
      <c r="A3473"/>
    </row>
    <row r="3474" spans="1:1" x14ac:dyDescent="0.25">
      <c r="A3474"/>
    </row>
    <row r="3475" spans="1:1" x14ac:dyDescent="0.25">
      <c r="A3475"/>
    </row>
    <row r="3476" spans="1:1" x14ac:dyDescent="0.25">
      <c r="A3476"/>
    </row>
    <row r="3477" spans="1:1" x14ac:dyDescent="0.25">
      <c r="A3477"/>
    </row>
    <row r="3478" spans="1:1" x14ac:dyDescent="0.25">
      <c r="A3478"/>
    </row>
    <row r="3479" spans="1:1" x14ac:dyDescent="0.25">
      <c r="A3479"/>
    </row>
    <row r="3480" spans="1:1" x14ac:dyDescent="0.25">
      <c r="A3480"/>
    </row>
    <row r="3481" spans="1:1" x14ac:dyDescent="0.25">
      <c r="A3481"/>
    </row>
    <row r="3482" spans="1:1" x14ac:dyDescent="0.25">
      <c r="A3482"/>
    </row>
    <row r="3483" spans="1:1" x14ac:dyDescent="0.25">
      <c r="A3483"/>
    </row>
    <row r="3484" spans="1:1" x14ac:dyDescent="0.25">
      <c r="A3484"/>
    </row>
    <row r="3485" spans="1:1" x14ac:dyDescent="0.25">
      <c r="A3485"/>
    </row>
    <row r="3486" spans="1:1" x14ac:dyDescent="0.25">
      <c r="A3486"/>
    </row>
    <row r="3487" spans="1:1" x14ac:dyDescent="0.25">
      <c r="A3487"/>
    </row>
    <row r="3488" spans="1:1" x14ac:dyDescent="0.25">
      <c r="A3488"/>
    </row>
    <row r="3489" spans="1:1" x14ac:dyDescent="0.25">
      <c r="A3489"/>
    </row>
    <row r="3490" spans="1:1" x14ac:dyDescent="0.25">
      <c r="A3490"/>
    </row>
    <row r="3491" spans="1:1" x14ac:dyDescent="0.25">
      <c r="A3491"/>
    </row>
    <row r="3492" spans="1:1" x14ac:dyDescent="0.25">
      <c r="A3492"/>
    </row>
    <row r="3493" spans="1:1" x14ac:dyDescent="0.25">
      <c r="A3493"/>
    </row>
    <row r="3494" spans="1:1" x14ac:dyDescent="0.25">
      <c r="A3494"/>
    </row>
    <row r="3495" spans="1:1" x14ac:dyDescent="0.25">
      <c r="A3495"/>
    </row>
    <row r="3496" spans="1:1" x14ac:dyDescent="0.25">
      <c r="A3496"/>
    </row>
    <row r="3497" spans="1:1" x14ac:dyDescent="0.25">
      <c r="A3497"/>
    </row>
    <row r="3498" spans="1:1" x14ac:dyDescent="0.25">
      <c r="A3498"/>
    </row>
    <row r="3499" spans="1:1" x14ac:dyDescent="0.25">
      <c r="A3499"/>
    </row>
    <row r="3500" spans="1:1" x14ac:dyDescent="0.25">
      <c r="A3500"/>
    </row>
    <row r="3501" spans="1:1" x14ac:dyDescent="0.25">
      <c r="A3501"/>
    </row>
    <row r="3502" spans="1:1" x14ac:dyDescent="0.25">
      <c r="A3502"/>
    </row>
    <row r="3503" spans="1:1" x14ac:dyDescent="0.25">
      <c r="A3503"/>
    </row>
    <row r="3504" spans="1:1" x14ac:dyDescent="0.25">
      <c r="A3504"/>
    </row>
    <row r="3505" spans="1:1" x14ac:dyDescent="0.25">
      <c r="A3505"/>
    </row>
    <row r="3506" spans="1:1" x14ac:dyDescent="0.25">
      <c r="A3506"/>
    </row>
    <row r="3507" spans="1:1" x14ac:dyDescent="0.25">
      <c r="A3507"/>
    </row>
    <row r="3508" spans="1:1" x14ac:dyDescent="0.25">
      <c r="A3508"/>
    </row>
    <row r="3509" spans="1:1" x14ac:dyDescent="0.25">
      <c r="A3509"/>
    </row>
    <row r="3510" spans="1:1" x14ac:dyDescent="0.25">
      <c r="A3510"/>
    </row>
    <row r="3511" spans="1:1" x14ac:dyDescent="0.25">
      <c r="A3511"/>
    </row>
    <row r="3512" spans="1:1" x14ac:dyDescent="0.25">
      <c r="A3512"/>
    </row>
    <row r="3513" spans="1:1" x14ac:dyDescent="0.25">
      <c r="A3513"/>
    </row>
    <row r="3514" spans="1:1" x14ac:dyDescent="0.25">
      <c r="A3514"/>
    </row>
    <row r="3515" spans="1:1" x14ac:dyDescent="0.25">
      <c r="A3515"/>
    </row>
    <row r="3516" spans="1:1" x14ac:dyDescent="0.25">
      <c r="A3516"/>
    </row>
    <row r="3517" spans="1:1" x14ac:dyDescent="0.25">
      <c r="A3517"/>
    </row>
    <row r="3518" spans="1:1" x14ac:dyDescent="0.25">
      <c r="A3518"/>
    </row>
    <row r="3519" spans="1:1" x14ac:dyDescent="0.25">
      <c r="A3519"/>
    </row>
    <row r="3520" spans="1:1" x14ac:dyDescent="0.25">
      <c r="A3520"/>
    </row>
    <row r="3521" spans="1:1" x14ac:dyDescent="0.25">
      <c r="A3521"/>
    </row>
    <row r="3522" spans="1:1" x14ac:dyDescent="0.25">
      <c r="A3522"/>
    </row>
    <row r="3523" spans="1:1" x14ac:dyDescent="0.25">
      <c r="A3523"/>
    </row>
    <row r="3524" spans="1:1" x14ac:dyDescent="0.25">
      <c r="A3524"/>
    </row>
    <row r="3525" spans="1:1" x14ac:dyDescent="0.25">
      <c r="A3525"/>
    </row>
    <row r="3526" spans="1:1" x14ac:dyDescent="0.25">
      <c r="A3526"/>
    </row>
    <row r="3527" spans="1:1" x14ac:dyDescent="0.25">
      <c r="A3527"/>
    </row>
    <row r="3528" spans="1:1" x14ac:dyDescent="0.25">
      <c r="A3528"/>
    </row>
    <row r="3529" spans="1:1" x14ac:dyDescent="0.25">
      <c r="A3529"/>
    </row>
    <row r="3530" spans="1:1" x14ac:dyDescent="0.25">
      <c r="A3530"/>
    </row>
    <row r="3531" spans="1:1" x14ac:dyDescent="0.25">
      <c r="A3531"/>
    </row>
    <row r="3532" spans="1:1" x14ac:dyDescent="0.25">
      <c r="A3532"/>
    </row>
    <row r="3533" spans="1:1" x14ac:dyDescent="0.25">
      <c r="A3533"/>
    </row>
    <row r="3534" spans="1:1" x14ac:dyDescent="0.25">
      <c r="A3534"/>
    </row>
    <row r="3535" spans="1:1" x14ac:dyDescent="0.25">
      <c r="A3535"/>
    </row>
    <row r="3536" spans="1:1" x14ac:dyDescent="0.25">
      <c r="A3536"/>
    </row>
    <row r="3537" spans="1:1" x14ac:dyDescent="0.25">
      <c r="A3537"/>
    </row>
    <row r="3538" spans="1:1" x14ac:dyDescent="0.25">
      <c r="A3538"/>
    </row>
    <row r="3539" spans="1:1" x14ac:dyDescent="0.25">
      <c r="A3539"/>
    </row>
    <row r="3540" spans="1:1" x14ac:dyDescent="0.25">
      <c r="A3540"/>
    </row>
    <row r="3541" spans="1:1" x14ac:dyDescent="0.25">
      <c r="A3541"/>
    </row>
    <row r="3542" spans="1:1" x14ac:dyDescent="0.25">
      <c r="A3542"/>
    </row>
    <row r="3543" spans="1:1" x14ac:dyDescent="0.25">
      <c r="A3543"/>
    </row>
    <row r="3544" spans="1:1" x14ac:dyDescent="0.25">
      <c r="A3544"/>
    </row>
    <row r="3545" spans="1:1" x14ac:dyDescent="0.25">
      <c r="A3545"/>
    </row>
    <row r="3546" spans="1:1" x14ac:dyDescent="0.25">
      <c r="A3546"/>
    </row>
    <row r="3547" spans="1:1" x14ac:dyDescent="0.25">
      <c r="A3547"/>
    </row>
    <row r="3548" spans="1:1" x14ac:dyDescent="0.25">
      <c r="A3548"/>
    </row>
    <row r="3549" spans="1:1" x14ac:dyDescent="0.25">
      <c r="A3549"/>
    </row>
    <row r="3550" spans="1:1" x14ac:dyDescent="0.25">
      <c r="A3550"/>
    </row>
    <row r="3551" spans="1:1" x14ac:dyDescent="0.25">
      <c r="A3551"/>
    </row>
    <row r="3552" spans="1:1" x14ac:dyDescent="0.25">
      <c r="A3552"/>
    </row>
    <row r="3553" spans="1:1" x14ac:dyDescent="0.25">
      <c r="A3553"/>
    </row>
    <row r="3554" spans="1:1" x14ac:dyDescent="0.25">
      <c r="A3554"/>
    </row>
    <row r="3555" spans="1:1" x14ac:dyDescent="0.25">
      <c r="A3555"/>
    </row>
    <row r="3556" spans="1:1" x14ac:dyDescent="0.25">
      <c r="A3556"/>
    </row>
    <row r="3557" spans="1:1" x14ac:dyDescent="0.25">
      <c r="A3557"/>
    </row>
    <row r="3558" spans="1:1" x14ac:dyDescent="0.25">
      <c r="A3558"/>
    </row>
    <row r="3559" spans="1:1" x14ac:dyDescent="0.25">
      <c r="A3559"/>
    </row>
    <row r="3560" spans="1:1" x14ac:dyDescent="0.25">
      <c r="A3560"/>
    </row>
    <row r="3561" spans="1:1" x14ac:dyDescent="0.25">
      <c r="A3561"/>
    </row>
    <row r="3562" spans="1:1" x14ac:dyDescent="0.25">
      <c r="A3562"/>
    </row>
    <row r="3563" spans="1:1" x14ac:dyDescent="0.25">
      <c r="A3563"/>
    </row>
    <row r="3564" spans="1:1" x14ac:dyDescent="0.25">
      <c r="A3564"/>
    </row>
    <row r="3565" spans="1:1" x14ac:dyDescent="0.25">
      <c r="A3565"/>
    </row>
    <row r="3566" spans="1:1" x14ac:dyDescent="0.25">
      <c r="A3566"/>
    </row>
    <row r="3567" spans="1:1" x14ac:dyDescent="0.25">
      <c r="A3567"/>
    </row>
    <row r="3568" spans="1:1" x14ac:dyDescent="0.25">
      <c r="A3568"/>
    </row>
    <row r="3569" spans="1:1" x14ac:dyDescent="0.25">
      <c r="A3569"/>
    </row>
    <row r="3570" spans="1:1" x14ac:dyDescent="0.25">
      <c r="A3570"/>
    </row>
    <row r="3571" spans="1:1" x14ac:dyDescent="0.25">
      <c r="A3571"/>
    </row>
    <row r="3572" spans="1:1" x14ac:dyDescent="0.25">
      <c r="A3572"/>
    </row>
    <row r="3573" spans="1:1" x14ac:dyDescent="0.25">
      <c r="A3573"/>
    </row>
    <row r="3574" spans="1:1" x14ac:dyDescent="0.25">
      <c r="A3574"/>
    </row>
    <row r="3575" spans="1:1" x14ac:dyDescent="0.25">
      <c r="A3575"/>
    </row>
    <row r="3576" spans="1:1" x14ac:dyDescent="0.25">
      <c r="A3576"/>
    </row>
    <row r="3577" spans="1:1" x14ac:dyDescent="0.25">
      <c r="A3577"/>
    </row>
    <row r="3578" spans="1:1" x14ac:dyDescent="0.25">
      <c r="A3578"/>
    </row>
    <row r="3579" spans="1:1" x14ac:dyDescent="0.25">
      <c r="A3579"/>
    </row>
    <row r="3580" spans="1:1" x14ac:dyDescent="0.25">
      <c r="A3580"/>
    </row>
    <row r="3581" spans="1:1" x14ac:dyDescent="0.25">
      <c r="A3581"/>
    </row>
    <row r="3582" spans="1:1" x14ac:dyDescent="0.25">
      <c r="A3582"/>
    </row>
    <row r="3583" spans="1:1" x14ac:dyDescent="0.25">
      <c r="A3583"/>
    </row>
    <row r="3584" spans="1:1" x14ac:dyDescent="0.25">
      <c r="A3584"/>
    </row>
    <row r="3585" spans="1:1" x14ac:dyDescent="0.25">
      <c r="A3585"/>
    </row>
    <row r="3586" spans="1:1" x14ac:dyDescent="0.25">
      <c r="A3586"/>
    </row>
    <row r="3587" spans="1:1" x14ac:dyDescent="0.25">
      <c r="A3587"/>
    </row>
    <row r="3588" spans="1:1" x14ac:dyDescent="0.25">
      <c r="A3588"/>
    </row>
    <row r="3589" spans="1:1" x14ac:dyDescent="0.25">
      <c r="A3589"/>
    </row>
    <row r="3590" spans="1:1" x14ac:dyDescent="0.25">
      <c r="A3590"/>
    </row>
    <row r="3591" spans="1:1" x14ac:dyDescent="0.25">
      <c r="A3591"/>
    </row>
    <row r="3592" spans="1:1" x14ac:dyDescent="0.25">
      <c r="A3592"/>
    </row>
    <row r="3593" spans="1:1" x14ac:dyDescent="0.25">
      <c r="A3593"/>
    </row>
    <row r="3594" spans="1:1" x14ac:dyDescent="0.25">
      <c r="A3594"/>
    </row>
    <row r="3595" spans="1:1" x14ac:dyDescent="0.25">
      <c r="A3595"/>
    </row>
    <row r="3596" spans="1:1" x14ac:dyDescent="0.25">
      <c r="A3596"/>
    </row>
    <row r="3597" spans="1:1" x14ac:dyDescent="0.25">
      <c r="A3597"/>
    </row>
    <row r="3598" spans="1:1" x14ac:dyDescent="0.25">
      <c r="A3598"/>
    </row>
    <row r="3599" spans="1:1" x14ac:dyDescent="0.25">
      <c r="A3599"/>
    </row>
    <row r="3600" spans="1:1" x14ac:dyDescent="0.25">
      <c r="A3600"/>
    </row>
    <row r="3601" spans="1:1" x14ac:dyDescent="0.25">
      <c r="A3601"/>
    </row>
    <row r="3602" spans="1:1" x14ac:dyDescent="0.25">
      <c r="A3602"/>
    </row>
    <row r="3603" spans="1:1" x14ac:dyDescent="0.25">
      <c r="A3603"/>
    </row>
    <row r="3604" spans="1:1" x14ac:dyDescent="0.25">
      <c r="A3604"/>
    </row>
    <row r="3605" spans="1:1" x14ac:dyDescent="0.25">
      <c r="A3605"/>
    </row>
    <row r="3606" spans="1:1" x14ac:dyDescent="0.25">
      <c r="A3606"/>
    </row>
    <row r="3607" spans="1:1" x14ac:dyDescent="0.25">
      <c r="A3607"/>
    </row>
    <row r="3608" spans="1:1" x14ac:dyDescent="0.25">
      <c r="A3608"/>
    </row>
    <row r="3609" spans="1:1" x14ac:dyDescent="0.25">
      <c r="A3609"/>
    </row>
    <row r="3610" spans="1:1" x14ac:dyDescent="0.25">
      <c r="A3610"/>
    </row>
    <row r="3611" spans="1:1" x14ac:dyDescent="0.25">
      <c r="A3611"/>
    </row>
    <row r="3612" spans="1:1" x14ac:dyDescent="0.25">
      <c r="A3612"/>
    </row>
    <row r="3613" spans="1:1" x14ac:dyDescent="0.25">
      <c r="A3613"/>
    </row>
    <row r="3614" spans="1:1" x14ac:dyDescent="0.25">
      <c r="A3614"/>
    </row>
    <row r="3615" spans="1:1" x14ac:dyDescent="0.25">
      <c r="A3615"/>
    </row>
    <row r="3616" spans="1:1" x14ac:dyDescent="0.25">
      <c r="A3616"/>
    </row>
    <row r="3617" spans="1:1" x14ac:dyDescent="0.25">
      <c r="A3617"/>
    </row>
    <row r="3618" spans="1:1" x14ac:dyDescent="0.25">
      <c r="A3618"/>
    </row>
    <row r="3619" spans="1:1" x14ac:dyDescent="0.25">
      <c r="A3619"/>
    </row>
    <row r="3620" spans="1:1" x14ac:dyDescent="0.25">
      <c r="A3620"/>
    </row>
    <row r="3621" spans="1:1" x14ac:dyDescent="0.25">
      <c r="A3621"/>
    </row>
    <row r="3622" spans="1:1" x14ac:dyDescent="0.25">
      <c r="A3622"/>
    </row>
    <row r="3623" spans="1:1" x14ac:dyDescent="0.25">
      <c r="A3623"/>
    </row>
    <row r="3624" spans="1:1" x14ac:dyDescent="0.25">
      <c r="A3624"/>
    </row>
    <row r="3625" spans="1:1" x14ac:dyDescent="0.25">
      <c r="A3625"/>
    </row>
    <row r="3626" spans="1:1" x14ac:dyDescent="0.25">
      <c r="A3626"/>
    </row>
    <row r="3627" spans="1:1" x14ac:dyDescent="0.25">
      <c r="A3627"/>
    </row>
    <row r="3628" spans="1:1" x14ac:dyDescent="0.25">
      <c r="A3628"/>
    </row>
    <row r="3629" spans="1:1" x14ac:dyDescent="0.25">
      <c r="A3629"/>
    </row>
    <row r="3630" spans="1:1" x14ac:dyDescent="0.25">
      <c r="A3630"/>
    </row>
    <row r="3631" spans="1:1" x14ac:dyDescent="0.25">
      <c r="A3631"/>
    </row>
    <row r="3632" spans="1:1" x14ac:dyDescent="0.25">
      <c r="A3632"/>
    </row>
    <row r="3633" spans="1:1" x14ac:dyDescent="0.25">
      <c r="A3633"/>
    </row>
    <row r="3634" spans="1:1" x14ac:dyDescent="0.25">
      <c r="A3634"/>
    </row>
    <row r="3635" spans="1:1" x14ac:dyDescent="0.25">
      <c r="A3635"/>
    </row>
    <row r="3636" spans="1:1" x14ac:dyDescent="0.25">
      <c r="A3636"/>
    </row>
    <row r="3637" spans="1:1" x14ac:dyDescent="0.25">
      <c r="A3637"/>
    </row>
    <row r="3638" spans="1:1" x14ac:dyDescent="0.25">
      <c r="A3638"/>
    </row>
    <row r="3639" spans="1:1" x14ac:dyDescent="0.25">
      <c r="A3639"/>
    </row>
    <row r="3640" spans="1:1" x14ac:dyDescent="0.25">
      <c r="A3640"/>
    </row>
    <row r="3641" spans="1:1" x14ac:dyDescent="0.25">
      <c r="A3641"/>
    </row>
    <row r="3642" spans="1:1" x14ac:dyDescent="0.25">
      <c r="A3642"/>
    </row>
    <row r="3643" spans="1:1" x14ac:dyDescent="0.25">
      <c r="A3643"/>
    </row>
    <row r="3644" spans="1:1" x14ac:dyDescent="0.25">
      <c r="A3644"/>
    </row>
    <row r="3645" spans="1:1" x14ac:dyDescent="0.25">
      <c r="A3645"/>
    </row>
    <row r="3646" spans="1:1" x14ac:dyDescent="0.25">
      <c r="A3646"/>
    </row>
    <row r="3647" spans="1:1" x14ac:dyDescent="0.25">
      <c r="A3647"/>
    </row>
    <row r="3648" spans="1:1" x14ac:dyDescent="0.25">
      <c r="A3648"/>
    </row>
    <row r="3649" spans="1:1" x14ac:dyDescent="0.25">
      <c r="A3649"/>
    </row>
    <row r="3650" spans="1:1" x14ac:dyDescent="0.25">
      <c r="A3650"/>
    </row>
    <row r="3651" spans="1:1" x14ac:dyDescent="0.25">
      <c r="A3651"/>
    </row>
    <row r="3652" spans="1:1" x14ac:dyDescent="0.25">
      <c r="A3652"/>
    </row>
    <row r="3653" spans="1:1" x14ac:dyDescent="0.25">
      <c r="A3653"/>
    </row>
    <row r="3654" spans="1:1" x14ac:dyDescent="0.25">
      <c r="A3654"/>
    </row>
    <row r="3655" spans="1:1" x14ac:dyDescent="0.25">
      <c r="A3655"/>
    </row>
    <row r="3656" spans="1:1" x14ac:dyDescent="0.25">
      <c r="A3656"/>
    </row>
    <row r="3657" spans="1:1" x14ac:dyDescent="0.25">
      <c r="A3657"/>
    </row>
    <row r="3658" spans="1:1" x14ac:dyDescent="0.25">
      <c r="A3658"/>
    </row>
    <row r="3659" spans="1:1" x14ac:dyDescent="0.25">
      <c r="A3659"/>
    </row>
    <row r="3660" spans="1:1" x14ac:dyDescent="0.25">
      <c r="A3660"/>
    </row>
    <row r="3661" spans="1:1" x14ac:dyDescent="0.25">
      <c r="A3661"/>
    </row>
    <row r="3662" spans="1:1" x14ac:dyDescent="0.25">
      <c r="A3662"/>
    </row>
    <row r="3663" spans="1:1" x14ac:dyDescent="0.25">
      <c r="A3663"/>
    </row>
    <row r="3664" spans="1:1" x14ac:dyDescent="0.25">
      <c r="A3664"/>
    </row>
    <row r="3665" spans="1:1" x14ac:dyDescent="0.25">
      <c r="A3665"/>
    </row>
    <row r="3666" spans="1:1" x14ac:dyDescent="0.25">
      <c r="A3666"/>
    </row>
    <row r="3667" spans="1:1" x14ac:dyDescent="0.25">
      <c r="A3667"/>
    </row>
    <row r="3668" spans="1:1" x14ac:dyDescent="0.25">
      <c r="A3668"/>
    </row>
    <row r="3669" spans="1:1" x14ac:dyDescent="0.25">
      <c r="A3669"/>
    </row>
    <row r="3670" spans="1:1" x14ac:dyDescent="0.25">
      <c r="A3670"/>
    </row>
    <row r="3671" spans="1:1" x14ac:dyDescent="0.25">
      <c r="A3671"/>
    </row>
    <row r="3672" spans="1:1" x14ac:dyDescent="0.25">
      <c r="A3672"/>
    </row>
    <row r="3673" spans="1:1" x14ac:dyDescent="0.25">
      <c r="A3673"/>
    </row>
    <row r="3674" spans="1:1" x14ac:dyDescent="0.25">
      <c r="A3674"/>
    </row>
    <row r="3675" spans="1:1" x14ac:dyDescent="0.25">
      <c r="A3675"/>
    </row>
    <row r="3676" spans="1:1" x14ac:dyDescent="0.25">
      <c r="A3676"/>
    </row>
    <row r="3677" spans="1:1" x14ac:dyDescent="0.25">
      <c r="A3677"/>
    </row>
    <row r="3678" spans="1:1" x14ac:dyDescent="0.25">
      <c r="A3678"/>
    </row>
    <row r="3679" spans="1:1" x14ac:dyDescent="0.25">
      <c r="A3679"/>
    </row>
    <row r="3680" spans="1:1" x14ac:dyDescent="0.25">
      <c r="A3680"/>
    </row>
    <row r="3681" spans="1:1" x14ac:dyDescent="0.25">
      <c r="A3681"/>
    </row>
    <row r="3682" spans="1:1" x14ac:dyDescent="0.25">
      <c r="A3682"/>
    </row>
    <row r="3683" spans="1:1" x14ac:dyDescent="0.25">
      <c r="A3683"/>
    </row>
    <row r="3684" spans="1:1" x14ac:dyDescent="0.25">
      <c r="A3684"/>
    </row>
    <row r="3685" spans="1:1" x14ac:dyDescent="0.25">
      <c r="A3685"/>
    </row>
    <row r="3686" spans="1:1" x14ac:dyDescent="0.25">
      <c r="A3686"/>
    </row>
    <row r="3687" spans="1:1" x14ac:dyDescent="0.25">
      <c r="A3687"/>
    </row>
    <row r="3688" spans="1:1" x14ac:dyDescent="0.25">
      <c r="A3688"/>
    </row>
    <row r="3689" spans="1:1" x14ac:dyDescent="0.25">
      <c r="A3689"/>
    </row>
    <row r="3690" spans="1:1" x14ac:dyDescent="0.25">
      <c r="A3690"/>
    </row>
    <row r="3691" spans="1:1" x14ac:dyDescent="0.25">
      <c r="A3691"/>
    </row>
    <row r="3692" spans="1:1" x14ac:dyDescent="0.25">
      <c r="A3692"/>
    </row>
    <row r="3693" spans="1:1" x14ac:dyDescent="0.25">
      <c r="A3693"/>
    </row>
    <row r="3694" spans="1:1" x14ac:dyDescent="0.25">
      <c r="A3694"/>
    </row>
    <row r="3695" spans="1:1" x14ac:dyDescent="0.25">
      <c r="A3695"/>
    </row>
    <row r="3696" spans="1:1" x14ac:dyDescent="0.25">
      <c r="A3696"/>
    </row>
    <row r="3697" spans="1:1" x14ac:dyDescent="0.25">
      <c r="A3697"/>
    </row>
    <row r="3698" spans="1:1" x14ac:dyDescent="0.25">
      <c r="A3698"/>
    </row>
    <row r="3699" spans="1:1" x14ac:dyDescent="0.25">
      <c r="A3699"/>
    </row>
    <row r="3700" spans="1:1" x14ac:dyDescent="0.25">
      <c r="A3700"/>
    </row>
    <row r="3701" spans="1:1" x14ac:dyDescent="0.25">
      <c r="A3701"/>
    </row>
    <row r="3702" spans="1:1" x14ac:dyDescent="0.25">
      <c r="A3702"/>
    </row>
    <row r="3703" spans="1:1" x14ac:dyDescent="0.25">
      <c r="A3703"/>
    </row>
    <row r="3704" spans="1:1" x14ac:dyDescent="0.25">
      <c r="A3704"/>
    </row>
    <row r="3705" spans="1:1" x14ac:dyDescent="0.25">
      <c r="A3705"/>
    </row>
    <row r="3706" spans="1:1" x14ac:dyDescent="0.25">
      <c r="A3706"/>
    </row>
    <row r="3707" spans="1:1" x14ac:dyDescent="0.25">
      <c r="A3707"/>
    </row>
    <row r="3708" spans="1:1" x14ac:dyDescent="0.25">
      <c r="A3708"/>
    </row>
    <row r="3709" spans="1:1" x14ac:dyDescent="0.25">
      <c r="A3709"/>
    </row>
    <row r="3710" spans="1:1" x14ac:dyDescent="0.25">
      <c r="A3710"/>
    </row>
    <row r="3711" spans="1:1" x14ac:dyDescent="0.25">
      <c r="A3711"/>
    </row>
    <row r="3712" spans="1:1" x14ac:dyDescent="0.25">
      <c r="A3712"/>
    </row>
    <row r="3713" spans="1:1" x14ac:dyDescent="0.25">
      <c r="A3713"/>
    </row>
    <row r="3714" spans="1:1" x14ac:dyDescent="0.25">
      <c r="A3714"/>
    </row>
    <row r="3715" spans="1:1" x14ac:dyDescent="0.25">
      <c r="A3715"/>
    </row>
    <row r="3716" spans="1:1" x14ac:dyDescent="0.25">
      <c r="A3716"/>
    </row>
    <row r="3717" spans="1:1" x14ac:dyDescent="0.25">
      <c r="A3717"/>
    </row>
    <row r="3718" spans="1:1" x14ac:dyDescent="0.25">
      <c r="A3718"/>
    </row>
    <row r="3719" spans="1:1" x14ac:dyDescent="0.25">
      <c r="A3719"/>
    </row>
    <row r="3720" spans="1:1" x14ac:dyDescent="0.25">
      <c r="A3720"/>
    </row>
    <row r="3721" spans="1:1" x14ac:dyDescent="0.25">
      <c r="A3721"/>
    </row>
    <row r="3722" spans="1:1" x14ac:dyDescent="0.25">
      <c r="A3722"/>
    </row>
    <row r="3723" spans="1:1" x14ac:dyDescent="0.25">
      <c r="A3723"/>
    </row>
    <row r="3724" spans="1:1" x14ac:dyDescent="0.25">
      <c r="A3724"/>
    </row>
    <row r="3725" spans="1:1" x14ac:dyDescent="0.25">
      <c r="A3725"/>
    </row>
    <row r="3726" spans="1:1" x14ac:dyDescent="0.25">
      <c r="A3726"/>
    </row>
    <row r="3727" spans="1:1" x14ac:dyDescent="0.25">
      <c r="A3727"/>
    </row>
    <row r="3728" spans="1:1" x14ac:dyDescent="0.25">
      <c r="A3728"/>
    </row>
    <row r="3729" spans="1:1" x14ac:dyDescent="0.25">
      <c r="A3729"/>
    </row>
    <row r="3730" spans="1:1" x14ac:dyDescent="0.25">
      <c r="A3730"/>
    </row>
    <row r="3731" spans="1:1" x14ac:dyDescent="0.25">
      <c r="A3731"/>
    </row>
    <row r="3732" spans="1:1" x14ac:dyDescent="0.25">
      <c r="A3732"/>
    </row>
    <row r="3733" spans="1:1" x14ac:dyDescent="0.25">
      <c r="A3733"/>
    </row>
    <row r="3734" spans="1:1" x14ac:dyDescent="0.25">
      <c r="A3734"/>
    </row>
    <row r="3735" spans="1:1" x14ac:dyDescent="0.25">
      <c r="A3735"/>
    </row>
    <row r="3736" spans="1:1" x14ac:dyDescent="0.25">
      <c r="A3736"/>
    </row>
    <row r="3737" spans="1:1" x14ac:dyDescent="0.25">
      <c r="A3737"/>
    </row>
    <row r="3738" spans="1:1" x14ac:dyDescent="0.25">
      <c r="A3738"/>
    </row>
    <row r="3739" spans="1:1" x14ac:dyDescent="0.25">
      <c r="A3739"/>
    </row>
    <row r="3740" spans="1:1" x14ac:dyDescent="0.25">
      <c r="A3740"/>
    </row>
    <row r="3741" spans="1:1" x14ac:dyDescent="0.25">
      <c r="A3741"/>
    </row>
    <row r="3742" spans="1:1" x14ac:dyDescent="0.25">
      <c r="A3742"/>
    </row>
    <row r="3743" spans="1:1" x14ac:dyDescent="0.25">
      <c r="A3743"/>
    </row>
    <row r="3744" spans="1:1" x14ac:dyDescent="0.25">
      <c r="A3744"/>
    </row>
    <row r="3745" spans="1:1" x14ac:dyDescent="0.25">
      <c r="A3745"/>
    </row>
    <row r="3746" spans="1:1" x14ac:dyDescent="0.25">
      <c r="A3746"/>
    </row>
    <row r="3747" spans="1:1" x14ac:dyDescent="0.25">
      <c r="A3747"/>
    </row>
    <row r="3748" spans="1:1" x14ac:dyDescent="0.25">
      <c r="A3748"/>
    </row>
    <row r="3749" spans="1:1" x14ac:dyDescent="0.25">
      <c r="A3749"/>
    </row>
    <row r="3750" spans="1:1" x14ac:dyDescent="0.25">
      <c r="A3750"/>
    </row>
    <row r="3751" spans="1:1" x14ac:dyDescent="0.25">
      <c r="A3751"/>
    </row>
    <row r="3752" spans="1:1" x14ac:dyDescent="0.25">
      <c r="A3752"/>
    </row>
    <row r="3753" spans="1:1" x14ac:dyDescent="0.25">
      <c r="A3753"/>
    </row>
    <row r="3754" spans="1:1" x14ac:dyDescent="0.25">
      <c r="A3754"/>
    </row>
    <row r="3755" spans="1:1" x14ac:dyDescent="0.25">
      <c r="A3755"/>
    </row>
    <row r="3756" spans="1:1" x14ac:dyDescent="0.25">
      <c r="A3756"/>
    </row>
    <row r="3757" spans="1:1" x14ac:dyDescent="0.25">
      <c r="A3757"/>
    </row>
    <row r="3758" spans="1:1" x14ac:dyDescent="0.25">
      <c r="A3758"/>
    </row>
    <row r="3759" spans="1:1" x14ac:dyDescent="0.25">
      <c r="A3759"/>
    </row>
    <row r="3760" spans="1:1" x14ac:dyDescent="0.25">
      <c r="A3760"/>
    </row>
    <row r="3761" spans="1:1" x14ac:dyDescent="0.25">
      <c r="A3761"/>
    </row>
    <row r="3762" spans="1:1" x14ac:dyDescent="0.25">
      <c r="A3762"/>
    </row>
    <row r="3763" spans="1:1" x14ac:dyDescent="0.25">
      <c r="A3763"/>
    </row>
    <row r="3764" spans="1:1" x14ac:dyDescent="0.25">
      <c r="A3764"/>
    </row>
    <row r="3765" spans="1:1" x14ac:dyDescent="0.25">
      <c r="A3765"/>
    </row>
    <row r="3766" spans="1:1" x14ac:dyDescent="0.25">
      <c r="A3766"/>
    </row>
    <row r="3767" spans="1:1" x14ac:dyDescent="0.25">
      <c r="A3767"/>
    </row>
    <row r="3768" spans="1:1" x14ac:dyDescent="0.25">
      <c r="A3768"/>
    </row>
    <row r="3769" spans="1:1" x14ac:dyDescent="0.25">
      <c r="A3769"/>
    </row>
    <row r="3770" spans="1:1" x14ac:dyDescent="0.25">
      <c r="A3770"/>
    </row>
    <row r="3771" spans="1:1" x14ac:dyDescent="0.25">
      <c r="A3771"/>
    </row>
    <row r="3772" spans="1:1" x14ac:dyDescent="0.25">
      <c r="A3772"/>
    </row>
    <row r="3773" spans="1:1" x14ac:dyDescent="0.25">
      <c r="A3773"/>
    </row>
    <row r="3774" spans="1:1" x14ac:dyDescent="0.25">
      <c r="A3774"/>
    </row>
    <row r="3775" spans="1:1" x14ac:dyDescent="0.25">
      <c r="A3775"/>
    </row>
    <row r="3776" spans="1:1" x14ac:dyDescent="0.25">
      <c r="A3776"/>
    </row>
    <row r="3777" spans="1:1" x14ac:dyDescent="0.25">
      <c r="A3777"/>
    </row>
    <row r="3778" spans="1:1" x14ac:dyDescent="0.25">
      <c r="A3778"/>
    </row>
    <row r="3779" spans="1:1" x14ac:dyDescent="0.25">
      <c r="A3779"/>
    </row>
    <row r="3780" spans="1:1" x14ac:dyDescent="0.25">
      <c r="A3780"/>
    </row>
    <row r="3781" spans="1:1" x14ac:dyDescent="0.25">
      <c r="A3781"/>
    </row>
    <row r="3782" spans="1:1" x14ac:dyDescent="0.25">
      <c r="A3782"/>
    </row>
    <row r="3783" spans="1:1" x14ac:dyDescent="0.25">
      <c r="A3783"/>
    </row>
    <row r="3784" spans="1:1" x14ac:dyDescent="0.25">
      <c r="A3784"/>
    </row>
    <row r="3785" spans="1:1" x14ac:dyDescent="0.25">
      <c r="A3785"/>
    </row>
    <row r="3786" spans="1:1" x14ac:dyDescent="0.25">
      <c r="A3786"/>
    </row>
    <row r="3787" spans="1:1" x14ac:dyDescent="0.25">
      <c r="A3787"/>
    </row>
    <row r="3788" spans="1:1" x14ac:dyDescent="0.25">
      <c r="A3788"/>
    </row>
    <row r="3789" spans="1:1" x14ac:dyDescent="0.25">
      <c r="A3789"/>
    </row>
    <row r="3790" spans="1:1" x14ac:dyDescent="0.25">
      <c r="A3790"/>
    </row>
    <row r="3791" spans="1:1" x14ac:dyDescent="0.25">
      <c r="A3791"/>
    </row>
    <row r="3792" spans="1:1" x14ac:dyDescent="0.25">
      <c r="A3792"/>
    </row>
    <row r="3793" spans="1:1" x14ac:dyDescent="0.25">
      <c r="A3793"/>
    </row>
    <row r="3794" spans="1:1" x14ac:dyDescent="0.25">
      <c r="A3794"/>
    </row>
    <row r="3795" spans="1:1" x14ac:dyDescent="0.25">
      <c r="A3795"/>
    </row>
    <row r="3796" spans="1:1" x14ac:dyDescent="0.25">
      <c r="A3796"/>
    </row>
    <row r="3797" spans="1:1" x14ac:dyDescent="0.25">
      <c r="A3797"/>
    </row>
    <row r="3798" spans="1:1" x14ac:dyDescent="0.25">
      <c r="A3798"/>
    </row>
    <row r="3799" spans="1:1" x14ac:dyDescent="0.25">
      <c r="A3799"/>
    </row>
    <row r="3800" spans="1:1" x14ac:dyDescent="0.25">
      <c r="A3800"/>
    </row>
    <row r="3801" spans="1:1" x14ac:dyDescent="0.25">
      <c r="A3801"/>
    </row>
    <row r="3802" spans="1:1" x14ac:dyDescent="0.25">
      <c r="A3802"/>
    </row>
    <row r="3803" spans="1:1" x14ac:dyDescent="0.25">
      <c r="A3803"/>
    </row>
    <row r="3804" spans="1:1" x14ac:dyDescent="0.25">
      <c r="A3804"/>
    </row>
    <row r="3805" spans="1:1" x14ac:dyDescent="0.25">
      <c r="A3805"/>
    </row>
    <row r="3806" spans="1:1" x14ac:dyDescent="0.25">
      <c r="A3806"/>
    </row>
    <row r="3807" spans="1:1" x14ac:dyDescent="0.25">
      <c r="A3807"/>
    </row>
    <row r="3808" spans="1:1" x14ac:dyDescent="0.25">
      <c r="A3808"/>
    </row>
    <row r="3809" spans="1:1" x14ac:dyDescent="0.25">
      <c r="A3809"/>
    </row>
    <row r="3810" spans="1:1" x14ac:dyDescent="0.25">
      <c r="A3810"/>
    </row>
    <row r="3811" spans="1:1" x14ac:dyDescent="0.25">
      <c r="A3811"/>
    </row>
    <row r="3812" spans="1:1" x14ac:dyDescent="0.25">
      <c r="A3812"/>
    </row>
    <row r="3813" spans="1:1" x14ac:dyDescent="0.25">
      <c r="A3813"/>
    </row>
    <row r="3814" spans="1:1" x14ac:dyDescent="0.25">
      <c r="A3814"/>
    </row>
    <row r="3815" spans="1:1" x14ac:dyDescent="0.25">
      <c r="A3815"/>
    </row>
    <row r="3816" spans="1:1" x14ac:dyDescent="0.25">
      <c r="A3816"/>
    </row>
    <row r="3817" spans="1:1" x14ac:dyDescent="0.25">
      <c r="A3817"/>
    </row>
    <row r="3818" spans="1:1" x14ac:dyDescent="0.25">
      <c r="A3818"/>
    </row>
    <row r="3819" spans="1:1" x14ac:dyDescent="0.25">
      <c r="A3819"/>
    </row>
    <row r="3820" spans="1:1" x14ac:dyDescent="0.25">
      <c r="A3820"/>
    </row>
    <row r="3821" spans="1:1" x14ac:dyDescent="0.25">
      <c r="A3821"/>
    </row>
    <row r="3822" spans="1:1" x14ac:dyDescent="0.25">
      <c r="A3822"/>
    </row>
    <row r="3823" spans="1:1" x14ac:dyDescent="0.25">
      <c r="A3823"/>
    </row>
    <row r="3824" spans="1:1" x14ac:dyDescent="0.25">
      <c r="A3824"/>
    </row>
    <row r="3825" spans="1:1" x14ac:dyDescent="0.25">
      <c r="A3825"/>
    </row>
    <row r="3826" spans="1:1" x14ac:dyDescent="0.25">
      <c r="A3826"/>
    </row>
    <row r="3827" spans="1:1" x14ac:dyDescent="0.25">
      <c r="A3827"/>
    </row>
    <row r="3828" spans="1:1" x14ac:dyDescent="0.25">
      <c r="A3828"/>
    </row>
    <row r="3829" spans="1:1" x14ac:dyDescent="0.25">
      <c r="A3829"/>
    </row>
    <row r="3830" spans="1:1" x14ac:dyDescent="0.25">
      <c r="A3830"/>
    </row>
    <row r="3831" spans="1:1" x14ac:dyDescent="0.25">
      <c r="A3831"/>
    </row>
    <row r="3832" spans="1:1" x14ac:dyDescent="0.25">
      <c r="A3832"/>
    </row>
    <row r="3833" spans="1:1" x14ac:dyDescent="0.25">
      <c r="A3833"/>
    </row>
    <row r="3834" spans="1:1" x14ac:dyDescent="0.25">
      <c r="A3834"/>
    </row>
    <row r="3835" spans="1:1" x14ac:dyDescent="0.25">
      <c r="A3835"/>
    </row>
    <row r="3836" spans="1:1" x14ac:dyDescent="0.25">
      <c r="A3836"/>
    </row>
    <row r="3837" spans="1:1" x14ac:dyDescent="0.25">
      <c r="A3837"/>
    </row>
    <row r="3838" spans="1:1" x14ac:dyDescent="0.25">
      <c r="A3838"/>
    </row>
    <row r="3839" spans="1:1" x14ac:dyDescent="0.25">
      <c r="A3839"/>
    </row>
    <row r="3840" spans="1:1" x14ac:dyDescent="0.25">
      <c r="A3840"/>
    </row>
    <row r="3841" spans="1:1" x14ac:dyDescent="0.25">
      <c r="A3841"/>
    </row>
    <row r="3842" spans="1:1" x14ac:dyDescent="0.25">
      <c r="A3842"/>
    </row>
    <row r="3843" spans="1:1" x14ac:dyDescent="0.25">
      <c r="A3843"/>
    </row>
    <row r="3844" spans="1:1" x14ac:dyDescent="0.25">
      <c r="A3844"/>
    </row>
    <row r="3845" spans="1:1" x14ac:dyDescent="0.25">
      <c r="A3845"/>
    </row>
    <row r="3846" spans="1:1" x14ac:dyDescent="0.25">
      <c r="A3846"/>
    </row>
    <row r="3847" spans="1:1" x14ac:dyDescent="0.25">
      <c r="A3847"/>
    </row>
    <row r="3848" spans="1:1" x14ac:dyDescent="0.25">
      <c r="A3848"/>
    </row>
    <row r="3849" spans="1:1" x14ac:dyDescent="0.25">
      <c r="A3849"/>
    </row>
    <row r="3850" spans="1:1" x14ac:dyDescent="0.25">
      <c r="A3850"/>
    </row>
    <row r="3851" spans="1:1" x14ac:dyDescent="0.25">
      <c r="A3851"/>
    </row>
    <row r="3852" spans="1:1" x14ac:dyDescent="0.25">
      <c r="A3852"/>
    </row>
    <row r="3853" spans="1:1" x14ac:dyDescent="0.25">
      <c r="A3853"/>
    </row>
    <row r="3854" spans="1:1" x14ac:dyDescent="0.25">
      <c r="A3854"/>
    </row>
    <row r="3855" spans="1:1" x14ac:dyDescent="0.25">
      <c r="A3855"/>
    </row>
    <row r="3856" spans="1:1" x14ac:dyDescent="0.25">
      <c r="A3856"/>
    </row>
    <row r="3857" spans="1:1" x14ac:dyDescent="0.25">
      <c r="A3857"/>
    </row>
    <row r="3858" spans="1:1" x14ac:dyDescent="0.25">
      <c r="A3858"/>
    </row>
    <row r="3859" spans="1:1" x14ac:dyDescent="0.25">
      <c r="A3859"/>
    </row>
    <row r="3860" spans="1:1" x14ac:dyDescent="0.25">
      <c r="A3860"/>
    </row>
    <row r="3861" spans="1:1" x14ac:dyDescent="0.25">
      <c r="A3861"/>
    </row>
    <row r="3862" spans="1:1" x14ac:dyDescent="0.25">
      <c r="A3862"/>
    </row>
    <row r="3863" spans="1:1" x14ac:dyDescent="0.25">
      <c r="A3863"/>
    </row>
    <row r="3864" spans="1:1" x14ac:dyDescent="0.25">
      <c r="A3864"/>
    </row>
    <row r="3865" spans="1:1" x14ac:dyDescent="0.25">
      <c r="A3865"/>
    </row>
    <row r="3866" spans="1:1" x14ac:dyDescent="0.25">
      <c r="A3866"/>
    </row>
    <row r="3867" spans="1:1" x14ac:dyDescent="0.25">
      <c r="A3867"/>
    </row>
    <row r="3868" spans="1:1" x14ac:dyDescent="0.25">
      <c r="A3868"/>
    </row>
    <row r="3869" spans="1:1" x14ac:dyDescent="0.25">
      <c r="A3869"/>
    </row>
    <row r="3870" spans="1:1" x14ac:dyDescent="0.25">
      <c r="A3870"/>
    </row>
    <row r="3871" spans="1:1" x14ac:dyDescent="0.25">
      <c r="A3871"/>
    </row>
    <row r="3872" spans="1:1" x14ac:dyDescent="0.25">
      <c r="A3872"/>
    </row>
    <row r="3873" spans="1:1" x14ac:dyDescent="0.25">
      <c r="A3873"/>
    </row>
    <row r="3874" spans="1:1" x14ac:dyDescent="0.25">
      <c r="A3874"/>
    </row>
    <row r="3875" spans="1:1" x14ac:dyDescent="0.25">
      <c r="A3875"/>
    </row>
    <row r="3876" spans="1:1" x14ac:dyDescent="0.25">
      <c r="A3876"/>
    </row>
    <row r="3877" spans="1:1" x14ac:dyDescent="0.25">
      <c r="A3877"/>
    </row>
    <row r="3878" spans="1:1" x14ac:dyDescent="0.25">
      <c r="A3878"/>
    </row>
    <row r="3879" spans="1:1" x14ac:dyDescent="0.25">
      <c r="A3879"/>
    </row>
    <row r="3880" spans="1:1" x14ac:dyDescent="0.25">
      <c r="A3880"/>
    </row>
    <row r="3881" spans="1:1" x14ac:dyDescent="0.25">
      <c r="A3881"/>
    </row>
    <row r="3882" spans="1:1" x14ac:dyDescent="0.25">
      <c r="A3882"/>
    </row>
    <row r="3883" spans="1:1" x14ac:dyDescent="0.25">
      <c r="A3883"/>
    </row>
    <row r="3884" spans="1:1" x14ac:dyDescent="0.25">
      <c r="A3884"/>
    </row>
    <row r="3885" spans="1:1" x14ac:dyDescent="0.25">
      <c r="A3885"/>
    </row>
    <row r="3886" spans="1:1" x14ac:dyDescent="0.25">
      <c r="A3886"/>
    </row>
    <row r="3887" spans="1:1" x14ac:dyDescent="0.25">
      <c r="A3887"/>
    </row>
    <row r="3888" spans="1:1" x14ac:dyDescent="0.25">
      <c r="A3888"/>
    </row>
    <row r="3889" spans="1:1" x14ac:dyDescent="0.25">
      <c r="A3889"/>
    </row>
    <row r="3890" spans="1:1" x14ac:dyDescent="0.25">
      <c r="A3890"/>
    </row>
    <row r="3891" spans="1:1" x14ac:dyDescent="0.25">
      <c r="A3891"/>
    </row>
    <row r="3892" spans="1:1" x14ac:dyDescent="0.25">
      <c r="A3892"/>
    </row>
    <row r="3893" spans="1:1" x14ac:dyDescent="0.25">
      <c r="A3893"/>
    </row>
    <row r="3894" spans="1:1" x14ac:dyDescent="0.25">
      <c r="A3894"/>
    </row>
    <row r="3895" spans="1:1" x14ac:dyDescent="0.25">
      <c r="A3895"/>
    </row>
    <row r="3896" spans="1:1" x14ac:dyDescent="0.25">
      <c r="A3896"/>
    </row>
    <row r="3897" spans="1:1" x14ac:dyDescent="0.25">
      <c r="A3897"/>
    </row>
    <row r="3898" spans="1:1" x14ac:dyDescent="0.25">
      <c r="A3898"/>
    </row>
    <row r="3899" spans="1:1" x14ac:dyDescent="0.25">
      <c r="A3899"/>
    </row>
    <row r="3900" spans="1:1" x14ac:dyDescent="0.25">
      <c r="A3900"/>
    </row>
    <row r="3901" spans="1:1" x14ac:dyDescent="0.25">
      <c r="A3901"/>
    </row>
    <row r="3902" spans="1:1" x14ac:dyDescent="0.25">
      <c r="A3902"/>
    </row>
    <row r="3903" spans="1:1" x14ac:dyDescent="0.25">
      <c r="A3903"/>
    </row>
    <row r="3904" spans="1:1" x14ac:dyDescent="0.25">
      <c r="A3904"/>
    </row>
    <row r="3905" spans="1:1" x14ac:dyDescent="0.25">
      <c r="A3905"/>
    </row>
    <row r="3906" spans="1:1" x14ac:dyDescent="0.25">
      <c r="A3906"/>
    </row>
    <row r="3907" spans="1:1" x14ac:dyDescent="0.25">
      <c r="A3907"/>
    </row>
    <row r="3908" spans="1:1" x14ac:dyDescent="0.25">
      <c r="A3908"/>
    </row>
    <row r="3909" spans="1:1" x14ac:dyDescent="0.25">
      <c r="A3909"/>
    </row>
    <row r="3910" spans="1:1" x14ac:dyDescent="0.25">
      <c r="A3910"/>
    </row>
    <row r="3911" spans="1:1" x14ac:dyDescent="0.25">
      <c r="A3911"/>
    </row>
    <row r="3912" spans="1:1" x14ac:dyDescent="0.25">
      <c r="A3912"/>
    </row>
    <row r="3913" spans="1:1" x14ac:dyDescent="0.25">
      <c r="A3913"/>
    </row>
    <row r="3914" spans="1:1" x14ac:dyDescent="0.25">
      <c r="A3914"/>
    </row>
    <row r="3915" spans="1:1" x14ac:dyDescent="0.25">
      <c r="A3915"/>
    </row>
    <row r="3916" spans="1:1" x14ac:dyDescent="0.25">
      <c r="A3916"/>
    </row>
    <row r="3917" spans="1:1" x14ac:dyDescent="0.25">
      <c r="A3917"/>
    </row>
    <row r="3918" spans="1:1" x14ac:dyDescent="0.25">
      <c r="A3918"/>
    </row>
    <row r="3919" spans="1:1" x14ac:dyDescent="0.25">
      <c r="A3919"/>
    </row>
    <row r="3920" spans="1:1" x14ac:dyDescent="0.25">
      <c r="A3920"/>
    </row>
    <row r="3921" spans="1:1" x14ac:dyDescent="0.25">
      <c r="A3921"/>
    </row>
    <row r="3922" spans="1:1" x14ac:dyDescent="0.25">
      <c r="A3922"/>
    </row>
    <row r="3923" spans="1:1" x14ac:dyDescent="0.25">
      <c r="A3923"/>
    </row>
    <row r="3924" spans="1:1" x14ac:dyDescent="0.25">
      <c r="A3924"/>
    </row>
    <row r="3925" spans="1:1" x14ac:dyDescent="0.25">
      <c r="A3925"/>
    </row>
    <row r="3926" spans="1:1" x14ac:dyDescent="0.25">
      <c r="A3926"/>
    </row>
    <row r="3927" spans="1:1" x14ac:dyDescent="0.25">
      <c r="A3927"/>
    </row>
    <row r="3928" spans="1:1" x14ac:dyDescent="0.25">
      <c r="A3928"/>
    </row>
    <row r="3929" spans="1:1" x14ac:dyDescent="0.25">
      <c r="A3929"/>
    </row>
    <row r="3930" spans="1:1" x14ac:dyDescent="0.25">
      <c r="A3930"/>
    </row>
    <row r="3931" spans="1:1" x14ac:dyDescent="0.25">
      <c r="A3931"/>
    </row>
    <row r="3932" spans="1:1" x14ac:dyDescent="0.25">
      <c r="A3932"/>
    </row>
    <row r="3933" spans="1:1" x14ac:dyDescent="0.25">
      <c r="A3933"/>
    </row>
    <row r="3934" spans="1:1" x14ac:dyDescent="0.25">
      <c r="A3934"/>
    </row>
    <row r="3935" spans="1:1" x14ac:dyDescent="0.25">
      <c r="A3935"/>
    </row>
    <row r="3936" spans="1:1" x14ac:dyDescent="0.25">
      <c r="A3936"/>
    </row>
    <row r="3937" spans="1:1" x14ac:dyDescent="0.25">
      <c r="A3937"/>
    </row>
    <row r="3938" spans="1:1" x14ac:dyDescent="0.25">
      <c r="A3938"/>
    </row>
    <row r="3939" spans="1:1" x14ac:dyDescent="0.25">
      <c r="A3939"/>
    </row>
    <row r="3940" spans="1:1" x14ac:dyDescent="0.25">
      <c r="A3940"/>
    </row>
    <row r="3941" spans="1:1" x14ac:dyDescent="0.25">
      <c r="A3941"/>
    </row>
    <row r="3942" spans="1:1" x14ac:dyDescent="0.25">
      <c r="A3942"/>
    </row>
    <row r="3943" spans="1:1" x14ac:dyDescent="0.25">
      <c r="A3943"/>
    </row>
    <row r="3944" spans="1:1" x14ac:dyDescent="0.25">
      <c r="A3944"/>
    </row>
    <row r="3945" spans="1:1" x14ac:dyDescent="0.25">
      <c r="A3945"/>
    </row>
    <row r="3946" spans="1:1" x14ac:dyDescent="0.25">
      <c r="A3946"/>
    </row>
    <row r="3947" spans="1:1" x14ac:dyDescent="0.25">
      <c r="A3947"/>
    </row>
    <row r="3948" spans="1:1" x14ac:dyDescent="0.25">
      <c r="A3948"/>
    </row>
    <row r="3949" spans="1:1" x14ac:dyDescent="0.25">
      <c r="A3949"/>
    </row>
    <row r="3950" spans="1:1" x14ac:dyDescent="0.25">
      <c r="A3950"/>
    </row>
    <row r="3951" spans="1:1" x14ac:dyDescent="0.25">
      <c r="A3951"/>
    </row>
    <row r="3952" spans="1:1" x14ac:dyDescent="0.25">
      <c r="A3952"/>
    </row>
    <row r="3953" spans="1:1" x14ac:dyDescent="0.25">
      <c r="A3953"/>
    </row>
    <row r="3954" spans="1:1" x14ac:dyDescent="0.25">
      <c r="A3954"/>
    </row>
    <row r="3955" spans="1:1" x14ac:dyDescent="0.25">
      <c r="A3955"/>
    </row>
    <row r="3956" spans="1:1" x14ac:dyDescent="0.25">
      <c r="A3956"/>
    </row>
    <row r="3957" spans="1:1" x14ac:dyDescent="0.25">
      <c r="A3957"/>
    </row>
    <row r="3958" spans="1:1" x14ac:dyDescent="0.25">
      <c r="A3958"/>
    </row>
    <row r="3959" spans="1:1" x14ac:dyDescent="0.25">
      <c r="A3959"/>
    </row>
    <row r="3960" spans="1:1" x14ac:dyDescent="0.25">
      <c r="A3960"/>
    </row>
    <row r="3961" spans="1:1" x14ac:dyDescent="0.25">
      <c r="A3961"/>
    </row>
    <row r="3962" spans="1:1" x14ac:dyDescent="0.25">
      <c r="A3962"/>
    </row>
    <row r="3963" spans="1:1" x14ac:dyDescent="0.25">
      <c r="A3963"/>
    </row>
    <row r="3964" spans="1:1" x14ac:dyDescent="0.25">
      <c r="A3964"/>
    </row>
    <row r="3965" spans="1:1" x14ac:dyDescent="0.25">
      <c r="A3965"/>
    </row>
    <row r="3966" spans="1:1" x14ac:dyDescent="0.25">
      <c r="A3966"/>
    </row>
    <row r="3967" spans="1:1" x14ac:dyDescent="0.25">
      <c r="A3967"/>
    </row>
    <row r="3968" spans="1:1" x14ac:dyDescent="0.25">
      <c r="A3968"/>
    </row>
    <row r="3969" spans="1:1" x14ac:dyDescent="0.25">
      <c r="A3969"/>
    </row>
    <row r="3970" spans="1:1" x14ac:dyDescent="0.25">
      <c r="A3970"/>
    </row>
    <row r="3971" spans="1:1" x14ac:dyDescent="0.25">
      <c r="A3971"/>
    </row>
    <row r="3972" spans="1:1" x14ac:dyDescent="0.25">
      <c r="A3972"/>
    </row>
    <row r="3973" spans="1:1" x14ac:dyDescent="0.25">
      <c r="A3973"/>
    </row>
    <row r="3974" spans="1:1" x14ac:dyDescent="0.25">
      <c r="A3974"/>
    </row>
    <row r="3975" spans="1:1" x14ac:dyDescent="0.25">
      <c r="A3975"/>
    </row>
    <row r="3976" spans="1:1" x14ac:dyDescent="0.25">
      <c r="A3976"/>
    </row>
    <row r="3977" spans="1:1" x14ac:dyDescent="0.25">
      <c r="A3977"/>
    </row>
    <row r="3978" spans="1:1" x14ac:dyDescent="0.25">
      <c r="A3978"/>
    </row>
    <row r="3979" spans="1:1" x14ac:dyDescent="0.25">
      <c r="A3979"/>
    </row>
    <row r="3980" spans="1:1" x14ac:dyDescent="0.25">
      <c r="A3980"/>
    </row>
    <row r="3981" spans="1:1" x14ac:dyDescent="0.25">
      <c r="A3981"/>
    </row>
    <row r="3982" spans="1:1" x14ac:dyDescent="0.25">
      <c r="A3982"/>
    </row>
    <row r="3983" spans="1:1" x14ac:dyDescent="0.25">
      <c r="A3983"/>
    </row>
    <row r="3984" spans="1:1" x14ac:dyDescent="0.25">
      <c r="A3984"/>
    </row>
    <row r="3985" spans="1:1" x14ac:dyDescent="0.25">
      <c r="A3985"/>
    </row>
    <row r="3986" spans="1:1" x14ac:dyDescent="0.25">
      <c r="A3986"/>
    </row>
    <row r="3987" spans="1:1" x14ac:dyDescent="0.25">
      <c r="A3987"/>
    </row>
    <row r="3988" spans="1:1" x14ac:dyDescent="0.25">
      <c r="A3988"/>
    </row>
    <row r="3989" spans="1:1" x14ac:dyDescent="0.25">
      <c r="A3989"/>
    </row>
    <row r="3990" spans="1:1" x14ac:dyDescent="0.25">
      <c r="A3990"/>
    </row>
    <row r="3991" spans="1:1" x14ac:dyDescent="0.25">
      <c r="A3991"/>
    </row>
    <row r="3992" spans="1:1" x14ac:dyDescent="0.25">
      <c r="A3992"/>
    </row>
    <row r="3993" spans="1:1" x14ac:dyDescent="0.25">
      <c r="A3993"/>
    </row>
    <row r="3994" spans="1:1" x14ac:dyDescent="0.25">
      <c r="A3994"/>
    </row>
    <row r="3995" spans="1:1" x14ac:dyDescent="0.25">
      <c r="A3995"/>
    </row>
    <row r="3996" spans="1:1" x14ac:dyDescent="0.25">
      <c r="A3996"/>
    </row>
    <row r="3997" spans="1:1" x14ac:dyDescent="0.25">
      <c r="A3997"/>
    </row>
    <row r="3998" spans="1:1" x14ac:dyDescent="0.25">
      <c r="A3998"/>
    </row>
    <row r="3999" spans="1:1" x14ac:dyDescent="0.25">
      <c r="A3999"/>
    </row>
    <row r="4000" spans="1:1" x14ac:dyDescent="0.25">
      <c r="A4000"/>
    </row>
    <row r="4001" spans="1:1" x14ac:dyDescent="0.25">
      <c r="A4001"/>
    </row>
    <row r="4002" spans="1:1" x14ac:dyDescent="0.25">
      <c r="A4002"/>
    </row>
    <row r="4003" spans="1:1" x14ac:dyDescent="0.25">
      <c r="A4003"/>
    </row>
    <row r="4004" spans="1:1" x14ac:dyDescent="0.25">
      <c r="A4004"/>
    </row>
    <row r="4005" spans="1:1" x14ac:dyDescent="0.25">
      <c r="A4005"/>
    </row>
    <row r="4006" spans="1:1" x14ac:dyDescent="0.25">
      <c r="A4006"/>
    </row>
    <row r="4007" spans="1:1" x14ac:dyDescent="0.25">
      <c r="A4007"/>
    </row>
    <row r="4008" spans="1:1" x14ac:dyDescent="0.25">
      <c r="A4008"/>
    </row>
    <row r="4009" spans="1:1" x14ac:dyDescent="0.25">
      <c r="A4009"/>
    </row>
    <row r="4010" spans="1:1" x14ac:dyDescent="0.25">
      <c r="A4010"/>
    </row>
    <row r="4011" spans="1:1" x14ac:dyDescent="0.25">
      <c r="A4011"/>
    </row>
    <row r="4012" spans="1:1" x14ac:dyDescent="0.25">
      <c r="A4012"/>
    </row>
    <row r="4013" spans="1:1" x14ac:dyDescent="0.25">
      <c r="A4013"/>
    </row>
    <row r="4014" spans="1:1" x14ac:dyDescent="0.25">
      <c r="A4014"/>
    </row>
    <row r="4015" spans="1:1" x14ac:dyDescent="0.25">
      <c r="A4015"/>
    </row>
    <row r="4016" spans="1:1" x14ac:dyDescent="0.25">
      <c r="A4016"/>
    </row>
    <row r="4017" spans="1:1" x14ac:dyDescent="0.25">
      <c r="A4017"/>
    </row>
    <row r="4018" spans="1:1" x14ac:dyDescent="0.25">
      <c r="A4018"/>
    </row>
    <row r="4019" spans="1:1" x14ac:dyDescent="0.25">
      <c r="A4019"/>
    </row>
    <row r="4020" spans="1:1" x14ac:dyDescent="0.25">
      <c r="A4020"/>
    </row>
    <row r="4021" spans="1:1" x14ac:dyDescent="0.25">
      <c r="A4021"/>
    </row>
    <row r="4022" spans="1:1" x14ac:dyDescent="0.25">
      <c r="A4022"/>
    </row>
    <row r="4023" spans="1:1" x14ac:dyDescent="0.25">
      <c r="A4023"/>
    </row>
    <row r="4024" spans="1:1" x14ac:dyDescent="0.25">
      <c r="A4024"/>
    </row>
    <row r="4025" spans="1:1" x14ac:dyDescent="0.25">
      <c r="A4025"/>
    </row>
    <row r="4026" spans="1:1" x14ac:dyDescent="0.25">
      <c r="A4026"/>
    </row>
    <row r="4027" spans="1:1" x14ac:dyDescent="0.25">
      <c r="A4027"/>
    </row>
    <row r="4028" spans="1:1" x14ac:dyDescent="0.25">
      <c r="A4028"/>
    </row>
    <row r="4029" spans="1:1" x14ac:dyDescent="0.25">
      <c r="A4029"/>
    </row>
    <row r="4030" spans="1:1" x14ac:dyDescent="0.25">
      <c r="A4030"/>
    </row>
    <row r="4031" spans="1:1" x14ac:dyDescent="0.25">
      <c r="A4031"/>
    </row>
    <row r="4032" spans="1:1" x14ac:dyDescent="0.25">
      <c r="A4032"/>
    </row>
    <row r="4033" spans="1:1" x14ac:dyDescent="0.25">
      <c r="A4033"/>
    </row>
    <row r="4034" spans="1:1" x14ac:dyDescent="0.25">
      <c r="A4034"/>
    </row>
    <row r="4035" spans="1:1" x14ac:dyDescent="0.25">
      <c r="A4035"/>
    </row>
    <row r="4036" spans="1:1" x14ac:dyDescent="0.25">
      <c r="A4036"/>
    </row>
    <row r="4037" spans="1:1" x14ac:dyDescent="0.25">
      <c r="A4037"/>
    </row>
    <row r="4038" spans="1:1" x14ac:dyDescent="0.25">
      <c r="A4038"/>
    </row>
    <row r="4039" spans="1:1" x14ac:dyDescent="0.25">
      <c r="A4039"/>
    </row>
    <row r="4040" spans="1:1" x14ac:dyDescent="0.25">
      <c r="A4040"/>
    </row>
    <row r="4041" spans="1:1" x14ac:dyDescent="0.25">
      <c r="A4041"/>
    </row>
    <row r="4042" spans="1:1" x14ac:dyDescent="0.25">
      <c r="A4042"/>
    </row>
    <row r="4043" spans="1:1" x14ac:dyDescent="0.25">
      <c r="A4043"/>
    </row>
    <row r="4044" spans="1:1" x14ac:dyDescent="0.25">
      <c r="A4044"/>
    </row>
    <row r="4045" spans="1:1" x14ac:dyDescent="0.25">
      <c r="A4045"/>
    </row>
    <row r="4046" spans="1:1" x14ac:dyDescent="0.25">
      <c r="A4046"/>
    </row>
    <row r="4047" spans="1:1" x14ac:dyDescent="0.25">
      <c r="A4047"/>
    </row>
    <row r="4048" spans="1:1" x14ac:dyDescent="0.25">
      <c r="A4048"/>
    </row>
    <row r="4049" spans="1:1" x14ac:dyDescent="0.25">
      <c r="A4049"/>
    </row>
    <row r="4050" spans="1:1" x14ac:dyDescent="0.25">
      <c r="A4050"/>
    </row>
    <row r="4051" spans="1:1" x14ac:dyDescent="0.25">
      <c r="A4051"/>
    </row>
    <row r="4052" spans="1:1" x14ac:dyDescent="0.25">
      <c r="A4052"/>
    </row>
    <row r="4053" spans="1:1" x14ac:dyDescent="0.25">
      <c r="A4053"/>
    </row>
    <row r="4054" spans="1:1" x14ac:dyDescent="0.25">
      <c r="A4054"/>
    </row>
    <row r="4055" spans="1:1" x14ac:dyDescent="0.25">
      <c r="A4055"/>
    </row>
    <row r="4056" spans="1:1" x14ac:dyDescent="0.25">
      <c r="A4056"/>
    </row>
    <row r="4057" spans="1:1" x14ac:dyDescent="0.25">
      <c r="A4057"/>
    </row>
    <row r="4058" spans="1:1" x14ac:dyDescent="0.25">
      <c r="A4058"/>
    </row>
    <row r="4059" spans="1:1" x14ac:dyDescent="0.25">
      <c r="A4059"/>
    </row>
    <row r="4060" spans="1:1" x14ac:dyDescent="0.25">
      <c r="A4060"/>
    </row>
    <row r="4061" spans="1:1" x14ac:dyDescent="0.25">
      <c r="A4061"/>
    </row>
    <row r="4062" spans="1:1" x14ac:dyDescent="0.25">
      <c r="A4062"/>
    </row>
    <row r="4063" spans="1:1" x14ac:dyDescent="0.25">
      <c r="A4063"/>
    </row>
    <row r="4064" spans="1:1" x14ac:dyDescent="0.25">
      <c r="A4064"/>
    </row>
    <row r="4065" spans="1:1" x14ac:dyDescent="0.25">
      <c r="A4065"/>
    </row>
    <row r="4066" spans="1:1" x14ac:dyDescent="0.25">
      <c r="A4066"/>
    </row>
    <row r="4067" spans="1:1" x14ac:dyDescent="0.25">
      <c r="A4067"/>
    </row>
    <row r="4068" spans="1:1" x14ac:dyDescent="0.25">
      <c r="A4068"/>
    </row>
    <row r="4069" spans="1:1" x14ac:dyDescent="0.25">
      <c r="A4069"/>
    </row>
    <row r="4070" spans="1:1" x14ac:dyDescent="0.25">
      <c r="A4070"/>
    </row>
    <row r="4071" spans="1:1" x14ac:dyDescent="0.25">
      <c r="A4071"/>
    </row>
    <row r="4072" spans="1:1" x14ac:dyDescent="0.25">
      <c r="A4072"/>
    </row>
    <row r="4073" spans="1:1" x14ac:dyDescent="0.25">
      <c r="A4073"/>
    </row>
    <row r="4074" spans="1:1" x14ac:dyDescent="0.25">
      <c r="A4074"/>
    </row>
    <row r="4075" spans="1:1" x14ac:dyDescent="0.25">
      <c r="A4075"/>
    </row>
    <row r="4076" spans="1:1" x14ac:dyDescent="0.25">
      <c r="A4076"/>
    </row>
    <row r="4077" spans="1:1" x14ac:dyDescent="0.25">
      <c r="A4077"/>
    </row>
    <row r="4078" spans="1:1" x14ac:dyDescent="0.25">
      <c r="A4078"/>
    </row>
    <row r="4079" spans="1:1" x14ac:dyDescent="0.25">
      <c r="A4079"/>
    </row>
    <row r="4080" spans="1:1" x14ac:dyDescent="0.25">
      <c r="A4080"/>
    </row>
    <row r="4081" spans="1:1" x14ac:dyDescent="0.25">
      <c r="A4081"/>
    </row>
    <row r="4082" spans="1:1" x14ac:dyDescent="0.25">
      <c r="A4082"/>
    </row>
    <row r="4083" spans="1:1" x14ac:dyDescent="0.25">
      <c r="A4083"/>
    </row>
    <row r="4084" spans="1:1" x14ac:dyDescent="0.25">
      <c r="A4084"/>
    </row>
    <row r="4085" spans="1:1" x14ac:dyDescent="0.25">
      <c r="A4085"/>
    </row>
    <row r="4086" spans="1:1" x14ac:dyDescent="0.25">
      <c r="A4086"/>
    </row>
    <row r="4087" spans="1:1" x14ac:dyDescent="0.25">
      <c r="A4087"/>
    </row>
    <row r="4088" spans="1:1" x14ac:dyDescent="0.25">
      <c r="A4088"/>
    </row>
    <row r="4089" spans="1:1" x14ac:dyDescent="0.25">
      <c r="A4089"/>
    </row>
    <row r="4090" spans="1:1" x14ac:dyDescent="0.25">
      <c r="A4090"/>
    </row>
    <row r="4091" spans="1:1" x14ac:dyDescent="0.25">
      <c r="A4091"/>
    </row>
    <row r="4092" spans="1:1" x14ac:dyDescent="0.25">
      <c r="A4092"/>
    </row>
    <row r="4093" spans="1:1" x14ac:dyDescent="0.25">
      <c r="A4093"/>
    </row>
    <row r="4094" spans="1:1" x14ac:dyDescent="0.25">
      <c r="A4094"/>
    </row>
    <row r="4095" spans="1:1" x14ac:dyDescent="0.25">
      <c r="A4095"/>
    </row>
    <row r="4096" spans="1:1" x14ac:dyDescent="0.25">
      <c r="A4096"/>
    </row>
    <row r="4097" spans="1:1" x14ac:dyDescent="0.25">
      <c r="A4097"/>
    </row>
    <row r="4098" spans="1:1" x14ac:dyDescent="0.25">
      <c r="A4098"/>
    </row>
    <row r="4099" spans="1:1" x14ac:dyDescent="0.25">
      <c r="A4099"/>
    </row>
    <row r="4100" spans="1:1" x14ac:dyDescent="0.25">
      <c r="A4100"/>
    </row>
    <row r="4101" spans="1:1" x14ac:dyDescent="0.25">
      <c r="A4101"/>
    </row>
    <row r="4102" spans="1:1" x14ac:dyDescent="0.25">
      <c r="A4102"/>
    </row>
    <row r="4103" spans="1:1" x14ac:dyDescent="0.25">
      <c r="A4103"/>
    </row>
    <row r="4104" spans="1:1" x14ac:dyDescent="0.25">
      <c r="A4104"/>
    </row>
    <row r="4105" spans="1:1" x14ac:dyDescent="0.25">
      <c r="A4105"/>
    </row>
    <row r="4106" spans="1:1" x14ac:dyDescent="0.25">
      <c r="A4106"/>
    </row>
    <row r="4107" spans="1:1" x14ac:dyDescent="0.25">
      <c r="A4107"/>
    </row>
    <row r="4108" spans="1:1" x14ac:dyDescent="0.25">
      <c r="A4108"/>
    </row>
    <row r="4109" spans="1:1" x14ac:dyDescent="0.25">
      <c r="A4109"/>
    </row>
    <row r="4110" spans="1:1" x14ac:dyDescent="0.25">
      <c r="A4110"/>
    </row>
    <row r="4111" spans="1:1" x14ac:dyDescent="0.25">
      <c r="A4111"/>
    </row>
    <row r="4112" spans="1:1" x14ac:dyDescent="0.25">
      <c r="A4112"/>
    </row>
    <row r="4113" spans="1:1" x14ac:dyDescent="0.25">
      <c r="A4113"/>
    </row>
    <row r="4114" spans="1:1" x14ac:dyDescent="0.25">
      <c r="A4114"/>
    </row>
    <row r="4115" spans="1:1" x14ac:dyDescent="0.25">
      <c r="A4115"/>
    </row>
    <row r="4116" spans="1:1" x14ac:dyDescent="0.25">
      <c r="A4116"/>
    </row>
    <row r="4117" spans="1:1" x14ac:dyDescent="0.25">
      <c r="A4117"/>
    </row>
    <row r="4118" spans="1:1" x14ac:dyDescent="0.25">
      <c r="A4118"/>
    </row>
    <row r="4119" spans="1:1" x14ac:dyDescent="0.25">
      <c r="A4119"/>
    </row>
    <row r="4120" spans="1:1" x14ac:dyDescent="0.25">
      <c r="A4120"/>
    </row>
    <row r="4121" spans="1:1" x14ac:dyDescent="0.25">
      <c r="A4121"/>
    </row>
    <row r="4122" spans="1:1" x14ac:dyDescent="0.25">
      <c r="A4122"/>
    </row>
    <row r="4123" spans="1:1" x14ac:dyDescent="0.25">
      <c r="A4123"/>
    </row>
    <row r="4124" spans="1:1" x14ac:dyDescent="0.25">
      <c r="A4124"/>
    </row>
    <row r="4125" spans="1:1" x14ac:dyDescent="0.25">
      <c r="A4125"/>
    </row>
    <row r="4126" spans="1:1" x14ac:dyDescent="0.25">
      <c r="A4126"/>
    </row>
    <row r="4127" spans="1:1" x14ac:dyDescent="0.25">
      <c r="A4127"/>
    </row>
    <row r="4128" spans="1:1" x14ac:dyDescent="0.25">
      <c r="A4128"/>
    </row>
    <row r="4129" spans="1:1" x14ac:dyDescent="0.25">
      <c r="A4129"/>
    </row>
    <row r="4130" spans="1:1" x14ac:dyDescent="0.25">
      <c r="A4130"/>
    </row>
    <row r="4131" spans="1:1" x14ac:dyDescent="0.25">
      <c r="A4131"/>
    </row>
    <row r="4132" spans="1:1" x14ac:dyDescent="0.25">
      <c r="A4132"/>
    </row>
    <row r="4133" spans="1:1" x14ac:dyDescent="0.25">
      <c r="A4133"/>
    </row>
    <row r="4134" spans="1:1" x14ac:dyDescent="0.25">
      <c r="A4134"/>
    </row>
    <row r="4135" spans="1:1" x14ac:dyDescent="0.25">
      <c r="A4135"/>
    </row>
    <row r="4136" spans="1:1" x14ac:dyDescent="0.25">
      <c r="A4136"/>
    </row>
    <row r="4137" spans="1:1" x14ac:dyDescent="0.25">
      <c r="A4137"/>
    </row>
    <row r="4138" spans="1:1" x14ac:dyDescent="0.25">
      <c r="A4138"/>
    </row>
    <row r="4139" spans="1:1" x14ac:dyDescent="0.25">
      <c r="A4139"/>
    </row>
    <row r="4140" spans="1:1" x14ac:dyDescent="0.25">
      <c r="A4140"/>
    </row>
    <row r="4141" spans="1:1" x14ac:dyDescent="0.25">
      <c r="A4141"/>
    </row>
    <row r="4142" spans="1:1" x14ac:dyDescent="0.25">
      <c r="A4142"/>
    </row>
    <row r="4143" spans="1:1" x14ac:dyDescent="0.25">
      <c r="A4143"/>
    </row>
    <row r="4144" spans="1:1" x14ac:dyDescent="0.25">
      <c r="A4144"/>
    </row>
    <row r="4145" spans="1:1" x14ac:dyDescent="0.25">
      <c r="A4145"/>
    </row>
    <row r="4146" spans="1:1" x14ac:dyDescent="0.25">
      <c r="A4146"/>
    </row>
    <row r="4147" spans="1:1" x14ac:dyDescent="0.25">
      <c r="A4147"/>
    </row>
    <row r="4148" spans="1:1" x14ac:dyDescent="0.25">
      <c r="A4148"/>
    </row>
    <row r="4149" spans="1:1" x14ac:dyDescent="0.25">
      <c r="A4149"/>
    </row>
    <row r="4150" spans="1:1" x14ac:dyDescent="0.25">
      <c r="A4150"/>
    </row>
    <row r="4151" spans="1:1" x14ac:dyDescent="0.25">
      <c r="A4151"/>
    </row>
    <row r="4152" spans="1:1" x14ac:dyDescent="0.25">
      <c r="A4152"/>
    </row>
    <row r="4153" spans="1:1" x14ac:dyDescent="0.25">
      <c r="A4153"/>
    </row>
    <row r="4154" spans="1:1" x14ac:dyDescent="0.25">
      <c r="A4154"/>
    </row>
    <row r="4155" spans="1:1" x14ac:dyDescent="0.25">
      <c r="A4155"/>
    </row>
    <row r="4156" spans="1:1" x14ac:dyDescent="0.25">
      <c r="A4156"/>
    </row>
    <row r="4157" spans="1:1" x14ac:dyDescent="0.25">
      <c r="A4157"/>
    </row>
    <row r="4158" spans="1:1" x14ac:dyDescent="0.25">
      <c r="A4158"/>
    </row>
    <row r="4159" spans="1:1" x14ac:dyDescent="0.25">
      <c r="A4159"/>
    </row>
    <row r="4160" spans="1:1" x14ac:dyDescent="0.25">
      <c r="A4160"/>
    </row>
    <row r="4161" spans="1:1" x14ac:dyDescent="0.25">
      <c r="A4161"/>
    </row>
    <row r="4162" spans="1:1" x14ac:dyDescent="0.25">
      <c r="A4162"/>
    </row>
    <row r="4163" spans="1:1" x14ac:dyDescent="0.25">
      <c r="A4163"/>
    </row>
    <row r="4164" spans="1:1" x14ac:dyDescent="0.25">
      <c r="A4164"/>
    </row>
    <row r="4165" spans="1:1" x14ac:dyDescent="0.25">
      <c r="A4165"/>
    </row>
    <row r="4166" spans="1:1" x14ac:dyDescent="0.25">
      <c r="A4166"/>
    </row>
    <row r="4167" spans="1:1" x14ac:dyDescent="0.25">
      <c r="A4167"/>
    </row>
    <row r="4168" spans="1:1" x14ac:dyDescent="0.25">
      <c r="A4168"/>
    </row>
    <row r="4169" spans="1:1" x14ac:dyDescent="0.25">
      <c r="A4169"/>
    </row>
    <row r="4170" spans="1:1" x14ac:dyDescent="0.25">
      <c r="A4170"/>
    </row>
    <row r="4171" spans="1:1" x14ac:dyDescent="0.25">
      <c r="A4171"/>
    </row>
    <row r="4172" spans="1:1" x14ac:dyDescent="0.25">
      <c r="A4172"/>
    </row>
    <row r="4173" spans="1:1" x14ac:dyDescent="0.25">
      <c r="A4173"/>
    </row>
    <row r="4174" spans="1:1" x14ac:dyDescent="0.25">
      <c r="A4174"/>
    </row>
    <row r="4175" spans="1:1" x14ac:dyDescent="0.25">
      <c r="A4175"/>
    </row>
    <row r="4176" spans="1:1" x14ac:dyDescent="0.25">
      <c r="A4176"/>
    </row>
    <row r="4177" spans="1:1" x14ac:dyDescent="0.25">
      <c r="A4177"/>
    </row>
    <row r="4178" spans="1:1" x14ac:dyDescent="0.25">
      <c r="A4178"/>
    </row>
    <row r="4179" spans="1:1" x14ac:dyDescent="0.25">
      <c r="A4179"/>
    </row>
    <row r="4180" spans="1:1" x14ac:dyDescent="0.25">
      <c r="A4180"/>
    </row>
    <row r="4181" spans="1:1" x14ac:dyDescent="0.25">
      <c r="A4181"/>
    </row>
    <row r="4182" spans="1:1" x14ac:dyDescent="0.25">
      <c r="A4182"/>
    </row>
    <row r="4183" spans="1:1" x14ac:dyDescent="0.25">
      <c r="A4183"/>
    </row>
    <row r="4184" spans="1:1" x14ac:dyDescent="0.25">
      <c r="A4184"/>
    </row>
    <row r="4185" spans="1:1" x14ac:dyDescent="0.25">
      <c r="A4185"/>
    </row>
    <row r="4186" spans="1:1" x14ac:dyDescent="0.25">
      <c r="A4186"/>
    </row>
    <row r="4187" spans="1:1" x14ac:dyDescent="0.25">
      <c r="A4187"/>
    </row>
    <row r="4188" spans="1:1" x14ac:dyDescent="0.25">
      <c r="A4188"/>
    </row>
    <row r="4189" spans="1:1" x14ac:dyDescent="0.25">
      <c r="A4189"/>
    </row>
    <row r="4190" spans="1:1" x14ac:dyDescent="0.25">
      <c r="A4190"/>
    </row>
    <row r="4191" spans="1:1" x14ac:dyDescent="0.25">
      <c r="A4191"/>
    </row>
    <row r="4192" spans="1:1" x14ac:dyDescent="0.25">
      <c r="A4192"/>
    </row>
    <row r="4193" spans="1:1" x14ac:dyDescent="0.25">
      <c r="A4193"/>
    </row>
    <row r="4194" spans="1:1" x14ac:dyDescent="0.25">
      <c r="A4194"/>
    </row>
    <row r="4195" spans="1:1" x14ac:dyDescent="0.25">
      <c r="A4195"/>
    </row>
    <row r="4196" spans="1:1" x14ac:dyDescent="0.25">
      <c r="A4196"/>
    </row>
    <row r="4197" spans="1:1" x14ac:dyDescent="0.25">
      <c r="A4197"/>
    </row>
    <row r="4198" spans="1:1" x14ac:dyDescent="0.25">
      <c r="A4198"/>
    </row>
    <row r="4199" spans="1:1" x14ac:dyDescent="0.25">
      <c r="A4199"/>
    </row>
    <row r="4200" spans="1:1" x14ac:dyDescent="0.25">
      <c r="A4200"/>
    </row>
    <row r="4201" spans="1:1" x14ac:dyDescent="0.25">
      <c r="A4201"/>
    </row>
    <row r="4202" spans="1:1" x14ac:dyDescent="0.25">
      <c r="A4202"/>
    </row>
    <row r="4203" spans="1:1" x14ac:dyDescent="0.25">
      <c r="A4203"/>
    </row>
    <row r="4204" spans="1:1" x14ac:dyDescent="0.25">
      <c r="A4204"/>
    </row>
    <row r="4205" spans="1:1" x14ac:dyDescent="0.25">
      <c r="A4205"/>
    </row>
    <row r="4206" spans="1:1" x14ac:dyDescent="0.25">
      <c r="A4206"/>
    </row>
    <row r="4207" spans="1:1" x14ac:dyDescent="0.25">
      <c r="A4207"/>
    </row>
    <row r="4208" spans="1:1" x14ac:dyDescent="0.25">
      <c r="A4208"/>
    </row>
    <row r="4209" spans="1:1" x14ac:dyDescent="0.25">
      <c r="A4209"/>
    </row>
    <row r="4210" spans="1:1" x14ac:dyDescent="0.25">
      <c r="A4210"/>
    </row>
    <row r="4211" spans="1:1" x14ac:dyDescent="0.25">
      <c r="A4211"/>
    </row>
    <row r="4212" spans="1:1" x14ac:dyDescent="0.25">
      <c r="A4212"/>
    </row>
    <row r="4213" spans="1:1" x14ac:dyDescent="0.25">
      <c r="A4213"/>
    </row>
    <row r="4214" spans="1:1" x14ac:dyDescent="0.25">
      <c r="A4214"/>
    </row>
    <row r="4215" spans="1:1" x14ac:dyDescent="0.25">
      <c r="A4215"/>
    </row>
    <row r="4216" spans="1:1" x14ac:dyDescent="0.25">
      <c r="A4216"/>
    </row>
    <row r="4217" spans="1:1" x14ac:dyDescent="0.25">
      <c r="A4217"/>
    </row>
    <row r="4218" spans="1:1" x14ac:dyDescent="0.25">
      <c r="A4218"/>
    </row>
    <row r="4219" spans="1:1" x14ac:dyDescent="0.25">
      <c r="A4219"/>
    </row>
    <row r="4220" spans="1:1" x14ac:dyDescent="0.25">
      <c r="A4220"/>
    </row>
    <row r="4221" spans="1:1" x14ac:dyDescent="0.25">
      <c r="A4221"/>
    </row>
    <row r="4222" spans="1:1" x14ac:dyDescent="0.25">
      <c r="A4222"/>
    </row>
    <row r="4223" spans="1:1" x14ac:dyDescent="0.25">
      <c r="A4223"/>
    </row>
    <row r="4224" spans="1:1" x14ac:dyDescent="0.25">
      <c r="A4224"/>
    </row>
    <row r="4225" spans="1:1" x14ac:dyDescent="0.25">
      <c r="A4225"/>
    </row>
    <row r="4226" spans="1:1" x14ac:dyDescent="0.25">
      <c r="A4226"/>
    </row>
    <row r="4227" spans="1:1" x14ac:dyDescent="0.25">
      <c r="A4227"/>
    </row>
    <row r="4228" spans="1:1" x14ac:dyDescent="0.25">
      <c r="A4228"/>
    </row>
    <row r="4229" spans="1:1" x14ac:dyDescent="0.25">
      <c r="A4229"/>
    </row>
    <row r="4230" spans="1:1" x14ac:dyDescent="0.25">
      <c r="A4230"/>
    </row>
    <row r="4231" spans="1:1" x14ac:dyDescent="0.25">
      <c r="A4231"/>
    </row>
    <row r="4232" spans="1:1" x14ac:dyDescent="0.25">
      <c r="A4232"/>
    </row>
    <row r="4233" spans="1:1" x14ac:dyDescent="0.25">
      <c r="A4233"/>
    </row>
    <row r="4234" spans="1:1" x14ac:dyDescent="0.25">
      <c r="A4234"/>
    </row>
    <row r="4235" spans="1:1" x14ac:dyDescent="0.25">
      <c r="A4235"/>
    </row>
    <row r="4236" spans="1:1" x14ac:dyDescent="0.25">
      <c r="A4236"/>
    </row>
    <row r="4237" spans="1:1" x14ac:dyDescent="0.25">
      <c r="A4237"/>
    </row>
    <row r="4238" spans="1:1" x14ac:dyDescent="0.25">
      <c r="A4238"/>
    </row>
    <row r="4239" spans="1:1" x14ac:dyDescent="0.25">
      <c r="A4239"/>
    </row>
    <row r="4240" spans="1:1" x14ac:dyDescent="0.25">
      <c r="A4240"/>
    </row>
    <row r="4241" spans="1:1" x14ac:dyDescent="0.25">
      <c r="A4241"/>
    </row>
    <row r="4242" spans="1:1" x14ac:dyDescent="0.25">
      <c r="A4242"/>
    </row>
    <row r="4243" spans="1:1" x14ac:dyDescent="0.25">
      <c r="A4243"/>
    </row>
    <row r="4244" spans="1:1" x14ac:dyDescent="0.25">
      <c r="A4244"/>
    </row>
    <row r="4245" spans="1:1" x14ac:dyDescent="0.25">
      <c r="A4245"/>
    </row>
    <row r="4246" spans="1:1" x14ac:dyDescent="0.25">
      <c r="A4246"/>
    </row>
    <row r="4247" spans="1:1" x14ac:dyDescent="0.25">
      <c r="A4247"/>
    </row>
    <row r="4248" spans="1:1" x14ac:dyDescent="0.25">
      <c r="A4248"/>
    </row>
    <row r="4249" spans="1:1" x14ac:dyDescent="0.25">
      <c r="A4249"/>
    </row>
    <row r="4250" spans="1:1" x14ac:dyDescent="0.25">
      <c r="A4250"/>
    </row>
    <row r="4251" spans="1:1" x14ac:dyDescent="0.25">
      <c r="A4251"/>
    </row>
    <row r="4252" spans="1:1" x14ac:dyDescent="0.25">
      <c r="A4252"/>
    </row>
    <row r="4253" spans="1:1" x14ac:dyDescent="0.25">
      <c r="A4253"/>
    </row>
    <row r="4254" spans="1:1" x14ac:dyDescent="0.25">
      <c r="A4254"/>
    </row>
    <row r="4255" spans="1:1" x14ac:dyDescent="0.25">
      <c r="A4255"/>
    </row>
    <row r="4256" spans="1:1" x14ac:dyDescent="0.25">
      <c r="A4256"/>
    </row>
    <row r="4257" spans="1:1" x14ac:dyDescent="0.25">
      <c r="A4257"/>
    </row>
    <row r="4258" spans="1:1" x14ac:dyDescent="0.25">
      <c r="A4258"/>
    </row>
    <row r="4259" spans="1:1" x14ac:dyDescent="0.25">
      <c r="A4259"/>
    </row>
    <row r="4260" spans="1:1" x14ac:dyDescent="0.25">
      <c r="A4260"/>
    </row>
    <row r="4261" spans="1:1" x14ac:dyDescent="0.25">
      <c r="A4261"/>
    </row>
    <row r="4262" spans="1:1" x14ac:dyDescent="0.25">
      <c r="A4262"/>
    </row>
    <row r="4263" spans="1:1" x14ac:dyDescent="0.25">
      <c r="A4263"/>
    </row>
    <row r="4264" spans="1:1" x14ac:dyDescent="0.25">
      <c r="A4264"/>
    </row>
    <row r="4265" spans="1:1" x14ac:dyDescent="0.25">
      <c r="A4265"/>
    </row>
    <row r="4266" spans="1:1" x14ac:dyDescent="0.25">
      <c r="A4266"/>
    </row>
    <row r="4267" spans="1:1" x14ac:dyDescent="0.25">
      <c r="A4267"/>
    </row>
    <row r="4268" spans="1:1" x14ac:dyDescent="0.25">
      <c r="A4268"/>
    </row>
    <row r="4269" spans="1:1" x14ac:dyDescent="0.25">
      <c r="A4269"/>
    </row>
    <row r="4270" spans="1:1" x14ac:dyDescent="0.25">
      <c r="A4270"/>
    </row>
    <row r="4271" spans="1:1" x14ac:dyDescent="0.25">
      <c r="A4271"/>
    </row>
    <row r="4272" spans="1:1" x14ac:dyDescent="0.25">
      <c r="A4272"/>
    </row>
    <row r="4273" spans="1:1" x14ac:dyDescent="0.25">
      <c r="A4273"/>
    </row>
    <row r="4274" spans="1:1" x14ac:dyDescent="0.25">
      <c r="A4274"/>
    </row>
    <row r="4275" spans="1:1" x14ac:dyDescent="0.25">
      <c r="A4275"/>
    </row>
    <row r="4276" spans="1:1" x14ac:dyDescent="0.25">
      <c r="A4276"/>
    </row>
    <row r="4277" spans="1:1" x14ac:dyDescent="0.25">
      <c r="A4277"/>
    </row>
    <row r="4278" spans="1:1" x14ac:dyDescent="0.25">
      <c r="A4278"/>
    </row>
    <row r="4279" spans="1:1" x14ac:dyDescent="0.25">
      <c r="A4279"/>
    </row>
    <row r="4280" spans="1:1" x14ac:dyDescent="0.25">
      <c r="A4280"/>
    </row>
    <row r="4281" spans="1:1" x14ac:dyDescent="0.25">
      <c r="A4281"/>
    </row>
    <row r="4282" spans="1:1" x14ac:dyDescent="0.25">
      <c r="A4282"/>
    </row>
    <row r="4283" spans="1:1" x14ac:dyDescent="0.25">
      <c r="A4283"/>
    </row>
    <row r="4284" spans="1:1" x14ac:dyDescent="0.25">
      <c r="A4284"/>
    </row>
    <row r="4285" spans="1:1" x14ac:dyDescent="0.25">
      <c r="A4285"/>
    </row>
    <row r="4286" spans="1:1" x14ac:dyDescent="0.25">
      <c r="A4286"/>
    </row>
    <row r="4287" spans="1:1" x14ac:dyDescent="0.25">
      <c r="A4287"/>
    </row>
    <row r="4288" spans="1:1" x14ac:dyDescent="0.25">
      <c r="A4288"/>
    </row>
    <row r="4289" spans="1:1" x14ac:dyDescent="0.25">
      <c r="A4289"/>
    </row>
    <row r="4290" spans="1:1" x14ac:dyDescent="0.25">
      <c r="A4290"/>
    </row>
    <row r="4291" spans="1:1" x14ac:dyDescent="0.25">
      <c r="A4291"/>
    </row>
    <row r="4292" spans="1:1" x14ac:dyDescent="0.25">
      <c r="A4292"/>
    </row>
    <row r="4293" spans="1:1" x14ac:dyDescent="0.25">
      <c r="A4293"/>
    </row>
    <row r="4294" spans="1:1" x14ac:dyDescent="0.25">
      <c r="A4294"/>
    </row>
    <row r="4295" spans="1:1" x14ac:dyDescent="0.25">
      <c r="A4295"/>
    </row>
    <row r="4296" spans="1:1" x14ac:dyDescent="0.25">
      <c r="A4296"/>
    </row>
    <row r="4297" spans="1:1" x14ac:dyDescent="0.25">
      <c r="A4297"/>
    </row>
    <row r="4298" spans="1:1" x14ac:dyDescent="0.25">
      <c r="A4298"/>
    </row>
    <row r="4299" spans="1:1" x14ac:dyDescent="0.25">
      <c r="A4299"/>
    </row>
    <row r="4300" spans="1:1" x14ac:dyDescent="0.25">
      <c r="A4300"/>
    </row>
    <row r="4301" spans="1:1" x14ac:dyDescent="0.25">
      <c r="A4301"/>
    </row>
    <row r="4302" spans="1:1" x14ac:dyDescent="0.25">
      <c r="A4302"/>
    </row>
    <row r="4303" spans="1:1" x14ac:dyDescent="0.25">
      <c r="A4303"/>
    </row>
    <row r="4304" spans="1:1" x14ac:dyDescent="0.25">
      <c r="A4304"/>
    </row>
    <row r="4305" spans="1:1" x14ac:dyDescent="0.25">
      <c r="A4305"/>
    </row>
    <row r="4306" spans="1:1" x14ac:dyDescent="0.25">
      <c r="A4306"/>
    </row>
    <row r="4307" spans="1:1" x14ac:dyDescent="0.25">
      <c r="A4307"/>
    </row>
    <row r="4308" spans="1:1" x14ac:dyDescent="0.25">
      <c r="A4308"/>
    </row>
    <row r="4309" spans="1:1" x14ac:dyDescent="0.25">
      <c r="A4309"/>
    </row>
    <row r="4310" spans="1:1" x14ac:dyDescent="0.25">
      <c r="A4310"/>
    </row>
    <row r="4311" spans="1:1" x14ac:dyDescent="0.25">
      <c r="A4311"/>
    </row>
    <row r="4312" spans="1:1" x14ac:dyDescent="0.25">
      <c r="A4312"/>
    </row>
    <row r="4313" spans="1:1" x14ac:dyDescent="0.25">
      <c r="A4313"/>
    </row>
    <row r="4314" spans="1:1" x14ac:dyDescent="0.25">
      <c r="A4314"/>
    </row>
    <row r="4315" spans="1:1" x14ac:dyDescent="0.25">
      <c r="A4315"/>
    </row>
    <row r="4316" spans="1:1" x14ac:dyDescent="0.25">
      <c r="A4316"/>
    </row>
    <row r="4317" spans="1:1" x14ac:dyDescent="0.25">
      <c r="A4317"/>
    </row>
    <row r="4318" spans="1:1" x14ac:dyDescent="0.25">
      <c r="A4318"/>
    </row>
    <row r="4319" spans="1:1" x14ac:dyDescent="0.25">
      <c r="A4319"/>
    </row>
    <row r="4320" spans="1:1" x14ac:dyDescent="0.25">
      <c r="A4320"/>
    </row>
    <row r="4321" spans="1:1" x14ac:dyDescent="0.25">
      <c r="A4321"/>
    </row>
    <row r="4322" spans="1:1" x14ac:dyDescent="0.25">
      <c r="A4322"/>
    </row>
    <row r="4323" spans="1:1" x14ac:dyDescent="0.25">
      <c r="A4323"/>
    </row>
    <row r="4324" spans="1:1" x14ac:dyDescent="0.25">
      <c r="A4324"/>
    </row>
    <row r="4325" spans="1:1" x14ac:dyDescent="0.25">
      <c r="A4325"/>
    </row>
    <row r="4326" spans="1:1" x14ac:dyDescent="0.25">
      <c r="A4326"/>
    </row>
    <row r="4327" spans="1:1" x14ac:dyDescent="0.25">
      <c r="A4327"/>
    </row>
    <row r="4328" spans="1:1" x14ac:dyDescent="0.25">
      <c r="A4328"/>
    </row>
    <row r="4329" spans="1:1" x14ac:dyDescent="0.25">
      <c r="A4329"/>
    </row>
    <row r="4330" spans="1:1" x14ac:dyDescent="0.25">
      <c r="A4330"/>
    </row>
    <row r="4331" spans="1:1" x14ac:dyDescent="0.25">
      <c r="A4331"/>
    </row>
    <row r="4332" spans="1:1" x14ac:dyDescent="0.25">
      <c r="A4332"/>
    </row>
    <row r="4333" spans="1:1" x14ac:dyDescent="0.25">
      <c r="A4333"/>
    </row>
    <row r="4334" spans="1:1" x14ac:dyDescent="0.25">
      <c r="A4334"/>
    </row>
    <row r="4335" spans="1:1" x14ac:dyDescent="0.25">
      <c r="A4335"/>
    </row>
    <row r="4336" spans="1:1" x14ac:dyDescent="0.25">
      <c r="A4336"/>
    </row>
    <row r="4337" spans="1:1" x14ac:dyDescent="0.25">
      <c r="A4337"/>
    </row>
    <row r="4338" spans="1:1" x14ac:dyDescent="0.25">
      <c r="A4338"/>
    </row>
    <row r="4339" spans="1:1" x14ac:dyDescent="0.25">
      <c r="A4339"/>
    </row>
    <row r="4340" spans="1:1" x14ac:dyDescent="0.25">
      <c r="A4340"/>
    </row>
    <row r="4341" spans="1:1" x14ac:dyDescent="0.25">
      <c r="A4341"/>
    </row>
    <row r="4342" spans="1:1" x14ac:dyDescent="0.25">
      <c r="A4342"/>
    </row>
    <row r="4343" spans="1:1" x14ac:dyDescent="0.25">
      <c r="A4343"/>
    </row>
    <row r="4344" spans="1:1" x14ac:dyDescent="0.25">
      <c r="A4344"/>
    </row>
    <row r="4345" spans="1:1" x14ac:dyDescent="0.25">
      <c r="A4345"/>
    </row>
    <row r="4346" spans="1:1" x14ac:dyDescent="0.25">
      <c r="A4346"/>
    </row>
    <row r="4347" spans="1:1" x14ac:dyDescent="0.25">
      <c r="A4347"/>
    </row>
    <row r="4348" spans="1:1" x14ac:dyDescent="0.25">
      <c r="A4348"/>
    </row>
    <row r="4349" spans="1:1" x14ac:dyDescent="0.25">
      <c r="A4349"/>
    </row>
    <row r="4350" spans="1:1" x14ac:dyDescent="0.25">
      <c r="A4350"/>
    </row>
    <row r="4351" spans="1:1" x14ac:dyDescent="0.25">
      <c r="A4351"/>
    </row>
    <row r="4352" spans="1:1" x14ac:dyDescent="0.25">
      <c r="A4352"/>
    </row>
    <row r="4353" spans="1:1" x14ac:dyDescent="0.25">
      <c r="A4353"/>
    </row>
    <row r="4354" spans="1:1" x14ac:dyDescent="0.25">
      <c r="A4354"/>
    </row>
    <row r="4355" spans="1:1" x14ac:dyDescent="0.25">
      <c r="A4355"/>
    </row>
    <row r="4356" spans="1:1" x14ac:dyDescent="0.25">
      <c r="A4356"/>
    </row>
    <row r="4357" spans="1:1" x14ac:dyDescent="0.25">
      <c r="A4357"/>
    </row>
    <row r="4358" spans="1:1" x14ac:dyDescent="0.25">
      <c r="A4358"/>
    </row>
    <row r="4359" spans="1:1" x14ac:dyDescent="0.25">
      <c r="A4359"/>
    </row>
    <row r="4360" spans="1:1" x14ac:dyDescent="0.25">
      <c r="A4360"/>
    </row>
    <row r="4361" spans="1:1" x14ac:dyDescent="0.25">
      <c r="A4361"/>
    </row>
    <row r="4362" spans="1:1" x14ac:dyDescent="0.25">
      <c r="A4362"/>
    </row>
    <row r="4363" spans="1:1" x14ac:dyDescent="0.25">
      <c r="A4363"/>
    </row>
    <row r="4364" spans="1:1" x14ac:dyDescent="0.25">
      <c r="A4364"/>
    </row>
    <row r="4365" spans="1:1" x14ac:dyDescent="0.25">
      <c r="A4365"/>
    </row>
    <row r="4366" spans="1:1" x14ac:dyDescent="0.25">
      <c r="A4366"/>
    </row>
    <row r="4367" spans="1:1" x14ac:dyDescent="0.25">
      <c r="A4367"/>
    </row>
    <row r="4368" spans="1:1" x14ac:dyDescent="0.25">
      <c r="A4368"/>
    </row>
    <row r="4369" spans="1:1" x14ac:dyDescent="0.25">
      <c r="A4369"/>
    </row>
    <row r="4370" spans="1:1" x14ac:dyDescent="0.25">
      <c r="A4370"/>
    </row>
    <row r="4371" spans="1:1" x14ac:dyDescent="0.25">
      <c r="A4371"/>
    </row>
    <row r="4372" spans="1:1" x14ac:dyDescent="0.25">
      <c r="A4372"/>
    </row>
    <row r="4373" spans="1:1" x14ac:dyDescent="0.25">
      <c r="A4373"/>
    </row>
    <row r="4374" spans="1:1" x14ac:dyDescent="0.25">
      <c r="A4374"/>
    </row>
    <row r="4375" spans="1:1" x14ac:dyDescent="0.25">
      <c r="A4375"/>
    </row>
    <row r="4376" spans="1:1" x14ac:dyDescent="0.25">
      <c r="A4376"/>
    </row>
    <row r="4377" spans="1:1" x14ac:dyDescent="0.25">
      <c r="A4377"/>
    </row>
    <row r="4378" spans="1:1" x14ac:dyDescent="0.25">
      <c r="A4378"/>
    </row>
    <row r="4379" spans="1:1" x14ac:dyDescent="0.25">
      <c r="A4379"/>
    </row>
    <row r="4380" spans="1:1" x14ac:dyDescent="0.25">
      <c r="A4380"/>
    </row>
    <row r="4381" spans="1:1" x14ac:dyDescent="0.25">
      <c r="A4381"/>
    </row>
    <row r="4382" spans="1:1" x14ac:dyDescent="0.25">
      <c r="A4382"/>
    </row>
    <row r="4383" spans="1:1" x14ac:dyDescent="0.25">
      <c r="A4383"/>
    </row>
    <row r="4384" spans="1:1" x14ac:dyDescent="0.25">
      <c r="A4384"/>
    </row>
    <row r="4385" spans="1:1" x14ac:dyDescent="0.25">
      <c r="A4385"/>
    </row>
    <row r="4386" spans="1:1" x14ac:dyDescent="0.25">
      <c r="A4386"/>
    </row>
    <row r="4387" spans="1:1" x14ac:dyDescent="0.25">
      <c r="A4387"/>
    </row>
    <row r="4388" spans="1:1" x14ac:dyDescent="0.25">
      <c r="A4388"/>
    </row>
    <row r="4389" spans="1:1" x14ac:dyDescent="0.25">
      <c r="A4389"/>
    </row>
    <row r="4390" spans="1:1" x14ac:dyDescent="0.25">
      <c r="A4390"/>
    </row>
    <row r="4391" spans="1:1" x14ac:dyDescent="0.25">
      <c r="A4391"/>
    </row>
    <row r="4392" spans="1:1" x14ac:dyDescent="0.25">
      <c r="A4392"/>
    </row>
    <row r="4393" spans="1:1" x14ac:dyDescent="0.25">
      <c r="A4393"/>
    </row>
    <row r="4394" spans="1:1" x14ac:dyDescent="0.25">
      <c r="A4394"/>
    </row>
    <row r="4395" spans="1:1" x14ac:dyDescent="0.25">
      <c r="A4395"/>
    </row>
    <row r="4396" spans="1:1" x14ac:dyDescent="0.25">
      <c r="A4396"/>
    </row>
    <row r="4397" spans="1:1" x14ac:dyDescent="0.25">
      <c r="A4397"/>
    </row>
    <row r="4398" spans="1:1" x14ac:dyDescent="0.25">
      <c r="A4398"/>
    </row>
    <row r="4399" spans="1:1" x14ac:dyDescent="0.25">
      <c r="A4399"/>
    </row>
    <row r="4400" spans="1:1" x14ac:dyDescent="0.25">
      <c r="A4400"/>
    </row>
    <row r="4401" spans="1:1" x14ac:dyDescent="0.25">
      <c r="A4401"/>
    </row>
    <row r="4402" spans="1:1" x14ac:dyDescent="0.25">
      <c r="A4402"/>
    </row>
    <row r="4403" spans="1:1" x14ac:dyDescent="0.25">
      <c r="A4403"/>
    </row>
    <row r="4404" spans="1:1" x14ac:dyDescent="0.25">
      <c r="A4404"/>
    </row>
    <row r="4405" spans="1:1" x14ac:dyDescent="0.25">
      <c r="A4405"/>
    </row>
    <row r="4406" spans="1:1" x14ac:dyDescent="0.25">
      <c r="A4406"/>
    </row>
    <row r="4407" spans="1:1" x14ac:dyDescent="0.25">
      <c r="A4407"/>
    </row>
    <row r="4408" spans="1:1" x14ac:dyDescent="0.25">
      <c r="A4408"/>
    </row>
    <row r="4409" spans="1:1" x14ac:dyDescent="0.25">
      <c r="A4409"/>
    </row>
    <row r="4410" spans="1:1" x14ac:dyDescent="0.25">
      <c r="A4410"/>
    </row>
    <row r="4411" spans="1:1" x14ac:dyDescent="0.25">
      <c r="A4411"/>
    </row>
    <row r="4412" spans="1:1" x14ac:dyDescent="0.25">
      <c r="A4412"/>
    </row>
    <row r="4413" spans="1:1" x14ac:dyDescent="0.25">
      <c r="A4413"/>
    </row>
    <row r="4414" spans="1:1" x14ac:dyDescent="0.25">
      <c r="A4414"/>
    </row>
    <row r="4415" spans="1:1" x14ac:dyDescent="0.25">
      <c r="A4415"/>
    </row>
    <row r="4416" spans="1:1" x14ac:dyDescent="0.25">
      <c r="A4416"/>
    </row>
    <row r="4417" spans="1:1" x14ac:dyDescent="0.25">
      <c r="A4417"/>
    </row>
    <row r="4418" spans="1:1" x14ac:dyDescent="0.25">
      <c r="A4418"/>
    </row>
    <row r="4419" spans="1:1" x14ac:dyDescent="0.25">
      <c r="A4419"/>
    </row>
    <row r="4420" spans="1:1" x14ac:dyDescent="0.25">
      <c r="A4420"/>
    </row>
    <row r="4421" spans="1:1" x14ac:dyDescent="0.25">
      <c r="A4421"/>
    </row>
    <row r="4422" spans="1:1" x14ac:dyDescent="0.25">
      <c r="A4422"/>
    </row>
    <row r="4423" spans="1:1" x14ac:dyDescent="0.25">
      <c r="A4423"/>
    </row>
    <row r="4424" spans="1:1" x14ac:dyDescent="0.25">
      <c r="A4424"/>
    </row>
    <row r="4425" spans="1:1" x14ac:dyDescent="0.25">
      <c r="A4425"/>
    </row>
    <row r="4426" spans="1:1" x14ac:dyDescent="0.25">
      <c r="A4426"/>
    </row>
    <row r="4427" spans="1:1" x14ac:dyDescent="0.25">
      <c r="A4427"/>
    </row>
    <row r="4428" spans="1:1" x14ac:dyDescent="0.25">
      <c r="A4428"/>
    </row>
    <row r="4429" spans="1:1" x14ac:dyDescent="0.25">
      <c r="A4429"/>
    </row>
    <row r="4430" spans="1:1" x14ac:dyDescent="0.25">
      <c r="A4430"/>
    </row>
    <row r="4431" spans="1:1" x14ac:dyDescent="0.25">
      <c r="A4431"/>
    </row>
    <row r="4432" spans="1:1" x14ac:dyDescent="0.25">
      <c r="A4432"/>
    </row>
    <row r="4433" spans="1:1" x14ac:dyDescent="0.25">
      <c r="A4433"/>
    </row>
    <row r="4434" spans="1:1" x14ac:dyDescent="0.25">
      <c r="A4434"/>
    </row>
    <row r="4435" spans="1:1" x14ac:dyDescent="0.25">
      <c r="A4435"/>
    </row>
    <row r="4436" spans="1:1" x14ac:dyDescent="0.25">
      <c r="A4436"/>
    </row>
    <row r="4437" spans="1:1" x14ac:dyDescent="0.25">
      <c r="A4437"/>
    </row>
    <row r="4438" spans="1:1" x14ac:dyDescent="0.25">
      <c r="A4438"/>
    </row>
    <row r="4439" spans="1:1" x14ac:dyDescent="0.25">
      <c r="A4439"/>
    </row>
    <row r="4440" spans="1:1" x14ac:dyDescent="0.25">
      <c r="A4440"/>
    </row>
    <row r="4441" spans="1:1" x14ac:dyDescent="0.25">
      <c r="A4441"/>
    </row>
    <row r="4442" spans="1:1" x14ac:dyDescent="0.25">
      <c r="A4442"/>
    </row>
    <row r="4443" spans="1:1" x14ac:dyDescent="0.25">
      <c r="A4443"/>
    </row>
    <row r="4444" spans="1:1" x14ac:dyDescent="0.25">
      <c r="A4444"/>
    </row>
    <row r="4445" spans="1:1" x14ac:dyDescent="0.25">
      <c r="A4445"/>
    </row>
    <row r="4446" spans="1:1" x14ac:dyDescent="0.25">
      <c r="A4446"/>
    </row>
    <row r="4447" spans="1:1" x14ac:dyDescent="0.25">
      <c r="A4447"/>
    </row>
    <row r="4448" spans="1:1" x14ac:dyDescent="0.25">
      <c r="A4448"/>
    </row>
    <row r="4449" spans="1:1" x14ac:dyDescent="0.25">
      <c r="A4449"/>
    </row>
    <row r="4450" spans="1:1" x14ac:dyDescent="0.25">
      <c r="A4450"/>
    </row>
    <row r="4451" spans="1:1" x14ac:dyDescent="0.25">
      <c r="A4451"/>
    </row>
    <row r="4452" spans="1:1" x14ac:dyDescent="0.25">
      <c r="A4452"/>
    </row>
    <row r="4453" spans="1:1" x14ac:dyDescent="0.25">
      <c r="A4453"/>
    </row>
    <row r="4454" spans="1:1" x14ac:dyDescent="0.25">
      <c r="A4454"/>
    </row>
    <row r="4455" spans="1:1" x14ac:dyDescent="0.25">
      <c r="A4455"/>
    </row>
    <row r="4456" spans="1:1" x14ac:dyDescent="0.25">
      <c r="A4456"/>
    </row>
    <row r="4457" spans="1:1" x14ac:dyDescent="0.25">
      <c r="A4457"/>
    </row>
    <row r="4458" spans="1:1" x14ac:dyDescent="0.25">
      <c r="A4458"/>
    </row>
    <row r="4459" spans="1:1" x14ac:dyDescent="0.25">
      <c r="A4459"/>
    </row>
    <row r="4460" spans="1:1" x14ac:dyDescent="0.25">
      <c r="A4460"/>
    </row>
    <row r="4461" spans="1:1" x14ac:dyDescent="0.25">
      <c r="A4461"/>
    </row>
    <row r="4462" spans="1:1" x14ac:dyDescent="0.25">
      <c r="A4462"/>
    </row>
    <row r="4463" spans="1:1" x14ac:dyDescent="0.25">
      <c r="A4463"/>
    </row>
    <row r="4464" spans="1:1" x14ac:dyDescent="0.25">
      <c r="A4464"/>
    </row>
    <row r="4465" spans="1:1" x14ac:dyDescent="0.25">
      <c r="A4465"/>
    </row>
    <row r="4466" spans="1:1" x14ac:dyDescent="0.25">
      <c r="A4466"/>
    </row>
    <row r="4467" spans="1:1" x14ac:dyDescent="0.25">
      <c r="A4467"/>
    </row>
    <row r="4468" spans="1:1" x14ac:dyDescent="0.25">
      <c r="A4468"/>
    </row>
    <row r="4469" spans="1:1" x14ac:dyDescent="0.25">
      <c r="A4469"/>
    </row>
    <row r="4470" spans="1:1" x14ac:dyDescent="0.25">
      <c r="A4470"/>
    </row>
    <row r="4471" spans="1:1" x14ac:dyDescent="0.25">
      <c r="A4471"/>
    </row>
    <row r="4472" spans="1:1" x14ac:dyDescent="0.25">
      <c r="A4472"/>
    </row>
    <row r="4473" spans="1:1" x14ac:dyDescent="0.25">
      <c r="A4473"/>
    </row>
    <row r="4474" spans="1:1" x14ac:dyDescent="0.25">
      <c r="A4474"/>
    </row>
    <row r="4475" spans="1:1" x14ac:dyDescent="0.25">
      <c r="A4475"/>
    </row>
    <row r="4476" spans="1:1" x14ac:dyDescent="0.25">
      <c r="A4476"/>
    </row>
    <row r="4477" spans="1:1" x14ac:dyDescent="0.25">
      <c r="A4477"/>
    </row>
    <row r="4478" spans="1:1" x14ac:dyDescent="0.25">
      <c r="A4478"/>
    </row>
    <row r="4479" spans="1:1" x14ac:dyDescent="0.25">
      <c r="A4479"/>
    </row>
    <row r="4480" spans="1:1" x14ac:dyDescent="0.25">
      <c r="A4480"/>
    </row>
    <row r="4481" spans="1:1" x14ac:dyDescent="0.25">
      <c r="A4481"/>
    </row>
    <row r="4482" spans="1:1" x14ac:dyDescent="0.25">
      <c r="A4482"/>
    </row>
    <row r="4483" spans="1:1" x14ac:dyDescent="0.25">
      <c r="A4483"/>
    </row>
    <row r="4484" spans="1:1" x14ac:dyDescent="0.25">
      <c r="A4484"/>
    </row>
    <row r="4485" spans="1:1" x14ac:dyDescent="0.25">
      <c r="A4485"/>
    </row>
    <row r="4486" spans="1:1" x14ac:dyDescent="0.25">
      <c r="A4486"/>
    </row>
    <row r="4487" spans="1:1" x14ac:dyDescent="0.25">
      <c r="A4487"/>
    </row>
    <row r="4488" spans="1:1" x14ac:dyDescent="0.25">
      <c r="A4488"/>
    </row>
    <row r="4489" spans="1:1" x14ac:dyDescent="0.25">
      <c r="A4489"/>
    </row>
    <row r="4490" spans="1:1" x14ac:dyDescent="0.25">
      <c r="A4490"/>
    </row>
    <row r="4491" spans="1:1" x14ac:dyDescent="0.25">
      <c r="A4491"/>
    </row>
    <row r="4492" spans="1:1" x14ac:dyDescent="0.25">
      <c r="A4492"/>
    </row>
    <row r="4493" spans="1:1" x14ac:dyDescent="0.25">
      <c r="A4493"/>
    </row>
    <row r="4494" spans="1:1" x14ac:dyDescent="0.25">
      <c r="A4494"/>
    </row>
    <row r="4495" spans="1:1" x14ac:dyDescent="0.25">
      <c r="A4495"/>
    </row>
    <row r="4496" spans="1:1" x14ac:dyDescent="0.25">
      <c r="A4496"/>
    </row>
    <row r="4497" spans="1:1" x14ac:dyDescent="0.25">
      <c r="A4497"/>
    </row>
    <row r="4498" spans="1:1" x14ac:dyDescent="0.25">
      <c r="A4498"/>
    </row>
    <row r="4499" spans="1:1" x14ac:dyDescent="0.25">
      <c r="A4499"/>
    </row>
    <row r="4500" spans="1:1" x14ac:dyDescent="0.25">
      <c r="A4500"/>
    </row>
    <row r="4501" spans="1:1" x14ac:dyDescent="0.25">
      <c r="A4501"/>
    </row>
    <row r="4502" spans="1:1" x14ac:dyDescent="0.25">
      <c r="A4502"/>
    </row>
    <row r="4503" spans="1:1" x14ac:dyDescent="0.25">
      <c r="A4503"/>
    </row>
    <row r="4504" spans="1:1" x14ac:dyDescent="0.25">
      <c r="A4504"/>
    </row>
    <row r="4505" spans="1:1" x14ac:dyDescent="0.25">
      <c r="A4505"/>
    </row>
    <row r="4506" spans="1:1" x14ac:dyDescent="0.25">
      <c r="A4506"/>
    </row>
    <row r="4507" spans="1:1" x14ac:dyDescent="0.25">
      <c r="A4507"/>
    </row>
    <row r="4508" spans="1:1" x14ac:dyDescent="0.25">
      <c r="A4508"/>
    </row>
    <row r="4509" spans="1:1" x14ac:dyDescent="0.25">
      <c r="A4509"/>
    </row>
    <row r="4510" spans="1:1" x14ac:dyDescent="0.25">
      <c r="A4510"/>
    </row>
    <row r="4511" spans="1:1" x14ac:dyDescent="0.25">
      <c r="A4511"/>
    </row>
    <row r="4512" spans="1:1" x14ac:dyDescent="0.25">
      <c r="A4512"/>
    </row>
    <row r="4513" spans="1:1" x14ac:dyDescent="0.25">
      <c r="A4513"/>
    </row>
    <row r="4514" spans="1:1" x14ac:dyDescent="0.25">
      <c r="A4514"/>
    </row>
    <row r="4515" spans="1:1" x14ac:dyDescent="0.25">
      <c r="A4515"/>
    </row>
    <row r="4516" spans="1:1" x14ac:dyDescent="0.25">
      <c r="A4516"/>
    </row>
    <row r="4517" spans="1:1" x14ac:dyDescent="0.25">
      <c r="A4517"/>
    </row>
    <row r="4518" spans="1:1" x14ac:dyDescent="0.25">
      <c r="A4518"/>
    </row>
    <row r="4519" spans="1:1" x14ac:dyDescent="0.25">
      <c r="A4519"/>
    </row>
    <row r="4520" spans="1:1" x14ac:dyDescent="0.25">
      <c r="A4520"/>
    </row>
    <row r="4521" spans="1:1" x14ac:dyDescent="0.25">
      <c r="A4521"/>
    </row>
    <row r="4522" spans="1:1" x14ac:dyDescent="0.25">
      <c r="A4522"/>
    </row>
    <row r="4523" spans="1:1" x14ac:dyDescent="0.25">
      <c r="A4523"/>
    </row>
    <row r="4524" spans="1:1" x14ac:dyDescent="0.25">
      <c r="A4524"/>
    </row>
    <row r="4525" spans="1:1" x14ac:dyDescent="0.25">
      <c r="A4525"/>
    </row>
    <row r="4526" spans="1:1" x14ac:dyDescent="0.25">
      <c r="A4526"/>
    </row>
    <row r="4527" spans="1:1" x14ac:dyDescent="0.25">
      <c r="A4527"/>
    </row>
    <row r="4528" spans="1:1" x14ac:dyDescent="0.25">
      <c r="A4528"/>
    </row>
    <row r="4529" spans="1:1" x14ac:dyDescent="0.25">
      <c r="A4529"/>
    </row>
    <row r="4530" spans="1:1" x14ac:dyDescent="0.25">
      <c r="A4530"/>
    </row>
    <row r="4531" spans="1:1" x14ac:dyDescent="0.25">
      <c r="A4531"/>
    </row>
    <row r="4532" spans="1:1" x14ac:dyDescent="0.25">
      <c r="A4532"/>
    </row>
    <row r="4533" spans="1:1" x14ac:dyDescent="0.25">
      <c r="A4533"/>
    </row>
    <row r="4534" spans="1:1" x14ac:dyDescent="0.25">
      <c r="A4534"/>
    </row>
    <row r="4535" spans="1:1" x14ac:dyDescent="0.25">
      <c r="A4535"/>
    </row>
    <row r="4536" spans="1:1" x14ac:dyDescent="0.25">
      <c r="A4536"/>
    </row>
    <row r="4537" spans="1:1" x14ac:dyDescent="0.25">
      <c r="A4537"/>
    </row>
    <row r="4538" spans="1:1" x14ac:dyDescent="0.25">
      <c r="A4538"/>
    </row>
    <row r="4539" spans="1:1" x14ac:dyDescent="0.25">
      <c r="A4539"/>
    </row>
    <row r="4540" spans="1:1" x14ac:dyDescent="0.25">
      <c r="A4540"/>
    </row>
    <row r="4541" spans="1:1" x14ac:dyDescent="0.25">
      <c r="A4541"/>
    </row>
    <row r="4542" spans="1:1" x14ac:dyDescent="0.25">
      <c r="A4542"/>
    </row>
    <row r="4543" spans="1:1" x14ac:dyDescent="0.25">
      <c r="A4543"/>
    </row>
    <row r="4544" spans="1:1" x14ac:dyDescent="0.25">
      <c r="A4544"/>
    </row>
    <row r="4545" spans="1:1" x14ac:dyDescent="0.25">
      <c r="A4545"/>
    </row>
    <row r="4546" spans="1:1" x14ac:dyDescent="0.25">
      <c r="A4546"/>
    </row>
    <row r="4547" spans="1:1" x14ac:dyDescent="0.25">
      <c r="A4547"/>
    </row>
    <row r="4548" spans="1:1" x14ac:dyDescent="0.25">
      <c r="A4548"/>
    </row>
    <row r="4549" spans="1:1" x14ac:dyDescent="0.25">
      <c r="A4549"/>
    </row>
    <row r="4550" spans="1:1" x14ac:dyDescent="0.25">
      <c r="A4550"/>
    </row>
    <row r="4551" spans="1:1" x14ac:dyDescent="0.25">
      <c r="A4551"/>
    </row>
    <row r="4552" spans="1:1" x14ac:dyDescent="0.25">
      <c r="A4552"/>
    </row>
    <row r="4553" spans="1:1" x14ac:dyDescent="0.25">
      <c r="A4553"/>
    </row>
    <row r="4554" spans="1:1" x14ac:dyDescent="0.25">
      <c r="A4554"/>
    </row>
    <row r="4555" spans="1:1" x14ac:dyDescent="0.25">
      <c r="A4555"/>
    </row>
    <row r="4556" spans="1:1" x14ac:dyDescent="0.25">
      <c r="A4556"/>
    </row>
    <row r="4557" spans="1:1" x14ac:dyDescent="0.25">
      <c r="A4557"/>
    </row>
    <row r="4558" spans="1:1" x14ac:dyDescent="0.25">
      <c r="A4558"/>
    </row>
    <row r="4559" spans="1:1" x14ac:dyDescent="0.25">
      <c r="A4559"/>
    </row>
    <row r="4560" spans="1:1" x14ac:dyDescent="0.25">
      <c r="A4560"/>
    </row>
    <row r="4561" spans="1:1" x14ac:dyDescent="0.25">
      <c r="A4561"/>
    </row>
    <row r="4562" spans="1:1" x14ac:dyDescent="0.25">
      <c r="A4562"/>
    </row>
    <row r="4563" spans="1:1" x14ac:dyDescent="0.25">
      <c r="A4563"/>
    </row>
    <row r="4564" spans="1:1" x14ac:dyDescent="0.25">
      <c r="A4564"/>
    </row>
    <row r="4565" spans="1:1" x14ac:dyDescent="0.25">
      <c r="A4565"/>
    </row>
    <row r="4566" spans="1:1" x14ac:dyDescent="0.25">
      <c r="A4566"/>
    </row>
    <row r="4567" spans="1:1" x14ac:dyDescent="0.25">
      <c r="A4567"/>
    </row>
    <row r="4568" spans="1:1" x14ac:dyDescent="0.25">
      <c r="A4568"/>
    </row>
    <row r="4569" spans="1:1" x14ac:dyDescent="0.25">
      <c r="A4569"/>
    </row>
    <row r="4570" spans="1:1" x14ac:dyDescent="0.25">
      <c r="A4570"/>
    </row>
    <row r="4571" spans="1:1" x14ac:dyDescent="0.25">
      <c r="A4571"/>
    </row>
    <row r="4572" spans="1:1" x14ac:dyDescent="0.25">
      <c r="A4572"/>
    </row>
    <row r="4573" spans="1:1" x14ac:dyDescent="0.25">
      <c r="A4573"/>
    </row>
    <row r="4574" spans="1:1" x14ac:dyDescent="0.25">
      <c r="A4574"/>
    </row>
    <row r="4575" spans="1:1" x14ac:dyDescent="0.25">
      <c r="A4575"/>
    </row>
    <row r="4576" spans="1:1" x14ac:dyDescent="0.25">
      <c r="A4576"/>
    </row>
    <row r="4577" spans="1:1" x14ac:dyDescent="0.25">
      <c r="A4577"/>
    </row>
    <row r="4578" spans="1:1" x14ac:dyDescent="0.25">
      <c r="A4578"/>
    </row>
    <row r="4579" spans="1:1" x14ac:dyDescent="0.25">
      <c r="A4579"/>
    </row>
    <row r="4580" spans="1:1" x14ac:dyDescent="0.25">
      <c r="A4580"/>
    </row>
    <row r="4581" spans="1:1" x14ac:dyDescent="0.25">
      <c r="A4581"/>
    </row>
    <row r="4582" spans="1:1" x14ac:dyDescent="0.25">
      <c r="A4582"/>
    </row>
    <row r="4583" spans="1:1" x14ac:dyDescent="0.25">
      <c r="A4583"/>
    </row>
    <row r="4584" spans="1:1" x14ac:dyDescent="0.25">
      <c r="A4584"/>
    </row>
    <row r="4585" spans="1:1" x14ac:dyDescent="0.25">
      <c r="A4585"/>
    </row>
    <row r="4586" spans="1:1" x14ac:dyDescent="0.25">
      <c r="A4586"/>
    </row>
    <row r="4587" spans="1:1" x14ac:dyDescent="0.25">
      <c r="A4587"/>
    </row>
    <row r="4588" spans="1:1" x14ac:dyDescent="0.25">
      <c r="A4588"/>
    </row>
    <row r="4589" spans="1:1" x14ac:dyDescent="0.25">
      <c r="A4589"/>
    </row>
    <row r="4590" spans="1:1" x14ac:dyDescent="0.25">
      <c r="A4590"/>
    </row>
    <row r="4591" spans="1:1" x14ac:dyDescent="0.25">
      <c r="A4591"/>
    </row>
    <row r="4592" spans="1:1" x14ac:dyDescent="0.25">
      <c r="A4592"/>
    </row>
    <row r="4593" spans="1:1" x14ac:dyDescent="0.25">
      <c r="A4593"/>
    </row>
    <row r="4594" spans="1:1" x14ac:dyDescent="0.25">
      <c r="A4594"/>
    </row>
    <row r="4595" spans="1:1" x14ac:dyDescent="0.25">
      <c r="A4595"/>
    </row>
    <row r="4596" spans="1:1" x14ac:dyDescent="0.25">
      <c r="A4596"/>
    </row>
    <row r="4597" spans="1:1" x14ac:dyDescent="0.25">
      <c r="A4597"/>
    </row>
    <row r="4598" spans="1:1" x14ac:dyDescent="0.25">
      <c r="A4598"/>
    </row>
    <row r="4599" spans="1:1" x14ac:dyDescent="0.25">
      <c r="A4599"/>
    </row>
    <row r="4600" spans="1:1" x14ac:dyDescent="0.25">
      <c r="A4600"/>
    </row>
    <row r="4601" spans="1:1" x14ac:dyDescent="0.25">
      <c r="A4601"/>
    </row>
    <row r="4602" spans="1:1" x14ac:dyDescent="0.25">
      <c r="A4602"/>
    </row>
    <row r="4603" spans="1:1" x14ac:dyDescent="0.25">
      <c r="A4603"/>
    </row>
    <row r="4604" spans="1:1" x14ac:dyDescent="0.25">
      <c r="A4604"/>
    </row>
    <row r="4605" spans="1:1" x14ac:dyDescent="0.25">
      <c r="A4605"/>
    </row>
    <row r="4606" spans="1:1" x14ac:dyDescent="0.25">
      <c r="A4606"/>
    </row>
    <row r="4607" spans="1:1" x14ac:dyDescent="0.25">
      <c r="A4607"/>
    </row>
    <row r="4608" spans="1:1" x14ac:dyDescent="0.25">
      <c r="A4608"/>
    </row>
    <row r="4609" spans="1:1" x14ac:dyDescent="0.25">
      <c r="A4609"/>
    </row>
    <row r="4610" spans="1:1" x14ac:dyDescent="0.25">
      <c r="A4610"/>
    </row>
    <row r="4611" spans="1:1" x14ac:dyDescent="0.25">
      <c r="A4611"/>
    </row>
    <row r="4612" spans="1:1" x14ac:dyDescent="0.25">
      <c r="A4612"/>
    </row>
    <row r="4613" spans="1:1" x14ac:dyDescent="0.25">
      <c r="A4613"/>
    </row>
    <row r="4614" spans="1:1" x14ac:dyDescent="0.25">
      <c r="A4614"/>
    </row>
    <row r="4615" spans="1:1" x14ac:dyDescent="0.25">
      <c r="A4615"/>
    </row>
    <row r="4616" spans="1:1" x14ac:dyDescent="0.25">
      <c r="A4616"/>
    </row>
    <row r="4617" spans="1:1" x14ac:dyDescent="0.25">
      <c r="A4617"/>
    </row>
    <row r="4618" spans="1:1" x14ac:dyDescent="0.25">
      <c r="A4618"/>
    </row>
    <row r="4619" spans="1:1" x14ac:dyDescent="0.25">
      <c r="A4619"/>
    </row>
    <row r="4620" spans="1:1" x14ac:dyDescent="0.25">
      <c r="A4620"/>
    </row>
    <row r="4621" spans="1:1" x14ac:dyDescent="0.25">
      <c r="A4621"/>
    </row>
    <row r="4622" spans="1:1" x14ac:dyDescent="0.25">
      <c r="A4622"/>
    </row>
    <row r="4623" spans="1:1" x14ac:dyDescent="0.25">
      <c r="A4623"/>
    </row>
    <row r="4624" spans="1:1" x14ac:dyDescent="0.25">
      <c r="A4624"/>
    </row>
    <row r="4625" spans="1:1" x14ac:dyDescent="0.25">
      <c r="A4625"/>
    </row>
    <row r="4626" spans="1:1" x14ac:dyDescent="0.25">
      <c r="A4626"/>
    </row>
    <row r="4627" spans="1:1" x14ac:dyDescent="0.25">
      <c r="A4627"/>
    </row>
    <row r="4628" spans="1:1" x14ac:dyDescent="0.25">
      <c r="A4628"/>
    </row>
    <row r="4629" spans="1:1" x14ac:dyDescent="0.25">
      <c r="A4629"/>
    </row>
    <row r="4630" spans="1:1" x14ac:dyDescent="0.25">
      <c r="A4630"/>
    </row>
    <row r="4631" spans="1:1" x14ac:dyDescent="0.25">
      <c r="A4631"/>
    </row>
    <row r="4632" spans="1:1" x14ac:dyDescent="0.25">
      <c r="A4632"/>
    </row>
    <row r="4633" spans="1:1" x14ac:dyDescent="0.25">
      <c r="A4633"/>
    </row>
    <row r="4634" spans="1:1" x14ac:dyDescent="0.25">
      <c r="A4634"/>
    </row>
    <row r="4635" spans="1:1" x14ac:dyDescent="0.25">
      <c r="A4635"/>
    </row>
    <row r="4636" spans="1:1" x14ac:dyDescent="0.25">
      <c r="A4636"/>
    </row>
    <row r="4637" spans="1:1" x14ac:dyDescent="0.25">
      <c r="A4637"/>
    </row>
    <row r="4638" spans="1:1" x14ac:dyDescent="0.25">
      <c r="A4638"/>
    </row>
    <row r="4639" spans="1:1" x14ac:dyDescent="0.25">
      <c r="A4639"/>
    </row>
    <row r="4640" spans="1:1" x14ac:dyDescent="0.25">
      <c r="A4640"/>
    </row>
    <row r="4641" spans="1:1" x14ac:dyDescent="0.25">
      <c r="A4641"/>
    </row>
    <row r="4642" spans="1:1" x14ac:dyDescent="0.25">
      <c r="A4642"/>
    </row>
    <row r="4643" spans="1:1" x14ac:dyDescent="0.25">
      <c r="A4643"/>
    </row>
    <row r="4644" spans="1:1" x14ac:dyDescent="0.25">
      <c r="A4644"/>
    </row>
    <row r="4645" spans="1:1" x14ac:dyDescent="0.25">
      <c r="A4645"/>
    </row>
    <row r="4646" spans="1:1" x14ac:dyDescent="0.25">
      <c r="A4646"/>
    </row>
    <row r="4647" spans="1:1" x14ac:dyDescent="0.25">
      <c r="A4647"/>
    </row>
    <row r="4648" spans="1:1" x14ac:dyDescent="0.25">
      <c r="A4648"/>
    </row>
    <row r="4649" spans="1:1" x14ac:dyDescent="0.25">
      <c r="A4649"/>
    </row>
    <row r="4650" spans="1:1" x14ac:dyDescent="0.25">
      <c r="A4650"/>
    </row>
    <row r="4651" spans="1:1" x14ac:dyDescent="0.25">
      <c r="A4651"/>
    </row>
    <row r="4652" spans="1:1" x14ac:dyDescent="0.25">
      <c r="A4652"/>
    </row>
    <row r="4653" spans="1:1" x14ac:dyDescent="0.25">
      <c r="A4653"/>
    </row>
    <row r="4654" spans="1:1" x14ac:dyDescent="0.25">
      <c r="A4654"/>
    </row>
    <row r="4655" spans="1:1" x14ac:dyDescent="0.25">
      <c r="A4655"/>
    </row>
    <row r="4656" spans="1:1" x14ac:dyDescent="0.25">
      <c r="A4656"/>
    </row>
    <row r="4657" spans="1:1" x14ac:dyDescent="0.25">
      <c r="A4657"/>
    </row>
    <row r="4658" spans="1:1" x14ac:dyDescent="0.25">
      <c r="A4658"/>
    </row>
    <row r="4659" spans="1:1" x14ac:dyDescent="0.25">
      <c r="A4659"/>
    </row>
    <row r="4660" spans="1:1" x14ac:dyDescent="0.25">
      <c r="A4660"/>
    </row>
    <row r="4661" spans="1:1" x14ac:dyDescent="0.25">
      <c r="A4661"/>
    </row>
    <row r="4662" spans="1:1" x14ac:dyDescent="0.25">
      <c r="A4662"/>
    </row>
    <row r="4663" spans="1:1" x14ac:dyDescent="0.25">
      <c r="A4663"/>
    </row>
    <row r="4664" spans="1:1" x14ac:dyDescent="0.25">
      <c r="A4664"/>
    </row>
    <row r="4665" spans="1:1" x14ac:dyDescent="0.25">
      <c r="A4665"/>
    </row>
    <row r="4666" spans="1:1" x14ac:dyDescent="0.25">
      <c r="A4666"/>
    </row>
    <row r="4667" spans="1:1" x14ac:dyDescent="0.25">
      <c r="A4667"/>
    </row>
    <row r="4668" spans="1:1" x14ac:dyDescent="0.25">
      <c r="A4668"/>
    </row>
    <row r="4669" spans="1:1" x14ac:dyDescent="0.25">
      <c r="A4669"/>
    </row>
    <row r="4670" spans="1:1" x14ac:dyDescent="0.25">
      <c r="A4670"/>
    </row>
    <row r="4671" spans="1:1" x14ac:dyDescent="0.25">
      <c r="A4671"/>
    </row>
    <row r="4672" spans="1:1" x14ac:dyDescent="0.25">
      <c r="A4672"/>
    </row>
    <row r="4673" spans="1:1" x14ac:dyDescent="0.25">
      <c r="A4673"/>
    </row>
    <row r="4674" spans="1:1" x14ac:dyDescent="0.25">
      <c r="A4674"/>
    </row>
    <row r="4675" spans="1:1" x14ac:dyDescent="0.25">
      <c r="A4675"/>
    </row>
    <row r="4676" spans="1:1" x14ac:dyDescent="0.25">
      <c r="A4676"/>
    </row>
    <row r="4677" spans="1:1" x14ac:dyDescent="0.25">
      <c r="A4677"/>
    </row>
    <row r="4678" spans="1:1" x14ac:dyDescent="0.25">
      <c r="A4678"/>
    </row>
    <row r="4679" spans="1:1" x14ac:dyDescent="0.25">
      <c r="A4679"/>
    </row>
    <row r="4680" spans="1:1" x14ac:dyDescent="0.25">
      <c r="A4680"/>
    </row>
    <row r="4681" spans="1:1" x14ac:dyDescent="0.25">
      <c r="A4681"/>
    </row>
    <row r="4682" spans="1:1" x14ac:dyDescent="0.25">
      <c r="A4682"/>
    </row>
    <row r="4683" spans="1:1" x14ac:dyDescent="0.25">
      <c r="A4683"/>
    </row>
    <row r="4684" spans="1:1" x14ac:dyDescent="0.25">
      <c r="A4684"/>
    </row>
    <row r="4685" spans="1:1" x14ac:dyDescent="0.25">
      <c r="A4685"/>
    </row>
    <row r="4686" spans="1:1" x14ac:dyDescent="0.25">
      <c r="A4686"/>
    </row>
    <row r="4687" spans="1:1" x14ac:dyDescent="0.25">
      <c r="A4687"/>
    </row>
    <row r="4688" spans="1:1" x14ac:dyDescent="0.25">
      <c r="A4688"/>
    </row>
    <row r="4689" spans="1:1" x14ac:dyDescent="0.25">
      <c r="A4689"/>
    </row>
    <row r="4690" spans="1:1" x14ac:dyDescent="0.25">
      <c r="A4690"/>
    </row>
    <row r="4691" spans="1:1" x14ac:dyDescent="0.25">
      <c r="A4691"/>
    </row>
    <row r="4692" spans="1:1" x14ac:dyDescent="0.25">
      <c r="A4692"/>
    </row>
    <row r="4693" spans="1:1" x14ac:dyDescent="0.25">
      <c r="A4693"/>
    </row>
    <row r="4694" spans="1:1" x14ac:dyDescent="0.25">
      <c r="A4694"/>
    </row>
    <row r="4695" spans="1:1" x14ac:dyDescent="0.25">
      <c r="A4695"/>
    </row>
    <row r="4696" spans="1:1" x14ac:dyDescent="0.25">
      <c r="A4696"/>
    </row>
    <row r="4697" spans="1:1" x14ac:dyDescent="0.25">
      <c r="A4697"/>
    </row>
    <row r="4698" spans="1:1" x14ac:dyDescent="0.25">
      <c r="A4698"/>
    </row>
    <row r="4699" spans="1:1" x14ac:dyDescent="0.25">
      <c r="A4699"/>
    </row>
    <row r="4700" spans="1:1" x14ac:dyDescent="0.25">
      <c r="A4700"/>
    </row>
    <row r="4701" spans="1:1" x14ac:dyDescent="0.25">
      <c r="A4701"/>
    </row>
    <row r="4702" spans="1:1" x14ac:dyDescent="0.25">
      <c r="A4702"/>
    </row>
    <row r="4703" spans="1:1" x14ac:dyDescent="0.25">
      <c r="A4703"/>
    </row>
    <row r="4704" spans="1:1" x14ac:dyDescent="0.25">
      <c r="A4704"/>
    </row>
    <row r="4705" spans="1:1" x14ac:dyDescent="0.25">
      <c r="A4705"/>
    </row>
    <row r="4706" spans="1:1" x14ac:dyDescent="0.25">
      <c r="A4706"/>
    </row>
    <row r="4707" spans="1:1" x14ac:dyDescent="0.25">
      <c r="A4707"/>
    </row>
    <row r="4708" spans="1:1" x14ac:dyDescent="0.25">
      <c r="A4708"/>
    </row>
    <row r="4709" spans="1:1" x14ac:dyDescent="0.25">
      <c r="A4709"/>
    </row>
    <row r="4710" spans="1:1" x14ac:dyDescent="0.25">
      <c r="A4710"/>
    </row>
    <row r="4711" spans="1:1" x14ac:dyDescent="0.25">
      <c r="A4711"/>
    </row>
    <row r="4712" spans="1:1" x14ac:dyDescent="0.25">
      <c r="A4712"/>
    </row>
    <row r="4713" spans="1:1" x14ac:dyDescent="0.25">
      <c r="A4713"/>
    </row>
    <row r="4714" spans="1:1" x14ac:dyDescent="0.25">
      <c r="A4714"/>
    </row>
    <row r="4715" spans="1:1" x14ac:dyDescent="0.25">
      <c r="A4715"/>
    </row>
    <row r="4716" spans="1:1" x14ac:dyDescent="0.25">
      <c r="A4716"/>
    </row>
    <row r="4717" spans="1:1" x14ac:dyDescent="0.25">
      <c r="A4717"/>
    </row>
    <row r="4718" spans="1:1" x14ac:dyDescent="0.25">
      <c r="A4718"/>
    </row>
    <row r="4719" spans="1:1" x14ac:dyDescent="0.25">
      <c r="A4719"/>
    </row>
    <row r="4720" spans="1:1" x14ac:dyDescent="0.25">
      <c r="A4720"/>
    </row>
    <row r="4721" spans="1:1" x14ac:dyDescent="0.25">
      <c r="A4721"/>
    </row>
    <row r="4722" spans="1:1" x14ac:dyDescent="0.25">
      <c r="A4722"/>
    </row>
    <row r="4723" spans="1:1" x14ac:dyDescent="0.25">
      <c r="A4723"/>
    </row>
    <row r="4724" spans="1:1" x14ac:dyDescent="0.25">
      <c r="A4724"/>
    </row>
    <row r="4725" spans="1:1" x14ac:dyDescent="0.25">
      <c r="A4725"/>
    </row>
    <row r="4726" spans="1:1" x14ac:dyDescent="0.25">
      <c r="A4726"/>
    </row>
    <row r="4727" spans="1:1" x14ac:dyDescent="0.25">
      <c r="A4727"/>
    </row>
    <row r="4728" spans="1:1" x14ac:dyDescent="0.25">
      <c r="A4728"/>
    </row>
    <row r="4729" spans="1:1" x14ac:dyDescent="0.25">
      <c r="A4729"/>
    </row>
    <row r="4730" spans="1:1" x14ac:dyDescent="0.25">
      <c r="A4730"/>
    </row>
    <row r="4731" spans="1:1" x14ac:dyDescent="0.25">
      <c r="A4731"/>
    </row>
    <row r="4732" spans="1:1" x14ac:dyDescent="0.25">
      <c r="A4732"/>
    </row>
    <row r="4733" spans="1:1" x14ac:dyDescent="0.25">
      <c r="A4733"/>
    </row>
    <row r="4734" spans="1:1" x14ac:dyDescent="0.25">
      <c r="A4734"/>
    </row>
    <row r="4735" spans="1:1" x14ac:dyDescent="0.25">
      <c r="A4735"/>
    </row>
    <row r="4736" spans="1:1" x14ac:dyDescent="0.25">
      <c r="A4736"/>
    </row>
    <row r="4737" spans="1:1" x14ac:dyDescent="0.25">
      <c r="A4737"/>
    </row>
    <row r="4738" spans="1:1" x14ac:dyDescent="0.25">
      <c r="A4738"/>
    </row>
    <row r="4739" spans="1:1" x14ac:dyDescent="0.25">
      <c r="A4739"/>
    </row>
    <row r="4740" spans="1:1" x14ac:dyDescent="0.25">
      <c r="A4740"/>
    </row>
    <row r="4741" spans="1:1" x14ac:dyDescent="0.25">
      <c r="A4741"/>
    </row>
    <row r="4742" spans="1:1" x14ac:dyDescent="0.25">
      <c r="A4742"/>
    </row>
    <row r="4743" spans="1:1" x14ac:dyDescent="0.25">
      <c r="A4743"/>
    </row>
    <row r="4744" spans="1:1" x14ac:dyDescent="0.25">
      <c r="A4744"/>
    </row>
    <row r="4745" spans="1:1" x14ac:dyDescent="0.25">
      <c r="A4745"/>
    </row>
    <row r="4746" spans="1:1" x14ac:dyDescent="0.25">
      <c r="A4746"/>
    </row>
    <row r="4747" spans="1:1" x14ac:dyDescent="0.25">
      <c r="A4747"/>
    </row>
    <row r="4748" spans="1:1" x14ac:dyDescent="0.25">
      <c r="A4748"/>
    </row>
    <row r="4749" spans="1:1" x14ac:dyDescent="0.25">
      <c r="A4749"/>
    </row>
    <row r="4750" spans="1:1" x14ac:dyDescent="0.25">
      <c r="A4750"/>
    </row>
    <row r="4751" spans="1:1" x14ac:dyDescent="0.25">
      <c r="A4751"/>
    </row>
    <row r="4752" spans="1:1" x14ac:dyDescent="0.25">
      <c r="A4752"/>
    </row>
    <row r="4753" spans="1:1" x14ac:dyDescent="0.25">
      <c r="A4753"/>
    </row>
    <row r="4754" spans="1:1" x14ac:dyDescent="0.25">
      <c r="A4754"/>
    </row>
    <row r="4755" spans="1:1" x14ac:dyDescent="0.25">
      <c r="A4755"/>
    </row>
    <row r="4756" spans="1:1" x14ac:dyDescent="0.25">
      <c r="A4756"/>
    </row>
    <row r="4757" spans="1:1" x14ac:dyDescent="0.25">
      <c r="A4757"/>
    </row>
    <row r="4758" spans="1:1" x14ac:dyDescent="0.25">
      <c r="A4758"/>
    </row>
    <row r="4759" spans="1:1" x14ac:dyDescent="0.25">
      <c r="A4759"/>
    </row>
    <row r="4760" spans="1:1" x14ac:dyDescent="0.25">
      <c r="A4760"/>
    </row>
    <row r="4761" spans="1:1" x14ac:dyDescent="0.25">
      <c r="A4761"/>
    </row>
    <row r="4762" spans="1:1" x14ac:dyDescent="0.25">
      <c r="A4762"/>
    </row>
    <row r="4763" spans="1:1" x14ac:dyDescent="0.25">
      <c r="A4763"/>
    </row>
    <row r="4764" spans="1:1" x14ac:dyDescent="0.25">
      <c r="A4764"/>
    </row>
    <row r="4765" spans="1:1" x14ac:dyDescent="0.25">
      <c r="A4765"/>
    </row>
    <row r="4766" spans="1:1" x14ac:dyDescent="0.25">
      <c r="A4766"/>
    </row>
    <row r="4767" spans="1:1" x14ac:dyDescent="0.25">
      <c r="A4767"/>
    </row>
    <row r="4768" spans="1:1" x14ac:dyDescent="0.25">
      <c r="A4768"/>
    </row>
    <row r="4769" spans="1:1" x14ac:dyDescent="0.25">
      <c r="A4769"/>
    </row>
    <row r="4770" spans="1:1" x14ac:dyDescent="0.25">
      <c r="A4770"/>
    </row>
    <row r="4771" spans="1:1" x14ac:dyDescent="0.25">
      <c r="A4771"/>
    </row>
    <row r="4772" spans="1:1" x14ac:dyDescent="0.25">
      <c r="A4772"/>
    </row>
    <row r="4773" spans="1:1" x14ac:dyDescent="0.25">
      <c r="A4773"/>
    </row>
    <row r="4774" spans="1:1" x14ac:dyDescent="0.25">
      <c r="A4774"/>
    </row>
    <row r="4775" spans="1:1" x14ac:dyDescent="0.25">
      <c r="A4775"/>
    </row>
    <row r="4776" spans="1:1" x14ac:dyDescent="0.25">
      <c r="A4776"/>
    </row>
    <row r="4777" spans="1:1" x14ac:dyDescent="0.25">
      <c r="A4777"/>
    </row>
    <row r="4778" spans="1:1" x14ac:dyDescent="0.25">
      <c r="A4778"/>
    </row>
    <row r="4779" spans="1:1" x14ac:dyDescent="0.25">
      <c r="A4779"/>
    </row>
    <row r="4780" spans="1:1" x14ac:dyDescent="0.25">
      <c r="A4780"/>
    </row>
    <row r="4781" spans="1:1" x14ac:dyDescent="0.25">
      <c r="A4781"/>
    </row>
    <row r="4782" spans="1:1" x14ac:dyDescent="0.25">
      <c r="A4782"/>
    </row>
    <row r="4783" spans="1:1" x14ac:dyDescent="0.25">
      <c r="A4783"/>
    </row>
    <row r="4784" spans="1:1" x14ac:dyDescent="0.25">
      <c r="A4784"/>
    </row>
    <row r="4785" spans="1:1" x14ac:dyDescent="0.25">
      <c r="A4785"/>
    </row>
    <row r="4786" spans="1:1" x14ac:dyDescent="0.25">
      <c r="A4786"/>
    </row>
    <row r="4787" spans="1:1" x14ac:dyDescent="0.25">
      <c r="A4787"/>
    </row>
    <row r="4788" spans="1:1" x14ac:dyDescent="0.25">
      <c r="A4788"/>
    </row>
    <row r="4789" spans="1:1" x14ac:dyDescent="0.25">
      <c r="A4789"/>
    </row>
    <row r="4790" spans="1:1" x14ac:dyDescent="0.25">
      <c r="A4790"/>
    </row>
    <row r="4791" spans="1:1" x14ac:dyDescent="0.25">
      <c r="A4791"/>
    </row>
    <row r="4792" spans="1:1" x14ac:dyDescent="0.25">
      <c r="A4792"/>
    </row>
    <row r="4793" spans="1:1" x14ac:dyDescent="0.25">
      <c r="A4793"/>
    </row>
    <row r="4794" spans="1:1" x14ac:dyDescent="0.25">
      <c r="A4794"/>
    </row>
    <row r="4795" spans="1:1" x14ac:dyDescent="0.25">
      <c r="A4795"/>
    </row>
    <row r="4796" spans="1:1" x14ac:dyDescent="0.25">
      <c r="A4796"/>
    </row>
    <row r="4797" spans="1:1" x14ac:dyDescent="0.25">
      <c r="A4797"/>
    </row>
    <row r="4798" spans="1:1" x14ac:dyDescent="0.25">
      <c r="A4798"/>
    </row>
    <row r="4799" spans="1:1" x14ac:dyDescent="0.25">
      <c r="A4799"/>
    </row>
    <row r="4800" spans="1:1" x14ac:dyDescent="0.25">
      <c r="A4800"/>
    </row>
    <row r="4801" spans="1:1" x14ac:dyDescent="0.25">
      <c r="A4801"/>
    </row>
    <row r="4802" spans="1:1" x14ac:dyDescent="0.25">
      <c r="A4802"/>
    </row>
    <row r="4803" spans="1:1" x14ac:dyDescent="0.25">
      <c r="A4803"/>
    </row>
    <row r="4804" spans="1:1" x14ac:dyDescent="0.25">
      <c r="A4804"/>
    </row>
    <row r="4805" spans="1:1" x14ac:dyDescent="0.25">
      <c r="A4805"/>
    </row>
    <row r="4806" spans="1:1" x14ac:dyDescent="0.25">
      <c r="A4806"/>
    </row>
    <row r="4807" spans="1:1" x14ac:dyDescent="0.25">
      <c r="A4807"/>
    </row>
    <row r="4808" spans="1:1" x14ac:dyDescent="0.25">
      <c r="A4808"/>
    </row>
    <row r="4809" spans="1:1" x14ac:dyDescent="0.25">
      <c r="A4809"/>
    </row>
    <row r="4810" spans="1:1" x14ac:dyDescent="0.25">
      <c r="A4810"/>
    </row>
    <row r="4811" spans="1:1" x14ac:dyDescent="0.25">
      <c r="A4811"/>
    </row>
    <row r="4812" spans="1:1" x14ac:dyDescent="0.25">
      <c r="A4812"/>
    </row>
    <row r="4813" spans="1:1" x14ac:dyDescent="0.25">
      <c r="A4813"/>
    </row>
    <row r="4814" spans="1:1" x14ac:dyDescent="0.25">
      <c r="A4814"/>
    </row>
    <row r="4815" spans="1:1" x14ac:dyDescent="0.25">
      <c r="A4815"/>
    </row>
    <row r="4816" spans="1:1" x14ac:dyDescent="0.25">
      <c r="A4816"/>
    </row>
    <row r="4817" spans="1:1" x14ac:dyDescent="0.25">
      <c r="A4817"/>
    </row>
    <row r="4818" spans="1:1" x14ac:dyDescent="0.25">
      <c r="A4818"/>
    </row>
    <row r="4819" spans="1:1" x14ac:dyDescent="0.25">
      <c r="A4819"/>
    </row>
    <row r="4820" spans="1:1" x14ac:dyDescent="0.25">
      <c r="A4820"/>
    </row>
    <row r="4821" spans="1:1" x14ac:dyDescent="0.25">
      <c r="A4821"/>
    </row>
    <row r="4822" spans="1:1" x14ac:dyDescent="0.25">
      <c r="A4822"/>
    </row>
    <row r="4823" spans="1:1" x14ac:dyDescent="0.25">
      <c r="A4823"/>
    </row>
    <row r="4824" spans="1:1" x14ac:dyDescent="0.25">
      <c r="A4824"/>
    </row>
    <row r="4825" spans="1:1" x14ac:dyDescent="0.25">
      <c r="A4825"/>
    </row>
    <row r="4826" spans="1:1" x14ac:dyDescent="0.25">
      <c r="A4826"/>
    </row>
    <row r="4827" spans="1:1" x14ac:dyDescent="0.25">
      <c r="A4827"/>
    </row>
    <row r="4828" spans="1:1" x14ac:dyDescent="0.25">
      <c r="A4828"/>
    </row>
    <row r="4829" spans="1:1" x14ac:dyDescent="0.25">
      <c r="A4829"/>
    </row>
    <row r="4830" spans="1:1" x14ac:dyDescent="0.25">
      <c r="A4830"/>
    </row>
    <row r="4831" spans="1:1" x14ac:dyDescent="0.25">
      <c r="A4831"/>
    </row>
    <row r="4832" spans="1:1" x14ac:dyDescent="0.25">
      <c r="A4832"/>
    </row>
    <row r="4833" spans="1:1" x14ac:dyDescent="0.25">
      <c r="A4833"/>
    </row>
    <row r="4834" spans="1:1" x14ac:dyDescent="0.25">
      <c r="A4834"/>
    </row>
    <row r="4835" spans="1:1" x14ac:dyDescent="0.25">
      <c r="A4835"/>
    </row>
    <row r="4836" spans="1:1" x14ac:dyDescent="0.25">
      <c r="A4836"/>
    </row>
    <row r="4837" spans="1:1" x14ac:dyDescent="0.25">
      <c r="A4837"/>
    </row>
    <row r="4838" spans="1:1" x14ac:dyDescent="0.25">
      <c r="A4838"/>
    </row>
    <row r="4839" spans="1:1" x14ac:dyDescent="0.25">
      <c r="A4839"/>
    </row>
    <row r="4840" spans="1:1" x14ac:dyDescent="0.25">
      <c r="A4840"/>
    </row>
    <row r="4841" spans="1:1" x14ac:dyDescent="0.25">
      <c r="A4841"/>
    </row>
    <row r="4842" spans="1:1" x14ac:dyDescent="0.25">
      <c r="A4842"/>
    </row>
    <row r="4843" spans="1:1" x14ac:dyDescent="0.25">
      <c r="A4843"/>
    </row>
    <row r="4844" spans="1:1" x14ac:dyDescent="0.25">
      <c r="A4844"/>
    </row>
    <row r="4845" spans="1:1" x14ac:dyDescent="0.25">
      <c r="A4845"/>
    </row>
    <row r="4846" spans="1:1" x14ac:dyDescent="0.25">
      <c r="A4846"/>
    </row>
    <row r="4847" spans="1:1" x14ac:dyDescent="0.25">
      <c r="A4847"/>
    </row>
    <row r="4848" spans="1:1" x14ac:dyDescent="0.25">
      <c r="A4848"/>
    </row>
    <row r="4849" spans="1:1" x14ac:dyDescent="0.25">
      <c r="A4849"/>
    </row>
    <row r="4850" spans="1:1" x14ac:dyDescent="0.25">
      <c r="A4850"/>
    </row>
    <row r="4851" spans="1:1" x14ac:dyDescent="0.25">
      <c r="A4851"/>
    </row>
    <row r="4852" spans="1:1" x14ac:dyDescent="0.25">
      <c r="A4852"/>
    </row>
    <row r="4853" spans="1:1" x14ac:dyDescent="0.25">
      <c r="A4853"/>
    </row>
    <row r="4854" spans="1:1" x14ac:dyDescent="0.25">
      <c r="A4854"/>
    </row>
    <row r="4855" spans="1:1" x14ac:dyDescent="0.25">
      <c r="A4855"/>
    </row>
    <row r="4856" spans="1:1" x14ac:dyDescent="0.25">
      <c r="A4856"/>
    </row>
    <row r="4857" spans="1:1" x14ac:dyDescent="0.25">
      <c r="A4857"/>
    </row>
    <row r="4858" spans="1:1" x14ac:dyDescent="0.25">
      <c r="A4858"/>
    </row>
    <row r="4859" spans="1:1" x14ac:dyDescent="0.25">
      <c r="A4859"/>
    </row>
    <row r="4860" spans="1:1" x14ac:dyDescent="0.25">
      <c r="A4860"/>
    </row>
    <row r="4861" spans="1:1" x14ac:dyDescent="0.25">
      <c r="A4861"/>
    </row>
    <row r="4862" spans="1:1" x14ac:dyDescent="0.25">
      <c r="A4862"/>
    </row>
    <row r="4863" spans="1:1" x14ac:dyDescent="0.25">
      <c r="A4863"/>
    </row>
    <row r="4864" spans="1:1" x14ac:dyDescent="0.25">
      <c r="A4864"/>
    </row>
    <row r="4865" spans="1:1" x14ac:dyDescent="0.25">
      <c r="A4865"/>
    </row>
    <row r="4866" spans="1:1" x14ac:dyDescent="0.25">
      <c r="A4866"/>
    </row>
    <row r="4867" spans="1:1" x14ac:dyDescent="0.25">
      <c r="A4867"/>
    </row>
    <row r="4868" spans="1:1" x14ac:dyDescent="0.25">
      <c r="A4868"/>
    </row>
    <row r="4869" spans="1:1" x14ac:dyDescent="0.25">
      <c r="A4869"/>
    </row>
    <row r="4870" spans="1:1" x14ac:dyDescent="0.25">
      <c r="A4870"/>
    </row>
    <row r="4871" spans="1:1" x14ac:dyDescent="0.25">
      <c r="A4871"/>
    </row>
    <row r="4872" spans="1:1" x14ac:dyDescent="0.25">
      <c r="A4872"/>
    </row>
    <row r="4873" spans="1:1" x14ac:dyDescent="0.25">
      <c r="A4873"/>
    </row>
    <row r="4874" spans="1:1" x14ac:dyDescent="0.25">
      <c r="A4874"/>
    </row>
    <row r="4875" spans="1:1" x14ac:dyDescent="0.25">
      <c r="A4875"/>
    </row>
    <row r="4876" spans="1:1" x14ac:dyDescent="0.25">
      <c r="A4876"/>
    </row>
    <row r="4877" spans="1:1" x14ac:dyDescent="0.25">
      <c r="A4877"/>
    </row>
    <row r="4878" spans="1:1" x14ac:dyDescent="0.25">
      <c r="A4878"/>
    </row>
    <row r="4879" spans="1:1" x14ac:dyDescent="0.25">
      <c r="A4879"/>
    </row>
    <row r="4880" spans="1:1" x14ac:dyDescent="0.25">
      <c r="A4880"/>
    </row>
    <row r="4881" spans="1:1" x14ac:dyDescent="0.25">
      <c r="A4881"/>
    </row>
    <row r="4882" spans="1:1" x14ac:dyDescent="0.25">
      <c r="A4882"/>
    </row>
    <row r="4883" spans="1:1" x14ac:dyDescent="0.25">
      <c r="A4883"/>
    </row>
    <row r="4884" spans="1:1" x14ac:dyDescent="0.25">
      <c r="A4884"/>
    </row>
    <row r="4885" spans="1:1" x14ac:dyDescent="0.25">
      <c r="A4885"/>
    </row>
    <row r="4886" spans="1:1" x14ac:dyDescent="0.25">
      <c r="A4886"/>
    </row>
    <row r="4887" spans="1:1" x14ac:dyDescent="0.25">
      <c r="A4887"/>
    </row>
    <row r="4888" spans="1:1" x14ac:dyDescent="0.25">
      <c r="A4888"/>
    </row>
    <row r="4889" spans="1:1" x14ac:dyDescent="0.25">
      <c r="A4889"/>
    </row>
    <row r="4890" spans="1:1" x14ac:dyDescent="0.25">
      <c r="A4890"/>
    </row>
    <row r="4891" spans="1:1" x14ac:dyDescent="0.25">
      <c r="A4891"/>
    </row>
    <row r="4892" spans="1:1" x14ac:dyDescent="0.25">
      <c r="A4892"/>
    </row>
    <row r="4893" spans="1:1" x14ac:dyDescent="0.25">
      <c r="A4893"/>
    </row>
    <row r="4894" spans="1:1" x14ac:dyDescent="0.25">
      <c r="A4894"/>
    </row>
    <row r="4895" spans="1:1" x14ac:dyDescent="0.25">
      <c r="A4895"/>
    </row>
    <row r="4896" spans="1:1" x14ac:dyDescent="0.25">
      <c r="A4896"/>
    </row>
    <row r="4897" spans="1:1" x14ac:dyDescent="0.25">
      <c r="A4897"/>
    </row>
    <row r="4898" spans="1:1" x14ac:dyDescent="0.25">
      <c r="A4898"/>
    </row>
    <row r="4899" spans="1:1" x14ac:dyDescent="0.25">
      <c r="A4899"/>
    </row>
    <row r="4900" spans="1:1" x14ac:dyDescent="0.25">
      <c r="A4900"/>
    </row>
    <row r="4901" spans="1:1" x14ac:dyDescent="0.25">
      <c r="A4901"/>
    </row>
    <row r="4902" spans="1:1" x14ac:dyDescent="0.25">
      <c r="A4902"/>
    </row>
    <row r="4903" spans="1:1" x14ac:dyDescent="0.25">
      <c r="A4903"/>
    </row>
    <row r="4904" spans="1:1" x14ac:dyDescent="0.25">
      <c r="A4904"/>
    </row>
    <row r="4905" spans="1:1" x14ac:dyDescent="0.25">
      <c r="A4905"/>
    </row>
    <row r="4906" spans="1:1" x14ac:dyDescent="0.25">
      <c r="A4906"/>
    </row>
    <row r="4907" spans="1:1" x14ac:dyDescent="0.25">
      <c r="A4907"/>
    </row>
    <row r="4908" spans="1:1" x14ac:dyDescent="0.25">
      <c r="A4908"/>
    </row>
    <row r="4909" spans="1:1" x14ac:dyDescent="0.25">
      <c r="A4909"/>
    </row>
    <row r="4910" spans="1:1" x14ac:dyDescent="0.25">
      <c r="A4910"/>
    </row>
    <row r="4911" spans="1:1" x14ac:dyDescent="0.25">
      <c r="A4911"/>
    </row>
    <row r="4912" spans="1:1" x14ac:dyDescent="0.25">
      <c r="A4912"/>
    </row>
    <row r="4913" spans="1:1" x14ac:dyDescent="0.25">
      <c r="A4913"/>
    </row>
    <row r="4914" spans="1:1" x14ac:dyDescent="0.25">
      <c r="A4914"/>
    </row>
    <row r="4915" spans="1:1" x14ac:dyDescent="0.25">
      <c r="A4915"/>
    </row>
    <row r="4916" spans="1:1" x14ac:dyDescent="0.25">
      <c r="A4916"/>
    </row>
    <row r="4917" spans="1:1" x14ac:dyDescent="0.25">
      <c r="A4917"/>
    </row>
    <row r="4918" spans="1:1" x14ac:dyDescent="0.25">
      <c r="A4918"/>
    </row>
    <row r="4919" spans="1:1" x14ac:dyDescent="0.25">
      <c r="A4919"/>
    </row>
    <row r="4920" spans="1:1" x14ac:dyDescent="0.25">
      <c r="A4920"/>
    </row>
    <row r="4921" spans="1:1" x14ac:dyDescent="0.25">
      <c r="A4921"/>
    </row>
    <row r="4922" spans="1:1" x14ac:dyDescent="0.25">
      <c r="A4922"/>
    </row>
    <row r="4923" spans="1:1" x14ac:dyDescent="0.25">
      <c r="A4923"/>
    </row>
    <row r="4924" spans="1:1" x14ac:dyDescent="0.25">
      <c r="A4924"/>
    </row>
    <row r="4925" spans="1:1" x14ac:dyDescent="0.25">
      <c r="A4925"/>
    </row>
    <row r="4926" spans="1:1" x14ac:dyDescent="0.25">
      <c r="A4926"/>
    </row>
    <row r="4927" spans="1:1" x14ac:dyDescent="0.25">
      <c r="A4927"/>
    </row>
    <row r="4928" spans="1:1" x14ac:dyDescent="0.25">
      <c r="A4928"/>
    </row>
    <row r="4929" spans="1:1" x14ac:dyDescent="0.25">
      <c r="A4929"/>
    </row>
    <row r="4930" spans="1:1" x14ac:dyDescent="0.25">
      <c r="A4930"/>
    </row>
    <row r="4931" spans="1:1" x14ac:dyDescent="0.25">
      <c r="A4931"/>
    </row>
    <row r="4932" spans="1:1" x14ac:dyDescent="0.25">
      <c r="A4932"/>
    </row>
    <row r="4933" spans="1:1" x14ac:dyDescent="0.25">
      <c r="A4933"/>
    </row>
    <row r="4934" spans="1:1" x14ac:dyDescent="0.25">
      <c r="A4934"/>
    </row>
    <row r="4935" spans="1:1" x14ac:dyDescent="0.25">
      <c r="A4935"/>
    </row>
    <row r="4936" spans="1:1" x14ac:dyDescent="0.25">
      <c r="A4936"/>
    </row>
    <row r="4937" spans="1:1" x14ac:dyDescent="0.25">
      <c r="A4937"/>
    </row>
    <row r="4938" spans="1:1" x14ac:dyDescent="0.25">
      <c r="A4938"/>
    </row>
    <row r="4939" spans="1:1" x14ac:dyDescent="0.25">
      <c r="A4939"/>
    </row>
    <row r="4940" spans="1:1" x14ac:dyDescent="0.25">
      <c r="A4940"/>
    </row>
    <row r="4941" spans="1:1" x14ac:dyDescent="0.25">
      <c r="A4941"/>
    </row>
    <row r="4942" spans="1:1" x14ac:dyDescent="0.25">
      <c r="A4942"/>
    </row>
    <row r="4943" spans="1:1" x14ac:dyDescent="0.25">
      <c r="A4943"/>
    </row>
    <row r="4944" spans="1:1" x14ac:dyDescent="0.25">
      <c r="A4944"/>
    </row>
    <row r="4945" spans="1:1" x14ac:dyDescent="0.25">
      <c r="A4945"/>
    </row>
    <row r="4946" spans="1:1" x14ac:dyDescent="0.25">
      <c r="A4946"/>
    </row>
    <row r="4947" spans="1:1" x14ac:dyDescent="0.25">
      <c r="A4947"/>
    </row>
    <row r="4948" spans="1:1" x14ac:dyDescent="0.25">
      <c r="A4948"/>
    </row>
    <row r="4949" spans="1:1" x14ac:dyDescent="0.25">
      <c r="A4949"/>
    </row>
    <row r="4950" spans="1:1" x14ac:dyDescent="0.25">
      <c r="A4950"/>
    </row>
    <row r="4951" spans="1:1" x14ac:dyDescent="0.25">
      <c r="A4951"/>
    </row>
    <row r="4952" spans="1:1" x14ac:dyDescent="0.25">
      <c r="A4952"/>
    </row>
    <row r="4953" spans="1:1" x14ac:dyDescent="0.25">
      <c r="A4953"/>
    </row>
    <row r="4954" spans="1:1" x14ac:dyDescent="0.25">
      <c r="A4954"/>
    </row>
    <row r="4955" spans="1:1" x14ac:dyDescent="0.25">
      <c r="A4955"/>
    </row>
    <row r="4956" spans="1:1" x14ac:dyDescent="0.25">
      <c r="A4956"/>
    </row>
    <row r="4957" spans="1:1" x14ac:dyDescent="0.25">
      <c r="A4957"/>
    </row>
    <row r="4958" spans="1:1" x14ac:dyDescent="0.25">
      <c r="A4958"/>
    </row>
    <row r="4959" spans="1:1" x14ac:dyDescent="0.25">
      <c r="A4959"/>
    </row>
    <row r="4960" spans="1:1" x14ac:dyDescent="0.25">
      <c r="A4960"/>
    </row>
    <row r="4961" spans="1:1" x14ac:dyDescent="0.25">
      <c r="A4961"/>
    </row>
    <row r="4962" spans="1:1" x14ac:dyDescent="0.25">
      <c r="A4962"/>
    </row>
    <row r="4963" spans="1:1" x14ac:dyDescent="0.25">
      <c r="A4963"/>
    </row>
    <row r="4964" spans="1:1" x14ac:dyDescent="0.25">
      <c r="A4964"/>
    </row>
    <row r="4965" spans="1:1" x14ac:dyDescent="0.25">
      <c r="A4965"/>
    </row>
    <row r="4966" spans="1:1" x14ac:dyDescent="0.25">
      <c r="A4966"/>
    </row>
    <row r="4967" spans="1:1" x14ac:dyDescent="0.25">
      <c r="A4967"/>
    </row>
    <row r="4968" spans="1:1" x14ac:dyDescent="0.25">
      <c r="A4968"/>
    </row>
    <row r="4969" spans="1:1" x14ac:dyDescent="0.25">
      <c r="A4969"/>
    </row>
    <row r="4970" spans="1:1" x14ac:dyDescent="0.25">
      <c r="A4970"/>
    </row>
    <row r="4971" spans="1:1" x14ac:dyDescent="0.25">
      <c r="A4971"/>
    </row>
    <row r="4972" spans="1:1" x14ac:dyDescent="0.25">
      <c r="A4972"/>
    </row>
    <row r="4973" spans="1:1" x14ac:dyDescent="0.25">
      <c r="A4973"/>
    </row>
    <row r="4974" spans="1:1" x14ac:dyDescent="0.25">
      <c r="A4974"/>
    </row>
    <row r="4975" spans="1:1" x14ac:dyDescent="0.25">
      <c r="A4975"/>
    </row>
    <row r="4976" spans="1:1" x14ac:dyDescent="0.25">
      <c r="A4976"/>
    </row>
    <row r="4977" spans="1:1" x14ac:dyDescent="0.25">
      <c r="A4977"/>
    </row>
    <row r="4978" spans="1:1" x14ac:dyDescent="0.25">
      <c r="A4978"/>
    </row>
    <row r="4979" spans="1:1" x14ac:dyDescent="0.25">
      <c r="A4979"/>
    </row>
    <row r="4980" spans="1:1" x14ac:dyDescent="0.25">
      <c r="A4980"/>
    </row>
    <row r="4981" spans="1:1" x14ac:dyDescent="0.25">
      <c r="A4981"/>
    </row>
    <row r="4982" spans="1:1" x14ac:dyDescent="0.25">
      <c r="A4982"/>
    </row>
    <row r="4983" spans="1:1" x14ac:dyDescent="0.25">
      <c r="A4983"/>
    </row>
    <row r="4984" spans="1:1" x14ac:dyDescent="0.25">
      <c r="A4984"/>
    </row>
    <row r="4985" spans="1:1" x14ac:dyDescent="0.25">
      <c r="A4985"/>
    </row>
    <row r="4986" spans="1:1" x14ac:dyDescent="0.25">
      <c r="A4986"/>
    </row>
    <row r="4987" spans="1:1" x14ac:dyDescent="0.25">
      <c r="A4987"/>
    </row>
    <row r="4988" spans="1:1" x14ac:dyDescent="0.25">
      <c r="A4988"/>
    </row>
    <row r="4989" spans="1:1" x14ac:dyDescent="0.25">
      <c r="A4989"/>
    </row>
    <row r="4990" spans="1:1" x14ac:dyDescent="0.25">
      <c r="A4990"/>
    </row>
    <row r="4991" spans="1:1" x14ac:dyDescent="0.25">
      <c r="A4991"/>
    </row>
    <row r="4992" spans="1:1" x14ac:dyDescent="0.25">
      <c r="A4992"/>
    </row>
    <row r="4993" spans="1:1" x14ac:dyDescent="0.25">
      <c r="A4993"/>
    </row>
    <row r="4994" spans="1:1" x14ac:dyDescent="0.25">
      <c r="A4994"/>
    </row>
    <row r="4995" spans="1:1" x14ac:dyDescent="0.25">
      <c r="A4995"/>
    </row>
    <row r="4996" spans="1:1" x14ac:dyDescent="0.25">
      <c r="A4996"/>
    </row>
    <row r="4997" spans="1:1" x14ac:dyDescent="0.25">
      <c r="A4997"/>
    </row>
    <row r="4998" spans="1:1" x14ac:dyDescent="0.25">
      <c r="A4998"/>
    </row>
    <row r="4999" spans="1:1" x14ac:dyDescent="0.25">
      <c r="A4999"/>
    </row>
    <row r="5000" spans="1:1" x14ac:dyDescent="0.25">
      <c r="A5000"/>
    </row>
    <row r="5001" spans="1:1" x14ac:dyDescent="0.25">
      <c r="A5001"/>
    </row>
    <row r="5002" spans="1:1" x14ac:dyDescent="0.25">
      <c r="A5002"/>
    </row>
    <row r="5003" spans="1:1" x14ac:dyDescent="0.25">
      <c r="A5003"/>
    </row>
    <row r="5004" spans="1:1" x14ac:dyDescent="0.25">
      <c r="A5004"/>
    </row>
    <row r="5005" spans="1:1" x14ac:dyDescent="0.25">
      <c r="A5005"/>
    </row>
    <row r="5006" spans="1:1" x14ac:dyDescent="0.25">
      <c r="A5006"/>
    </row>
    <row r="5007" spans="1:1" x14ac:dyDescent="0.25">
      <c r="A5007"/>
    </row>
    <row r="5008" spans="1:1" x14ac:dyDescent="0.25">
      <c r="A5008"/>
    </row>
    <row r="5009" spans="1:1" x14ac:dyDescent="0.25">
      <c r="A5009"/>
    </row>
    <row r="5010" spans="1:1" x14ac:dyDescent="0.25">
      <c r="A5010"/>
    </row>
    <row r="5011" spans="1:1" x14ac:dyDescent="0.25">
      <c r="A5011"/>
    </row>
    <row r="5012" spans="1:1" x14ac:dyDescent="0.25">
      <c r="A5012"/>
    </row>
    <row r="5013" spans="1:1" x14ac:dyDescent="0.25">
      <c r="A5013"/>
    </row>
    <row r="5014" spans="1:1" x14ac:dyDescent="0.25">
      <c r="A5014"/>
    </row>
    <row r="5015" spans="1:1" x14ac:dyDescent="0.25">
      <c r="A5015"/>
    </row>
    <row r="5016" spans="1:1" x14ac:dyDescent="0.25">
      <c r="A5016"/>
    </row>
    <row r="5017" spans="1:1" x14ac:dyDescent="0.25">
      <c r="A5017"/>
    </row>
    <row r="5018" spans="1:1" x14ac:dyDescent="0.25">
      <c r="A5018"/>
    </row>
    <row r="5019" spans="1:1" x14ac:dyDescent="0.25">
      <c r="A5019"/>
    </row>
    <row r="5020" spans="1:1" x14ac:dyDescent="0.25">
      <c r="A5020"/>
    </row>
    <row r="5021" spans="1:1" x14ac:dyDescent="0.25">
      <c r="A5021"/>
    </row>
    <row r="5022" spans="1:1" x14ac:dyDescent="0.25">
      <c r="A5022"/>
    </row>
    <row r="5023" spans="1:1" x14ac:dyDescent="0.25">
      <c r="A5023"/>
    </row>
    <row r="5024" spans="1:1" x14ac:dyDescent="0.25">
      <c r="A5024"/>
    </row>
    <row r="5025" spans="1:1" x14ac:dyDescent="0.25">
      <c r="A5025"/>
    </row>
    <row r="5026" spans="1:1" x14ac:dyDescent="0.25">
      <c r="A5026"/>
    </row>
    <row r="5027" spans="1:1" x14ac:dyDescent="0.25">
      <c r="A5027"/>
    </row>
    <row r="5028" spans="1:1" x14ac:dyDescent="0.25">
      <c r="A5028"/>
    </row>
    <row r="5029" spans="1:1" x14ac:dyDescent="0.25">
      <c r="A5029"/>
    </row>
    <row r="5030" spans="1:1" x14ac:dyDescent="0.25">
      <c r="A5030"/>
    </row>
    <row r="5031" spans="1:1" x14ac:dyDescent="0.25">
      <c r="A5031"/>
    </row>
    <row r="5032" spans="1:1" x14ac:dyDescent="0.25">
      <c r="A5032"/>
    </row>
    <row r="5033" spans="1:1" x14ac:dyDescent="0.25">
      <c r="A5033"/>
    </row>
    <row r="5034" spans="1:1" x14ac:dyDescent="0.25">
      <c r="A5034"/>
    </row>
    <row r="5035" spans="1:1" x14ac:dyDescent="0.25">
      <c r="A5035"/>
    </row>
    <row r="5036" spans="1:1" x14ac:dyDescent="0.25">
      <c r="A5036"/>
    </row>
    <row r="5037" spans="1:1" x14ac:dyDescent="0.25">
      <c r="A5037"/>
    </row>
    <row r="5038" spans="1:1" x14ac:dyDescent="0.25">
      <c r="A5038"/>
    </row>
    <row r="5039" spans="1:1" x14ac:dyDescent="0.25">
      <c r="A5039"/>
    </row>
    <row r="5040" spans="1:1" x14ac:dyDescent="0.25">
      <c r="A5040"/>
    </row>
    <row r="5041" spans="1:1" x14ac:dyDescent="0.25">
      <c r="A5041"/>
    </row>
    <row r="5042" spans="1:1" x14ac:dyDescent="0.25">
      <c r="A5042"/>
    </row>
    <row r="5043" spans="1:1" x14ac:dyDescent="0.25">
      <c r="A5043"/>
    </row>
    <row r="5044" spans="1:1" x14ac:dyDescent="0.25">
      <c r="A5044"/>
    </row>
    <row r="5045" spans="1:1" x14ac:dyDescent="0.25">
      <c r="A5045"/>
    </row>
    <row r="5046" spans="1:1" x14ac:dyDescent="0.25">
      <c r="A5046"/>
    </row>
    <row r="5047" spans="1:1" x14ac:dyDescent="0.25">
      <c r="A5047"/>
    </row>
    <row r="5048" spans="1:1" x14ac:dyDescent="0.25">
      <c r="A5048"/>
    </row>
    <row r="5049" spans="1:1" x14ac:dyDescent="0.25">
      <c r="A5049"/>
    </row>
    <row r="5050" spans="1:1" x14ac:dyDescent="0.25">
      <c r="A5050"/>
    </row>
    <row r="5051" spans="1:1" x14ac:dyDescent="0.25">
      <c r="A5051"/>
    </row>
    <row r="5052" spans="1:1" x14ac:dyDescent="0.25">
      <c r="A5052"/>
    </row>
    <row r="5053" spans="1:1" x14ac:dyDescent="0.25">
      <c r="A5053"/>
    </row>
    <row r="5054" spans="1:1" x14ac:dyDescent="0.25">
      <c r="A5054"/>
    </row>
    <row r="5055" spans="1:1" x14ac:dyDescent="0.25">
      <c r="A5055"/>
    </row>
    <row r="5056" spans="1:1" x14ac:dyDescent="0.25">
      <c r="A5056"/>
    </row>
    <row r="5057" spans="1:1" x14ac:dyDescent="0.25">
      <c r="A5057"/>
    </row>
    <row r="5058" spans="1:1" x14ac:dyDescent="0.25">
      <c r="A5058"/>
    </row>
    <row r="5059" spans="1:1" x14ac:dyDescent="0.25">
      <c r="A5059"/>
    </row>
    <row r="5060" spans="1:1" x14ac:dyDescent="0.25">
      <c r="A5060"/>
    </row>
    <row r="5061" spans="1:1" x14ac:dyDescent="0.25">
      <c r="A5061"/>
    </row>
    <row r="5062" spans="1:1" x14ac:dyDescent="0.25">
      <c r="A5062"/>
    </row>
    <row r="5063" spans="1:1" x14ac:dyDescent="0.25">
      <c r="A5063"/>
    </row>
    <row r="5064" spans="1:1" x14ac:dyDescent="0.25">
      <c r="A5064"/>
    </row>
    <row r="5065" spans="1:1" x14ac:dyDescent="0.25">
      <c r="A5065"/>
    </row>
    <row r="5066" spans="1:1" x14ac:dyDescent="0.25">
      <c r="A5066"/>
    </row>
    <row r="5067" spans="1:1" x14ac:dyDescent="0.25">
      <c r="A5067"/>
    </row>
    <row r="5068" spans="1:1" x14ac:dyDescent="0.25">
      <c r="A5068"/>
    </row>
    <row r="5069" spans="1:1" x14ac:dyDescent="0.25">
      <c r="A5069"/>
    </row>
    <row r="5070" spans="1:1" x14ac:dyDescent="0.25">
      <c r="A5070"/>
    </row>
    <row r="5071" spans="1:1" x14ac:dyDescent="0.25">
      <c r="A5071"/>
    </row>
    <row r="5072" spans="1:1" x14ac:dyDescent="0.25">
      <c r="A5072"/>
    </row>
    <row r="5073" spans="1:1" x14ac:dyDescent="0.25">
      <c r="A5073"/>
    </row>
    <row r="5074" spans="1:1" x14ac:dyDescent="0.25">
      <c r="A5074"/>
    </row>
    <row r="5075" spans="1:1" x14ac:dyDescent="0.25">
      <c r="A5075"/>
    </row>
    <row r="5076" spans="1:1" x14ac:dyDescent="0.25">
      <c r="A5076"/>
    </row>
    <row r="5077" spans="1:1" x14ac:dyDescent="0.25">
      <c r="A5077"/>
    </row>
    <row r="5078" spans="1:1" x14ac:dyDescent="0.25">
      <c r="A5078"/>
    </row>
    <row r="5079" spans="1:1" x14ac:dyDescent="0.25">
      <c r="A5079"/>
    </row>
    <row r="5080" spans="1:1" x14ac:dyDescent="0.25">
      <c r="A5080"/>
    </row>
    <row r="5081" spans="1:1" x14ac:dyDescent="0.25">
      <c r="A5081"/>
    </row>
    <row r="5082" spans="1:1" x14ac:dyDescent="0.25">
      <c r="A5082"/>
    </row>
    <row r="5083" spans="1:1" x14ac:dyDescent="0.25">
      <c r="A5083"/>
    </row>
    <row r="5084" spans="1:1" x14ac:dyDescent="0.25">
      <c r="A5084"/>
    </row>
    <row r="5085" spans="1:1" x14ac:dyDescent="0.25">
      <c r="A5085"/>
    </row>
    <row r="5086" spans="1:1" x14ac:dyDescent="0.25">
      <c r="A5086"/>
    </row>
    <row r="5087" spans="1:1" x14ac:dyDescent="0.25">
      <c r="A5087"/>
    </row>
    <row r="5088" spans="1:1" x14ac:dyDescent="0.25">
      <c r="A5088"/>
    </row>
    <row r="5089" spans="1:1" x14ac:dyDescent="0.25">
      <c r="A5089"/>
    </row>
    <row r="5090" spans="1:1" x14ac:dyDescent="0.25">
      <c r="A5090"/>
    </row>
    <row r="5091" spans="1:1" x14ac:dyDescent="0.25">
      <c r="A5091"/>
    </row>
    <row r="5092" spans="1:1" x14ac:dyDescent="0.25">
      <c r="A5092"/>
    </row>
    <row r="5093" spans="1:1" x14ac:dyDescent="0.25">
      <c r="A5093"/>
    </row>
    <row r="5094" spans="1:1" x14ac:dyDescent="0.25">
      <c r="A5094"/>
    </row>
    <row r="5095" spans="1:1" x14ac:dyDescent="0.25">
      <c r="A5095"/>
    </row>
    <row r="5096" spans="1:1" x14ac:dyDescent="0.25">
      <c r="A5096"/>
    </row>
    <row r="5097" spans="1:1" x14ac:dyDescent="0.25">
      <c r="A5097"/>
    </row>
    <row r="5098" spans="1:1" x14ac:dyDescent="0.25">
      <c r="A5098"/>
    </row>
    <row r="5099" spans="1:1" x14ac:dyDescent="0.25">
      <c r="A5099"/>
    </row>
    <row r="5100" spans="1:1" x14ac:dyDescent="0.25">
      <c r="A5100"/>
    </row>
    <row r="5101" spans="1:1" x14ac:dyDescent="0.25">
      <c r="A5101"/>
    </row>
    <row r="5102" spans="1:1" x14ac:dyDescent="0.25">
      <c r="A5102"/>
    </row>
    <row r="5103" spans="1:1" x14ac:dyDescent="0.25">
      <c r="A5103"/>
    </row>
    <row r="5104" spans="1:1" x14ac:dyDescent="0.25">
      <c r="A5104"/>
    </row>
    <row r="5105" spans="1:1" x14ac:dyDescent="0.25">
      <c r="A5105"/>
    </row>
    <row r="5106" spans="1:1" x14ac:dyDescent="0.25">
      <c r="A5106"/>
    </row>
    <row r="5107" spans="1:1" x14ac:dyDescent="0.25">
      <c r="A5107"/>
    </row>
    <row r="5108" spans="1:1" x14ac:dyDescent="0.25">
      <c r="A5108"/>
    </row>
    <row r="5109" spans="1:1" x14ac:dyDescent="0.25">
      <c r="A5109"/>
    </row>
    <row r="5110" spans="1:1" x14ac:dyDescent="0.25">
      <c r="A5110"/>
    </row>
    <row r="5111" spans="1:1" x14ac:dyDescent="0.25">
      <c r="A5111"/>
    </row>
    <row r="5112" spans="1:1" x14ac:dyDescent="0.25">
      <c r="A5112"/>
    </row>
    <row r="5113" spans="1:1" x14ac:dyDescent="0.25">
      <c r="A5113"/>
    </row>
    <row r="5114" spans="1:1" x14ac:dyDescent="0.25">
      <c r="A5114"/>
    </row>
    <row r="5115" spans="1:1" x14ac:dyDescent="0.25">
      <c r="A5115"/>
    </row>
    <row r="5116" spans="1:1" x14ac:dyDescent="0.25">
      <c r="A5116"/>
    </row>
    <row r="5117" spans="1:1" x14ac:dyDescent="0.25">
      <c r="A5117"/>
    </row>
    <row r="5118" spans="1:1" x14ac:dyDescent="0.25">
      <c r="A5118"/>
    </row>
    <row r="5119" spans="1:1" x14ac:dyDescent="0.25">
      <c r="A5119"/>
    </row>
    <row r="5120" spans="1:1" x14ac:dyDescent="0.25">
      <c r="A5120"/>
    </row>
    <row r="5121" spans="1:1" x14ac:dyDescent="0.25">
      <c r="A5121"/>
    </row>
    <row r="5122" spans="1:1" x14ac:dyDescent="0.25">
      <c r="A5122"/>
    </row>
    <row r="5123" spans="1:1" x14ac:dyDescent="0.25">
      <c r="A5123"/>
    </row>
    <row r="5124" spans="1:1" x14ac:dyDescent="0.25">
      <c r="A5124"/>
    </row>
    <row r="5125" spans="1:1" x14ac:dyDescent="0.25">
      <c r="A5125"/>
    </row>
    <row r="5126" spans="1:1" x14ac:dyDescent="0.25">
      <c r="A5126"/>
    </row>
    <row r="5127" spans="1:1" x14ac:dyDescent="0.25">
      <c r="A5127"/>
    </row>
    <row r="5128" spans="1:1" x14ac:dyDescent="0.25">
      <c r="A5128"/>
    </row>
    <row r="5129" spans="1:1" x14ac:dyDescent="0.25">
      <c r="A5129"/>
    </row>
    <row r="5130" spans="1:1" x14ac:dyDescent="0.25">
      <c r="A5130"/>
    </row>
    <row r="5131" spans="1:1" x14ac:dyDescent="0.25">
      <c r="A5131"/>
    </row>
    <row r="5132" spans="1:1" x14ac:dyDescent="0.25">
      <c r="A5132"/>
    </row>
    <row r="5133" spans="1:1" x14ac:dyDescent="0.25">
      <c r="A5133"/>
    </row>
    <row r="5134" spans="1:1" x14ac:dyDescent="0.25">
      <c r="A5134"/>
    </row>
    <row r="5135" spans="1:1" x14ac:dyDescent="0.25">
      <c r="A5135"/>
    </row>
    <row r="5136" spans="1:1" x14ac:dyDescent="0.25">
      <c r="A5136"/>
    </row>
    <row r="5137" spans="1:1" x14ac:dyDescent="0.25">
      <c r="A5137"/>
    </row>
    <row r="5138" spans="1:1" x14ac:dyDescent="0.25">
      <c r="A5138"/>
    </row>
    <row r="5139" spans="1:1" x14ac:dyDescent="0.25">
      <c r="A5139"/>
    </row>
    <row r="5140" spans="1:1" x14ac:dyDescent="0.25">
      <c r="A5140"/>
    </row>
    <row r="5141" spans="1:1" x14ac:dyDescent="0.25">
      <c r="A5141"/>
    </row>
    <row r="5142" spans="1:1" x14ac:dyDescent="0.25">
      <c r="A5142"/>
    </row>
    <row r="5143" spans="1:1" x14ac:dyDescent="0.25">
      <c r="A5143"/>
    </row>
    <row r="5144" spans="1:1" x14ac:dyDescent="0.25">
      <c r="A5144"/>
    </row>
    <row r="5145" spans="1:1" x14ac:dyDescent="0.25">
      <c r="A5145"/>
    </row>
    <row r="5146" spans="1:1" x14ac:dyDescent="0.25">
      <c r="A5146"/>
    </row>
    <row r="5147" spans="1:1" x14ac:dyDescent="0.25">
      <c r="A5147"/>
    </row>
    <row r="5148" spans="1:1" x14ac:dyDescent="0.25">
      <c r="A5148"/>
    </row>
    <row r="5149" spans="1:1" x14ac:dyDescent="0.25">
      <c r="A5149"/>
    </row>
    <row r="5150" spans="1:1" x14ac:dyDescent="0.25">
      <c r="A5150"/>
    </row>
    <row r="5151" spans="1:1" x14ac:dyDescent="0.25">
      <c r="A5151"/>
    </row>
    <row r="5152" spans="1:1" x14ac:dyDescent="0.25">
      <c r="A5152"/>
    </row>
    <row r="5153" spans="1:1" x14ac:dyDescent="0.25">
      <c r="A5153"/>
    </row>
    <row r="5154" spans="1:1" x14ac:dyDescent="0.25">
      <c r="A5154"/>
    </row>
    <row r="5155" spans="1:1" x14ac:dyDescent="0.25">
      <c r="A5155"/>
    </row>
    <row r="5156" spans="1:1" x14ac:dyDescent="0.25">
      <c r="A5156"/>
    </row>
    <row r="5157" spans="1:1" x14ac:dyDescent="0.25">
      <c r="A5157"/>
    </row>
    <row r="5158" spans="1:1" x14ac:dyDescent="0.25">
      <c r="A5158"/>
    </row>
    <row r="5159" spans="1:1" x14ac:dyDescent="0.25">
      <c r="A5159"/>
    </row>
    <row r="5160" spans="1:1" x14ac:dyDescent="0.25">
      <c r="A5160"/>
    </row>
    <row r="5161" spans="1:1" x14ac:dyDescent="0.25">
      <c r="A5161"/>
    </row>
    <row r="5162" spans="1:1" x14ac:dyDescent="0.25">
      <c r="A5162"/>
    </row>
    <row r="5163" spans="1:1" x14ac:dyDescent="0.25">
      <c r="A5163"/>
    </row>
    <row r="5164" spans="1:1" x14ac:dyDescent="0.25">
      <c r="A5164"/>
    </row>
    <row r="5165" spans="1:1" x14ac:dyDescent="0.25">
      <c r="A5165"/>
    </row>
    <row r="5166" spans="1:1" x14ac:dyDescent="0.25">
      <c r="A5166"/>
    </row>
    <row r="5167" spans="1:1" x14ac:dyDescent="0.25">
      <c r="A5167"/>
    </row>
    <row r="5168" spans="1:1" x14ac:dyDescent="0.25">
      <c r="A5168"/>
    </row>
    <row r="5169" spans="1:1" x14ac:dyDescent="0.25">
      <c r="A5169"/>
    </row>
    <row r="5170" spans="1:1" x14ac:dyDescent="0.25">
      <c r="A5170"/>
    </row>
    <row r="5171" spans="1:1" x14ac:dyDescent="0.25">
      <c r="A5171"/>
    </row>
    <row r="5172" spans="1:1" x14ac:dyDescent="0.25">
      <c r="A5172"/>
    </row>
    <row r="5173" spans="1:1" x14ac:dyDescent="0.25">
      <c r="A5173"/>
    </row>
    <row r="5174" spans="1:1" x14ac:dyDescent="0.25">
      <c r="A5174"/>
    </row>
    <row r="5175" spans="1:1" x14ac:dyDescent="0.25">
      <c r="A5175"/>
    </row>
    <row r="5176" spans="1:1" x14ac:dyDescent="0.25">
      <c r="A5176"/>
    </row>
    <row r="5177" spans="1:1" x14ac:dyDescent="0.25">
      <c r="A5177"/>
    </row>
    <row r="5178" spans="1:1" x14ac:dyDescent="0.25">
      <c r="A5178"/>
    </row>
    <row r="5179" spans="1:1" x14ac:dyDescent="0.25">
      <c r="A5179"/>
    </row>
    <row r="5180" spans="1:1" x14ac:dyDescent="0.25">
      <c r="A5180"/>
    </row>
    <row r="5181" spans="1:1" x14ac:dyDescent="0.25">
      <c r="A5181"/>
    </row>
    <row r="5182" spans="1:1" x14ac:dyDescent="0.25">
      <c r="A5182"/>
    </row>
    <row r="5183" spans="1:1" x14ac:dyDescent="0.25">
      <c r="A5183"/>
    </row>
    <row r="5184" spans="1:1" x14ac:dyDescent="0.25">
      <c r="A5184"/>
    </row>
    <row r="5185" spans="1:1" x14ac:dyDescent="0.25">
      <c r="A5185"/>
    </row>
    <row r="5186" spans="1:1" x14ac:dyDescent="0.25">
      <c r="A5186"/>
    </row>
    <row r="5187" spans="1:1" x14ac:dyDescent="0.25">
      <c r="A5187"/>
    </row>
    <row r="5188" spans="1:1" x14ac:dyDescent="0.25">
      <c r="A5188"/>
    </row>
    <row r="5189" spans="1:1" x14ac:dyDescent="0.25">
      <c r="A5189"/>
    </row>
    <row r="5190" spans="1:1" x14ac:dyDescent="0.25">
      <c r="A5190"/>
    </row>
    <row r="5191" spans="1:1" x14ac:dyDescent="0.25">
      <c r="A5191"/>
    </row>
    <row r="5192" spans="1:1" x14ac:dyDescent="0.25">
      <c r="A5192"/>
    </row>
    <row r="5193" spans="1:1" x14ac:dyDescent="0.25">
      <c r="A5193"/>
    </row>
    <row r="5194" spans="1:1" x14ac:dyDescent="0.25">
      <c r="A5194"/>
    </row>
    <row r="5195" spans="1:1" x14ac:dyDescent="0.25">
      <c r="A5195"/>
    </row>
    <row r="5196" spans="1:1" x14ac:dyDescent="0.25">
      <c r="A5196"/>
    </row>
    <row r="5197" spans="1:1" x14ac:dyDescent="0.25">
      <c r="A5197"/>
    </row>
    <row r="5198" spans="1:1" x14ac:dyDescent="0.25">
      <c r="A5198"/>
    </row>
    <row r="5199" spans="1:1" x14ac:dyDescent="0.25">
      <c r="A5199"/>
    </row>
    <row r="5200" spans="1:1" x14ac:dyDescent="0.25">
      <c r="A5200"/>
    </row>
    <row r="5201" spans="1:1" x14ac:dyDescent="0.25">
      <c r="A5201"/>
    </row>
    <row r="5202" spans="1:1" x14ac:dyDescent="0.25">
      <c r="A5202"/>
    </row>
    <row r="5203" spans="1:1" x14ac:dyDescent="0.25">
      <c r="A5203"/>
    </row>
    <row r="5204" spans="1:1" x14ac:dyDescent="0.25">
      <c r="A5204"/>
    </row>
    <row r="5205" spans="1:1" x14ac:dyDescent="0.25">
      <c r="A5205"/>
    </row>
    <row r="5206" spans="1:1" x14ac:dyDescent="0.25">
      <c r="A5206"/>
    </row>
    <row r="5207" spans="1:1" x14ac:dyDescent="0.25">
      <c r="A5207"/>
    </row>
    <row r="5208" spans="1:1" x14ac:dyDescent="0.25">
      <c r="A5208"/>
    </row>
    <row r="5209" spans="1:1" x14ac:dyDescent="0.25">
      <c r="A5209"/>
    </row>
    <row r="5210" spans="1:1" x14ac:dyDescent="0.25">
      <c r="A5210"/>
    </row>
    <row r="5211" spans="1:1" x14ac:dyDescent="0.25">
      <c r="A5211"/>
    </row>
    <row r="5212" spans="1:1" x14ac:dyDescent="0.25">
      <c r="A5212"/>
    </row>
    <row r="5213" spans="1:1" x14ac:dyDescent="0.25">
      <c r="A5213"/>
    </row>
    <row r="5214" spans="1:1" x14ac:dyDescent="0.25">
      <c r="A5214"/>
    </row>
    <row r="5215" spans="1:1" x14ac:dyDescent="0.25">
      <c r="A5215"/>
    </row>
    <row r="5216" spans="1:1" x14ac:dyDescent="0.25">
      <c r="A5216"/>
    </row>
    <row r="5217" spans="1:1" x14ac:dyDescent="0.25">
      <c r="A5217"/>
    </row>
    <row r="5218" spans="1:1" x14ac:dyDescent="0.25">
      <c r="A5218"/>
    </row>
    <row r="5219" spans="1:1" x14ac:dyDescent="0.25">
      <c r="A5219"/>
    </row>
    <row r="5220" spans="1:1" x14ac:dyDescent="0.25">
      <c r="A5220"/>
    </row>
    <row r="5221" spans="1:1" x14ac:dyDescent="0.25">
      <c r="A5221"/>
    </row>
    <row r="5222" spans="1:1" x14ac:dyDescent="0.25">
      <c r="A5222"/>
    </row>
    <row r="5223" spans="1:1" x14ac:dyDescent="0.25">
      <c r="A5223"/>
    </row>
    <row r="5224" spans="1:1" x14ac:dyDescent="0.25">
      <c r="A5224"/>
    </row>
    <row r="5225" spans="1:1" x14ac:dyDescent="0.25">
      <c r="A5225"/>
    </row>
    <row r="5226" spans="1:1" x14ac:dyDescent="0.25">
      <c r="A5226"/>
    </row>
    <row r="5227" spans="1:1" x14ac:dyDescent="0.25">
      <c r="A5227"/>
    </row>
    <row r="5228" spans="1:1" x14ac:dyDescent="0.25">
      <c r="A5228"/>
    </row>
    <row r="5229" spans="1:1" x14ac:dyDescent="0.25">
      <c r="A5229"/>
    </row>
    <row r="5230" spans="1:1" x14ac:dyDescent="0.25">
      <c r="A5230"/>
    </row>
    <row r="5231" spans="1:1" x14ac:dyDescent="0.25">
      <c r="A5231"/>
    </row>
    <row r="5232" spans="1:1" x14ac:dyDescent="0.25">
      <c r="A5232"/>
    </row>
    <row r="5233" spans="1:1" x14ac:dyDescent="0.25">
      <c r="A5233"/>
    </row>
    <row r="5234" spans="1:1" x14ac:dyDescent="0.25">
      <c r="A5234"/>
    </row>
    <row r="5235" spans="1:1" x14ac:dyDescent="0.25">
      <c r="A5235"/>
    </row>
    <row r="5236" spans="1:1" x14ac:dyDescent="0.25">
      <c r="A5236"/>
    </row>
    <row r="5237" spans="1:1" x14ac:dyDescent="0.25">
      <c r="A5237"/>
    </row>
    <row r="5238" spans="1:1" x14ac:dyDescent="0.25">
      <c r="A5238"/>
    </row>
    <row r="5239" spans="1:1" x14ac:dyDescent="0.25">
      <c r="A5239"/>
    </row>
    <row r="5240" spans="1:1" x14ac:dyDescent="0.25">
      <c r="A5240"/>
    </row>
    <row r="5241" spans="1:1" x14ac:dyDescent="0.25">
      <c r="A5241"/>
    </row>
    <row r="5242" spans="1:1" x14ac:dyDescent="0.25">
      <c r="A5242"/>
    </row>
    <row r="5243" spans="1:1" x14ac:dyDescent="0.25">
      <c r="A5243"/>
    </row>
    <row r="5244" spans="1:1" x14ac:dyDescent="0.25">
      <c r="A5244"/>
    </row>
    <row r="5245" spans="1:1" x14ac:dyDescent="0.25">
      <c r="A5245"/>
    </row>
    <row r="5246" spans="1:1" x14ac:dyDescent="0.25">
      <c r="A5246"/>
    </row>
    <row r="5247" spans="1:1" x14ac:dyDescent="0.25">
      <c r="A5247"/>
    </row>
    <row r="5248" spans="1:1" x14ac:dyDescent="0.25">
      <c r="A5248"/>
    </row>
    <row r="5249" spans="1:1" x14ac:dyDescent="0.25">
      <c r="A5249"/>
    </row>
    <row r="5250" spans="1:1" x14ac:dyDescent="0.25">
      <c r="A5250"/>
    </row>
    <row r="5251" spans="1:1" x14ac:dyDescent="0.25">
      <c r="A5251"/>
    </row>
    <row r="5252" spans="1:1" x14ac:dyDescent="0.25">
      <c r="A5252"/>
    </row>
    <row r="5253" spans="1:1" x14ac:dyDescent="0.25">
      <c r="A5253"/>
    </row>
    <row r="5254" spans="1:1" x14ac:dyDescent="0.25">
      <c r="A5254"/>
    </row>
    <row r="5255" spans="1:1" x14ac:dyDescent="0.25">
      <c r="A5255"/>
    </row>
    <row r="5256" spans="1:1" x14ac:dyDescent="0.25">
      <c r="A5256"/>
    </row>
    <row r="5257" spans="1:1" x14ac:dyDescent="0.25">
      <c r="A5257"/>
    </row>
    <row r="5258" spans="1:1" x14ac:dyDescent="0.25">
      <c r="A5258"/>
    </row>
    <row r="5259" spans="1:1" x14ac:dyDescent="0.25">
      <c r="A5259"/>
    </row>
    <row r="5260" spans="1:1" x14ac:dyDescent="0.25">
      <c r="A5260"/>
    </row>
    <row r="5261" spans="1:1" x14ac:dyDescent="0.25">
      <c r="A5261"/>
    </row>
    <row r="5262" spans="1:1" x14ac:dyDescent="0.25">
      <c r="A5262"/>
    </row>
    <row r="5263" spans="1:1" x14ac:dyDescent="0.25">
      <c r="A5263"/>
    </row>
    <row r="5264" spans="1:1" x14ac:dyDescent="0.25">
      <c r="A5264"/>
    </row>
    <row r="5265" spans="1:1" x14ac:dyDescent="0.25">
      <c r="A5265"/>
    </row>
    <row r="5266" spans="1:1" x14ac:dyDescent="0.25">
      <c r="A5266"/>
    </row>
    <row r="5267" spans="1:1" x14ac:dyDescent="0.25">
      <c r="A5267"/>
    </row>
    <row r="5268" spans="1:1" x14ac:dyDescent="0.25">
      <c r="A5268"/>
    </row>
    <row r="5269" spans="1:1" x14ac:dyDescent="0.25">
      <c r="A5269"/>
    </row>
    <row r="5270" spans="1:1" x14ac:dyDescent="0.25">
      <c r="A5270"/>
    </row>
    <row r="5271" spans="1:1" x14ac:dyDescent="0.25">
      <c r="A5271"/>
    </row>
    <row r="5272" spans="1:1" x14ac:dyDescent="0.25">
      <c r="A5272"/>
    </row>
    <row r="5273" spans="1:1" x14ac:dyDescent="0.25">
      <c r="A5273"/>
    </row>
    <row r="5274" spans="1:1" x14ac:dyDescent="0.25">
      <c r="A5274"/>
    </row>
    <row r="5275" spans="1:1" x14ac:dyDescent="0.25">
      <c r="A5275"/>
    </row>
    <row r="5276" spans="1:1" x14ac:dyDescent="0.25">
      <c r="A5276"/>
    </row>
    <row r="5277" spans="1:1" x14ac:dyDescent="0.25">
      <c r="A5277"/>
    </row>
    <row r="5278" spans="1:1" x14ac:dyDescent="0.25">
      <c r="A5278"/>
    </row>
    <row r="5279" spans="1:1" x14ac:dyDescent="0.25">
      <c r="A5279"/>
    </row>
    <row r="5280" spans="1:1" x14ac:dyDescent="0.25">
      <c r="A5280"/>
    </row>
    <row r="5281" spans="1:1" x14ac:dyDescent="0.25">
      <c r="A5281"/>
    </row>
    <row r="5282" spans="1:1" x14ac:dyDescent="0.25">
      <c r="A5282"/>
    </row>
    <row r="5283" spans="1:1" x14ac:dyDescent="0.25">
      <c r="A5283"/>
    </row>
    <row r="5284" spans="1:1" x14ac:dyDescent="0.25">
      <c r="A5284"/>
    </row>
    <row r="5285" spans="1:1" x14ac:dyDescent="0.25">
      <c r="A5285"/>
    </row>
    <row r="5286" spans="1:1" x14ac:dyDescent="0.25">
      <c r="A5286"/>
    </row>
    <row r="5287" spans="1:1" x14ac:dyDescent="0.25">
      <c r="A5287"/>
    </row>
    <row r="5288" spans="1:1" x14ac:dyDescent="0.25">
      <c r="A5288"/>
    </row>
    <row r="5289" spans="1:1" x14ac:dyDescent="0.25">
      <c r="A5289"/>
    </row>
    <row r="5290" spans="1:1" x14ac:dyDescent="0.25">
      <c r="A5290"/>
    </row>
    <row r="5291" spans="1:1" x14ac:dyDescent="0.25">
      <c r="A5291"/>
    </row>
    <row r="5292" spans="1:1" x14ac:dyDescent="0.25">
      <c r="A5292"/>
    </row>
    <row r="5293" spans="1:1" x14ac:dyDescent="0.25">
      <c r="A5293"/>
    </row>
    <row r="5294" spans="1:1" x14ac:dyDescent="0.25">
      <c r="A5294"/>
    </row>
    <row r="5295" spans="1:1" x14ac:dyDescent="0.25">
      <c r="A5295"/>
    </row>
    <row r="5296" spans="1:1" x14ac:dyDescent="0.25">
      <c r="A5296"/>
    </row>
    <row r="5297" spans="1:1" x14ac:dyDescent="0.25">
      <c r="A5297"/>
    </row>
    <row r="5298" spans="1:1" x14ac:dyDescent="0.25">
      <c r="A5298"/>
    </row>
    <row r="5299" spans="1:1" x14ac:dyDescent="0.25">
      <c r="A5299"/>
    </row>
    <row r="5300" spans="1:1" x14ac:dyDescent="0.25">
      <c r="A5300"/>
    </row>
    <row r="5301" spans="1:1" x14ac:dyDescent="0.25">
      <c r="A5301"/>
    </row>
    <row r="5302" spans="1:1" x14ac:dyDescent="0.25">
      <c r="A5302"/>
    </row>
    <row r="5303" spans="1:1" x14ac:dyDescent="0.25">
      <c r="A5303"/>
    </row>
    <row r="5304" spans="1:1" x14ac:dyDescent="0.25">
      <c r="A5304"/>
    </row>
    <row r="5305" spans="1:1" x14ac:dyDescent="0.25">
      <c r="A5305"/>
    </row>
    <row r="5306" spans="1:1" x14ac:dyDescent="0.25">
      <c r="A5306"/>
    </row>
    <row r="5307" spans="1:1" x14ac:dyDescent="0.25">
      <c r="A5307"/>
    </row>
    <row r="5308" spans="1:1" x14ac:dyDescent="0.25">
      <c r="A5308"/>
    </row>
    <row r="5309" spans="1:1" x14ac:dyDescent="0.25">
      <c r="A5309"/>
    </row>
    <row r="5310" spans="1:1" x14ac:dyDescent="0.25">
      <c r="A5310"/>
    </row>
    <row r="5311" spans="1:1" x14ac:dyDescent="0.25">
      <c r="A5311"/>
    </row>
    <row r="5312" spans="1:1" x14ac:dyDescent="0.25">
      <c r="A5312"/>
    </row>
    <row r="5313" spans="1:1" x14ac:dyDescent="0.25">
      <c r="A5313"/>
    </row>
    <row r="5314" spans="1:1" x14ac:dyDescent="0.25">
      <c r="A5314"/>
    </row>
    <row r="5315" spans="1:1" x14ac:dyDescent="0.25">
      <c r="A5315"/>
    </row>
    <row r="5316" spans="1:1" x14ac:dyDescent="0.25">
      <c r="A5316"/>
    </row>
    <row r="5317" spans="1:1" x14ac:dyDescent="0.25">
      <c r="A5317"/>
    </row>
    <row r="5318" spans="1:1" x14ac:dyDescent="0.25">
      <c r="A5318"/>
    </row>
    <row r="5319" spans="1:1" x14ac:dyDescent="0.25">
      <c r="A5319"/>
    </row>
    <row r="5320" spans="1:1" x14ac:dyDescent="0.25">
      <c r="A5320"/>
    </row>
    <row r="5321" spans="1:1" x14ac:dyDescent="0.25">
      <c r="A5321"/>
    </row>
    <row r="5322" spans="1:1" x14ac:dyDescent="0.25">
      <c r="A5322"/>
    </row>
    <row r="5323" spans="1:1" x14ac:dyDescent="0.25">
      <c r="A5323"/>
    </row>
    <row r="5324" spans="1:1" x14ac:dyDescent="0.25">
      <c r="A5324"/>
    </row>
    <row r="5325" spans="1:1" x14ac:dyDescent="0.25">
      <c r="A5325"/>
    </row>
    <row r="5326" spans="1:1" x14ac:dyDescent="0.25">
      <c r="A5326"/>
    </row>
    <row r="5327" spans="1:1" x14ac:dyDescent="0.25">
      <c r="A5327"/>
    </row>
    <row r="5328" spans="1:1" x14ac:dyDescent="0.25">
      <c r="A5328"/>
    </row>
    <row r="5329" spans="1:1" x14ac:dyDescent="0.25">
      <c r="A5329"/>
    </row>
    <row r="5330" spans="1:1" x14ac:dyDescent="0.25">
      <c r="A5330"/>
    </row>
    <row r="5331" spans="1:1" x14ac:dyDescent="0.25">
      <c r="A5331"/>
    </row>
    <row r="5332" spans="1:1" x14ac:dyDescent="0.25">
      <c r="A5332"/>
    </row>
    <row r="5333" spans="1:1" x14ac:dyDescent="0.25">
      <c r="A5333"/>
    </row>
    <row r="5334" spans="1:1" x14ac:dyDescent="0.25">
      <c r="A5334"/>
    </row>
    <row r="5335" spans="1:1" x14ac:dyDescent="0.25">
      <c r="A5335"/>
    </row>
    <row r="5336" spans="1:1" x14ac:dyDescent="0.25">
      <c r="A5336"/>
    </row>
    <row r="5337" spans="1:1" x14ac:dyDescent="0.25">
      <c r="A5337"/>
    </row>
    <row r="5338" spans="1:1" x14ac:dyDescent="0.25">
      <c r="A5338"/>
    </row>
    <row r="5339" spans="1:1" x14ac:dyDescent="0.25">
      <c r="A5339"/>
    </row>
    <row r="5340" spans="1:1" x14ac:dyDescent="0.25">
      <c r="A5340"/>
    </row>
    <row r="5341" spans="1:1" x14ac:dyDescent="0.25">
      <c r="A5341"/>
    </row>
    <row r="5342" spans="1:1" x14ac:dyDescent="0.25">
      <c r="A5342"/>
    </row>
    <row r="5343" spans="1:1" x14ac:dyDescent="0.25">
      <c r="A5343"/>
    </row>
    <row r="5344" spans="1:1" x14ac:dyDescent="0.25">
      <c r="A5344"/>
    </row>
    <row r="5345" spans="1:1" x14ac:dyDescent="0.25">
      <c r="A5345"/>
    </row>
    <row r="5346" spans="1:1" x14ac:dyDescent="0.25">
      <c r="A5346"/>
    </row>
    <row r="5347" spans="1:1" x14ac:dyDescent="0.25">
      <c r="A5347"/>
    </row>
    <row r="5348" spans="1:1" x14ac:dyDescent="0.25">
      <c r="A5348"/>
    </row>
    <row r="5349" spans="1:1" x14ac:dyDescent="0.25">
      <c r="A5349"/>
    </row>
    <row r="5350" spans="1:1" x14ac:dyDescent="0.25">
      <c r="A5350"/>
    </row>
    <row r="5351" spans="1:1" x14ac:dyDescent="0.25">
      <c r="A5351"/>
    </row>
    <row r="5352" spans="1:1" x14ac:dyDescent="0.25">
      <c r="A5352"/>
    </row>
    <row r="5353" spans="1:1" x14ac:dyDescent="0.25">
      <c r="A5353"/>
    </row>
    <row r="5354" spans="1:1" x14ac:dyDescent="0.25">
      <c r="A5354"/>
    </row>
    <row r="5355" spans="1:1" x14ac:dyDescent="0.25">
      <c r="A5355"/>
    </row>
    <row r="5356" spans="1:1" x14ac:dyDescent="0.25">
      <c r="A5356"/>
    </row>
    <row r="5357" spans="1:1" x14ac:dyDescent="0.25">
      <c r="A5357"/>
    </row>
    <row r="5358" spans="1:1" x14ac:dyDescent="0.25">
      <c r="A5358"/>
    </row>
    <row r="5359" spans="1:1" x14ac:dyDescent="0.25">
      <c r="A5359"/>
    </row>
    <row r="5360" spans="1:1" x14ac:dyDescent="0.25">
      <c r="A5360"/>
    </row>
    <row r="5361" spans="1:1" x14ac:dyDescent="0.25">
      <c r="A5361"/>
    </row>
    <row r="5362" spans="1:1" x14ac:dyDescent="0.25">
      <c r="A5362"/>
    </row>
    <row r="5363" spans="1:1" x14ac:dyDescent="0.25">
      <c r="A5363"/>
    </row>
    <row r="5364" spans="1:1" x14ac:dyDescent="0.25">
      <c r="A5364"/>
    </row>
    <row r="5365" spans="1:1" x14ac:dyDescent="0.25">
      <c r="A5365"/>
    </row>
    <row r="5366" spans="1:1" x14ac:dyDescent="0.25">
      <c r="A5366"/>
    </row>
    <row r="5367" spans="1:1" x14ac:dyDescent="0.25">
      <c r="A5367"/>
    </row>
    <row r="5368" spans="1:1" x14ac:dyDescent="0.25">
      <c r="A5368"/>
    </row>
    <row r="5369" spans="1:1" x14ac:dyDescent="0.25">
      <c r="A5369"/>
    </row>
    <row r="5370" spans="1:1" x14ac:dyDescent="0.25">
      <c r="A5370"/>
    </row>
    <row r="5371" spans="1:1" x14ac:dyDescent="0.25">
      <c r="A5371"/>
    </row>
    <row r="5372" spans="1:1" x14ac:dyDescent="0.25">
      <c r="A5372"/>
    </row>
    <row r="5373" spans="1:1" x14ac:dyDescent="0.25">
      <c r="A5373"/>
    </row>
    <row r="5374" spans="1:1" x14ac:dyDescent="0.25">
      <c r="A5374"/>
    </row>
    <row r="5375" spans="1:1" x14ac:dyDescent="0.25">
      <c r="A5375"/>
    </row>
    <row r="5376" spans="1:1" x14ac:dyDescent="0.25">
      <c r="A5376"/>
    </row>
    <row r="5377" spans="1:1" x14ac:dyDescent="0.25">
      <c r="A5377"/>
    </row>
    <row r="5378" spans="1:1" x14ac:dyDescent="0.25">
      <c r="A5378"/>
    </row>
    <row r="5379" spans="1:1" x14ac:dyDescent="0.25">
      <c r="A5379"/>
    </row>
    <row r="5380" spans="1:1" x14ac:dyDescent="0.25">
      <c r="A5380"/>
    </row>
    <row r="5381" spans="1:1" x14ac:dyDescent="0.25">
      <c r="A5381"/>
    </row>
    <row r="5382" spans="1:1" x14ac:dyDescent="0.25">
      <c r="A5382"/>
    </row>
    <row r="5383" spans="1:1" x14ac:dyDescent="0.25">
      <c r="A5383"/>
    </row>
    <row r="5384" spans="1:1" x14ac:dyDescent="0.25">
      <c r="A5384"/>
    </row>
    <row r="5385" spans="1:1" x14ac:dyDescent="0.25">
      <c r="A5385"/>
    </row>
    <row r="5386" spans="1:1" x14ac:dyDescent="0.25">
      <c r="A5386"/>
    </row>
    <row r="5387" spans="1:1" x14ac:dyDescent="0.25">
      <c r="A5387"/>
    </row>
    <row r="5388" spans="1:1" x14ac:dyDescent="0.25">
      <c r="A5388"/>
    </row>
    <row r="5389" spans="1:1" x14ac:dyDescent="0.25">
      <c r="A5389"/>
    </row>
    <row r="5390" spans="1:1" x14ac:dyDescent="0.25">
      <c r="A5390"/>
    </row>
    <row r="5391" spans="1:1" x14ac:dyDescent="0.25">
      <c r="A5391"/>
    </row>
    <row r="5392" spans="1:1" x14ac:dyDescent="0.25">
      <c r="A5392"/>
    </row>
    <row r="5393" spans="1:1" x14ac:dyDescent="0.25">
      <c r="A5393"/>
    </row>
    <row r="5394" spans="1:1" x14ac:dyDescent="0.25">
      <c r="A5394"/>
    </row>
    <row r="5395" spans="1:1" x14ac:dyDescent="0.25">
      <c r="A5395"/>
    </row>
    <row r="5396" spans="1:1" x14ac:dyDescent="0.25">
      <c r="A5396"/>
    </row>
    <row r="5397" spans="1:1" x14ac:dyDescent="0.25">
      <c r="A5397"/>
    </row>
    <row r="5398" spans="1:1" x14ac:dyDescent="0.25">
      <c r="A5398"/>
    </row>
    <row r="5399" spans="1:1" x14ac:dyDescent="0.25">
      <c r="A5399"/>
    </row>
    <row r="5400" spans="1:1" x14ac:dyDescent="0.25">
      <c r="A5400"/>
    </row>
    <row r="5401" spans="1:1" x14ac:dyDescent="0.25">
      <c r="A5401"/>
    </row>
    <row r="5402" spans="1:1" x14ac:dyDescent="0.25">
      <c r="A5402"/>
    </row>
    <row r="5403" spans="1:1" x14ac:dyDescent="0.25">
      <c r="A5403"/>
    </row>
    <row r="5404" spans="1:1" x14ac:dyDescent="0.25">
      <c r="A5404"/>
    </row>
    <row r="5405" spans="1:1" x14ac:dyDescent="0.25">
      <c r="A5405"/>
    </row>
    <row r="5406" spans="1:1" x14ac:dyDescent="0.25">
      <c r="A5406"/>
    </row>
    <row r="5407" spans="1:1" x14ac:dyDescent="0.25">
      <c r="A5407"/>
    </row>
    <row r="5408" spans="1:1" x14ac:dyDescent="0.25">
      <c r="A5408"/>
    </row>
    <row r="5409" spans="1:1" x14ac:dyDescent="0.25">
      <c r="A5409"/>
    </row>
    <row r="5410" spans="1:1" x14ac:dyDescent="0.25">
      <c r="A5410"/>
    </row>
    <row r="5411" spans="1:1" x14ac:dyDescent="0.25">
      <c r="A5411"/>
    </row>
    <row r="5412" spans="1:1" x14ac:dyDescent="0.25">
      <c r="A5412"/>
    </row>
    <row r="5413" spans="1:1" x14ac:dyDescent="0.25">
      <c r="A5413"/>
    </row>
    <row r="5414" spans="1:1" x14ac:dyDescent="0.25">
      <c r="A5414"/>
    </row>
    <row r="5415" spans="1:1" x14ac:dyDescent="0.25">
      <c r="A5415"/>
    </row>
    <row r="5416" spans="1:1" x14ac:dyDescent="0.25">
      <c r="A5416"/>
    </row>
    <row r="5417" spans="1:1" x14ac:dyDescent="0.25">
      <c r="A5417"/>
    </row>
    <row r="5418" spans="1:1" x14ac:dyDescent="0.25">
      <c r="A5418"/>
    </row>
    <row r="5419" spans="1:1" x14ac:dyDescent="0.25">
      <c r="A5419"/>
    </row>
    <row r="5420" spans="1:1" x14ac:dyDescent="0.25">
      <c r="A5420"/>
    </row>
    <row r="5421" spans="1:1" x14ac:dyDescent="0.25">
      <c r="A5421"/>
    </row>
    <row r="5422" spans="1:1" x14ac:dyDescent="0.25">
      <c r="A5422"/>
    </row>
    <row r="5423" spans="1:1" x14ac:dyDescent="0.25">
      <c r="A5423"/>
    </row>
    <row r="5424" spans="1:1" x14ac:dyDescent="0.25">
      <c r="A5424"/>
    </row>
    <row r="5425" spans="1:1" x14ac:dyDescent="0.25">
      <c r="A5425"/>
    </row>
    <row r="5426" spans="1:1" x14ac:dyDescent="0.25">
      <c r="A5426"/>
    </row>
    <row r="5427" spans="1:1" x14ac:dyDescent="0.25">
      <c r="A5427"/>
    </row>
    <row r="5428" spans="1:1" x14ac:dyDescent="0.25">
      <c r="A5428"/>
    </row>
    <row r="5429" spans="1:1" x14ac:dyDescent="0.25">
      <c r="A5429"/>
    </row>
    <row r="5430" spans="1:1" x14ac:dyDescent="0.25">
      <c r="A5430"/>
    </row>
    <row r="5431" spans="1:1" x14ac:dyDescent="0.25">
      <c r="A5431"/>
    </row>
    <row r="5432" spans="1:1" x14ac:dyDescent="0.25">
      <c r="A5432"/>
    </row>
    <row r="5433" spans="1:1" x14ac:dyDescent="0.25">
      <c r="A5433"/>
    </row>
    <row r="5434" spans="1:1" x14ac:dyDescent="0.25">
      <c r="A5434"/>
    </row>
    <row r="5435" spans="1:1" x14ac:dyDescent="0.25">
      <c r="A5435"/>
    </row>
    <row r="5436" spans="1:1" x14ac:dyDescent="0.25">
      <c r="A5436"/>
    </row>
    <row r="5437" spans="1:1" x14ac:dyDescent="0.25">
      <c r="A5437"/>
    </row>
    <row r="5438" spans="1:1" x14ac:dyDescent="0.25">
      <c r="A5438"/>
    </row>
    <row r="5439" spans="1:1" x14ac:dyDescent="0.25">
      <c r="A5439"/>
    </row>
    <row r="5440" spans="1:1" x14ac:dyDescent="0.25">
      <c r="A5440"/>
    </row>
    <row r="5441" spans="1:1" x14ac:dyDescent="0.25">
      <c r="A5441"/>
    </row>
    <row r="5442" spans="1:1" x14ac:dyDescent="0.25">
      <c r="A5442"/>
    </row>
    <row r="5443" spans="1:1" x14ac:dyDescent="0.25">
      <c r="A5443"/>
    </row>
    <row r="5444" spans="1:1" x14ac:dyDescent="0.25">
      <c r="A5444"/>
    </row>
    <row r="5445" spans="1:1" x14ac:dyDescent="0.25">
      <c r="A5445"/>
    </row>
    <row r="5446" spans="1:1" x14ac:dyDescent="0.25">
      <c r="A5446"/>
    </row>
    <row r="5447" spans="1:1" x14ac:dyDescent="0.25">
      <c r="A5447"/>
    </row>
    <row r="5448" spans="1:1" x14ac:dyDescent="0.25">
      <c r="A5448"/>
    </row>
    <row r="5449" spans="1:1" x14ac:dyDescent="0.25">
      <c r="A5449"/>
    </row>
    <row r="5450" spans="1:1" x14ac:dyDescent="0.25">
      <c r="A5450"/>
    </row>
    <row r="5451" spans="1:1" x14ac:dyDescent="0.25">
      <c r="A5451"/>
    </row>
    <row r="5452" spans="1:1" x14ac:dyDescent="0.25">
      <c r="A5452"/>
    </row>
    <row r="5453" spans="1:1" x14ac:dyDescent="0.25">
      <c r="A5453"/>
    </row>
    <row r="5454" spans="1:1" x14ac:dyDescent="0.25">
      <c r="A5454"/>
    </row>
    <row r="5455" spans="1:1" x14ac:dyDescent="0.25">
      <c r="A5455"/>
    </row>
    <row r="5456" spans="1:1" x14ac:dyDescent="0.25">
      <c r="A5456"/>
    </row>
    <row r="5457" spans="1:1" x14ac:dyDescent="0.25">
      <c r="A5457"/>
    </row>
    <row r="5458" spans="1:1" x14ac:dyDescent="0.25">
      <c r="A5458"/>
    </row>
    <row r="5459" spans="1:1" x14ac:dyDescent="0.25">
      <c r="A5459"/>
    </row>
    <row r="5460" spans="1:1" x14ac:dyDescent="0.25">
      <c r="A5460"/>
    </row>
    <row r="5461" spans="1:1" x14ac:dyDescent="0.25">
      <c r="A5461"/>
    </row>
    <row r="5462" spans="1:1" x14ac:dyDescent="0.25">
      <c r="A5462"/>
    </row>
    <row r="5463" spans="1:1" x14ac:dyDescent="0.25">
      <c r="A5463"/>
    </row>
    <row r="5464" spans="1:1" x14ac:dyDescent="0.25">
      <c r="A5464"/>
    </row>
    <row r="5465" spans="1:1" x14ac:dyDescent="0.25">
      <c r="A5465"/>
    </row>
    <row r="5466" spans="1:1" x14ac:dyDescent="0.25">
      <c r="A5466"/>
    </row>
    <row r="5467" spans="1:1" x14ac:dyDescent="0.25">
      <c r="A5467"/>
    </row>
    <row r="5468" spans="1:1" x14ac:dyDescent="0.25">
      <c r="A5468"/>
    </row>
    <row r="5469" spans="1:1" x14ac:dyDescent="0.25">
      <c r="A5469"/>
    </row>
    <row r="5470" spans="1:1" x14ac:dyDescent="0.25">
      <c r="A5470"/>
    </row>
    <row r="5471" spans="1:1" x14ac:dyDescent="0.25">
      <c r="A5471"/>
    </row>
    <row r="5472" spans="1:1" x14ac:dyDescent="0.25">
      <c r="A5472"/>
    </row>
    <row r="5473" spans="1:1" x14ac:dyDescent="0.25">
      <c r="A5473"/>
    </row>
    <row r="5474" spans="1:1" x14ac:dyDescent="0.25">
      <c r="A5474"/>
    </row>
    <row r="5475" spans="1:1" x14ac:dyDescent="0.25">
      <c r="A5475"/>
    </row>
    <row r="5476" spans="1:1" x14ac:dyDescent="0.25">
      <c r="A5476"/>
    </row>
    <row r="5477" spans="1:1" x14ac:dyDescent="0.25">
      <c r="A5477"/>
    </row>
    <row r="5478" spans="1:1" x14ac:dyDescent="0.25">
      <c r="A5478"/>
    </row>
    <row r="5479" spans="1:1" x14ac:dyDescent="0.25">
      <c r="A5479"/>
    </row>
    <row r="5480" spans="1:1" x14ac:dyDescent="0.25">
      <c r="A5480"/>
    </row>
    <row r="5481" spans="1:1" x14ac:dyDescent="0.25">
      <c r="A5481"/>
    </row>
    <row r="5482" spans="1:1" x14ac:dyDescent="0.25">
      <c r="A5482"/>
    </row>
    <row r="5483" spans="1:1" x14ac:dyDescent="0.25">
      <c r="A5483"/>
    </row>
    <row r="5484" spans="1:1" x14ac:dyDescent="0.25">
      <c r="A5484"/>
    </row>
    <row r="5485" spans="1:1" x14ac:dyDescent="0.25">
      <c r="A5485"/>
    </row>
    <row r="5486" spans="1:1" x14ac:dyDescent="0.25">
      <c r="A5486"/>
    </row>
    <row r="5487" spans="1:1" x14ac:dyDescent="0.25">
      <c r="A5487"/>
    </row>
    <row r="5488" spans="1:1" x14ac:dyDescent="0.25">
      <c r="A5488"/>
    </row>
    <row r="5489" spans="1:1" x14ac:dyDescent="0.25">
      <c r="A5489"/>
    </row>
    <row r="5490" spans="1:1" x14ac:dyDescent="0.25">
      <c r="A5490"/>
    </row>
    <row r="5491" spans="1:1" x14ac:dyDescent="0.25">
      <c r="A5491"/>
    </row>
    <row r="5492" spans="1:1" x14ac:dyDescent="0.25">
      <c r="A5492"/>
    </row>
    <row r="5493" spans="1:1" x14ac:dyDescent="0.25">
      <c r="A5493"/>
    </row>
    <row r="5494" spans="1:1" x14ac:dyDescent="0.25">
      <c r="A5494"/>
    </row>
    <row r="5495" spans="1:1" x14ac:dyDescent="0.25">
      <c r="A5495"/>
    </row>
    <row r="5496" spans="1:1" x14ac:dyDescent="0.25">
      <c r="A5496"/>
    </row>
    <row r="5497" spans="1:1" x14ac:dyDescent="0.25">
      <c r="A5497"/>
    </row>
    <row r="5498" spans="1:1" x14ac:dyDescent="0.25">
      <c r="A5498"/>
    </row>
    <row r="5499" spans="1:1" x14ac:dyDescent="0.25">
      <c r="A5499"/>
    </row>
    <row r="5500" spans="1:1" x14ac:dyDescent="0.25">
      <c r="A5500"/>
    </row>
    <row r="5501" spans="1:1" x14ac:dyDescent="0.25">
      <c r="A5501"/>
    </row>
    <row r="5502" spans="1:1" x14ac:dyDescent="0.25">
      <c r="A5502"/>
    </row>
    <row r="5503" spans="1:1" x14ac:dyDescent="0.25">
      <c r="A5503"/>
    </row>
    <row r="5504" spans="1:1" x14ac:dyDescent="0.25">
      <c r="A5504"/>
    </row>
    <row r="5505" spans="1:1" x14ac:dyDescent="0.25">
      <c r="A5505"/>
    </row>
    <row r="5506" spans="1:1" x14ac:dyDescent="0.25">
      <c r="A5506"/>
    </row>
    <row r="5507" spans="1:1" x14ac:dyDescent="0.25">
      <c r="A5507"/>
    </row>
    <row r="5508" spans="1:1" x14ac:dyDescent="0.25">
      <c r="A5508"/>
    </row>
    <row r="5509" spans="1:1" x14ac:dyDescent="0.25">
      <c r="A5509"/>
    </row>
    <row r="5510" spans="1:1" x14ac:dyDescent="0.25">
      <c r="A5510"/>
    </row>
    <row r="5511" spans="1:1" x14ac:dyDescent="0.25">
      <c r="A5511"/>
    </row>
    <row r="5512" spans="1:1" x14ac:dyDescent="0.25">
      <c r="A5512"/>
    </row>
    <row r="5513" spans="1:1" x14ac:dyDescent="0.25">
      <c r="A5513"/>
    </row>
    <row r="5514" spans="1:1" x14ac:dyDescent="0.25">
      <c r="A5514"/>
    </row>
    <row r="5515" spans="1:1" x14ac:dyDescent="0.25">
      <c r="A5515"/>
    </row>
    <row r="5516" spans="1:1" x14ac:dyDescent="0.25">
      <c r="A5516"/>
    </row>
    <row r="5517" spans="1:1" x14ac:dyDescent="0.25">
      <c r="A5517"/>
    </row>
    <row r="5518" spans="1:1" x14ac:dyDescent="0.25">
      <c r="A5518"/>
    </row>
    <row r="5519" spans="1:1" x14ac:dyDescent="0.25">
      <c r="A5519"/>
    </row>
    <row r="5520" spans="1:1" x14ac:dyDescent="0.25">
      <c r="A5520"/>
    </row>
    <row r="5521" spans="1:1" x14ac:dyDescent="0.25">
      <c r="A5521"/>
    </row>
    <row r="5522" spans="1:1" x14ac:dyDescent="0.25">
      <c r="A5522"/>
    </row>
    <row r="5523" spans="1:1" x14ac:dyDescent="0.25">
      <c r="A5523"/>
    </row>
    <row r="5524" spans="1:1" x14ac:dyDescent="0.25">
      <c r="A5524"/>
    </row>
    <row r="5525" spans="1:1" x14ac:dyDescent="0.25">
      <c r="A5525"/>
    </row>
    <row r="5526" spans="1:1" x14ac:dyDescent="0.25">
      <c r="A5526"/>
    </row>
    <row r="5527" spans="1:1" x14ac:dyDescent="0.25">
      <c r="A5527"/>
    </row>
    <row r="5528" spans="1:1" x14ac:dyDescent="0.25">
      <c r="A5528"/>
    </row>
    <row r="5529" spans="1:1" x14ac:dyDescent="0.25">
      <c r="A5529"/>
    </row>
    <row r="5530" spans="1:1" x14ac:dyDescent="0.25">
      <c r="A5530"/>
    </row>
    <row r="5531" spans="1:1" x14ac:dyDescent="0.25">
      <c r="A5531"/>
    </row>
    <row r="5532" spans="1:1" x14ac:dyDescent="0.25">
      <c r="A5532"/>
    </row>
    <row r="5533" spans="1:1" x14ac:dyDescent="0.25">
      <c r="A5533"/>
    </row>
    <row r="5534" spans="1:1" x14ac:dyDescent="0.25">
      <c r="A5534"/>
    </row>
    <row r="5535" spans="1:1" x14ac:dyDescent="0.25">
      <c r="A5535"/>
    </row>
    <row r="5536" spans="1:1" x14ac:dyDescent="0.25">
      <c r="A5536"/>
    </row>
    <row r="5537" spans="1:1" x14ac:dyDescent="0.25">
      <c r="A5537"/>
    </row>
    <row r="5538" spans="1:1" x14ac:dyDescent="0.25">
      <c r="A5538"/>
    </row>
    <row r="5539" spans="1:1" x14ac:dyDescent="0.25">
      <c r="A5539"/>
    </row>
    <row r="5540" spans="1:1" x14ac:dyDescent="0.25">
      <c r="A5540"/>
    </row>
    <row r="5541" spans="1:1" x14ac:dyDescent="0.25">
      <c r="A5541"/>
    </row>
    <row r="5542" spans="1:1" x14ac:dyDescent="0.25">
      <c r="A5542"/>
    </row>
    <row r="5543" spans="1:1" x14ac:dyDescent="0.25">
      <c r="A5543"/>
    </row>
    <row r="5544" spans="1:1" x14ac:dyDescent="0.25">
      <c r="A5544"/>
    </row>
    <row r="5545" spans="1:1" x14ac:dyDescent="0.25">
      <c r="A5545"/>
    </row>
    <row r="5546" spans="1:1" x14ac:dyDescent="0.25">
      <c r="A5546"/>
    </row>
    <row r="5547" spans="1:1" x14ac:dyDescent="0.25">
      <c r="A5547"/>
    </row>
    <row r="5548" spans="1:1" x14ac:dyDescent="0.25">
      <c r="A5548"/>
    </row>
    <row r="5549" spans="1:1" x14ac:dyDescent="0.25">
      <c r="A5549"/>
    </row>
    <row r="5550" spans="1:1" x14ac:dyDescent="0.25">
      <c r="A5550"/>
    </row>
    <row r="5551" spans="1:1" x14ac:dyDescent="0.25">
      <c r="A5551"/>
    </row>
    <row r="5552" spans="1:1" x14ac:dyDescent="0.25">
      <c r="A5552"/>
    </row>
    <row r="5553" spans="1:1" x14ac:dyDescent="0.25">
      <c r="A5553"/>
    </row>
    <row r="5554" spans="1:1" x14ac:dyDescent="0.25">
      <c r="A5554"/>
    </row>
    <row r="5555" spans="1:1" x14ac:dyDescent="0.25">
      <c r="A5555"/>
    </row>
    <row r="5556" spans="1:1" x14ac:dyDescent="0.25">
      <c r="A5556"/>
    </row>
    <row r="5557" spans="1:1" x14ac:dyDescent="0.25">
      <c r="A5557"/>
    </row>
    <row r="5558" spans="1:1" x14ac:dyDescent="0.25">
      <c r="A5558"/>
    </row>
    <row r="5559" spans="1:1" x14ac:dyDescent="0.25">
      <c r="A5559"/>
    </row>
    <row r="5560" spans="1:1" x14ac:dyDescent="0.25">
      <c r="A5560"/>
    </row>
    <row r="5561" spans="1:1" x14ac:dyDescent="0.25">
      <c r="A5561"/>
    </row>
    <row r="5562" spans="1:1" x14ac:dyDescent="0.25">
      <c r="A5562"/>
    </row>
    <row r="5563" spans="1:1" x14ac:dyDescent="0.25">
      <c r="A5563"/>
    </row>
    <row r="5564" spans="1:1" x14ac:dyDescent="0.25">
      <c r="A5564"/>
    </row>
    <row r="5565" spans="1:1" x14ac:dyDescent="0.25">
      <c r="A5565"/>
    </row>
    <row r="5566" spans="1:1" x14ac:dyDescent="0.25">
      <c r="A5566"/>
    </row>
    <row r="5567" spans="1:1" x14ac:dyDescent="0.25">
      <c r="A5567"/>
    </row>
    <row r="5568" spans="1:1" x14ac:dyDescent="0.25">
      <c r="A5568"/>
    </row>
    <row r="5569" spans="1:1" x14ac:dyDescent="0.25">
      <c r="A5569"/>
    </row>
    <row r="5570" spans="1:1" x14ac:dyDescent="0.25">
      <c r="A5570"/>
    </row>
    <row r="5571" spans="1:1" x14ac:dyDescent="0.25">
      <c r="A5571"/>
    </row>
    <row r="5572" spans="1:1" x14ac:dyDescent="0.25">
      <c r="A5572"/>
    </row>
    <row r="5573" spans="1:1" x14ac:dyDescent="0.25">
      <c r="A5573"/>
    </row>
    <row r="5574" spans="1:1" x14ac:dyDescent="0.25">
      <c r="A5574"/>
    </row>
    <row r="5575" spans="1:1" x14ac:dyDescent="0.25">
      <c r="A5575"/>
    </row>
    <row r="5576" spans="1:1" x14ac:dyDescent="0.25">
      <c r="A5576"/>
    </row>
    <row r="5577" spans="1:1" x14ac:dyDescent="0.25">
      <c r="A5577"/>
    </row>
    <row r="5578" spans="1:1" x14ac:dyDescent="0.25">
      <c r="A5578"/>
    </row>
    <row r="5579" spans="1:1" x14ac:dyDescent="0.25">
      <c r="A5579"/>
    </row>
    <row r="5580" spans="1:1" x14ac:dyDescent="0.25">
      <c r="A5580"/>
    </row>
    <row r="5581" spans="1:1" x14ac:dyDescent="0.25">
      <c r="A5581"/>
    </row>
    <row r="5582" spans="1:1" x14ac:dyDescent="0.25">
      <c r="A5582"/>
    </row>
    <row r="5583" spans="1:1" x14ac:dyDescent="0.25">
      <c r="A5583"/>
    </row>
    <row r="5584" spans="1:1" x14ac:dyDescent="0.25">
      <c r="A5584"/>
    </row>
    <row r="5585" spans="1:1" x14ac:dyDescent="0.25">
      <c r="A5585"/>
    </row>
    <row r="5586" spans="1:1" x14ac:dyDescent="0.25">
      <c r="A5586"/>
    </row>
    <row r="5587" spans="1:1" x14ac:dyDescent="0.25">
      <c r="A5587"/>
    </row>
    <row r="5588" spans="1:1" x14ac:dyDescent="0.25">
      <c r="A5588"/>
    </row>
    <row r="5589" spans="1:1" x14ac:dyDescent="0.25">
      <c r="A5589"/>
    </row>
    <row r="5590" spans="1:1" x14ac:dyDescent="0.25">
      <c r="A5590"/>
    </row>
    <row r="5591" spans="1:1" x14ac:dyDescent="0.25">
      <c r="A5591"/>
    </row>
    <row r="5592" spans="1:1" x14ac:dyDescent="0.25">
      <c r="A5592"/>
    </row>
    <row r="5593" spans="1:1" x14ac:dyDescent="0.25">
      <c r="A5593"/>
    </row>
    <row r="5594" spans="1:1" x14ac:dyDescent="0.25">
      <c r="A5594"/>
    </row>
    <row r="5595" spans="1:1" x14ac:dyDescent="0.25">
      <c r="A5595"/>
    </row>
    <row r="5596" spans="1:1" x14ac:dyDescent="0.25">
      <c r="A5596"/>
    </row>
    <row r="5597" spans="1:1" x14ac:dyDescent="0.25">
      <c r="A5597"/>
    </row>
    <row r="5598" spans="1:1" x14ac:dyDescent="0.25">
      <c r="A5598"/>
    </row>
    <row r="5599" spans="1:1" x14ac:dyDescent="0.25">
      <c r="A5599"/>
    </row>
    <row r="5600" spans="1:1" x14ac:dyDescent="0.25">
      <c r="A5600"/>
    </row>
    <row r="5601" spans="1:1" x14ac:dyDescent="0.25">
      <c r="A5601"/>
    </row>
    <row r="5602" spans="1:1" x14ac:dyDescent="0.25">
      <c r="A5602"/>
    </row>
    <row r="5603" spans="1:1" x14ac:dyDescent="0.25">
      <c r="A5603"/>
    </row>
    <row r="5604" spans="1:1" x14ac:dyDescent="0.25">
      <c r="A5604"/>
    </row>
    <row r="5605" spans="1:1" x14ac:dyDescent="0.25">
      <c r="A5605"/>
    </row>
    <row r="5606" spans="1:1" x14ac:dyDescent="0.25">
      <c r="A5606"/>
    </row>
    <row r="5607" spans="1:1" x14ac:dyDescent="0.25">
      <c r="A5607"/>
    </row>
    <row r="5608" spans="1:1" x14ac:dyDescent="0.25">
      <c r="A5608"/>
    </row>
    <row r="5609" spans="1:1" x14ac:dyDescent="0.25">
      <c r="A5609"/>
    </row>
    <row r="5610" spans="1:1" x14ac:dyDescent="0.25">
      <c r="A5610"/>
    </row>
    <row r="5611" spans="1:1" x14ac:dyDescent="0.25">
      <c r="A5611"/>
    </row>
    <row r="5612" spans="1:1" x14ac:dyDescent="0.25">
      <c r="A5612"/>
    </row>
    <row r="5613" spans="1:1" x14ac:dyDescent="0.25">
      <c r="A5613"/>
    </row>
    <row r="5614" spans="1:1" x14ac:dyDescent="0.25">
      <c r="A5614"/>
    </row>
    <row r="5615" spans="1:1" x14ac:dyDescent="0.25">
      <c r="A5615"/>
    </row>
    <row r="5616" spans="1:1" x14ac:dyDescent="0.25">
      <c r="A5616"/>
    </row>
    <row r="5617" spans="1:1" x14ac:dyDescent="0.25">
      <c r="A5617"/>
    </row>
    <row r="5618" spans="1:1" x14ac:dyDescent="0.25">
      <c r="A5618"/>
    </row>
    <row r="5619" spans="1:1" x14ac:dyDescent="0.25">
      <c r="A5619"/>
    </row>
    <row r="5620" spans="1:1" x14ac:dyDescent="0.25">
      <c r="A5620"/>
    </row>
    <row r="5621" spans="1:1" x14ac:dyDescent="0.25">
      <c r="A5621"/>
    </row>
    <row r="5622" spans="1:1" x14ac:dyDescent="0.25">
      <c r="A5622"/>
    </row>
    <row r="5623" spans="1:1" x14ac:dyDescent="0.25">
      <c r="A5623"/>
    </row>
    <row r="5624" spans="1:1" x14ac:dyDescent="0.25">
      <c r="A5624"/>
    </row>
    <row r="5625" spans="1:1" x14ac:dyDescent="0.25">
      <c r="A5625"/>
    </row>
    <row r="5626" spans="1:1" x14ac:dyDescent="0.25">
      <c r="A5626"/>
    </row>
    <row r="5627" spans="1:1" x14ac:dyDescent="0.25">
      <c r="A5627"/>
    </row>
    <row r="5628" spans="1:1" x14ac:dyDescent="0.25">
      <c r="A5628"/>
    </row>
    <row r="5629" spans="1:1" x14ac:dyDescent="0.25">
      <c r="A5629"/>
    </row>
    <row r="5630" spans="1:1" x14ac:dyDescent="0.25">
      <c r="A5630"/>
    </row>
    <row r="5631" spans="1:1" x14ac:dyDescent="0.25">
      <c r="A5631"/>
    </row>
    <row r="5632" spans="1:1" x14ac:dyDescent="0.25">
      <c r="A5632"/>
    </row>
    <row r="5633" spans="1:1" x14ac:dyDescent="0.25">
      <c r="A5633"/>
    </row>
    <row r="5634" spans="1:1" x14ac:dyDescent="0.25">
      <c r="A5634"/>
    </row>
    <row r="5635" spans="1:1" x14ac:dyDescent="0.25">
      <c r="A5635"/>
    </row>
    <row r="5636" spans="1:1" x14ac:dyDescent="0.25">
      <c r="A5636"/>
    </row>
    <row r="5637" spans="1:1" x14ac:dyDescent="0.25">
      <c r="A5637"/>
    </row>
    <row r="5638" spans="1:1" x14ac:dyDescent="0.25">
      <c r="A5638"/>
    </row>
    <row r="5639" spans="1:1" x14ac:dyDescent="0.25">
      <c r="A5639"/>
    </row>
    <row r="5640" spans="1:1" x14ac:dyDescent="0.25">
      <c r="A5640"/>
    </row>
    <row r="5641" spans="1:1" x14ac:dyDescent="0.25">
      <c r="A5641"/>
    </row>
    <row r="5642" spans="1:1" x14ac:dyDescent="0.25">
      <c r="A5642"/>
    </row>
    <row r="5643" spans="1:1" x14ac:dyDescent="0.25">
      <c r="A5643"/>
    </row>
    <row r="5644" spans="1:1" x14ac:dyDescent="0.25">
      <c r="A5644"/>
    </row>
    <row r="5645" spans="1:1" x14ac:dyDescent="0.25">
      <c r="A5645"/>
    </row>
    <row r="5646" spans="1:1" x14ac:dyDescent="0.25">
      <c r="A5646"/>
    </row>
    <row r="5647" spans="1:1" x14ac:dyDescent="0.25">
      <c r="A5647"/>
    </row>
    <row r="5648" spans="1:1" x14ac:dyDescent="0.25">
      <c r="A5648"/>
    </row>
    <row r="5649" spans="1:1" x14ac:dyDescent="0.25">
      <c r="A5649"/>
    </row>
    <row r="5650" spans="1:1" x14ac:dyDescent="0.25">
      <c r="A5650"/>
    </row>
    <row r="5651" spans="1:1" x14ac:dyDescent="0.25">
      <c r="A5651"/>
    </row>
    <row r="5652" spans="1:1" x14ac:dyDescent="0.25">
      <c r="A5652"/>
    </row>
    <row r="5653" spans="1:1" x14ac:dyDescent="0.25">
      <c r="A5653"/>
    </row>
    <row r="5654" spans="1:1" x14ac:dyDescent="0.25">
      <c r="A5654"/>
    </row>
    <row r="5655" spans="1:1" x14ac:dyDescent="0.25">
      <c r="A5655"/>
    </row>
    <row r="5656" spans="1:1" x14ac:dyDescent="0.25">
      <c r="A5656"/>
    </row>
    <row r="5657" spans="1:1" x14ac:dyDescent="0.25">
      <c r="A5657"/>
    </row>
    <row r="5658" spans="1:1" x14ac:dyDescent="0.25">
      <c r="A5658"/>
    </row>
    <row r="5659" spans="1:1" x14ac:dyDescent="0.25">
      <c r="A5659"/>
    </row>
    <row r="5660" spans="1:1" x14ac:dyDescent="0.25">
      <c r="A5660"/>
    </row>
    <row r="5661" spans="1:1" x14ac:dyDescent="0.25">
      <c r="A5661"/>
    </row>
    <row r="5662" spans="1:1" x14ac:dyDescent="0.25">
      <c r="A5662"/>
    </row>
    <row r="5663" spans="1:1" x14ac:dyDescent="0.25">
      <c r="A5663"/>
    </row>
    <row r="5664" spans="1:1" x14ac:dyDescent="0.25">
      <c r="A5664"/>
    </row>
    <row r="5665" spans="1:1" x14ac:dyDescent="0.25">
      <c r="A5665"/>
    </row>
    <row r="5666" spans="1:1" x14ac:dyDescent="0.25">
      <c r="A5666"/>
    </row>
    <row r="5667" spans="1:1" x14ac:dyDescent="0.25">
      <c r="A5667"/>
    </row>
    <row r="5668" spans="1:1" x14ac:dyDescent="0.25">
      <c r="A5668"/>
    </row>
    <row r="5669" spans="1:1" x14ac:dyDescent="0.25">
      <c r="A5669"/>
    </row>
    <row r="5670" spans="1:1" x14ac:dyDescent="0.25">
      <c r="A5670"/>
    </row>
    <row r="5671" spans="1:1" x14ac:dyDescent="0.25">
      <c r="A5671"/>
    </row>
    <row r="5672" spans="1:1" x14ac:dyDescent="0.25">
      <c r="A5672"/>
    </row>
    <row r="5673" spans="1:1" x14ac:dyDescent="0.25">
      <c r="A5673"/>
    </row>
    <row r="5674" spans="1:1" x14ac:dyDescent="0.25">
      <c r="A5674"/>
    </row>
    <row r="5675" spans="1:1" x14ac:dyDescent="0.25">
      <c r="A5675"/>
    </row>
    <row r="5676" spans="1:1" x14ac:dyDescent="0.25">
      <c r="A5676"/>
    </row>
    <row r="5677" spans="1:1" x14ac:dyDescent="0.25">
      <c r="A5677"/>
    </row>
    <row r="5678" spans="1:1" x14ac:dyDescent="0.25">
      <c r="A5678"/>
    </row>
    <row r="5679" spans="1:1" x14ac:dyDescent="0.25">
      <c r="A5679"/>
    </row>
    <row r="5680" spans="1:1" x14ac:dyDescent="0.25">
      <c r="A5680"/>
    </row>
    <row r="5681" spans="1:1" x14ac:dyDescent="0.25">
      <c r="A5681"/>
    </row>
    <row r="5682" spans="1:1" x14ac:dyDescent="0.25">
      <c r="A5682"/>
    </row>
    <row r="5683" spans="1:1" x14ac:dyDescent="0.25">
      <c r="A5683"/>
    </row>
    <row r="5684" spans="1:1" x14ac:dyDescent="0.25">
      <c r="A5684"/>
    </row>
    <row r="5685" spans="1:1" x14ac:dyDescent="0.25">
      <c r="A5685"/>
    </row>
    <row r="5686" spans="1:1" x14ac:dyDescent="0.25">
      <c r="A5686"/>
    </row>
    <row r="5687" spans="1:1" x14ac:dyDescent="0.25">
      <c r="A5687"/>
    </row>
    <row r="5688" spans="1:1" x14ac:dyDescent="0.25">
      <c r="A5688"/>
    </row>
    <row r="5689" spans="1:1" x14ac:dyDescent="0.25">
      <c r="A5689"/>
    </row>
    <row r="5690" spans="1:1" x14ac:dyDescent="0.25">
      <c r="A5690"/>
    </row>
    <row r="5691" spans="1:1" x14ac:dyDescent="0.25">
      <c r="A5691"/>
    </row>
    <row r="5692" spans="1:1" x14ac:dyDescent="0.25">
      <c r="A5692"/>
    </row>
    <row r="5693" spans="1:1" x14ac:dyDescent="0.25">
      <c r="A5693"/>
    </row>
    <row r="5694" spans="1:1" x14ac:dyDescent="0.25">
      <c r="A5694"/>
    </row>
    <row r="5695" spans="1:1" x14ac:dyDescent="0.25">
      <c r="A5695"/>
    </row>
    <row r="5696" spans="1:1" x14ac:dyDescent="0.25">
      <c r="A5696"/>
    </row>
    <row r="5697" spans="1:1" x14ac:dyDescent="0.25">
      <c r="A5697"/>
    </row>
    <row r="5698" spans="1:1" x14ac:dyDescent="0.25">
      <c r="A5698"/>
    </row>
    <row r="5699" spans="1:1" x14ac:dyDescent="0.25">
      <c r="A5699"/>
    </row>
    <row r="5700" spans="1:1" x14ac:dyDescent="0.25">
      <c r="A5700"/>
    </row>
    <row r="5701" spans="1:1" x14ac:dyDescent="0.25">
      <c r="A5701"/>
    </row>
    <row r="5702" spans="1:1" x14ac:dyDescent="0.25">
      <c r="A5702"/>
    </row>
    <row r="5703" spans="1:1" x14ac:dyDescent="0.25">
      <c r="A5703"/>
    </row>
    <row r="5704" spans="1:1" x14ac:dyDescent="0.25">
      <c r="A5704"/>
    </row>
    <row r="5705" spans="1:1" x14ac:dyDescent="0.25">
      <c r="A5705"/>
    </row>
    <row r="5706" spans="1:1" x14ac:dyDescent="0.25">
      <c r="A5706"/>
    </row>
    <row r="5707" spans="1:1" x14ac:dyDescent="0.25">
      <c r="A5707"/>
    </row>
    <row r="5708" spans="1:1" x14ac:dyDescent="0.25">
      <c r="A5708"/>
    </row>
    <row r="5709" spans="1:1" x14ac:dyDescent="0.25">
      <c r="A5709"/>
    </row>
    <row r="5710" spans="1:1" x14ac:dyDescent="0.25">
      <c r="A5710"/>
    </row>
    <row r="5711" spans="1:1" x14ac:dyDescent="0.25">
      <c r="A5711"/>
    </row>
    <row r="5712" spans="1:1" x14ac:dyDescent="0.25">
      <c r="A5712"/>
    </row>
    <row r="5713" spans="1:1" x14ac:dyDescent="0.25">
      <c r="A5713"/>
    </row>
    <row r="5714" spans="1:1" x14ac:dyDescent="0.25">
      <c r="A5714"/>
    </row>
    <row r="5715" spans="1:1" x14ac:dyDescent="0.25">
      <c r="A5715"/>
    </row>
    <row r="5716" spans="1:1" x14ac:dyDescent="0.25">
      <c r="A5716"/>
    </row>
    <row r="5717" spans="1:1" x14ac:dyDescent="0.25">
      <c r="A5717"/>
    </row>
    <row r="5718" spans="1:1" x14ac:dyDescent="0.25">
      <c r="A5718"/>
    </row>
    <row r="5719" spans="1:1" x14ac:dyDescent="0.25">
      <c r="A5719"/>
    </row>
    <row r="5720" spans="1:1" x14ac:dyDescent="0.25">
      <c r="A5720"/>
    </row>
    <row r="5721" spans="1:1" x14ac:dyDescent="0.25">
      <c r="A5721"/>
    </row>
    <row r="5722" spans="1:1" x14ac:dyDescent="0.25">
      <c r="A5722"/>
    </row>
    <row r="5723" spans="1:1" x14ac:dyDescent="0.25">
      <c r="A5723"/>
    </row>
    <row r="5724" spans="1:1" x14ac:dyDescent="0.25">
      <c r="A5724"/>
    </row>
    <row r="5725" spans="1:1" x14ac:dyDescent="0.25">
      <c r="A5725"/>
    </row>
    <row r="5726" spans="1:1" x14ac:dyDescent="0.25">
      <c r="A5726"/>
    </row>
    <row r="5727" spans="1:1" x14ac:dyDescent="0.25">
      <c r="A5727"/>
    </row>
    <row r="5728" spans="1:1" x14ac:dyDescent="0.25">
      <c r="A5728"/>
    </row>
    <row r="5729" spans="1:1" x14ac:dyDescent="0.25">
      <c r="A5729"/>
    </row>
    <row r="5730" spans="1:1" x14ac:dyDescent="0.25">
      <c r="A5730"/>
    </row>
    <row r="5731" spans="1:1" x14ac:dyDescent="0.25">
      <c r="A5731"/>
    </row>
    <row r="5732" spans="1:1" x14ac:dyDescent="0.25">
      <c r="A5732"/>
    </row>
    <row r="5733" spans="1:1" x14ac:dyDescent="0.25">
      <c r="A5733"/>
    </row>
    <row r="5734" spans="1:1" x14ac:dyDescent="0.25">
      <c r="A5734"/>
    </row>
    <row r="5735" spans="1:1" x14ac:dyDescent="0.25">
      <c r="A5735"/>
    </row>
    <row r="5736" spans="1:1" x14ac:dyDescent="0.25">
      <c r="A5736"/>
    </row>
    <row r="5737" spans="1:1" x14ac:dyDescent="0.25">
      <c r="A5737"/>
    </row>
    <row r="5738" spans="1:1" x14ac:dyDescent="0.25">
      <c r="A5738"/>
    </row>
    <row r="5739" spans="1:1" x14ac:dyDescent="0.25">
      <c r="A5739"/>
    </row>
    <row r="5740" spans="1:1" x14ac:dyDescent="0.25">
      <c r="A5740"/>
    </row>
    <row r="5741" spans="1:1" x14ac:dyDescent="0.25">
      <c r="A5741"/>
    </row>
    <row r="5742" spans="1:1" x14ac:dyDescent="0.25">
      <c r="A5742"/>
    </row>
    <row r="5743" spans="1:1" x14ac:dyDescent="0.25">
      <c r="A5743"/>
    </row>
    <row r="5744" spans="1:1" x14ac:dyDescent="0.25">
      <c r="A5744"/>
    </row>
    <row r="5745" spans="1:1" x14ac:dyDescent="0.25">
      <c r="A5745"/>
    </row>
    <row r="5746" spans="1:1" x14ac:dyDescent="0.25">
      <c r="A5746"/>
    </row>
    <row r="5747" spans="1:1" x14ac:dyDescent="0.25">
      <c r="A5747"/>
    </row>
    <row r="5748" spans="1:1" x14ac:dyDescent="0.25">
      <c r="A5748"/>
    </row>
    <row r="5749" spans="1:1" x14ac:dyDescent="0.25">
      <c r="A5749"/>
    </row>
    <row r="5750" spans="1:1" x14ac:dyDescent="0.25">
      <c r="A5750"/>
    </row>
    <row r="5751" spans="1:1" x14ac:dyDescent="0.25">
      <c r="A5751"/>
    </row>
    <row r="5752" spans="1:1" x14ac:dyDescent="0.25">
      <c r="A5752"/>
    </row>
    <row r="5753" spans="1:1" x14ac:dyDescent="0.25">
      <c r="A5753"/>
    </row>
    <row r="5754" spans="1:1" x14ac:dyDescent="0.25">
      <c r="A5754"/>
    </row>
    <row r="5755" spans="1:1" x14ac:dyDescent="0.25">
      <c r="A5755"/>
    </row>
    <row r="5756" spans="1:1" x14ac:dyDescent="0.25">
      <c r="A5756"/>
    </row>
    <row r="5757" spans="1:1" x14ac:dyDescent="0.25">
      <c r="A5757"/>
    </row>
    <row r="5758" spans="1:1" x14ac:dyDescent="0.25">
      <c r="A5758"/>
    </row>
    <row r="5759" spans="1:1" x14ac:dyDescent="0.25">
      <c r="A5759"/>
    </row>
    <row r="5760" spans="1:1" x14ac:dyDescent="0.25">
      <c r="A5760"/>
    </row>
    <row r="5761" spans="1:1" x14ac:dyDescent="0.25">
      <c r="A5761"/>
    </row>
    <row r="5762" spans="1:1" x14ac:dyDescent="0.25">
      <c r="A5762"/>
    </row>
    <row r="5763" spans="1:1" x14ac:dyDescent="0.25">
      <c r="A5763"/>
    </row>
    <row r="5764" spans="1:1" x14ac:dyDescent="0.25">
      <c r="A5764"/>
    </row>
    <row r="5765" spans="1:1" x14ac:dyDescent="0.25">
      <c r="A5765"/>
    </row>
    <row r="5766" spans="1:1" x14ac:dyDescent="0.25">
      <c r="A5766"/>
    </row>
    <row r="5767" spans="1:1" x14ac:dyDescent="0.25">
      <c r="A5767"/>
    </row>
    <row r="5768" spans="1:1" x14ac:dyDescent="0.25">
      <c r="A5768"/>
    </row>
    <row r="5769" spans="1:1" x14ac:dyDescent="0.25">
      <c r="A5769"/>
    </row>
    <row r="5770" spans="1:1" x14ac:dyDescent="0.25">
      <c r="A5770"/>
    </row>
    <row r="5771" spans="1:1" x14ac:dyDescent="0.25">
      <c r="A5771"/>
    </row>
    <row r="5772" spans="1:1" x14ac:dyDescent="0.25">
      <c r="A5772"/>
    </row>
    <row r="5773" spans="1:1" x14ac:dyDescent="0.25">
      <c r="A5773"/>
    </row>
    <row r="5774" spans="1:1" x14ac:dyDescent="0.25">
      <c r="A5774"/>
    </row>
    <row r="5775" spans="1:1" x14ac:dyDescent="0.25">
      <c r="A5775"/>
    </row>
    <row r="5776" spans="1:1" x14ac:dyDescent="0.25">
      <c r="A5776"/>
    </row>
    <row r="5777" spans="1:1" x14ac:dyDescent="0.25">
      <c r="A5777"/>
    </row>
    <row r="5778" spans="1:1" x14ac:dyDescent="0.25">
      <c r="A5778"/>
    </row>
    <row r="5779" spans="1:1" x14ac:dyDescent="0.25">
      <c r="A5779"/>
    </row>
    <row r="5780" spans="1:1" x14ac:dyDescent="0.25">
      <c r="A5780"/>
    </row>
    <row r="5781" spans="1:1" x14ac:dyDescent="0.25">
      <c r="A5781"/>
    </row>
    <row r="5782" spans="1:1" x14ac:dyDescent="0.25">
      <c r="A5782"/>
    </row>
    <row r="5783" spans="1:1" x14ac:dyDescent="0.25">
      <c r="A5783"/>
    </row>
    <row r="5784" spans="1:1" x14ac:dyDescent="0.25">
      <c r="A5784"/>
    </row>
    <row r="5785" spans="1:1" x14ac:dyDescent="0.25">
      <c r="A5785"/>
    </row>
    <row r="5786" spans="1:1" x14ac:dyDescent="0.25">
      <c r="A5786"/>
    </row>
    <row r="5787" spans="1:1" x14ac:dyDescent="0.25">
      <c r="A5787"/>
    </row>
    <row r="5788" spans="1:1" x14ac:dyDescent="0.25">
      <c r="A5788"/>
    </row>
    <row r="5789" spans="1:1" x14ac:dyDescent="0.25">
      <c r="A5789"/>
    </row>
    <row r="5790" spans="1:1" x14ac:dyDescent="0.25">
      <c r="A5790"/>
    </row>
    <row r="5791" spans="1:1" x14ac:dyDescent="0.25">
      <c r="A5791"/>
    </row>
    <row r="5792" spans="1:1" x14ac:dyDescent="0.25">
      <c r="A5792"/>
    </row>
    <row r="5793" spans="1:1" x14ac:dyDescent="0.25">
      <c r="A5793"/>
    </row>
    <row r="5794" spans="1:1" x14ac:dyDescent="0.25">
      <c r="A5794"/>
    </row>
    <row r="5795" spans="1:1" x14ac:dyDescent="0.25">
      <c r="A5795"/>
    </row>
    <row r="5796" spans="1:1" x14ac:dyDescent="0.25">
      <c r="A5796"/>
    </row>
    <row r="5797" spans="1:1" x14ac:dyDescent="0.25">
      <c r="A5797"/>
    </row>
    <row r="5798" spans="1:1" x14ac:dyDescent="0.25">
      <c r="A5798"/>
    </row>
    <row r="5799" spans="1:1" x14ac:dyDescent="0.25">
      <c r="A5799"/>
    </row>
    <row r="5800" spans="1:1" x14ac:dyDescent="0.25">
      <c r="A5800"/>
    </row>
    <row r="5801" spans="1:1" x14ac:dyDescent="0.25">
      <c r="A5801"/>
    </row>
    <row r="5802" spans="1:1" x14ac:dyDescent="0.25">
      <c r="A5802"/>
    </row>
    <row r="5803" spans="1:1" x14ac:dyDescent="0.25">
      <c r="A5803"/>
    </row>
    <row r="5804" spans="1:1" x14ac:dyDescent="0.25">
      <c r="A5804"/>
    </row>
    <row r="5805" spans="1:1" x14ac:dyDescent="0.25">
      <c r="A5805"/>
    </row>
    <row r="5806" spans="1:1" x14ac:dyDescent="0.25">
      <c r="A5806"/>
    </row>
    <row r="5807" spans="1:1" x14ac:dyDescent="0.25">
      <c r="A5807"/>
    </row>
    <row r="5808" spans="1:1" x14ac:dyDescent="0.25">
      <c r="A5808"/>
    </row>
    <row r="5809" spans="1:1" x14ac:dyDescent="0.25">
      <c r="A5809"/>
    </row>
    <row r="5810" spans="1:1" x14ac:dyDescent="0.25">
      <c r="A5810"/>
    </row>
    <row r="5811" spans="1:1" x14ac:dyDescent="0.25">
      <c r="A5811"/>
    </row>
    <row r="5812" spans="1:1" x14ac:dyDescent="0.25">
      <c r="A5812"/>
    </row>
    <row r="5813" spans="1:1" x14ac:dyDescent="0.25">
      <c r="A5813"/>
    </row>
    <row r="5814" spans="1:1" x14ac:dyDescent="0.25">
      <c r="A5814"/>
    </row>
    <row r="5815" spans="1:1" x14ac:dyDescent="0.25">
      <c r="A5815"/>
    </row>
    <row r="5816" spans="1:1" x14ac:dyDescent="0.25">
      <c r="A5816"/>
    </row>
    <row r="5817" spans="1:1" x14ac:dyDescent="0.25">
      <c r="A5817"/>
    </row>
    <row r="5818" spans="1:1" x14ac:dyDescent="0.25">
      <c r="A5818"/>
    </row>
    <row r="5819" spans="1:1" x14ac:dyDescent="0.25">
      <c r="A5819"/>
    </row>
    <row r="5820" spans="1:1" x14ac:dyDescent="0.25">
      <c r="A5820"/>
    </row>
    <row r="5821" spans="1:1" x14ac:dyDescent="0.25">
      <c r="A5821"/>
    </row>
    <row r="5822" spans="1:1" x14ac:dyDescent="0.25">
      <c r="A5822"/>
    </row>
    <row r="5823" spans="1:1" x14ac:dyDescent="0.25">
      <c r="A5823"/>
    </row>
    <row r="5824" spans="1:1" x14ac:dyDescent="0.25">
      <c r="A5824"/>
    </row>
    <row r="5825" spans="1:1" x14ac:dyDescent="0.25">
      <c r="A5825"/>
    </row>
    <row r="5826" spans="1:1" x14ac:dyDescent="0.25">
      <c r="A5826"/>
    </row>
    <row r="5827" spans="1:1" x14ac:dyDescent="0.25">
      <c r="A5827"/>
    </row>
    <row r="5828" spans="1:1" x14ac:dyDescent="0.25">
      <c r="A5828"/>
    </row>
    <row r="5829" spans="1:1" x14ac:dyDescent="0.25">
      <c r="A5829"/>
    </row>
    <row r="5830" spans="1:1" x14ac:dyDescent="0.25">
      <c r="A5830"/>
    </row>
    <row r="5831" spans="1:1" x14ac:dyDescent="0.25">
      <c r="A5831"/>
    </row>
    <row r="5832" spans="1:1" x14ac:dyDescent="0.25">
      <c r="A5832"/>
    </row>
    <row r="5833" spans="1:1" x14ac:dyDescent="0.25">
      <c r="A5833"/>
    </row>
    <row r="5834" spans="1:1" x14ac:dyDescent="0.25">
      <c r="A5834"/>
    </row>
    <row r="5835" spans="1:1" x14ac:dyDescent="0.25">
      <c r="A5835"/>
    </row>
    <row r="5836" spans="1:1" x14ac:dyDescent="0.25">
      <c r="A5836"/>
    </row>
    <row r="5837" spans="1:1" x14ac:dyDescent="0.25">
      <c r="A5837"/>
    </row>
    <row r="5838" spans="1:1" x14ac:dyDescent="0.25">
      <c r="A5838"/>
    </row>
    <row r="5839" spans="1:1" x14ac:dyDescent="0.25">
      <c r="A5839"/>
    </row>
    <row r="5840" spans="1:1" x14ac:dyDescent="0.25">
      <c r="A5840"/>
    </row>
    <row r="5841" spans="1:1" x14ac:dyDescent="0.25">
      <c r="A5841"/>
    </row>
    <row r="5842" spans="1:1" x14ac:dyDescent="0.25">
      <c r="A5842"/>
    </row>
    <row r="5843" spans="1:1" x14ac:dyDescent="0.25">
      <c r="A5843"/>
    </row>
    <row r="5844" spans="1:1" x14ac:dyDescent="0.25">
      <c r="A5844"/>
    </row>
    <row r="5845" spans="1:1" x14ac:dyDescent="0.25">
      <c r="A5845"/>
    </row>
    <row r="5846" spans="1:1" x14ac:dyDescent="0.25">
      <c r="A5846"/>
    </row>
    <row r="5847" spans="1:1" x14ac:dyDescent="0.25">
      <c r="A5847"/>
    </row>
    <row r="5848" spans="1:1" x14ac:dyDescent="0.25">
      <c r="A5848"/>
    </row>
    <row r="5849" spans="1:1" x14ac:dyDescent="0.25">
      <c r="A5849"/>
    </row>
    <row r="5850" spans="1:1" x14ac:dyDescent="0.25">
      <c r="A5850"/>
    </row>
    <row r="5851" spans="1:1" x14ac:dyDescent="0.25">
      <c r="A5851"/>
    </row>
    <row r="5852" spans="1:1" x14ac:dyDescent="0.25">
      <c r="A5852"/>
    </row>
    <row r="5853" spans="1:1" x14ac:dyDescent="0.25">
      <c r="A5853"/>
    </row>
    <row r="5854" spans="1:1" x14ac:dyDescent="0.25">
      <c r="A5854"/>
    </row>
    <row r="5855" spans="1:1" x14ac:dyDescent="0.25">
      <c r="A5855"/>
    </row>
    <row r="5856" spans="1:1" x14ac:dyDescent="0.25">
      <c r="A5856"/>
    </row>
    <row r="5857" spans="1:1" x14ac:dyDescent="0.25">
      <c r="A5857"/>
    </row>
    <row r="5858" spans="1:1" x14ac:dyDescent="0.25">
      <c r="A5858"/>
    </row>
    <row r="5859" spans="1:1" x14ac:dyDescent="0.25">
      <c r="A5859"/>
    </row>
    <row r="5860" spans="1:1" x14ac:dyDescent="0.25">
      <c r="A5860"/>
    </row>
    <row r="5861" spans="1:1" x14ac:dyDescent="0.25">
      <c r="A5861"/>
    </row>
  </sheetData>
  <sheetProtection algorithmName="SHA-512" hashValue="CyEVZ2d+H5+BP+Yzo6uVz2in+ffEXb2XhvMxOLvHWGjVmrpb48dAQLmiMVa0gWu5sdYB9Ph09d7HKrbydXADLg==" saltValue="9Hq8Btn2CZCfPu06LiBmRA==" spinCount="100000" sheet="1" objects="1" scenarios="1"/>
  <pageMargins left="0.7" right="0.7" top="0.75" bottom="0.75" header="0.3" footer="0.3"/>
  <pageSetup fitToHeight="0" orientation="landscape"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theme="9"/>
  </sheetPr>
  <dimension ref="A1:P29"/>
  <sheetViews>
    <sheetView showGridLines="0" topLeftCell="A8" zoomScale="130" zoomScaleNormal="130" workbookViewId="0">
      <selection sqref="A1:XFD1048576"/>
    </sheetView>
  </sheetViews>
  <sheetFormatPr defaultRowHeight="12.75" x14ac:dyDescent="0.2"/>
  <cols>
    <col min="1" max="1" width="10" style="177" bestFit="1" customWidth="1"/>
    <col min="2" max="2" width="11.140625" style="177" bestFit="1" customWidth="1"/>
    <col min="3" max="3" width="7" style="177" bestFit="1" customWidth="1"/>
    <col min="4" max="4" width="10.140625" style="177" bestFit="1" customWidth="1"/>
    <col min="5" max="5" width="7" style="177" bestFit="1" customWidth="1"/>
    <col min="6" max="6" width="13.7109375" style="177" customWidth="1"/>
    <col min="7" max="7" width="7" style="177" bestFit="1" customWidth="1"/>
    <col min="8" max="8" width="20.28515625" style="177" customWidth="1"/>
    <col min="9" max="9" width="7" style="177" bestFit="1" customWidth="1"/>
    <col min="10" max="10" width="16.85546875" style="177" customWidth="1"/>
    <col min="11" max="11" width="7" style="177" bestFit="1" customWidth="1"/>
    <col min="12" max="12" width="17.85546875" style="177" customWidth="1"/>
    <col min="13" max="13" width="7" style="177" bestFit="1" customWidth="1"/>
    <col min="14" max="255" width="9.140625" style="177"/>
    <col min="256" max="256" width="10" style="177" bestFit="1" customWidth="1"/>
    <col min="257" max="257" width="11.140625" style="177" bestFit="1" customWidth="1"/>
    <col min="258" max="258" width="7" style="177" bestFit="1" customWidth="1"/>
    <col min="259" max="259" width="10.140625" style="177" bestFit="1" customWidth="1"/>
    <col min="260" max="260" width="7" style="177" bestFit="1" customWidth="1"/>
    <col min="261" max="261" width="13.7109375" style="177" customWidth="1"/>
    <col min="262" max="262" width="7" style="177" bestFit="1" customWidth="1"/>
    <col min="263" max="263" width="20.28515625" style="177" customWidth="1"/>
    <col min="264" max="264" width="7" style="177" bestFit="1" customWidth="1"/>
    <col min="265" max="265" width="16.85546875" style="177" customWidth="1"/>
    <col min="266" max="266" width="7" style="177" bestFit="1" customWidth="1"/>
    <col min="267" max="267" width="17.85546875" style="177" customWidth="1"/>
    <col min="268" max="268" width="7" style="177" bestFit="1" customWidth="1"/>
    <col min="269" max="511" width="9.140625" style="177"/>
    <col min="512" max="512" width="10" style="177" bestFit="1" customWidth="1"/>
    <col min="513" max="513" width="11.140625" style="177" bestFit="1" customWidth="1"/>
    <col min="514" max="514" width="7" style="177" bestFit="1" customWidth="1"/>
    <col min="515" max="515" width="10.140625" style="177" bestFit="1" customWidth="1"/>
    <col min="516" max="516" width="7" style="177" bestFit="1" customWidth="1"/>
    <col min="517" max="517" width="13.7109375" style="177" customWidth="1"/>
    <col min="518" max="518" width="7" style="177" bestFit="1" customWidth="1"/>
    <col min="519" max="519" width="20.28515625" style="177" customWidth="1"/>
    <col min="520" max="520" width="7" style="177" bestFit="1" customWidth="1"/>
    <col min="521" max="521" width="16.85546875" style="177" customWidth="1"/>
    <col min="522" max="522" width="7" style="177" bestFit="1" customWidth="1"/>
    <col min="523" max="523" width="17.85546875" style="177" customWidth="1"/>
    <col min="524" max="524" width="7" style="177" bestFit="1" customWidth="1"/>
    <col min="525" max="767" width="9.140625" style="177"/>
    <col min="768" max="768" width="10" style="177" bestFit="1" customWidth="1"/>
    <col min="769" max="769" width="11.140625" style="177" bestFit="1" customWidth="1"/>
    <col min="770" max="770" width="7" style="177" bestFit="1" customWidth="1"/>
    <col min="771" max="771" width="10.140625" style="177" bestFit="1" customWidth="1"/>
    <col min="772" max="772" width="7" style="177" bestFit="1" customWidth="1"/>
    <col min="773" max="773" width="13.7109375" style="177" customWidth="1"/>
    <col min="774" max="774" width="7" style="177" bestFit="1" customWidth="1"/>
    <col min="775" max="775" width="20.28515625" style="177" customWidth="1"/>
    <col min="776" max="776" width="7" style="177" bestFit="1" customWidth="1"/>
    <col min="777" max="777" width="16.85546875" style="177" customWidth="1"/>
    <col min="778" max="778" width="7" style="177" bestFit="1" customWidth="1"/>
    <col min="779" max="779" width="17.85546875" style="177" customWidth="1"/>
    <col min="780" max="780" width="7" style="177" bestFit="1" customWidth="1"/>
    <col min="781" max="1023" width="9.140625" style="177"/>
    <col min="1024" max="1024" width="10" style="177" bestFit="1" customWidth="1"/>
    <col min="1025" max="1025" width="11.140625" style="177" bestFit="1" customWidth="1"/>
    <col min="1026" max="1026" width="7" style="177" bestFit="1" customWidth="1"/>
    <col min="1027" max="1027" width="10.140625" style="177" bestFit="1" customWidth="1"/>
    <col min="1028" max="1028" width="7" style="177" bestFit="1" customWidth="1"/>
    <col min="1029" max="1029" width="13.7109375" style="177" customWidth="1"/>
    <col min="1030" max="1030" width="7" style="177" bestFit="1" customWidth="1"/>
    <col min="1031" max="1031" width="20.28515625" style="177" customWidth="1"/>
    <col min="1032" max="1032" width="7" style="177" bestFit="1" customWidth="1"/>
    <col min="1033" max="1033" width="16.85546875" style="177" customWidth="1"/>
    <col min="1034" max="1034" width="7" style="177" bestFit="1" customWidth="1"/>
    <col min="1035" max="1035" width="17.85546875" style="177" customWidth="1"/>
    <col min="1036" max="1036" width="7" style="177" bestFit="1" customWidth="1"/>
    <col min="1037" max="1279" width="9.140625" style="177"/>
    <col min="1280" max="1280" width="10" style="177" bestFit="1" customWidth="1"/>
    <col min="1281" max="1281" width="11.140625" style="177" bestFit="1" customWidth="1"/>
    <col min="1282" max="1282" width="7" style="177" bestFit="1" customWidth="1"/>
    <col min="1283" max="1283" width="10.140625" style="177" bestFit="1" customWidth="1"/>
    <col min="1284" max="1284" width="7" style="177" bestFit="1" customWidth="1"/>
    <col min="1285" max="1285" width="13.7109375" style="177" customWidth="1"/>
    <col min="1286" max="1286" width="7" style="177" bestFit="1" customWidth="1"/>
    <col min="1287" max="1287" width="20.28515625" style="177" customWidth="1"/>
    <col min="1288" max="1288" width="7" style="177" bestFit="1" customWidth="1"/>
    <col min="1289" max="1289" width="16.85546875" style="177" customWidth="1"/>
    <col min="1290" max="1290" width="7" style="177" bestFit="1" customWidth="1"/>
    <col min="1291" max="1291" width="17.85546875" style="177" customWidth="1"/>
    <col min="1292" max="1292" width="7" style="177" bestFit="1" customWidth="1"/>
    <col min="1293" max="1535" width="9.140625" style="177"/>
    <col min="1536" max="1536" width="10" style="177" bestFit="1" customWidth="1"/>
    <col min="1537" max="1537" width="11.140625" style="177" bestFit="1" customWidth="1"/>
    <col min="1538" max="1538" width="7" style="177" bestFit="1" customWidth="1"/>
    <col min="1539" max="1539" width="10.140625" style="177" bestFit="1" customWidth="1"/>
    <col min="1540" max="1540" width="7" style="177" bestFit="1" customWidth="1"/>
    <col min="1541" max="1541" width="13.7109375" style="177" customWidth="1"/>
    <col min="1542" max="1542" width="7" style="177" bestFit="1" customWidth="1"/>
    <col min="1543" max="1543" width="20.28515625" style="177" customWidth="1"/>
    <col min="1544" max="1544" width="7" style="177" bestFit="1" customWidth="1"/>
    <col min="1545" max="1545" width="16.85546875" style="177" customWidth="1"/>
    <col min="1546" max="1546" width="7" style="177" bestFit="1" customWidth="1"/>
    <col min="1547" max="1547" width="17.85546875" style="177" customWidth="1"/>
    <col min="1548" max="1548" width="7" style="177" bestFit="1" customWidth="1"/>
    <col min="1549" max="1791" width="9.140625" style="177"/>
    <col min="1792" max="1792" width="10" style="177" bestFit="1" customWidth="1"/>
    <col min="1793" max="1793" width="11.140625" style="177" bestFit="1" customWidth="1"/>
    <col min="1794" max="1794" width="7" style="177" bestFit="1" customWidth="1"/>
    <col min="1795" max="1795" width="10.140625" style="177" bestFit="1" customWidth="1"/>
    <col min="1796" max="1796" width="7" style="177" bestFit="1" customWidth="1"/>
    <col min="1797" max="1797" width="13.7109375" style="177" customWidth="1"/>
    <col min="1798" max="1798" width="7" style="177" bestFit="1" customWidth="1"/>
    <col min="1799" max="1799" width="20.28515625" style="177" customWidth="1"/>
    <col min="1800" max="1800" width="7" style="177" bestFit="1" customWidth="1"/>
    <col min="1801" max="1801" width="16.85546875" style="177" customWidth="1"/>
    <col min="1802" max="1802" width="7" style="177" bestFit="1" customWidth="1"/>
    <col min="1803" max="1803" width="17.85546875" style="177" customWidth="1"/>
    <col min="1804" max="1804" width="7" style="177" bestFit="1" customWidth="1"/>
    <col min="1805" max="2047" width="9.140625" style="177"/>
    <col min="2048" max="2048" width="10" style="177" bestFit="1" customWidth="1"/>
    <col min="2049" max="2049" width="11.140625" style="177" bestFit="1" customWidth="1"/>
    <col min="2050" max="2050" width="7" style="177" bestFit="1" customWidth="1"/>
    <col min="2051" max="2051" width="10.140625" style="177" bestFit="1" customWidth="1"/>
    <col min="2052" max="2052" width="7" style="177" bestFit="1" customWidth="1"/>
    <col min="2053" max="2053" width="13.7109375" style="177" customWidth="1"/>
    <col min="2054" max="2054" width="7" style="177" bestFit="1" customWidth="1"/>
    <col min="2055" max="2055" width="20.28515625" style="177" customWidth="1"/>
    <col min="2056" max="2056" width="7" style="177" bestFit="1" customWidth="1"/>
    <col min="2057" max="2057" width="16.85546875" style="177" customWidth="1"/>
    <col min="2058" max="2058" width="7" style="177" bestFit="1" customWidth="1"/>
    <col min="2059" max="2059" width="17.85546875" style="177" customWidth="1"/>
    <col min="2060" max="2060" width="7" style="177" bestFit="1" customWidth="1"/>
    <col min="2061" max="2303" width="9.140625" style="177"/>
    <col min="2304" max="2304" width="10" style="177" bestFit="1" customWidth="1"/>
    <col min="2305" max="2305" width="11.140625" style="177" bestFit="1" customWidth="1"/>
    <col min="2306" max="2306" width="7" style="177" bestFit="1" customWidth="1"/>
    <col min="2307" max="2307" width="10.140625" style="177" bestFit="1" customWidth="1"/>
    <col min="2308" max="2308" width="7" style="177" bestFit="1" customWidth="1"/>
    <col min="2309" max="2309" width="13.7109375" style="177" customWidth="1"/>
    <col min="2310" max="2310" width="7" style="177" bestFit="1" customWidth="1"/>
    <col min="2311" max="2311" width="20.28515625" style="177" customWidth="1"/>
    <col min="2312" max="2312" width="7" style="177" bestFit="1" customWidth="1"/>
    <col min="2313" max="2313" width="16.85546875" style="177" customWidth="1"/>
    <col min="2314" max="2314" width="7" style="177" bestFit="1" customWidth="1"/>
    <col min="2315" max="2315" width="17.85546875" style="177" customWidth="1"/>
    <col min="2316" max="2316" width="7" style="177" bestFit="1" customWidth="1"/>
    <col min="2317" max="2559" width="9.140625" style="177"/>
    <col min="2560" max="2560" width="10" style="177" bestFit="1" customWidth="1"/>
    <col min="2561" max="2561" width="11.140625" style="177" bestFit="1" customWidth="1"/>
    <col min="2562" max="2562" width="7" style="177" bestFit="1" customWidth="1"/>
    <col min="2563" max="2563" width="10.140625" style="177" bestFit="1" customWidth="1"/>
    <col min="2564" max="2564" width="7" style="177" bestFit="1" customWidth="1"/>
    <col min="2565" max="2565" width="13.7109375" style="177" customWidth="1"/>
    <col min="2566" max="2566" width="7" style="177" bestFit="1" customWidth="1"/>
    <col min="2567" max="2567" width="20.28515625" style="177" customWidth="1"/>
    <col min="2568" max="2568" width="7" style="177" bestFit="1" customWidth="1"/>
    <col min="2569" max="2569" width="16.85546875" style="177" customWidth="1"/>
    <col min="2570" max="2570" width="7" style="177" bestFit="1" customWidth="1"/>
    <col min="2571" max="2571" width="17.85546875" style="177" customWidth="1"/>
    <col min="2572" max="2572" width="7" style="177" bestFit="1" customWidth="1"/>
    <col min="2573" max="2815" width="9.140625" style="177"/>
    <col min="2816" max="2816" width="10" style="177" bestFit="1" customWidth="1"/>
    <col min="2817" max="2817" width="11.140625" style="177" bestFit="1" customWidth="1"/>
    <col min="2818" max="2818" width="7" style="177" bestFit="1" customWidth="1"/>
    <col min="2819" max="2819" width="10.140625" style="177" bestFit="1" customWidth="1"/>
    <col min="2820" max="2820" width="7" style="177" bestFit="1" customWidth="1"/>
    <col min="2821" max="2821" width="13.7109375" style="177" customWidth="1"/>
    <col min="2822" max="2822" width="7" style="177" bestFit="1" customWidth="1"/>
    <col min="2823" max="2823" width="20.28515625" style="177" customWidth="1"/>
    <col min="2824" max="2824" width="7" style="177" bestFit="1" customWidth="1"/>
    <col min="2825" max="2825" width="16.85546875" style="177" customWidth="1"/>
    <col min="2826" max="2826" width="7" style="177" bestFit="1" customWidth="1"/>
    <col min="2827" max="2827" width="17.85546875" style="177" customWidth="1"/>
    <col min="2828" max="2828" width="7" style="177" bestFit="1" customWidth="1"/>
    <col min="2829" max="3071" width="9.140625" style="177"/>
    <col min="3072" max="3072" width="10" style="177" bestFit="1" customWidth="1"/>
    <col min="3073" max="3073" width="11.140625" style="177" bestFit="1" customWidth="1"/>
    <col min="3074" max="3074" width="7" style="177" bestFit="1" customWidth="1"/>
    <col min="3075" max="3075" width="10.140625" style="177" bestFit="1" customWidth="1"/>
    <col min="3076" max="3076" width="7" style="177" bestFit="1" customWidth="1"/>
    <col min="3077" max="3077" width="13.7109375" style="177" customWidth="1"/>
    <col min="3078" max="3078" width="7" style="177" bestFit="1" customWidth="1"/>
    <col min="3079" max="3079" width="20.28515625" style="177" customWidth="1"/>
    <col min="3080" max="3080" width="7" style="177" bestFit="1" customWidth="1"/>
    <col min="3081" max="3081" width="16.85546875" style="177" customWidth="1"/>
    <col min="3082" max="3082" width="7" style="177" bestFit="1" customWidth="1"/>
    <col min="3083" max="3083" width="17.85546875" style="177" customWidth="1"/>
    <col min="3084" max="3084" width="7" style="177" bestFit="1" customWidth="1"/>
    <col min="3085" max="3327" width="9.140625" style="177"/>
    <col min="3328" max="3328" width="10" style="177" bestFit="1" customWidth="1"/>
    <col min="3329" max="3329" width="11.140625" style="177" bestFit="1" customWidth="1"/>
    <col min="3330" max="3330" width="7" style="177" bestFit="1" customWidth="1"/>
    <col min="3331" max="3331" width="10.140625" style="177" bestFit="1" customWidth="1"/>
    <col min="3332" max="3332" width="7" style="177" bestFit="1" customWidth="1"/>
    <col min="3333" max="3333" width="13.7109375" style="177" customWidth="1"/>
    <col min="3334" max="3334" width="7" style="177" bestFit="1" customWidth="1"/>
    <col min="3335" max="3335" width="20.28515625" style="177" customWidth="1"/>
    <col min="3336" max="3336" width="7" style="177" bestFit="1" customWidth="1"/>
    <col min="3337" max="3337" width="16.85546875" style="177" customWidth="1"/>
    <col min="3338" max="3338" width="7" style="177" bestFit="1" customWidth="1"/>
    <col min="3339" max="3339" width="17.85546875" style="177" customWidth="1"/>
    <col min="3340" max="3340" width="7" style="177" bestFit="1" customWidth="1"/>
    <col min="3341" max="3583" width="9.140625" style="177"/>
    <col min="3584" max="3584" width="10" style="177" bestFit="1" customWidth="1"/>
    <col min="3585" max="3585" width="11.140625" style="177" bestFit="1" customWidth="1"/>
    <col min="3586" max="3586" width="7" style="177" bestFit="1" customWidth="1"/>
    <col min="3587" max="3587" width="10.140625" style="177" bestFit="1" customWidth="1"/>
    <col min="3588" max="3588" width="7" style="177" bestFit="1" customWidth="1"/>
    <col min="3589" max="3589" width="13.7109375" style="177" customWidth="1"/>
    <col min="3590" max="3590" width="7" style="177" bestFit="1" customWidth="1"/>
    <col min="3591" max="3591" width="20.28515625" style="177" customWidth="1"/>
    <col min="3592" max="3592" width="7" style="177" bestFit="1" customWidth="1"/>
    <col min="3593" max="3593" width="16.85546875" style="177" customWidth="1"/>
    <col min="3594" max="3594" width="7" style="177" bestFit="1" customWidth="1"/>
    <col min="3595" max="3595" width="17.85546875" style="177" customWidth="1"/>
    <col min="3596" max="3596" width="7" style="177" bestFit="1" customWidth="1"/>
    <col min="3597" max="3839" width="9.140625" style="177"/>
    <col min="3840" max="3840" width="10" style="177" bestFit="1" customWidth="1"/>
    <col min="3841" max="3841" width="11.140625" style="177" bestFit="1" customWidth="1"/>
    <col min="3842" max="3842" width="7" style="177" bestFit="1" customWidth="1"/>
    <col min="3843" max="3843" width="10.140625" style="177" bestFit="1" customWidth="1"/>
    <col min="3844" max="3844" width="7" style="177" bestFit="1" customWidth="1"/>
    <col min="3845" max="3845" width="13.7109375" style="177" customWidth="1"/>
    <col min="3846" max="3846" width="7" style="177" bestFit="1" customWidth="1"/>
    <col min="3847" max="3847" width="20.28515625" style="177" customWidth="1"/>
    <col min="3848" max="3848" width="7" style="177" bestFit="1" customWidth="1"/>
    <col min="3849" max="3849" width="16.85546875" style="177" customWidth="1"/>
    <col min="3850" max="3850" width="7" style="177" bestFit="1" customWidth="1"/>
    <col min="3851" max="3851" width="17.85546875" style="177" customWidth="1"/>
    <col min="3852" max="3852" width="7" style="177" bestFit="1" customWidth="1"/>
    <col min="3853" max="4095" width="9.140625" style="177"/>
    <col min="4096" max="4096" width="10" style="177" bestFit="1" customWidth="1"/>
    <col min="4097" max="4097" width="11.140625" style="177" bestFit="1" customWidth="1"/>
    <col min="4098" max="4098" width="7" style="177" bestFit="1" customWidth="1"/>
    <col min="4099" max="4099" width="10.140625" style="177" bestFit="1" customWidth="1"/>
    <col min="4100" max="4100" width="7" style="177" bestFit="1" customWidth="1"/>
    <col min="4101" max="4101" width="13.7109375" style="177" customWidth="1"/>
    <col min="4102" max="4102" width="7" style="177" bestFit="1" customWidth="1"/>
    <col min="4103" max="4103" width="20.28515625" style="177" customWidth="1"/>
    <col min="4104" max="4104" width="7" style="177" bestFit="1" customWidth="1"/>
    <col min="4105" max="4105" width="16.85546875" style="177" customWidth="1"/>
    <col min="4106" max="4106" width="7" style="177" bestFit="1" customWidth="1"/>
    <col min="4107" max="4107" width="17.85546875" style="177" customWidth="1"/>
    <col min="4108" max="4108" width="7" style="177" bestFit="1" customWidth="1"/>
    <col min="4109" max="4351" width="9.140625" style="177"/>
    <col min="4352" max="4352" width="10" style="177" bestFit="1" customWidth="1"/>
    <col min="4353" max="4353" width="11.140625" style="177" bestFit="1" customWidth="1"/>
    <col min="4354" max="4354" width="7" style="177" bestFit="1" customWidth="1"/>
    <col min="4355" max="4355" width="10.140625" style="177" bestFit="1" customWidth="1"/>
    <col min="4356" max="4356" width="7" style="177" bestFit="1" customWidth="1"/>
    <col min="4357" max="4357" width="13.7109375" style="177" customWidth="1"/>
    <col min="4358" max="4358" width="7" style="177" bestFit="1" customWidth="1"/>
    <col min="4359" max="4359" width="20.28515625" style="177" customWidth="1"/>
    <col min="4360" max="4360" width="7" style="177" bestFit="1" customWidth="1"/>
    <col min="4361" max="4361" width="16.85546875" style="177" customWidth="1"/>
    <col min="4362" max="4362" width="7" style="177" bestFit="1" customWidth="1"/>
    <col min="4363" max="4363" width="17.85546875" style="177" customWidth="1"/>
    <col min="4364" max="4364" width="7" style="177" bestFit="1" customWidth="1"/>
    <col min="4365" max="4607" width="9.140625" style="177"/>
    <col min="4608" max="4608" width="10" style="177" bestFit="1" customWidth="1"/>
    <col min="4609" max="4609" width="11.140625" style="177" bestFit="1" customWidth="1"/>
    <col min="4610" max="4610" width="7" style="177" bestFit="1" customWidth="1"/>
    <col min="4611" max="4611" width="10.140625" style="177" bestFit="1" customWidth="1"/>
    <col min="4612" max="4612" width="7" style="177" bestFit="1" customWidth="1"/>
    <col min="4613" max="4613" width="13.7109375" style="177" customWidth="1"/>
    <col min="4614" max="4614" width="7" style="177" bestFit="1" customWidth="1"/>
    <col min="4615" max="4615" width="20.28515625" style="177" customWidth="1"/>
    <col min="4616" max="4616" width="7" style="177" bestFit="1" customWidth="1"/>
    <col min="4617" max="4617" width="16.85546875" style="177" customWidth="1"/>
    <col min="4618" max="4618" width="7" style="177" bestFit="1" customWidth="1"/>
    <col min="4619" max="4619" width="17.85546875" style="177" customWidth="1"/>
    <col min="4620" max="4620" width="7" style="177" bestFit="1" customWidth="1"/>
    <col min="4621" max="4863" width="9.140625" style="177"/>
    <col min="4864" max="4864" width="10" style="177" bestFit="1" customWidth="1"/>
    <col min="4865" max="4865" width="11.140625" style="177" bestFit="1" customWidth="1"/>
    <col min="4866" max="4866" width="7" style="177" bestFit="1" customWidth="1"/>
    <col min="4867" max="4867" width="10.140625" style="177" bestFit="1" customWidth="1"/>
    <col min="4868" max="4868" width="7" style="177" bestFit="1" customWidth="1"/>
    <col min="4869" max="4869" width="13.7109375" style="177" customWidth="1"/>
    <col min="4870" max="4870" width="7" style="177" bestFit="1" customWidth="1"/>
    <col min="4871" max="4871" width="20.28515625" style="177" customWidth="1"/>
    <col min="4872" max="4872" width="7" style="177" bestFit="1" customWidth="1"/>
    <col min="4873" max="4873" width="16.85546875" style="177" customWidth="1"/>
    <col min="4874" max="4874" width="7" style="177" bestFit="1" customWidth="1"/>
    <col min="4875" max="4875" width="17.85546875" style="177" customWidth="1"/>
    <col min="4876" max="4876" width="7" style="177" bestFit="1" customWidth="1"/>
    <col min="4877" max="5119" width="9.140625" style="177"/>
    <col min="5120" max="5120" width="10" style="177" bestFit="1" customWidth="1"/>
    <col min="5121" max="5121" width="11.140625" style="177" bestFit="1" customWidth="1"/>
    <col min="5122" max="5122" width="7" style="177" bestFit="1" customWidth="1"/>
    <col min="5123" max="5123" width="10.140625" style="177" bestFit="1" customWidth="1"/>
    <col min="5124" max="5124" width="7" style="177" bestFit="1" customWidth="1"/>
    <col min="5125" max="5125" width="13.7109375" style="177" customWidth="1"/>
    <col min="5126" max="5126" width="7" style="177" bestFit="1" customWidth="1"/>
    <col min="5127" max="5127" width="20.28515625" style="177" customWidth="1"/>
    <col min="5128" max="5128" width="7" style="177" bestFit="1" customWidth="1"/>
    <col min="5129" max="5129" width="16.85546875" style="177" customWidth="1"/>
    <col min="5130" max="5130" width="7" style="177" bestFit="1" customWidth="1"/>
    <col min="5131" max="5131" width="17.85546875" style="177" customWidth="1"/>
    <col min="5132" max="5132" width="7" style="177" bestFit="1" customWidth="1"/>
    <col min="5133" max="5375" width="9.140625" style="177"/>
    <col min="5376" max="5376" width="10" style="177" bestFit="1" customWidth="1"/>
    <col min="5377" max="5377" width="11.140625" style="177" bestFit="1" customWidth="1"/>
    <col min="5378" max="5378" width="7" style="177" bestFit="1" customWidth="1"/>
    <col min="5379" max="5379" width="10.140625" style="177" bestFit="1" customWidth="1"/>
    <col min="5380" max="5380" width="7" style="177" bestFit="1" customWidth="1"/>
    <col min="5381" max="5381" width="13.7109375" style="177" customWidth="1"/>
    <col min="5382" max="5382" width="7" style="177" bestFit="1" customWidth="1"/>
    <col min="5383" max="5383" width="20.28515625" style="177" customWidth="1"/>
    <col min="5384" max="5384" width="7" style="177" bestFit="1" customWidth="1"/>
    <col min="5385" max="5385" width="16.85546875" style="177" customWidth="1"/>
    <col min="5386" max="5386" width="7" style="177" bestFit="1" customWidth="1"/>
    <col min="5387" max="5387" width="17.85546875" style="177" customWidth="1"/>
    <col min="5388" max="5388" width="7" style="177" bestFit="1" customWidth="1"/>
    <col min="5389" max="5631" width="9.140625" style="177"/>
    <col min="5632" max="5632" width="10" style="177" bestFit="1" customWidth="1"/>
    <col min="5633" max="5633" width="11.140625" style="177" bestFit="1" customWidth="1"/>
    <col min="5634" max="5634" width="7" style="177" bestFit="1" customWidth="1"/>
    <col min="5635" max="5635" width="10.140625" style="177" bestFit="1" customWidth="1"/>
    <col min="5636" max="5636" width="7" style="177" bestFit="1" customWidth="1"/>
    <col min="5637" max="5637" width="13.7109375" style="177" customWidth="1"/>
    <col min="5638" max="5638" width="7" style="177" bestFit="1" customWidth="1"/>
    <col min="5639" max="5639" width="20.28515625" style="177" customWidth="1"/>
    <col min="5640" max="5640" width="7" style="177" bestFit="1" customWidth="1"/>
    <col min="5641" max="5641" width="16.85546875" style="177" customWidth="1"/>
    <col min="5642" max="5642" width="7" style="177" bestFit="1" customWidth="1"/>
    <col min="5643" max="5643" width="17.85546875" style="177" customWidth="1"/>
    <col min="5644" max="5644" width="7" style="177" bestFit="1" customWidth="1"/>
    <col min="5645" max="5887" width="9.140625" style="177"/>
    <col min="5888" max="5888" width="10" style="177" bestFit="1" customWidth="1"/>
    <col min="5889" max="5889" width="11.140625" style="177" bestFit="1" customWidth="1"/>
    <col min="5890" max="5890" width="7" style="177" bestFit="1" customWidth="1"/>
    <col min="5891" max="5891" width="10.140625" style="177" bestFit="1" customWidth="1"/>
    <col min="5892" max="5892" width="7" style="177" bestFit="1" customWidth="1"/>
    <col min="5893" max="5893" width="13.7109375" style="177" customWidth="1"/>
    <col min="5894" max="5894" width="7" style="177" bestFit="1" customWidth="1"/>
    <col min="5895" max="5895" width="20.28515625" style="177" customWidth="1"/>
    <col min="5896" max="5896" width="7" style="177" bestFit="1" customWidth="1"/>
    <col min="5897" max="5897" width="16.85546875" style="177" customWidth="1"/>
    <col min="5898" max="5898" width="7" style="177" bestFit="1" customWidth="1"/>
    <col min="5899" max="5899" width="17.85546875" style="177" customWidth="1"/>
    <col min="5900" max="5900" width="7" style="177" bestFit="1" customWidth="1"/>
    <col min="5901" max="6143" width="9.140625" style="177"/>
    <col min="6144" max="6144" width="10" style="177" bestFit="1" customWidth="1"/>
    <col min="6145" max="6145" width="11.140625" style="177" bestFit="1" customWidth="1"/>
    <col min="6146" max="6146" width="7" style="177" bestFit="1" customWidth="1"/>
    <col min="6147" max="6147" width="10.140625" style="177" bestFit="1" customWidth="1"/>
    <col min="6148" max="6148" width="7" style="177" bestFit="1" customWidth="1"/>
    <col min="6149" max="6149" width="13.7109375" style="177" customWidth="1"/>
    <col min="6150" max="6150" width="7" style="177" bestFit="1" customWidth="1"/>
    <col min="6151" max="6151" width="20.28515625" style="177" customWidth="1"/>
    <col min="6152" max="6152" width="7" style="177" bestFit="1" customWidth="1"/>
    <col min="6153" max="6153" width="16.85546875" style="177" customWidth="1"/>
    <col min="6154" max="6154" width="7" style="177" bestFit="1" customWidth="1"/>
    <col min="6155" max="6155" width="17.85546875" style="177" customWidth="1"/>
    <col min="6156" max="6156" width="7" style="177" bestFit="1" customWidth="1"/>
    <col min="6157" max="6399" width="9.140625" style="177"/>
    <col min="6400" max="6400" width="10" style="177" bestFit="1" customWidth="1"/>
    <col min="6401" max="6401" width="11.140625" style="177" bestFit="1" customWidth="1"/>
    <col min="6402" max="6402" width="7" style="177" bestFit="1" customWidth="1"/>
    <col min="6403" max="6403" width="10.140625" style="177" bestFit="1" customWidth="1"/>
    <col min="6404" max="6404" width="7" style="177" bestFit="1" customWidth="1"/>
    <col min="6405" max="6405" width="13.7109375" style="177" customWidth="1"/>
    <col min="6406" max="6406" width="7" style="177" bestFit="1" customWidth="1"/>
    <col min="6407" max="6407" width="20.28515625" style="177" customWidth="1"/>
    <col min="6408" max="6408" width="7" style="177" bestFit="1" customWidth="1"/>
    <col min="6409" max="6409" width="16.85546875" style="177" customWidth="1"/>
    <col min="6410" max="6410" width="7" style="177" bestFit="1" customWidth="1"/>
    <col min="6411" max="6411" width="17.85546875" style="177" customWidth="1"/>
    <col min="6412" max="6412" width="7" style="177" bestFit="1" customWidth="1"/>
    <col min="6413" max="6655" width="9.140625" style="177"/>
    <col min="6656" max="6656" width="10" style="177" bestFit="1" customWidth="1"/>
    <col min="6657" max="6657" width="11.140625" style="177" bestFit="1" customWidth="1"/>
    <col min="6658" max="6658" width="7" style="177" bestFit="1" customWidth="1"/>
    <col min="6659" max="6659" width="10.140625" style="177" bestFit="1" customWidth="1"/>
    <col min="6660" max="6660" width="7" style="177" bestFit="1" customWidth="1"/>
    <col min="6661" max="6661" width="13.7109375" style="177" customWidth="1"/>
    <col min="6662" max="6662" width="7" style="177" bestFit="1" customWidth="1"/>
    <col min="6663" max="6663" width="20.28515625" style="177" customWidth="1"/>
    <col min="6664" max="6664" width="7" style="177" bestFit="1" customWidth="1"/>
    <col min="6665" max="6665" width="16.85546875" style="177" customWidth="1"/>
    <col min="6666" max="6666" width="7" style="177" bestFit="1" customWidth="1"/>
    <col min="6667" max="6667" width="17.85546875" style="177" customWidth="1"/>
    <col min="6668" max="6668" width="7" style="177" bestFit="1" customWidth="1"/>
    <col min="6669" max="6911" width="9.140625" style="177"/>
    <col min="6912" max="6912" width="10" style="177" bestFit="1" customWidth="1"/>
    <col min="6913" max="6913" width="11.140625" style="177" bestFit="1" customWidth="1"/>
    <col min="6914" max="6914" width="7" style="177" bestFit="1" customWidth="1"/>
    <col min="6915" max="6915" width="10.140625" style="177" bestFit="1" customWidth="1"/>
    <col min="6916" max="6916" width="7" style="177" bestFit="1" customWidth="1"/>
    <col min="6917" max="6917" width="13.7109375" style="177" customWidth="1"/>
    <col min="6918" max="6918" width="7" style="177" bestFit="1" customWidth="1"/>
    <col min="6919" max="6919" width="20.28515625" style="177" customWidth="1"/>
    <col min="6920" max="6920" width="7" style="177" bestFit="1" customWidth="1"/>
    <col min="6921" max="6921" width="16.85546875" style="177" customWidth="1"/>
    <col min="6922" max="6922" width="7" style="177" bestFit="1" customWidth="1"/>
    <col min="6923" max="6923" width="17.85546875" style="177" customWidth="1"/>
    <col min="6924" max="6924" width="7" style="177" bestFit="1" customWidth="1"/>
    <col min="6925" max="7167" width="9.140625" style="177"/>
    <col min="7168" max="7168" width="10" style="177" bestFit="1" customWidth="1"/>
    <col min="7169" max="7169" width="11.140625" style="177" bestFit="1" customWidth="1"/>
    <col min="7170" max="7170" width="7" style="177" bestFit="1" customWidth="1"/>
    <col min="7171" max="7171" width="10.140625" style="177" bestFit="1" customWidth="1"/>
    <col min="7172" max="7172" width="7" style="177" bestFit="1" customWidth="1"/>
    <col min="7173" max="7173" width="13.7109375" style="177" customWidth="1"/>
    <col min="7174" max="7174" width="7" style="177" bestFit="1" customWidth="1"/>
    <col min="7175" max="7175" width="20.28515625" style="177" customWidth="1"/>
    <col min="7176" max="7176" width="7" style="177" bestFit="1" customWidth="1"/>
    <col min="7177" max="7177" width="16.85546875" style="177" customWidth="1"/>
    <col min="7178" max="7178" width="7" style="177" bestFit="1" customWidth="1"/>
    <col min="7179" max="7179" width="17.85546875" style="177" customWidth="1"/>
    <col min="7180" max="7180" width="7" style="177" bestFit="1" customWidth="1"/>
    <col min="7181" max="7423" width="9.140625" style="177"/>
    <col min="7424" max="7424" width="10" style="177" bestFit="1" customWidth="1"/>
    <col min="7425" max="7425" width="11.140625" style="177" bestFit="1" customWidth="1"/>
    <col min="7426" max="7426" width="7" style="177" bestFit="1" customWidth="1"/>
    <col min="7427" max="7427" width="10.140625" style="177" bestFit="1" customWidth="1"/>
    <col min="7428" max="7428" width="7" style="177" bestFit="1" customWidth="1"/>
    <col min="7429" max="7429" width="13.7109375" style="177" customWidth="1"/>
    <col min="7430" max="7430" width="7" style="177" bestFit="1" customWidth="1"/>
    <col min="7431" max="7431" width="20.28515625" style="177" customWidth="1"/>
    <col min="7432" max="7432" width="7" style="177" bestFit="1" customWidth="1"/>
    <col min="7433" max="7433" width="16.85546875" style="177" customWidth="1"/>
    <col min="7434" max="7434" width="7" style="177" bestFit="1" customWidth="1"/>
    <col min="7435" max="7435" width="17.85546875" style="177" customWidth="1"/>
    <col min="7436" max="7436" width="7" style="177" bestFit="1" customWidth="1"/>
    <col min="7437" max="7679" width="9.140625" style="177"/>
    <col min="7680" max="7680" width="10" style="177" bestFit="1" customWidth="1"/>
    <col min="7681" max="7681" width="11.140625" style="177" bestFit="1" customWidth="1"/>
    <col min="7682" max="7682" width="7" style="177" bestFit="1" customWidth="1"/>
    <col min="7683" max="7683" width="10.140625" style="177" bestFit="1" customWidth="1"/>
    <col min="7684" max="7684" width="7" style="177" bestFit="1" customWidth="1"/>
    <col min="7685" max="7685" width="13.7109375" style="177" customWidth="1"/>
    <col min="7686" max="7686" width="7" style="177" bestFit="1" customWidth="1"/>
    <col min="7687" max="7687" width="20.28515625" style="177" customWidth="1"/>
    <col min="7688" max="7688" width="7" style="177" bestFit="1" customWidth="1"/>
    <col min="7689" max="7689" width="16.85546875" style="177" customWidth="1"/>
    <col min="7690" max="7690" width="7" style="177" bestFit="1" customWidth="1"/>
    <col min="7691" max="7691" width="17.85546875" style="177" customWidth="1"/>
    <col min="7692" max="7692" width="7" style="177" bestFit="1" customWidth="1"/>
    <col min="7693" max="7935" width="9.140625" style="177"/>
    <col min="7936" max="7936" width="10" style="177" bestFit="1" customWidth="1"/>
    <col min="7937" max="7937" width="11.140625" style="177" bestFit="1" customWidth="1"/>
    <col min="7938" max="7938" width="7" style="177" bestFit="1" customWidth="1"/>
    <col min="7939" max="7939" width="10.140625" style="177" bestFit="1" customWidth="1"/>
    <col min="7940" max="7940" width="7" style="177" bestFit="1" customWidth="1"/>
    <col min="7941" max="7941" width="13.7109375" style="177" customWidth="1"/>
    <col min="7942" max="7942" width="7" style="177" bestFit="1" customWidth="1"/>
    <col min="7943" max="7943" width="20.28515625" style="177" customWidth="1"/>
    <col min="7944" max="7944" width="7" style="177" bestFit="1" customWidth="1"/>
    <col min="7945" max="7945" width="16.85546875" style="177" customWidth="1"/>
    <col min="7946" max="7946" width="7" style="177" bestFit="1" customWidth="1"/>
    <col min="7947" max="7947" width="17.85546875" style="177" customWidth="1"/>
    <col min="7948" max="7948" width="7" style="177" bestFit="1" customWidth="1"/>
    <col min="7949" max="8191" width="9.140625" style="177"/>
    <col min="8192" max="8192" width="10" style="177" bestFit="1" customWidth="1"/>
    <col min="8193" max="8193" width="11.140625" style="177" bestFit="1" customWidth="1"/>
    <col min="8194" max="8194" width="7" style="177" bestFit="1" customWidth="1"/>
    <col min="8195" max="8195" width="10.140625" style="177" bestFit="1" customWidth="1"/>
    <col min="8196" max="8196" width="7" style="177" bestFit="1" customWidth="1"/>
    <col min="8197" max="8197" width="13.7109375" style="177" customWidth="1"/>
    <col min="8198" max="8198" width="7" style="177" bestFit="1" customWidth="1"/>
    <col min="8199" max="8199" width="20.28515625" style="177" customWidth="1"/>
    <col min="8200" max="8200" width="7" style="177" bestFit="1" customWidth="1"/>
    <col min="8201" max="8201" width="16.85546875" style="177" customWidth="1"/>
    <col min="8202" max="8202" width="7" style="177" bestFit="1" customWidth="1"/>
    <col min="8203" max="8203" width="17.85546875" style="177" customWidth="1"/>
    <col min="8204" max="8204" width="7" style="177" bestFit="1" customWidth="1"/>
    <col min="8205" max="8447" width="9.140625" style="177"/>
    <col min="8448" max="8448" width="10" style="177" bestFit="1" customWidth="1"/>
    <col min="8449" max="8449" width="11.140625" style="177" bestFit="1" customWidth="1"/>
    <col min="8450" max="8450" width="7" style="177" bestFit="1" customWidth="1"/>
    <col min="8451" max="8451" width="10.140625" style="177" bestFit="1" customWidth="1"/>
    <col min="8452" max="8452" width="7" style="177" bestFit="1" customWidth="1"/>
    <col min="8453" max="8453" width="13.7109375" style="177" customWidth="1"/>
    <col min="8454" max="8454" width="7" style="177" bestFit="1" customWidth="1"/>
    <col min="8455" max="8455" width="20.28515625" style="177" customWidth="1"/>
    <col min="8456" max="8456" width="7" style="177" bestFit="1" customWidth="1"/>
    <col min="8457" max="8457" width="16.85546875" style="177" customWidth="1"/>
    <col min="8458" max="8458" width="7" style="177" bestFit="1" customWidth="1"/>
    <col min="8459" max="8459" width="17.85546875" style="177" customWidth="1"/>
    <col min="8460" max="8460" width="7" style="177" bestFit="1" customWidth="1"/>
    <col min="8461" max="8703" width="9.140625" style="177"/>
    <col min="8704" max="8704" width="10" style="177" bestFit="1" customWidth="1"/>
    <col min="8705" max="8705" width="11.140625" style="177" bestFit="1" customWidth="1"/>
    <col min="8706" max="8706" width="7" style="177" bestFit="1" customWidth="1"/>
    <col min="8707" max="8707" width="10.140625" style="177" bestFit="1" customWidth="1"/>
    <col min="8708" max="8708" width="7" style="177" bestFit="1" customWidth="1"/>
    <col min="8709" max="8709" width="13.7109375" style="177" customWidth="1"/>
    <col min="8710" max="8710" width="7" style="177" bestFit="1" customWidth="1"/>
    <col min="8711" max="8711" width="20.28515625" style="177" customWidth="1"/>
    <col min="8712" max="8712" width="7" style="177" bestFit="1" customWidth="1"/>
    <col min="8713" max="8713" width="16.85546875" style="177" customWidth="1"/>
    <col min="8714" max="8714" width="7" style="177" bestFit="1" customWidth="1"/>
    <col min="8715" max="8715" width="17.85546875" style="177" customWidth="1"/>
    <col min="8716" max="8716" width="7" style="177" bestFit="1" customWidth="1"/>
    <col min="8717" max="8959" width="9.140625" style="177"/>
    <col min="8960" max="8960" width="10" style="177" bestFit="1" customWidth="1"/>
    <col min="8961" max="8961" width="11.140625" style="177" bestFit="1" customWidth="1"/>
    <col min="8962" max="8962" width="7" style="177" bestFit="1" customWidth="1"/>
    <col min="8963" max="8963" width="10.140625" style="177" bestFit="1" customWidth="1"/>
    <col min="8964" max="8964" width="7" style="177" bestFit="1" customWidth="1"/>
    <col min="8965" max="8965" width="13.7109375" style="177" customWidth="1"/>
    <col min="8966" max="8966" width="7" style="177" bestFit="1" customWidth="1"/>
    <col min="8967" max="8967" width="20.28515625" style="177" customWidth="1"/>
    <col min="8968" max="8968" width="7" style="177" bestFit="1" customWidth="1"/>
    <col min="8969" max="8969" width="16.85546875" style="177" customWidth="1"/>
    <col min="8970" max="8970" width="7" style="177" bestFit="1" customWidth="1"/>
    <col min="8971" max="8971" width="17.85546875" style="177" customWidth="1"/>
    <col min="8972" max="8972" width="7" style="177" bestFit="1" customWidth="1"/>
    <col min="8973" max="9215" width="9.140625" style="177"/>
    <col min="9216" max="9216" width="10" style="177" bestFit="1" customWidth="1"/>
    <col min="9217" max="9217" width="11.140625" style="177" bestFit="1" customWidth="1"/>
    <col min="9218" max="9218" width="7" style="177" bestFit="1" customWidth="1"/>
    <col min="9219" max="9219" width="10.140625" style="177" bestFit="1" customWidth="1"/>
    <col min="9220" max="9220" width="7" style="177" bestFit="1" customWidth="1"/>
    <col min="9221" max="9221" width="13.7109375" style="177" customWidth="1"/>
    <col min="9222" max="9222" width="7" style="177" bestFit="1" customWidth="1"/>
    <col min="9223" max="9223" width="20.28515625" style="177" customWidth="1"/>
    <col min="9224" max="9224" width="7" style="177" bestFit="1" customWidth="1"/>
    <col min="9225" max="9225" width="16.85546875" style="177" customWidth="1"/>
    <col min="9226" max="9226" width="7" style="177" bestFit="1" customWidth="1"/>
    <col min="9227" max="9227" width="17.85546875" style="177" customWidth="1"/>
    <col min="9228" max="9228" width="7" style="177" bestFit="1" customWidth="1"/>
    <col min="9229" max="9471" width="9.140625" style="177"/>
    <col min="9472" max="9472" width="10" style="177" bestFit="1" customWidth="1"/>
    <col min="9473" max="9473" width="11.140625" style="177" bestFit="1" customWidth="1"/>
    <col min="9474" max="9474" width="7" style="177" bestFit="1" customWidth="1"/>
    <col min="9475" max="9475" width="10.140625" style="177" bestFit="1" customWidth="1"/>
    <col min="9476" max="9476" width="7" style="177" bestFit="1" customWidth="1"/>
    <col min="9477" max="9477" width="13.7109375" style="177" customWidth="1"/>
    <col min="9478" max="9478" width="7" style="177" bestFit="1" customWidth="1"/>
    <col min="9479" max="9479" width="20.28515625" style="177" customWidth="1"/>
    <col min="9480" max="9480" width="7" style="177" bestFit="1" customWidth="1"/>
    <col min="9481" max="9481" width="16.85546875" style="177" customWidth="1"/>
    <col min="9482" max="9482" width="7" style="177" bestFit="1" customWidth="1"/>
    <col min="9483" max="9483" width="17.85546875" style="177" customWidth="1"/>
    <col min="9484" max="9484" width="7" style="177" bestFit="1" customWidth="1"/>
    <col min="9485" max="9727" width="9.140625" style="177"/>
    <col min="9728" max="9728" width="10" style="177" bestFit="1" customWidth="1"/>
    <col min="9729" max="9729" width="11.140625" style="177" bestFit="1" customWidth="1"/>
    <col min="9730" max="9730" width="7" style="177" bestFit="1" customWidth="1"/>
    <col min="9731" max="9731" width="10.140625" style="177" bestFit="1" customWidth="1"/>
    <col min="9732" max="9732" width="7" style="177" bestFit="1" customWidth="1"/>
    <col min="9733" max="9733" width="13.7109375" style="177" customWidth="1"/>
    <col min="9734" max="9734" width="7" style="177" bestFit="1" customWidth="1"/>
    <col min="9735" max="9735" width="20.28515625" style="177" customWidth="1"/>
    <col min="9736" max="9736" width="7" style="177" bestFit="1" customWidth="1"/>
    <col min="9737" max="9737" width="16.85546875" style="177" customWidth="1"/>
    <col min="9738" max="9738" width="7" style="177" bestFit="1" customWidth="1"/>
    <col min="9739" max="9739" width="17.85546875" style="177" customWidth="1"/>
    <col min="9740" max="9740" width="7" style="177" bestFit="1" customWidth="1"/>
    <col min="9741" max="9983" width="9.140625" style="177"/>
    <col min="9984" max="9984" width="10" style="177" bestFit="1" customWidth="1"/>
    <col min="9985" max="9985" width="11.140625" style="177" bestFit="1" customWidth="1"/>
    <col min="9986" max="9986" width="7" style="177" bestFit="1" customWidth="1"/>
    <col min="9987" max="9987" width="10.140625" style="177" bestFit="1" customWidth="1"/>
    <col min="9988" max="9988" width="7" style="177" bestFit="1" customWidth="1"/>
    <col min="9989" max="9989" width="13.7109375" style="177" customWidth="1"/>
    <col min="9990" max="9990" width="7" style="177" bestFit="1" customWidth="1"/>
    <col min="9991" max="9991" width="20.28515625" style="177" customWidth="1"/>
    <col min="9992" max="9992" width="7" style="177" bestFit="1" customWidth="1"/>
    <col min="9993" max="9993" width="16.85546875" style="177" customWidth="1"/>
    <col min="9994" max="9994" width="7" style="177" bestFit="1" customWidth="1"/>
    <col min="9995" max="9995" width="17.85546875" style="177" customWidth="1"/>
    <col min="9996" max="9996" width="7" style="177" bestFit="1" customWidth="1"/>
    <col min="9997" max="10239" width="9.140625" style="177"/>
    <col min="10240" max="10240" width="10" style="177" bestFit="1" customWidth="1"/>
    <col min="10241" max="10241" width="11.140625" style="177" bestFit="1" customWidth="1"/>
    <col min="10242" max="10242" width="7" style="177" bestFit="1" customWidth="1"/>
    <col min="10243" max="10243" width="10.140625" style="177" bestFit="1" customWidth="1"/>
    <col min="10244" max="10244" width="7" style="177" bestFit="1" customWidth="1"/>
    <col min="10245" max="10245" width="13.7109375" style="177" customWidth="1"/>
    <col min="10246" max="10246" width="7" style="177" bestFit="1" customWidth="1"/>
    <col min="10247" max="10247" width="20.28515625" style="177" customWidth="1"/>
    <col min="10248" max="10248" width="7" style="177" bestFit="1" customWidth="1"/>
    <col min="10249" max="10249" width="16.85546875" style="177" customWidth="1"/>
    <col min="10250" max="10250" width="7" style="177" bestFit="1" customWidth="1"/>
    <col min="10251" max="10251" width="17.85546875" style="177" customWidth="1"/>
    <col min="10252" max="10252" width="7" style="177" bestFit="1" customWidth="1"/>
    <col min="10253" max="10495" width="9.140625" style="177"/>
    <col min="10496" max="10496" width="10" style="177" bestFit="1" customWidth="1"/>
    <col min="10497" max="10497" width="11.140625" style="177" bestFit="1" customWidth="1"/>
    <col min="10498" max="10498" width="7" style="177" bestFit="1" customWidth="1"/>
    <col min="10499" max="10499" width="10.140625" style="177" bestFit="1" customWidth="1"/>
    <col min="10500" max="10500" width="7" style="177" bestFit="1" customWidth="1"/>
    <col min="10501" max="10501" width="13.7109375" style="177" customWidth="1"/>
    <col min="10502" max="10502" width="7" style="177" bestFit="1" customWidth="1"/>
    <col min="10503" max="10503" width="20.28515625" style="177" customWidth="1"/>
    <col min="10504" max="10504" width="7" style="177" bestFit="1" customWidth="1"/>
    <col min="10505" max="10505" width="16.85546875" style="177" customWidth="1"/>
    <col min="10506" max="10506" width="7" style="177" bestFit="1" customWidth="1"/>
    <col min="10507" max="10507" width="17.85546875" style="177" customWidth="1"/>
    <col min="10508" max="10508" width="7" style="177" bestFit="1" customWidth="1"/>
    <col min="10509" max="10751" width="9.140625" style="177"/>
    <col min="10752" max="10752" width="10" style="177" bestFit="1" customWidth="1"/>
    <col min="10753" max="10753" width="11.140625" style="177" bestFit="1" customWidth="1"/>
    <col min="10754" max="10754" width="7" style="177" bestFit="1" customWidth="1"/>
    <col min="10755" max="10755" width="10.140625" style="177" bestFit="1" customWidth="1"/>
    <col min="10756" max="10756" width="7" style="177" bestFit="1" customWidth="1"/>
    <col min="10757" max="10757" width="13.7109375" style="177" customWidth="1"/>
    <col min="10758" max="10758" width="7" style="177" bestFit="1" customWidth="1"/>
    <col min="10759" max="10759" width="20.28515625" style="177" customWidth="1"/>
    <col min="10760" max="10760" width="7" style="177" bestFit="1" customWidth="1"/>
    <col min="10761" max="10761" width="16.85546875" style="177" customWidth="1"/>
    <col min="10762" max="10762" width="7" style="177" bestFit="1" customWidth="1"/>
    <col min="10763" max="10763" width="17.85546875" style="177" customWidth="1"/>
    <col min="10764" max="10764" width="7" style="177" bestFit="1" customWidth="1"/>
    <col min="10765" max="11007" width="9.140625" style="177"/>
    <col min="11008" max="11008" width="10" style="177" bestFit="1" customWidth="1"/>
    <col min="11009" max="11009" width="11.140625" style="177" bestFit="1" customWidth="1"/>
    <col min="11010" max="11010" width="7" style="177" bestFit="1" customWidth="1"/>
    <col min="11011" max="11011" width="10.140625" style="177" bestFit="1" customWidth="1"/>
    <col min="11012" max="11012" width="7" style="177" bestFit="1" customWidth="1"/>
    <col min="11013" max="11013" width="13.7109375" style="177" customWidth="1"/>
    <col min="11014" max="11014" width="7" style="177" bestFit="1" customWidth="1"/>
    <col min="11015" max="11015" width="20.28515625" style="177" customWidth="1"/>
    <col min="11016" max="11016" width="7" style="177" bestFit="1" customWidth="1"/>
    <col min="11017" max="11017" width="16.85546875" style="177" customWidth="1"/>
    <col min="11018" max="11018" width="7" style="177" bestFit="1" customWidth="1"/>
    <col min="11019" max="11019" width="17.85546875" style="177" customWidth="1"/>
    <col min="11020" max="11020" width="7" style="177" bestFit="1" customWidth="1"/>
    <col min="11021" max="11263" width="9.140625" style="177"/>
    <col min="11264" max="11264" width="10" style="177" bestFit="1" customWidth="1"/>
    <col min="11265" max="11265" width="11.140625" style="177" bestFit="1" customWidth="1"/>
    <col min="11266" max="11266" width="7" style="177" bestFit="1" customWidth="1"/>
    <col min="11267" max="11267" width="10.140625" style="177" bestFit="1" customWidth="1"/>
    <col min="11268" max="11268" width="7" style="177" bestFit="1" customWidth="1"/>
    <col min="11269" max="11269" width="13.7109375" style="177" customWidth="1"/>
    <col min="11270" max="11270" width="7" style="177" bestFit="1" customWidth="1"/>
    <col min="11271" max="11271" width="20.28515625" style="177" customWidth="1"/>
    <col min="11272" max="11272" width="7" style="177" bestFit="1" customWidth="1"/>
    <col min="11273" max="11273" width="16.85546875" style="177" customWidth="1"/>
    <col min="11274" max="11274" width="7" style="177" bestFit="1" customWidth="1"/>
    <col min="11275" max="11275" width="17.85546875" style="177" customWidth="1"/>
    <col min="11276" max="11276" width="7" style="177" bestFit="1" customWidth="1"/>
    <col min="11277" max="11519" width="9.140625" style="177"/>
    <col min="11520" max="11520" width="10" style="177" bestFit="1" customWidth="1"/>
    <col min="11521" max="11521" width="11.140625" style="177" bestFit="1" customWidth="1"/>
    <col min="11522" max="11522" width="7" style="177" bestFit="1" customWidth="1"/>
    <col min="11523" max="11523" width="10.140625" style="177" bestFit="1" customWidth="1"/>
    <col min="11524" max="11524" width="7" style="177" bestFit="1" customWidth="1"/>
    <col min="11525" max="11525" width="13.7109375" style="177" customWidth="1"/>
    <col min="11526" max="11526" width="7" style="177" bestFit="1" customWidth="1"/>
    <col min="11527" max="11527" width="20.28515625" style="177" customWidth="1"/>
    <col min="11528" max="11528" width="7" style="177" bestFit="1" customWidth="1"/>
    <col min="11529" max="11529" width="16.85546875" style="177" customWidth="1"/>
    <col min="11530" max="11530" width="7" style="177" bestFit="1" customWidth="1"/>
    <col min="11531" max="11531" width="17.85546875" style="177" customWidth="1"/>
    <col min="11532" max="11532" width="7" style="177" bestFit="1" customWidth="1"/>
    <col min="11533" max="11775" width="9.140625" style="177"/>
    <col min="11776" max="11776" width="10" style="177" bestFit="1" customWidth="1"/>
    <col min="11777" max="11777" width="11.140625" style="177" bestFit="1" customWidth="1"/>
    <col min="11778" max="11778" width="7" style="177" bestFit="1" customWidth="1"/>
    <col min="11779" max="11779" width="10.140625" style="177" bestFit="1" customWidth="1"/>
    <col min="11780" max="11780" width="7" style="177" bestFit="1" customWidth="1"/>
    <col min="11781" max="11781" width="13.7109375" style="177" customWidth="1"/>
    <col min="11782" max="11782" width="7" style="177" bestFit="1" customWidth="1"/>
    <col min="11783" max="11783" width="20.28515625" style="177" customWidth="1"/>
    <col min="11784" max="11784" width="7" style="177" bestFit="1" customWidth="1"/>
    <col min="11785" max="11785" width="16.85546875" style="177" customWidth="1"/>
    <col min="11786" max="11786" width="7" style="177" bestFit="1" customWidth="1"/>
    <col min="11787" max="11787" width="17.85546875" style="177" customWidth="1"/>
    <col min="11788" max="11788" width="7" style="177" bestFit="1" customWidth="1"/>
    <col min="11789" max="12031" width="9.140625" style="177"/>
    <col min="12032" max="12032" width="10" style="177" bestFit="1" customWidth="1"/>
    <col min="12033" max="12033" width="11.140625" style="177" bestFit="1" customWidth="1"/>
    <col min="12034" max="12034" width="7" style="177" bestFit="1" customWidth="1"/>
    <col min="12035" max="12035" width="10.140625" style="177" bestFit="1" customWidth="1"/>
    <col min="12036" max="12036" width="7" style="177" bestFit="1" customWidth="1"/>
    <col min="12037" max="12037" width="13.7109375" style="177" customWidth="1"/>
    <col min="12038" max="12038" width="7" style="177" bestFit="1" customWidth="1"/>
    <col min="12039" max="12039" width="20.28515625" style="177" customWidth="1"/>
    <col min="12040" max="12040" width="7" style="177" bestFit="1" customWidth="1"/>
    <col min="12041" max="12041" width="16.85546875" style="177" customWidth="1"/>
    <col min="12042" max="12042" width="7" style="177" bestFit="1" customWidth="1"/>
    <col min="12043" max="12043" width="17.85546875" style="177" customWidth="1"/>
    <col min="12044" max="12044" width="7" style="177" bestFit="1" customWidth="1"/>
    <col min="12045" max="12287" width="9.140625" style="177"/>
    <col min="12288" max="12288" width="10" style="177" bestFit="1" customWidth="1"/>
    <col min="12289" max="12289" width="11.140625" style="177" bestFit="1" customWidth="1"/>
    <col min="12290" max="12290" width="7" style="177" bestFit="1" customWidth="1"/>
    <col min="12291" max="12291" width="10.140625" style="177" bestFit="1" customWidth="1"/>
    <col min="12292" max="12292" width="7" style="177" bestFit="1" customWidth="1"/>
    <col min="12293" max="12293" width="13.7109375" style="177" customWidth="1"/>
    <col min="12294" max="12294" width="7" style="177" bestFit="1" customWidth="1"/>
    <col min="12295" max="12295" width="20.28515625" style="177" customWidth="1"/>
    <col min="12296" max="12296" width="7" style="177" bestFit="1" customWidth="1"/>
    <col min="12297" max="12297" width="16.85546875" style="177" customWidth="1"/>
    <col min="12298" max="12298" width="7" style="177" bestFit="1" customWidth="1"/>
    <col min="12299" max="12299" width="17.85546875" style="177" customWidth="1"/>
    <col min="12300" max="12300" width="7" style="177" bestFit="1" customWidth="1"/>
    <col min="12301" max="12543" width="9.140625" style="177"/>
    <col min="12544" max="12544" width="10" style="177" bestFit="1" customWidth="1"/>
    <col min="12545" max="12545" width="11.140625" style="177" bestFit="1" customWidth="1"/>
    <col min="12546" max="12546" width="7" style="177" bestFit="1" customWidth="1"/>
    <col min="12547" max="12547" width="10.140625" style="177" bestFit="1" customWidth="1"/>
    <col min="12548" max="12548" width="7" style="177" bestFit="1" customWidth="1"/>
    <col min="12549" max="12549" width="13.7109375" style="177" customWidth="1"/>
    <col min="12550" max="12550" width="7" style="177" bestFit="1" customWidth="1"/>
    <col min="12551" max="12551" width="20.28515625" style="177" customWidth="1"/>
    <col min="12552" max="12552" width="7" style="177" bestFit="1" customWidth="1"/>
    <col min="12553" max="12553" width="16.85546875" style="177" customWidth="1"/>
    <col min="12554" max="12554" width="7" style="177" bestFit="1" customWidth="1"/>
    <col min="12555" max="12555" width="17.85546875" style="177" customWidth="1"/>
    <col min="12556" max="12556" width="7" style="177" bestFit="1" customWidth="1"/>
    <col min="12557" max="12799" width="9.140625" style="177"/>
    <col min="12800" max="12800" width="10" style="177" bestFit="1" customWidth="1"/>
    <col min="12801" max="12801" width="11.140625" style="177" bestFit="1" customWidth="1"/>
    <col min="12802" max="12802" width="7" style="177" bestFit="1" customWidth="1"/>
    <col min="12803" max="12803" width="10.140625" style="177" bestFit="1" customWidth="1"/>
    <col min="12804" max="12804" width="7" style="177" bestFit="1" customWidth="1"/>
    <col min="12805" max="12805" width="13.7109375" style="177" customWidth="1"/>
    <col min="12806" max="12806" width="7" style="177" bestFit="1" customWidth="1"/>
    <col min="12807" max="12807" width="20.28515625" style="177" customWidth="1"/>
    <col min="12808" max="12808" width="7" style="177" bestFit="1" customWidth="1"/>
    <col min="12809" max="12809" width="16.85546875" style="177" customWidth="1"/>
    <col min="12810" max="12810" width="7" style="177" bestFit="1" customWidth="1"/>
    <col min="12811" max="12811" width="17.85546875" style="177" customWidth="1"/>
    <col min="12812" max="12812" width="7" style="177" bestFit="1" customWidth="1"/>
    <col min="12813" max="13055" width="9.140625" style="177"/>
    <col min="13056" max="13056" width="10" style="177" bestFit="1" customWidth="1"/>
    <col min="13057" max="13057" width="11.140625" style="177" bestFit="1" customWidth="1"/>
    <col min="13058" max="13058" width="7" style="177" bestFit="1" customWidth="1"/>
    <col min="13059" max="13059" width="10.140625" style="177" bestFit="1" customWidth="1"/>
    <col min="13060" max="13060" width="7" style="177" bestFit="1" customWidth="1"/>
    <col min="13061" max="13061" width="13.7109375" style="177" customWidth="1"/>
    <col min="13062" max="13062" width="7" style="177" bestFit="1" customWidth="1"/>
    <col min="13063" max="13063" width="20.28515625" style="177" customWidth="1"/>
    <col min="13064" max="13064" width="7" style="177" bestFit="1" customWidth="1"/>
    <col min="13065" max="13065" width="16.85546875" style="177" customWidth="1"/>
    <col min="13066" max="13066" width="7" style="177" bestFit="1" customWidth="1"/>
    <col min="13067" max="13067" width="17.85546875" style="177" customWidth="1"/>
    <col min="13068" max="13068" width="7" style="177" bestFit="1" customWidth="1"/>
    <col min="13069" max="13311" width="9.140625" style="177"/>
    <col min="13312" max="13312" width="10" style="177" bestFit="1" customWidth="1"/>
    <col min="13313" max="13313" width="11.140625" style="177" bestFit="1" customWidth="1"/>
    <col min="13314" max="13314" width="7" style="177" bestFit="1" customWidth="1"/>
    <col min="13315" max="13315" width="10.140625" style="177" bestFit="1" customWidth="1"/>
    <col min="13316" max="13316" width="7" style="177" bestFit="1" customWidth="1"/>
    <col min="13317" max="13317" width="13.7109375" style="177" customWidth="1"/>
    <col min="13318" max="13318" width="7" style="177" bestFit="1" customWidth="1"/>
    <col min="13319" max="13319" width="20.28515625" style="177" customWidth="1"/>
    <col min="13320" max="13320" width="7" style="177" bestFit="1" customWidth="1"/>
    <col min="13321" max="13321" width="16.85546875" style="177" customWidth="1"/>
    <col min="13322" max="13322" width="7" style="177" bestFit="1" customWidth="1"/>
    <col min="13323" max="13323" width="17.85546875" style="177" customWidth="1"/>
    <col min="13324" max="13324" width="7" style="177" bestFit="1" customWidth="1"/>
    <col min="13325" max="13567" width="9.140625" style="177"/>
    <col min="13568" max="13568" width="10" style="177" bestFit="1" customWidth="1"/>
    <col min="13569" max="13569" width="11.140625" style="177" bestFit="1" customWidth="1"/>
    <col min="13570" max="13570" width="7" style="177" bestFit="1" customWidth="1"/>
    <col min="13571" max="13571" width="10.140625" style="177" bestFit="1" customWidth="1"/>
    <col min="13572" max="13572" width="7" style="177" bestFit="1" customWidth="1"/>
    <col min="13573" max="13573" width="13.7109375" style="177" customWidth="1"/>
    <col min="13574" max="13574" width="7" style="177" bestFit="1" customWidth="1"/>
    <col min="13575" max="13575" width="20.28515625" style="177" customWidth="1"/>
    <col min="13576" max="13576" width="7" style="177" bestFit="1" customWidth="1"/>
    <col min="13577" max="13577" width="16.85546875" style="177" customWidth="1"/>
    <col min="13578" max="13578" width="7" style="177" bestFit="1" customWidth="1"/>
    <col min="13579" max="13579" width="17.85546875" style="177" customWidth="1"/>
    <col min="13580" max="13580" width="7" style="177" bestFit="1" customWidth="1"/>
    <col min="13581" max="13823" width="9.140625" style="177"/>
    <col min="13824" max="13824" width="10" style="177" bestFit="1" customWidth="1"/>
    <col min="13825" max="13825" width="11.140625" style="177" bestFit="1" customWidth="1"/>
    <col min="13826" max="13826" width="7" style="177" bestFit="1" customWidth="1"/>
    <col min="13827" max="13827" width="10.140625" style="177" bestFit="1" customWidth="1"/>
    <col min="13828" max="13828" width="7" style="177" bestFit="1" customWidth="1"/>
    <col min="13829" max="13829" width="13.7109375" style="177" customWidth="1"/>
    <col min="13830" max="13830" width="7" style="177" bestFit="1" customWidth="1"/>
    <col min="13831" max="13831" width="20.28515625" style="177" customWidth="1"/>
    <col min="13832" max="13832" width="7" style="177" bestFit="1" customWidth="1"/>
    <col min="13833" max="13833" width="16.85546875" style="177" customWidth="1"/>
    <col min="13834" max="13834" width="7" style="177" bestFit="1" customWidth="1"/>
    <col min="13835" max="13835" width="17.85546875" style="177" customWidth="1"/>
    <col min="13836" max="13836" width="7" style="177" bestFit="1" customWidth="1"/>
    <col min="13837" max="14079" width="9.140625" style="177"/>
    <col min="14080" max="14080" width="10" style="177" bestFit="1" customWidth="1"/>
    <col min="14081" max="14081" width="11.140625" style="177" bestFit="1" customWidth="1"/>
    <col min="14082" max="14082" width="7" style="177" bestFit="1" customWidth="1"/>
    <col min="14083" max="14083" width="10.140625" style="177" bestFit="1" customWidth="1"/>
    <col min="14084" max="14084" width="7" style="177" bestFit="1" customWidth="1"/>
    <col min="14085" max="14085" width="13.7109375" style="177" customWidth="1"/>
    <col min="14086" max="14086" width="7" style="177" bestFit="1" customWidth="1"/>
    <col min="14087" max="14087" width="20.28515625" style="177" customWidth="1"/>
    <col min="14088" max="14088" width="7" style="177" bestFit="1" customWidth="1"/>
    <col min="14089" max="14089" width="16.85546875" style="177" customWidth="1"/>
    <col min="14090" max="14090" width="7" style="177" bestFit="1" customWidth="1"/>
    <col min="14091" max="14091" width="17.85546875" style="177" customWidth="1"/>
    <col min="14092" max="14092" width="7" style="177" bestFit="1" customWidth="1"/>
    <col min="14093" max="14335" width="9.140625" style="177"/>
    <col min="14336" max="14336" width="10" style="177" bestFit="1" customWidth="1"/>
    <col min="14337" max="14337" width="11.140625" style="177" bestFit="1" customWidth="1"/>
    <col min="14338" max="14338" width="7" style="177" bestFit="1" customWidth="1"/>
    <col min="14339" max="14339" width="10.140625" style="177" bestFit="1" customWidth="1"/>
    <col min="14340" max="14340" width="7" style="177" bestFit="1" customWidth="1"/>
    <col min="14341" max="14341" width="13.7109375" style="177" customWidth="1"/>
    <col min="14342" max="14342" width="7" style="177" bestFit="1" customWidth="1"/>
    <col min="14343" max="14343" width="20.28515625" style="177" customWidth="1"/>
    <col min="14344" max="14344" width="7" style="177" bestFit="1" customWidth="1"/>
    <col min="14345" max="14345" width="16.85546875" style="177" customWidth="1"/>
    <col min="14346" max="14346" width="7" style="177" bestFit="1" customWidth="1"/>
    <col min="14347" max="14347" width="17.85546875" style="177" customWidth="1"/>
    <col min="14348" max="14348" width="7" style="177" bestFit="1" customWidth="1"/>
    <col min="14349" max="14591" width="9.140625" style="177"/>
    <col min="14592" max="14592" width="10" style="177" bestFit="1" customWidth="1"/>
    <col min="14593" max="14593" width="11.140625" style="177" bestFit="1" customWidth="1"/>
    <col min="14594" max="14594" width="7" style="177" bestFit="1" customWidth="1"/>
    <col min="14595" max="14595" width="10.140625" style="177" bestFit="1" customWidth="1"/>
    <col min="14596" max="14596" width="7" style="177" bestFit="1" customWidth="1"/>
    <col min="14597" max="14597" width="13.7109375" style="177" customWidth="1"/>
    <col min="14598" max="14598" width="7" style="177" bestFit="1" customWidth="1"/>
    <col min="14599" max="14599" width="20.28515625" style="177" customWidth="1"/>
    <col min="14600" max="14600" width="7" style="177" bestFit="1" customWidth="1"/>
    <col min="14601" max="14601" width="16.85546875" style="177" customWidth="1"/>
    <col min="14602" max="14602" width="7" style="177" bestFit="1" customWidth="1"/>
    <col min="14603" max="14603" width="17.85546875" style="177" customWidth="1"/>
    <col min="14604" max="14604" width="7" style="177" bestFit="1" customWidth="1"/>
    <col min="14605" max="14847" width="9.140625" style="177"/>
    <col min="14848" max="14848" width="10" style="177" bestFit="1" customWidth="1"/>
    <col min="14849" max="14849" width="11.140625" style="177" bestFit="1" customWidth="1"/>
    <col min="14850" max="14850" width="7" style="177" bestFit="1" customWidth="1"/>
    <col min="14851" max="14851" width="10.140625" style="177" bestFit="1" customWidth="1"/>
    <col min="14852" max="14852" width="7" style="177" bestFit="1" customWidth="1"/>
    <col min="14853" max="14853" width="13.7109375" style="177" customWidth="1"/>
    <col min="14854" max="14854" width="7" style="177" bestFit="1" customWidth="1"/>
    <col min="14855" max="14855" width="20.28515625" style="177" customWidth="1"/>
    <col min="14856" max="14856" width="7" style="177" bestFit="1" customWidth="1"/>
    <col min="14857" max="14857" width="16.85546875" style="177" customWidth="1"/>
    <col min="14858" max="14858" width="7" style="177" bestFit="1" customWidth="1"/>
    <col min="14859" max="14859" width="17.85546875" style="177" customWidth="1"/>
    <col min="14860" max="14860" width="7" style="177" bestFit="1" customWidth="1"/>
    <col min="14861" max="15103" width="9.140625" style="177"/>
    <col min="15104" max="15104" width="10" style="177" bestFit="1" customWidth="1"/>
    <col min="15105" max="15105" width="11.140625" style="177" bestFit="1" customWidth="1"/>
    <col min="15106" max="15106" width="7" style="177" bestFit="1" customWidth="1"/>
    <col min="15107" max="15107" width="10.140625" style="177" bestFit="1" customWidth="1"/>
    <col min="15108" max="15108" width="7" style="177" bestFit="1" customWidth="1"/>
    <col min="15109" max="15109" width="13.7109375" style="177" customWidth="1"/>
    <col min="15110" max="15110" width="7" style="177" bestFit="1" customWidth="1"/>
    <col min="15111" max="15111" width="20.28515625" style="177" customWidth="1"/>
    <col min="15112" max="15112" width="7" style="177" bestFit="1" customWidth="1"/>
    <col min="15113" max="15113" width="16.85546875" style="177" customWidth="1"/>
    <col min="15114" max="15114" width="7" style="177" bestFit="1" customWidth="1"/>
    <col min="15115" max="15115" width="17.85546875" style="177" customWidth="1"/>
    <col min="15116" max="15116" width="7" style="177" bestFit="1" customWidth="1"/>
    <col min="15117" max="15359" width="9.140625" style="177"/>
    <col min="15360" max="15360" width="10" style="177" bestFit="1" customWidth="1"/>
    <col min="15361" max="15361" width="11.140625" style="177" bestFit="1" customWidth="1"/>
    <col min="15362" max="15362" width="7" style="177" bestFit="1" customWidth="1"/>
    <col min="15363" max="15363" width="10.140625" style="177" bestFit="1" customWidth="1"/>
    <col min="15364" max="15364" width="7" style="177" bestFit="1" customWidth="1"/>
    <col min="15365" max="15365" width="13.7109375" style="177" customWidth="1"/>
    <col min="15366" max="15366" width="7" style="177" bestFit="1" customWidth="1"/>
    <col min="15367" max="15367" width="20.28515625" style="177" customWidth="1"/>
    <col min="15368" max="15368" width="7" style="177" bestFit="1" customWidth="1"/>
    <col min="15369" max="15369" width="16.85546875" style="177" customWidth="1"/>
    <col min="15370" max="15370" width="7" style="177" bestFit="1" customWidth="1"/>
    <col min="15371" max="15371" width="17.85546875" style="177" customWidth="1"/>
    <col min="15372" max="15372" width="7" style="177" bestFit="1" customWidth="1"/>
    <col min="15373" max="15615" width="9.140625" style="177"/>
    <col min="15616" max="15616" width="10" style="177" bestFit="1" customWidth="1"/>
    <col min="15617" max="15617" width="11.140625" style="177" bestFit="1" customWidth="1"/>
    <col min="15618" max="15618" width="7" style="177" bestFit="1" customWidth="1"/>
    <col min="15619" max="15619" width="10.140625" style="177" bestFit="1" customWidth="1"/>
    <col min="15620" max="15620" width="7" style="177" bestFit="1" customWidth="1"/>
    <col min="15621" max="15621" width="13.7109375" style="177" customWidth="1"/>
    <col min="15622" max="15622" width="7" style="177" bestFit="1" customWidth="1"/>
    <col min="15623" max="15623" width="20.28515625" style="177" customWidth="1"/>
    <col min="15624" max="15624" width="7" style="177" bestFit="1" customWidth="1"/>
    <col min="15625" max="15625" width="16.85546875" style="177" customWidth="1"/>
    <col min="15626" max="15626" width="7" style="177" bestFit="1" customWidth="1"/>
    <col min="15627" max="15627" width="17.85546875" style="177" customWidth="1"/>
    <col min="15628" max="15628" width="7" style="177" bestFit="1" customWidth="1"/>
    <col min="15629" max="15871" width="9.140625" style="177"/>
    <col min="15872" max="15872" width="10" style="177" bestFit="1" customWidth="1"/>
    <col min="15873" max="15873" width="11.140625" style="177" bestFit="1" customWidth="1"/>
    <col min="15874" max="15874" width="7" style="177" bestFit="1" customWidth="1"/>
    <col min="15875" max="15875" width="10.140625" style="177" bestFit="1" customWidth="1"/>
    <col min="15876" max="15876" width="7" style="177" bestFit="1" customWidth="1"/>
    <col min="15877" max="15877" width="13.7109375" style="177" customWidth="1"/>
    <col min="15878" max="15878" width="7" style="177" bestFit="1" customWidth="1"/>
    <col min="15879" max="15879" width="20.28515625" style="177" customWidth="1"/>
    <col min="15880" max="15880" width="7" style="177" bestFit="1" customWidth="1"/>
    <col min="15881" max="15881" width="16.85546875" style="177" customWidth="1"/>
    <col min="15882" max="15882" width="7" style="177" bestFit="1" customWidth="1"/>
    <col min="15883" max="15883" width="17.85546875" style="177" customWidth="1"/>
    <col min="15884" max="15884" width="7" style="177" bestFit="1" customWidth="1"/>
    <col min="15885" max="16127" width="9.140625" style="177"/>
    <col min="16128" max="16128" width="10" style="177" bestFit="1" customWidth="1"/>
    <col min="16129" max="16129" width="11.140625" style="177" bestFit="1" customWidth="1"/>
    <col min="16130" max="16130" width="7" style="177" bestFit="1" customWidth="1"/>
    <col min="16131" max="16131" width="10.140625" style="177" bestFit="1" customWidth="1"/>
    <col min="16132" max="16132" width="7" style="177" bestFit="1" customWidth="1"/>
    <col min="16133" max="16133" width="13.7109375" style="177" customWidth="1"/>
    <col min="16134" max="16134" width="7" style="177" bestFit="1" customWidth="1"/>
    <col min="16135" max="16135" width="20.28515625" style="177" customWidth="1"/>
    <col min="16136" max="16136" width="7" style="177" bestFit="1" customWidth="1"/>
    <col min="16137" max="16137" width="16.85546875" style="177" customWidth="1"/>
    <col min="16138" max="16138" width="7" style="177" bestFit="1" customWidth="1"/>
    <col min="16139" max="16139" width="17.85546875" style="177" customWidth="1"/>
    <col min="16140" max="16140" width="7" style="177" bestFit="1" customWidth="1"/>
    <col min="16141" max="16384" width="9.140625" style="177"/>
  </cols>
  <sheetData>
    <row r="1" spans="1:16" x14ac:dyDescent="0.2">
      <c r="A1" s="373" t="s">
        <v>332</v>
      </c>
      <c r="B1" s="373"/>
      <c r="C1" s="373"/>
      <c r="D1" s="373"/>
      <c r="E1" s="373"/>
      <c r="F1" s="373"/>
      <c r="G1" s="373"/>
      <c r="H1" s="373"/>
      <c r="I1" s="373"/>
      <c r="J1" s="373"/>
      <c r="K1" s="373"/>
      <c r="L1" s="373"/>
      <c r="M1" s="373"/>
    </row>
    <row r="2" spans="1:16" x14ac:dyDescent="0.2">
      <c r="A2" s="373" t="s">
        <v>333</v>
      </c>
      <c r="B2" s="373"/>
      <c r="C2" s="373"/>
      <c r="D2" s="373"/>
      <c r="E2" s="373"/>
      <c r="F2" s="373"/>
      <c r="G2" s="373"/>
      <c r="H2" s="373"/>
      <c r="I2" s="373"/>
      <c r="J2" s="373"/>
      <c r="K2" s="373"/>
      <c r="L2" s="373"/>
      <c r="M2" s="373"/>
    </row>
    <row r="3" spans="1:16" customFormat="1" ht="15" x14ac:dyDescent="0.25">
      <c r="A3" s="374">
        <v>2023</v>
      </c>
      <c r="B3" s="374"/>
      <c r="C3" s="374"/>
      <c r="D3" s="374"/>
      <c r="E3" s="374"/>
      <c r="F3" s="374"/>
      <c r="G3" s="374"/>
      <c r="H3" s="374"/>
      <c r="I3" s="374"/>
      <c r="J3" s="374"/>
      <c r="K3" s="374"/>
      <c r="L3" s="374"/>
      <c r="M3" s="374"/>
    </row>
    <row r="4" spans="1:16" customFormat="1" ht="15" x14ac:dyDescent="0.25">
      <c r="A4" s="374" t="s">
        <v>334</v>
      </c>
      <c r="B4" s="374"/>
      <c r="C4" s="374"/>
      <c r="D4" s="374"/>
      <c r="E4" s="374"/>
      <c r="F4" s="374"/>
      <c r="G4" s="374"/>
      <c r="H4" s="374"/>
      <c r="I4" s="374"/>
      <c r="J4" s="374"/>
      <c r="K4" s="374"/>
      <c r="L4" s="374"/>
      <c r="M4" s="374"/>
    </row>
    <row r="5" spans="1:16" customFormat="1" ht="15.75" thickBot="1" x14ac:dyDescent="0.3">
      <c r="A5" s="199"/>
      <c r="B5" s="199"/>
      <c r="C5" s="199"/>
      <c r="D5" s="199"/>
      <c r="E5" s="199"/>
      <c r="F5" s="199"/>
      <c r="G5" s="199"/>
      <c r="H5" s="199"/>
      <c r="I5" s="199"/>
      <c r="J5" s="199"/>
      <c r="K5" s="199"/>
      <c r="L5" s="199"/>
      <c r="M5" s="199"/>
    </row>
    <row r="6" spans="1:16" customFormat="1" ht="15.75" thickTop="1" x14ac:dyDescent="0.25">
      <c r="A6" s="375" t="s">
        <v>5</v>
      </c>
      <c r="B6" s="378" t="s">
        <v>335</v>
      </c>
      <c r="C6" s="379"/>
      <c r="D6" s="379"/>
      <c r="E6" s="380"/>
      <c r="F6" s="378" t="s">
        <v>336</v>
      </c>
      <c r="G6" s="380"/>
      <c r="H6" s="381" t="s">
        <v>337</v>
      </c>
      <c r="I6" s="382"/>
      <c r="J6" s="382"/>
      <c r="K6" s="383"/>
      <c r="L6" s="379" t="s">
        <v>338</v>
      </c>
      <c r="M6" s="387"/>
    </row>
    <row r="7" spans="1:16" customFormat="1" ht="15.75" thickBot="1" x14ac:dyDescent="0.3">
      <c r="A7" s="376"/>
      <c r="B7" s="388" t="s">
        <v>339</v>
      </c>
      <c r="C7" s="373"/>
      <c r="D7" s="373"/>
      <c r="E7" s="389"/>
      <c r="F7" s="388" t="s">
        <v>340</v>
      </c>
      <c r="G7" s="389"/>
      <c r="H7" s="384"/>
      <c r="I7" s="385"/>
      <c r="J7" s="385"/>
      <c r="K7" s="386"/>
      <c r="L7" s="373" t="s">
        <v>340</v>
      </c>
      <c r="M7" s="390"/>
    </row>
    <row r="8" spans="1:16" customFormat="1" ht="15" x14ac:dyDescent="0.25">
      <c r="A8" s="376"/>
      <c r="B8" s="391" t="s">
        <v>341</v>
      </c>
      <c r="C8" s="392"/>
      <c r="D8" s="391" t="s">
        <v>342</v>
      </c>
      <c r="E8" s="392"/>
      <c r="F8" s="388" t="s">
        <v>343</v>
      </c>
      <c r="G8" s="389"/>
      <c r="H8" s="393" t="s">
        <v>344</v>
      </c>
      <c r="I8" s="394"/>
      <c r="J8" s="393" t="s">
        <v>345</v>
      </c>
      <c r="K8" s="395"/>
      <c r="L8" s="373" t="s">
        <v>343</v>
      </c>
      <c r="M8" s="390"/>
    </row>
    <row r="9" spans="1:16" customFormat="1" ht="15" x14ac:dyDescent="0.25">
      <c r="A9" s="376"/>
      <c r="B9" s="388"/>
      <c r="C9" s="389"/>
      <c r="D9" s="388"/>
      <c r="E9" s="389"/>
      <c r="F9" s="388" t="s">
        <v>346</v>
      </c>
      <c r="G9" s="389"/>
      <c r="H9" s="384"/>
      <c r="I9" s="385"/>
      <c r="J9" s="384"/>
      <c r="K9" s="386"/>
      <c r="L9" s="373" t="s">
        <v>346</v>
      </c>
      <c r="M9" s="390"/>
    </row>
    <row r="10" spans="1:16" customFormat="1" ht="15" x14ac:dyDescent="0.25">
      <c r="A10" s="376"/>
      <c r="B10" s="388" t="s">
        <v>347</v>
      </c>
      <c r="C10" s="389"/>
      <c r="D10" s="388" t="s">
        <v>348</v>
      </c>
      <c r="E10" s="389"/>
      <c r="F10" s="388" t="s">
        <v>349</v>
      </c>
      <c r="G10" s="389"/>
      <c r="H10" s="384"/>
      <c r="I10" s="385"/>
      <c r="J10" s="384"/>
      <c r="K10" s="386"/>
      <c r="L10" s="373" t="s">
        <v>349</v>
      </c>
      <c r="M10" s="390"/>
    </row>
    <row r="11" spans="1:16" customFormat="1" ht="15.75" thickBot="1" x14ac:dyDescent="0.3">
      <c r="A11" s="376"/>
      <c r="B11" s="248"/>
      <c r="C11" s="262"/>
      <c r="D11" s="248"/>
      <c r="E11" s="262"/>
      <c r="F11" s="388" t="s">
        <v>350</v>
      </c>
      <c r="G11" s="389"/>
      <c r="H11" s="384"/>
      <c r="I11" s="385"/>
      <c r="J11" s="384"/>
      <c r="K11" s="386"/>
      <c r="L11" s="373" t="s">
        <v>350</v>
      </c>
      <c r="M11" s="390"/>
    </row>
    <row r="12" spans="1:16" customFormat="1" ht="15.75" thickTop="1" x14ac:dyDescent="0.25">
      <c r="A12" s="376"/>
      <c r="B12" s="267" t="s">
        <v>351</v>
      </c>
      <c r="C12" s="268" t="s">
        <v>352</v>
      </c>
      <c r="D12" s="267" t="s">
        <v>351</v>
      </c>
      <c r="E12" s="268" t="s">
        <v>352</v>
      </c>
      <c r="F12" s="267" t="s">
        <v>351</v>
      </c>
      <c r="G12" s="268" t="s">
        <v>352</v>
      </c>
      <c r="H12" s="267" t="s">
        <v>351</v>
      </c>
      <c r="I12" s="268" t="s">
        <v>352</v>
      </c>
      <c r="J12" s="267" t="s">
        <v>351</v>
      </c>
      <c r="K12" s="268" t="s">
        <v>352</v>
      </c>
      <c r="L12" s="267" t="s">
        <v>351</v>
      </c>
      <c r="M12" s="268" t="s">
        <v>352</v>
      </c>
    </row>
    <row r="13" spans="1:16" customFormat="1" ht="15.75" thickBot="1" x14ac:dyDescent="0.3">
      <c r="A13" s="377"/>
      <c r="B13" s="269" t="s">
        <v>353</v>
      </c>
      <c r="C13" s="270" t="s">
        <v>354</v>
      </c>
      <c r="D13" s="269" t="s">
        <v>353</v>
      </c>
      <c r="E13" s="270" t="s">
        <v>354</v>
      </c>
      <c r="F13" s="269" t="s">
        <v>353</v>
      </c>
      <c r="G13" s="270" t="s">
        <v>354</v>
      </c>
      <c r="H13" s="269" t="s">
        <v>353</v>
      </c>
      <c r="I13" s="270" t="s">
        <v>354</v>
      </c>
      <c r="J13" s="269" t="s">
        <v>353</v>
      </c>
      <c r="K13" s="270" t="s">
        <v>354</v>
      </c>
      <c r="L13" s="269" t="s">
        <v>353</v>
      </c>
      <c r="M13" s="270" t="s">
        <v>354</v>
      </c>
    </row>
    <row r="14" spans="1:16" customFormat="1" ht="16.5" thickTop="1" thickBot="1" x14ac:dyDescent="0.3">
      <c r="A14" s="284" t="s">
        <v>355</v>
      </c>
      <c r="B14" s="271">
        <v>17972487</v>
      </c>
      <c r="C14" s="272">
        <v>312</v>
      </c>
      <c r="D14" s="271"/>
      <c r="E14" s="272"/>
      <c r="F14" s="271"/>
      <c r="G14" s="272"/>
      <c r="H14" s="271">
        <v>19732618</v>
      </c>
      <c r="I14" s="280">
        <v>315</v>
      </c>
      <c r="J14" s="283">
        <v>200000</v>
      </c>
      <c r="K14" s="272">
        <v>7</v>
      </c>
      <c r="L14" s="271"/>
      <c r="M14" s="272"/>
    </row>
    <row r="15" spans="1:16" customFormat="1" ht="16.5" thickTop="1" thickBot="1" x14ac:dyDescent="0.3">
      <c r="A15" s="285" t="s">
        <v>356</v>
      </c>
      <c r="B15" s="273">
        <v>17866003</v>
      </c>
      <c r="C15" s="274">
        <v>310</v>
      </c>
      <c r="D15" s="273"/>
      <c r="E15" s="274"/>
      <c r="F15" s="273"/>
      <c r="G15" s="274"/>
      <c r="H15" s="273">
        <v>19685843</v>
      </c>
      <c r="I15" s="281">
        <v>314</v>
      </c>
      <c r="J15" s="283">
        <v>200000</v>
      </c>
      <c r="K15" s="274">
        <v>7</v>
      </c>
      <c r="L15" s="273"/>
      <c r="M15" s="274"/>
      <c r="P15" s="95"/>
    </row>
    <row r="16" spans="1:16" customFormat="1" ht="16.5" thickTop="1" thickBot="1" x14ac:dyDescent="0.3">
      <c r="A16" s="285" t="s">
        <v>357</v>
      </c>
      <c r="B16" s="273">
        <v>17882415</v>
      </c>
      <c r="C16" s="274">
        <v>307</v>
      </c>
      <c r="D16" s="273"/>
      <c r="E16" s="274"/>
      <c r="F16" s="273"/>
      <c r="G16" s="274"/>
      <c r="H16" s="273">
        <v>19648185</v>
      </c>
      <c r="I16" s="281">
        <v>313</v>
      </c>
      <c r="J16" s="283">
        <v>200000</v>
      </c>
      <c r="K16" s="274">
        <v>7</v>
      </c>
      <c r="L16" s="273"/>
      <c r="M16" s="274"/>
    </row>
    <row r="17" spans="1:13" customFormat="1" ht="16.5" thickTop="1" thickBot="1" x14ac:dyDescent="0.3">
      <c r="A17" s="285" t="s">
        <v>358</v>
      </c>
      <c r="B17" s="273">
        <v>17974938</v>
      </c>
      <c r="C17" s="274">
        <v>308</v>
      </c>
      <c r="D17" s="273"/>
      <c r="E17" s="274"/>
      <c r="F17" s="273"/>
      <c r="G17" s="274"/>
      <c r="H17" s="273">
        <v>19612430</v>
      </c>
      <c r="I17" s="281">
        <v>312</v>
      </c>
      <c r="J17" s="283">
        <v>200000</v>
      </c>
      <c r="K17" s="274">
        <v>7</v>
      </c>
      <c r="L17" s="273"/>
      <c r="M17" s="274"/>
    </row>
    <row r="18" spans="1:13" customFormat="1" ht="15.75" thickTop="1" x14ac:dyDescent="0.25">
      <c r="A18" s="285" t="s">
        <v>359</v>
      </c>
      <c r="B18" s="273">
        <v>17984650</v>
      </c>
      <c r="C18" s="274">
        <v>307</v>
      </c>
      <c r="D18" s="273"/>
      <c r="E18" s="274"/>
      <c r="F18" s="273"/>
      <c r="G18" s="274"/>
      <c r="H18" s="273">
        <v>19612430</v>
      </c>
      <c r="I18" s="281">
        <v>312</v>
      </c>
      <c r="J18" s="283">
        <v>200000</v>
      </c>
      <c r="K18" s="274">
        <v>7</v>
      </c>
      <c r="L18" s="273"/>
      <c r="M18" s="274"/>
    </row>
    <row r="19" spans="1:13" customFormat="1" ht="15" x14ac:dyDescent="0.25">
      <c r="A19" s="285" t="s">
        <v>360</v>
      </c>
      <c r="B19" s="273">
        <v>18134434</v>
      </c>
      <c r="C19" s="274">
        <v>306</v>
      </c>
      <c r="D19" s="273"/>
      <c r="E19" s="274"/>
      <c r="F19" s="273"/>
      <c r="G19" s="274"/>
      <c r="H19" s="273">
        <v>19612430</v>
      </c>
      <c r="I19" s="281">
        <v>312</v>
      </c>
      <c r="J19" s="273"/>
      <c r="K19" s="274"/>
      <c r="L19" s="273"/>
      <c r="M19" s="274"/>
    </row>
    <row r="20" spans="1:13" customFormat="1" ht="15" x14ac:dyDescent="0.25">
      <c r="A20" s="285" t="s">
        <v>361</v>
      </c>
      <c r="B20" s="273">
        <v>17383599</v>
      </c>
      <c r="C20" s="274">
        <v>296</v>
      </c>
      <c r="D20" s="273"/>
      <c r="E20" s="274"/>
      <c r="F20" s="273"/>
      <c r="G20" s="274"/>
      <c r="H20" s="273">
        <v>19612430</v>
      </c>
      <c r="I20" s="281">
        <v>312</v>
      </c>
      <c r="J20" s="273">
        <v>0</v>
      </c>
      <c r="K20" s="274"/>
      <c r="L20" s="273"/>
      <c r="M20" s="274"/>
    </row>
    <row r="21" spans="1:13" customFormat="1" ht="15" x14ac:dyDescent="0.25">
      <c r="A21" s="285" t="s">
        <v>362</v>
      </c>
      <c r="B21" s="273">
        <v>17953295</v>
      </c>
      <c r="C21" s="274">
        <v>305</v>
      </c>
      <c r="D21" s="273"/>
      <c r="E21" s="274"/>
      <c r="F21" s="273"/>
      <c r="G21" s="274"/>
      <c r="H21" s="273">
        <v>19574772</v>
      </c>
      <c r="I21" s="281">
        <v>311</v>
      </c>
      <c r="J21" s="273">
        <v>0</v>
      </c>
      <c r="K21" s="274"/>
      <c r="L21" s="273"/>
      <c r="M21" s="274"/>
    </row>
    <row r="22" spans="1:13" customFormat="1" ht="15" x14ac:dyDescent="0.25">
      <c r="A22" s="285" t="s">
        <v>363</v>
      </c>
      <c r="B22" s="273">
        <v>18069251</v>
      </c>
      <c r="C22" s="274">
        <v>307</v>
      </c>
      <c r="D22" s="273"/>
      <c r="E22" s="274"/>
      <c r="F22" s="273"/>
      <c r="G22" s="274"/>
      <c r="H22" s="273">
        <v>19540285</v>
      </c>
      <c r="I22" s="281">
        <v>310</v>
      </c>
      <c r="J22" s="273">
        <v>0</v>
      </c>
      <c r="K22" s="274"/>
      <c r="L22" s="273"/>
      <c r="M22" s="274"/>
    </row>
    <row r="23" spans="1:13" customFormat="1" ht="15" x14ac:dyDescent="0.25">
      <c r="A23" s="285" t="s">
        <v>364</v>
      </c>
      <c r="B23" s="273">
        <v>17810599</v>
      </c>
      <c r="C23" s="274">
        <v>305</v>
      </c>
      <c r="D23" s="273"/>
      <c r="E23" s="274"/>
      <c r="F23" s="273"/>
      <c r="G23" s="274"/>
      <c r="H23" s="273">
        <v>19540285</v>
      </c>
      <c r="I23" s="281">
        <v>310</v>
      </c>
      <c r="J23" s="273">
        <v>0</v>
      </c>
      <c r="K23" s="274"/>
      <c r="L23" s="273"/>
      <c r="M23" s="274"/>
    </row>
    <row r="24" spans="1:13" customFormat="1" ht="15" x14ac:dyDescent="0.25">
      <c r="A24" s="285" t="s">
        <v>365</v>
      </c>
      <c r="B24" s="273">
        <v>17851522</v>
      </c>
      <c r="C24" s="274">
        <v>305</v>
      </c>
      <c r="D24" s="273"/>
      <c r="E24" s="274"/>
      <c r="F24" s="273"/>
      <c r="G24" s="274"/>
      <c r="H24" s="273">
        <v>19504530</v>
      </c>
      <c r="I24" s="281">
        <v>309</v>
      </c>
      <c r="J24" s="273">
        <v>0</v>
      </c>
      <c r="K24" s="274"/>
      <c r="L24" s="273"/>
      <c r="M24" s="274"/>
    </row>
    <row r="25" spans="1:13" customFormat="1" ht="15.75" thickBot="1" x14ac:dyDescent="0.3">
      <c r="A25" s="286" t="s">
        <v>366</v>
      </c>
      <c r="B25" s="275">
        <v>17953295</v>
      </c>
      <c r="C25" s="276">
        <v>308</v>
      </c>
      <c r="D25" s="275">
        <v>239571</v>
      </c>
      <c r="E25" s="276">
        <v>5</v>
      </c>
      <c r="F25" s="275"/>
      <c r="G25" s="276"/>
      <c r="H25" s="275">
        <v>19466872</v>
      </c>
      <c r="I25" s="282">
        <v>308</v>
      </c>
      <c r="J25" s="275">
        <v>0</v>
      </c>
      <c r="K25" s="276"/>
      <c r="L25" s="275"/>
      <c r="M25" s="276"/>
    </row>
    <row r="26" spans="1:13" customFormat="1" ht="16.5" thickTop="1" thickBot="1" x14ac:dyDescent="0.3">
      <c r="A26" s="287" t="s">
        <v>367</v>
      </c>
      <c r="B26" s="277">
        <f>SUM(B14:B25)</f>
        <v>214836488</v>
      </c>
      <c r="C26" s="278"/>
      <c r="D26" s="277">
        <f>SUM(D14:D25)</f>
        <v>239571</v>
      </c>
      <c r="E26" s="279"/>
      <c r="F26" s="277">
        <f>SUM(F14:F25)</f>
        <v>0</v>
      </c>
      <c r="G26" s="278"/>
      <c r="H26" s="277">
        <f>SUM(H14:H25)</f>
        <v>235143110</v>
      </c>
      <c r="I26" s="278"/>
      <c r="J26" s="277">
        <f>SUM(J14:J25)</f>
        <v>1000000</v>
      </c>
      <c r="K26" s="278"/>
      <c r="L26" s="277">
        <v>0</v>
      </c>
      <c r="M26" s="278"/>
    </row>
    <row r="27" spans="1:13" ht="13.5" thickTop="1" x14ac:dyDescent="0.2">
      <c r="A27" s="199"/>
      <c r="B27" s="199"/>
      <c r="C27" s="199"/>
      <c r="D27" s="199"/>
      <c r="E27" s="199"/>
      <c r="F27" s="199"/>
      <c r="G27" s="199"/>
      <c r="H27" s="199"/>
      <c r="I27" s="199"/>
      <c r="J27" s="199"/>
      <c r="K27" s="199"/>
      <c r="L27" s="199"/>
      <c r="M27" s="199"/>
    </row>
    <row r="28" spans="1:13" x14ac:dyDescent="0.2">
      <c r="A28" s="199" t="s">
        <v>368</v>
      </c>
      <c r="B28" s="199"/>
      <c r="C28" s="199"/>
      <c r="D28" s="199"/>
      <c r="E28" s="199"/>
      <c r="F28" s="199"/>
      <c r="G28" s="199"/>
      <c r="H28" s="199"/>
      <c r="I28" s="199"/>
      <c r="J28" s="199"/>
      <c r="K28" s="199"/>
      <c r="L28" s="199"/>
      <c r="M28" s="199"/>
    </row>
    <row r="29" spans="1:13" x14ac:dyDescent="0.2">
      <c r="A29" s="199" t="s">
        <v>369</v>
      </c>
      <c r="B29" s="199"/>
      <c r="C29" s="199"/>
      <c r="D29" s="199"/>
      <c r="E29" s="199"/>
      <c r="F29" s="199"/>
      <c r="G29" s="199"/>
      <c r="H29" s="199"/>
      <c r="I29" s="199"/>
      <c r="J29" s="199"/>
      <c r="K29" s="199"/>
      <c r="L29" s="199"/>
      <c r="M29" s="199"/>
    </row>
  </sheetData>
  <sheetProtection algorithmName="SHA-512" hashValue="uNpWSjoi4BKDOxzXn/dlShlVbd9valLRqkdKdRQ/hLRaDeBPnM6SdorautBlZW5XhiQtItcX5dvL7n9LyGtmeA==" saltValue="za/8wwydB2FXoPCi/Te9EQ==" spinCount="100000" sheet="1" objects="1" scenarios="1"/>
  <mergeCells count="28">
    <mergeCell ref="B9:C9"/>
    <mergeCell ref="D9:E9"/>
    <mergeCell ref="F11:G11"/>
    <mergeCell ref="L11:M11"/>
    <mergeCell ref="F9:G9"/>
    <mergeCell ref="L9:M9"/>
    <mergeCell ref="B10:C10"/>
    <mergeCell ref="D10:E10"/>
    <mergeCell ref="F10:G10"/>
    <mergeCell ref="L10:M10"/>
    <mergeCell ref="J8:K11"/>
    <mergeCell ref="L8:M8"/>
    <mergeCell ref="A1:M1"/>
    <mergeCell ref="A2:M2"/>
    <mergeCell ref="A3:M3"/>
    <mergeCell ref="A4:M4"/>
    <mergeCell ref="A6:A13"/>
    <mergeCell ref="B6:E6"/>
    <mergeCell ref="F6:G6"/>
    <mergeCell ref="H6:K7"/>
    <mergeCell ref="L6:M6"/>
    <mergeCell ref="B7:E7"/>
    <mergeCell ref="F7:G7"/>
    <mergeCell ref="L7:M7"/>
    <mergeCell ref="B8:C8"/>
    <mergeCell ref="D8:E8"/>
    <mergeCell ref="F8:G8"/>
    <mergeCell ref="H8:I11"/>
  </mergeCells>
  <pageMargins left="0.7" right="0.7" top="0.75" bottom="0.75" header="0.3" footer="0.3"/>
  <pageSetup paperSize="9" orientation="landscape"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E31"/>
  <sheetViews>
    <sheetView workbookViewId="0">
      <selection activeCell="A13" sqref="A13"/>
    </sheetView>
  </sheetViews>
  <sheetFormatPr defaultRowHeight="15" x14ac:dyDescent="0.25"/>
  <cols>
    <col min="1" max="1" width="81.140625" bestFit="1" customWidth="1"/>
    <col min="2" max="2" width="30.85546875" bestFit="1" customWidth="1"/>
    <col min="3" max="3" width="49.42578125" bestFit="1" customWidth="1"/>
    <col min="4" max="4" width="8.7109375" bestFit="1" customWidth="1"/>
    <col min="5" max="5" width="13.5703125" bestFit="1" customWidth="1"/>
    <col min="6" max="6" width="30.85546875" bestFit="1" customWidth="1"/>
    <col min="7" max="7" width="49.42578125" bestFit="1" customWidth="1"/>
  </cols>
  <sheetData>
    <row r="1" spans="1:5" x14ac:dyDescent="0.25">
      <c r="A1" t="s">
        <v>370</v>
      </c>
      <c r="B1" t="s">
        <v>371</v>
      </c>
      <c r="C1" s="62" t="s">
        <v>372</v>
      </c>
      <c r="D1" s="62" t="s">
        <v>232</v>
      </c>
      <c r="E1" s="62" t="s">
        <v>152</v>
      </c>
    </row>
    <row r="2" spans="1:5" x14ac:dyDescent="0.25">
      <c r="A2" t="s">
        <v>1080</v>
      </c>
      <c r="B2">
        <v>44835</v>
      </c>
      <c r="C2" s="62">
        <v>1820000</v>
      </c>
      <c r="D2" s="62" t="s">
        <v>290</v>
      </c>
      <c r="E2" s="62" t="s">
        <v>239</v>
      </c>
    </row>
    <row r="3" spans="1:5" x14ac:dyDescent="0.25">
      <c r="A3" t="s">
        <v>1081</v>
      </c>
      <c r="B3">
        <v>44896</v>
      </c>
      <c r="C3" s="62">
        <v>1820000</v>
      </c>
      <c r="D3" s="62" t="s">
        <v>290</v>
      </c>
      <c r="E3" s="62" t="s">
        <v>239</v>
      </c>
    </row>
    <row r="4" spans="1:5" x14ac:dyDescent="0.25">
      <c r="A4" t="s">
        <v>1082</v>
      </c>
      <c r="B4">
        <v>45200</v>
      </c>
      <c r="C4" s="62">
        <v>1820000</v>
      </c>
      <c r="D4" s="62" t="s">
        <v>290</v>
      </c>
      <c r="E4" s="62" t="s">
        <v>239</v>
      </c>
    </row>
    <row r="5" spans="1:5" x14ac:dyDescent="0.25">
      <c r="A5" t="s">
        <v>1083</v>
      </c>
      <c r="B5">
        <v>45017</v>
      </c>
      <c r="C5" s="62">
        <v>11261250</v>
      </c>
      <c r="D5" s="62" t="s">
        <v>290</v>
      </c>
      <c r="E5" s="62" t="s">
        <v>239</v>
      </c>
    </row>
    <row r="6" spans="1:5" x14ac:dyDescent="0.25">
      <c r="A6" t="s">
        <v>1084</v>
      </c>
      <c r="B6">
        <v>45292</v>
      </c>
      <c r="C6" s="62">
        <v>15000000</v>
      </c>
      <c r="D6" s="62" t="s">
        <v>290</v>
      </c>
      <c r="E6" s="62" t="s">
        <v>239</v>
      </c>
    </row>
    <row r="7" spans="1:5" x14ac:dyDescent="0.25">
      <c r="A7" t="s">
        <v>568</v>
      </c>
      <c r="B7">
        <v>45597</v>
      </c>
      <c r="C7" s="62">
        <v>14160000</v>
      </c>
      <c r="D7" s="62" t="s">
        <v>290</v>
      </c>
      <c r="E7" s="62" t="s">
        <v>239</v>
      </c>
    </row>
    <row r="8" spans="1:5" x14ac:dyDescent="0.25">
      <c r="A8" t="s">
        <v>1307</v>
      </c>
      <c r="B8">
        <v>44986</v>
      </c>
      <c r="C8" s="62">
        <v>2000000</v>
      </c>
      <c r="D8" s="62" t="s">
        <v>831</v>
      </c>
      <c r="E8" s="62" t="s">
        <v>239</v>
      </c>
    </row>
    <row r="9" spans="1:5" x14ac:dyDescent="0.25">
      <c r="A9" t="s">
        <v>1085</v>
      </c>
      <c r="B9">
        <v>45017</v>
      </c>
      <c r="C9" s="62">
        <v>877000</v>
      </c>
      <c r="D9" s="62" t="s">
        <v>834</v>
      </c>
      <c r="E9" s="62" t="s">
        <v>239</v>
      </c>
    </row>
    <row r="10" spans="1:5" x14ac:dyDescent="0.25">
      <c r="A10" t="s">
        <v>1295</v>
      </c>
      <c r="B10">
        <v>45231</v>
      </c>
      <c r="C10" s="62">
        <v>9450000</v>
      </c>
      <c r="D10" s="62" t="s">
        <v>834</v>
      </c>
      <c r="E10" s="62" t="s">
        <v>239</v>
      </c>
    </row>
    <row r="11" spans="1:5" x14ac:dyDescent="0.25">
      <c r="A11" t="s">
        <v>1086</v>
      </c>
      <c r="B11">
        <v>44927</v>
      </c>
      <c r="C11" s="62">
        <v>236000</v>
      </c>
      <c r="D11" s="62" t="s">
        <v>834</v>
      </c>
      <c r="E11" s="62" t="s">
        <v>239</v>
      </c>
    </row>
    <row r="12" spans="1:5" x14ac:dyDescent="0.25">
      <c r="A12" t="s">
        <v>1087</v>
      </c>
      <c r="B12">
        <v>44958</v>
      </c>
      <c r="C12" s="62">
        <v>495600</v>
      </c>
      <c r="D12" s="62" t="s">
        <v>290</v>
      </c>
      <c r="E12" s="62" t="s">
        <v>239</v>
      </c>
    </row>
    <row r="13" spans="1:5" x14ac:dyDescent="0.25">
      <c r="A13" t="s">
        <v>1296</v>
      </c>
      <c r="B13">
        <v>45170</v>
      </c>
      <c r="C13" s="62">
        <v>8400000</v>
      </c>
      <c r="D13" s="62" t="s">
        <v>290</v>
      </c>
      <c r="E13" s="62" t="s">
        <v>239</v>
      </c>
    </row>
    <row r="14" spans="1:5" x14ac:dyDescent="0.25">
      <c r="A14" t="s">
        <v>1100</v>
      </c>
      <c r="B14">
        <v>45170</v>
      </c>
      <c r="C14" s="62">
        <v>1890000</v>
      </c>
      <c r="D14" s="62" t="s">
        <v>290</v>
      </c>
      <c r="E14" s="62" t="s">
        <v>239</v>
      </c>
    </row>
    <row r="15" spans="1:5" x14ac:dyDescent="0.25">
      <c r="A15" t="s">
        <v>1088</v>
      </c>
      <c r="B15">
        <v>45200</v>
      </c>
      <c r="C15" s="62">
        <v>6000000</v>
      </c>
      <c r="D15" s="62" t="s">
        <v>290</v>
      </c>
      <c r="E15" s="62" t="s">
        <v>239</v>
      </c>
    </row>
    <row r="16" spans="1:5" x14ac:dyDescent="0.25">
      <c r="A16" t="s">
        <v>1089</v>
      </c>
      <c r="B16">
        <v>44986</v>
      </c>
      <c r="C16" s="62">
        <v>17829000</v>
      </c>
      <c r="D16" s="62" t="s">
        <v>834</v>
      </c>
      <c r="E16" s="62" t="s">
        <v>239</v>
      </c>
    </row>
    <row r="17" spans="1:5" x14ac:dyDescent="0.25">
      <c r="A17" t="s">
        <v>1297</v>
      </c>
      <c r="B17">
        <v>45139</v>
      </c>
      <c r="C17">
        <v>11800000</v>
      </c>
      <c r="D17" t="s">
        <v>834</v>
      </c>
      <c r="E17" t="s">
        <v>239</v>
      </c>
    </row>
    <row r="18" spans="1:5" x14ac:dyDescent="0.25">
      <c r="A18" t="s">
        <v>1106</v>
      </c>
      <c r="B18">
        <v>45627</v>
      </c>
      <c r="C18">
        <v>15375000</v>
      </c>
      <c r="D18" t="s">
        <v>290</v>
      </c>
      <c r="E18" t="s">
        <v>239</v>
      </c>
    </row>
    <row r="19" spans="1:5" x14ac:dyDescent="0.25">
      <c r="A19" t="s">
        <v>1107</v>
      </c>
      <c r="B19">
        <v>45170</v>
      </c>
      <c r="C19">
        <v>7100000</v>
      </c>
      <c r="D19" t="s">
        <v>290</v>
      </c>
      <c r="E19" t="s">
        <v>239</v>
      </c>
    </row>
    <row r="20" spans="1:5" x14ac:dyDescent="0.25">
      <c r="A20" t="s">
        <v>1298</v>
      </c>
      <c r="B20">
        <v>45261</v>
      </c>
      <c r="C20">
        <v>6300000</v>
      </c>
      <c r="D20" t="s">
        <v>834</v>
      </c>
      <c r="E20" t="s">
        <v>239</v>
      </c>
    </row>
    <row r="21" spans="1:5" x14ac:dyDescent="0.25">
      <c r="A21" t="s">
        <v>1093</v>
      </c>
      <c r="B21">
        <v>45047</v>
      </c>
      <c r="C21">
        <v>1260000</v>
      </c>
      <c r="D21" t="s">
        <v>290</v>
      </c>
      <c r="E21" t="s">
        <v>239</v>
      </c>
    </row>
    <row r="22" spans="1:5" x14ac:dyDescent="0.25">
      <c r="A22" t="s">
        <v>1299</v>
      </c>
      <c r="B22">
        <v>45292</v>
      </c>
      <c r="C22">
        <v>7080000</v>
      </c>
      <c r="D22" t="s">
        <v>834</v>
      </c>
      <c r="E22" t="s">
        <v>239</v>
      </c>
    </row>
    <row r="23" spans="1:5" x14ac:dyDescent="0.25">
      <c r="A23" t="s">
        <v>1110</v>
      </c>
      <c r="B23">
        <v>44927</v>
      </c>
      <c r="C23">
        <v>6090000</v>
      </c>
      <c r="D23" t="s">
        <v>290</v>
      </c>
      <c r="E23" t="s">
        <v>239</v>
      </c>
    </row>
    <row r="24" spans="1:5" x14ac:dyDescent="0.25">
      <c r="A24" t="s">
        <v>1300</v>
      </c>
      <c r="B24">
        <v>45505</v>
      </c>
      <c r="C24">
        <v>3150000</v>
      </c>
      <c r="D24" t="s">
        <v>290</v>
      </c>
      <c r="E24" t="s">
        <v>239</v>
      </c>
    </row>
    <row r="25" spans="1:5" x14ac:dyDescent="0.25">
      <c r="A25" t="s">
        <v>1308</v>
      </c>
      <c r="B25">
        <v>45292</v>
      </c>
      <c r="C25">
        <v>1416000</v>
      </c>
      <c r="D25" t="s">
        <v>290</v>
      </c>
      <c r="E25" t="s">
        <v>239</v>
      </c>
    </row>
    <row r="26" spans="1:5" x14ac:dyDescent="0.25">
      <c r="A26" t="s">
        <v>1309</v>
      </c>
      <c r="B26">
        <v>45261</v>
      </c>
      <c r="C26">
        <v>12000000</v>
      </c>
      <c r="D26" t="s">
        <v>290</v>
      </c>
      <c r="E26" t="s">
        <v>239</v>
      </c>
    </row>
    <row r="27" spans="1:5" x14ac:dyDescent="0.25">
      <c r="A27" t="s">
        <v>1310</v>
      </c>
      <c r="B27">
        <v>45261</v>
      </c>
      <c r="C27">
        <v>2500000</v>
      </c>
      <c r="D27" t="s">
        <v>290</v>
      </c>
      <c r="E27" t="s">
        <v>239</v>
      </c>
    </row>
    <row r="28" spans="1:5" x14ac:dyDescent="0.25">
      <c r="A28" t="s">
        <v>1311</v>
      </c>
      <c r="B28">
        <v>45261</v>
      </c>
      <c r="C28">
        <v>185000</v>
      </c>
      <c r="D28" t="s">
        <v>292</v>
      </c>
      <c r="E28" t="s">
        <v>239</v>
      </c>
    </row>
    <row r="29" spans="1:5" x14ac:dyDescent="0.25">
      <c r="A29" t="s">
        <v>1312</v>
      </c>
      <c r="B29">
        <v>45078</v>
      </c>
      <c r="C29">
        <v>150000</v>
      </c>
      <c r="D29" t="s">
        <v>292</v>
      </c>
      <c r="E29" t="s">
        <v>239</v>
      </c>
    </row>
    <row r="30" spans="1:5" x14ac:dyDescent="0.25">
      <c r="A30" t="s">
        <v>1339</v>
      </c>
      <c r="B30">
        <v>45017</v>
      </c>
      <c r="C30">
        <v>531000</v>
      </c>
      <c r="D30" t="s">
        <v>290</v>
      </c>
      <c r="E30" t="s">
        <v>239</v>
      </c>
    </row>
    <row r="31" spans="1:5" x14ac:dyDescent="0.25">
      <c r="A31" t="s">
        <v>1340</v>
      </c>
      <c r="B31">
        <v>45231</v>
      </c>
      <c r="C31">
        <v>15000000</v>
      </c>
      <c r="D31" t="s">
        <v>290</v>
      </c>
      <c r="E31" t="s">
        <v>239</v>
      </c>
    </row>
  </sheetData>
  <phoneticPr fontId="20" type="noConversion"/>
  <pageMargins left="0.7" right="0.7" top="0.75" bottom="0.75" header="0.3" footer="0.3"/>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1">
    <tabColor rgb="FFFFC000"/>
  </sheetPr>
  <dimension ref="B2:AC75"/>
  <sheetViews>
    <sheetView topLeftCell="F1" workbookViewId="0">
      <selection activeCell="W18" sqref="W18:W73"/>
    </sheetView>
  </sheetViews>
  <sheetFormatPr defaultRowHeight="15" x14ac:dyDescent="0.25"/>
  <cols>
    <col min="2" max="2" width="77.85546875" customWidth="1"/>
    <col min="3" max="3" width="16.85546875" customWidth="1"/>
    <col min="4" max="6" width="10.140625" bestFit="1" customWidth="1"/>
    <col min="7" max="7" width="11.140625" bestFit="1" customWidth="1"/>
    <col min="8" max="8" width="10.140625" bestFit="1" customWidth="1"/>
    <col min="9" max="9" width="11.140625" bestFit="1" customWidth="1"/>
    <col min="10" max="11" width="10.140625" bestFit="1" customWidth="1"/>
    <col min="12" max="12" width="13.140625" bestFit="1" customWidth="1"/>
    <col min="13" max="14" width="11.140625" bestFit="1" customWidth="1"/>
    <col min="15" max="15" width="10.140625" bestFit="1" customWidth="1"/>
    <col min="16" max="16" width="13.140625" bestFit="1" customWidth="1"/>
    <col min="17" max="17" width="10.28515625" bestFit="1" customWidth="1"/>
    <col min="18" max="19" width="10.140625" bestFit="1" customWidth="1"/>
    <col min="20" max="20" width="13.140625" bestFit="1" customWidth="1"/>
    <col min="21" max="21" width="10.28515625" bestFit="1" customWidth="1"/>
    <col min="22" max="23" width="10.140625" bestFit="1" customWidth="1"/>
    <col min="24" max="24" width="13.140625" bestFit="1" customWidth="1"/>
    <col min="25" max="25" width="10.28515625" bestFit="1" customWidth="1"/>
    <col min="26" max="27" width="10.140625" bestFit="1" customWidth="1"/>
    <col min="28" max="28" width="13.140625" bestFit="1" customWidth="1"/>
    <col min="29" max="29" width="11.140625" bestFit="1" customWidth="1"/>
    <col min="30" max="30" width="13.140625" bestFit="1" customWidth="1"/>
    <col min="31" max="31" width="12.7109375" bestFit="1" customWidth="1"/>
    <col min="32" max="32" width="9" bestFit="1" customWidth="1"/>
    <col min="33" max="36" width="11" bestFit="1" customWidth="1"/>
  </cols>
  <sheetData>
    <row r="2" spans="2:27" x14ac:dyDescent="0.25">
      <c r="B2" s="4" t="s">
        <v>152</v>
      </c>
      <c r="C2" t="s" vm="187">
        <v>777</v>
      </c>
    </row>
    <row r="3" spans="2:27" x14ac:dyDescent="0.25">
      <c r="B3" s="4" t="s">
        <v>244</v>
      </c>
      <c r="C3" t="s" vm="12">
        <v>245</v>
      </c>
    </row>
    <row r="5" spans="2:27" x14ac:dyDescent="0.25">
      <c r="B5" s="4" t="s">
        <v>136</v>
      </c>
      <c r="C5" s="4" t="s">
        <v>137</v>
      </c>
      <c r="G5" s="312"/>
    </row>
    <row r="6" spans="2:27" x14ac:dyDescent="0.25">
      <c r="B6" s="4" t="s">
        <v>242</v>
      </c>
      <c r="C6" s="5">
        <v>43190</v>
      </c>
      <c r="D6" s="5">
        <v>43281</v>
      </c>
      <c r="E6" s="5">
        <v>43373</v>
      </c>
      <c r="F6" s="5">
        <v>43465</v>
      </c>
      <c r="G6" s="5">
        <v>43555</v>
      </c>
      <c r="H6" s="5">
        <v>43646</v>
      </c>
      <c r="I6" s="5">
        <v>43738</v>
      </c>
      <c r="J6" s="5">
        <v>43830</v>
      </c>
      <c r="K6" s="5">
        <v>43921</v>
      </c>
      <c r="L6" s="5">
        <v>44012</v>
      </c>
      <c r="M6" s="5">
        <v>44104</v>
      </c>
      <c r="N6" s="5">
        <v>44196</v>
      </c>
      <c r="O6" s="5">
        <v>44286</v>
      </c>
      <c r="P6" s="5">
        <v>44377</v>
      </c>
      <c r="Q6" s="5">
        <v>44469</v>
      </c>
      <c r="R6" s="5">
        <v>44561</v>
      </c>
      <c r="S6" s="5">
        <v>44651</v>
      </c>
      <c r="T6" s="5">
        <v>44742</v>
      </c>
      <c r="U6" s="5">
        <v>44834</v>
      </c>
      <c r="V6" s="5">
        <v>44926</v>
      </c>
      <c r="W6" s="5">
        <v>45016</v>
      </c>
      <c r="X6" s="5">
        <v>45107</v>
      </c>
      <c r="Y6" s="5">
        <v>45199</v>
      </c>
      <c r="Z6" s="5">
        <v>45291</v>
      </c>
      <c r="AA6" s="312" t="s">
        <v>138</v>
      </c>
    </row>
    <row r="7" spans="2:27" x14ac:dyDescent="0.25">
      <c r="B7" s="6" t="s">
        <v>376</v>
      </c>
      <c r="C7" s="1">
        <v>0</v>
      </c>
      <c r="D7" s="1">
        <v>0</v>
      </c>
      <c r="E7" s="1">
        <v>0</v>
      </c>
      <c r="F7" s="1">
        <v>0</v>
      </c>
      <c r="G7" s="1">
        <v>188765244</v>
      </c>
      <c r="H7" s="1">
        <v>47094011</v>
      </c>
      <c r="I7" s="1">
        <v>42082291</v>
      </c>
      <c r="J7" s="1">
        <v>50398885</v>
      </c>
      <c r="K7" s="1">
        <v>381131185</v>
      </c>
      <c r="L7" s="1">
        <v>95110015</v>
      </c>
      <c r="M7" s="1">
        <v>82696774</v>
      </c>
      <c r="N7" s="1">
        <v>106293401</v>
      </c>
      <c r="O7" s="1">
        <v>377894964</v>
      </c>
      <c r="P7" s="1">
        <v>114960143</v>
      </c>
      <c r="Q7" s="1">
        <v>88201326</v>
      </c>
      <c r="R7" s="1">
        <v>104573826</v>
      </c>
      <c r="S7" s="1">
        <v>404478378</v>
      </c>
      <c r="T7" s="1">
        <v>110980996</v>
      </c>
      <c r="U7" s="1">
        <v>101533760</v>
      </c>
      <c r="V7" s="1">
        <v>116360050</v>
      </c>
      <c r="W7" s="1">
        <v>217342424</v>
      </c>
      <c r="X7" s="1">
        <v>63143392</v>
      </c>
      <c r="Y7" s="1">
        <v>54800105</v>
      </c>
      <c r="Z7" s="1">
        <v>64523525</v>
      </c>
      <c r="AA7" s="313">
        <v>2812364695</v>
      </c>
    </row>
    <row r="8" spans="2:27" x14ac:dyDescent="0.25">
      <c r="B8" s="6" t="s">
        <v>377</v>
      </c>
      <c r="C8" s="1">
        <v>0</v>
      </c>
      <c r="D8" s="1">
        <v>0</v>
      </c>
      <c r="E8" s="1">
        <v>0</v>
      </c>
      <c r="F8" s="1">
        <v>0</v>
      </c>
      <c r="G8" s="1">
        <v>1332112</v>
      </c>
      <c r="H8" s="1">
        <v>12249117</v>
      </c>
      <c r="I8" s="1">
        <v>1180743</v>
      </c>
      <c r="J8" s="1">
        <v>1221918</v>
      </c>
      <c r="K8" s="1">
        <v>2487032</v>
      </c>
      <c r="L8" s="1">
        <v>2409122</v>
      </c>
      <c r="M8" s="1">
        <v>2331683</v>
      </c>
      <c r="N8" s="1">
        <v>2517494</v>
      </c>
      <c r="O8" s="1">
        <v>2429213</v>
      </c>
      <c r="P8" s="1">
        <v>2414136</v>
      </c>
      <c r="Q8" s="1">
        <v>2428445</v>
      </c>
      <c r="R8" s="1">
        <v>3006090</v>
      </c>
      <c r="S8" s="1">
        <v>2507303</v>
      </c>
      <c r="T8" s="1">
        <v>2473962</v>
      </c>
      <c r="U8" s="1">
        <v>2507384</v>
      </c>
      <c r="V8" s="1">
        <v>3019767</v>
      </c>
      <c r="W8" s="1">
        <v>1308204</v>
      </c>
      <c r="X8" s="1">
        <v>1379196</v>
      </c>
      <c r="Y8" s="1">
        <v>1414790</v>
      </c>
      <c r="Z8" s="1">
        <v>1277668</v>
      </c>
      <c r="AA8" s="313">
        <v>51895379</v>
      </c>
    </row>
    <row r="9" spans="2:27" x14ac:dyDescent="0.25">
      <c r="B9" s="6" t="s">
        <v>378</v>
      </c>
      <c r="C9" s="1">
        <v>0</v>
      </c>
      <c r="D9" s="1">
        <v>0</v>
      </c>
      <c r="E9" s="1">
        <v>0</v>
      </c>
      <c r="F9" s="1">
        <v>0</v>
      </c>
      <c r="G9" s="1">
        <v>2405865</v>
      </c>
      <c r="H9" s="1">
        <v>2689989</v>
      </c>
      <c r="I9" s="1">
        <v>1107991</v>
      </c>
      <c r="J9" s="1">
        <v>2663276</v>
      </c>
      <c r="K9" s="1">
        <v>5071342</v>
      </c>
      <c r="L9" s="1">
        <v>3760099</v>
      </c>
      <c r="M9" s="1">
        <v>4745148</v>
      </c>
      <c r="N9" s="1">
        <v>5669549</v>
      </c>
      <c r="O9" s="1">
        <v>3644673</v>
      </c>
      <c r="P9" s="1">
        <v>3495920</v>
      </c>
      <c r="Q9" s="1">
        <v>3007703</v>
      </c>
      <c r="R9" s="1">
        <v>4614470</v>
      </c>
      <c r="S9" s="1">
        <v>7006424</v>
      </c>
      <c r="T9" s="1">
        <v>6573560</v>
      </c>
      <c r="U9" s="1">
        <v>5233860</v>
      </c>
      <c r="V9" s="1">
        <v>6685723</v>
      </c>
      <c r="W9" s="1">
        <v>4985751</v>
      </c>
      <c r="X9" s="1">
        <v>5235751</v>
      </c>
      <c r="Y9" s="1">
        <v>4985751</v>
      </c>
      <c r="Z9" s="1">
        <v>4985751</v>
      </c>
      <c r="AA9" s="313">
        <v>88568596</v>
      </c>
    </row>
    <row r="10" spans="2:27" x14ac:dyDescent="0.25">
      <c r="B10" s="6" t="s">
        <v>386</v>
      </c>
      <c r="C10" s="1">
        <v>0</v>
      </c>
      <c r="D10" s="1">
        <v>0</v>
      </c>
      <c r="E10" s="1">
        <v>0</v>
      </c>
      <c r="F10" s="1">
        <v>0</v>
      </c>
      <c r="G10" s="1">
        <v>55424128</v>
      </c>
      <c r="H10" s="1">
        <v>56462565</v>
      </c>
      <c r="I10" s="1">
        <v>60581359</v>
      </c>
      <c r="J10" s="1">
        <v>58634530</v>
      </c>
      <c r="K10" s="1">
        <v>118305363</v>
      </c>
      <c r="L10" s="1">
        <v>118072653</v>
      </c>
      <c r="M10" s="1">
        <v>122709109</v>
      </c>
      <c r="N10" s="1">
        <v>123968378</v>
      </c>
      <c r="O10" s="1">
        <v>113455325</v>
      </c>
      <c r="P10" s="1">
        <v>115190861</v>
      </c>
      <c r="Q10" s="1">
        <v>124144357</v>
      </c>
      <c r="R10" s="1">
        <v>112242056</v>
      </c>
      <c r="S10" s="1">
        <v>113856966</v>
      </c>
      <c r="T10" s="1">
        <v>120565451</v>
      </c>
      <c r="U10" s="1">
        <v>117207940</v>
      </c>
      <c r="V10" s="1">
        <v>111352939</v>
      </c>
      <c r="W10" s="1">
        <v>59252202</v>
      </c>
      <c r="X10" s="1">
        <v>58957846</v>
      </c>
      <c r="Y10" s="1">
        <v>67957522</v>
      </c>
      <c r="Z10" s="1">
        <v>58697243</v>
      </c>
      <c r="AA10" s="313">
        <v>1887038793</v>
      </c>
    </row>
    <row r="11" spans="2:27" x14ac:dyDescent="0.25">
      <c r="B11" s="6" t="s">
        <v>243</v>
      </c>
      <c r="C11" s="1">
        <v>0</v>
      </c>
      <c r="D11" s="1">
        <v>0</v>
      </c>
      <c r="E11" s="1">
        <v>0</v>
      </c>
      <c r="F11" s="1">
        <v>0</v>
      </c>
      <c r="G11" s="1">
        <v>8584920</v>
      </c>
      <c r="H11" s="1">
        <v>7295848</v>
      </c>
      <c r="I11" s="1">
        <v>6511235</v>
      </c>
      <c r="J11" s="1">
        <v>7319337</v>
      </c>
      <c r="K11" s="1">
        <v>17483176</v>
      </c>
      <c r="L11" s="1">
        <v>17938532</v>
      </c>
      <c r="M11" s="1">
        <v>17921681</v>
      </c>
      <c r="N11" s="1">
        <v>20272367</v>
      </c>
      <c r="O11" s="1">
        <v>17107810</v>
      </c>
      <c r="P11" s="1">
        <v>17881084</v>
      </c>
      <c r="Q11" s="1">
        <v>20235525</v>
      </c>
      <c r="R11" s="1">
        <v>23181646</v>
      </c>
      <c r="S11" s="1">
        <v>24013480</v>
      </c>
      <c r="T11" s="1">
        <v>26239441</v>
      </c>
      <c r="U11" s="1">
        <v>27220534</v>
      </c>
      <c r="V11" s="1">
        <v>28540787</v>
      </c>
      <c r="W11" s="1">
        <v>14447624</v>
      </c>
      <c r="X11" s="1">
        <v>16101599</v>
      </c>
      <c r="Y11" s="1">
        <v>16840140</v>
      </c>
      <c r="Z11" s="1">
        <v>19095099</v>
      </c>
      <c r="AA11" s="313">
        <v>354231865</v>
      </c>
    </row>
    <row r="12" spans="2:27" x14ac:dyDescent="0.25">
      <c r="B12" s="7" t="s">
        <v>308</v>
      </c>
      <c r="C12" s="1">
        <v>0</v>
      </c>
      <c r="D12" s="1">
        <v>0</v>
      </c>
      <c r="E12" s="1">
        <v>0</v>
      </c>
      <c r="F12" s="1">
        <v>0</v>
      </c>
      <c r="G12" s="1">
        <v>8584920</v>
      </c>
      <c r="H12" s="1">
        <v>7295848</v>
      </c>
      <c r="I12" s="1">
        <v>6511235</v>
      </c>
      <c r="J12" s="1">
        <v>7319337</v>
      </c>
      <c r="K12" s="1">
        <v>17483176</v>
      </c>
      <c r="L12" s="1">
        <v>17938532</v>
      </c>
      <c r="M12" s="1">
        <v>17921681</v>
      </c>
      <c r="N12" s="1">
        <v>20272367</v>
      </c>
      <c r="O12" s="1">
        <v>17107810</v>
      </c>
      <c r="P12" s="1">
        <v>17881084</v>
      </c>
      <c r="Q12" s="1">
        <v>20235525</v>
      </c>
      <c r="R12" s="1">
        <v>23181646</v>
      </c>
      <c r="S12" s="1">
        <v>24013480</v>
      </c>
      <c r="T12" s="1">
        <v>26239441</v>
      </c>
      <c r="U12" s="1">
        <v>27220534</v>
      </c>
      <c r="V12" s="1">
        <v>28540787</v>
      </c>
      <c r="W12" s="1">
        <v>14447624</v>
      </c>
      <c r="X12" s="1">
        <v>16101599</v>
      </c>
      <c r="Y12" s="1">
        <v>16840140</v>
      </c>
      <c r="Z12" s="1">
        <v>19095099</v>
      </c>
      <c r="AA12" s="313">
        <v>354231865</v>
      </c>
    </row>
    <row r="13" spans="2:27" x14ac:dyDescent="0.25">
      <c r="B13" s="174" t="s">
        <v>1314</v>
      </c>
      <c r="C13" s="1"/>
      <c r="D13" s="1"/>
      <c r="E13" s="1"/>
      <c r="F13" s="1"/>
      <c r="G13" s="1"/>
      <c r="H13" s="1"/>
      <c r="I13" s="1"/>
      <c r="J13" s="1"/>
      <c r="K13" s="1"/>
      <c r="L13" s="1"/>
      <c r="M13" s="1"/>
      <c r="N13" s="1"/>
      <c r="O13" s="1"/>
      <c r="P13" s="1"/>
      <c r="Q13" s="1"/>
      <c r="R13" s="1"/>
      <c r="S13" s="1"/>
      <c r="T13" s="1"/>
      <c r="U13" s="1"/>
      <c r="V13" s="1"/>
      <c r="W13" s="1"/>
      <c r="X13" s="1"/>
      <c r="Y13" s="1"/>
      <c r="Z13" s="1"/>
      <c r="AA13" s="313"/>
    </row>
    <row r="14" spans="2:27" x14ac:dyDescent="0.25">
      <c r="B14" s="259" t="s">
        <v>744</v>
      </c>
      <c r="C14" s="1">
        <v>0</v>
      </c>
      <c r="D14" s="1">
        <v>0</v>
      </c>
      <c r="E14" s="1">
        <v>0</v>
      </c>
      <c r="F14" s="1">
        <v>0</v>
      </c>
      <c r="G14" s="1">
        <v>0</v>
      </c>
      <c r="H14" s="1">
        <v>0</v>
      </c>
      <c r="I14" s="1">
        <v>0</v>
      </c>
      <c r="J14" s="1"/>
      <c r="K14" s="1">
        <v>255000</v>
      </c>
      <c r="L14" s="1">
        <v>255000</v>
      </c>
      <c r="M14" s="1">
        <v>255000</v>
      </c>
      <c r="N14" s="1">
        <v>255000</v>
      </c>
      <c r="O14" s="1"/>
      <c r="P14" s="1"/>
      <c r="Q14" s="1"/>
      <c r="R14" s="1"/>
      <c r="S14" s="1"/>
      <c r="T14" s="1"/>
      <c r="U14" s="1"/>
      <c r="V14" s="1"/>
      <c r="W14" s="1"/>
      <c r="X14" s="1"/>
      <c r="Y14" s="1"/>
      <c r="Z14" s="1"/>
      <c r="AA14" s="313">
        <v>1020000</v>
      </c>
    </row>
    <row r="15" spans="2:27" x14ac:dyDescent="0.25">
      <c r="B15" s="174" t="s">
        <v>1315</v>
      </c>
      <c r="C15" s="1"/>
      <c r="D15" s="1"/>
      <c r="E15" s="1"/>
      <c r="F15" s="1"/>
      <c r="G15" s="1"/>
      <c r="H15" s="1"/>
      <c r="I15" s="1"/>
      <c r="J15" s="1"/>
      <c r="K15" s="1"/>
      <c r="L15" s="1"/>
      <c r="M15" s="1"/>
      <c r="N15" s="1"/>
      <c r="O15" s="1"/>
      <c r="P15" s="1"/>
      <c r="Q15" s="1"/>
      <c r="R15" s="1"/>
      <c r="S15" s="1"/>
      <c r="T15" s="1"/>
      <c r="U15" s="1"/>
      <c r="V15" s="1"/>
      <c r="W15" s="1"/>
      <c r="X15" s="1"/>
      <c r="Y15" s="1"/>
      <c r="Z15" s="1"/>
      <c r="AA15" s="313"/>
    </row>
    <row r="16" spans="2:27" x14ac:dyDescent="0.25">
      <c r="B16" s="259" t="s">
        <v>744</v>
      </c>
      <c r="C16" s="1">
        <v>0</v>
      </c>
      <c r="D16" s="1">
        <v>0</v>
      </c>
      <c r="E16" s="1">
        <v>0</v>
      </c>
      <c r="F16" s="1">
        <v>0</v>
      </c>
      <c r="G16" s="1">
        <v>0</v>
      </c>
      <c r="H16" s="1">
        <v>0</v>
      </c>
      <c r="I16" s="1">
        <v>0</v>
      </c>
      <c r="J16" s="1"/>
      <c r="K16" s="1">
        <v>1179000</v>
      </c>
      <c r="L16" s="1">
        <v>1179000</v>
      </c>
      <c r="M16" s="1">
        <v>1179000</v>
      </c>
      <c r="N16" s="1">
        <v>1179000</v>
      </c>
      <c r="O16" s="1"/>
      <c r="P16" s="1"/>
      <c r="Q16" s="1"/>
      <c r="R16" s="1"/>
      <c r="S16" s="1"/>
      <c r="T16" s="1"/>
      <c r="U16" s="1"/>
      <c r="V16" s="1"/>
      <c r="W16" s="1"/>
      <c r="X16" s="1"/>
      <c r="Y16" s="1"/>
      <c r="Z16" s="1"/>
      <c r="AA16" s="313">
        <v>4716000</v>
      </c>
    </row>
    <row r="17" spans="2:27" x14ac:dyDescent="0.25">
      <c r="B17" s="174" t="s">
        <v>584</v>
      </c>
      <c r="C17" s="1"/>
      <c r="D17" s="1"/>
      <c r="E17" s="1"/>
      <c r="F17" s="1"/>
      <c r="G17" s="1"/>
      <c r="H17" s="1"/>
      <c r="I17" s="1"/>
      <c r="J17" s="1"/>
      <c r="K17" s="1"/>
      <c r="L17" s="1"/>
      <c r="M17" s="1"/>
      <c r="N17" s="1"/>
      <c r="O17" s="1"/>
      <c r="P17" s="1"/>
      <c r="Q17" s="1"/>
      <c r="R17" s="1"/>
      <c r="S17" s="1"/>
      <c r="T17" s="1"/>
      <c r="U17" s="1"/>
      <c r="V17" s="1"/>
      <c r="W17" s="1"/>
      <c r="X17" s="1"/>
      <c r="Y17" s="1"/>
      <c r="Z17" s="1"/>
      <c r="AA17" s="313"/>
    </row>
    <row r="18" spans="2:27" x14ac:dyDescent="0.25">
      <c r="B18" s="259" t="s">
        <v>744</v>
      </c>
      <c r="C18" s="1"/>
      <c r="D18" s="1"/>
      <c r="E18" s="1"/>
      <c r="F18" s="1"/>
      <c r="G18" s="1">
        <v>0</v>
      </c>
      <c r="H18" s="1">
        <v>0</v>
      </c>
      <c r="I18" s="1">
        <v>0</v>
      </c>
      <c r="J18" s="1">
        <v>0</v>
      </c>
      <c r="K18" s="1">
        <v>0</v>
      </c>
      <c r="L18" s="1">
        <v>0</v>
      </c>
      <c r="M18" s="1">
        <v>0</v>
      </c>
      <c r="N18" s="1">
        <v>0</v>
      </c>
      <c r="O18" s="1">
        <v>0</v>
      </c>
      <c r="P18" s="1">
        <v>0</v>
      </c>
      <c r="Q18" s="1">
        <v>0</v>
      </c>
      <c r="R18" s="1">
        <v>0</v>
      </c>
      <c r="S18" s="1">
        <v>0</v>
      </c>
      <c r="T18" s="1">
        <v>0</v>
      </c>
      <c r="U18" s="1">
        <v>0</v>
      </c>
      <c r="V18" s="1">
        <v>0</v>
      </c>
      <c r="W18" s="1"/>
      <c r="X18" s="1"/>
      <c r="Y18" s="1"/>
      <c r="Z18" s="1"/>
      <c r="AA18" s="313">
        <v>0</v>
      </c>
    </row>
    <row r="19" spans="2:27" x14ac:dyDescent="0.25">
      <c r="B19" s="259" t="s">
        <v>583</v>
      </c>
      <c r="C19" s="1"/>
      <c r="D19" s="1"/>
      <c r="E19" s="1"/>
      <c r="F19" s="1"/>
      <c r="G19" s="1"/>
      <c r="H19" s="1"/>
      <c r="I19" s="1"/>
      <c r="J19" s="1"/>
      <c r="K19" s="1"/>
      <c r="L19" s="1"/>
      <c r="M19" s="1"/>
      <c r="N19" s="1"/>
      <c r="O19" s="1"/>
      <c r="P19" s="1"/>
      <c r="Q19" s="1"/>
      <c r="R19" s="1"/>
      <c r="S19" s="1"/>
      <c r="T19" s="1"/>
      <c r="U19" s="1"/>
      <c r="V19" s="1">
        <v>0</v>
      </c>
      <c r="W19" s="1">
        <v>0</v>
      </c>
      <c r="X19" s="1">
        <v>0</v>
      </c>
      <c r="Y19" s="1">
        <v>0</v>
      </c>
      <c r="Z19" s="1">
        <v>0</v>
      </c>
      <c r="AA19" s="313">
        <v>0</v>
      </c>
    </row>
    <row r="20" spans="2:27" x14ac:dyDescent="0.25">
      <c r="B20" s="174" t="s">
        <v>237</v>
      </c>
      <c r="C20" s="1"/>
      <c r="D20" s="1"/>
      <c r="E20" s="1"/>
      <c r="F20" s="1"/>
      <c r="G20" s="1"/>
      <c r="H20" s="1"/>
      <c r="I20" s="1"/>
      <c r="J20" s="1"/>
      <c r="K20" s="1"/>
      <c r="L20" s="1"/>
      <c r="M20" s="1"/>
      <c r="N20" s="1"/>
      <c r="O20" s="1"/>
      <c r="P20" s="1"/>
      <c r="Q20" s="1"/>
      <c r="R20" s="1"/>
      <c r="S20" s="1"/>
      <c r="T20" s="1"/>
      <c r="U20" s="1"/>
      <c r="V20" s="1"/>
      <c r="W20" s="1"/>
      <c r="X20" s="1"/>
      <c r="Y20" s="1"/>
      <c r="Z20" s="1"/>
      <c r="AA20" s="313"/>
    </row>
    <row r="21" spans="2:27" x14ac:dyDescent="0.25">
      <c r="B21" s="259" t="s">
        <v>744</v>
      </c>
      <c r="C21" s="1">
        <v>0</v>
      </c>
      <c r="D21" s="1">
        <v>0</v>
      </c>
      <c r="E21" s="1">
        <v>0</v>
      </c>
      <c r="F21" s="1">
        <v>0</v>
      </c>
      <c r="G21" s="1">
        <v>2485227</v>
      </c>
      <c r="H21" s="1">
        <v>2273533</v>
      </c>
      <c r="I21" s="1">
        <v>1622546</v>
      </c>
      <c r="J21" s="1">
        <v>2270255</v>
      </c>
      <c r="K21" s="1">
        <v>5012770</v>
      </c>
      <c r="L21" s="1">
        <v>5212928</v>
      </c>
      <c r="M21" s="1">
        <v>4895661</v>
      </c>
      <c r="N21" s="1">
        <v>5973294</v>
      </c>
      <c r="O21" s="1">
        <v>3285306</v>
      </c>
      <c r="P21" s="1">
        <v>3988112</v>
      </c>
      <c r="Q21" s="1">
        <v>5110441</v>
      </c>
      <c r="R21" s="1">
        <v>7515917</v>
      </c>
      <c r="S21" s="1">
        <v>8190195</v>
      </c>
      <c r="T21" s="1">
        <v>8524231</v>
      </c>
      <c r="U21" s="1">
        <v>8707295</v>
      </c>
      <c r="V21" s="1">
        <v>6284175</v>
      </c>
      <c r="W21" s="1"/>
      <c r="X21" s="1"/>
      <c r="Y21" s="1"/>
      <c r="Z21" s="1"/>
      <c r="AA21" s="313">
        <v>81351886</v>
      </c>
    </row>
    <row r="22" spans="2:27" x14ac:dyDescent="0.25">
      <c r="B22" s="259" t="s">
        <v>507</v>
      </c>
      <c r="C22" s="1"/>
      <c r="D22" s="1"/>
      <c r="E22" s="1"/>
      <c r="F22" s="1"/>
      <c r="G22" s="1"/>
      <c r="H22" s="1"/>
      <c r="I22" s="1"/>
      <c r="J22" s="1"/>
      <c r="K22" s="1"/>
      <c r="L22" s="1"/>
      <c r="M22" s="1"/>
      <c r="N22" s="1"/>
      <c r="O22" s="1"/>
      <c r="P22" s="1"/>
      <c r="Q22" s="1"/>
      <c r="R22" s="1"/>
      <c r="S22" s="1"/>
      <c r="T22" s="1"/>
      <c r="U22" s="1"/>
      <c r="V22" s="1">
        <v>3153902</v>
      </c>
      <c r="W22" s="1">
        <v>4730853</v>
      </c>
      <c r="X22" s="1">
        <v>4730853</v>
      </c>
      <c r="Y22" s="1">
        <v>4730853</v>
      </c>
      <c r="Z22" s="1">
        <v>4730853</v>
      </c>
      <c r="AA22" s="313">
        <v>22077314</v>
      </c>
    </row>
    <row r="23" spans="2:27" x14ac:dyDescent="0.25">
      <c r="B23" s="259" t="s">
        <v>1282</v>
      </c>
      <c r="C23" s="1"/>
      <c r="D23" s="1"/>
      <c r="E23" s="1"/>
      <c r="F23" s="1"/>
      <c r="G23" s="1"/>
      <c r="H23" s="1"/>
      <c r="I23" s="1"/>
      <c r="J23" s="1"/>
      <c r="K23" s="1"/>
      <c r="L23" s="1"/>
      <c r="M23" s="1"/>
      <c r="N23" s="1"/>
      <c r="O23" s="1"/>
      <c r="P23" s="1"/>
      <c r="Q23" s="1"/>
      <c r="R23" s="1"/>
      <c r="S23" s="1"/>
      <c r="T23" s="1"/>
      <c r="U23" s="1"/>
      <c r="V23" s="1"/>
      <c r="W23" s="1"/>
      <c r="X23" s="1"/>
      <c r="Y23" s="1">
        <v>175000</v>
      </c>
      <c r="Z23" s="1">
        <v>525000</v>
      </c>
      <c r="AA23" s="313">
        <v>700000</v>
      </c>
    </row>
    <row r="24" spans="2:27" x14ac:dyDescent="0.25">
      <c r="B24" s="259" t="s">
        <v>1305</v>
      </c>
      <c r="C24" s="1"/>
      <c r="D24" s="1"/>
      <c r="E24" s="1"/>
      <c r="F24" s="1"/>
      <c r="G24" s="1"/>
      <c r="H24" s="1"/>
      <c r="I24" s="1"/>
      <c r="J24" s="1"/>
      <c r="K24" s="1"/>
      <c r="L24" s="1"/>
      <c r="M24" s="1"/>
      <c r="N24" s="1"/>
      <c r="O24" s="1"/>
      <c r="P24" s="1"/>
      <c r="Q24" s="1"/>
      <c r="R24" s="1"/>
      <c r="S24" s="1"/>
      <c r="T24" s="1"/>
      <c r="U24" s="1"/>
      <c r="V24" s="1"/>
      <c r="W24" s="1"/>
      <c r="X24" s="1"/>
      <c r="Y24" s="1"/>
      <c r="Z24" s="1">
        <v>250000</v>
      </c>
      <c r="AA24" s="313">
        <v>250000</v>
      </c>
    </row>
    <row r="25" spans="2:27" x14ac:dyDescent="0.25">
      <c r="B25" s="259" t="s">
        <v>1265</v>
      </c>
      <c r="C25" s="1"/>
      <c r="D25" s="1"/>
      <c r="E25" s="1"/>
      <c r="F25" s="1"/>
      <c r="G25" s="1"/>
      <c r="H25" s="1"/>
      <c r="I25" s="1"/>
      <c r="J25" s="1"/>
      <c r="K25" s="1"/>
      <c r="L25" s="1"/>
      <c r="M25" s="1"/>
      <c r="N25" s="1"/>
      <c r="O25" s="1"/>
      <c r="P25" s="1"/>
      <c r="Q25" s="1"/>
      <c r="R25" s="1"/>
      <c r="S25" s="1"/>
      <c r="T25" s="1"/>
      <c r="U25" s="1"/>
      <c r="V25" s="1"/>
      <c r="W25" s="1"/>
      <c r="X25" s="1"/>
      <c r="Y25" s="1"/>
      <c r="Z25" s="1">
        <v>33186</v>
      </c>
      <c r="AA25" s="313">
        <v>33186</v>
      </c>
    </row>
    <row r="26" spans="2:27" x14ac:dyDescent="0.25">
      <c r="B26" s="259" t="s">
        <v>1092</v>
      </c>
      <c r="C26" s="1"/>
      <c r="D26" s="1"/>
      <c r="E26" s="1"/>
      <c r="F26" s="1"/>
      <c r="G26" s="1"/>
      <c r="H26" s="1"/>
      <c r="I26" s="1"/>
      <c r="J26" s="1"/>
      <c r="K26" s="1"/>
      <c r="L26" s="1"/>
      <c r="M26" s="1"/>
      <c r="N26" s="1"/>
      <c r="O26" s="1"/>
      <c r="P26" s="1"/>
      <c r="Q26" s="1"/>
      <c r="R26" s="1"/>
      <c r="S26" s="1"/>
      <c r="T26" s="1"/>
      <c r="U26" s="1"/>
      <c r="V26" s="1"/>
      <c r="W26" s="1"/>
      <c r="X26" s="1">
        <v>52500</v>
      </c>
      <c r="Y26" s="1">
        <v>78750</v>
      </c>
      <c r="Z26" s="1">
        <v>78750</v>
      </c>
      <c r="AA26" s="313">
        <v>210000</v>
      </c>
    </row>
    <row r="27" spans="2:27" x14ac:dyDescent="0.25">
      <c r="B27" s="259" t="s">
        <v>1109</v>
      </c>
      <c r="C27" s="1"/>
      <c r="D27" s="1"/>
      <c r="E27" s="1"/>
      <c r="F27" s="1"/>
      <c r="G27" s="1"/>
      <c r="H27" s="1"/>
      <c r="I27" s="1"/>
      <c r="J27" s="1"/>
      <c r="K27" s="1"/>
      <c r="L27" s="1"/>
      <c r="M27" s="1"/>
      <c r="N27" s="1"/>
      <c r="O27" s="1"/>
      <c r="P27" s="1"/>
      <c r="Q27" s="1"/>
      <c r="R27" s="1"/>
      <c r="S27" s="1"/>
      <c r="T27" s="1"/>
      <c r="U27" s="1"/>
      <c r="V27" s="1"/>
      <c r="W27" s="1">
        <v>380625</v>
      </c>
      <c r="X27" s="1">
        <v>380625</v>
      </c>
      <c r="Y27" s="1">
        <v>380625</v>
      </c>
      <c r="Z27" s="1">
        <v>380625</v>
      </c>
      <c r="AA27" s="313">
        <v>1522500</v>
      </c>
    </row>
    <row r="28" spans="2:27" x14ac:dyDescent="0.25">
      <c r="B28" s="259" t="s">
        <v>1070</v>
      </c>
      <c r="C28" s="1"/>
      <c r="D28" s="1"/>
      <c r="E28" s="1"/>
      <c r="F28" s="1"/>
      <c r="G28" s="1"/>
      <c r="H28" s="1"/>
      <c r="I28" s="1"/>
      <c r="J28" s="1"/>
      <c r="K28" s="1"/>
      <c r="L28" s="1"/>
      <c r="M28" s="1"/>
      <c r="N28" s="1"/>
      <c r="O28" s="1"/>
      <c r="P28" s="1"/>
      <c r="Q28" s="1"/>
      <c r="R28" s="1"/>
      <c r="S28" s="1"/>
      <c r="T28" s="1"/>
      <c r="U28" s="1"/>
      <c r="V28" s="1"/>
      <c r="W28" s="1"/>
      <c r="X28" s="1">
        <v>703827</v>
      </c>
      <c r="Y28" s="1">
        <v>703827</v>
      </c>
      <c r="Z28" s="1">
        <v>703827</v>
      </c>
      <c r="AA28" s="313">
        <v>2111481</v>
      </c>
    </row>
    <row r="29" spans="2:27" x14ac:dyDescent="0.25">
      <c r="B29" s="259" t="s">
        <v>1306</v>
      </c>
      <c r="C29" s="1"/>
      <c r="D29" s="1"/>
      <c r="E29" s="1"/>
      <c r="F29" s="1"/>
      <c r="G29" s="1"/>
      <c r="H29" s="1"/>
      <c r="I29" s="1"/>
      <c r="J29" s="1"/>
      <c r="K29" s="1"/>
      <c r="L29" s="1"/>
      <c r="M29" s="1"/>
      <c r="N29" s="1"/>
      <c r="O29" s="1"/>
      <c r="P29" s="1"/>
      <c r="Q29" s="1"/>
      <c r="R29" s="1"/>
      <c r="S29" s="1"/>
      <c r="T29" s="1"/>
      <c r="U29" s="1"/>
      <c r="V29" s="1"/>
      <c r="W29" s="1"/>
      <c r="X29" s="1"/>
      <c r="Y29" s="1"/>
      <c r="Z29" s="1">
        <v>52083</v>
      </c>
      <c r="AA29" s="313">
        <v>52083</v>
      </c>
    </row>
    <row r="30" spans="2:27" x14ac:dyDescent="0.25">
      <c r="B30" s="259" t="s">
        <v>1071</v>
      </c>
      <c r="C30" s="1"/>
      <c r="D30" s="1"/>
      <c r="E30" s="1"/>
      <c r="F30" s="1"/>
      <c r="G30" s="1"/>
      <c r="H30" s="1"/>
      <c r="I30" s="1"/>
      <c r="J30" s="1"/>
      <c r="K30" s="1"/>
      <c r="L30" s="1"/>
      <c r="M30" s="1"/>
      <c r="N30" s="1"/>
      <c r="O30" s="1"/>
      <c r="P30" s="1"/>
      <c r="Q30" s="1"/>
      <c r="R30" s="1"/>
      <c r="S30" s="1"/>
      <c r="T30" s="1"/>
      <c r="U30" s="1"/>
      <c r="V30" s="1"/>
      <c r="W30" s="1"/>
      <c r="X30" s="1"/>
      <c r="Y30" s="1">
        <v>39375</v>
      </c>
      <c r="Z30" s="1">
        <v>118125</v>
      </c>
      <c r="AA30" s="313">
        <v>157500</v>
      </c>
    </row>
    <row r="31" spans="2:27" x14ac:dyDescent="0.25">
      <c r="B31" s="259" t="s">
        <v>1074</v>
      </c>
      <c r="C31" s="1"/>
      <c r="D31" s="1"/>
      <c r="E31" s="1"/>
      <c r="F31" s="1"/>
      <c r="G31" s="1"/>
      <c r="H31" s="1"/>
      <c r="I31" s="1"/>
      <c r="J31" s="1"/>
      <c r="K31" s="1"/>
      <c r="L31" s="1"/>
      <c r="M31" s="1"/>
      <c r="N31" s="1"/>
      <c r="O31" s="1"/>
      <c r="P31" s="1"/>
      <c r="Q31" s="1"/>
      <c r="R31" s="1"/>
      <c r="S31" s="1"/>
      <c r="T31" s="1"/>
      <c r="U31" s="1"/>
      <c r="V31" s="1"/>
      <c r="W31" s="1"/>
      <c r="X31" s="1">
        <v>88500</v>
      </c>
      <c r="Y31" s="1">
        <v>88500</v>
      </c>
      <c r="Z31" s="1">
        <v>88500</v>
      </c>
      <c r="AA31" s="313">
        <v>265500</v>
      </c>
    </row>
    <row r="32" spans="2:27" x14ac:dyDescent="0.25">
      <c r="B32" s="259" t="s">
        <v>1067</v>
      </c>
      <c r="C32" s="1"/>
      <c r="D32" s="1"/>
      <c r="E32" s="1"/>
      <c r="F32" s="1"/>
      <c r="G32" s="1"/>
      <c r="H32" s="1"/>
      <c r="I32" s="1"/>
      <c r="J32" s="1"/>
      <c r="K32" s="1"/>
      <c r="L32" s="1"/>
      <c r="M32" s="1"/>
      <c r="N32" s="1"/>
      <c r="O32" s="1"/>
      <c r="P32" s="1"/>
      <c r="Q32" s="1"/>
      <c r="R32" s="1"/>
      <c r="S32" s="1"/>
      <c r="T32" s="1"/>
      <c r="U32" s="1"/>
      <c r="V32" s="1"/>
      <c r="W32" s="1"/>
      <c r="X32" s="1"/>
      <c r="Y32" s="1"/>
      <c r="Z32" s="1">
        <v>341253</v>
      </c>
      <c r="AA32" s="313">
        <v>341253</v>
      </c>
    </row>
    <row r="33" spans="2:27" x14ac:dyDescent="0.25">
      <c r="B33" s="259" t="s">
        <v>1076</v>
      </c>
      <c r="C33" s="1"/>
      <c r="D33" s="1"/>
      <c r="E33" s="1"/>
      <c r="F33" s="1"/>
      <c r="G33" s="1"/>
      <c r="H33" s="1"/>
      <c r="I33" s="1"/>
      <c r="J33" s="1"/>
      <c r="K33" s="1"/>
      <c r="L33" s="1"/>
      <c r="M33" s="1"/>
      <c r="N33" s="1"/>
      <c r="O33" s="1"/>
      <c r="P33" s="1"/>
      <c r="Q33" s="1"/>
      <c r="R33" s="1"/>
      <c r="S33" s="1"/>
      <c r="T33" s="1"/>
      <c r="U33" s="1"/>
      <c r="V33" s="1"/>
      <c r="W33" s="1"/>
      <c r="X33" s="1"/>
      <c r="Y33" s="1"/>
      <c r="Z33" s="1">
        <v>375000</v>
      </c>
      <c r="AA33" s="313">
        <v>375000</v>
      </c>
    </row>
    <row r="34" spans="2:27" x14ac:dyDescent="0.25">
      <c r="B34" s="174" t="s">
        <v>391</v>
      </c>
      <c r="C34" s="1"/>
      <c r="D34" s="1"/>
      <c r="E34" s="1"/>
      <c r="F34" s="1"/>
      <c r="G34" s="1"/>
      <c r="H34" s="1"/>
      <c r="I34" s="1"/>
      <c r="J34" s="1"/>
      <c r="K34" s="1"/>
      <c r="L34" s="1"/>
      <c r="M34" s="1"/>
      <c r="N34" s="1"/>
      <c r="O34" s="1"/>
      <c r="P34" s="1"/>
      <c r="Q34" s="1"/>
      <c r="R34" s="1"/>
      <c r="S34" s="1"/>
      <c r="T34" s="1"/>
      <c r="U34" s="1"/>
      <c r="V34" s="1"/>
      <c r="W34" s="1"/>
      <c r="X34" s="1"/>
      <c r="Y34" s="1"/>
      <c r="Z34" s="1"/>
      <c r="AA34" s="313"/>
    </row>
    <row r="35" spans="2:27" x14ac:dyDescent="0.25">
      <c r="B35" s="259" t="s">
        <v>744</v>
      </c>
      <c r="C35" s="1">
        <v>0</v>
      </c>
      <c r="D35" s="1">
        <v>0</v>
      </c>
      <c r="E35" s="1">
        <v>0</v>
      </c>
      <c r="F35" s="1">
        <v>0</v>
      </c>
      <c r="G35" s="1">
        <v>71718</v>
      </c>
      <c r="H35" s="1">
        <v>71718</v>
      </c>
      <c r="I35" s="1">
        <v>71718</v>
      </c>
      <c r="J35" s="1">
        <v>71718</v>
      </c>
      <c r="K35" s="1">
        <v>143718</v>
      </c>
      <c r="L35" s="1">
        <v>143718</v>
      </c>
      <c r="M35" s="1">
        <v>143718</v>
      </c>
      <c r="N35" s="1">
        <v>143718</v>
      </c>
      <c r="O35" s="1">
        <v>143436</v>
      </c>
      <c r="P35" s="1">
        <v>185052</v>
      </c>
      <c r="Q35" s="1">
        <v>371198</v>
      </c>
      <c r="R35" s="1">
        <v>654990</v>
      </c>
      <c r="S35" s="1">
        <v>182426</v>
      </c>
      <c r="T35" s="1">
        <v>300417</v>
      </c>
      <c r="U35" s="1">
        <v>530813</v>
      </c>
      <c r="V35" s="1">
        <v>753799</v>
      </c>
      <c r="W35" s="1"/>
      <c r="X35" s="1"/>
      <c r="Y35" s="1"/>
      <c r="Z35" s="1"/>
      <c r="AA35" s="313">
        <v>3983875</v>
      </c>
    </row>
    <row r="36" spans="2:27" x14ac:dyDescent="0.25">
      <c r="B36" s="259" t="s">
        <v>508</v>
      </c>
      <c r="C36" s="1"/>
      <c r="D36" s="1"/>
      <c r="E36" s="1"/>
      <c r="F36" s="1"/>
      <c r="G36" s="1"/>
      <c r="H36" s="1"/>
      <c r="I36" s="1"/>
      <c r="J36" s="1"/>
      <c r="K36" s="1"/>
      <c r="L36" s="1"/>
      <c r="M36" s="1"/>
      <c r="N36" s="1"/>
      <c r="O36" s="1"/>
      <c r="P36" s="1"/>
      <c r="Q36" s="1"/>
      <c r="R36" s="1"/>
      <c r="S36" s="1"/>
      <c r="T36" s="1"/>
      <c r="U36" s="1"/>
      <c r="V36" s="1">
        <v>60806</v>
      </c>
      <c r="W36" s="1">
        <v>91209</v>
      </c>
      <c r="X36" s="1">
        <v>91209</v>
      </c>
      <c r="Y36" s="1">
        <v>91209</v>
      </c>
      <c r="Z36" s="1">
        <v>91209</v>
      </c>
      <c r="AA36" s="313">
        <v>425642</v>
      </c>
    </row>
    <row r="37" spans="2:27" x14ac:dyDescent="0.25">
      <c r="B37" s="174" t="s">
        <v>550</v>
      </c>
      <c r="C37" s="1"/>
      <c r="D37" s="1"/>
      <c r="E37" s="1"/>
      <c r="F37" s="1"/>
      <c r="G37" s="1"/>
      <c r="H37" s="1"/>
      <c r="I37" s="1"/>
      <c r="J37" s="1"/>
      <c r="K37" s="1"/>
      <c r="L37" s="1"/>
      <c r="M37" s="1"/>
      <c r="N37" s="1"/>
      <c r="O37" s="1"/>
      <c r="P37" s="1"/>
      <c r="Q37" s="1"/>
      <c r="R37" s="1"/>
      <c r="S37" s="1"/>
      <c r="T37" s="1"/>
      <c r="U37" s="1"/>
      <c r="V37" s="1"/>
      <c r="W37" s="1"/>
      <c r="X37" s="1"/>
      <c r="Y37" s="1"/>
      <c r="Z37" s="1"/>
      <c r="AA37" s="313"/>
    </row>
    <row r="38" spans="2:27" x14ac:dyDescent="0.25">
      <c r="B38" s="259" t="s">
        <v>744</v>
      </c>
      <c r="C38" s="1"/>
      <c r="D38" s="1"/>
      <c r="E38" s="1"/>
      <c r="F38" s="1"/>
      <c r="G38" s="1">
        <v>254913</v>
      </c>
      <c r="H38" s="1">
        <v>254913</v>
      </c>
      <c r="I38" s="1">
        <v>254913</v>
      </c>
      <c r="J38" s="1">
        <v>254913</v>
      </c>
      <c r="K38" s="1">
        <v>254913</v>
      </c>
      <c r="L38" s="1">
        <v>254913</v>
      </c>
      <c r="M38" s="1">
        <v>254913</v>
      </c>
      <c r="N38" s="1">
        <v>254913</v>
      </c>
      <c r="O38" s="1">
        <v>509826</v>
      </c>
      <c r="P38" s="1">
        <v>509826</v>
      </c>
      <c r="Q38" s="1">
        <v>509826</v>
      </c>
      <c r="R38" s="1">
        <v>518160</v>
      </c>
      <c r="S38" s="1">
        <v>510758</v>
      </c>
      <c r="T38" s="1">
        <v>522327</v>
      </c>
      <c r="U38" s="1">
        <v>522327</v>
      </c>
      <c r="V38" s="1">
        <v>352385</v>
      </c>
      <c r="W38" s="1"/>
      <c r="X38" s="1"/>
      <c r="Y38" s="1"/>
      <c r="Z38" s="1"/>
      <c r="AA38" s="313">
        <v>5994739</v>
      </c>
    </row>
    <row r="39" spans="2:27" x14ac:dyDescent="0.25">
      <c r="B39" s="259" t="s">
        <v>551</v>
      </c>
      <c r="C39" s="1"/>
      <c r="D39" s="1"/>
      <c r="E39" s="1"/>
      <c r="F39" s="1"/>
      <c r="G39" s="1"/>
      <c r="H39" s="1"/>
      <c r="I39" s="1"/>
      <c r="J39" s="1"/>
      <c r="K39" s="1"/>
      <c r="L39" s="1"/>
      <c r="M39" s="1"/>
      <c r="N39" s="1"/>
      <c r="O39" s="1"/>
      <c r="P39" s="1"/>
      <c r="Q39" s="1"/>
      <c r="R39" s="1"/>
      <c r="S39" s="1"/>
      <c r="T39" s="1"/>
      <c r="U39" s="1"/>
      <c r="V39" s="1">
        <v>169942</v>
      </c>
      <c r="W39" s="1">
        <v>254913</v>
      </c>
      <c r="X39" s="1">
        <v>254913</v>
      </c>
      <c r="Y39" s="1">
        <v>254913</v>
      </c>
      <c r="Z39" s="1">
        <v>254913</v>
      </c>
      <c r="AA39" s="313">
        <v>1189594</v>
      </c>
    </row>
    <row r="40" spans="2:27" x14ac:dyDescent="0.25">
      <c r="B40" s="259" t="s">
        <v>1316</v>
      </c>
      <c r="C40" s="1"/>
      <c r="D40" s="1"/>
      <c r="E40" s="1"/>
      <c r="F40" s="1"/>
      <c r="G40" s="1"/>
      <c r="H40" s="1"/>
      <c r="I40" s="1"/>
      <c r="J40" s="1"/>
      <c r="K40" s="1"/>
      <c r="L40" s="1"/>
      <c r="M40" s="1"/>
      <c r="N40" s="1"/>
      <c r="O40" s="1"/>
      <c r="P40" s="1"/>
      <c r="Q40" s="1"/>
      <c r="R40" s="1"/>
      <c r="S40" s="1"/>
      <c r="T40" s="1"/>
      <c r="U40" s="1"/>
      <c r="V40" s="1"/>
      <c r="W40" s="1">
        <v>4167</v>
      </c>
      <c r="X40" s="1">
        <v>12501</v>
      </c>
      <c r="Y40" s="1">
        <v>12501</v>
      </c>
      <c r="Z40" s="1">
        <v>12501</v>
      </c>
      <c r="AA40" s="313">
        <v>41670</v>
      </c>
    </row>
    <row r="41" spans="2:27" x14ac:dyDescent="0.25">
      <c r="B41" s="174" t="s">
        <v>552</v>
      </c>
      <c r="C41" s="1"/>
      <c r="D41" s="1"/>
      <c r="E41" s="1"/>
      <c r="F41" s="1"/>
      <c r="G41" s="1"/>
      <c r="H41" s="1"/>
      <c r="I41" s="1"/>
      <c r="J41" s="1"/>
      <c r="K41" s="1"/>
      <c r="L41" s="1"/>
      <c r="M41" s="1"/>
      <c r="N41" s="1"/>
      <c r="O41" s="1"/>
      <c r="P41" s="1"/>
      <c r="Q41" s="1"/>
      <c r="R41" s="1"/>
      <c r="S41" s="1"/>
      <c r="T41" s="1"/>
      <c r="U41" s="1"/>
      <c r="V41" s="1"/>
      <c r="W41" s="1"/>
      <c r="X41" s="1"/>
      <c r="Y41" s="1"/>
      <c r="Z41" s="1"/>
      <c r="AA41" s="313"/>
    </row>
    <row r="42" spans="2:27" x14ac:dyDescent="0.25">
      <c r="B42" s="259" t="s">
        <v>744</v>
      </c>
      <c r="C42" s="1"/>
      <c r="D42" s="1"/>
      <c r="E42" s="1"/>
      <c r="F42" s="1"/>
      <c r="G42" s="1">
        <v>1178943</v>
      </c>
      <c r="H42" s="1">
        <v>1178943</v>
      </c>
      <c r="I42" s="1">
        <v>1178943</v>
      </c>
      <c r="J42" s="1">
        <v>1178943</v>
      </c>
      <c r="K42" s="1">
        <v>1178943</v>
      </c>
      <c r="L42" s="1">
        <v>1178943</v>
      </c>
      <c r="M42" s="1">
        <v>1178943</v>
      </c>
      <c r="N42" s="1">
        <v>1178943</v>
      </c>
      <c r="O42" s="1">
        <v>2357886</v>
      </c>
      <c r="P42" s="1">
        <v>2357886</v>
      </c>
      <c r="Q42" s="1">
        <v>2357886</v>
      </c>
      <c r="R42" s="1">
        <v>2357886</v>
      </c>
      <c r="S42" s="1">
        <v>2376442</v>
      </c>
      <c r="T42" s="1">
        <v>2357886</v>
      </c>
      <c r="U42" s="1">
        <v>2357886</v>
      </c>
      <c r="V42" s="1">
        <v>1571924</v>
      </c>
      <c r="W42" s="1"/>
      <c r="X42" s="1"/>
      <c r="Y42" s="1"/>
      <c r="Z42" s="1"/>
      <c r="AA42" s="313">
        <v>27527226</v>
      </c>
    </row>
    <row r="43" spans="2:27" x14ac:dyDescent="0.25">
      <c r="B43" s="259" t="s">
        <v>582</v>
      </c>
      <c r="C43" s="1"/>
      <c r="D43" s="1"/>
      <c r="E43" s="1"/>
      <c r="F43" s="1"/>
      <c r="G43" s="1"/>
      <c r="H43" s="1"/>
      <c r="I43" s="1"/>
      <c r="J43" s="1"/>
      <c r="K43" s="1"/>
      <c r="L43" s="1"/>
      <c r="M43" s="1"/>
      <c r="N43" s="1"/>
      <c r="O43" s="1"/>
      <c r="P43" s="1"/>
      <c r="Q43" s="1"/>
      <c r="R43" s="1"/>
      <c r="S43" s="1"/>
      <c r="T43" s="1"/>
      <c r="U43" s="1"/>
      <c r="V43" s="1">
        <v>785962</v>
      </c>
      <c r="W43" s="1">
        <v>1178943</v>
      </c>
      <c r="X43" s="1">
        <v>1178943</v>
      </c>
      <c r="Y43" s="1">
        <v>1178943</v>
      </c>
      <c r="Z43" s="1">
        <v>1178943</v>
      </c>
      <c r="AA43" s="313">
        <v>5501734</v>
      </c>
    </row>
    <row r="44" spans="2:27" x14ac:dyDescent="0.25">
      <c r="B44" s="174" t="s">
        <v>392</v>
      </c>
      <c r="C44" s="1"/>
      <c r="D44" s="1"/>
      <c r="E44" s="1"/>
      <c r="F44" s="1"/>
      <c r="G44" s="1"/>
      <c r="H44" s="1"/>
      <c r="I44" s="1"/>
      <c r="J44" s="1"/>
      <c r="K44" s="1"/>
      <c r="L44" s="1"/>
      <c r="M44" s="1"/>
      <c r="N44" s="1"/>
      <c r="O44" s="1"/>
      <c r="P44" s="1"/>
      <c r="Q44" s="1"/>
      <c r="R44" s="1"/>
      <c r="S44" s="1"/>
      <c r="T44" s="1"/>
      <c r="U44" s="1"/>
      <c r="V44" s="1"/>
      <c r="W44" s="1"/>
      <c r="X44" s="1"/>
      <c r="Y44" s="1"/>
      <c r="Z44" s="1"/>
      <c r="AA44" s="313"/>
    </row>
    <row r="45" spans="2:27" x14ac:dyDescent="0.25">
      <c r="B45" s="259" t="s">
        <v>744</v>
      </c>
      <c r="C45" s="1">
        <v>0</v>
      </c>
      <c r="D45" s="1">
        <v>0</v>
      </c>
      <c r="E45" s="1">
        <v>0</v>
      </c>
      <c r="F45" s="1">
        <v>0</v>
      </c>
      <c r="G45" s="1">
        <v>748404</v>
      </c>
      <c r="H45" s="1">
        <v>736471</v>
      </c>
      <c r="I45" s="1">
        <v>582633</v>
      </c>
      <c r="J45" s="1">
        <v>521568</v>
      </c>
      <c r="K45" s="1">
        <v>1103568</v>
      </c>
      <c r="L45" s="1">
        <v>1103568</v>
      </c>
      <c r="M45" s="1">
        <v>1103568</v>
      </c>
      <c r="N45" s="1">
        <v>1247798</v>
      </c>
      <c r="O45" s="1">
        <v>1043136</v>
      </c>
      <c r="P45" s="1">
        <v>1043136</v>
      </c>
      <c r="Q45" s="1">
        <v>1043136</v>
      </c>
      <c r="R45" s="1">
        <v>1043136</v>
      </c>
      <c r="S45" s="1">
        <v>898847</v>
      </c>
      <c r="T45" s="1">
        <v>1043136</v>
      </c>
      <c r="U45" s="1">
        <v>1043136</v>
      </c>
      <c r="V45" s="1">
        <v>695424</v>
      </c>
      <c r="W45" s="1"/>
      <c r="X45" s="1"/>
      <c r="Y45" s="1"/>
      <c r="Z45" s="1"/>
      <c r="AA45" s="313">
        <v>15000665</v>
      </c>
    </row>
    <row r="46" spans="2:27" x14ac:dyDescent="0.25">
      <c r="B46" s="259" t="s">
        <v>577</v>
      </c>
      <c r="C46" s="1"/>
      <c r="D46" s="1"/>
      <c r="E46" s="1"/>
      <c r="F46" s="1"/>
      <c r="G46" s="1"/>
      <c r="H46" s="1"/>
      <c r="I46" s="1"/>
      <c r="J46" s="1"/>
      <c r="K46" s="1"/>
      <c r="L46" s="1"/>
      <c r="M46" s="1"/>
      <c r="N46" s="1"/>
      <c r="O46" s="1"/>
      <c r="P46" s="1"/>
      <c r="Q46" s="1"/>
      <c r="R46" s="1"/>
      <c r="S46" s="1"/>
      <c r="T46" s="1"/>
      <c r="U46" s="1"/>
      <c r="V46" s="1">
        <v>347712</v>
      </c>
      <c r="W46" s="1">
        <v>521568</v>
      </c>
      <c r="X46" s="1">
        <v>521568</v>
      </c>
      <c r="Y46" s="1">
        <v>521568</v>
      </c>
      <c r="Z46" s="1">
        <v>521568</v>
      </c>
      <c r="AA46" s="313">
        <v>2433984</v>
      </c>
    </row>
    <row r="47" spans="2:27" x14ac:dyDescent="0.25">
      <c r="B47" s="174" t="s">
        <v>393</v>
      </c>
      <c r="C47" s="1"/>
      <c r="D47" s="1"/>
      <c r="E47" s="1"/>
      <c r="F47" s="1"/>
      <c r="G47" s="1"/>
      <c r="H47" s="1"/>
      <c r="I47" s="1"/>
      <c r="J47" s="1"/>
      <c r="K47" s="1"/>
      <c r="L47" s="1"/>
      <c r="M47" s="1"/>
      <c r="N47" s="1"/>
      <c r="O47" s="1"/>
      <c r="P47" s="1"/>
      <c r="Q47" s="1"/>
      <c r="R47" s="1"/>
      <c r="S47" s="1"/>
      <c r="T47" s="1"/>
      <c r="U47" s="1"/>
      <c r="V47" s="1"/>
      <c r="W47" s="1"/>
      <c r="X47" s="1"/>
      <c r="Y47" s="1"/>
      <c r="Z47" s="1"/>
      <c r="AA47" s="313"/>
    </row>
    <row r="48" spans="2:27" x14ac:dyDescent="0.25">
      <c r="B48" s="259" t="s">
        <v>744</v>
      </c>
      <c r="C48" s="1">
        <v>0</v>
      </c>
      <c r="D48" s="1">
        <v>0</v>
      </c>
      <c r="E48" s="1">
        <v>0</v>
      </c>
      <c r="F48" s="1">
        <v>0</v>
      </c>
      <c r="G48" s="1">
        <v>30975</v>
      </c>
      <c r="H48" s="1">
        <v>30975</v>
      </c>
      <c r="I48" s="1">
        <v>30975</v>
      </c>
      <c r="J48" s="1">
        <v>30975</v>
      </c>
      <c r="K48" s="1">
        <v>62475</v>
      </c>
      <c r="L48" s="1">
        <v>62475</v>
      </c>
      <c r="M48" s="1">
        <v>62475</v>
      </c>
      <c r="N48" s="1">
        <v>272271</v>
      </c>
      <c r="O48" s="1">
        <v>418386</v>
      </c>
      <c r="P48" s="1">
        <v>418386</v>
      </c>
      <c r="Q48" s="1">
        <v>432484</v>
      </c>
      <c r="R48" s="1">
        <v>470329</v>
      </c>
      <c r="S48" s="1">
        <v>751805</v>
      </c>
      <c r="T48" s="1">
        <v>860373</v>
      </c>
      <c r="U48" s="1">
        <v>860373</v>
      </c>
      <c r="V48" s="1">
        <v>574915</v>
      </c>
      <c r="W48" s="1"/>
      <c r="X48" s="1"/>
      <c r="Y48" s="1"/>
      <c r="Z48" s="1"/>
      <c r="AA48" s="313">
        <v>5370647</v>
      </c>
    </row>
    <row r="49" spans="2:29" x14ac:dyDescent="0.25">
      <c r="B49" s="259" t="s">
        <v>578</v>
      </c>
      <c r="C49" s="1"/>
      <c r="D49" s="1"/>
      <c r="E49" s="1"/>
      <c r="F49" s="1"/>
      <c r="G49" s="1"/>
      <c r="H49" s="1"/>
      <c r="I49" s="1"/>
      <c r="J49" s="1"/>
      <c r="K49" s="1"/>
      <c r="L49" s="1"/>
      <c r="M49" s="1"/>
      <c r="N49" s="1"/>
      <c r="O49" s="1"/>
      <c r="P49" s="1"/>
      <c r="Q49" s="1"/>
      <c r="R49" s="1"/>
      <c r="S49" s="1"/>
      <c r="T49" s="1"/>
      <c r="U49" s="1"/>
      <c r="V49" s="1">
        <v>285458</v>
      </c>
      <c r="W49" s="1">
        <v>428187</v>
      </c>
      <c r="X49" s="1">
        <v>428187</v>
      </c>
      <c r="Y49" s="1">
        <v>428187</v>
      </c>
      <c r="Z49" s="1">
        <v>428187</v>
      </c>
      <c r="AA49" s="313">
        <v>1998206</v>
      </c>
    </row>
    <row r="50" spans="2:29" x14ac:dyDescent="0.25">
      <c r="B50" s="174" t="s">
        <v>296</v>
      </c>
      <c r="C50" s="1"/>
      <c r="D50" s="1"/>
      <c r="E50" s="1"/>
      <c r="F50" s="1"/>
      <c r="G50" s="1"/>
      <c r="H50" s="1"/>
      <c r="I50" s="1"/>
      <c r="J50" s="1"/>
      <c r="K50" s="1"/>
      <c r="L50" s="1"/>
      <c r="M50" s="1"/>
      <c r="N50" s="1"/>
      <c r="O50" s="1"/>
      <c r="P50" s="1"/>
      <c r="Q50" s="1"/>
      <c r="R50" s="1"/>
      <c r="S50" s="1"/>
      <c r="T50" s="1"/>
      <c r="U50" s="1"/>
      <c r="V50" s="1"/>
      <c r="W50" s="1"/>
      <c r="X50" s="1"/>
      <c r="Y50" s="1"/>
      <c r="Z50" s="1"/>
      <c r="AA50" s="313"/>
    </row>
    <row r="51" spans="2:29" x14ac:dyDescent="0.25">
      <c r="B51" s="259" t="s">
        <v>744</v>
      </c>
      <c r="C51" s="1">
        <v>0</v>
      </c>
      <c r="D51" s="1">
        <v>0</v>
      </c>
      <c r="E51" s="1">
        <v>0</v>
      </c>
      <c r="F51" s="1">
        <v>0</v>
      </c>
      <c r="G51" s="1">
        <v>3643524</v>
      </c>
      <c r="H51" s="1">
        <v>2540553</v>
      </c>
      <c r="I51" s="1">
        <v>2594526</v>
      </c>
      <c r="J51" s="1">
        <v>2695661</v>
      </c>
      <c r="K51" s="1">
        <v>7671672</v>
      </c>
      <c r="L51" s="1">
        <v>7671672</v>
      </c>
      <c r="M51" s="1">
        <v>7937087</v>
      </c>
      <c r="N51" s="1">
        <v>8778514</v>
      </c>
      <c r="O51" s="1">
        <v>8312832</v>
      </c>
      <c r="P51" s="1">
        <v>8287517</v>
      </c>
      <c r="Q51" s="1">
        <v>9319385</v>
      </c>
      <c r="R51" s="1">
        <v>9395909</v>
      </c>
      <c r="S51" s="1">
        <v>9764282</v>
      </c>
      <c r="T51" s="1">
        <v>11161858</v>
      </c>
      <c r="U51" s="1">
        <v>11526242</v>
      </c>
      <c r="V51" s="1">
        <v>8056678</v>
      </c>
      <c r="W51" s="1"/>
      <c r="X51" s="1"/>
      <c r="Y51" s="1"/>
      <c r="Z51" s="1"/>
      <c r="AA51" s="313">
        <v>119357912</v>
      </c>
    </row>
    <row r="52" spans="2:29" x14ac:dyDescent="0.25">
      <c r="B52" s="259" t="s">
        <v>580</v>
      </c>
      <c r="C52" s="1"/>
      <c r="D52" s="1"/>
      <c r="E52" s="1"/>
      <c r="F52" s="1"/>
      <c r="G52" s="1"/>
      <c r="H52" s="1"/>
      <c r="I52" s="1"/>
      <c r="J52" s="1"/>
      <c r="K52" s="1"/>
      <c r="L52" s="1"/>
      <c r="M52" s="1"/>
      <c r="N52" s="1"/>
      <c r="O52" s="1"/>
      <c r="P52" s="1"/>
      <c r="Q52" s="1"/>
      <c r="R52" s="1"/>
      <c r="S52" s="1"/>
      <c r="T52" s="1"/>
      <c r="U52" s="1"/>
      <c r="V52" s="1">
        <v>3748028</v>
      </c>
      <c r="W52" s="1">
        <v>5622042</v>
      </c>
      <c r="X52" s="1">
        <v>5622042</v>
      </c>
      <c r="Y52" s="1">
        <v>5622042</v>
      </c>
      <c r="Z52" s="1">
        <v>5622042</v>
      </c>
      <c r="AA52" s="313">
        <v>26236196</v>
      </c>
    </row>
    <row r="53" spans="2:29" x14ac:dyDescent="0.25">
      <c r="B53" s="259" t="s">
        <v>1317</v>
      </c>
      <c r="C53" s="1"/>
      <c r="D53" s="1"/>
      <c r="E53" s="1"/>
      <c r="F53" s="1"/>
      <c r="G53" s="1"/>
      <c r="H53" s="1"/>
      <c r="I53" s="1"/>
      <c r="J53" s="1"/>
      <c r="K53" s="1"/>
      <c r="L53" s="1"/>
      <c r="M53" s="1"/>
      <c r="N53" s="1"/>
      <c r="O53" s="1"/>
      <c r="P53" s="1"/>
      <c r="Q53" s="1"/>
      <c r="R53" s="1"/>
      <c r="S53" s="1"/>
      <c r="T53" s="1"/>
      <c r="U53" s="1"/>
      <c r="V53" s="1"/>
      <c r="W53" s="1">
        <v>73749</v>
      </c>
      <c r="X53" s="1">
        <v>73749</v>
      </c>
      <c r="Y53" s="1">
        <v>73749</v>
      </c>
      <c r="Z53" s="1">
        <v>73749</v>
      </c>
      <c r="AA53" s="313">
        <v>294996</v>
      </c>
    </row>
    <row r="54" spans="2:29" x14ac:dyDescent="0.25">
      <c r="B54" s="259" t="s">
        <v>1318</v>
      </c>
      <c r="C54" s="1"/>
      <c r="D54" s="1"/>
      <c r="E54" s="1"/>
      <c r="F54" s="1"/>
      <c r="G54" s="1"/>
      <c r="H54" s="1"/>
      <c r="I54" s="1"/>
      <c r="J54" s="1"/>
      <c r="K54" s="1"/>
      <c r="L54" s="1"/>
      <c r="M54" s="1"/>
      <c r="N54" s="1"/>
      <c r="O54" s="1"/>
      <c r="P54" s="1"/>
      <c r="Q54" s="1"/>
      <c r="R54" s="1"/>
      <c r="S54" s="1"/>
      <c r="T54" s="1"/>
      <c r="U54" s="1"/>
      <c r="V54" s="1"/>
      <c r="W54" s="1"/>
      <c r="X54" s="1">
        <v>54813</v>
      </c>
      <c r="Y54" s="1">
        <v>54813</v>
      </c>
      <c r="Z54" s="1">
        <v>54813</v>
      </c>
      <c r="AA54" s="313">
        <v>164439</v>
      </c>
    </row>
    <row r="55" spans="2:29" x14ac:dyDescent="0.25">
      <c r="B55" s="259" t="s">
        <v>1319</v>
      </c>
      <c r="C55" s="1"/>
      <c r="D55" s="1"/>
      <c r="E55" s="1"/>
      <c r="F55" s="1"/>
      <c r="G55" s="1"/>
      <c r="H55" s="1"/>
      <c r="I55" s="1"/>
      <c r="J55" s="1"/>
      <c r="K55" s="1"/>
      <c r="L55" s="1"/>
      <c r="M55" s="1"/>
      <c r="N55" s="1"/>
      <c r="O55" s="1"/>
      <c r="P55" s="1"/>
      <c r="Q55" s="1"/>
      <c r="R55" s="1"/>
      <c r="S55" s="1"/>
      <c r="T55" s="1"/>
      <c r="U55" s="1"/>
      <c r="V55" s="1"/>
      <c r="W55" s="1"/>
      <c r="X55" s="1"/>
      <c r="Y55" s="1"/>
      <c r="Z55" s="1">
        <v>131250</v>
      </c>
      <c r="AA55" s="313">
        <v>131250</v>
      </c>
    </row>
    <row r="56" spans="2:29" x14ac:dyDescent="0.25">
      <c r="B56" s="259" t="s">
        <v>1320</v>
      </c>
      <c r="C56" s="1"/>
      <c r="D56" s="1"/>
      <c r="E56" s="1"/>
      <c r="F56" s="1"/>
      <c r="G56" s="1"/>
      <c r="H56" s="1"/>
      <c r="I56" s="1"/>
      <c r="J56" s="1"/>
      <c r="K56" s="1"/>
      <c r="L56" s="1"/>
      <c r="M56" s="1"/>
      <c r="N56" s="1"/>
      <c r="O56" s="1"/>
      <c r="P56" s="1"/>
      <c r="Q56" s="1"/>
      <c r="R56" s="1"/>
      <c r="S56" s="1"/>
      <c r="T56" s="1"/>
      <c r="U56" s="1"/>
      <c r="V56" s="1"/>
      <c r="W56" s="1"/>
      <c r="X56" s="1"/>
      <c r="Y56" s="1"/>
      <c r="Z56" s="1">
        <v>393750</v>
      </c>
      <c r="AA56" s="313">
        <v>393750</v>
      </c>
    </row>
    <row r="57" spans="2:29" x14ac:dyDescent="0.25">
      <c r="B57" s="259" t="s">
        <v>1321</v>
      </c>
      <c r="C57" s="1"/>
      <c r="D57" s="1"/>
      <c r="E57" s="1"/>
      <c r="F57" s="1"/>
      <c r="G57" s="1"/>
      <c r="H57" s="1"/>
      <c r="I57" s="1"/>
      <c r="J57" s="1"/>
      <c r="K57" s="1"/>
      <c r="L57" s="1"/>
      <c r="M57" s="1"/>
      <c r="N57" s="1"/>
      <c r="O57" s="1"/>
      <c r="P57" s="1"/>
      <c r="Q57" s="1"/>
      <c r="R57" s="1"/>
      <c r="S57" s="1"/>
      <c r="T57" s="1"/>
      <c r="U57" s="1"/>
      <c r="V57" s="1"/>
      <c r="W57" s="1">
        <v>371438</v>
      </c>
      <c r="X57" s="1">
        <v>1114314</v>
      </c>
      <c r="Y57" s="1">
        <v>1114314</v>
      </c>
      <c r="Z57" s="1">
        <v>1114314</v>
      </c>
      <c r="AA57" s="313">
        <v>3714380</v>
      </c>
    </row>
    <row r="58" spans="2:29" x14ac:dyDescent="0.25">
      <c r="B58" s="259" t="s">
        <v>1322</v>
      </c>
      <c r="C58" s="1"/>
      <c r="D58" s="1"/>
      <c r="E58" s="1"/>
      <c r="F58" s="1"/>
      <c r="G58" s="1"/>
      <c r="H58" s="1"/>
      <c r="I58" s="1"/>
      <c r="J58" s="1"/>
      <c r="K58" s="1"/>
      <c r="L58" s="1"/>
      <c r="M58" s="1"/>
      <c r="N58" s="1"/>
      <c r="O58" s="1"/>
      <c r="P58" s="1"/>
      <c r="Q58" s="1"/>
      <c r="R58" s="1"/>
      <c r="S58" s="1"/>
      <c r="T58" s="1"/>
      <c r="U58" s="1"/>
      <c r="V58" s="1"/>
      <c r="W58" s="1"/>
      <c r="X58" s="1"/>
      <c r="Y58" s="1">
        <v>491666</v>
      </c>
      <c r="Z58" s="1">
        <v>737499</v>
      </c>
      <c r="AA58" s="313">
        <v>1229165</v>
      </c>
    </row>
    <row r="59" spans="2:29" x14ac:dyDescent="0.25">
      <c r="B59" s="174" t="s">
        <v>326</v>
      </c>
      <c r="C59" s="1"/>
      <c r="D59" s="1"/>
      <c r="E59" s="1"/>
      <c r="F59" s="1"/>
      <c r="G59" s="1"/>
      <c r="H59" s="1"/>
      <c r="I59" s="1"/>
      <c r="J59" s="1"/>
      <c r="K59" s="1"/>
      <c r="L59" s="1"/>
      <c r="M59" s="1"/>
      <c r="N59" s="1"/>
      <c r="O59" s="1"/>
      <c r="P59" s="1"/>
      <c r="Q59" s="1"/>
      <c r="R59" s="1"/>
      <c r="S59" s="1"/>
      <c r="T59" s="1"/>
      <c r="U59" s="1"/>
      <c r="V59" s="1"/>
      <c r="W59" s="1"/>
      <c r="X59" s="1"/>
      <c r="Y59" s="1"/>
      <c r="Z59" s="1"/>
      <c r="AA59" s="313"/>
    </row>
    <row r="60" spans="2:29" x14ac:dyDescent="0.25">
      <c r="B60" s="259" t="s">
        <v>744</v>
      </c>
      <c r="C60" s="1">
        <v>0</v>
      </c>
      <c r="D60" s="1">
        <v>0</v>
      </c>
      <c r="E60" s="1">
        <v>0</v>
      </c>
      <c r="F60" s="1">
        <v>0</v>
      </c>
      <c r="G60" s="1">
        <v>115152</v>
      </c>
      <c r="H60" s="1">
        <v>152678</v>
      </c>
      <c r="I60" s="1">
        <v>118917</v>
      </c>
      <c r="J60" s="1">
        <v>239240</v>
      </c>
      <c r="K60" s="1">
        <v>509553</v>
      </c>
      <c r="L60" s="1">
        <v>764751</v>
      </c>
      <c r="M60" s="1">
        <v>799752</v>
      </c>
      <c r="N60" s="1">
        <v>864599</v>
      </c>
      <c r="O60" s="1">
        <v>924874</v>
      </c>
      <c r="P60" s="1">
        <v>979041</v>
      </c>
      <c r="Q60" s="1">
        <v>979041</v>
      </c>
      <c r="R60" s="1">
        <v>1113191</v>
      </c>
      <c r="S60" s="1">
        <v>1255786</v>
      </c>
      <c r="T60" s="1">
        <v>1375493</v>
      </c>
      <c r="U60" s="1">
        <v>1578742</v>
      </c>
      <c r="V60" s="1">
        <v>1104441</v>
      </c>
      <c r="W60" s="1"/>
      <c r="X60" s="1"/>
      <c r="Y60" s="1"/>
      <c r="Z60" s="1"/>
      <c r="AA60" s="313">
        <v>12875251</v>
      </c>
    </row>
    <row r="61" spans="2:29" x14ac:dyDescent="0.25">
      <c r="B61" s="259" t="s">
        <v>581</v>
      </c>
      <c r="C61" s="1"/>
      <c r="D61" s="1"/>
      <c r="E61" s="1"/>
      <c r="F61" s="1"/>
      <c r="G61" s="1"/>
      <c r="H61" s="1"/>
      <c r="I61" s="1"/>
      <c r="J61" s="1"/>
      <c r="K61" s="1"/>
      <c r="L61" s="1"/>
      <c r="M61" s="1"/>
      <c r="N61" s="1"/>
      <c r="O61" s="1"/>
      <c r="P61" s="1"/>
      <c r="Q61" s="1"/>
      <c r="R61" s="1"/>
      <c r="S61" s="1"/>
      <c r="T61" s="1"/>
      <c r="U61" s="1"/>
      <c r="V61" s="1">
        <v>501516</v>
      </c>
      <c r="W61" s="1">
        <v>752274</v>
      </c>
      <c r="X61" s="1">
        <v>752274</v>
      </c>
      <c r="Y61" s="1">
        <v>752274</v>
      </c>
      <c r="Z61" s="1">
        <v>752274</v>
      </c>
      <c r="AA61" s="313">
        <v>3510612</v>
      </c>
    </row>
    <row r="62" spans="2:29" s="138" customFormat="1" x14ac:dyDescent="0.25">
      <c r="B62" s="259" t="s">
        <v>1323</v>
      </c>
      <c r="C62" s="1"/>
      <c r="D62" s="1"/>
      <c r="E62" s="1"/>
      <c r="F62" s="1"/>
      <c r="G62" s="1"/>
      <c r="H62" s="1"/>
      <c r="I62" s="1"/>
      <c r="J62" s="1"/>
      <c r="K62" s="1"/>
      <c r="L62" s="1"/>
      <c r="M62" s="1"/>
      <c r="N62" s="1"/>
      <c r="O62" s="1"/>
      <c r="P62" s="1"/>
      <c r="Q62" s="1"/>
      <c r="R62" s="1"/>
      <c r="S62" s="1"/>
      <c r="T62" s="1"/>
      <c r="U62" s="1"/>
      <c r="V62" s="1"/>
      <c r="W62" s="1"/>
      <c r="X62" s="1">
        <v>3125</v>
      </c>
      <c r="Y62" s="1">
        <v>9375</v>
      </c>
      <c r="Z62" s="1">
        <v>9375</v>
      </c>
      <c r="AA62" s="313">
        <v>21875</v>
      </c>
      <c r="AB62"/>
      <c r="AC62"/>
    </row>
    <row r="63" spans="2:29" x14ac:dyDescent="0.25">
      <c r="B63" s="259" t="s">
        <v>1324</v>
      </c>
      <c r="C63" s="1"/>
      <c r="D63" s="1"/>
      <c r="E63" s="1"/>
      <c r="F63" s="1"/>
      <c r="G63" s="1"/>
      <c r="H63" s="1"/>
      <c r="I63" s="1"/>
      <c r="J63" s="1"/>
      <c r="K63" s="1"/>
      <c r="L63" s="1"/>
      <c r="M63" s="1"/>
      <c r="N63" s="1"/>
      <c r="O63" s="1"/>
      <c r="P63" s="1"/>
      <c r="Q63" s="1"/>
      <c r="R63" s="1"/>
      <c r="S63" s="1"/>
      <c r="T63" s="1"/>
      <c r="U63" s="1"/>
      <c r="V63" s="1"/>
      <c r="W63" s="1"/>
      <c r="X63" s="1"/>
      <c r="Y63" s="1"/>
      <c r="Z63" s="1">
        <v>3854</v>
      </c>
      <c r="AA63" s="313">
        <v>3854</v>
      </c>
    </row>
    <row r="64" spans="2:29" x14ac:dyDescent="0.25">
      <c r="B64" s="174" t="s">
        <v>394</v>
      </c>
      <c r="C64" s="1"/>
      <c r="D64" s="1"/>
      <c r="E64" s="1"/>
      <c r="F64" s="1"/>
      <c r="G64" s="1"/>
      <c r="H64" s="1"/>
      <c r="I64" s="1"/>
      <c r="J64" s="1"/>
      <c r="K64" s="1"/>
      <c r="L64" s="1"/>
      <c r="M64" s="1"/>
      <c r="N64" s="1"/>
      <c r="O64" s="1"/>
      <c r="P64" s="1"/>
      <c r="Q64" s="1"/>
      <c r="R64" s="1"/>
      <c r="S64" s="1"/>
      <c r="T64" s="1"/>
      <c r="U64" s="1"/>
      <c r="V64" s="1"/>
      <c r="W64" s="1"/>
      <c r="X64" s="1"/>
      <c r="Y64" s="1"/>
      <c r="Z64" s="1"/>
      <c r="AA64" s="313"/>
    </row>
    <row r="65" spans="2:27" x14ac:dyDescent="0.25">
      <c r="B65" s="259" t="s">
        <v>744</v>
      </c>
      <c r="C65" s="1">
        <v>0</v>
      </c>
      <c r="D65" s="1">
        <v>0</v>
      </c>
      <c r="E65" s="1">
        <v>0</v>
      </c>
      <c r="F65" s="1">
        <v>0</v>
      </c>
      <c r="G65" s="1">
        <v>51480</v>
      </c>
      <c r="H65" s="1">
        <v>51480</v>
      </c>
      <c r="I65" s="1">
        <v>51480</v>
      </c>
      <c r="J65" s="1">
        <v>51480</v>
      </c>
      <c r="K65" s="1">
        <v>102480</v>
      </c>
      <c r="L65" s="1">
        <v>102480</v>
      </c>
      <c r="M65" s="1">
        <v>102480</v>
      </c>
      <c r="N65" s="1">
        <v>113705</v>
      </c>
      <c r="O65" s="1">
        <v>102960</v>
      </c>
      <c r="P65" s="1">
        <v>102960</v>
      </c>
      <c r="Q65" s="1">
        <v>102960</v>
      </c>
      <c r="R65" s="1">
        <v>102960</v>
      </c>
      <c r="S65" s="1">
        <v>75304</v>
      </c>
      <c r="T65" s="1">
        <v>84552</v>
      </c>
      <c r="U65" s="1">
        <v>84552</v>
      </c>
      <c r="V65" s="1">
        <v>62504</v>
      </c>
      <c r="W65" s="1"/>
      <c r="X65" s="1"/>
      <c r="Y65" s="1"/>
      <c r="Z65" s="1"/>
      <c r="AA65" s="313">
        <v>1345817</v>
      </c>
    </row>
    <row r="66" spans="2:27" x14ac:dyDescent="0.25">
      <c r="B66" s="259" t="s">
        <v>579</v>
      </c>
      <c r="C66" s="1"/>
      <c r="D66" s="1"/>
      <c r="E66" s="1"/>
      <c r="F66" s="1"/>
      <c r="G66" s="1"/>
      <c r="H66" s="1"/>
      <c r="I66" s="1"/>
      <c r="J66" s="1"/>
      <c r="K66" s="1"/>
      <c r="L66" s="1"/>
      <c r="M66" s="1"/>
      <c r="N66" s="1"/>
      <c r="O66" s="1"/>
      <c r="P66" s="1"/>
      <c r="Q66" s="1"/>
      <c r="R66" s="1"/>
      <c r="S66" s="1"/>
      <c r="T66" s="1"/>
      <c r="U66" s="1"/>
      <c r="V66" s="1">
        <v>22048</v>
      </c>
      <c r="W66" s="1">
        <v>33072</v>
      </c>
      <c r="X66" s="1">
        <v>33072</v>
      </c>
      <c r="Y66" s="1">
        <v>33072</v>
      </c>
      <c r="Z66" s="1">
        <v>33072</v>
      </c>
      <c r="AA66" s="313">
        <v>154336</v>
      </c>
    </row>
    <row r="67" spans="2:27" x14ac:dyDescent="0.25">
      <c r="B67" s="174" t="s">
        <v>395</v>
      </c>
      <c r="C67" s="1"/>
      <c r="D67" s="1"/>
      <c r="E67" s="1"/>
      <c r="F67" s="1"/>
      <c r="G67" s="1"/>
      <c r="H67" s="1"/>
      <c r="I67" s="1"/>
      <c r="J67" s="1"/>
      <c r="K67" s="1"/>
      <c r="L67" s="1"/>
      <c r="M67" s="1"/>
      <c r="N67" s="1"/>
      <c r="O67" s="1"/>
      <c r="P67" s="1"/>
      <c r="Q67" s="1"/>
      <c r="R67" s="1"/>
      <c r="S67" s="1"/>
      <c r="T67" s="1"/>
      <c r="U67" s="1"/>
      <c r="V67" s="1"/>
      <c r="W67" s="1"/>
      <c r="X67" s="1"/>
      <c r="Y67" s="1"/>
      <c r="Z67" s="1"/>
      <c r="AA67" s="313"/>
    </row>
    <row r="68" spans="2:27" x14ac:dyDescent="0.25">
      <c r="B68" s="259" t="s">
        <v>744</v>
      </c>
      <c r="C68" s="1">
        <v>0</v>
      </c>
      <c r="D68" s="1">
        <v>0</v>
      </c>
      <c r="E68" s="1">
        <v>0</v>
      </c>
      <c r="F68" s="1">
        <v>0</v>
      </c>
      <c r="G68" s="1">
        <v>4584</v>
      </c>
      <c r="H68" s="1">
        <v>4584</v>
      </c>
      <c r="I68" s="1">
        <v>4584</v>
      </c>
      <c r="J68" s="1">
        <v>4584</v>
      </c>
      <c r="K68" s="1">
        <v>9084</v>
      </c>
      <c r="L68" s="1">
        <v>9084</v>
      </c>
      <c r="M68" s="1">
        <v>9084</v>
      </c>
      <c r="N68" s="1">
        <v>10612</v>
      </c>
      <c r="O68" s="1">
        <v>9168</v>
      </c>
      <c r="P68" s="1">
        <v>9168</v>
      </c>
      <c r="Q68" s="1">
        <v>9168</v>
      </c>
      <c r="R68" s="1">
        <v>9168</v>
      </c>
      <c r="S68" s="1">
        <v>7635</v>
      </c>
      <c r="T68" s="1">
        <v>9168</v>
      </c>
      <c r="U68" s="1">
        <v>9168</v>
      </c>
      <c r="V68" s="1">
        <v>6112</v>
      </c>
      <c r="W68" s="1"/>
      <c r="X68" s="1"/>
      <c r="Y68" s="1"/>
      <c r="Z68" s="1"/>
      <c r="AA68" s="313">
        <v>124955</v>
      </c>
    </row>
    <row r="69" spans="2:27" x14ac:dyDescent="0.25">
      <c r="B69" s="259" t="s">
        <v>576</v>
      </c>
      <c r="C69" s="1"/>
      <c r="D69" s="1"/>
      <c r="E69" s="1"/>
      <c r="F69" s="1"/>
      <c r="G69" s="1"/>
      <c r="H69" s="1"/>
      <c r="I69" s="1"/>
      <c r="J69" s="1"/>
      <c r="K69" s="1"/>
      <c r="L69" s="1"/>
      <c r="M69" s="1"/>
      <c r="N69" s="1"/>
      <c r="O69" s="1"/>
      <c r="P69" s="1"/>
      <c r="Q69" s="1"/>
      <c r="R69" s="1"/>
      <c r="S69" s="1"/>
      <c r="T69" s="1"/>
      <c r="U69" s="1"/>
      <c r="V69" s="1">
        <v>3056</v>
      </c>
      <c r="W69" s="1">
        <v>4584</v>
      </c>
      <c r="X69" s="1">
        <v>4584</v>
      </c>
      <c r="Y69" s="1">
        <v>4584</v>
      </c>
      <c r="Z69" s="1">
        <v>4584</v>
      </c>
      <c r="AA69" s="313">
        <v>21392</v>
      </c>
    </row>
    <row r="70" spans="2:27" x14ac:dyDescent="0.25">
      <c r="B70" s="174" t="s">
        <v>950</v>
      </c>
      <c r="C70" s="1"/>
      <c r="D70" s="1"/>
      <c r="E70" s="1"/>
      <c r="F70" s="1"/>
      <c r="G70" s="1"/>
      <c r="H70" s="1"/>
      <c r="I70" s="1"/>
      <c r="J70" s="1"/>
      <c r="K70" s="1"/>
      <c r="L70" s="1"/>
      <c r="M70" s="1"/>
      <c r="N70" s="1"/>
      <c r="O70" s="1"/>
      <c r="P70" s="1"/>
      <c r="Q70" s="1"/>
      <c r="R70" s="1"/>
      <c r="S70" s="1"/>
      <c r="T70" s="1"/>
      <c r="U70" s="1"/>
      <c r="V70" s="1"/>
      <c r="W70" s="1"/>
      <c r="X70" s="1"/>
      <c r="Y70" s="1"/>
      <c r="Z70" s="1"/>
      <c r="AA70" s="313"/>
    </row>
    <row r="71" spans="2:27" x14ac:dyDescent="0.25">
      <c r="B71" s="259" t="s">
        <v>744</v>
      </c>
      <c r="C71" s="1">
        <v>0</v>
      </c>
      <c r="D71" s="1">
        <v>0</v>
      </c>
      <c r="E71" s="1">
        <v>0</v>
      </c>
      <c r="F71" s="1">
        <v>0</v>
      </c>
      <c r="G71" s="1">
        <v>0</v>
      </c>
      <c r="H71" s="1">
        <v>0</v>
      </c>
      <c r="I71" s="1">
        <v>0</v>
      </c>
      <c r="J71" s="1">
        <v>0</v>
      </c>
      <c r="K71" s="1">
        <v>0</v>
      </c>
      <c r="L71" s="1">
        <v>0</v>
      </c>
      <c r="M71" s="1">
        <v>0</v>
      </c>
      <c r="N71" s="1">
        <v>0</v>
      </c>
      <c r="O71" s="1">
        <v>0</v>
      </c>
      <c r="P71" s="1">
        <v>0</v>
      </c>
      <c r="Q71" s="1">
        <v>0</v>
      </c>
      <c r="R71" s="1">
        <v>0</v>
      </c>
      <c r="S71" s="1">
        <v>0</v>
      </c>
      <c r="T71" s="1">
        <v>0</v>
      </c>
      <c r="U71" s="1">
        <v>0</v>
      </c>
      <c r="V71" s="1">
        <v>0</v>
      </c>
      <c r="W71" s="1"/>
      <c r="X71" s="1"/>
      <c r="Y71" s="1"/>
      <c r="Z71" s="1"/>
      <c r="AA71" s="313">
        <v>0</v>
      </c>
    </row>
    <row r="72" spans="2:27" x14ac:dyDescent="0.25">
      <c r="B72" s="6" t="s">
        <v>824</v>
      </c>
      <c r="C72" s="1">
        <v>0</v>
      </c>
      <c r="D72" s="1">
        <v>0</v>
      </c>
      <c r="E72" s="1">
        <v>0</v>
      </c>
      <c r="F72" s="1">
        <v>0</v>
      </c>
      <c r="G72" s="1">
        <v>0</v>
      </c>
      <c r="H72" s="1">
        <v>0</v>
      </c>
      <c r="I72" s="1">
        <v>0</v>
      </c>
      <c r="J72" s="1">
        <v>70027</v>
      </c>
      <c r="K72" s="1">
        <v>0</v>
      </c>
      <c r="L72" s="1">
        <v>0</v>
      </c>
      <c r="M72" s="1">
        <v>0</v>
      </c>
      <c r="N72" s="1">
        <v>92265</v>
      </c>
      <c r="O72" s="1">
        <v>0</v>
      </c>
      <c r="P72" s="1">
        <v>0</v>
      </c>
      <c r="Q72" s="1">
        <v>0</v>
      </c>
      <c r="R72" s="1">
        <v>0</v>
      </c>
      <c r="S72" s="1">
        <v>0</v>
      </c>
      <c r="T72" s="1">
        <v>0</v>
      </c>
      <c r="U72" s="1">
        <v>0</v>
      </c>
      <c r="V72" s="1">
        <v>1200</v>
      </c>
      <c r="W72" s="1">
        <v>1800</v>
      </c>
      <c r="X72" s="1">
        <v>1800</v>
      </c>
      <c r="Y72" s="1">
        <v>1800</v>
      </c>
      <c r="Z72" s="1">
        <v>1800</v>
      </c>
      <c r="AA72" s="313">
        <v>170692</v>
      </c>
    </row>
    <row r="73" spans="2:27" x14ac:dyDescent="0.25">
      <c r="B73" s="6" t="s">
        <v>396</v>
      </c>
      <c r="C73" s="1">
        <v>0</v>
      </c>
      <c r="D73" s="1">
        <v>0</v>
      </c>
      <c r="E73" s="1">
        <v>0</v>
      </c>
      <c r="F73" s="1">
        <v>0</v>
      </c>
      <c r="G73" s="1">
        <v>6831635</v>
      </c>
      <c r="H73" s="1">
        <v>25246999</v>
      </c>
      <c r="I73" s="1">
        <v>9488200</v>
      </c>
      <c r="J73" s="1">
        <v>15128700</v>
      </c>
      <c r="K73" s="1">
        <v>18120391</v>
      </c>
      <c r="L73" s="1">
        <v>21154546</v>
      </c>
      <c r="M73" s="1">
        <v>21758335</v>
      </c>
      <c r="N73" s="1">
        <v>28373523</v>
      </c>
      <c r="O73" s="1">
        <v>18823005</v>
      </c>
      <c r="P73" s="1">
        <v>21572193</v>
      </c>
      <c r="Q73" s="1">
        <v>18688833</v>
      </c>
      <c r="R73" s="1">
        <v>26103602</v>
      </c>
      <c r="S73" s="1">
        <v>15556613</v>
      </c>
      <c r="T73" s="1">
        <v>28413406</v>
      </c>
      <c r="U73" s="1">
        <v>21901700</v>
      </c>
      <c r="V73" s="1">
        <v>27807194</v>
      </c>
      <c r="W73" s="1">
        <v>18477111</v>
      </c>
      <c r="X73" s="1">
        <v>18162611</v>
      </c>
      <c r="Y73" s="1">
        <v>17976403</v>
      </c>
      <c r="Z73" s="1">
        <v>17574893</v>
      </c>
      <c r="AA73" s="313">
        <v>397159893</v>
      </c>
    </row>
    <row r="74" spans="2:27" x14ac:dyDescent="0.25">
      <c r="B74" s="6" t="s">
        <v>450</v>
      </c>
      <c r="C74" s="1">
        <v>0</v>
      </c>
      <c r="D74" s="1">
        <v>0</v>
      </c>
      <c r="E74" s="1">
        <v>0</v>
      </c>
      <c r="F74" s="1">
        <v>0</v>
      </c>
      <c r="G74" s="1">
        <v>2216</v>
      </c>
      <c r="H74" s="1">
        <v>2491</v>
      </c>
      <c r="I74" s="1">
        <v>770</v>
      </c>
      <c r="J74" s="1">
        <v>397</v>
      </c>
      <c r="K74" s="1">
        <v>4325</v>
      </c>
      <c r="L74" s="1">
        <v>5337</v>
      </c>
      <c r="M74" s="1">
        <v>4630</v>
      </c>
      <c r="N74" s="1">
        <v>11645</v>
      </c>
      <c r="O74" s="1">
        <v>3908</v>
      </c>
      <c r="P74" s="1">
        <v>3507</v>
      </c>
      <c r="Q74" s="1">
        <v>2220</v>
      </c>
      <c r="R74" s="1">
        <v>1173</v>
      </c>
      <c r="S74" s="1">
        <v>3789</v>
      </c>
      <c r="T74" s="1">
        <v>4292</v>
      </c>
      <c r="U74" s="1">
        <v>3775</v>
      </c>
      <c r="V74" s="1">
        <v>5454</v>
      </c>
      <c r="W74" s="1">
        <v>841</v>
      </c>
      <c r="X74" s="1">
        <v>1376</v>
      </c>
      <c r="Y74" s="1">
        <v>826</v>
      </c>
      <c r="Z74" s="1">
        <v>2572</v>
      </c>
      <c r="AA74" s="313">
        <v>65544</v>
      </c>
    </row>
    <row r="75" spans="2:27" x14ac:dyDescent="0.25">
      <c r="B75" s="6" t="s">
        <v>472</v>
      </c>
      <c r="C75" s="1">
        <v>0</v>
      </c>
      <c r="D75" s="1">
        <v>0</v>
      </c>
      <c r="E75" s="1">
        <v>0</v>
      </c>
      <c r="F75" s="1">
        <v>0</v>
      </c>
      <c r="G75" s="1">
        <v>3726</v>
      </c>
      <c r="H75" s="1">
        <v>57678</v>
      </c>
      <c r="I75" s="1">
        <v>321</v>
      </c>
      <c r="J75" s="1">
        <v>4520709</v>
      </c>
      <c r="K75" s="1">
        <v>20787</v>
      </c>
      <c r="L75" s="1">
        <v>36067</v>
      </c>
      <c r="M75" s="1">
        <v>21549</v>
      </c>
      <c r="N75" s="1">
        <v>-21046</v>
      </c>
      <c r="O75" s="1">
        <v>2666997</v>
      </c>
      <c r="P75" s="1">
        <v>1183</v>
      </c>
      <c r="Q75" s="1">
        <v>1130</v>
      </c>
      <c r="R75" s="1">
        <v>328834</v>
      </c>
      <c r="S75" s="1">
        <v>32</v>
      </c>
      <c r="T75" s="1">
        <v>8881</v>
      </c>
      <c r="U75" s="1">
        <v>1728</v>
      </c>
      <c r="V75" s="1">
        <v>331817</v>
      </c>
      <c r="W75" s="1">
        <v>18900</v>
      </c>
      <c r="X75" s="1">
        <v>18900</v>
      </c>
      <c r="Y75" s="1">
        <v>18900</v>
      </c>
      <c r="Z75" s="1">
        <v>18900</v>
      </c>
      <c r="AA75" s="313">
        <v>8055993</v>
      </c>
    </row>
  </sheetData>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
  <sheetViews>
    <sheetView workbookViewId="0">
      <selection activeCell="A15" sqref="A15"/>
    </sheetView>
  </sheetViews>
  <sheetFormatPr defaultRowHeight="15" x14ac:dyDescent="0.25"/>
  <cols>
    <col min="1" max="1" width="44.7109375" bestFit="1" customWidth="1"/>
    <col min="2" max="2" width="30.85546875" bestFit="1" customWidth="1"/>
    <col min="3" max="3" width="49.42578125" bestFit="1" customWidth="1"/>
    <col min="4" max="4" width="8.7109375" bestFit="1" customWidth="1"/>
    <col min="5" max="5" width="13.5703125" bestFit="1" customWidth="1"/>
    <col min="6" max="11" width="8.85546875" bestFit="1" customWidth="1"/>
    <col min="12" max="12" width="30.85546875" bestFit="1" customWidth="1"/>
    <col min="13" max="13" width="49.42578125" bestFit="1" customWidth="1"/>
  </cols>
  <sheetData/>
  <phoneticPr fontId="20"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
  <sheetViews>
    <sheetView workbookViewId="0">
      <selection activeCell="B15" sqref="B15"/>
    </sheetView>
  </sheetViews>
  <sheetFormatPr defaultRowHeight="15" x14ac:dyDescent="0.25"/>
  <cols>
    <col min="1" max="1" width="81.140625" bestFit="1" customWidth="1"/>
    <col min="2" max="2" width="30.85546875" bestFit="1" customWidth="1"/>
    <col min="3" max="3" width="49.42578125" bestFit="1" customWidth="1"/>
    <col min="4" max="4" width="8.7109375" bestFit="1" customWidth="1"/>
    <col min="5" max="5" width="13.5703125" bestFit="1" customWidth="1"/>
    <col min="6" max="8" width="8.85546875" bestFit="1" customWidth="1"/>
    <col min="9" max="9" width="30.85546875" bestFit="1" customWidth="1"/>
    <col min="10" max="10" width="49.42578125" bestFit="1" customWidth="1"/>
  </cols>
  <sheetData/>
  <phoneticPr fontId="20"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
    <tabColor rgb="FFFFC000"/>
  </sheetPr>
  <dimension ref="B2:G9"/>
  <sheetViews>
    <sheetView workbookViewId="0">
      <selection activeCell="C10" sqref="C10"/>
    </sheetView>
  </sheetViews>
  <sheetFormatPr defaultRowHeight="15" x14ac:dyDescent="0.25"/>
  <cols>
    <col min="2" max="2" width="26.28515625" bestFit="1" customWidth="1"/>
    <col min="3" max="3" width="31.5703125" bestFit="1" customWidth="1"/>
    <col min="4" max="5" width="10.140625" bestFit="1" customWidth="1"/>
    <col min="6" max="6" width="10.7109375" bestFit="1" customWidth="1"/>
    <col min="7" max="7" width="11.28515625" bestFit="1" customWidth="1"/>
    <col min="8" max="8" width="10.140625" bestFit="1" customWidth="1"/>
    <col min="9" max="9" width="11.140625" bestFit="1" customWidth="1"/>
    <col min="10" max="11" width="10.140625" bestFit="1" customWidth="1"/>
    <col min="12" max="12" width="13.140625" bestFit="1" customWidth="1"/>
    <col min="13" max="14" width="11.140625" bestFit="1" customWidth="1"/>
    <col min="15" max="15" width="10.140625" bestFit="1" customWidth="1"/>
    <col min="16" max="16" width="13.140625" bestFit="1" customWidth="1"/>
    <col min="17" max="17" width="10.28515625" bestFit="1" customWidth="1"/>
    <col min="18" max="19" width="10.140625" bestFit="1" customWidth="1"/>
    <col min="20" max="20" width="13.140625" bestFit="1" customWidth="1"/>
    <col min="21" max="21" width="10.28515625" bestFit="1" customWidth="1"/>
    <col min="22" max="23" width="10.140625" bestFit="1" customWidth="1"/>
    <col min="24" max="24" width="13.140625" bestFit="1" customWidth="1"/>
    <col min="25" max="25" width="10.28515625" bestFit="1" customWidth="1"/>
    <col min="26" max="27" width="10.140625" bestFit="1" customWidth="1"/>
    <col min="28" max="28" width="13.140625" bestFit="1" customWidth="1"/>
    <col min="29" max="29" width="11.140625" bestFit="1" customWidth="1"/>
    <col min="30" max="30" width="13.140625" bestFit="1" customWidth="1"/>
    <col min="31" max="31" width="12.7109375" bestFit="1" customWidth="1"/>
    <col min="32" max="32" width="9" bestFit="1" customWidth="1"/>
    <col min="33" max="36" width="11" bestFit="1" customWidth="1"/>
  </cols>
  <sheetData>
    <row r="2" spans="2:7" x14ac:dyDescent="0.25">
      <c r="B2" s="4" t="s">
        <v>152</v>
      </c>
      <c r="C2" t="s" vm="11">
        <v>239</v>
      </c>
    </row>
    <row r="3" spans="2:7" x14ac:dyDescent="0.25">
      <c r="B3" s="4" t="s">
        <v>244</v>
      </c>
      <c r="C3" t="s" vm="12">
        <v>245</v>
      </c>
    </row>
    <row r="5" spans="2:7" x14ac:dyDescent="0.25">
      <c r="B5" s="4" t="s">
        <v>136</v>
      </c>
      <c r="C5" s="4" t="s">
        <v>137</v>
      </c>
    </row>
    <row r="6" spans="2:7" x14ac:dyDescent="0.25">
      <c r="B6" s="4" t="s">
        <v>242</v>
      </c>
      <c r="C6" s="5">
        <v>43921</v>
      </c>
      <c r="D6" s="5">
        <v>44012</v>
      </c>
      <c r="E6" s="5">
        <v>44104</v>
      </c>
      <c r="F6" s="5">
        <v>44196</v>
      </c>
      <c r="G6" t="s">
        <v>138</v>
      </c>
    </row>
    <row r="7" spans="2:7" x14ac:dyDescent="0.25">
      <c r="B7" s="6" t="s">
        <v>1005</v>
      </c>
      <c r="C7" s="1">
        <v>189729918</v>
      </c>
      <c r="D7" s="1">
        <v>54663521</v>
      </c>
      <c r="E7" s="1">
        <v>45266379</v>
      </c>
      <c r="F7" s="1">
        <v>60422940</v>
      </c>
      <c r="G7" s="1">
        <v>350082758</v>
      </c>
    </row>
    <row r="8" spans="2:7" x14ac:dyDescent="0.25">
      <c r="B8" s="6" t="s">
        <v>1018</v>
      </c>
      <c r="C8" s="1">
        <v>1292222</v>
      </c>
      <c r="D8" s="1">
        <v>1232739</v>
      </c>
      <c r="E8" s="1">
        <v>1151932</v>
      </c>
      <c r="F8" s="1">
        <v>1347492</v>
      </c>
      <c r="G8" s="1">
        <v>5024385</v>
      </c>
    </row>
    <row r="9" spans="2:7" x14ac:dyDescent="0.25">
      <c r="B9" s="6" t="s">
        <v>241</v>
      </c>
      <c r="C9" s="1">
        <v>85526826</v>
      </c>
      <c r="D9" s="1">
        <v>86314846</v>
      </c>
      <c r="E9" s="1">
        <v>92057732</v>
      </c>
      <c r="F9" s="1">
        <v>88597467</v>
      </c>
      <c r="G9" s="1">
        <v>352496871</v>
      </c>
    </row>
  </sheetData>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3">
    <tabColor rgb="FFFFC000"/>
  </sheetPr>
  <dimension ref="B2:AE60"/>
  <sheetViews>
    <sheetView topLeftCell="A37" zoomScaleNormal="100" workbookViewId="0">
      <selection activeCell="O50" sqref="O50"/>
    </sheetView>
  </sheetViews>
  <sheetFormatPr defaultRowHeight="15" x14ac:dyDescent="0.25"/>
  <cols>
    <col min="2" max="2" width="48.85546875" customWidth="1"/>
    <col min="3" max="3" width="22.140625" customWidth="1"/>
    <col min="4" max="4" width="16.85546875" bestFit="1" customWidth="1"/>
    <col min="5" max="5" width="16.28515625" customWidth="1"/>
    <col min="6" max="14" width="12.140625" bestFit="1" customWidth="1"/>
    <col min="15" max="15" width="12.42578125" bestFit="1" customWidth="1"/>
    <col min="16" max="16" width="10.140625" bestFit="1" customWidth="1"/>
    <col min="17" max="17" width="26.7109375" customWidth="1"/>
    <col min="18" max="18" width="14.28515625" style="36" bestFit="1" customWidth="1"/>
    <col min="19" max="19" width="16.85546875" style="36" bestFit="1" customWidth="1"/>
    <col min="20" max="20" width="14.28515625" style="36" bestFit="1" customWidth="1"/>
    <col min="21" max="21" width="14.7109375" style="36" bestFit="1" customWidth="1"/>
    <col min="22" max="22" width="14.28515625" style="36" bestFit="1" customWidth="1"/>
    <col min="23" max="25" width="14.7109375" style="36" bestFit="1" customWidth="1"/>
    <col min="26" max="26" width="14.28515625" style="36" bestFit="1" customWidth="1"/>
    <col min="27" max="27" width="14.7109375" style="36" bestFit="1" customWidth="1"/>
    <col min="28" max="29" width="14.28515625" style="36" bestFit="1" customWidth="1"/>
    <col min="30" max="30" width="15.28515625" style="36" bestFit="1" customWidth="1"/>
    <col min="31" max="31" width="11" bestFit="1" customWidth="1"/>
    <col min="32" max="33" width="10.140625" bestFit="1" customWidth="1"/>
    <col min="34" max="34" width="13.140625" bestFit="1" customWidth="1"/>
    <col min="35" max="35" width="11.140625" bestFit="1" customWidth="1"/>
    <col min="36" max="36" width="13.140625" bestFit="1" customWidth="1"/>
    <col min="37" max="37" width="12.7109375" bestFit="1" customWidth="1"/>
    <col min="38" max="38" width="9" bestFit="1" customWidth="1"/>
    <col min="39" max="42" width="11" bestFit="1" customWidth="1"/>
  </cols>
  <sheetData>
    <row r="2" spans="2:30" x14ac:dyDescent="0.25">
      <c r="B2" s="4" t="s">
        <v>152</v>
      </c>
      <c r="C2" t="s" vm="11">
        <v>239</v>
      </c>
      <c r="Q2" s="142" t="s">
        <v>152</v>
      </c>
      <c r="R2" s="143" t="s" vm="118">
        <v>248</v>
      </c>
    </row>
    <row r="3" spans="2:30" x14ac:dyDescent="0.25">
      <c r="B3" s="4" t="s">
        <v>244</v>
      </c>
      <c r="C3" t="s" vm="12">
        <v>245</v>
      </c>
      <c r="Q3" s="142" t="s">
        <v>244</v>
      </c>
      <c r="R3" s="143" t="s" vm="12">
        <v>245</v>
      </c>
    </row>
    <row r="5" spans="2:30" x14ac:dyDescent="0.25">
      <c r="B5" t="str" vm="9">
        <f>CUBEMEMBER("ThisWorkbookDataModel","[Measures].[Sum of Износ]")</f>
        <v>Sum of Износ</v>
      </c>
      <c r="C5" t="s">
        <v>137</v>
      </c>
      <c r="D5" s="7" t="str" vm="2153">
        <f>CUBEMEMBER("ThisWorkbookDataModel","[Calendar].[Date Hierarchy].[Year].&amp;[2023]")</f>
        <v>2023</v>
      </c>
      <c r="Q5" t="str" vm="9">
        <f>CUBEMEMBER("ThisWorkbookDataModel","[Measures].[Sum of Износ]")</f>
        <v>Sum of Износ</v>
      </c>
      <c r="R5" s="36" t="s">
        <v>137</v>
      </c>
      <c r="S5" s="144" t="str" vm="248">
        <f>CUBEMEMBER("ThisWorkbookDataModel","[Calendar].[Date Hierarchy].[Year].&amp;[2021]")</f>
        <v>2021</v>
      </c>
    </row>
    <row r="6" spans="2:30" x14ac:dyDescent="0.25">
      <c r="B6" t="s">
        <v>242</v>
      </c>
      <c r="C6" t="str" vm="13">
        <f>CUBEMEMBER("ThisWorkbookDataModel","[Calendar].[Месец].&amp;[Jan]")</f>
        <v>Jan</v>
      </c>
      <c r="D6" t="str" vm="14">
        <f>CUBEMEMBER("ThisWorkbookDataModel","[Calendar].[Месец].&amp;[Feb]")</f>
        <v>Feb</v>
      </c>
      <c r="E6" t="str" vm="15">
        <f>CUBEMEMBER("ThisWorkbookDataModel","[Calendar].[Месец].&amp;[Mar]")</f>
        <v>Mar</v>
      </c>
      <c r="F6" t="str" vm="16">
        <f>CUBEMEMBER("ThisWorkbookDataModel","[Calendar].[Месец].&amp;[Apr]")</f>
        <v>Apr</v>
      </c>
      <c r="G6" t="str" vm="17">
        <f>CUBEMEMBER("ThisWorkbookDataModel","[Calendar].[Месец].&amp;[May]")</f>
        <v>May</v>
      </c>
      <c r="H6" t="str" vm="18">
        <f>CUBEMEMBER("ThisWorkbookDataModel","[Calendar].[Месец].&amp;[Jun]")</f>
        <v>Jun</v>
      </c>
      <c r="I6" t="str" vm="19">
        <f>CUBEMEMBER("ThisWorkbookDataModel","[Calendar].[Месец].&amp;[Jul]")</f>
        <v>Jul</v>
      </c>
      <c r="J6" t="str" vm="20">
        <f>CUBEMEMBER("ThisWorkbookDataModel","[Calendar].[Месец].&amp;[Aug]")</f>
        <v>Aug</v>
      </c>
      <c r="K6" t="str" vm="21">
        <f>CUBEMEMBER("ThisWorkbookDataModel","[Calendar].[Месец].&amp;[Sep]")</f>
        <v>Sep</v>
      </c>
      <c r="L6" t="str" vm="22">
        <f>CUBEMEMBER("ThisWorkbookDataModel","[Calendar].[Месец].&amp;[Oct]")</f>
        <v>Oct</v>
      </c>
      <c r="M6" t="str" vm="23">
        <f>CUBEMEMBER("ThisWorkbookDataModel","[Calendar].[Месец].&amp;[Nov]")</f>
        <v>Nov</v>
      </c>
      <c r="N6" t="str" vm="24">
        <f>CUBEMEMBER("ThisWorkbookDataModel","[Calendar].[Месец].&amp;[Dec]")</f>
        <v>Dec</v>
      </c>
      <c r="O6" t="str" vm="25">
        <f>CUBEMEMBER("ThisWorkbookDataModel","[Calendar].[Месец].[All]","Grand Total")</f>
        <v>Grand Total</v>
      </c>
      <c r="Q6" t="s">
        <v>242</v>
      </c>
      <c r="R6" s="36" t="str" vm="13">
        <f>CUBEMEMBER("ThisWorkbookDataModel","[Calendar].[Месец].&amp;[Jan]")</f>
        <v>Jan</v>
      </c>
      <c r="S6" s="36" t="str" vm="14">
        <f>CUBEMEMBER("ThisWorkbookDataModel","[Calendar].[Месец].&amp;[Feb]")</f>
        <v>Feb</v>
      </c>
      <c r="T6" s="36" t="str" vm="15">
        <f>CUBEMEMBER("ThisWorkbookDataModel","[Calendar].[Месец].&amp;[Mar]")</f>
        <v>Mar</v>
      </c>
      <c r="U6" s="36" t="str" vm="16">
        <f>CUBEMEMBER("ThisWorkbookDataModel","[Calendar].[Месец].&amp;[Apr]")</f>
        <v>Apr</v>
      </c>
      <c r="V6" s="36" t="str" vm="17">
        <f>CUBEMEMBER("ThisWorkbookDataModel","[Calendar].[Месец].&amp;[May]")</f>
        <v>May</v>
      </c>
      <c r="W6" s="36" t="str" vm="18">
        <f>CUBEMEMBER("ThisWorkbookDataModel","[Calendar].[Месец].&amp;[Jun]")</f>
        <v>Jun</v>
      </c>
      <c r="X6" s="36" t="str" vm="19">
        <f>CUBEMEMBER("ThisWorkbookDataModel","[Calendar].[Месец].&amp;[Jul]")</f>
        <v>Jul</v>
      </c>
      <c r="Y6" s="36" t="str" vm="20">
        <f>CUBEMEMBER("ThisWorkbookDataModel","[Calendar].[Месец].&amp;[Aug]")</f>
        <v>Aug</v>
      </c>
      <c r="Z6" s="36" t="str" vm="21">
        <f>CUBEMEMBER("ThisWorkbookDataModel","[Calendar].[Месец].&amp;[Sep]")</f>
        <v>Sep</v>
      </c>
      <c r="AA6" s="36" t="str" vm="22">
        <f>CUBEMEMBER("ThisWorkbookDataModel","[Calendar].[Месец].&amp;[Oct]")</f>
        <v>Oct</v>
      </c>
      <c r="AB6" s="36" t="str" vm="23">
        <f>CUBEMEMBER("ThisWorkbookDataModel","[Calendar].[Месец].&amp;[Nov]")</f>
        <v>Nov</v>
      </c>
      <c r="AC6" s="36" t="str" vm="24">
        <f>CUBEMEMBER("ThisWorkbookDataModel","[Calendar].[Месец].&amp;[Dec]")</f>
        <v>Dec</v>
      </c>
      <c r="AD6" s="36" t="str" vm="25">
        <f>CUBEMEMBER("ThisWorkbookDataModel","[Calendar].[Месец].[All]","Grand Total")</f>
        <v>Grand Total</v>
      </c>
    </row>
    <row r="7" spans="2:30" s="8" customFormat="1" x14ac:dyDescent="0.25">
      <c r="B7" s="99" t="str" vm="58">
        <f>CUBEMEMBER("ThisWorkbookDataModel","[fActualAndBudget].[StavkaKategorija].&amp;[2.29. Приходи од продажба]")</f>
        <v>2.29. Приходи од продажба</v>
      </c>
      <c r="C7" s="100" vm="2408">
        <f t="shared" ref="C7:O8" si="0">CUBEVALUE("ThisWorkbookDataModel",$C$2,$C$3,$B$5,$B7,C$6,$D$5)</f>
        <v>16955209</v>
      </c>
      <c r="D7" s="100" vm="2720">
        <f t="shared" si="0"/>
        <v>93947569</v>
      </c>
      <c r="E7" s="100" vm="2683">
        <f t="shared" si="0"/>
        <v>106439646</v>
      </c>
      <c r="F7" s="100" vm="2214">
        <f t="shared" si="0"/>
        <v>19811282</v>
      </c>
      <c r="G7" s="100" vm="2484">
        <f t="shared" si="0"/>
        <v>22077767</v>
      </c>
      <c r="H7" s="100" vm="2624">
        <f t="shared" si="0"/>
        <v>21254343</v>
      </c>
      <c r="I7" s="100" vm="2321">
        <f t="shared" si="0"/>
        <v>18347728</v>
      </c>
      <c r="J7" s="100" vm="2551">
        <f t="shared" si="0"/>
        <v>15632303</v>
      </c>
      <c r="K7" s="100" vm="2330">
        <f t="shared" si="0"/>
        <v>20820074</v>
      </c>
      <c r="L7" s="100" vm="2443">
        <f t="shared" si="0"/>
        <v>20439944</v>
      </c>
      <c r="M7" s="100" vm="2480">
        <f t="shared" si="0"/>
        <v>18846250</v>
      </c>
      <c r="N7" s="100" vm="2522">
        <f t="shared" si="0"/>
        <v>25237331</v>
      </c>
      <c r="O7" s="100" vm="2469">
        <f t="shared" si="0"/>
        <v>399809446</v>
      </c>
      <c r="Q7" s="8" t="str" vm="58">
        <f>CUBEMEMBER("ThisWorkbookDataModel","[fActualAndBudget].[StavkaKategorija].&amp;[2.29. Приходи од продажба]")</f>
        <v>2.29. Приходи од продажба</v>
      </c>
      <c r="R7" s="100" t="str" vm="580">
        <f t="shared" ref="R7:R23" si="1">CUBEVALUE("ThisWorkbookDataModel",$R$2,$R$3,$B$5,$B7,R$6,$S$5)</f>
        <v/>
      </c>
      <c r="S7" s="100" t="str" vm="504">
        <f t="shared" ref="S7:AD22" si="2">CUBEVALUE("ThisWorkbookDataModel",$R$2,$R$3,$B$5,$B7,S$6,$S$5)</f>
        <v/>
      </c>
      <c r="T7" s="100" t="str" vm="587">
        <f t="shared" si="2"/>
        <v/>
      </c>
      <c r="U7" s="100" t="str" vm="608">
        <f t="shared" si="2"/>
        <v/>
      </c>
      <c r="V7" s="100" t="str" vm="371">
        <f t="shared" si="2"/>
        <v/>
      </c>
      <c r="W7" s="100" t="str" vm="549">
        <f t="shared" si="2"/>
        <v/>
      </c>
      <c r="X7" s="100" t="str" vm="667">
        <f t="shared" si="2"/>
        <v/>
      </c>
      <c r="Y7" s="100" t="str" vm="707">
        <f t="shared" si="2"/>
        <v/>
      </c>
      <c r="Z7" s="100" t="str" vm="714">
        <f t="shared" si="2"/>
        <v/>
      </c>
      <c r="AA7" s="100" t="str" vm="638">
        <f t="shared" si="2"/>
        <v/>
      </c>
      <c r="AB7" s="100" t="str" vm="600">
        <f t="shared" si="2"/>
        <v/>
      </c>
      <c r="AC7" s="100" t="str" vm="335">
        <f t="shared" si="2"/>
        <v/>
      </c>
      <c r="AD7" s="100" t="str" vm="329">
        <f t="shared" si="2"/>
        <v/>
      </c>
    </row>
    <row r="8" spans="2:30" x14ac:dyDescent="0.25">
      <c r="B8" s="7" t="str" vm="45">
        <f>CUBEMEMBER("ThisWorkbookDataModel",{"[fActualAndBudget].[StavkaKategorija].&amp;[2.29. Приходи од продажба]","[fActualAndBudget].[StavkaImeMK].&amp;[Приходи од годишни сметки]"})</f>
        <v>Приходи од годишни сметки</v>
      </c>
      <c r="C8" s="36" vm="2671">
        <f>CUBEVALUE("ThisWorkbookDataModel",$C$2,$C$3,$B$5,$B8,C$6,$D$5)</f>
        <v>3574993</v>
      </c>
      <c r="D8" s="36" vm="2155">
        <f>CUBEVALUE("ThisWorkbookDataModel",$C$2,$C$3,$B$5,$B8,D$6,$D$5)</f>
        <v>73634200</v>
      </c>
      <c r="E8" s="36" vm="2678">
        <f t="shared" si="0"/>
        <v>85037136</v>
      </c>
      <c r="F8" s="36" vm="2533">
        <f t="shared" si="0"/>
        <v>3517434</v>
      </c>
      <c r="G8" s="36" vm="2567">
        <f t="shared" si="0"/>
        <v>2199866</v>
      </c>
      <c r="H8" s="36" vm="2311">
        <f t="shared" si="0"/>
        <v>2049086</v>
      </c>
      <c r="I8" s="36" vm="2721">
        <f t="shared" si="0"/>
        <v>3042151</v>
      </c>
      <c r="J8" s="36" vm="2673">
        <f t="shared" si="0"/>
        <v>2301101</v>
      </c>
      <c r="K8" s="36" vm="2737">
        <f t="shared" si="0"/>
        <v>2425682</v>
      </c>
      <c r="L8" s="36" vm="2493">
        <f t="shared" si="0"/>
        <v>2419980</v>
      </c>
      <c r="M8" s="36" vm="2509">
        <f t="shared" si="0"/>
        <v>1377066</v>
      </c>
      <c r="N8" s="36" vm="2648">
        <f t="shared" si="0"/>
        <v>4414240</v>
      </c>
      <c r="O8" s="36" vm="2638">
        <f t="shared" si="0"/>
        <v>185992935</v>
      </c>
      <c r="Q8" t="str" vm="45">
        <f>CUBEMEMBER("ThisWorkbookDataModel",{"[fActualAndBudget].[StavkaKategorija].&amp;[2.29. Приходи од продажба]","[fActualAndBudget].[StavkaImeMK].&amp;[Приходи од годишни сметки]"})</f>
        <v>Приходи од годишни сметки</v>
      </c>
      <c r="R8" s="36" t="str" vm="487">
        <f t="shared" si="1"/>
        <v/>
      </c>
      <c r="S8" s="36" t="str" vm="803">
        <f t="shared" si="2"/>
        <v/>
      </c>
      <c r="T8" s="36" t="str" vm="293">
        <f t="shared" si="2"/>
        <v/>
      </c>
      <c r="U8" s="36" t="str" vm="406">
        <f t="shared" si="2"/>
        <v/>
      </c>
      <c r="V8" s="36" t="str" vm="521">
        <f t="shared" si="2"/>
        <v/>
      </c>
      <c r="W8" s="36" t="str" vm="518">
        <f t="shared" si="2"/>
        <v/>
      </c>
      <c r="X8" s="36" t="str" vm="781">
        <f t="shared" si="2"/>
        <v/>
      </c>
      <c r="Y8" s="36" t="str" vm="614">
        <f t="shared" si="2"/>
        <v/>
      </c>
      <c r="Z8" s="36" t="str" vm="367">
        <f t="shared" si="2"/>
        <v/>
      </c>
      <c r="AA8" s="36" t="str" vm="590">
        <f t="shared" si="2"/>
        <v/>
      </c>
      <c r="AB8" s="36" t="str" vm="368">
        <f t="shared" si="2"/>
        <v/>
      </c>
      <c r="AC8" s="36" t="str" vm="684">
        <f t="shared" si="2"/>
        <v/>
      </c>
      <c r="AD8" s="36" t="str" vm="817">
        <f t="shared" si="2"/>
        <v/>
      </c>
    </row>
    <row r="9" spans="2:30" x14ac:dyDescent="0.25">
      <c r="B9" s="7" t="str" vm="49">
        <f>CUBEMEMBER("ThisWorkbookDataModel",{"[fActualAndBudget].[StavkaKategorija].&amp;[2.29. Приходи од продажба]","[fActualAndBudget].[StavkaImeMK].&amp;[Приходи од заложен регистар]"})</f>
        <v>Приходи од заложен регистар</v>
      </c>
      <c r="C9" s="36" vm="2549">
        <f t="shared" ref="C9:O24" si="3">CUBEVALUE("ThisWorkbookDataModel",$C$2,$C$3,$B$5,$B9,C$6,$D$5)</f>
        <v>110780</v>
      </c>
      <c r="D9" s="36" vm="2708">
        <f t="shared" si="3"/>
        <v>163412</v>
      </c>
      <c r="E9" s="36" vm="2553">
        <f t="shared" si="3"/>
        <v>197960</v>
      </c>
      <c r="F9" s="36" vm="2523">
        <f t="shared" si="3"/>
        <v>194014</v>
      </c>
      <c r="G9" s="36" vm="2766">
        <f t="shared" si="3"/>
        <v>165283</v>
      </c>
      <c r="H9" s="36" vm="2609">
        <f t="shared" si="3"/>
        <v>139048</v>
      </c>
      <c r="I9" s="36" vm="2460">
        <f t="shared" si="3"/>
        <v>151664</v>
      </c>
      <c r="J9" s="36" vm="2429">
        <f t="shared" si="3"/>
        <v>157182</v>
      </c>
      <c r="K9" s="36" vm="2193">
        <f t="shared" si="3"/>
        <v>195796</v>
      </c>
      <c r="L9" s="36" vm="2733">
        <f t="shared" si="3"/>
        <v>185577</v>
      </c>
      <c r="M9" s="36" vm="2202">
        <f t="shared" si="3"/>
        <v>193307</v>
      </c>
      <c r="N9" s="36" vm="2259">
        <f t="shared" si="3"/>
        <v>215739</v>
      </c>
      <c r="O9" s="36" vm="2568">
        <f t="shared" si="3"/>
        <v>2069762</v>
      </c>
      <c r="Q9" t="str" vm="49">
        <f>CUBEMEMBER("ThisWorkbookDataModel",{"[fActualAndBudget].[StavkaKategorija].&amp;[2.29. Приходи од продажба]","[fActualAndBudget].[StavkaImeMK].&amp;[Приходи од заложен регистар]"})</f>
        <v>Приходи од заложен регистар</v>
      </c>
      <c r="R9" s="36" t="str" vm="562">
        <f t="shared" si="1"/>
        <v/>
      </c>
      <c r="S9" s="36" t="str" vm="289">
        <f t="shared" si="2"/>
        <v/>
      </c>
      <c r="T9" s="36" t="str" vm="444">
        <f t="shared" si="2"/>
        <v/>
      </c>
      <c r="U9" s="36" t="str" vm="622">
        <f t="shared" si="2"/>
        <v/>
      </c>
      <c r="V9" s="36" t="str" vm="558">
        <f t="shared" si="2"/>
        <v/>
      </c>
      <c r="W9" s="36" t="str" vm="319">
        <f t="shared" si="2"/>
        <v/>
      </c>
      <c r="X9" s="36" t="str" vm="688">
        <f t="shared" si="2"/>
        <v/>
      </c>
      <c r="Y9" s="36" t="str" vm="827">
        <f t="shared" si="2"/>
        <v/>
      </c>
      <c r="Z9" s="36" t="str" vm="425">
        <f t="shared" si="2"/>
        <v/>
      </c>
      <c r="AA9" s="36" t="str" vm="469">
        <f t="shared" si="2"/>
        <v/>
      </c>
      <c r="AB9" s="36" t="str" vm="483">
        <f t="shared" si="2"/>
        <v/>
      </c>
      <c r="AC9" s="36" t="str" vm="427">
        <f t="shared" si="2"/>
        <v/>
      </c>
      <c r="AD9" s="36" t="str" vm="313">
        <f t="shared" si="2"/>
        <v/>
      </c>
    </row>
    <row r="10" spans="2:30" x14ac:dyDescent="0.25">
      <c r="B10" s="7" t="str" vm="41">
        <f>CUBEMEMBER("ThisWorkbookDataModel",{"[fActualAndBudget].[StavkaKategorija].&amp;[2.29. Приходи од продажба]","[fActualAndBudget].[StavkaImeMK].&amp;[Приходи од интернет дистрибутивен систем]"})</f>
        <v>Приходи од интернет дистрибутивен систем</v>
      </c>
      <c r="C10" s="36" vm="2354">
        <f t="shared" si="3"/>
        <v>2429894</v>
      </c>
      <c r="D10" s="36" vm="2545">
        <f t="shared" si="3"/>
        <v>3944646</v>
      </c>
      <c r="E10" s="36" vm="2498">
        <f t="shared" si="3"/>
        <v>3887447</v>
      </c>
      <c r="F10" s="36" vm="2294">
        <f t="shared" si="3"/>
        <v>3109913</v>
      </c>
      <c r="G10" s="36" vm="2751">
        <f t="shared" si="3"/>
        <v>2519003</v>
      </c>
      <c r="H10" s="36" vm="2350">
        <f t="shared" si="3"/>
        <v>3069835</v>
      </c>
      <c r="I10" s="36" vm="2305">
        <f t="shared" si="3"/>
        <v>2608232</v>
      </c>
      <c r="J10" s="36" vm="2688">
        <f t="shared" si="3"/>
        <v>2232168</v>
      </c>
      <c r="K10" s="36" vm="2199">
        <f t="shared" si="3"/>
        <v>2696710</v>
      </c>
      <c r="L10" s="36" vm="2285">
        <f t="shared" si="3"/>
        <v>2572820</v>
      </c>
      <c r="M10" s="36" vm="2587">
        <f t="shared" si="3"/>
        <v>2896224</v>
      </c>
      <c r="N10" s="36" vm="2389">
        <f t="shared" si="3"/>
        <v>3430277</v>
      </c>
      <c r="O10" s="36" vm="2307">
        <f t="shared" si="3"/>
        <v>35397169</v>
      </c>
      <c r="Q10" t="str" vm="41">
        <f>CUBEMEMBER("ThisWorkbookDataModel",{"[fActualAndBudget].[StavkaKategorija].&amp;[2.29. Приходи од продажба]","[fActualAndBudget].[StavkaImeMK].&amp;[Приходи од интернет дистрибутивен систем]"})</f>
        <v>Приходи од интернет дистрибутивен систем</v>
      </c>
      <c r="R10" s="36" t="str" vm="304">
        <f t="shared" si="1"/>
        <v/>
      </c>
      <c r="S10" s="36" t="str" vm="448">
        <f t="shared" si="2"/>
        <v/>
      </c>
      <c r="T10" s="36" t="str" vm="491">
        <f t="shared" si="2"/>
        <v/>
      </c>
      <c r="U10" s="36" t="str" vm="603">
        <f t="shared" si="2"/>
        <v/>
      </c>
      <c r="V10" s="36" t="str" vm="605">
        <f t="shared" si="2"/>
        <v/>
      </c>
      <c r="W10" s="36" t="str" vm="280">
        <f t="shared" si="2"/>
        <v/>
      </c>
      <c r="X10" s="36" t="str" vm="691">
        <f t="shared" si="2"/>
        <v/>
      </c>
      <c r="Y10" s="36" t="str" vm="502">
        <f t="shared" si="2"/>
        <v/>
      </c>
      <c r="Z10" s="36" t="str" vm="631">
        <f t="shared" si="2"/>
        <v/>
      </c>
      <c r="AA10" s="36" t="str" vm="601">
        <f t="shared" si="2"/>
        <v/>
      </c>
      <c r="AB10" s="36" t="str" vm="703">
        <f t="shared" si="2"/>
        <v/>
      </c>
      <c r="AC10" s="36" t="str" vm="696">
        <f t="shared" si="2"/>
        <v/>
      </c>
      <c r="AD10" s="36" t="str" vm="629">
        <f t="shared" si="2"/>
        <v/>
      </c>
    </row>
    <row r="11" spans="2:30" x14ac:dyDescent="0.25">
      <c r="B11" s="7" t="str" vm="38">
        <f>CUBEMEMBER("ThisWorkbookDataModel",{"[fActualAndBudget].[StavkaKategorija].&amp;[2.29. Приходи од продажба]","[fActualAndBudget].[StavkaImeMK].&amp;[Приходи од прекршочна постапка]"})</f>
        <v>Приходи од прекршочна постапка</v>
      </c>
      <c r="C11" s="36" t="str" vm="2468">
        <f t="shared" si="3"/>
        <v/>
      </c>
      <c r="D11" s="36" t="str" vm="2483">
        <f t="shared" si="3"/>
        <v/>
      </c>
      <c r="E11" s="36" t="str" vm="2596">
        <f t="shared" si="3"/>
        <v/>
      </c>
      <c r="F11" s="36" t="str" vm="2579">
        <f t="shared" si="3"/>
        <v/>
      </c>
      <c r="G11" s="36" t="str" vm="2291">
        <f t="shared" si="3"/>
        <v/>
      </c>
      <c r="H11" s="36" t="str" vm="2163">
        <f t="shared" si="3"/>
        <v/>
      </c>
      <c r="I11" s="36" t="str" vm="2561">
        <f t="shared" si="3"/>
        <v/>
      </c>
      <c r="J11" s="36" t="str" vm="2602">
        <f t="shared" si="3"/>
        <v/>
      </c>
      <c r="K11" s="36" t="str" vm="2633">
        <f t="shared" si="3"/>
        <v/>
      </c>
      <c r="L11" s="36" t="str" vm="2698">
        <f t="shared" si="3"/>
        <v/>
      </c>
      <c r="M11" s="36" t="str" vm="2180">
        <f t="shared" si="3"/>
        <v/>
      </c>
      <c r="N11" s="36" t="str" vm="2241">
        <f t="shared" si="3"/>
        <v/>
      </c>
      <c r="O11" s="36" t="str" vm="2194">
        <f t="shared" si="3"/>
        <v/>
      </c>
      <c r="Q11" t="str" vm="38">
        <f>CUBEMEMBER("ThisWorkbookDataModel",{"[fActualAndBudget].[StavkaKategorija].&amp;[2.29. Приходи од продажба]","[fActualAndBudget].[StavkaImeMK].&amp;[Приходи од прекршочна постапка]"})</f>
        <v>Приходи од прекршочна постапка</v>
      </c>
      <c r="R11" s="36" t="str" vm="401">
        <f t="shared" si="1"/>
        <v/>
      </c>
      <c r="S11" s="36" t="str" vm="456">
        <f t="shared" si="2"/>
        <v/>
      </c>
      <c r="T11" s="36" t="str" vm="385">
        <f t="shared" si="2"/>
        <v/>
      </c>
      <c r="U11" s="36" t="str" vm="372">
        <f t="shared" si="2"/>
        <v/>
      </c>
      <c r="V11" s="36" t="str" vm="286">
        <f t="shared" si="2"/>
        <v/>
      </c>
      <c r="W11" s="36" t="str" vm="291">
        <f t="shared" si="2"/>
        <v/>
      </c>
      <c r="X11" s="36" t="str" vm="295">
        <f t="shared" si="2"/>
        <v/>
      </c>
      <c r="Y11" s="36" t="str" vm="274">
        <f t="shared" si="2"/>
        <v/>
      </c>
      <c r="Z11" s="36" t="str" vm="717">
        <f t="shared" si="2"/>
        <v/>
      </c>
      <c r="AA11" s="36" t="str" vm="409">
        <f t="shared" si="2"/>
        <v/>
      </c>
      <c r="AB11" s="36" t="str" vm="270">
        <f t="shared" si="2"/>
        <v/>
      </c>
      <c r="AC11" s="36" t="str" vm="305">
        <f t="shared" si="2"/>
        <v/>
      </c>
      <c r="AD11" s="36" t="str" vm="455">
        <f t="shared" si="2"/>
        <v/>
      </c>
    </row>
    <row r="12" spans="2:30" x14ac:dyDescent="0.25">
      <c r="B12" s="7" t="str" vm="32">
        <f>CUBEMEMBER("ThisWorkbookDataModel",{"[fActualAndBudget].[StavkaKategorija].&amp;[2.29. Приходи од продажба]","[fActualAndBudget].[StavkaImeMK].&amp;[Приходи од регистар на директни странски инвестиции]"})</f>
        <v>Приходи од регистар на директни странски инвестиции</v>
      </c>
      <c r="C12" s="36" vm="2556">
        <f t="shared" si="3"/>
        <v>84602</v>
      </c>
      <c r="D12" s="36" vm="2719">
        <f t="shared" si="3"/>
        <v>106987</v>
      </c>
      <c r="E12" s="36" vm="2289">
        <f t="shared" si="3"/>
        <v>114072</v>
      </c>
      <c r="F12" s="36" vm="2651">
        <f t="shared" si="3"/>
        <v>97292</v>
      </c>
      <c r="G12" s="36" vm="2167">
        <f t="shared" si="3"/>
        <v>96805</v>
      </c>
      <c r="H12" s="36" vm="2349">
        <f t="shared" si="3"/>
        <v>129404</v>
      </c>
      <c r="I12" s="36" vm="2646">
        <f t="shared" si="3"/>
        <v>89194</v>
      </c>
      <c r="J12" s="36" vm="2605">
        <f t="shared" si="3"/>
        <v>82725</v>
      </c>
      <c r="K12" s="36" vm="2296">
        <f t="shared" si="3"/>
        <v>99624</v>
      </c>
      <c r="L12" s="36" vm="2346">
        <f t="shared" si="3"/>
        <v>88216</v>
      </c>
      <c r="M12" s="36" vm="2336">
        <f t="shared" si="3"/>
        <v>109646</v>
      </c>
      <c r="N12" s="36" vm="2658">
        <f t="shared" si="3"/>
        <v>120386</v>
      </c>
      <c r="O12" s="36" vm="2188">
        <f t="shared" si="3"/>
        <v>1218953</v>
      </c>
      <c r="Q12" t="str" vm="32">
        <f>CUBEMEMBER("ThisWorkbookDataModel",{"[fActualAndBudget].[StavkaKategorija].&amp;[2.29. Приходи од продажба]","[fActualAndBudget].[StavkaImeMK].&amp;[Приходи од регистар на директни странски инвестиции]"})</f>
        <v>Приходи од регистар на директни странски инвестиции</v>
      </c>
      <c r="R12" s="36" t="str" vm="655">
        <f t="shared" si="1"/>
        <v/>
      </c>
      <c r="S12" s="36" t="str" vm="561">
        <f t="shared" si="2"/>
        <v/>
      </c>
      <c r="T12" s="36" t="str" vm="268">
        <f t="shared" si="2"/>
        <v/>
      </c>
      <c r="U12" s="36" t="str" vm="347">
        <f t="shared" si="2"/>
        <v/>
      </c>
      <c r="V12" s="36" t="str" vm="598">
        <f t="shared" si="2"/>
        <v/>
      </c>
      <c r="W12" s="36" t="str" vm="645">
        <f t="shared" si="2"/>
        <v/>
      </c>
      <c r="X12" s="36" t="str" vm="635">
        <f t="shared" si="2"/>
        <v/>
      </c>
      <c r="Y12" s="36" t="str" vm="564">
        <f t="shared" si="2"/>
        <v/>
      </c>
      <c r="Z12" s="36" t="str" vm="554">
        <f t="shared" si="2"/>
        <v/>
      </c>
      <c r="AA12" s="36" t="str" vm="315">
        <f t="shared" si="2"/>
        <v/>
      </c>
      <c r="AB12" s="36" t="str" vm="433">
        <f t="shared" si="2"/>
        <v/>
      </c>
      <c r="AC12" s="36" t="str" vm="859">
        <f t="shared" si="2"/>
        <v/>
      </c>
      <c r="AD12" s="36" t="str" vm="852">
        <f t="shared" si="2"/>
        <v/>
      </c>
    </row>
    <row r="13" spans="2:30" x14ac:dyDescent="0.25">
      <c r="B13" s="7" t="str" vm="71">
        <f>CUBEMEMBER("ThisWorkbookDataModel",{"[fActualAndBudget].[StavkaKategorija].&amp;[2.29. Приходи од продажба]","[fActualAndBudget].[StavkaImeMK].&amp;[Приходи од регистар на задолжница]"})</f>
        <v>Приходи од регистар на задолжница</v>
      </c>
      <c r="C13" s="36" vm="2750">
        <f t="shared" si="3"/>
        <v>0</v>
      </c>
      <c r="D13" s="36" vm="2703">
        <f t="shared" si="3"/>
        <v>0</v>
      </c>
      <c r="E13" s="36" vm="2436">
        <f t="shared" si="3"/>
        <v>0</v>
      </c>
      <c r="F13" s="36" vm="2464">
        <f t="shared" si="3"/>
        <v>0</v>
      </c>
      <c r="G13" s="36" vm="2225">
        <f t="shared" si="3"/>
        <v>0</v>
      </c>
      <c r="H13" s="36" vm="2363">
        <f t="shared" si="3"/>
        <v>0</v>
      </c>
      <c r="I13" s="36" vm="2699">
        <f t="shared" si="3"/>
        <v>0</v>
      </c>
      <c r="J13" s="36" vm="2584">
        <f t="shared" si="3"/>
        <v>0</v>
      </c>
      <c r="K13" s="36" vm="2332">
        <f t="shared" si="3"/>
        <v>0</v>
      </c>
      <c r="L13" s="36" vm="2739">
        <f t="shared" si="3"/>
        <v>0</v>
      </c>
      <c r="M13" s="36" vm="2356">
        <f t="shared" si="3"/>
        <v>0</v>
      </c>
      <c r="N13" s="36" vm="2329">
        <f t="shared" si="3"/>
        <v>0</v>
      </c>
      <c r="O13" s="36" vm="2571">
        <f t="shared" si="3"/>
        <v>0</v>
      </c>
      <c r="Q13" t="str" vm="71">
        <f>CUBEMEMBER("ThisWorkbookDataModel",{"[fActualAndBudget].[StavkaKategorija].&amp;[2.29. Приходи од продажба]","[fActualAndBudget].[StavkaImeMK].&amp;[Приходи од регистар на задолжница]"})</f>
        <v>Приходи од регистар на задолжница</v>
      </c>
      <c r="R13" s="36" t="str" vm="582">
        <f t="shared" si="1"/>
        <v/>
      </c>
      <c r="S13" s="36" t="str" vm="575">
        <f t="shared" si="2"/>
        <v/>
      </c>
      <c r="T13" s="36" t="str" vm="775">
        <f t="shared" si="2"/>
        <v/>
      </c>
      <c r="U13" s="36" t="str" vm="346">
        <f t="shared" si="2"/>
        <v/>
      </c>
      <c r="V13" s="36" t="str" vm="787">
        <f t="shared" si="2"/>
        <v/>
      </c>
      <c r="W13" s="36" t="str" vm="583">
        <f t="shared" si="2"/>
        <v/>
      </c>
      <c r="X13" s="36" t="str" vm="571">
        <f t="shared" si="2"/>
        <v/>
      </c>
      <c r="Y13" s="36" t="str" vm="765">
        <f t="shared" si="2"/>
        <v/>
      </c>
      <c r="Z13" s="36" t="str" vm="673">
        <f t="shared" si="2"/>
        <v/>
      </c>
      <c r="AA13" s="36" t="str" vm="828">
        <f t="shared" si="2"/>
        <v/>
      </c>
      <c r="AB13" s="36" t="str" vm="676">
        <f t="shared" si="2"/>
        <v/>
      </c>
      <c r="AC13" s="36" t="str" vm="446">
        <f t="shared" si="2"/>
        <v/>
      </c>
      <c r="AD13" s="36" t="str" vm="665">
        <f t="shared" si="2"/>
        <v/>
      </c>
    </row>
    <row r="14" spans="2:30" x14ac:dyDescent="0.25">
      <c r="B14" s="7" t="str" vm="28">
        <f>CUBEMEMBER("ThisWorkbookDataModel",{"[fActualAndBudget].[StavkaKategorija].&amp;[2.29. Приходи од продажба]","[fActualAndBudget].[StavkaImeMK].&amp;[Приходи од Регистар на лизинг]"})</f>
        <v>Приходи од Регистар на лизинг</v>
      </c>
      <c r="C14" s="36" vm="2283">
        <f t="shared" si="3"/>
        <v>38400</v>
      </c>
      <c r="D14" s="36" vm="2334">
        <f t="shared" si="3"/>
        <v>75300</v>
      </c>
      <c r="E14" s="36" vm="2715">
        <f t="shared" si="3"/>
        <v>90935</v>
      </c>
      <c r="F14" s="36" vm="2562">
        <f t="shared" si="3"/>
        <v>66244</v>
      </c>
      <c r="G14" s="36" vm="2657">
        <f t="shared" si="3"/>
        <v>86875</v>
      </c>
      <c r="H14" s="36" vm="2369">
        <f t="shared" si="3"/>
        <v>129650</v>
      </c>
      <c r="I14" s="36" vm="2774">
        <f t="shared" si="3"/>
        <v>89998</v>
      </c>
      <c r="J14" s="36" vm="2697">
        <f t="shared" si="3"/>
        <v>102419</v>
      </c>
      <c r="K14" s="36" vm="2323">
        <f t="shared" si="3"/>
        <v>84131</v>
      </c>
      <c r="L14" s="36" vm="2367">
        <f t="shared" si="3"/>
        <v>91101</v>
      </c>
      <c r="M14" s="36" vm="2741">
        <f t="shared" si="3"/>
        <v>86324</v>
      </c>
      <c r="N14" s="36" vm="2642">
        <f t="shared" si="3"/>
        <v>92816</v>
      </c>
      <c r="O14" s="36" vm="2279">
        <f t="shared" si="3"/>
        <v>1034193</v>
      </c>
      <c r="Q14" t="str" vm="28">
        <f>CUBEMEMBER("ThisWorkbookDataModel",{"[fActualAndBudget].[StavkaKategorija].&amp;[2.29. Приходи од продажба]","[fActualAndBudget].[StavkaImeMK].&amp;[Приходи од Регистар на лизинг]"})</f>
        <v>Приходи од Регистар на лизинг</v>
      </c>
      <c r="R14" s="36" t="str" vm="651">
        <f t="shared" si="1"/>
        <v/>
      </c>
      <c r="S14" s="36" t="str" vm="807">
        <f t="shared" si="2"/>
        <v/>
      </c>
      <c r="T14" s="36" t="str" vm="495">
        <f t="shared" si="2"/>
        <v/>
      </c>
      <c r="U14" s="36" t="str" vm="821">
        <f t="shared" si="2"/>
        <v/>
      </c>
      <c r="V14" s="36" t="str" vm="539">
        <f t="shared" si="2"/>
        <v/>
      </c>
      <c r="W14" s="36" t="str" vm="499">
        <f t="shared" si="2"/>
        <v/>
      </c>
      <c r="X14" s="36" t="str" vm="773">
        <f t="shared" si="2"/>
        <v/>
      </c>
      <c r="Y14" s="36" t="str" vm="772">
        <f t="shared" si="2"/>
        <v/>
      </c>
      <c r="Z14" s="36" t="str" vm="625">
        <f t="shared" si="2"/>
        <v/>
      </c>
      <c r="AA14" s="36" t="str" vm="451">
        <f t="shared" si="2"/>
        <v/>
      </c>
      <c r="AB14" s="36" t="str" vm="801">
        <f t="shared" si="2"/>
        <v/>
      </c>
      <c r="AC14" s="36" t="str" vm="253">
        <f t="shared" si="2"/>
        <v/>
      </c>
      <c r="AD14" s="36" t="str" vm="382">
        <f t="shared" si="2"/>
        <v/>
      </c>
    </row>
    <row r="15" spans="2:30" x14ac:dyDescent="0.25">
      <c r="B15" s="7" t="str" vm="57">
        <f>CUBEMEMBER("ThisWorkbookDataModel",{"[fActualAndBudget].[StavkaKategorija].&amp;[2.29. Приходи од продажба]","[fActualAndBudget].[StavkaImeMK].&amp;[Приходи од регистар на недвижности]"})</f>
        <v>Приходи од регистар на недвижности</v>
      </c>
      <c r="C15" s="36" vm="2702">
        <f t="shared" si="3"/>
        <v>639</v>
      </c>
      <c r="D15" s="36" vm="2668">
        <f t="shared" si="3"/>
        <v>532</v>
      </c>
      <c r="E15" s="36" vm="2494">
        <f t="shared" si="3"/>
        <v>0</v>
      </c>
      <c r="F15" s="36" vm="2762">
        <f t="shared" si="3"/>
        <v>160</v>
      </c>
      <c r="G15" s="36" vm="2631">
        <f t="shared" si="3"/>
        <v>1278</v>
      </c>
      <c r="H15" s="36" vm="2213">
        <f t="shared" si="3"/>
        <v>1278</v>
      </c>
      <c r="I15" s="36" vm="2724">
        <f t="shared" si="3"/>
        <v>0</v>
      </c>
      <c r="J15" s="36" vm="2337">
        <f t="shared" si="3"/>
        <v>1757</v>
      </c>
      <c r="K15" s="36" vm="2257">
        <f t="shared" si="3"/>
        <v>0</v>
      </c>
      <c r="L15" s="36" vm="2280">
        <f t="shared" si="3"/>
        <v>0</v>
      </c>
      <c r="M15" s="36" vm="2374">
        <f t="shared" si="3"/>
        <v>1757</v>
      </c>
      <c r="N15" s="36" vm="2181">
        <f t="shared" si="3"/>
        <v>160</v>
      </c>
      <c r="O15" s="36" vm="2696">
        <f t="shared" si="3"/>
        <v>7561</v>
      </c>
      <c r="Q15" t="str" vm="57">
        <f>CUBEMEMBER("ThisWorkbookDataModel",{"[fActualAndBudget].[StavkaKategorija].&amp;[2.29. Приходи од продажба]","[fActualAndBudget].[StavkaImeMK].&amp;[Приходи од регистар на недвижности]"})</f>
        <v>Приходи од регистар на недвижности</v>
      </c>
      <c r="R15" s="36" t="str" vm="501">
        <f t="shared" si="1"/>
        <v/>
      </c>
      <c r="S15" s="36" t="str" vm="612">
        <f t="shared" si="2"/>
        <v/>
      </c>
      <c r="T15" s="36" t="str" vm="254">
        <f t="shared" si="2"/>
        <v/>
      </c>
      <c r="U15" s="36" t="str" vm="256">
        <f t="shared" si="2"/>
        <v/>
      </c>
      <c r="V15" s="36" t="str" vm="404">
        <f t="shared" si="2"/>
        <v/>
      </c>
      <c r="W15" s="36" t="str" vm="643">
        <f t="shared" si="2"/>
        <v/>
      </c>
      <c r="X15" s="36" t="str" vm="486">
        <f t="shared" si="2"/>
        <v/>
      </c>
      <c r="Y15" s="36" t="str" vm="849">
        <f t="shared" si="2"/>
        <v/>
      </c>
      <c r="Z15" s="36" t="str" vm="363">
        <f t="shared" si="2"/>
        <v/>
      </c>
      <c r="AA15" s="36" t="str" vm="330">
        <f t="shared" si="2"/>
        <v/>
      </c>
      <c r="AB15" s="36" t="str" vm="831">
        <f t="shared" si="2"/>
        <v/>
      </c>
      <c r="AC15" s="36" t="str" vm="757">
        <f t="shared" si="2"/>
        <v/>
      </c>
      <c r="AD15" s="36" t="str" vm="591">
        <f t="shared" si="2"/>
        <v/>
      </c>
    </row>
    <row r="16" spans="2:30" x14ac:dyDescent="0.25">
      <c r="B16" s="7" t="str" vm="52">
        <f>CUBEMEMBER("ThisWorkbookDataModel",{"[fActualAndBudget].[StavkaKategorija].&amp;[2.29. Приходи од продажба]","[fActualAndBudget].[StavkaImeMK].&amp;[Приходи од Регистар на резиденти и нерезиденти]"})</f>
        <v>Приходи од Регистар на резиденти и нерезиденти</v>
      </c>
      <c r="C16" s="36" vm="2267">
        <f t="shared" si="3"/>
        <v>17561</v>
      </c>
      <c r="D16" s="36" vm="2532">
        <f t="shared" si="3"/>
        <v>17274</v>
      </c>
      <c r="E16" s="36" vm="2445">
        <f t="shared" si="3"/>
        <v>33239</v>
      </c>
      <c r="F16" s="36" vm="2600">
        <f t="shared" si="3"/>
        <v>14519</v>
      </c>
      <c r="G16" s="36" vm="2680">
        <f t="shared" si="3"/>
        <v>19471</v>
      </c>
      <c r="H16" s="36" vm="2595">
        <f t="shared" si="3"/>
        <v>18372</v>
      </c>
      <c r="I16" s="36" vm="2370">
        <f t="shared" si="3"/>
        <v>27569</v>
      </c>
      <c r="J16" s="36" vm="2364">
        <f t="shared" si="3"/>
        <v>23697</v>
      </c>
      <c r="K16" s="36" vm="2168">
        <f t="shared" si="3"/>
        <v>22450</v>
      </c>
      <c r="L16" s="36" vm="2164">
        <f t="shared" si="3"/>
        <v>23451</v>
      </c>
      <c r="M16" s="36" vm="2514">
        <f t="shared" si="3"/>
        <v>33440</v>
      </c>
      <c r="N16" s="36" vm="2536">
        <f t="shared" si="3"/>
        <v>20565</v>
      </c>
      <c r="O16" s="36" vm="2384">
        <f t="shared" si="3"/>
        <v>271608</v>
      </c>
      <c r="Q16" t="str" vm="52">
        <f>CUBEMEMBER("ThisWorkbookDataModel",{"[fActualAndBudget].[StavkaKategorija].&amp;[2.29. Приходи од продажба]","[fActualAndBudget].[StavkaImeMK].&amp;[Приходи од Регистар на резиденти и нерезиденти]"})</f>
        <v>Приходи од Регистар на резиденти и нерезиденти</v>
      </c>
      <c r="R16" s="36" t="str" vm="819">
        <f t="shared" si="1"/>
        <v/>
      </c>
      <c r="S16" s="36" t="str" vm="387">
        <f t="shared" si="2"/>
        <v/>
      </c>
      <c r="T16" s="36" t="str" vm="834">
        <f t="shared" si="2"/>
        <v/>
      </c>
      <c r="U16" s="36" t="str" vm="415">
        <f t="shared" si="2"/>
        <v/>
      </c>
      <c r="V16" s="36" t="str" vm="292">
        <f t="shared" si="2"/>
        <v/>
      </c>
      <c r="W16" s="36" t="str" vm="321">
        <f t="shared" si="2"/>
        <v/>
      </c>
      <c r="X16" s="36" t="str" vm="613">
        <f t="shared" si="2"/>
        <v/>
      </c>
      <c r="Y16" s="36" t="str" vm="353">
        <f t="shared" si="2"/>
        <v/>
      </c>
      <c r="Z16" s="36" t="str" vm="607">
        <f t="shared" si="2"/>
        <v/>
      </c>
      <c r="AA16" s="36" t="str" vm="510">
        <f t="shared" si="2"/>
        <v/>
      </c>
      <c r="AB16" s="36" t="str" vm="294">
        <f t="shared" si="2"/>
        <v/>
      </c>
      <c r="AC16" s="36" t="str" vm="604">
        <f t="shared" si="2"/>
        <v/>
      </c>
      <c r="AD16" s="36" t="str" vm="759">
        <f t="shared" si="2"/>
        <v/>
      </c>
    </row>
    <row r="17" spans="2:30" x14ac:dyDescent="0.25">
      <c r="B17" s="7" t="str" vm="43">
        <f>CUBEMEMBER("ThisWorkbookDataModel",{"[fActualAndBudget].[StavkaKategorija].&amp;[2.29. Приходи од продажба]","[fActualAndBudget].[StavkaImeMK].&amp;[Приходи од регистрите за кривични санкции, пресуди и др.]"})</f>
        <v>Приходи од регистрите за кривични санкции, пресуди и др.</v>
      </c>
      <c r="C17" s="36" vm="2773">
        <f t="shared" si="3"/>
        <v>1051368</v>
      </c>
      <c r="D17" s="36" vm="2612">
        <f t="shared" si="3"/>
        <v>1402964</v>
      </c>
      <c r="E17" s="36" vm="2728">
        <f t="shared" si="3"/>
        <v>1373199</v>
      </c>
      <c r="F17" s="36" vm="2712">
        <f t="shared" si="3"/>
        <v>1087173</v>
      </c>
      <c r="G17" s="36" vm="2744">
        <f t="shared" si="3"/>
        <v>4012467</v>
      </c>
      <c r="H17" s="36" vm="2243">
        <f t="shared" si="3"/>
        <v>1443903</v>
      </c>
      <c r="I17" s="36" vm="2320">
        <f t="shared" si="3"/>
        <v>1116471</v>
      </c>
      <c r="J17" s="36" vm="2263">
        <f t="shared" si="3"/>
        <v>1073351</v>
      </c>
      <c r="K17" s="36" vm="2411">
        <f t="shared" si="3"/>
        <v>1177053</v>
      </c>
      <c r="L17" s="36" vm="2290">
        <f t="shared" si="3"/>
        <v>1098974</v>
      </c>
      <c r="M17" s="36" vm="2156">
        <f t="shared" si="3"/>
        <v>1080265</v>
      </c>
      <c r="N17" s="36" vm="2655">
        <f t="shared" si="3"/>
        <v>1557562</v>
      </c>
      <c r="O17" s="36" vm="2540">
        <f t="shared" si="3"/>
        <v>17474750</v>
      </c>
      <c r="Q17" t="str" vm="43">
        <f>CUBEMEMBER("ThisWorkbookDataModel",{"[fActualAndBudget].[StavkaKategorija].&amp;[2.29. Приходи од продажба]","[fActualAndBudget].[StavkaImeMK].&amp;[Приходи од регистрите за кривични санкции, пресуди и др.]"})</f>
        <v>Приходи од регистрите за кривични санкции, пресуди и др.</v>
      </c>
      <c r="R17" s="36" t="str" vm="519">
        <f t="shared" si="1"/>
        <v/>
      </c>
      <c r="S17" s="36" t="str" vm="364">
        <f t="shared" si="2"/>
        <v/>
      </c>
      <c r="T17" s="36" t="str" vm="844">
        <f t="shared" si="2"/>
        <v/>
      </c>
      <c r="U17" s="36" t="str" vm="649">
        <f t="shared" si="2"/>
        <v/>
      </c>
      <c r="V17" s="36" t="str" vm="675">
        <f t="shared" si="2"/>
        <v/>
      </c>
      <c r="W17" s="36" t="str" vm="646">
        <f t="shared" si="2"/>
        <v/>
      </c>
      <c r="X17" s="36" t="str" vm="577">
        <f t="shared" si="2"/>
        <v/>
      </c>
      <c r="Y17" s="36" t="str" vm="731">
        <f t="shared" si="2"/>
        <v/>
      </c>
      <c r="Z17" s="36" t="str" vm="265">
        <f t="shared" si="2"/>
        <v/>
      </c>
      <c r="AA17" s="36" t="str" vm="782">
        <f t="shared" si="2"/>
        <v/>
      </c>
      <c r="AB17" s="36" t="str" vm="403">
        <f t="shared" si="2"/>
        <v/>
      </c>
      <c r="AC17" s="36" t="str" vm="407">
        <f t="shared" si="2"/>
        <v/>
      </c>
      <c r="AD17" s="36" t="str" vm="626">
        <f t="shared" si="2"/>
        <v/>
      </c>
    </row>
    <row r="18" spans="2:30" x14ac:dyDescent="0.25">
      <c r="B18" s="7" t="str" vm="47">
        <f>CUBEMEMBER("ThisWorkbookDataModel",{"[fActualAndBudget].[StavkaKategorija].&amp;[2.29. Приходи од продажба]","[fActualAndBudget].[StavkaImeMK].&amp;[Приходи од странство]"})</f>
        <v>Приходи од странство</v>
      </c>
      <c r="C18" s="36" vm="2635">
        <f t="shared" si="3"/>
        <v>0</v>
      </c>
      <c r="D18" s="36" vm="2723">
        <f t="shared" si="3"/>
        <v>0</v>
      </c>
      <c r="E18" s="36" vm="2255">
        <f t="shared" si="3"/>
        <v>10842</v>
      </c>
      <c r="F18" s="36" vm="2210">
        <f t="shared" si="3"/>
        <v>0</v>
      </c>
      <c r="G18" s="36" vm="2539">
        <f t="shared" si="3"/>
        <v>149166</v>
      </c>
      <c r="H18" s="36" vm="2235">
        <f t="shared" si="3"/>
        <v>16756</v>
      </c>
      <c r="I18" s="36" vm="2260">
        <f t="shared" si="3"/>
        <v>0</v>
      </c>
      <c r="J18" s="36" vm="2500">
        <f t="shared" si="3"/>
        <v>22726</v>
      </c>
      <c r="K18" s="36" vm="2430">
        <f t="shared" si="3"/>
        <v>0</v>
      </c>
      <c r="L18" s="36" vm="2192">
        <f t="shared" si="3"/>
        <v>7990</v>
      </c>
      <c r="M18" s="36" vm="2397">
        <f t="shared" si="3"/>
        <v>0</v>
      </c>
      <c r="N18" s="36" vm="2732">
        <f t="shared" si="3"/>
        <v>29003</v>
      </c>
      <c r="O18" s="36" vm="2175">
        <f t="shared" si="3"/>
        <v>236483</v>
      </c>
      <c r="Q18" t="str" vm="47">
        <f>CUBEMEMBER("ThisWorkbookDataModel",{"[fActualAndBudget].[StavkaKategorija].&amp;[2.29. Приходи од продажба]","[fActualAndBudget].[StavkaImeMK].&amp;[Приходи од странство]"})</f>
        <v>Приходи од странство</v>
      </c>
      <c r="R18" s="36" t="str" vm="581">
        <f t="shared" si="1"/>
        <v/>
      </c>
      <c r="S18" s="36" t="str" vm="308">
        <f t="shared" si="2"/>
        <v/>
      </c>
      <c r="T18" s="36" t="str" vm="593">
        <f t="shared" si="2"/>
        <v/>
      </c>
      <c r="U18" s="36" t="str" vm="783">
        <f t="shared" si="2"/>
        <v/>
      </c>
      <c r="V18" s="36" t="str" vm="405">
        <f t="shared" si="2"/>
        <v/>
      </c>
      <c r="W18" s="36" t="str" vm="258">
        <f t="shared" si="2"/>
        <v/>
      </c>
      <c r="X18" s="36" t="str" vm="843">
        <f t="shared" si="2"/>
        <v/>
      </c>
      <c r="Y18" s="36" t="str" vm="317">
        <f t="shared" si="2"/>
        <v/>
      </c>
      <c r="Z18" s="36" t="str" vm="615">
        <f t="shared" si="2"/>
        <v/>
      </c>
      <c r="AA18" s="36" t="str" vm="475">
        <f t="shared" si="2"/>
        <v/>
      </c>
      <c r="AB18" s="36" t="str" vm="729">
        <f t="shared" si="2"/>
        <v/>
      </c>
      <c r="AC18" s="36" t="str" vm="490">
        <f t="shared" si="2"/>
        <v/>
      </c>
      <c r="AD18" s="36" t="str" vm="381">
        <f t="shared" si="2"/>
        <v/>
      </c>
    </row>
    <row r="19" spans="2:30" x14ac:dyDescent="0.25">
      <c r="B19" s="7" t="str" vm="37">
        <f>CUBEMEMBER("ThisWorkbookDataModel",{"[fActualAndBudget].[StavkaKategorija].&amp;[2.29. Приходи од продажба]","[fActualAndBudget].[StavkaImeMK].&amp;[Приходи од трговски регистар]"})</f>
        <v>Приходи од трговски регистар</v>
      </c>
      <c r="C19" s="36" vm="2575">
        <f t="shared" si="3"/>
        <v>7711592</v>
      </c>
      <c r="D19" s="36" vm="2319">
        <f t="shared" si="3"/>
        <v>11781373</v>
      </c>
      <c r="E19" s="36" vm="2402">
        <f t="shared" si="3"/>
        <v>13233260</v>
      </c>
      <c r="F19" s="36" vm="2347">
        <f t="shared" si="3"/>
        <v>9667694</v>
      </c>
      <c r="G19" s="36" vm="2420">
        <f t="shared" si="3"/>
        <v>10784958</v>
      </c>
      <c r="H19" s="36" vm="2771">
        <f t="shared" si="3"/>
        <v>11932311</v>
      </c>
      <c r="I19" s="36" vm="2485">
        <f t="shared" si="3"/>
        <v>9601891</v>
      </c>
      <c r="J19" s="36" vm="2497">
        <f t="shared" si="3"/>
        <v>8595501</v>
      </c>
      <c r="K19" s="36" vm="2501">
        <f t="shared" si="3"/>
        <v>11703049</v>
      </c>
      <c r="L19" s="36" vm="2399">
        <f t="shared" si="3"/>
        <v>11393691</v>
      </c>
      <c r="M19" s="36" vm="2433">
        <f t="shared" si="3"/>
        <v>10141575</v>
      </c>
      <c r="N19" s="36" vm="2281">
        <f t="shared" si="3"/>
        <v>11661296</v>
      </c>
      <c r="O19" s="36" vm="2761">
        <f t="shared" si="3"/>
        <v>128208191</v>
      </c>
      <c r="Q19" t="str" vm="37">
        <f>CUBEMEMBER("ThisWorkbookDataModel",{"[fActualAndBudget].[StavkaKategorija].&amp;[2.29. Приходи од продажба]","[fActualAndBudget].[StavkaImeMK].&amp;[Приходи од трговски регистар]"})</f>
        <v>Приходи од трговски регистар</v>
      </c>
      <c r="R19" s="36" t="str" vm="778">
        <f t="shared" si="1"/>
        <v/>
      </c>
      <c r="S19" s="36" t="str" vm="866">
        <f t="shared" si="2"/>
        <v/>
      </c>
      <c r="T19" s="36" t="str" vm="865">
        <f t="shared" si="2"/>
        <v/>
      </c>
      <c r="U19" s="36" t="str" vm="777">
        <f t="shared" si="2"/>
        <v/>
      </c>
      <c r="V19" s="36" t="str" vm="868">
        <f t="shared" si="2"/>
        <v/>
      </c>
      <c r="W19" s="36" t="str" vm="721">
        <f t="shared" si="2"/>
        <v/>
      </c>
      <c r="X19" s="36" t="str" vm="867">
        <f t="shared" si="2"/>
        <v/>
      </c>
      <c r="Y19" s="36" t="str" vm="870">
        <f t="shared" si="2"/>
        <v/>
      </c>
      <c r="Z19" s="36" t="str" vm="871">
        <f t="shared" si="2"/>
        <v/>
      </c>
      <c r="AA19" s="36" t="str" vm="776">
        <f t="shared" si="2"/>
        <v/>
      </c>
      <c r="AB19" s="36" t="str" vm="806">
        <f t="shared" si="2"/>
        <v/>
      </c>
      <c r="AC19" s="36" t="str" vm="872">
        <f t="shared" si="2"/>
        <v/>
      </c>
      <c r="AD19" s="36" t="str" vm="869">
        <f t="shared" si="2"/>
        <v/>
      </c>
    </row>
    <row r="20" spans="2:30" s="8" customFormat="1" x14ac:dyDescent="0.25">
      <c r="B20" s="99" t="str" vm="33">
        <f>CUBEMEMBER("ThisWorkbookDataModel","[fActualAndBudget].[StavkaKategorija].&amp;[2.30. Останати оперативни приходи]")</f>
        <v>2.30. Останати оперативни приходи</v>
      </c>
      <c r="C20" s="100" vm="2714">
        <f t="shared" si="3"/>
        <v>438301</v>
      </c>
      <c r="D20" s="100" vm="2161">
        <f t="shared" si="3"/>
        <v>418525</v>
      </c>
      <c r="E20" s="100" vm="2496">
        <f t="shared" si="3"/>
        <v>451378</v>
      </c>
      <c r="F20" s="100" vm="2405">
        <f t="shared" si="3"/>
        <v>421720</v>
      </c>
      <c r="G20" s="100" vm="2331">
        <f t="shared" si="3"/>
        <v>440332</v>
      </c>
      <c r="H20" s="100" vm="2387">
        <f t="shared" si="3"/>
        <v>517144</v>
      </c>
      <c r="I20" s="100" vm="2261">
        <f t="shared" si="3"/>
        <v>525158</v>
      </c>
      <c r="J20" s="100" vm="2665">
        <f t="shared" si="3"/>
        <v>405811</v>
      </c>
      <c r="K20" s="100" vm="2219">
        <f t="shared" si="3"/>
        <v>483821</v>
      </c>
      <c r="L20" s="100" vm="2695">
        <f t="shared" si="3"/>
        <v>439825</v>
      </c>
      <c r="M20" s="100" vm="2578">
        <f t="shared" si="3"/>
        <v>418525</v>
      </c>
      <c r="N20" s="100" vm="2166">
        <f t="shared" si="3"/>
        <v>419318</v>
      </c>
      <c r="O20" s="100" vm="2516">
        <f t="shared" si="3"/>
        <v>5379858</v>
      </c>
      <c r="Q20" s="8" t="str" vm="33">
        <f>CUBEMEMBER("ThisWorkbookDataModel","[fActualAndBudget].[StavkaKategorija].&amp;[2.30. Останати оперативни приходи]")</f>
        <v>2.30. Останати оперативни приходи</v>
      </c>
      <c r="R20" s="100" t="str" vm="700">
        <f t="shared" si="1"/>
        <v/>
      </c>
      <c r="S20" s="100" t="str" vm="753">
        <f t="shared" si="2"/>
        <v/>
      </c>
      <c r="T20" s="100" t="str" vm="252">
        <f t="shared" si="2"/>
        <v/>
      </c>
      <c r="U20" s="100" t="str" vm="857">
        <f t="shared" si="2"/>
        <v/>
      </c>
      <c r="V20" s="100" t="str" vm="350">
        <f t="shared" si="2"/>
        <v/>
      </c>
      <c r="W20" s="100" t="str" vm="480">
        <f t="shared" si="2"/>
        <v/>
      </c>
      <c r="X20" s="100" t="str" vm="669">
        <f t="shared" si="2"/>
        <v/>
      </c>
      <c r="Y20" s="100" t="str" vm="447">
        <f t="shared" si="2"/>
        <v/>
      </c>
      <c r="Z20" s="100" t="str" vm="325">
        <f t="shared" si="2"/>
        <v/>
      </c>
      <c r="AA20" s="100" t="str" vm="511">
        <f t="shared" si="2"/>
        <v/>
      </c>
      <c r="AB20" s="100" t="str" vm="569">
        <f t="shared" si="2"/>
        <v/>
      </c>
      <c r="AC20" s="100" t="str" vm="683">
        <f t="shared" si="2"/>
        <v/>
      </c>
      <c r="AD20" s="100" t="str" vm="690">
        <f t="shared" si="2"/>
        <v/>
      </c>
    </row>
    <row r="21" spans="2:30" x14ac:dyDescent="0.25">
      <c r="B21" s="7" t="str" vm="63">
        <f>CUBEMEMBER("ThisWorkbookDataModel",{"[fActualAndBudget].[StavkaKategorija].&amp;[2.30. Останати оперативни приходи]","[fActualAndBudget].[StavkaImeMK].&amp;[Вонредни невообичаени приходи]"})</f>
        <v>Вонредни невообичаени приходи</v>
      </c>
      <c r="C21" s="36" vm="2664">
        <f t="shared" si="3"/>
        <v>0</v>
      </c>
      <c r="D21" s="36" vm="2745">
        <f t="shared" si="3"/>
        <v>0</v>
      </c>
      <c r="E21" s="36" vm="2373">
        <f t="shared" si="3"/>
        <v>0</v>
      </c>
      <c r="F21" s="36" vm="2174">
        <f t="shared" si="3"/>
        <v>0</v>
      </c>
      <c r="G21" s="36" vm="2754">
        <f t="shared" si="3"/>
        <v>0</v>
      </c>
      <c r="H21" s="36" vm="2401">
        <f t="shared" si="3"/>
        <v>0</v>
      </c>
      <c r="I21" s="36" vm="2763">
        <f t="shared" si="3"/>
        <v>134374</v>
      </c>
      <c r="J21" s="36" vm="2590">
        <f t="shared" si="3"/>
        <v>-140248</v>
      </c>
      <c r="K21" s="36" vm="2676">
        <f t="shared" si="3"/>
        <v>5421</v>
      </c>
      <c r="L21" s="36" vm="2325">
        <f t="shared" si="3"/>
        <v>0</v>
      </c>
      <c r="M21" s="36" vm="2492">
        <f t="shared" si="3"/>
        <v>0</v>
      </c>
      <c r="N21" s="36" vm="2669">
        <f t="shared" si="3"/>
        <v>0</v>
      </c>
      <c r="O21" s="36" vm="2504">
        <f t="shared" si="3"/>
        <v>-453</v>
      </c>
      <c r="Q21" t="str" vm="63">
        <f>CUBEMEMBER("ThisWorkbookDataModel",{"[fActualAndBudget].[StavkaKategorija].&amp;[2.30. Останати оперативни приходи]","[fActualAndBudget].[StavkaImeMK].&amp;[Вонредни невообичаени приходи]"})</f>
        <v>Вонредни невообичаени приходи</v>
      </c>
      <c r="R21" s="36" t="str" vm="718">
        <f t="shared" si="1"/>
        <v/>
      </c>
      <c r="S21" s="36" t="str" vm="352">
        <f t="shared" si="2"/>
        <v/>
      </c>
      <c r="T21" s="36" t="str" vm="838">
        <f t="shared" si="2"/>
        <v/>
      </c>
      <c r="U21" s="36" t="str" vm="726">
        <f t="shared" si="2"/>
        <v/>
      </c>
      <c r="V21" s="36" t="str" vm="595">
        <f t="shared" si="2"/>
        <v/>
      </c>
      <c r="W21" s="36" t="str" vm="567">
        <f t="shared" si="2"/>
        <v/>
      </c>
      <c r="X21" s="36" t="str" vm="578">
        <f t="shared" si="2"/>
        <v/>
      </c>
      <c r="Y21" s="36" t="str" vm="384">
        <f t="shared" si="2"/>
        <v/>
      </c>
      <c r="Z21" s="36" t="str" vm="522">
        <f t="shared" si="2"/>
        <v/>
      </c>
      <c r="AA21" s="36" t="str" vm="786">
        <f t="shared" si="2"/>
        <v/>
      </c>
      <c r="AB21" s="36" t="str" vm="698">
        <f t="shared" si="2"/>
        <v/>
      </c>
      <c r="AC21" s="36" t="str" vm="307">
        <f t="shared" si="2"/>
        <v/>
      </c>
      <c r="AD21" s="36" t="str" vm="732">
        <f t="shared" si="2"/>
        <v/>
      </c>
    </row>
    <row r="22" spans="2:30" x14ac:dyDescent="0.25">
      <c r="B22" s="7" t="str" vm="70">
        <f>CUBEMEMBER("ThisWorkbookDataModel",{"[fActualAndBudget].[StavkaKategorija].&amp;[2.30. Останати оперативни приходи]","[fActualAndBudget].[StavkaImeMK].&amp;[Други неспомнати приходи]"})</f>
        <v>Други неспомнати приходи</v>
      </c>
      <c r="C22" s="36" vm="2713">
        <f t="shared" si="3"/>
        <v>0</v>
      </c>
      <c r="D22" s="36" vm="2558">
        <f t="shared" si="3"/>
        <v>0</v>
      </c>
      <c r="E22" s="36" vm="2601">
        <f t="shared" si="3"/>
        <v>32853</v>
      </c>
      <c r="F22" s="36" vm="2423">
        <f t="shared" si="3"/>
        <v>3195</v>
      </c>
      <c r="G22" s="36" vm="2574">
        <f t="shared" si="3"/>
        <v>21807</v>
      </c>
      <c r="H22" s="36" vm="2344">
        <f t="shared" si="3"/>
        <v>98619</v>
      </c>
      <c r="I22" s="36" vm="2544">
        <f t="shared" si="3"/>
        <v>-27741</v>
      </c>
      <c r="J22" s="36" vm="2313">
        <f t="shared" si="3"/>
        <v>127534</v>
      </c>
      <c r="K22" s="36" vm="2505">
        <f t="shared" si="3"/>
        <v>59875</v>
      </c>
      <c r="L22" s="36" vm="2419">
        <f t="shared" si="3"/>
        <v>21300</v>
      </c>
      <c r="M22" s="36" vm="2376">
        <f t="shared" si="3"/>
        <v>0</v>
      </c>
      <c r="N22" s="36" vm="2674">
        <f t="shared" si="3"/>
        <v>793</v>
      </c>
      <c r="O22" s="36" vm="2557">
        <f t="shared" si="3"/>
        <v>338235</v>
      </c>
      <c r="Q22" t="str" vm="70">
        <f>CUBEMEMBER("ThisWorkbookDataModel",{"[fActualAndBudget].[StavkaKategorija].&amp;[2.30. Останати оперативни приходи]","[fActualAndBudget].[StavkaImeMK].&amp;[Други неспомнати приходи]"})</f>
        <v>Други неспомнати приходи</v>
      </c>
      <c r="R22" s="36" t="str" vm="662">
        <f t="shared" si="1"/>
        <v/>
      </c>
      <c r="S22" s="36" t="str" vm="680">
        <f t="shared" si="2"/>
        <v/>
      </c>
      <c r="T22" s="36" t="str" vm="484">
        <f t="shared" si="2"/>
        <v/>
      </c>
      <c r="U22" s="36" t="str" vm="267">
        <f t="shared" si="2"/>
        <v/>
      </c>
      <c r="V22" s="36" t="str" vm="355">
        <f t="shared" si="2"/>
        <v/>
      </c>
      <c r="W22" s="36" t="str" vm="728">
        <f t="shared" si="2"/>
        <v/>
      </c>
      <c r="X22" s="36" t="str" vm="568">
        <f t="shared" si="2"/>
        <v/>
      </c>
      <c r="Y22" s="36" t="str" vm="739">
        <f t="shared" si="2"/>
        <v/>
      </c>
      <c r="Z22" s="36" t="str" vm="277">
        <f t="shared" si="2"/>
        <v/>
      </c>
      <c r="AA22" s="36" t="str" vm="809">
        <f t="shared" si="2"/>
        <v/>
      </c>
      <c r="AB22" s="36" t="str" vm="394">
        <f t="shared" si="2"/>
        <v/>
      </c>
      <c r="AC22" s="36" t="str" vm="323">
        <f t="shared" si="2"/>
        <v/>
      </c>
      <c r="AD22" s="36" t="str" vm="478">
        <f t="shared" si="2"/>
        <v/>
      </c>
    </row>
    <row r="23" spans="2:30" x14ac:dyDescent="0.25">
      <c r="B23" s="7" t="str" vm="68">
        <f>CUBEMEMBER("ThisWorkbookDataModel",{"[fActualAndBudget].[StavkaKategorija].&amp;[2.30. Останати оперативни приходи]","[fActualAndBudget].[StavkaImeMK].&amp;[Приходи од донации]"})</f>
        <v>Приходи од донации</v>
      </c>
      <c r="C23" s="36" vm="2173">
        <f t="shared" si="3"/>
        <v>438301</v>
      </c>
      <c r="D23" s="36" vm="2661">
        <f t="shared" si="3"/>
        <v>418525</v>
      </c>
      <c r="E23" s="36" vm="2365">
        <f t="shared" si="3"/>
        <v>418525</v>
      </c>
      <c r="F23" s="36" vm="2508">
        <f t="shared" si="3"/>
        <v>418525</v>
      </c>
      <c r="G23" s="36" vm="2439">
        <f t="shared" si="3"/>
        <v>418525</v>
      </c>
      <c r="H23" s="36" vm="2395">
        <f t="shared" si="3"/>
        <v>418525</v>
      </c>
      <c r="I23" s="36" vm="2768">
        <f t="shared" si="3"/>
        <v>418525</v>
      </c>
      <c r="J23" s="36" vm="2705">
        <f t="shared" si="3"/>
        <v>418525</v>
      </c>
      <c r="K23" s="36" vm="2249">
        <f t="shared" si="3"/>
        <v>418525</v>
      </c>
      <c r="L23" s="36" vm="2569">
        <f t="shared" si="3"/>
        <v>418525</v>
      </c>
      <c r="M23" s="36" vm="2454">
        <f t="shared" si="3"/>
        <v>418525</v>
      </c>
      <c r="N23" s="36" vm="2203">
        <f t="shared" si="3"/>
        <v>418525</v>
      </c>
      <c r="O23" s="36" vm="2583">
        <f t="shared" si="3"/>
        <v>5042076</v>
      </c>
      <c r="Q23" t="str" vm="68">
        <f>CUBEMEMBER("ThisWorkbookDataModel",{"[fActualAndBudget].[StavkaKategorija].&amp;[2.30. Останати оперативни приходи]","[fActualAndBudget].[StavkaImeMK].&amp;[Приходи од донации]"})</f>
        <v>Приходи од донации</v>
      </c>
      <c r="R23" s="36" t="str" vm="652">
        <f t="shared" si="1"/>
        <v/>
      </c>
      <c r="S23" s="36" t="str" vm="377">
        <f t="shared" ref="S23:AD23" si="4">CUBEVALUE("ThisWorkbookDataModel",$R$2,$R$3,$B$5,$B23,S$6,$S$5)</f>
        <v/>
      </c>
      <c r="T23" s="36" t="str" vm="713">
        <f t="shared" si="4"/>
        <v/>
      </c>
      <c r="U23" s="36" t="str" vm="668">
        <f t="shared" si="4"/>
        <v/>
      </c>
      <c r="V23" s="36" t="str" vm="647">
        <f t="shared" si="4"/>
        <v/>
      </c>
      <c r="W23" s="36" t="str" vm="283">
        <f t="shared" si="4"/>
        <v/>
      </c>
      <c r="X23" s="36" t="str" vm="356">
        <f t="shared" si="4"/>
        <v/>
      </c>
      <c r="Y23" s="36" t="str" vm="341">
        <f t="shared" si="4"/>
        <v/>
      </c>
      <c r="Z23" s="36" t="str" vm="835">
        <f t="shared" si="4"/>
        <v/>
      </c>
      <c r="AA23" s="36" t="str" vm="275">
        <f t="shared" si="4"/>
        <v/>
      </c>
      <c r="AB23" s="36" t="str" vm="695">
        <f t="shared" si="4"/>
        <v/>
      </c>
      <c r="AC23" s="36" t="str" vm="823">
        <f t="shared" si="4"/>
        <v/>
      </c>
      <c r="AD23" s="36" t="str" vm="512">
        <f t="shared" si="4"/>
        <v/>
      </c>
    </row>
    <row r="24" spans="2:30" x14ac:dyDescent="0.25">
      <c r="B24" s="7" t="str" vm="66">
        <f>CUBEMEMBER("ThisWorkbookDataModel",{"[fActualAndBudget].[StavkaKategorija].&amp;[2.30. Останати оперативни приходи]","[fActualAndBudget].[StavkaImeMK].&amp;[Приходи од продажба на подвижен имот]"})</f>
        <v>Приходи од продажба на подвижен имот</v>
      </c>
      <c r="C24" s="36" t="str" vm="2451">
        <f t="shared" si="3"/>
        <v/>
      </c>
      <c r="D24" s="36" t="str" vm="2308">
        <f t="shared" si="3"/>
        <v/>
      </c>
      <c r="E24" s="36" t="str" vm="2647">
        <f t="shared" si="3"/>
        <v/>
      </c>
      <c r="F24" s="36" t="str" vm="2758">
        <f t="shared" si="3"/>
        <v/>
      </c>
      <c r="G24" s="36" t="str" vm="2432">
        <f t="shared" si="3"/>
        <v/>
      </c>
      <c r="H24" s="36" t="str" vm="2422">
        <f t="shared" si="3"/>
        <v/>
      </c>
      <c r="I24" s="36" t="str" vm="2640">
        <f t="shared" si="3"/>
        <v/>
      </c>
      <c r="J24" s="36" t="str" vm="2634">
        <f t="shared" si="3"/>
        <v/>
      </c>
      <c r="K24" s="36" t="str" vm="2251">
        <f t="shared" si="3"/>
        <v/>
      </c>
      <c r="L24" s="36" t="str" vm="2503">
        <f t="shared" si="3"/>
        <v/>
      </c>
      <c r="M24" s="36" t="str" vm="2528">
        <f t="shared" si="3"/>
        <v/>
      </c>
      <c r="N24" s="36" t="str" vm="2269">
        <f t="shared" si="3"/>
        <v/>
      </c>
      <c r="O24" s="36" t="str" vm="2403">
        <f t="shared" si="3"/>
        <v/>
      </c>
      <c r="Q24" t="str" vm="66">
        <f>CUBEMEMBER("ThisWorkbookDataModel",{"[fActualAndBudget].[StavkaKategorija].&amp;[2.30. Останати оперативни приходи]","[fActualAndBudget].[StavkaImeMK].&amp;[Приходи од продажба на подвижен имот]"})</f>
        <v>Приходи од продажба на подвижен имот</v>
      </c>
      <c r="R24" s="36" t="str" vm="660">
        <f t="shared" ref="R24:AD39" si="5">CUBEVALUE("ThisWorkbookDataModel",$R$2,$R$3,$B$5,$B24,R$6,$S$5)</f>
        <v/>
      </c>
      <c r="S24" s="36" t="str" vm="706">
        <f t="shared" si="5"/>
        <v/>
      </c>
      <c r="T24" s="36" t="str" vm="284">
        <f t="shared" si="5"/>
        <v/>
      </c>
      <c r="U24" s="36" t="str" vm="847">
        <f t="shared" si="5"/>
        <v/>
      </c>
      <c r="V24" s="36" t="str" vm="432">
        <f t="shared" si="5"/>
        <v/>
      </c>
      <c r="W24" s="36" t="str" vm="260">
        <f t="shared" si="5"/>
        <v/>
      </c>
      <c r="X24" s="36" t="str" vm="602">
        <f t="shared" si="5"/>
        <v/>
      </c>
      <c r="Y24" s="36" t="str" vm="360">
        <f t="shared" si="5"/>
        <v/>
      </c>
      <c r="Z24" s="36" t="str" vm="543">
        <f t="shared" si="5"/>
        <v/>
      </c>
      <c r="AA24" s="36" t="str" vm="720">
        <f t="shared" si="5"/>
        <v/>
      </c>
      <c r="AB24" s="36" t="str" vm="550">
        <f t="shared" si="5"/>
        <v/>
      </c>
      <c r="AC24" s="36" t="str" vm="464">
        <f t="shared" si="5"/>
        <v/>
      </c>
      <c r="AD24" s="36" t="str" vm="792">
        <f t="shared" si="5"/>
        <v/>
      </c>
    </row>
    <row r="25" spans="2:30" x14ac:dyDescent="0.25">
      <c r="B25" s="7" t="str" vm="30">
        <f>CUBEMEMBER("ThisWorkbookDataModel",{"[fActualAndBudget].[StavkaKategorija].&amp;[2.30. Останати оперативни приходи]","[fActualAndBudget].[StavkaImeMK].&amp;[Приходи од закуп]"})</f>
        <v>Приходи од закуп</v>
      </c>
      <c r="C25" s="36" vm="2224">
        <f t="shared" ref="C25:O25" si="6">CUBEVALUE("ThisWorkbookDataModel",$C$2,$C$3,$B$5,$B25,C$6,$D$5)</f>
        <v>0</v>
      </c>
      <c r="D25" s="36" vm="2653">
        <f t="shared" si="6"/>
        <v>0</v>
      </c>
      <c r="E25" s="36" vm="2592">
        <f t="shared" si="6"/>
        <v>0</v>
      </c>
      <c r="F25" s="36" vm="2441">
        <f t="shared" si="6"/>
        <v>0</v>
      </c>
      <c r="G25" s="36" vm="2518">
        <f t="shared" si="6"/>
        <v>0</v>
      </c>
      <c r="H25" s="36" vm="2195">
        <f t="shared" si="6"/>
        <v>0</v>
      </c>
      <c r="I25" s="36" vm="2530">
        <f t="shared" si="6"/>
        <v>0</v>
      </c>
      <c r="J25" s="36" vm="2206">
        <f t="shared" si="6"/>
        <v>0</v>
      </c>
      <c r="K25" s="36" vm="2159">
        <f t="shared" si="6"/>
        <v>0</v>
      </c>
      <c r="L25" s="36" vm="2169">
        <f t="shared" si="6"/>
        <v>0</v>
      </c>
      <c r="M25" s="36" vm="2328">
        <f t="shared" si="6"/>
        <v>0</v>
      </c>
      <c r="N25" s="36" vm="2760">
        <f t="shared" si="6"/>
        <v>0</v>
      </c>
      <c r="O25" s="36" vm="2543">
        <f t="shared" si="6"/>
        <v>0</v>
      </c>
      <c r="Q25" t="str" vm="30">
        <f>CUBEMEMBER("ThisWorkbookDataModel",{"[fActualAndBudget].[StavkaKategorija].&amp;[2.30. Останати оперативни приходи]","[fActualAndBudget].[StavkaImeMK].&amp;[Приходи од закуп]"})</f>
        <v>Приходи од закуп</v>
      </c>
      <c r="R25" s="36" t="str" vm="303">
        <f t="shared" si="5"/>
        <v/>
      </c>
      <c r="S25" s="36" t="str" vm="408">
        <f t="shared" si="5"/>
        <v/>
      </c>
      <c r="T25" s="36" t="str" vm="755">
        <f t="shared" si="5"/>
        <v/>
      </c>
      <c r="U25" s="36" t="str" vm="672">
        <f t="shared" si="5"/>
        <v/>
      </c>
      <c r="V25" s="36" t="str" vm="621">
        <f t="shared" si="5"/>
        <v/>
      </c>
      <c r="W25" s="36" t="str" vm="611">
        <f t="shared" si="5"/>
        <v/>
      </c>
      <c r="X25" s="36" t="str" vm="422">
        <f t="shared" si="5"/>
        <v/>
      </c>
      <c r="Y25" s="36" t="str" vm="619">
        <f t="shared" si="5"/>
        <v/>
      </c>
      <c r="Z25" s="36" t="str" vm="800">
        <f t="shared" si="5"/>
        <v/>
      </c>
      <c r="AA25" s="36" t="str" vm="640">
        <f t="shared" si="5"/>
        <v/>
      </c>
      <c r="AB25" s="36" t="str" vm="551">
        <f t="shared" si="5"/>
        <v/>
      </c>
      <c r="AC25" s="36" t="str" vm="520">
        <f t="shared" si="5"/>
        <v/>
      </c>
      <c r="AD25" s="36" t="str" vm="588">
        <f t="shared" si="5"/>
        <v/>
      </c>
    </row>
    <row r="26" spans="2:30" s="8" customFormat="1" x14ac:dyDescent="0.25">
      <c r="B26" s="19" t="s">
        <v>164</v>
      </c>
      <c r="C26" s="98">
        <f>SUM(C7,C20)</f>
        <v>17393510</v>
      </c>
      <c r="D26" s="98">
        <f t="shared" ref="D26:O26" si="7">SUM(D7,D20)</f>
        <v>94366094</v>
      </c>
      <c r="E26" s="98">
        <f t="shared" si="7"/>
        <v>106891024</v>
      </c>
      <c r="F26" s="98">
        <f t="shared" si="7"/>
        <v>20233002</v>
      </c>
      <c r="G26" s="98">
        <f t="shared" si="7"/>
        <v>22518099</v>
      </c>
      <c r="H26" s="98">
        <f t="shared" si="7"/>
        <v>21771487</v>
      </c>
      <c r="I26" s="98">
        <f t="shared" si="7"/>
        <v>18872886</v>
      </c>
      <c r="J26" s="98">
        <f t="shared" si="7"/>
        <v>16038114</v>
      </c>
      <c r="K26" s="98">
        <f t="shared" si="7"/>
        <v>21303895</v>
      </c>
      <c r="L26" s="98">
        <f t="shared" si="7"/>
        <v>20879769</v>
      </c>
      <c r="M26" s="98">
        <f t="shared" si="7"/>
        <v>19264775</v>
      </c>
      <c r="N26" s="98">
        <f t="shared" si="7"/>
        <v>25656649</v>
      </c>
      <c r="O26" s="98">
        <f t="shared" si="7"/>
        <v>405189304</v>
      </c>
      <c r="Q26" s="8" t="s">
        <v>164</v>
      </c>
      <c r="R26" s="100">
        <f>SUM(R7,R20)</f>
        <v>0</v>
      </c>
      <c r="S26" s="100">
        <f t="shared" ref="S26:AD26" si="8">SUM(S7,S20)</f>
        <v>0</v>
      </c>
      <c r="T26" s="100">
        <f t="shared" si="8"/>
        <v>0</v>
      </c>
      <c r="U26" s="100">
        <f t="shared" si="8"/>
        <v>0</v>
      </c>
      <c r="V26" s="100">
        <f t="shared" si="8"/>
        <v>0</v>
      </c>
      <c r="W26" s="100">
        <f t="shared" si="8"/>
        <v>0</v>
      </c>
      <c r="X26" s="100">
        <f t="shared" si="8"/>
        <v>0</v>
      </c>
      <c r="Y26" s="100">
        <f t="shared" si="8"/>
        <v>0</v>
      </c>
      <c r="Z26" s="100">
        <f t="shared" si="8"/>
        <v>0</v>
      </c>
      <c r="AA26" s="100">
        <f t="shared" si="8"/>
        <v>0</v>
      </c>
      <c r="AB26" s="100">
        <f t="shared" si="8"/>
        <v>0</v>
      </c>
      <c r="AC26" s="100">
        <f t="shared" si="8"/>
        <v>0</v>
      </c>
      <c r="AD26" s="100">
        <f t="shared" si="8"/>
        <v>0</v>
      </c>
    </row>
    <row r="27" spans="2:30" s="8" customFormat="1" x14ac:dyDescent="0.25">
      <c r="B27" s="99" t="str" vm="27">
        <f>CUBEMEMBER("ThisWorkbookDataModel","[fActualAndBudget].[StavkaKategorija].&amp;[2.32. Потрошени суровини и материјали]")</f>
        <v>2.32. Потрошени суровини и материјали</v>
      </c>
      <c r="C27" s="100" vm="2414">
        <f t="shared" ref="C27:O46" si="9">CUBEVALUE("ThisWorkbookDataModel",$C$2,$C$3,$B$5,$B27,C$6,$D$5)</f>
        <v>1661917</v>
      </c>
      <c r="D27" s="100" vm="2775">
        <f t="shared" si="9"/>
        <v>1661917</v>
      </c>
      <c r="E27" s="100" vm="2776">
        <f t="shared" si="9"/>
        <v>1661917</v>
      </c>
      <c r="F27" s="100" vm="2490">
        <f t="shared" si="9"/>
        <v>1786917</v>
      </c>
      <c r="G27" s="100" vm="2777">
        <f t="shared" si="9"/>
        <v>1786917</v>
      </c>
      <c r="H27" s="100" vm="2534">
        <f t="shared" si="9"/>
        <v>1661917</v>
      </c>
      <c r="I27" s="100" vm="2748">
        <f t="shared" si="9"/>
        <v>1661917</v>
      </c>
      <c r="J27" s="100" vm="2470">
        <f t="shared" si="9"/>
        <v>1661917</v>
      </c>
      <c r="K27" s="100" vm="2550">
        <f t="shared" si="9"/>
        <v>1661917</v>
      </c>
      <c r="L27" s="100" vm="2554">
        <f t="shared" si="9"/>
        <v>1661917</v>
      </c>
      <c r="M27" s="100" vm="2538">
        <f t="shared" si="9"/>
        <v>1661917</v>
      </c>
      <c r="N27" s="100" vm="2517">
        <f t="shared" si="9"/>
        <v>1661917</v>
      </c>
      <c r="O27" s="100" vm="2458">
        <f t="shared" si="9"/>
        <v>20193004</v>
      </c>
      <c r="Q27" s="8" t="str" vm="27">
        <f>CUBEMEMBER("ThisWorkbookDataModel","[fActualAndBudget].[StavkaKategorija].&amp;[2.32. Потрошени суровини и материјали]")</f>
        <v>2.32. Потрошени суровини и материјали</v>
      </c>
      <c r="R27" s="100" t="str" vm="730">
        <f t="shared" si="5"/>
        <v/>
      </c>
      <c r="S27" s="100" t="str" vm="768">
        <f t="shared" si="5"/>
        <v/>
      </c>
      <c r="T27" s="100" t="str" vm="617">
        <f t="shared" si="5"/>
        <v/>
      </c>
      <c r="U27" s="100" t="str" vm="410">
        <f t="shared" si="5"/>
        <v/>
      </c>
      <c r="V27" s="100" t="str" vm="459">
        <f t="shared" si="5"/>
        <v/>
      </c>
      <c r="W27" s="100" t="str" vm="297">
        <f t="shared" si="5"/>
        <v/>
      </c>
      <c r="X27" s="100" t="str" vm="396">
        <f t="shared" si="5"/>
        <v/>
      </c>
      <c r="Y27" s="100" t="str" vm="389">
        <f t="shared" si="5"/>
        <v/>
      </c>
      <c r="Z27" s="100" t="str" vm="851">
        <f t="shared" si="5"/>
        <v/>
      </c>
      <c r="AA27" s="100" t="str" vm="365">
        <f t="shared" si="5"/>
        <v/>
      </c>
      <c r="AB27" s="100" t="str" vm="648">
        <f t="shared" si="5"/>
        <v/>
      </c>
      <c r="AC27" s="100" t="str" vm="439">
        <f t="shared" si="5"/>
        <v/>
      </c>
      <c r="AD27" s="100" t="str" vm="658">
        <f t="shared" si="5"/>
        <v/>
      </c>
    </row>
    <row r="28" spans="2:30" x14ac:dyDescent="0.25">
      <c r="B28" s="7" t="str" vm="56">
        <f>CUBEMEMBER("ThisWorkbookDataModel",{"[fActualAndBudget].[StavkaKategorija].&amp;[2.32. Потрошени суровини и материјали]","[fActualAndBudget].[StavkaImeMK].&amp;[Потрoшена енергија и гориво за возила]"})</f>
        <v>Потрoшена енергија и гориво за возила</v>
      </c>
      <c r="C28" s="36" vm="2244">
        <f t="shared" si="9"/>
        <v>1310000</v>
      </c>
      <c r="D28" s="36" vm="2265">
        <f t="shared" si="9"/>
        <v>1310000</v>
      </c>
      <c r="E28" s="36" vm="2306">
        <f t="shared" si="9"/>
        <v>1310000</v>
      </c>
      <c r="F28" s="36" vm="2177">
        <f t="shared" si="9"/>
        <v>1310000</v>
      </c>
      <c r="G28" s="36" vm="2729">
        <f t="shared" si="9"/>
        <v>1310000</v>
      </c>
      <c r="H28" s="36" vm="2360">
        <f t="shared" si="9"/>
        <v>1310000</v>
      </c>
      <c r="I28" s="36" vm="2208">
        <f t="shared" si="9"/>
        <v>1310000</v>
      </c>
      <c r="J28" s="36" vm="2335">
        <f t="shared" si="9"/>
        <v>1310000</v>
      </c>
      <c r="K28" s="36" vm="2310">
        <f t="shared" si="9"/>
        <v>1310000</v>
      </c>
      <c r="L28" s="36" vm="2709">
        <f t="shared" si="9"/>
        <v>1310000</v>
      </c>
      <c r="M28" s="36" vm="2200">
        <f t="shared" si="9"/>
        <v>1310000</v>
      </c>
      <c r="N28" s="36" vm="2357">
        <f t="shared" si="9"/>
        <v>1310000</v>
      </c>
      <c r="O28" s="36" vm="2277">
        <f t="shared" si="9"/>
        <v>15720000</v>
      </c>
      <c r="Q28" t="str" vm="56">
        <f>CUBEMEMBER("ThisWorkbookDataModel",{"[fActualAndBudget].[StavkaKategorija].&amp;[2.32. Потрошени суровини и материјали]","[fActualAndBudget].[StavkaImeMK].&amp;[Потрoшена енергија и гориво за возила]"})</f>
        <v>Потрoшена енергија и гориво за возила</v>
      </c>
      <c r="R28" s="36" t="str" vm="735">
        <f t="shared" si="5"/>
        <v/>
      </c>
      <c r="S28" s="36" t="str" vm="752">
        <f t="shared" si="5"/>
        <v/>
      </c>
      <c r="T28" s="36" t="str" vm="725">
        <f t="shared" si="5"/>
        <v/>
      </c>
      <c r="U28" s="36" t="str" vm="482">
        <f t="shared" si="5"/>
        <v/>
      </c>
      <c r="V28" s="36" t="str" vm="816">
        <f t="shared" si="5"/>
        <v/>
      </c>
      <c r="W28" s="36" t="str" vm="309">
        <f t="shared" si="5"/>
        <v/>
      </c>
      <c r="X28" s="36" t="str" vm="687">
        <f t="shared" si="5"/>
        <v/>
      </c>
      <c r="Y28" s="36" t="str" vm="386">
        <f t="shared" si="5"/>
        <v/>
      </c>
      <c r="Z28" s="36" t="str" vm="542">
        <f t="shared" si="5"/>
        <v/>
      </c>
      <c r="AA28" s="36" t="str" vm="796">
        <f t="shared" si="5"/>
        <v/>
      </c>
      <c r="AB28" s="36" t="str" vm="354">
        <f t="shared" si="5"/>
        <v/>
      </c>
      <c r="AC28" s="36" t="str" vm="863">
        <f t="shared" si="5"/>
        <v/>
      </c>
      <c r="AD28" s="36" t="str" vm="345">
        <f t="shared" si="5"/>
        <v/>
      </c>
    </row>
    <row r="29" spans="2:30" x14ac:dyDescent="0.25">
      <c r="B29" s="7" t="str" vm="53">
        <f>CUBEMEMBER("ThisWorkbookDataModel",{"[fActualAndBudget].[StavkaKategorija].&amp;[2.32. Потрошени суровини и материјали]","[fActualAndBudget].[StavkaImeMK].&amp;[Потрошени резервни делови]"})</f>
        <v>Потрошени резервни делови</v>
      </c>
      <c r="C29" s="36" vm="2440">
        <f t="shared" si="9"/>
        <v>2750</v>
      </c>
      <c r="D29" s="36" vm="2233">
        <f t="shared" si="9"/>
        <v>2750</v>
      </c>
      <c r="E29" s="36" vm="2591">
        <f t="shared" si="9"/>
        <v>2750</v>
      </c>
      <c r="F29" s="36" vm="2755">
        <f t="shared" si="9"/>
        <v>2750</v>
      </c>
      <c r="G29" s="36" vm="2730">
        <f t="shared" si="9"/>
        <v>2750</v>
      </c>
      <c r="H29" s="36" vm="2486">
        <f t="shared" si="9"/>
        <v>2750</v>
      </c>
      <c r="I29" s="36" vm="2221">
        <f t="shared" si="9"/>
        <v>2750</v>
      </c>
      <c r="J29" s="36" vm="2256">
        <f t="shared" si="9"/>
        <v>2750</v>
      </c>
      <c r="K29" s="36" vm="2660">
        <f t="shared" si="9"/>
        <v>2750</v>
      </c>
      <c r="L29" s="36" vm="2527">
        <f t="shared" si="9"/>
        <v>2750</v>
      </c>
      <c r="M29" s="36" vm="2322">
        <f t="shared" si="9"/>
        <v>2750</v>
      </c>
      <c r="N29" s="36" vm="2385">
        <f t="shared" si="9"/>
        <v>2750</v>
      </c>
      <c r="O29" s="36" vm="2282">
        <f t="shared" si="9"/>
        <v>33000</v>
      </c>
      <c r="Q29" t="str" vm="53">
        <f>CUBEMEMBER("ThisWorkbookDataModel",{"[fActualAndBudget].[StavkaKategorija].&amp;[2.32. Потрошени суровини и материјали]","[fActualAndBudget].[StavkaImeMK].&amp;[Потрошени резервни делови]"})</f>
        <v>Потрошени резервни делови</v>
      </c>
      <c r="R29" s="36" t="str" vm="639">
        <f t="shared" si="5"/>
        <v/>
      </c>
      <c r="S29" s="36" t="str" vm="789">
        <f t="shared" si="5"/>
        <v/>
      </c>
      <c r="T29" s="36" t="str" vm="586">
        <f t="shared" si="5"/>
        <v/>
      </c>
      <c r="U29" s="36" t="str" vm="357">
        <f t="shared" si="5"/>
        <v/>
      </c>
      <c r="V29" s="36" t="str" vm="351">
        <f t="shared" si="5"/>
        <v/>
      </c>
      <c r="W29" s="36" t="str" vm="579">
        <f t="shared" si="5"/>
        <v/>
      </c>
      <c r="X29" s="36" t="str" vm="398">
        <f t="shared" si="5"/>
        <v/>
      </c>
      <c r="Y29" s="36" t="str" vm="473">
        <f t="shared" si="5"/>
        <v/>
      </c>
      <c r="Z29" s="36" t="str" vm="257">
        <f t="shared" si="5"/>
        <v/>
      </c>
      <c r="AA29" s="36" t="str" vm="336">
        <f t="shared" si="5"/>
        <v/>
      </c>
      <c r="AB29" s="36" t="str" vm="266">
        <f t="shared" si="5"/>
        <v/>
      </c>
      <c r="AC29" s="36" t="str" vm="301">
        <f t="shared" si="5"/>
        <v/>
      </c>
      <c r="AD29" s="36" t="str" vm="533">
        <f t="shared" si="5"/>
        <v/>
      </c>
    </row>
    <row r="30" spans="2:30" x14ac:dyDescent="0.25">
      <c r="B30" s="7" t="str" vm="51">
        <f>CUBEMEMBER("ThisWorkbookDataModel",{"[fActualAndBudget].[StavkaKategorija].&amp;[2.32. Потрошени суровини и материјали]","[fActualAndBudget].[StavkaImeMK].&amp;[Потрошени суровини и материјали]"})</f>
        <v>Потрошени суровини и материјали</v>
      </c>
      <c r="C30" s="36" vm="2681">
        <f t="shared" si="9"/>
        <v>325000</v>
      </c>
      <c r="D30" s="36" vm="2589">
        <f t="shared" si="9"/>
        <v>325000</v>
      </c>
      <c r="E30" s="36" vm="2482">
        <f t="shared" si="9"/>
        <v>325000</v>
      </c>
      <c r="F30" s="36" vm="2455">
        <f t="shared" si="9"/>
        <v>450000</v>
      </c>
      <c r="G30" s="36" vm="2628">
        <f t="shared" si="9"/>
        <v>450000</v>
      </c>
      <c r="H30" s="36" vm="2295">
        <f t="shared" si="9"/>
        <v>325000</v>
      </c>
      <c r="I30" s="36" vm="2237">
        <f t="shared" si="9"/>
        <v>325000</v>
      </c>
      <c r="J30" s="36" vm="2315">
        <f t="shared" si="9"/>
        <v>325000</v>
      </c>
      <c r="K30" s="36" vm="2293">
        <f t="shared" si="9"/>
        <v>325000</v>
      </c>
      <c r="L30" s="36" vm="2620">
        <f t="shared" si="9"/>
        <v>325000</v>
      </c>
      <c r="M30" s="36" vm="2560">
        <f t="shared" si="9"/>
        <v>325000</v>
      </c>
      <c r="N30" s="36" vm="2654">
        <f t="shared" si="9"/>
        <v>325000</v>
      </c>
      <c r="O30" s="36" vm="2366">
        <f t="shared" si="9"/>
        <v>4150000</v>
      </c>
      <c r="Q30" t="str" vm="51">
        <f>CUBEMEMBER("ThisWorkbookDataModel",{"[fActualAndBudget].[StavkaKategorija].&amp;[2.32. Потрошени суровини и материјали]","[fActualAndBudget].[StavkaImeMK].&amp;[Потрошени суровини и материјали]"})</f>
        <v>Потрошени суровини и материјали</v>
      </c>
      <c r="R30" s="36" t="str" vm="479">
        <f t="shared" si="5"/>
        <v/>
      </c>
      <c r="S30" s="36" t="str" vm="749">
        <f t="shared" si="5"/>
        <v/>
      </c>
      <c r="T30" s="36" t="str" vm="436">
        <f t="shared" si="5"/>
        <v/>
      </c>
      <c r="U30" s="36" t="str" vm="832">
        <f t="shared" si="5"/>
        <v/>
      </c>
      <c r="V30" s="36" t="str" vm="339">
        <f t="shared" si="5"/>
        <v/>
      </c>
      <c r="W30" s="36" t="str" vm="497">
        <f t="shared" si="5"/>
        <v/>
      </c>
      <c r="X30" s="36" t="str" vm="281">
        <f t="shared" si="5"/>
        <v/>
      </c>
      <c r="Y30" s="36" t="str" vm="489">
        <f t="shared" si="5"/>
        <v/>
      </c>
      <c r="Z30" s="36" t="str" vm="799">
        <f t="shared" si="5"/>
        <v/>
      </c>
      <c r="AA30" s="36" t="str" vm="750">
        <f t="shared" si="5"/>
        <v/>
      </c>
      <c r="AB30" s="36" t="str" vm="679">
        <f t="shared" si="5"/>
        <v/>
      </c>
      <c r="AC30" s="36" t="str" vm="798">
        <f t="shared" si="5"/>
        <v/>
      </c>
      <c r="AD30" s="36" t="str" vm="722">
        <f t="shared" si="5"/>
        <v/>
      </c>
    </row>
    <row r="31" spans="2:30" x14ac:dyDescent="0.25">
      <c r="B31" s="7" t="str" vm="40">
        <f>CUBEMEMBER("ThisWorkbookDataModel",{"[fActualAndBudget].[StavkaKategorija].&amp;[2.32. Потрошени суровини и материјали]","[fActualAndBudget].[StavkaImeMK].&amp;[Потрошок на ситен инвентар и автогуми]"})</f>
        <v>Потрошок на ситен инвентар и автогуми</v>
      </c>
      <c r="C31" s="36" vm="2662">
        <f t="shared" si="9"/>
        <v>24167</v>
      </c>
      <c r="D31" s="36" vm="2442">
        <f t="shared" si="9"/>
        <v>24167</v>
      </c>
      <c r="E31" s="36" vm="2743">
        <f t="shared" si="9"/>
        <v>24167</v>
      </c>
      <c r="F31" s="36" vm="2742">
        <f t="shared" si="9"/>
        <v>24167</v>
      </c>
      <c r="G31" s="36" vm="2361">
        <f t="shared" si="9"/>
        <v>24167</v>
      </c>
      <c r="H31" s="36" vm="2396">
        <f t="shared" si="9"/>
        <v>24167</v>
      </c>
      <c r="I31" s="36" vm="2630">
        <f t="shared" si="9"/>
        <v>24167</v>
      </c>
      <c r="J31" s="36" vm="2637">
        <f t="shared" si="9"/>
        <v>24167</v>
      </c>
      <c r="K31" s="36" vm="2738">
        <f t="shared" si="9"/>
        <v>24167</v>
      </c>
      <c r="L31" s="36" vm="2747">
        <f t="shared" si="9"/>
        <v>24167</v>
      </c>
      <c r="M31" s="36" vm="2594">
        <f t="shared" si="9"/>
        <v>24167</v>
      </c>
      <c r="N31" s="36" vm="2593">
        <f t="shared" si="9"/>
        <v>24167</v>
      </c>
      <c r="O31" s="36" vm="2686">
        <f t="shared" si="9"/>
        <v>290004</v>
      </c>
      <c r="Q31" t="str" vm="40">
        <f>CUBEMEMBER("ThisWorkbookDataModel",{"[fActualAndBudget].[StavkaKategorija].&amp;[2.32. Потрошени суровини и материјали]","[fActualAndBudget].[StavkaImeMK].&amp;[Потрошок на ситен инвентар и автогуми]"})</f>
        <v>Потрошок на ситен инвентар и автогуми</v>
      </c>
      <c r="R31" s="36" t="str" vm="338">
        <f t="shared" si="5"/>
        <v/>
      </c>
      <c r="S31" s="36" t="str" vm="610">
        <f t="shared" si="5"/>
        <v/>
      </c>
      <c r="T31" s="36" t="str" vm="348">
        <f t="shared" si="5"/>
        <v/>
      </c>
      <c r="U31" s="36" t="str" vm="715">
        <f t="shared" si="5"/>
        <v/>
      </c>
      <c r="V31" s="36" t="str" vm="841">
        <f t="shared" si="5"/>
        <v/>
      </c>
      <c r="W31" s="36" t="str" vm="370">
        <f t="shared" si="5"/>
        <v/>
      </c>
      <c r="X31" s="36" t="str" vm="862">
        <f t="shared" si="5"/>
        <v/>
      </c>
      <c r="Y31" s="36" t="str" vm="856">
        <f t="shared" si="5"/>
        <v/>
      </c>
      <c r="Z31" s="36" t="str" vm="770">
        <f t="shared" si="5"/>
        <v/>
      </c>
      <c r="AA31" s="36" t="str" vm="411">
        <f t="shared" si="5"/>
        <v/>
      </c>
      <c r="AB31" s="36" t="str" vm="813">
        <f t="shared" si="5"/>
        <v/>
      </c>
      <c r="AC31" s="36" t="str" vm="395">
        <f t="shared" si="5"/>
        <v/>
      </c>
      <c r="AD31" s="36" t="str" vm="445">
        <f t="shared" si="5"/>
        <v/>
      </c>
    </row>
    <row r="32" spans="2:30" s="8" customFormat="1" x14ac:dyDescent="0.25">
      <c r="B32" s="99" t="str" vm="36">
        <f>CUBEMEMBER("ThisWorkbookDataModel","[fActualAndBudget].[StavkaKategorija].&amp;[2.33. Трошоци за вработените]")</f>
        <v>2.33. Трошоци за вработените</v>
      </c>
      <c r="C32" s="100" vm="2406">
        <f t="shared" si="9"/>
        <v>19788174</v>
      </c>
      <c r="D32" s="100" vm="2564">
        <f t="shared" si="9"/>
        <v>19750843</v>
      </c>
      <c r="E32" s="100" vm="2404">
        <f t="shared" si="9"/>
        <v>19713185</v>
      </c>
      <c r="F32" s="100" vm="2386">
        <f t="shared" si="9"/>
        <v>19677430</v>
      </c>
      <c r="G32" s="100" vm="2759">
        <f t="shared" si="9"/>
        <v>19667986</v>
      </c>
      <c r="H32" s="100" vm="2611">
        <f t="shared" si="9"/>
        <v>19612430</v>
      </c>
      <c r="I32" s="100" vm="2520">
        <f t="shared" si="9"/>
        <v>28712465</v>
      </c>
      <c r="J32" s="100" vm="2507">
        <f t="shared" si="9"/>
        <v>19639772</v>
      </c>
      <c r="K32" s="100" vm="2182">
        <f t="shared" si="9"/>
        <v>19605285</v>
      </c>
      <c r="L32" s="100" vm="2618">
        <f t="shared" si="9"/>
        <v>19540285</v>
      </c>
      <c r="M32" s="100" vm="2570">
        <f t="shared" si="9"/>
        <v>19625086</v>
      </c>
      <c r="N32" s="100" vm="2608">
        <f t="shared" si="9"/>
        <v>19531872</v>
      </c>
      <c r="O32" s="100" vm="2186">
        <f t="shared" si="9"/>
        <v>244864813</v>
      </c>
      <c r="Q32" s="8" t="str" vm="36">
        <f>CUBEMEMBER("ThisWorkbookDataModel","[fActualAndBudget].[StavkaKategorija].&amp;[2.33. Трошоци за вработените]")</f>
        <v>2.33. Трошоци за вработените</v>
      </c>
      <c r="R32" s="100" t="str" vm="818">
        <f t="shared" si="5"/>
        <v/>
      </c>
      <c r="S32" s="100" t="str" vm="534">
        <f t="shared" si="5"/>
        <v/>
      </c>
      <c r="T32" s="100" t="str" vm="837">
        <f t="shared" si="5"/>
        <v/>
      </c>
      <c r="U32" s="100" t="str" vm="462">
        <f t="shared" si="5"/>
        <v/>
      </c>
      <c r="V32" s="100" t="str" vm="804">
        <f t="shared" si="5"/>
        <v/>
      </c>
      <c r="W32" s="100" t="str" vm="438">
        <f t="shared" si="5"/>
        <v/>
      </c>
      <c r="X32" s="100" t="str" vm="269">
        <f t="shared" si="5"/>
        <v/>
      </c>
      <c r="Y32" s="100" t="str" vm="705">
        <f t="shared" si="5"/>
        <v/>
      </c>
      <c r="Z32" s="100" t="str" vm="632">
        <f t="shared" si="5"/>
        <v/>
      </c>
      <c r="AA32" s="100" t="str" vm="509">
        <f t="shared" si="5"/>
        <v/>
      </c>
      <c r="AB32" s="100" t="str" vm="366">
        <f t="shared" si="5"/>
        <v/>
      </c>
      <c r="AC32" s="100" t="str" vm="860">
        <f t="shared" si="5"/>
        <v/>
      </c>
      <c r="AD32" s="100" t="str" vm="762">
        <f t="shared" si="5"/>
        <v/>
      </c>
    </row>
    <row r="33" spans="2:30" x14ac:dyDescent="0.25">
      <c r="B33" s="7" t="str" vm="34">
        <f>CUBEMEMBER("ThisWorkbookDataModel",{"[fActualAndBudget].[StavkaKategorija].&amp;[2.33. Трошоци за вработените]","[fActualAndBudget].[StavkaImeMK].&amp;[Надомест на трошоци на вработените, подароци и помошти]"})</f>
        <v>Надомест на трошоци на вработените, подароци и помошти</v>
      </c>
      <c r="C33" s="36" vm="2413">
        <f t="shared" si="9"/>
        <v>19788174</v>
      </c>
      <c r="D33" s="36" vm="2700">
        <f t="shared" si="9"/>
        <v>19750843</v>
      </c>
      <c r="E33" s="36" vm="2535">
        <f t="shared" si="9"/>
        <v>19713185</v>
      </c>
      <c r="F33" s="36" vm="2184">
        <f t="shared" si="9"/>
        <v>19677430</v>
      </c>
      <c r="G33" s="36" vm="2644">
        <f t="shared" si="9"/>
        <v>19667986</v>
      </c>
      <c r="H33" s="36" vm="2301">
        <f t="shared" si="9"/>
        <v>19612430</v>
      </c>
      <c r="I33" s="36" vm="2171">
        <f t="shared" si="9"/>
        <v>28712465</v>
      </c>
      <c r="J33" s="36" vm="2197">
        <f t="shared" si="9"/>
        <v>19639772</v>
      </c>
      <c r="K33" s="36" vm="2586">
        <f t="shared" si="9"/>
        <v>19605285</v>
      </c>
      <c r="L33" s="36" vm="2656">
        <f t="shared" si="9"/>
        <v>19540285</v>
      </c>
      <c r="M33" s="36" vm="2479">
        <f t="shared" si="9"/>
        <v>19625086</v>
      </c>
      <c r="N33" s="36" vm="2207">
        <f t="shared" si="9"/>
        <v>19531872</v>
      </c>
      <c r="O33" s="36" vm="2274">
        <f t="shared" si="9"/>
        <v>244864813</v>
      </c>
      <c r="Q33" t="str" vm="34">
        <f>CUBEMEMBER("ThisWorkbookDataModel",{"[fActualAndBudget].[StavkaKategorija].&amp;[2.33. Трошоци за вработените]","[fActualAndBudget].[StavkaImeMK].&amp;[Надомест на трошоци на вработените, подароци и помошти]"})</f>
        <v>Надомест на трошоци на вработените, подароци и помошти</v>
      </c>
      <c r="R33" s="36" t="str" vm="337">
        <f t="shared" si="5"/>
        <v/>
      </c>
      <c r="S33" s="36" t="str" vm="710">
        <f t="shared" si="5"/>
        <v/>
      </c>
      <c r="T33" s="36" t="str" vm="496">
        <f t="shared" si="5"/>
        <v/>
      </c>
      <c r="U33" s="36" t="str" vm="259">
        <f t="shared" si="5"/>
        <v/>
      </c>
      <c r="V33" s="36" t="str" vm="727">
        <f t="shared" si="5"/>
        <v/>
      </c>
      <c r="W33" s="36" t="str" vm="576">
        <f t="shared" si="5"/>
        <v/>
      </c>
      <c r="X33" s="36" t="str" vm="812">
        <f t="shared" si="5"/>
        <v/>
      </c>
      <c r="Y33" s="36" t="str" vm="264">
        <f t="shared" si="5"/>
        <v/>
      </c>
      <c r="Z33" s="36" t="str" vm="300">
        <f t="shared" si="5"/>
        <v/>
      </c>
      <c r="AA33" s="36" t="str" vm="650">
        <f t="shared" si="5"/>
        <v/>
      </c>
      <c r="AB33" s="36" t="str" vm="692">
        <f t="shared" si="5"/>
        <v/>
      </c>
      <c r="AC33" s="36" t="str" vm="320">
        <f t="shared" si="5"/>
        <v/>
      </c>
      <c r="AD33" s="36" t="str" vm="681">
        <f t="shared" si="5"/>
        <v/>
      </c>
    </row>
    <row r="34" spans="2:30" s="148" customFormat="1" x14ac:dyDescent="0.25">
      <c r="B34" s="146" t="str" vm="61">
        <f>CUBEMEMBER("ThisWorkbookDataModel","[fActualAndBudget].[StavkaKategorija].&amp;[2.34. Амортизација на материјални средства]")</f>
        <v>2.34. Амортизација на материјални средства</v>
      </c>
      <c r="C34" s="147" vm="2232">
        <f t="shared" si="9"/>
        <v>4690673</v>
      </c>
      <c r="D34" s="147" vm="2512">
        <f t="shared" si="9"/>
        <v>4690673</v>
      </c>
      <c r="E34" s="147" vm="2621">
        <f t="shared" si="9"/>
        <v>5066278</v>
      </c>
      <c r="F34" s="147" vm="2382">
        <f t="shared" si="9"/>
        <v>5348658</v>
      </c>
      <c r="G34" s="147" vm="2234">
        <f t="shared" si="9"/>
        <v>5374908</v>
      </c>
      <c r="H34" s="147" vm="2418">
        <f t="shared" si="9"/>
        <v>5378033</v>
      </c>
      <c r="I34" s="147" vm="2478">
        <f t="shared" si="9"/>
        <v>5378033</v>
      </c>
      <c r="J34" s="147" vm="2710">
        <f t="shared" si="9"/>
        <v>5623866</v>
      </c>
      <c r="K34" s="147" vm="2258">
        <f t="shared" si="9"/>
        <v>5838241</v>
      </c>
      <c r="L34" s="147" vm="2489">
        <f t="shared" si="9"/>
        <v>6088054</v>
      </c>
      <c r="M34" s="147" vm="2340">
        <f t="shared" si="9"/>
        <v>6284929</v>
      </c>
      <c r="N34" s="147" vm="2246">
        <f t="shared" si="9"/>
        <v>6722116</v>
      </c>
      <c r="O34" s="147" vm="2407">
        <f t="shared" si="9"/>
        <v>66484462</v>
      </c>
      <c r="Q34" s="148" t="str" vm="61">
        <f>CUBEMEMBER("ThisWorkbookDataModel","[fActualAndBudget].[StavkaKategorija].&amp;[2.34. Амортизација на материјални средства]")</f>
        <v>2.34. Амортизација на материјални средства</v>
      </c>
      <c r="R34" s="147" t="str" vm="468">
        <f t="shared" si="5"/>
        <v/>
      </c>
      <c r="S34" s="147" t="str" vm="682">
        <f t="shared" si="5"/>
        <v/>
      </c>
      <c r="T34" s="147" t="str" vm="661">
        <f t="shared" si="5"/>
        <v/>
      </c>
      <c r="U34" s="147" t="str" vm="457">
        <f t="shared" si="5"/>
        <v/>
      </c>
      <c r="V34" s="147" t="str" vm="767">
        <f t="shared" si="5"/>
        <v/>
      </c>
      <c r="W34" s="147" t="str" vm="249">
        <f t="shared" si="5"/>
        <v/>
      </c>
      <c r="X34" s="147" t="str" vm="453">
        <f t="shared" si="5"/>
        <v/>
      </c>
      <c r="Y34" s="147" t="str" vm="414">
        <f t="shared" si="5"/>
        <v/>
      </c>
      <c r="Z34" s="147" t="str" vm="825">
        <f t="shared" si="5"/>
        <v/>
      </c>
      <c r="AA34" s="147" t="str" vm="467">
        <f t="shared" si="5"/>
        <v/>
      </c>
      <c r="AB34" s="147" t="str" vm="853">
        <f t="shared" si="5"/>
        <v/>
      </c>
      <c r="AC34" s="147" t="str" vm="527">
        <f t="shared" si="5"/>
        <v/>
      </c>
      <c r="AD34" s="147" t="str" vm="532">
        <f t="shared" si="5"/>
        <v/>
      </c>
    </row>
    <row r="35" spans="2:30" s="8" customFormat="1" x14ac:dyDescent="0.25">
      <c r="B35" s="99" t="str" vm="65">
        <f>CUBEMEMBER("ThisWorkbookDataModel","[fActualAndBudget].[StavkaKategorija].&amp;[2.35. Вредносно усогласување на тековни средства]")</f>
        <v>2.35. Вредносно усогласување на тековни средства</v>
      </c>
      <c r="C35" s="100" vm="2303">
        <f t="shared" si="9"/>
        <v>600</v>
      </c>
      <c r="D35" s="100" vm="2229">
        <f t="shared" si="9"/>
        <v>600</v>
      </c>
      <c r="E35" s="100" vm="2359">
        <f t="shared" si="9"/>
        <v>600</v>
      </c>
      <c r="F35" s="100" vm="2491">
        <f t="shared" si="9"/>
        <v>600</v>
      </c>
      <c r="G35" s="100" vm="2345">
        <f t="shared" si="9"/>
        <v>600</v>
      </c>
      <c r="H35" s="100" vm="2368">
        <f t="shared" si="9"/>
        <v>600</v>
      </c>
      <c r="I35" s="100" vm="2292">
        <f t="shared" si="9"/>
        <v>600</v>
      </c>
      <c r="J35" s="100" vm="2459">
        <f t="shared" si="9"/>
        <v>600</v>
      </c>
      <c r="K35" s="100" vm="2617">
        <f t="shared" si="9"/>
        <v>600</v>
      </c>
      <c r="L35" s="100" vm="2753">
        <f t="shared" si="9"/>
        <v>600</v>
      </c>
      <c r="M35" s="100" vm="2314">
        <f t="shared" si="9"/>
        <v>600</v>
      </c>
      <c r="N35" s="100" vm="2704">
        <f t="shared" si="9"/>
        <v>600</v>
      </c>
      <c r="O35" s="100" vm="2183">
        <f t="shared" si="9"/>
        <v>7200</v>
      </c>
      <c r="Q35" s="8" t="str" vm="65">
        <f>CUBEMEMBER("ThisWorkbookDataModel","[fActualAndBudget].[StavkaKategorija].&amp;[2.35. Вредносно усогласување на тековни средства]")</f>
        <v>2.35. Вредносно усогласување на тековни средства</v>
      </c>
      <c r="R35" s="100" t="str" vm="513">
        <f t="shared" si="5"/>
        <v/>
      </c>
      <c r="S35" s="100" t="str" vm="525">
        <f t="shared" si="5"/>
        <v/>
      </c>
      <c r="T35" s="100" t="str" vm="463">
        <f t="shared" si="5"/>
        <v/>
      </c>
      <c r="U35" s="100" t="str" vm="476">
        <f t="shared" si="5"/>
        <v/>
      </c>
      <c r="V35" s="100" t="str" vm="402">
        <f t="shared" si="5"/>
        <v/>
      </c>
      <c r="W35" s="100" t="str" vm="538">
        <f t="shared" si="5"/>
        <v/>
      </c>
      <c r="X35" s="100" t="str" vm="388">
        <f t="shared" si="5"/>
        <v/>
      </c>
      <c r="Y35" s="100" t="str" vm="633">
        <f t="shared" si="5"/>
        <v/>
      </c>
      <c r="Z35" s="100" t="str" vm="316">
        <f t="shared" si="5"/>
        <v/>
      </c>
      <c r="AA35" s="100" t="str" vm="412">
        <f t="shared" si="5"/>
        <v/>
      </c>
      <c r="AB35" s="100" t="str" vm="529">
        <f t="shared" si="5"/>
        <v/>
      </c>
      <c r="AC35" s="100" t="str" vm="636">
        <f t="shared" si="5"/>
        <v/>
      </c>
      <c r="AD35" s="100" t="str" vm="419">
        <f t="shared" si="5"/>
        <v/>
      </c>
    </row>
    <row r="36" spans="2:30" s="8" customFormat="1" x14ac:dyDescent="0.25">
      <c r="B36" s="99" t="str" vm="60">
        <f>CUBEMEMBER("ThisWorkbookDataModel","[fActualAndBudget].[StavkaKategorija].&amp;[2.37. Останати оперативни расходи]")</f>
        <v>2.37. Останати оперативни расходи</v>
      </c>
      <c r="C36" s="100" vm="2312">
        <f t="shared" si="9"/>
        <v>5915537</v>
      </c>
      <c r="D36" s="100" vm="2675">
        <f t="shared" si="9"/>
        <v>5915537</v>
      </c>
      <c r="E36" s="100" vm="2666">
        <f t="shared" si="9"/>
        <v>6646037</v>
      </c>
      <c r="F36" s="100" vm="2421">
        <f t="shared" si="9"/>
        <v>6405537</v>
      </c>
      <c r="G36" s="100" vm="2767">
        <f t="shared" si="9"/>
        <v>6041537</v>
      </c>
      <c r="H36" s="100" vm="2351">
        <f t="shared" si="9"/>
        <v>5715537</v>
      </c>
      <c r="I36" s="100" vm="2725">
        <f t="shared" si="9"/>
        <v>5806136</v>
      </c>
      <c r="J36" s="100" vm="2519">
        <f t="shared" si="9"/>
        <v>6514136</v>
      </c>
      <c r="K36" s="100" vm="2190">
        <f t="shared" si="9"/>
        <v>5656131</v>
      </c>
      <c r="L36" s="100" vm="2254">
        <f t="shared" si="9"/>
        <v>6178631</v>
      </c>
      <c r="M36" s="100" vm="2565">
        <f t="shared" si="9"/>
        <v>5740131</v>
      </c>
      <c r="N36" s="100" vm="2271">
        <f t="shared" si="9"/>
        <v>5656131</v>
      </c>
      <c r="O36" s="100" vm="2447">
        <f t="shared" si="9"/>
        <v>72191018</v>
      </c>
      <c r="Q36" s="8" t="str" vm="60">
        <f>CUBEMEMBER("ThisWorkbookDataModel","[fActualAndBudget].[StavkaKategorija].&amp;[2.37. Останати оперативни расходи]")</f>
        <v>2.37. Останати оперативни расходи</v>
      </c>
      <c r="R36" s="100" t="str" vm="734">
        <f t="shared" si="5"/>
        <v/>
      </c>
      <c r="S36" s="100" t="str" vm="426">
        <f t="shared" si="5"/>
        <v/>
      </c>
      <c r="T36" s="100" t="str" vm="824">
        <f t="shared" si="5"/>
        <v/>
      </c>
      <c r="U36" s="100" t="str" vm="271">
        <f t="shared" si="5"/>
        <v/>
      </c>
      <c r="V36" s="100" t="str" vm="555">
        <f t="shared" si="5"/>
        <v/>
      </c>
      <c r="W36" s="100" t="str" vm="383">
        <f t="shared" si="5"/>
        <v/>
      </c>
      <c r="X36" s="100" t="str" vm="312">
        <f t="shared" si="5"/>
        <v/>
      </c>
      <c r="Y36" s="100" t="str" vm="657">
        <f t="shared" si="5"/>
        <v/>
      </c>
      <c r="Z36" s="100" t="str" vm="815">
        <f t="shared" si="5"/>
        <v/>
      </c>
      <c r="AA36" s="100" t="str" vm="441">
        <f t="shared" si="5"/>
        <v/>
      </c>
      <c r="AB36" s="100" t="str" vm="279">
        <f t="shared" si="5"/>
        <v/>
      </c>
      <c r="AC36" s="100" t="str" vm="285">
        <f t="shared" si="5"/>
        <v/>
      </c>
      <c r="AD36" s="100" t="str" vm="429">
        <f t="shared" si="5"/>
        <v/>
      </c>
    </row>
    <row r="37" spans="2:30" x14ac:dyDescent="0.25">
      <c r="B37" s="7" t="str" vm="59">
        <f>CUBEMEMBER("ThisWorkbookDataModel",{"[fActualAndBudget].[StavkaKategorija].&amp;[2.37. Останати оперативни расходи]","[fActualAndBudget].[StavkaImeMK].&amp;[Банкарски услуги и трошоци за платен промет]"})</f>
        <v>Банкарски услуги и трошоци за платен промет</v>
      </c>
      <c r="C37" s="36" vm="2236">
        <f t="shared" si="9"/>
        <v>30000</v>
      </c>
      <c r="D37" s="36" vm="2506">
        <f t="shared" si="9"/>
        <v>30000</v>
      </c>
      <c r="E37" s="36" vm="2426">
        <f t="shared" si="9"/>
        <v>30000</v>
      </c>
      <c r="F37" s="36" vm="2650">
        <f t="shared" si="9"/>
        <v>30000</v>
      </c>
      <c r="G37" s="36" vm="2446">
        <f t="shared" si="9"/>
        <v>30000</v>
      </c>
      <c r="H37" s="36" vm="2383">
        <f t="shared" si="9"/>
        <v>30000</v>
      </c>
      <c r="I37" s="36" vm="2606">
        <f t="shared" si="9"/>
        <v>30000</v>
      </c>
      <c r="J37" s="36" vm="2573">
        <f t="shared" si="9"/>
        <v>30000</v>
      </c>
      <c r="K37" s="36" vm="2231">
        <f t="shared" si="9"/>
        <v>30000</v>
      </c>
      <c r="L37" s="36" vm="2580">
        <f t="shared" si="9"/>
        <v>30000</v>
      </c>
      <c r="M37" s="36" vm="2438">
        <f t="shared" si="9"/>
        <v>30000</v>
      </c>
      <c r="N37" s="36" vm="2391">
        <f t="shared" si="9"/>
        <v>30000</v>
      </c>
      <c r="O37" s="36" vm="2487">
        <f t="shared" si="9"/>
        <v>360000</v>
      </c>
      <c r="Q37" t="str" vm="59">
        <f>CUBEMEMBER("ThisWorkbookDataModel",{"[fActualAndBudget].[StavkaKategorija].&amp;[2.37. Останати оперативни расходи]","[fActualAndBudget].[StavkaImeMK].&amp;[Банкарски услуги и трошоци за платен промет]"})</f>
        <v>Банкарски услуги и трошоци за платен промет</v>
      </c>
      <c r="R37" s="36" t="str" vm="699">
        <f t="shared" si="5"/>
        <v/>
      </c>
      <c r="S37" s="36" t="str" vm="664">
        <f t="shared" si="5"/>
        <v/>
      </c>
      <c r="T37" s="36" t="str" vm="541">
        <f t="shared" si="5"/>
        <v/>
      </c>
      <c r="U37" s="36" t="str" vm="528">
        <f t="shared" si="5"/>
        <v/>
      </c>
      <c r="V37" s="36" t="str" vm="391">
        <f t="shared" si="5"/>
        <v/>
      </c>
      <c r="W37" s="36" t="str" vm="624">
        <f t="shared" si="5"/>
        <v/>
      </c>
      <c r="X37" s="36" t="str" vm="530">
        <f t="shared" si="5"/>
        <v/>
      </c>
      <c r="Y37" s="36" t="str" vm="262">
        <f t="shared" si="5"/>
        <v/>
      </c>
      <c r="Z37" s="36" t="str" vm="516">
        <f t="shared" si="5"/>
        <v/>
      </c>
      <c r="AA37" s="36" t="str" vm="719">
        <f t="shared" si="5"/>
        <v/>
      </c>
      <c r="AB37" s="36" t="str" vm="846">
        <f t="shared" si="5"/>
        <v/>
      </c>
      <c r="AC37" s="36" t="str" vm="498">
        <f t="shared" si="5"/>
        <v/>
      </c>
      <c r="AD37" s="36" t="str" vm="327">
        <f t="shared" si="5"/>
        <v/>
      </c>
    </row>
    <row r="38" spans="2:30" x14ac:dyDescent="0.25">
      <c r="B38" s="7" t="str" vm="55">
        <f>CUBEMEMBER("ThisWorkbookDataModel",{"[fActualAndBudget].[StavkaKategorija].&amp;[2.37. Останати оперативни расходи]","[fActualAndBudget].[StavkaImeMK].&amp;[Даноци,чланарини и други давачки кои не зависат од резултатот]"})</f>
        <v>Даноци,чланарини и други давачки кои не зависат од резултатот</v>
      </c>
      <c r="C38" s="36" vm="2226">
        <f t="shared" si="9"/>
        <v>97750</v>
      </c>
      <c r="D38" s="36" vm="2691">
        <f t="shared" si="9"/>
        <v>97750</v>
      </c>
      <c r="E38" s="36" vm="2659">
        <f t="shared" si="9"/>
        <v>97750</v>
      </c>
      <c r="F38" s="36" vm="2309">
        <f t="shared" si="9"/>
        <v>97750</v>
      </c>
      <c r="G38" s="36" vm="2247">
        <f t="shared" si="9"/>
        <v>97750</v>
      </c>
      <c r="H38" s="36" vm="2300">
        <f t="shared" si="9"/>
        <v>97750</v>
      </c>
      <c r="I38" s="36" vm="2160">
        <f t="shared" si="9"/>
        <v>97750</v>
      </c>
      <c r="J38" s="36" vm="2689">
        <f t="shared" si="9"/>
        <v>97750</v>
      </c>
      <c r="K38" s="36" vm="2581">
        <f t="shared" si="9"/>
        <v>97750</v>
      </c>
      <c r="L38" s="36" vm="2588">
        <f t="shared" si="9"/>
        <v>97750</v>
      </c>
      <c r="M38" s="36" vm="2510">
        <f t="shared" si="9"/>
        <v>97750</v>
      </c>
      <c r="N38" s="36" vm="2604">
        <f t="shared" si="9"/>
        <v>97750</v>
      </c>
      <c r="O38" s="36" vm="2692">
        <f t="shared" si="9"/>
        <v>1173000</v>
      </c>
      <c r="Q38" t="str" vm="55">
        <f>CUBEMEMBER("ThisWorkbookDataModel",{"[fActualAndBudget].[StavkaKategorija].&amp;[2.37. Останати оперативни расходи]","[fActualAndBudget].[StavkaImeMK].&amp;[Даноци,чланарини и други давачки кои не зависат од резултатот]"})</f>
        <v>Даноци,чланарини и други давачки кои не зависат од резултатот</v>
      </c>
      <c r="R38" s="36" t="str" vm="481">
        <f t="shared" si="5"/>
        <v/>
      </c>
      <c r="S38" s="36" t="str" vm="574">
        <f t="shared" si="5"/>
        <v/>
      </c>
      <c r="T38" s="36" t="str" vm="435">
        <f t="shared" si="5"/>
        <v/>
      </c>
      <c r="U38" s="36" t="str" vm="689">
        <f t="shared" si="5"/>
        <v/>
      </c>
      <c r="V38" s="36" t="str" vm="769">
        <f t="shared" si="5"/>
        <v/>
      </c>
      <c r="W38" s="36" t="str" vm="531">
        <f t="shared" si="5"/>
        <v/>
      </c>
      <c r="X38" s="36" t="str" vm="761">
        <f t="shared" si="5"/>
        <v/>
      </c>
      <c r="Y38" s="36" t="str" vm="745">
        <f t="shared" si="5"/>
        <v/>
      </c>
      <c r="Z38" s="36" t="str" vm="642">
        <f t="shared" si="5"/>
        <v/>
      </c>
      <c r="AA38" s="36" t="str" vm="514">
        <f t="shared" si="5"/>
        <v/>
      </c>
      <c r="AB38" s="36" t="str" vm="716">
        <f t="shared" si="5"/>
        <v/>
      </c>
      <c r="AC38" s="36" t="str" vm="553">
        <f t="shared" si="5"/>
        <v/>
      </c>
      <c r="AD38" s="36" t="str" vm="523">
        <f t="shared" si="5"/>
        <v/>
      </c>
    </row>
    <row r="39" spans="2:30" x14ac:dyDescent="0.25">
      <c r="B39" s="7" t="str" vm="44">
        <f>CUBEMEMBER("ThisWorkbookDataModel",{"[fActualAndBudget].[StavkaKategorija].&amp;[2.37. Останати оперативни расходи]","[fActualAndBudget].[StavkaImeMK].&amp;[Дневници за службени патувања и патни трошоци]"})</f>
        <v>Дневници за службени патувања и патни трошоци</v>
      </c>
      <c r="C39" s="36" vm="2619">
        <f t="shared" si="9"/>
        <v>461000</v>
      </c>
      <c r="D39" s="36" vm="2756">
        <f t="shared" si="9"/>
        <v>461000</v>
      </c>
      <c r="E39" s="36" vm="2157">
        <f t="shared" si="9"/>
        <v>573500</v>
      </c>
      <c r="F39" s="36" vm="2434">
        <f t="shared" si="9"/>
        <v>461000</v>
      </c>
      <c r="G39" s="36" vm="2717">
        <f t="shared" si="9"/>
        <v>587000</v>
      </c>
      <c r="H39" s="36" vm="2302">
        <f t="shared" si="9"/>
        <v>461000</v>
      </c>
      <c r="I39" s="36" vm="2746">
        <f t="shared" si="9"/>
        <v>461000</v>
      </c>
      <c r="J39" s="36" vm="2416">
        <f t="shared" si="9"/>
        <v>486000</v>
      </c>
      <c r="K39" s="36" vm="2222">
        <f t="shared" si="9"/>
        <v>461000</v>
      </c>
      <c r="L39" s="36" vm="2417">
        <f t="shared" si="9"/>
        <v>593500</v>
      </c>
      <c r="M39" s="36" vm="2499">
        <f t="shared" si="9"/>
        <v>545000</v>
      </c>
      <c r="N39" s="36" vm="2284">
        <f t="shared" si="9"/>
        <v>461000</v>
      </c>
      <c r="O39" s="36" vm="2552">
        <f t="shared" si="9"/>
        <v>6012000</v>
      </c>
      <c r="Q39" t="str" vm="44">
        <f>CUBEMEMBER("ThisWorkbookDataModel",{"[fActualAndBudget].[StavkaKategorija].&amp;[2.37. Останати оперативни расходи]","[fActualAndBudget].[StavkaImeMK].&amp;[Дневници за службени патувања и патни трошоци]"})</f>
        <v>Дневници за службени патувања и патни трошоци</v>
      </c>
      <c r="R39" s="36" t="str" vm="326">
        <f t="shared" si="5"/>
        <v/>
      </c>
      <c r="S39" s="36" t="str" vm="318">
        <f t="shared" si="5"/>
        <v/>
      </c>
      <c r="T39" s="36" t="str" vm="808">
        <f t="shared" si="5"/>
        <v/>
      </c>
      <c r="U39" s="36" t="str" vm="536">
        <f t="shared" si="5"/>
        <v/>
      </c>
      <c r="V39" s="36" t="str" vm="678">
        <f t="shared" si="5"/>
        <v/>
      </c>
      <c r="W39" s="36" t="str" vm="273">
        <f t="shared" si="5"/>
        <v/>
      </c>
      <c r="X39" s="36" t="str" vm="766">
        <f t="shared" si="5"/>
        <v/>
      </c>
      <c r="Y39" s="36" t="str" vm="805">
        <f t="shared" si="5"/>
        <v/>
      </c>
      <c r="Z39" s="36" t="str" vm="854">
        <f t="shared" si="5"/>
        <v/>
      </c>
      <c r="AA39" s="36" t="str" vm="278">
        <f t="shared" si="5"/>
        <v/>
      </c>
      <c r="AB39" s="36" t="str" vm="712">
        <f t="shared" si="5"/>
        <v/>
      </c>
      <c r="AC39" s="36" t="str" vm="620">
        <f t="shared" si="5"/>
        <v/>
      </c>
      <c r="AD39" s="36" t="str" vm="747">
        <f t="shared" si="5"/>
        <v/>
      </c>
    </row>
    <row r="40" spans="2:30" x14ac:dyDescent="0.25">
      <c r="B40" s="7" t="str" vm="69">
        <f>CUBEMEMBER("ThisWorkbookDataModel",{"[fActualAndBudget].[StavkaKategorija].&amp;[2.37. Останати оперативни расходи]","[fActualAndBudget].[StavkaImeMK].&amp;[Казни, пенали и надомест на штети затезни камати]"})</f>
        <v>Казни, пенали и надомест на штети затезни камати</v>
      </c>
      <c r="C40" s="36" vm="2607">
        <f t="shared" si="9"/>
        <v>0</v>
      </c>
      <c r="D40" s="36" vm="2690">
        <f t="shared" si="9"/>
        <v>0</v>
      </c>
      <c r="E40" s="36" vm="2372">
        <f t="shared" si="9"/>
        <v>0</v>
      </c>
      <c r="F40" s="36" vm="2238">
        <f t="shared" si="9"/>
        <v>0</v>
      </c>
      <c r="G40" s="36" vm="2362">
        <f t="shared" si="9"/>
        <v>0</v>
      </c>
      <c r="H40" s="36" vm="2392">
        <f t="shared" si="9"/>
        <v>0</v>
      </c>
      <c r="I40" s="36" vm="2636">
        <f t="shared" si="9"/>
        <v>0</v>
      </c>
      <c r="J40" s="36" vm="2343">
        <f t="shared" si="9"/>
        <v>0</v>
      </c>
      <c r="K40" s="36" vm="2542">
        <f t="shared" si="9"/>
        <v>0</v>
      </c>
      <c r="L40" s="36" vm="2734">
        <f t="shared" si="9"/>
        <v>0</v>
      </c>
      <c r="M40" s="36" vm="2452">
        <f t="shared" si="9"/>
        <v>0</v>
      </c>
      <c r="N40" s="36" vm="2253">
        <f t="shared" si="9"/>
        <v>0</v>
      </c>
      <c r="O40" s="36" vm="2273">
        <f t="shared" si="9"/>
        <v>0</v>
      </c>
      <c r="Q40" t="str" vm="69">
        <f>CUBEMEMBER("ThisWorkbookDataModel",{"[fActualAndBudget].[StavkaKategorija].&amp;[2.37. Останати оперативни расходи]","[fActualAndBudget].[StavkaImeMK].&amp;[Казни, пенали и надомест на штети затезни камати]"})</f>
        <v>Казни, пенали и надомест на штети затезни камати</v>
      </c>
      <c r="R40" s="36" t="str" vm="507">
        <f t="shared" ref="R40:AD49" si="10">CUBEVALUE("ThisWorkbookDataModel",$R$2,$R$3,$B$5,$B40,R$6,$S$5)</f>
        <v/>
      </c>
      <c r="S40" s="36" t="str" vm="552">
        <f t="shared" si="10"/>
        <v/>
      </c>
      <c r="T40" s="36" t="str" vm="379">
        <f t="shared" si="10"/>
        <v/>
      </c>
      <c r="U40" s="36" t="str" vm="784">
        <f t="shared" si="10"/>
        <v/>
      </c>
      <c r="V40" s="36" t="str" vm="493">
        <f t="shared" si="10"/>
        <v/>
      </c>
      <c r="W40" s="36" t="str" vm="361">
        <f t="shared" si="10"/>
        <v/>
      </c>
      <c r="X40" s="36" t="str" vm="711">
        <f t="shared" si="10"/>
        <v/>
      </c>
      <c r="Y40" s="36" t="str" vm="488">
        <f t="shared" si="10"/>
        <v/>
      </c>
      <c r="Z40" s="36" t="str" vm="296">
        <f t="shared" si="10"/>
        <v/>
      </c>
      <c r="AA40" s="36" t="str" vm="634">
        <f t="shared" si="10"/>
        <v/>
      </c>
      <c r="AB40" s="36" t="str" vm="797">
        <f t="shared" si="10"/>
        <v/>
      </c>
      <c r="AC40" s="36" t="str" vm="349">
        <f t="shared" si="10"/>
        <v/>
      </c>
      <c r="AD40" s="36" t="str" vm="428">
        <f t="shared" si="10"/>
        <v/>
      </c>
    </row>
    <row r="41" spans="2:30" x14ac:dyDescent="0.25">
      <c r="B41" s="7" t="str" vm="67">
        <f>CUBEMEMBER("ThisWorkbookDataModel",{"[fActualAndBudget].[StavkaKategorija].&amp;[2.37. Останати оперативни расходи]","[fActualAndBudget].[StavkaImeMK].&amp;[Лиценци за разни софтвери (едногодишни, обновливи)]"})</f>
        <v>Лиценци за разни софтвери (едногодишни, обновливи)</v>
      </c>
      <c r="C41" s="36" vm="2471">
        <f t="shared" si="9"/>
        <v>603100</v>
      </c>
      <c r="D41" s="36" vm="2735">
        <f t="shared" si="9"/>
        <v>603100</v>
      </c>
      <c r="E41" s="36" vm="2727">
        <f t="shared" si="9"/>
        <v>603100</v>
      </c>
      <c r="F41" s="36" vm="2599">
        <f t="shared" si="9"/>
        <v>603100</v>
      </c>
      <c r="G41" s="36" vm="2191">
        <f t="shared" si="9"/>
        <v>603100</v>
      </c>
      <c r="H41" s="36" vm="2449">
        <f t="shared" si="9"/>
        <v>603100</v>
      </c>
      <c r="I41" s="36" vm="2178">
        <f t="shared" si="9"/>
        <v>603100</v>
      </c>
      <c r="J41" s="36" vm="2377">
        <f t="shared" si="9"/>
        <v>603100</v>
      </c>
      <c r="K41" s="36" vm="2212">
        <f t="shared" si="9"/>
        <v>603100</v>
      </c>
      <c r="L41" s="36" vm="2622">
        <f t="shared" si="9"/>
        <v>603100</v>
      </c>
      <c r="M41" s="36" vm="2462">
        <f t="shared" si="9"/>
        <v>603100</v>
      </c>
      <c r="N41" s="36" vm="2625">
        <f t="shared" si="9"/>
        <v>603100</v>
      </c>
      <c r="O41" s="36" vm="2297">
        <f t="shared" si="9"/>
        <v>7237200</v>
      </c>
      <c r="Q41" t="str" vm="67">
        <f>CUBEMEMBER("ThisWorkbookDataModel",{"[fActualAndBudget].[StavkaKategorija].&amp;[2.37. Останати оперативни расходи]","[fActualAndBudget].[StavkaImeMK].&amp;[Лиценци за разни софтвери (едногодишни, обновливи)]"})</f>
        <v>Лиценци за разни софтвери (едногодишни, обновливи)</v>
      </c>
      <c r="R41" s="36" t="str" vm="785">
        <f t="shared" si="10"/>
        <v/>
      </c>
      <c r="S41" s="36" t="str" vm="858">
        <f t="shared" si="10"/>
        <v/>
      </c>
      <c r="T41" s="36" t="str" vm="686">
        <f t="shared" si="10"/>
        <v/>
      </c>
      <c r="U41" s="36" t="str" vm="517">
        <f t="shared" si="10"/>
        <v/>
      </c>
      <c r="V41" s="36" t="str" vm="333">
        <f t="shared" si="10"/>
        <v/>
      </c>
      <c r="W41" s="36" t="str" vm="685">
        <f t="shared" si="10"/>
        <v/>
      </c>
      <c r="X41" s="36" t="str" vm="788">
        <f t="shared" si="10"/>
        <v/>
      </c>
      <c r="Y41" s="36" t="str" vm="599">
        <f t="shared" si="10"/>
        <v/>
      </c>
      <c r="Z41" s="36" t="str" vm="310">
        <f t="shared" si="10"/>
        <v/>
      </c>
      <c r="AA41" s="36" t="str" vm="359">
        <f t="shared" si="10"/>
        <v/>
      </c>
      <c r="AB41" s="36" t="str" vm="855">
        <f t="shared" si="10"/>
        <v/>
      </c>
      <c r="AC41" s="36" t="str" vm="472">
        <f t="shared" si="10"/>
        <v/>
      </c>
      <c r="AD41" s="36" t="str" vm="508">
        <f t="shared" si="10"/>
        <v/>
      </c>
    </row>
    <row r="42" spans="2:30" x14ac:dyDescent="0.25">
      <c r="B42" s="7" t="str" vm="42">
        <f>CUBEMEMBER("ThisWorkbookDataModel",{"[fActualAndBudget].[StavkaKategorija].&amp;[2.37. Останати оперативни расходи]","[fActualAndBudget].[StavkaImeMK].&amp;[Надворешни услуги]"})</f>
        <v>Надворешни услуги</v>
      </c>
      <c r="C42" s="36" vm="2472">
        <f t="shared" si="9"/>
        <v>104167</v>
      </c>
      <c r="D42" s="36" vm="2685">
        <f t="shared" si="9"/>
        <v>104167</v>
      </c>
      <c r="E42" s="36" vm="2286">
        <f t="shared" si="9"/>
        <v>104167</v>
      </c>
      <c r="F42" s="36" vm="2495">
        <f t="shared" si="9"/>
        <v>104167</v>
      </c>
      <c r="G42" s="36" vm="2288">
        <f t="shared" si="9"/>
        <v>104167</v>
      </c>
      <c r="H42" s="36" vm="2170">
        <f t="shared" si="9"/>
        <v>104167</v>
      </c>
      <c r="I42" s="36" vm="2209">
        <f t="shared" si="9"/>
        <v>104167</v>
      </c>
      <c r="J42" s="36" vm="2409">
        <f t="shared" si="9"/>
        <v>104167</v>
      </c>
      <c r="K42" s="36" vm="2333">
        <f t="shared" si="9"/>
        <v>104167</v>
      </c>
      <c r="L42" s="36" vm="2379">
        <f t="shared" si="9"/>
        <v>104167</v>
      </c>
      <c r="M42" s="36" vm="2400">
        <f t="shared" si="9"/>
        <v>104167</v>
      </c>
      <c r="N42" s="36" vm="2223">
        <f t="shared" si="9"/>
        <v>104167</v>
      </c>
      <c r="O42" s="36" vm="2371">
        <f t="shared" si="9"/>
        <v>1250004</v>
      </c>
      <c r="Q42" t="str" vm="42">
        <f>CUBEMEMBER("ThisWorkbookDataModel",{"[fActualAndBudget].[StavkaKategorija].&amp;[2.37. Останати оперативни расходи]","[fActualAndBudget].[StavkaImeMK].&amp;[Надворешни услуги]"})</f>
        <v>Надворешни услуги</v>
      </c>
      <c r="R42" s="36" t="str" vm="460">
        <f t="shared" si="10"/>
        <v/>
      </c>
      <c r="S42" s="36" t="str" vm="746">
        <f t="shared" si="10"/>
        <v/>
      </c>
      <c r="T42" s="36" t="str" vm="663">
        <f t="shared" si="10"/>
        <v/>
      </c>
      <c r="U42" s="36" t="str" vm="500">
        <f t="shared" si="10"/>
        <v/>
      </c>
      <c r="V42" s="36" t="str" vm="545">
        <f t="shared" si="10"/>
        <v/>
      </c>
      <c r="W42" s="36" t="str" vm="570">
        <f t="shared" si="10"/>
        <v/>
      </c>
      <c r="X42" s="36" t="str" vm="390">
        <f t="shared" si="10"/>
        <v/>
      </c>
      <c r="Y42" s="36" t="str" vm="503">
        <f t="shared" si="10"/>
        <v/>
      </c>
      <c r="Z42" s="36" t="str" vm="250">
        <f t="shared" si="10"/>
        <v/>
      </c>
      <c r="AA42" s="36" t="str" vm="290">
        <f t="shared" si="10"/>
        <v/>
      </c>
      <c r="AB42" s="36" t="str" vm="397">
        <f t="shared" si="10"/>
        <v/>
      </c>
      <c r="AC42" s="36" t="str" vm="544">
        <f t="shared" si="10"/>
        <v/>
      </c>
      <c r="AD42" s="36" t="str" vm="440">
        <f t="shared" si="10"/>
        <v/>
      </c>
    </row>
    <row r="43" spans="2:30" x14ac:dyDescent="0.25">
      <c r="B43" s="7" t="str" vm="39">
        <f>CUBEMEMBER("ThisWorkbookDataModel",{"[fActualAndBudget].[StavkaKategorija].&amp;[2.37. Останати оперативни расходи]","[fActualAndBudget].[StavkaImeMK].&amp;[Наемнини и лизинг]"})</f>
        <v>Наемнини и лизинг</v>
      </c>
      <c r="C43" s="36" vm="2348">
        <f t="shared" si="9"/>
        <v>39700</v>
      </c>
      <c r="D43" s="36" vm="2722">
        <f t="shared" si="9"/>
        <v>39700</v>
      </c>
      <c r="E43" s="36" vm="2316">
        <f t="shared" si="9"/>
        <v>39700</v>
      </c>
      <c r="F43" s="36" vm="2765">
        <f t="shared" si="9"/>
        <v>39700</v>
      </c>
      <c r="G43" s="36" vm="2266">
        <f t="shared" si="9"/>
        <v>39700</v>
      </c>
      <c r="H43" s="36" vm="2185">
        <f t="shared" si="9"/>
        <v>39700</v>
      </c>
      <c r="I43" s="36" vm="2435">
        <f t="shared" si="9"/>
        <v>39700</v>
      </c>
      <c r="J43" s="36" vm="2610">
        <f t="shared" si="9"/>
        <v>39700</v>
      </c>
      <c r="K43" s="36" vm="2196">
        <f t="shared" si="9"/>
        <v>39700</v>
      </c>
      <c r="L43" s="36" vm="2684">
        <f t="shared" si="9"/>
        <v>39700</v>
      </c>
      <c r="M43" s="36" vm="2352">
        <f t="shared" si="9"/>
        <v>39700</v>
      </c>
      <c r="N43" s="36" vm="2375">
        <f t="shared" si="9"/>
        <v>39700</v>
      </c>
      <c r="O43" s="36" vm="2390">
        <f t="shared" si="9"/>
        <v>476400</v>
      </c>
      <c r="Q43" t="str" vm="39">
        <f>CUBEMEMBER("ThisWorkbookDataModel",{"[fActualAndBudget].[StavkaKategorija].&amp;[2.37. Останати оперативни расходи]","[fActualAndBudget].[StavkaImeMK].&amp;[Наемнини и лизинг]"})</f>
        <v>Наемнини и лизинг</v>
      </c>
      <c r="R43" s="36" t="str" vm="790">
        <f t="shared" si="10"/>
        <v/>
      </c>
      <c r="S43" s="36" t="str" vm="616">
        <f t="shared" si="10"/>
        <v/>
      </c>
      <c r="T43" s="36" t="str" vm="839">
        <f t="shared" si="10"/>
        <v/>
      </c>
      <c r="U43" s="36" t="str" vm="449">
        <f t="shared" si="10"/>
        <v/>
      </c>
      <c r="V43" s="36" t="str" vm="420">
        <f t="shared" si="10"/>
        <v/>
      </c>
      <c r="W43" s="36" t="str" vm="795">
        <f t="shared" si="10"/>
        <v/>
      </c>
      <c r="X43" s="36" t="str" vm="546">
        <f t="shared" si="10"/>
        <v/>
      </c>
      <c r="Y43" s="36" t="str" vm="704">
        <f t="shared" si="10"/>
        <v/>
      </c>
      <c r="Z43" s="36" t="str" vm="845">
        <f t="shared" si="10"/>
        <v/>
      </c>
      <c r="AA43" s="36" t="str" vm="374">
        <f t="shared" si="10"/>
        <v/>
      </c>
      <c r="AB43" s="36" t="str" vm="627">
        <f t="shared" si="10"/>
        <v/>
      </c>
      <c r="AC43" s="36" t="str" vm="328">
        <f t="shared" si="10"/>
        <v/>
      </c>
      <c r="AD43" s="36" t="str" vm="670">
        <f t="shared" si="10"/>
        <v/>
      </c>
    </row>
    <row r="44" spans="2:30" x14ac:dyDescent="0.25">
      <c r="B44" s="7" t="str" vm="35">
        <f>CUBEMEMBER("ThisWorkbookDataModel",{"[fActualAndBudget].[StavkaKategorija].&amp;[2.37. Останати оперативни расходи]","[fActualAndBudget].[StavkaImeMK].&amp;[Останати нематеријални трошоци]"})</f>
        <v>Останати нематеријални трошоци</v>
      </c>
      <c r="C44" s="36" vm="2394">
        <f t="shared" si="9"/>
        <v>254750</v>
      </c>
      <c r="D44" s="36" vm="2649">
        <f t="shared" si="9"/>
        <v>254750</v>
      </c>
      <c r="E44" s="36" vm="2616">
        <f t="shared" si="9"/>
        <v>404750</v>
      </c>
      <c r="F44" s="36" vm="2358">
        <f t="shared" si="9"/>
        <v>644750</v>
      </c>
      <c r="G44" s="36" vm="2626">
        <f t="shared" si="9"/>
        <v>254750</v>
      </c>
      <c r="H44" s="36" vm="2412">
        <f t="shared" si="9"/>
        <v>254750</v>
      </c>
      <c r="I44" s="36" vm="2772">
        <f t="shared" si="9"/>
        <v>404750</v>
      </c>
      <c r="J44" s="36" vm="2643">
        <f t="shared" si="9"/>
        <v>254750</v>
      </c>
      <c r="K44" s="36" vm="2716">
        <f t="shared" si="9"/>
        <v>254750</v>
      </c>
      <c r="L44" s="36" vm="2465">
        <f t="shared" si="9"/>
        <v>644750</v>
      </c>
      <c r="M44" s="36" vm="2217">
        <f t="shared" si="9"/>
        <v>254750</v>
      </c>
      <c r="N44" s="36" vm="2245">
        <f t="shared" si="9"/>
        <v>254750</v>
      </c>
      <c r="O44" s="36" vm="2431">
        <f t="shared" si="9"/>
        <v>4137000</v>
      </c>
      <c r="Q44" t="str" vm="35">
        <f>CUBEMEMBER("ThisWorkbookDataModel",{"[fActualAndBudget].[StavkaKategorija].&amp;[2.37. Останати оперативни расходи]","[fActualAndBudget].[StavkaImeMK].&amp;[Останати нематеријални трошоци]"})</f>
        <v>Останати нематеријални трошоци</v>
      </c>
      <c r="R44" s="36" t="str" vm="344">
        <f t="shared" si="10"/>
        <v/>
      </c>
      <c r="S44" s="36" t="str" vm="334">
        <f t="shared" si="10"/>
        <v/>
      </c>
      <c r="T44" s="36" t="str" vm="592">
        <f t="shared" si="10"/>
        <v/>
      </c>
      <c r="U44" s="36" t="str" vm="282">
        <f t="shared" si="10"/>
        <v/>
      </c>
      <c r="V44" s="36" t="str" vm="263">
        <f t="shared" si="10"/>
        <v/>
      </c>
      <c r="W44" s="36" t="str" vm="597">
        <f t="shared" si="10"/>
        <v/>
      </c>
      <c r="X44" s="36" t="str" vm="548">
        <f t="shared" si="10"/>
        <v/>
      </c>
      <c r="Y44" s="36" t="str" vm="424">
        <f t="shared" si="10"/>
        <v/>
      </c>
      <c r="Z44" s="36" t="str" vm="331">
        <f t="shared" si="10"/>
        <v/>
      </c>
      <c r="AA44" s="36" t="str" vm="324">
        <f t="shared" si="10"/>
        <v/>
      </c>
      <c r="AB44" s="36" t="str" vm="430">
        <f t="shared" si="10"/>
        <v/>
      </c>
      <c r="AC44" s="36" t="str" vm="623">
        <f t="shared" si="10"/>
        <v/>
      </c>
      <c r="AD44" s="36" t="str" vm="671">
        <f t="shared" si="10"/>
        <v/>
      </c>
    </row>
    <row r="45" spans="2:30" x14ac:dyDescent="0.25">
      <c r="B45" s="7" t="str" vm="31">
        <f>CUBEMEMBER("ThisWorkbookDataModel",{"[fActualAndBudget].[StavkaKategorija].&amp;[2.37. Останати оперативни расходи]","[fActualAndBudget].[StavkaImeMK].&amp;[Останати услуги]"})</f>
        <v>Останати услуги</v>
      </c>
      <c r="C45" s="36" vm="2276">
        <f t="shared" si="9"/>
        <v>1347185</v>
      </c>
      <c r="D45" s="36" vm="2339">
        <f t="shared" si="9"/>
        <v>1347185</v>
      </c>
      <c r="E45" s="36" vm="2165">
        <f t="shared" si="9"/>
        <v>1815185</v>
      </c>
      <c r="F45" s="36" vm="2326">
        <f t="shared" si="9"/>
        <v>1447185</v>
      </c>
      <c r="G45" s="36" vm="2216">
        <f t="shared" si="9"/>
        <v>1347185</v>
      </c>
      <c r="H45" s="36" vm="2641">
        <f t="shared" si="9"/>
        <v>1147185</v>
      </c>
      <c r="I45" s="36" vm="2731">
        <f t="shared" si="9"/>
        <v>1077784</v>
      </c>
      <c r="J45" s="36" vm="2154">
        <f t="shared" si="9"/>
        <v>1785784</v>
      </c>
      <c r="K45" s="36" vm="2529">
        <f t="shared" si="9"/>
        <v>1077783</v>
      </c>
      <c r="L45" s="36" vm="2615">
        <f t="shared" si="9"/>
        <v>1077783</v>
      </c>
      <c r="M45" s="36" vm="2687">
        <f t="shared" si="9"/>
        <v>1077783</v>
      </c>
      <c r="N45" s="36" vm="2736">
        <f t="shared" si="9"/>
        <v>1077783</v>
      </c>
      <c r="O45" s="36" vm="2632">
        <f t="shared" si="9"/>
        <v>15625810</v>
      </c>
      <c r="Q45" t="str" vm="31">
        <f>CUBEMEMBER("ThisWorkbookDataModel",{"[fActualAndBudget].[StavkaKategorija].&amp;[2.37. Останати оперативни расходи]","[fActualAndBudget].[StavkaImeMK].&amp;[Останати услуги]"})</f>
        <v>Останати услуги</v>
      </c>
      <c r="R45" s="36" t="str" vm="298">
        <f t="shared" si="10"/>
        <v/>
      </c>
      <c r="S45" s="36" t="str" vm="738">
        <f t="shared" si="10"/>
        <v/>
      </c>
      <c r="T45" s="36" t="str" vm="702">
        <f t="shared" si="10"/>
        <v/>
      </c>
      <c r="U45" s="36" t="str" vm="443">
        <f t="shared" si="10"/>
        <v/>
      </c>
      <c r="V45" s="36" t="str" vm="764">
        <f t="shared" si="10"/>
        <v/>
      </c>
      <c r="W45" s="36" t="str" vm="810">
        <f t="shared" si="10"/>
        <v/>
      </c>
      <c r="X45" s="36" t="str" vm="547">
        <f t="shared" si="10"/>
        <v/>
      </c>
      <c r="Y45" s="36" t="str" vm="644">
        <f t="shared" si="10"/>
        <v/>
      </c>
      <c r="Z45" s="36" t="str" vm="421">
        <f t="shared" si="10"/>
        <v/>
      </c>
      <c r="AA45" s="36" t="str" vm="311">
        <f t="shared" si="10"/>
        <v/>
      </c>
      <c r="AB45" s="36" t="str" vm="760">
        <f t="shared" si="10"/>
        <v/>
      </c>
      <c r="AC45" s="36" t="str" vm="674">
        <f t="shared" si="10"/>
        <v/>
      </c>
      <c r="AD45" s="36" t="str" vm="830">
        <f t="shared" si="10"/>
        <v/>
      </c>
    </row>
    <row r="46" spans="2:30" x14ac:dyDescent="0.25">
      <c r="B46" s="7" t="str" vm="29">
        <f>CUBEMEMBER("ThisWorkbookDataModel",{"[fActualAndBudget].[StavkaKategorija].&amp;[2.37. Останати оперативни расходи]","[fActualAndBudget].[StavkaImeMK].&amp;[Премии за осигурување]"})</f>
        <v>Премии за осигурување</v>
      </c>
      <c r="C46" s="36" vm="2740">
        <f t="shared" si="9"/>
        <v>72917</v>
      </c>
      <c r="D46" s="36" vm="2250">
        <f t="shared" si="9"/>
        <v>72917</v>
      </c>
      <c r="E46" s="36" vm="2227">
        <f t="shared" si="9"/>
        <v>72917</v>
      </c>
      <c r="F46" s="36" vm="2198">
        <f t="shared" si="9"/>
        <v>72917</v>
      </c>
      <c r="G46" s="36" vm="2585">
        <f t="shared" si="9"/>
        <v>72917</v>
      </c>
      <c r="H46" s="36" vm="2463">
        <f t="shared" si="9"/>
        <v>72917</v>
      </c>
      <c r="I46" s="36" vm="2694">
        <f t="shared" si="9"/>
        <v>72917</v>
      </c>
      <c r="J46" s="36" vm="2444">
        <f t="shared" si="9"/>
        <v>197917</v>
      </c>
      <c r="K46" s="36" vm="2629">
        <f t="shared" ref="C46:O49" si="11">CUBEVALUE("ThisWorkbookDataModel",$C$2,$C$3,$B$5,$B46,K$6,$D$5)</f>
        <v>72916</v>
      </c>
      <c r="L46" s="36" vm="2502">
        <f t="shared" si="11"/>
        <v>72916</v>
      </c>
      <c r="M46" s="36" vm="2513">
        <f t="shared" si="11"/>
        <v>72916</v>
      </c>
      <c r="N46" s="36" vm="2272">
        <f t="shared" si="11"/>
        <v>72916</v>
      </c>
      <c r="O46" s="36" vm="2240">
        <f t="shared" si="11"/>
        <v>1000000</v>
      </c>
      <c r="Q46" t="str" vm="29">
        <f>CUBEMEMBER("ThisWorkbookDataModel",{"[fActualAndBudget].[StavkaKategorija].&amp;[2.37. Останати оперативни расходи]","[fActualAndBudget].[StavkaImeMK].&amp;[Премии за осигурување]"})</f>
        <v>Премии за осигурување</v>
      </c>
      <c r="R46" s="36" t="str" vm="596">
        <f t="shared" si="10"/>
        <v/>
      </c>
      <c r="S46" s="36" t="str" vm="630">
        <f t="shared" si="10"/>
        <v/>
      </c>
      <c r="T46" s="36" t="str" vm="302">
        <f t="shared" si="10"/>
        <v/>
      </c>
      <c r="U46" s="36" t="str" vm="399">
        <f t="shared" si="10"/>
        <v/>
      </c>
      <c r="V46" s="36" t="str" vm="416">
        <f t="shared" si="10"/>
        <v/>
      </c>
      <c r="W46" s="36" t="str" vm="606">
        <f t="shared" si="10"/>
        <v/>
      </c>
      <c r="X46" s="36" t="str" vm="474">
        <f t="shared" si="10"/>
        <v/>
      </c>
      <c r="Y46" s="36" t="str" vm="332">
        <f t="shared" si="10"/>
        <v/>
      </c>
      <c r="Z46" s="36" t="str" vm="287">
        <f t="shared" si="10"/>
        <v/>
      </c>
      <c r="AA46" s="36" t="str" vm="452">
        <f t="shared" si="10"/>
        <v/>
      </c>
      <c r="AB46" s="36" t="str" vm="829">
        <f t="shared" si="10"/>
        <v/>
      </c>
      <c r="AC46" s="36" t="str" vm="751">
        <f t="shared" si="10"/>
        <v/>
      </c>
      <c r="AD46" s="36" t="str" vm="461">
        <f t="shared" si="10"/>
        <v/>
      </c>
    </row>
    <row r="47" spans="2:30" x14ac:dyDescent="0.25">
      <c r="B47" s="7" t="str" vm="26">
        <f>CUBEMEMBER("ThisWorkbookDataModel",{"[fActualAndBudget].[StavkaKategorija].&amp;[2.37. Останати оперативни расходи]","[fActualAndBudget].[StavkaImeMK].&amp;[Транспортни услуги]"})</f>
        <v>Транспортни услуги</v>
      </c>
      <c r="C47" s="36" vm="2639">
        <f t="shared" si="11"/>
        <v>1427667</v>
      </c>
      <c r="D47" s="36" vm="2189">
        <f t="shared" si="11"/>
        <v>1427667</v>
      </c>
      <c r="E47" s="36" vm="2769">
        <f t="shared" si="11"/>
        <v>1427667</v>
      </c>
      <c r="F47" s="36" vm="2474">
        <f t="shared" si="11"/>
        <v>1427667</v>
      </c>
      <c r="G47" s="36" vm="2220">
        <f t="shared" si="11"/>
        <v>1427667</v>
      </c>
      <c r="H47" s="36" vm="2749">
        <f t="shared" si="11"/>
        <v>1427667</v>
      </c>
      <c r="I47" s="36" vm="2672">
        <f t="shared" si="11"/>
        <v>1437667</v>
      </c>
      <c r="J47" s="36" vm="2752">
        <f t="shared" si="11"/>
        <v>1437667</v>
      </c>
      <c r="K47" s="36" vm="2252">
        <f t="shared" si="11"/>
        <v>1437666</v>
      </c>
      <c r="L47" s="36" vm="2718">
        <f t="shared" si="11"/>
        <v>1437666</v>
      </c>
      <c r="M47" s="36" vm="2546">
        <f t="shared" si="11"/>
        <v>1437666</v>
      </c>
      <c r="N47" s="36" vm="2187">
        <f t="shared" si="11"/>
        <v>1437666</v>
      </c>
      <c r="O47" s="36" vm="2577">
        <f t="shared" si="11"/>
        <v>17192000</v>
      </c>
      <c r="Q47" t="str" vm="26">
        <f>CUBEMEMBER("ThisWorkbookDataModel",{"[fActualAndBudget].[StavkaKategorija].&amp;[2.37. Останати оперативни расходи]","[fActualAndBudget].[StavkaImeMK].&amp;[Транспортни услуги]"})</f>
        <v>Транспортни услуги</v>
      </c>
      <c r="R47" s="36" t="str" vm="724">
        <f t="shared" si="10"/>
        <v/>
      </c>
      <c r="S47" s="36" t="str" vm="540">
        <f t="shared" si="10"/>
        <v/>
      </c>
      <c r="T47" s="36" t="str" vm="842">
        <f t="shared" si="10"/>
        <v/>
      </c>
      <c r="U47" s="36" t="str" vm="524">
        <f t="shared" si="10"/>
        <v/>
      </c>
      <c r="V47" s="36" t="str" vm="589">
        <f t="shared" si="10"/>
        <v/>
      </c>
      <c r="W47" s="36" t="str" vm="314">
        <f t="shared" si="10"/>
        <v/>
      </c>
      <c r="X47" s="36" t="str" vm="466">
        <f t="shared" si="10"/>
        <v/>
      </c>
      <c r="Y47" s="36" t="str" vm="594">
        <f t="shared" si="10"/>
        <v/>
      </c>
      <c r="Z47" s="36" t="str" vm="423">
        <f t="shared" si="10"/>
        <v/>
      </c>
      <c r="AA47" s="36" t="str" vm="814">
        <f t="shared" si="10"/>
        <v/>
      </c>
      <c r="AB47" s="36" t="str" vm="465">
        <f t="shared" si="10"/>
        <v/>
      </c>
      <c r="AC47" s="36" t="str" vm="653">
        <f t="shared" si="10"/>
        <v/>
      </c>
      <c r="AD47" s="36" t="str" vm="563">
        <f t="shared" si="10"/>
        <v/>
      </c>
    </row>
    <row r="48" spans="2:30" x14ac:dyDescent="0.25">
      <c r="B48" s="7" t="str" vm="54">
        <f>CUBEMEMBER("ThisWorkbookDataModel",{"[fActualAndBudget].[StavkaKategorija].&amp;[2.37. Останати оперативни расходи]","[fActualAndBudget].[StavkaImeMK].&amp;[Трошоци за промоција,пропаганда, реклама, репрезентација и спонзорство]"})</f>
        <v>Трошоци за промоција,пропаганда, реклама, репрезентација и спонзорство</v>
      </c>
      <c r="C48" s="36" vm="2679">
        <f t="shared" si="11"/>
        <v>33367</v>
      </c>
      <c r="D48" s="36" vm="2645">
        <f t="shared" si="11"/>
        <v>33367</v>
      </c>
      <c r="E48" s="36" vm="2670">
        <f t="shared" si="11"/>
        <v>33367</v>
      </c>
      <c r="F48" s="36" vm="2566">
        <f t="shared" si="11"/>
        <v>33367</v>
      </c>
      <c r="G48" s="36" vm="2205">
        <f t="shared" si="11"/>
        <v>33367</v>
      </c>
      <c r="H48" s="36" vm="2473">
        <f t="shared" si="11"/>
        <v>33367</v>
      </c>
      <c r="I48" s="36" vm="2613">
        <f t="shared" si="11"/>
        <v>33367</v>
      </c>
      <c r="J48" s="36" vm="2228">
        <f t="shared" si="11"/>
        <v>33367</v>
      </c>
      <c r="K48" s="36" vm="2572">
        <f t="shared" si="11"/>
        <v>33366</v>
      </c>
      <c r="L48" s="36" vm="2582">
        <f t="shared" si="11"/>
        <v>33366</v>
      </c>
      <c r="M48" s="36" vm="2425">
        <f t="shared" si="11"/>
        <v>33366</v>
      </c>
      <c r="N48" s="36" vm="2298">
        <f t="shared" si="11"/>
        <v>33366</v>
      </c>
      <c r="O48" s="36" vm="2524">
        <f t="shared" si="11"/>
        <v>400400</v>
      </c>
      <c r="Q48" t="str" vm="54">
        <f>CUBEMEMBER("ThisWorkbookDataModel",{"[fActualAndBudget].[StavkaKategorija].&amp;[2.37. Останати оперативни расходи]","[fActualAndBudget].[StavkaImeMK].&amp;[Трошоци за промоција,пропаганда, реклама, репрезентација и спонзорство]"})</f>
        <v>Трошоци за промоција,пропаганда, реклама, репрезентација и спонзорство</v>
      </c>
      <c r="R48" s="36" t="str" vm="380">
        <f t="shared" si="10"/>
        <v/>
      </c>
      <c r="S48" s="36" t="str" vm="342">
        <f t="shared" si="10"/>
        <v/>
      </c>
      <c r="T48" s="36" t="str" vm="861">
        <f t="shared" si="10"/>
        <v/>
      </c>
      <c r="U48" s="36" t="str" vm="820">
        <f t="shared" si="10"/>
        <v/>
      </c>
      <c r="V48" s="36" t="str" vm="251">
        <f t="shared" si="10"/>
        <v/>
      </c>
      <c r="W48" s="36" t="str" vm="754">
        <f t="shared" si="10"/>
        <v/>
      </c>
      <c r="X48" s="36" t="str" vm="694">
        <f t="shared" si="10"/>
        <v/>
      </c>
      <c r="Y48" s="36" t="str" vm="609">
        <f t="shared" si="10"/>
        <v/>
      </c>
      <c r="Z48" s="36" t="str" vm="573">
        <f t="shared" si="10"/>
        <v/>
      </c>
      <c r="AA48" s="36" t="str" vm="375">
        <f t="shared" si="10"/>
        <v/>
      </c>
      <c r="AB48" s="36" t="str" vm="836">
        <f t="shared" si="10"/>
        <v/>
      </c>
      <c r="AC48" s="36" t="str" vm="437">
        <f t="shared" si="10"/>
        <v/>
      </c>
      <c r="AD48" s="36" t="str" vm="417">
        <f t="shared" si="10"/>
        <v/>
      </c>
    </row>
    <row r="49" spans="2:31" x14ac:dyDescent="0.25">
      <c r="B49" s="7" t="str" vm="50">
        <f>CUBEMEMBER("ThisWorkbookDataModel",{"[fActualAndBudget].[StavkaKategorija].&amp;[2.37. Останати оперативни расходи]","[fActualAndBudget].[StavkaImeMK].&amp;[Услуги за одржување и заштита]"})</f>
        <v>Услуги за одржување и заштита</v>
      </c>
      <c r="C49" s="36" vm="2511">
        <f t="shared" si="11"/>
        <v>1443934</v>
      </c>
      <c r="D49" s="36" vm="2677">
        <f t="shared" si="11"/>
        <v>1443934</v>
      </c>
      <c r="E49" s="36" vm="2264">
        <f t="shared" si="11"/>
        <v>1443934</v>
      </c>
      <c r="F49" s="36" vm="2341">
        <f t="shared" si="11"/>
        <v>1443934</v>
      </c>
      <c r="G49" s="36" vm="2380">
        <f t="shared" si="11"/>
        <v>1443934</v>
      </c>
      <c r="H49" s="36" vm="2338">
        <f t="shared" si="11"/>
        <v>1443934</v>
      </c>
      <c r="I49" s="36" vm="2248">
        <f t="shared" si="11"/>
        <v>1443934</v>
      </c>
      <c r="J49" s="36" vm="2764">
        <f t="shared" si="11"/>
        <v>1443934</v>
      </c>
      <c r="K49" s="36" vm="2541">
        <f t="shared" si="11"/>
        <v>1443933</v>
      </c>
      <c r="L49" s="36" vm="2547">
        <f t="shared" si="11"/>
        <v>1443933</v>
      </c>
      <c r="M49" s="36" vm="2398">
        <f t="shared" si="11"/>
        <v>1443933</v>
      </c>
      <c r="N49" s="36" vm="2176">
        <f t="shared" si="11"/>
        <v>1443933</v>
      </c>
      <c r="O49" s="36" vm="2456">
        <f t="shared" si="11"/>
        <v>17327204</v>
      </c>
      <c r="Q49" t="str" vm="50">
        <f>CUBEMEMBER("ThisWorkbookDataModel",{"[fActualAndBudget].[StavkaKategorija].&amp;[2.37. Останати оперативни расходи]","[fActualAndBudget].[StavkaImeMK].&amp;[Услуги за одржување и заштита]"})</f>
        <v>Услуги за одржување и заштита</v>
      </c>
      <c r="R49" s="36" t="str" vm="378">
        <f t="shared" si="10"/>
        <v/>
      </c>
      <c r="S49" s="36" t="str" vm="656">
        <f t="shared" si="10"/>
        <v/>
      </c>
      <c r="T49" s="36" t="str" vm="774">
        <f t="shared" si="10"/>
        <v/>
      </c>
      <c r="U49" s="36" t="str" vm="744">
        <f t="shared" si="10"/>
        <v/>
      </c>
      <c r="V49" s="36" t="str" vm="299">
        <f t="shared" si="10"/>
        <v/>
      </c>
      <c r="W49" s="36" t="str" vm="559">
        <f t="shared" si="10"/>
        <v/>
      </c>
      <c r="X49" s="36" t="str" vm="485">
        <f t="shared" si="10"/>
        <v/>
      </c>
      <c r="Y49" s="36" t="str" vm="736">
        <f t="shared" si="10"/>
        <v/>
      </c>
      <c r="Z49" s="36" t="str" vm="742">
        <f t="shared" si="10"/>
        <v/>
      </c>
      <c r="AA49" s="36" t="str" vm="740">
        <f t="shared" si="10"/>
        <v/>
      </c>
      <c r="AB49" s="36" t="str" vm="515">
        <f t="shared" si="10"/>
        <v/>
      </c>
      <c r="AC49" s="36" t="str" vm="794">
        <f t="shared" si="10"/>
        <v/>
      </c>
      <c r="AD49" s="36" t="str" vm="556">
        <f t="shared" si="10"/>
        <v/>
      </c>
    </row>
    <row r="50" spans="2:31" s="8" customFormat="1" x14ac:dyDescent="0.25">
      <c r="B50" s="19" t="s">
        <v>165</v>
      </c>
      <c r="C50" s="98">
        <f>SUM(C27,C32,C34,C35,C36)</f>
        <v>32056901</v>
      </c>
      <c r="D50" s="98">
        <f t="shared" ref="D50:O50" si="12">SUM(D27,D32,D34,D35,D36)</f>
        <v>32019570</v>
      </c>
      <c r="E50" s="98">
        <f t="shared" si="12"/>
        <v>33088017</v>
      </c>
      <c r="F50" s="98">
        <f t="shared" si="12"/>
        <v>33219142</v>
      </c>
      <c r="G50" s="98">
        <f t="shared" si="12"/>
        <v>32871948</v>
      </c>
      <c r="H50" s="98">
        <f t="shared" si="12"/>
        <v>32368517</v>
      </c>
      <c r="I50" s="98">
        <f t="shared" si="12"/>
        <v>41559151</v>
      </c>
      <c r="J50" s="98">
        <f t="shared" si="12"/>
        <v>33440291</v>
      </c>
      <c r="K50" s="98">
        <f t="shared" si="12"/>
        <v>32762174</v>
      </c>
      <c r="L50" s="98">
        <f t="shared" si="12"/>
        <v>33469487</v>
      </c>
      <c r="M50" s="98">
        <f t="shared" si="12"/>
        <v>33312663</v>
      </c>
      <c r="N50" s="98">
        <f t="shared" si="12"/>
        <v>33572636</v>
      </c>
      <c r="O50" s="98">
        <f t="shared" si="12"/>
        <v>403740497</v>
      </c>
      <c r="Q50" s="8" t="s">
        <v>165</v>
      </c>
      <c r="R50" s="100">
        <f>SUM(R27,R32,R34,R35,R36)</f>
        <v>0</v>
      </c>
      <c r="S50" s="100">
        <f t="shared" ref="S50:AD50" si="13">SUM(S27,S32,S34,S35,S36)</f>
        <v>0</v>
      </c>
      <c r="T50" s="100">
        <f t="shared" si="13"/>
        <v>0</v>
      </c>
      <c r="U50" s="100">
        <f t="shared" si="13"/>
        <v>0</v>
      </c>
      <c r="V50" s="100">
        <f t="shared" si="13"/>
        <v>0</v>
      </c>
      <c r="W50" s="100">
        <f t="shared" si="13"/>
        <v>0</v>
      </c>
      <c r="X50" s="100">
        <f t="shared" si="13"/>
        <v>0</v>
      </c>
      <c r="Y50" s="100">
        <f t="shared" si="13"/>
        <v>0</v>
      </c>
      <c r="Z50" s="100">
        <f t="shared" si="13"/>
        <v>0</v>
      </c>
      <c r="AA50" s="100">
        <f t="shared" si="13"/>
        <v>0</v>
      </c>
      <c r="AB50" s="100">
        <f t="shared" si="13"/>
        <v>0</v>
      </c>
      <c r="AC50" s="100">
        <f t="shared" si="13"/>
        <v>0</v>
      </c>
      <c r="AD50" s="100">
        <f t="shared" si="13"/>
        <v>0</v>
      </c>
    </row>
    <row r="51" spans="2:31" s="8" customFormat="1" x14ac:dyDescent="0.25">
      <c r="B51" s="19" t="s">
        <v>167</v>
      </c>
      <c r="C51" s="98">
        <f>SUM(C26,-C50)</f>
        <v>-14663391</v>
      </c>
      <c r="D51" s="98">
        <f t="shared" ref="D51:O51" si="14">SUM(D26,-D50)</f>
        <v>62346524</v>
      </c>
      <c r="E51" s="98">
        <f t="shared" si="14"/>
        <v>73803007</v>
      </c>
      <c r="F51" s="98">
        <f t="shared" si="14"/>
        <v>-12986140</v>
      </c>
      <c r="G51" s="98">
        <f t="shared" si="14"/>
        <v>-10353849</v>
      </c>
      <c r="H51" s="98">
        <f t="shared" si="14"/>
        <v>-10597030</v>
      </c>
      <c r="I51" s="98">
        <f t="shared" si="14"/>
        <v>-22686265</v>
      </c>
      <c r="J51" s="98">
        <f t="shared" si="14"/>
        <v>-17402177</v>
      </c>
      <c r="K51" s="98">
        <f t="shared" si="14"/>
        <v>-11458279</v>
      </c>
      <c r="L51" s="98">
        <f t="shared" si="14"/>
        <v>-12589718</v>
      </c>
      <c r="M51" s="98">
        <f t="shared" si="14"/>
        <v>-14047888</v>
      </c>
      <c r="N51" s="98">
        <f t="shared" si="14"/>
        <v>-7915987</v>
      </c>
      <c r="O51" s="98">
        <f t="shared" si="14"/>
        <v>1448807</v>
      </c>
      <c r="Q51" s="8" t="s">
        <v>167</v>
      </c>
      <c r="R51" s="100">
        <f>SUM(R26,-R50)</f>
        <v>0</v>
      </c>
      <c r="S51" s="100">
        <f t="shared" ref="S51:AD51" si="15">SUM(S26,-S50)</f>
        <v>0</v>
      </c>
      <c r="T51" s="100">
        <f t="shared" si="15"/>
        <v>0</v>
      </c>
      <c r="U51" s="100">
        <f t="shared" si="15"/>
        <v>0</v>
      </c>
      <c r="V51" s="100">
        <f t="shared" si="15"/>
        <v>0</v>
      </c>
      <c r="W51" s="100">
        <f t="shared" si="15"/>
        <v>0</v>
      </c>
      <c r="X51" s="100">
        <f t="shared" si="15"/>
        <v>0</v>
      </c>
      <c r="Y51" s="100">
        <f t="shared" si="15"/>
        <v>0</v>
      </c>
      <c r="Z51" s="100">
        <f t="shared" si="15"/>
        <v>0</v>
      </c>
      <c r="AA51" s="100">
        <f t="shared" si="15"/>
        <v>0</v>
      </c>
      <c r="AB51" s="100">
        <f t="shared" si="15"/>
        <v>0</v>
      </c>
      <c r="AC51" s="100">
        <f t="shared" si="15"/>
        <v>0</v>
      </c>
      <c r="AD51" s="100">
        <f t="shared" si="15"/>
        <v>0</v>
      </c>
    </row>
    <row r="52" spans="2:31" s="8" customFormat="1" x14ac:dyDescent="0.25">
      <c r="B52" s="99" t="str" vm="48">
        <f>CUBEMEMBER("ThisWorkbookDataModel","[fActualAndBudget].[StavkaKategorija].&amp;[2.40. Приходи од финансирање]")</f>
        <v>2.40. Приходи од финансирање</v>
      </c>
      <c r="C52" s="100" vm="2410">
        <f t="shared" ref="C52:O54" si="16">CUBEVALUE("ThisWorkbookDataModel",$C$2,$C$3,$B$5,$B52,C$6,$D$5)</f>
        <v>496</v>
      </c>
      <c r="D52" s="100" vm="2242">
        <f t="shared" si="16"/>
        <v>155</v>
      </c>
      <c r="E52" s="100" vm="2457">
        <f t="shared" si="16"/>
        <v>190</v>
      </c>
      <c r="F52" s="100" vm="2239">
        <f t="shared" si="16"/>
        <v>211</v>
      </c>
      <c r="G52" s="100" vm="2428">
        <f t="shared" si="16"/>
        <v>974</v>
      </c>
      <c r="H52" s="100" vm="2603">
        <f t="shared" si="16"/>
        <v>191</v>
      </c>
      <c r="I52" s="100" vm="2262">
        <f t="shared" si="16"/>
        <v>350</v>
      </c>
      <c r="J52" s="100" vm="2475">
        <f t="shared" si="16"/>
        <v>231</v>
      </c>
      <c r="K52" s="100" vm="2378">
        <f t="shared" si="16"/>
        <v>245</v>
      </c>
      <c r="L52" s="100" vm="2701">
        <f t="shared" si="16"/>
        <v>1930</v>
      </c>
      <c r="M52" s="100" vm="2521">
        <f t="shared" si="16"/>
        <v>287</v>
      </c>
      <c r="N52" s="100" vm="2537">
        <f t="shared" si="16"/>
        <v>355</v>
      </c>
      <c r="O52" s="100" vm="2711">
        <f t="shared" si="16"/>
        <v>5615</v>
      </c>
      <c r="Q52" s="8" t="str" vm="48">
        <f>CUBEMEMBER("ThisWorkbookDataModel","[fActualAndBudget].[StavkaKategorija].&amp;[2.40. Приходи од финансирање]")</f>
        <v>2.40. Приходи од финансирање</v>
      </c>
      <c r="R52" s="100" t="str" vm="442">
        <f t="shared" ref="R52:AD54" si="17">CUBEVALUE("ThisWorkbookDataModel",$R$2,$R$3,$B$5,$B52,R$6,$S$5)</f>
        <v/>
      </c>
      <c r="S52" s="100" t="str" vm="693">
        <f t="shared" si="17"/>
        <v/>
      </c>
      <c r="T52" s="100" t="str" vm="535">
        <f t="shared" si="17"/>
        <v/>
      </c>
      <c r="U52" s="100" t="str" vm="826">
        <f t="shared" si="17"/>
        <v/>
      </c>
      <c r="V52" s="100" t="str" vm="748">
        <f t="shared" si="17"/>
        <v/>
      </c>
      <c r="W52" s="100" t="str" vm="756">
        <f t="shared" si="17"/>
        <v/>
      </c>
      <c r="X52" s="100" t="str" vm="276">
        <f t="shared" si="17"/>
        <v/>
      </c>
      <c r="Y52" s="100" t="str" vm="708">
        <f t="shared" si="17"/>
        <v/>
      </c>
      <c r="Z52" s="100" t="str" vm="261">
        <f t="shared" si="17"/>
        <v/>
      </c>
      <c r="AA52" s="100" t="str" vm="584">
        <f t="shared" si="17"/>
        <v/>
      </c>
      <c r="AB52" s="100" t="str" vm="771">
        <f t="shared" si="17"/>
        <v/>
      </c>
      <c r="AC52" s="100" t="str" vm="471">
        <f t="shared" si="17"/>
        <v/>
      </c>
      <c r="AD52" s="100" t="str" vm="566">
        <f t="shared" si="17"/>
        <v/>
      </c>
    </row>
    <row r="53" spans="2:31" x14ac:dyDescent="0.25">
      <c r="B53" s="7" t="str" vm="46">
        <f>CUBEMEMBER("ThisWorkbookDataModel",{"[fActualAndBudget].[StavkaKategorija].&amp;[2.40. Приходи од финансирање]","[fActualAndBudget].[StavkaImeMK].&amp;[Приходи од камати]"})</f>
        <v>Приходи од камати</v>
      </c>
      <c r="C53" s="36" vm="2614">
        <f t="shared" si="16"/>
        <v>149</v>
      </c>
      <c r="D53" s="36" vm="2555">
        <f t="shared" si="16"/>
        <v>143</v>
      </c>
      <c r="E53" s="36" vm="2201">
        <f t="shared" si="16"/>
        <v>174</v>
      </c>
      <c r="F53" s="36" vm="2488">
        <f t="shared" si="16"/>
        <v>173</v>
      </c>
      <c r="G53" s="36" vm="2304">
        <f t="shared" si="16"/>
        <v>181</v>
      </c>
      <c r="H53" s="36" vm="2515">
        <f t="shared" si="16"/>
        <v>178</v>
      </c>
      <c r="I53" s="36" vm="2461">
        <f t="shared" si="16"/>
        <v>186</v>
      </c>
      <c r="J53" s="36" vm="2218">
        <f t="shared" si="16"/>
        <v>189</v>
      </c>
      <c r="K53" s="36" vm="2275">
        <f t="shared" si="16"/>
        <v>186</v>
      </c>
      <c r="L53" s="36" vm="2204">
        <f t="shared" si="16"/>
        <v>196</v>
      </c>
      <c r="M53" s="36" vm="2353">
        <f t="shared" si="16"/>
        <v>150</v>
      </c>
      <c r="N53" s="36" vm="2215">
        <f t="shared" si="16"/>
        <v>160</v>
      </c>
      <c r="O53" s="36" vm="2278">
        <f t="shared" si="16"/>
        <v>2065</v>
      </c>
      <c r="Q53" t="str" vm="46">
        <f>CUBEMEMBER("ThisWorkbookDataModel",{"[fActualAndBudget].[StavkaKategorija].&amp;[2.40. Приходи од финансирање]","[fActualAndBudget].[StavkaImeMK].&amp;[Приходи од камати]"})</f>
        <v>Приходи од камати</v>
      </c>
      <c r="R53" s="36" t="str" vm="864">
        <f t="shared" si="17"/>
        <v/>
      </c>
      <c r="S53" s="36" t="str" vm="526">
        <f t="shared" si="17"/>
        <v/>
      </c>
      <c r="T53" s="36" t="str" vm="637">
        <f t="shared" si="17"/>
        <v/>
      </c>
      <c r="U53" s="36" t="str" vm="458">
        <f t="shared" si="17"/>
        <v/>
      </c>
      <c r="V53" s="36" t="str" vm="779">
        <f t="shared" si="17"/>
        <v/>
      </c>
      <c r="W53" s="36" t="str" vm="393">
        <f t="shared" si="17"/>
        <v/>
      </c>
      <c r="X53" s="36" t="str" vm="470">
        <f t="shared" si="17"/>
        <v/>
      </c>
      <c r="Y53" s="36" t="str" vm="413">
        <f t="shared" si="17"/>
        <v/>
      </c>
      <c r="Z53" s="36" t="str" vm="477">
        <f t="shared" si="17"/>
        <v/>
      </c>
      <c r="AA53" s="36" t="str" vm="362">
        <f t="shared" si="17"/>
        <v/>
      </c>
      <c r="AB53" s="36" t="str" vm="506">
        <f t="shared" si="17"/>
        <v/>
      </c>
      <c r="AC53" s="36" t="str" vm="450">
        <f t="shared" si="17"/>
        <v/>
      </c>
      <c r="AD53" s="36" t="str" vm="343">
        <f t="shared" si="17"/>
        <v/>
      </c>
    </row>
    <row r="54" spans="2:31" x14ac:dyDescent="0.25">
      <c r="B54" s="7" t="str" vm="64">
        <f>CUBEMEMBER("ThisWorkbookDataModel",{"[fActualAndBudget].[StavkaKategorija].&amp;[2.40. Приходи од финансирање]","[fActualAndBudget].[StavkaImeMK].&amp;[Приходи од курсни разлики]"})</f>
        <v>Приходи од курсни разлики</v>
      </c>
      <c r="C54" s="36" vm="2287">
        <f t="shared" si="16"/>
        <v>347</v>
      </c>
      <c r="D54" s="36" vm="2476">
        <f t="shared" si="16"/>
        <v>12</v>
      </c>
      <c r="E54" s="36" vm="2693">
        <f t="shared" si="16"/>
        <v>16</v>
      </c>
      <c r="F54" s="36" vm="2757">
        <f t="shared" si="16"/>
        <v>38</v>
      </c>
      <c r="G54" s="36" vm="2682">
        <f t="shared" si="16"/>
        <v>793</v>
      </c>
      <c r="H54" s="36" vm="2299">
        <f t="shared" si="16"/>
        <v>13</v>
      </c>
      <c r="I54" s="36" vm="2652">
        <f t="shared" si="16"/>
        <v>164</v>
      </c>
      <c r="J54" s="36" vm="2525">
        <f t="shared" si="16"/>
        <v>42</v>
      </c>
      <c r="K54" s="36" vm="2563">
        <f t="shared" si="16"/>
        <v>59</v>
      </c>
      <c r="L54" s="36" vm="2415">
        <f t="shared" si="16"/>
        <v>1734</v>
      </c>
      <c r="M54" s="36" vm="2318">
        <f t="shared" si="16"/>
        <v>137</v>
      </c>
      <c r="N54" s="36" vm="2707">
        <f t="shared" si="16"/>
        <v>195</v>
      </c>
      <c r="O54" s="36" vm="2324">
        <f t="shared" si="16"/>
        <v>3550</v>
      </c>
      <c r="Q54" t="str" vm="64">
        <f>CUBEMEMBER("ThisWorkbookDataModel",{"[fActualAndBudget].[StavkaKategorija].&amp;[2.40. Приходи од финансирање]","[fActualAndBudget].[StavkaImeMK].&amp;[Приходи од курсни разлики]"})</f>
        <v>Приходи од курсни разлики</v>
      </c>
      <c r="R54" s="36" t="str" vm="822">
        <f t="shared" si="17"/>
        <v/>
      </c>
      <c r="S54" s="36" t="str" vm="557">
        <f t="shared" si="17"/>
        <v/>
      </c>
      <c r="T54" s="36" t="str" vm="369">
        <f t="shared" si="17"/>
        <v/>
      </c>
      <c r="U54" s="36" t="str" vm="641">
        <f t="shared" si="17"/>
        <v/>
      </c>
      <c r="V54" s="36" t="str" vm="492">
        <f t="shared" si="17"/>
        <v/>
      </c>
      <c r="W54" s="36" t="str" vm="494">
        <f t="shared" si="17"/>
        <v/>
      </c>
      <c r="X54" s="36" t="str" vm="358">
        <f t="shared" si="17"/>
        <v/>
      </c>
      <c r="Y54" s="36" t="str" vm="628">
        <f t="shared" si="17"/>
        <v/>
      </c>
      <c r="Z54" s="36" t="str" vm="802">
        <f t="shared" si="17"/>
        <v/>
      </c>
      <c r="AA54" s="36" t="str" vm="659">
        <f t="shared" si="17"/>
        <v/>
      </c>
      <c r="AB54" s="36" t="str" vm="572">
        <f t="shared" si="17"/>
        <v/>
      </c>
      <c r="AC54" s="36" t="str" vm="723">
        <f t="shared" si="17"/>
        <v/>
      </c>
      <c r="AD54" s="36" t="str" vm="565">
        <f t="shared" si="17"/>
        <v/>
      </c>
    </row>
    <row r="55" spans="2:31" s="8" customFormat="1" x14ac:dyDescent="0.25">
      <c r="B55" s="99" t="str" vm="62">
        <f>CUBEMEMBER("ThisWorkbookDataModel","[fActualAndBudget].[StavkaKategorija].&amp;[2.41. Расходи од финансирање]")</f>
        <v>2.41. Расходи од финансирање</v>
      </c>
      <c r="C55" s="100">
        <f>SUM(C56:C58)</f>
        <v>6300</v>
      </c>
      <c r="D55" s="100">
        <f t="shared" ref="D55:O55" si="18">SUM(D56:D58)</f>
        <v>6300</v>
      </c>
      <c r="E55" s="100">
        <f t="shared" si="18"/>
        <v>6300</v>
      </c>
      <c r="F55" s="100">
        <f t="shared" si="18"/>
        <v>6300</v>
      </c>
      <c r="G55" s="100">
        <f t="shared" si="18"/>
        <v>6300</v>
      </c>
      <c r="H55" s="100">
        <f t="shared" si="18"/>
        <v>6300</v>
      </c>
      <c r="I55" s="100">
        <f t="shared" si="18"/>
        <v>6300</v>
      </c>
      <c r="J55" s="100">
        <f t="shared" si="18"/>
        <v>6300</v>
      </c>
      <c r="K55" s="100">
        <f t="shared" si="18"/>
        <v>6300</v>
      </c>
      <c r="L55" s="100">
        <f t="shared" si="18"/>
        <v>6300</v>
      </c>
      <c r="M55" s="100">
        <f t="shared" si="18"/>
        <v>6300</v>
      </c>
      <c r="N55" s="100">
        <f t="shared" si="18"/>
        <v>6300</v>
      </c>
      <c r="O55" s="100">
        <f t="shared" si="18"/>
        <v>75600</v>
      </c>
      <c r="Q55" s="8" t="str" vm="62">
        <f>CUBEMEMBER("ThisWorkbookDataModel","[fActualAndBudget].[StavkaKategorija].&amp;[2.41. Расходи од финансирање]")</f>
        <v>2.41. Расходи од финансирање</v>
      </c>
      <c r="R55" s="100">
        <f>SUM(R56:R58)</f>
        <v>0</v>
      </c>
      <c r="S55" s="100">
        <f>SUM(S56:S58)</f>
        <v>0</v>
      </c>
      <c r="T55" s="100">
        <f>SUM(T56:T58)</f>
        <v>0</v>
      </c>
      <c r="U55" s="100">
        <f>SUM(U56:U58)</f>
        <v>0</v>
      </c>
      <c r="V55" s="100">
        <f>SUM(V56:V58)</f>
        <v>0</v>
      </c>
      <c r="W55" s="100">
        <f t="shared" ref="W55:AD55" si="19">SUM(W56:W58)</f>
        <v>0</v>
      </c>
      <c r="X55" s="100">
        <f t="shared" si="19"/>
        <v>0</v>
      </c>
      <c r="Y55" s="100">
        <f t="shared" si="19"/>
        <v>0</v>
      </c>
      <c r="Z55" s="100">
        <f t="shared" si="19"/>
        <v>0</v>
      </c>
      <c r="AA55" s="100">
        <f t="shared" si="19"/>
        <v>0</v>
      </c>
      <c r="AB55" s="100">
        <f t="shared" si="19"/>
        <v>0</v>
      </c>
      <c r="AC55" s="100">
        <f t="shared" si="19"/>
        <v>0</v>
      </c>
      <c r="AD55" s="100">
        <f t="shared" si="19"/>
        <v>0</v>
      </c>
    </row>
    <row r="56" spans="2:31" x14ac:dyDescent="0.25">
      <c r="B56" s="7" t="str" vm="115">
        <f>CUBEMEMBER("ThisWorkbookDataModel",{"[fActualAndBudget].[StavkaKategorija].&amp;[2.41. Расходи од финансирање]","[fActualAndBudget].[StavkaImeMK].&amp;[Загуби и кусоци]"})</f>
        <v>Загуби и кусоци</v>
      </c>
      <c r="C56" s="36" t="str" vm="2388">
        <f t="shared" ref="C56:O58" si="20">CUBEVALUE("ThisWorkbookDataModel",$C$2,$C$3,$B$5,$B56,C$6,$D$5)</f>
        <v/>
      </c>
      <c r="D56" s="36" t="str" vm="2448">
        <f t="shared" si="20"/>
        <v/>
      </c>
      <c r="E56" s="36" t="str" vm="2663">
        <f t="shared" si="20"/>
        <v/>
      </c>
      <c r="F56" s="36" t="str" vm="2576">
        <f t="shared" si="20"/>
        <v/>
      </c>
      <c r="G56" s="36" t="str" vm="2526">
        <f t="shared" si="20"/>
        <v/>
      </c>
      <c r="H56" s="36" t="str" vm="2627">
        <f t="shared" si="20"/>
        <v/>
      </c>
      <c r="I56" s="36" t="str" vm="2453">
        <f t="shared" si="20"/>
        <v/>
      </c>
      <c r="J56" s="36" t="str" vm="2393">
        <f t="shared" si="20"/>
        <v/>
      </c>
      <c r="K56" s="36" t="str" vm="2466">
        <f t="shared" si="20"/>
        <v/>
      </c>
      <c r="L56" s="36" t="str" vm="2477">
        <f t="shared" si="20"/>
        <v/>
      </c>
      <c r="M56" s="36" t="str" vm="2531">
        <f t="shared" si="20"/>
        <v/>
      </c>
      <c r="N56" s="36" t="str" vm="2355">
        <f t="shared" si="20"/>
        <v/>
      </c>
      <c r="O56" s="36" t="str" vm="2162">
        <f t="shared" si="20"/>
        <v/>
      </c>
      <c r="Q56" t="str" vm="115">
        <f>CUBEMEMBER("ThisWorkbookDataModel",{"[fActualAndBudget].[StavkaKategorija].&amp;[2.41. Расходи од финансирање]","[fActualAndBudget].[StavkaImeMK].&amp;[Загуби и кусоци]"})</f>
        <v>Загуби и кусоци</v>
      </c>
      <c r="R56" s="36" t="str" vm="733">
        <f t="shared" ref="R56:AD58" si="21">CUBEVALUE("ThisWorkbookDataModel",$R$2,$R$3,$B$5,$B56,R$6,$S$5)</f>
        <v/>
      </c>
      <c r="S56" s="36" t="str" vm="848">
        <f t="shared" si="21"/>
        <v/>
      </c>
      <c r="T56" s="36" t="str" vm="340">
        <f t="shared" si="21"/>
        <v/>
      </c>
      <c r="U56" s="36" t="str" vm="400">
        <f t="shared" si="21"/>
        <v/>
      </c>
      <c r="V56" s="36" t="str" vm="376">
        <f t="shared" si="21"/>
        <v/>
      </c>
      <c r="W56" s="36" t="str" vm="833">
        <f t="shared" si="21"/>
        <v/>
      </c>
      <c r="X56" s="36" t="str" vm="758">
        <f t="shared" si="21"/>
        <v/>
      </c>
      <c r="Y56" s="36" t="str" vm="654">
        <f t="shared" si="21"/>
        <v/>
      </c>
      <c r="Z56" s="36" t="str" vm="434">
        <f t="shared" si="21"/>
        <v/>
      </c>
      <c r="AA56" s="36" t="str" vm="701">
        <f t="shared" si="21"/>
        <v/>
      </c>
      <c r="AB56" s="36" t="str" vm="737">
        <f t="shared" si="21"/>
        <v/>
      </c>
      <c r="AC56" s="36" t="str" vm="666">
        <f t="shared" si="21"/>
        <v/>
      </c>
      <c r="AD56" s="36" t="str" vm="373">
        <f t="shared" si="21"/>
        <v/>
      </c>
    </row>
    <row r="57" spans="2:31" x14ac:dyDescent="0.25">
      <c r="B57" s="7" t="str" vm="116">
        <f>CUBEMEMBER("ThisWorkbookDataModel",{"[fActualAndBudget].[StavkaKategorija].&amp;[2.41. Расходи од финансирање]","[fActualAndBudget].[StavkaImeMK].&amp;[Курсни разлики]"})</f>
        <v>Курсни разлики</v>
      </c>
      <c r="C57" s="36" vm="2467">
        <f t="shared" si="20"/>
        <v>300</v>
      </c>
      <c r="D57" s="36" vm="2548">
        <f t="shared" si="20"/>
        <v>300</v>
      </c>
      <c r="E57" s="36" vm="2450">
        <f t="shared" si="20"/>
        <v>300</v>
      </c>
      <c r="F57" s="36" vm="2270">
        <f t="shared" si="20"/>
        <v>300</v>
      </c>
      <c r="G57" s="36" vm="2770">
        <f t="shared" si="20"/>
        <v>300</v>
      </c>
      <c r="H57" s="36" vm="2230">
        <f t="shared" si="20"/>
        <v>300</v>
      </c>
      <c r="I57" s="36" vm="2706">
        <f t="shared" si="20"/>
        <v>300</v>
      </c>
      <c r="J57" s="36" vm="2559">
        <f t="shared" si="20"/>
        <v>300</v>
      </c>
      <c r="K57" s="36" vm="2667">
        <f t="shared" si="20"/>
        <v>300</v>
      </c>
      <c r="L57" s="36" vm="2158">
        <f t="shared" si="20"/>
        <v>300</v>
      </c>
      <c r="M57" s="36" vm="2427">
        <f t="shared" si="20"/>
        <v>300</v>
      </c>
      <c r="N57" s="36" vm="2327">
        <f t="shared" si="20"/>
        <v>300</v>
      </c>
      <c r="O57" s="36" vm="2437">
        <f t="shared" si="20"/>
        <v>3600</v>
      </c>
      <c r="Q57" t="str" vm="116">
        <f>CUBEMEMBER("ThisWorkbookDataModel",{"[fActualAndBudget].[StavkaKategorija].&amp;[2.41. Расходи од финансирање]","[fActualAndBudget].[StavkaImeMK].&amp;[Курсни разлики]"})</f>
        <v>Курсни разлики</v>
      </c>
      <c r="R57" s="36" t="str" vm="537">
        <f t="shared" si="21"/>
        <v/>
      </c>
      <c r="S57" s="36" t="str" vm="454">
        <f t="shared" si="21"/>
        <v/>
      </c>
      <c r="T57" s="36" t="str" vm="255">
        <f t="shared" si="21"/>
        <v/>
      </c>
      <c r="U57" s="36" t="str" vm="418">
        <f t="shared" si="21"/>
        <v/>
      </c>
      <c r="V57" s="36" t="str" vm="709">
        <f t="shared" si="21"/>
        <v/>
      </c>
      <c r="W57" s="36" t="str" vm="677">
        <f t="shared" si="21"/>
        <v/>
      </c>
      <c r="X57" s="36" t="str" vm="743">
        <f t="shared" si="21"/>
        <v/>
      </c>
      <c r="Y57" s="36" t="str" vm="585">
        <f t="shared" si="21"/>
        <v/>
      </c>
      <c r="Z57" s="36" t="str" vm="763">
        <f t="shared" si="21"/>
        <v/>
      </c>
      <c r="AA57" s="36" t="str" vm="850">
        <f t="shared" si="21"/>
        <v/>
      </c>
      <c r="AB57" s="36" t="str" vm="392">
        <f t="shared" si="21"/>
        <v/>
      </c>
      <c r="AC57" s="36" t="str" vm="560">
        <f t="shared" si="21"/>
        <v/>
      </c>
      <c r="AD57" s="36" t="str" vm="288">
        <f t="shared" si="21"/>
        <v/>
      </c>
    </row>
    <row r="58" spans="2:31" x14ac:dyDescent="0.25">
      <c r="B58" s="7" t="str" vm="117">
        <f>CUBEMEMBER("ThisWorkbookDataModel",{"[fActualAndBudget].[StavkaKategorija].&amp;[2.41. Расходи од финансирање]","[fActualAndBudget].[StavkaImeMK].&amp;[Останати расходи]"})</f>
        <v>Останати расходи</v>
      </c>
      <c r="C58" s="36" vm="2623">
        <f t="shared" si="20"/>
        <v>6000</v>
      </c>
      <c r="D58" s="36" vm="2424">
        <f t="shared" si="20"/>
        <v>6000</v>
      </c>
      <c r="E58" s="36" vm="2597">
        <f t="shared" si="20"/>
        <v>6000</v>
      </c>
      <c r="F58" s="36" vm="2268">
        <f t="shared" si="20"/>
        <v>6000</v>
      </c>
      <c r="G58" s="36" vm="2726">
        <f t="shared" si="20"/>
        <v>6000</v>
      </c>
      <c r="H58" s="36" vm="2317">
        <f t="shared" si="20"/>
        <v>6000</v>
      </c>
      <c r="I58" s="36" vm="2211">
        <f t="shared" si="20"/>
        <v>6000</v>
      </c>
      <c r="J58" s="36" vm="2179">
        <f t="shared" si="20"/>
        <v>6000</v>
      </c>
      <c r="K58" s="36" vm="2598">
        <f t="shared" si="20"/>
        <v>6000</v>
      </c>
      <c r="L58" s="36" vm="2342">
        <f t="shared" si="20"/>
        <v>6000</v>
      </c>
      <c r="M58" s="36" vm="2172">
        <f t="shared" si="20"/>
        <v>6000</v>
      </c>
      <c r="N58" s="36" vm="2481">
        <f t="shared" si="20"/>
        <v>6000</v>
      </c>
      <c r="O58" s="36" vm="2381">
        <f t="shared" si="20"/>
        <v>72000</v>
      </c>
      <c r="Q58" t="str" vm="117">
        <f>CUBEMEMBER("ThisWorkbookDataModel",{"[fActualAndBudget].[StavkaKategorija].&amp;[2.41. Расходи од финансирање]","[fActualAndBudget].[StavkaImeMK].&amp;[Останати расходи]"})</f>
        <v>Останати расходи</v>
      </c>
      <c r="R58" s="36" t="str" vm="811">
        <f t="shared" si="21"/>
        <v/>
      </c>
      <c r="S58" s="36" t="str" vm="306">
        <f t="shared" si="21"/>
        <v/>
      </c>
      <c r="T58" s="36" t="str" vm="618">
        <f t="shared" si="21"/>
        <v/>
      </c>
      <c r="U58" s="36" t="str" vm="840">
        <f t="shared" si="21"/>
        <v/>
      </c>
      <c r="V58" s="36" t="str" vm="697">
        <f t="shared" si="21"/>
        <v/>
      </c>
      <c r="W58" s="36" t="str" vm="322">
        <f t="shared" si="21"/>
        <v/>
      </c>
      <c r="X58" s="36" t="str" vm="272">
        <f t="shared" si="21"/>
        <v/>
      </c>
      <c r="Y58" s="36" t="str" vm="791">
        <f t="shared" si="21"/>
        <v/>
      </c>
      <c r="Z58" s="36" t="str" vm="793">
        <f t="shared" si="21"/>
        <v/>
      </c>
      <c r="AA58" s="36" t="str" vm="505">
        <f t="shared" si="21"/>
        <v/>
      </c>
      <c r="AB58" s="36" t="str" vm="431">
        <f t="shared" si="21"/>
        <v/>
      </c>
      <c r="AC58" s="36" t="str" vm="741">
        <f t="shared" si="21"/>
        <v/>
      </c>
      <c r="AD58" s="36" t="str" vm="780">
        <f t="shared" si="21"/>
        <v/>
      </c>
    </row>
    <row r="59" spans="2:31" x14ac:dyDescent="0.25">
      <c r="B59" s="22" t="s">
        <v>166</v>
      </c>
      <c r="C59" s="100">
        <f>SUM(C51,C52,-C55)</f>
        <v>-14669195</v>
      </c>
      <c r="D59" s="100">
        <f t="shared" ref="D59:O59" si="22">SUM(D51,D52,-D55)</f>
        <v>62340379</v>
      </c>
      <c r="E59" s="100">
        <f t="shared" si="22"/>
        <v>73796897</v>
      </c>
      <c r="F59" s="100">
        <f t="shared" si="22"/>
        <v>-12992229</v>
      </c>
      <c r="G59" s="100">
        <f t="shared" si="22"/>
        <v>-10359175</v>
      </c>
      <c r="H59" s="100">
        <f t="shared" si="22"/>
        <v>-10603139</v>
      </c>
      <c r="I59" s="100">
        <f t="shared" si="22"/>
        <v>-22692215</v>
      </c>
      <c r="J59" s="100">
        <f t="shared" si="22"/>
        <v>-17408246</v>
      </c>
      <c r="K59" s="100">
        <f t="shared" si="22"/>
        <v>-11464334</v>
      </c>
      <c r="L59" s="100">
        <f t="shared" si="22"/>
        <v>-12594088</v>
      </c>
      <c r="M59" s="100">
        <f t="shared" si="22"/>
        <v>-14053901</v>
      </c>
      <c r="N59" s="100">
        <f t="shared" si="22"/>
        <v>-7921932</v>
      </c>
      <c r="O59" s="100">
        <f t="shared" si="22"/>
        <v>1378822</v>
      </c>
      <c r="Q59" t="s">
        <v>166</v>
      </c>
      <c r="R59" s="36">
        <f>SUM(R51,R52,-R55)</f>
        <v>0</v>
      </c>
      <c r="S59" s="36">
        <f t="shared" ref="S59:AD59" si="23">SUM(S51,S52,-S55)</f>
        <v>0</v>
      </c>
      <c r="T59" s="36">
        <f t="shared" si="23"/>
        <v>0</v>
      </c>
      <c r="U59" s="36">
        <f t="shared" si="23"/>
        <v>0</v>
      </c>
      <c r="V59" s="36">
        <f t="shared" si="23"/>
        <v>0</v>
      </c>
      <c r="W59" s="36">
        <f t="shared" si="23"/>
        <v>0</v>
      </c>
      <c r="X59" s="36">
        <f t="shared" si="23"/>
        <v>0</v>
      </c>
      <c r="Y59" s="36">
        <f t="shared" si="23"/>
        <v>0</v>
      </c>
      <c r="Z59" s="36">
        <f t="shared" si="23"/>
        <v>0</v>
      </c>
      <c r="AA59" s="36">
        <f t="shared" si="23"/>
        <v>0</v>
      </c>
      <c r="AB59" s="36">
        <f t="shared" si="23"/>
        <v>0</v>
      </c>
      <c r="AC59" s="36">
        <f t="shared" si="23"/>
        <v>0</v>
      </c>
      <c r="AD59" s="36">
        <f t="shared" si="23"/>
        <v>0</v>
      </c>
      <c r="AE59" s="94">
        <f>SUM(R59:AD59)</f>
        <v>0</v>
      </c>
    </row>
    <row r="60" spans="2:31" x14ac:dyDescent="0.25">
      <c r="D60" s="94">
        <f>SUM($C$59:D59)</f>
        <v>47671184</v>
      </c>
      <c r="E60" s="94">
        <f>SUM($C$59:E59)</f>
        <v>121468081</v>
      </c>
      <c r="F60" s="94">
        <f>SUM($C$59:F59)</f>
        <v>108475852</v>
      </c>
      <c r="G60" s="94">
        <f>SUM($C$59:G59)</f>
        <v>98116677</v>
      </c>
      <c r="H60" s="94">
        <f>SUM($C$59:H59)</f>
        <v>87513538</v>
      </c>
      <c r="I60" s="94">
        <f>SUM($C$59:I59)</f>
        <v>64821323</v>
      </c>
      <c r="J60" s="94">
        <f>SUM($C$59:J59)</f>
        <v>47413077</v>
      </c>
      <c r="K60" s="94">
        <f>SUM($C$59:K59)</f>
        <v>35948743</v>
      </c>
      <c r="L60" s="94">
        <f>SUM($C$59:L59)</f>
        <v>23354655</v>
      </c>
      <c r="M60" s="94">
        <f>SUM($C$59:M59)</f>
        <v>9300754</v>
      </c>
      <c r="N60" s="94">
        <f>SUM($C$59:N59)</f>
        <v>1378822</v>
      </c>
      <c r="O60" s="94">
        <f>SUM($C$59:O59)</f>
        <v>2757644</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3">
    <tabColor rgb="FFFF0000"/>
  </sheetPr>
  <dimension ref="A1:S32"/>
  <sheetViews>
    <sheetView topLeftCell="B1" workbookViewId="0">
      <selection activeCell="L21" sqref="L21"/>
    </sheetView>
  </sheetViews>
  <sheetFormatPr defaultRowHeight="15" x14ac:dyDescent="0.25"/>
  <cols>
    <col min="1" max="1" width="60.85546875" bestFit="1" customWidth="1"/>
    <col min="2" max="2" width="31.5703125" bestFit="1" customWidth="1"/>
    <col min="3" max="3" width="10.140625" bestFit="1" customWidth="1"/>
    <col min="4" max="4" width="11.140625" bestFit="1" customWidth="1"/>
    <col min="5" max="13" width="10.140625" bestFit="1" customWidth="1"/>
    <col min="14" max="14" width="11.28515625" bestFit="1" customWidth="1"/>
    <col min="15" max="15" width="11.140625" bestFit="1" customWidth="1"/>
    <col min="16" max="16" width="10.140625" bestFit="1" customWidth="1"/>
    <col min="17" max="17" width="13.140625" bestFit="1" customWidth="1"/>
    <col min="18" max="19" width="11.140625" bestFit="1" customWidth="1"/>
    <col min="20" max="20" width="10.140625" bestFit="1" customWidth="1"/>
    <col min="21" max="21" width="13.140625" bestFit="1" customWidth="1"/>
    <col min="22" max="22" width="10.28515625" bestFit="1" customWidth="1"/>
    <col min="23" max="24" width="10.140625" bestFit="1" customWidth="1"/>
    <col min="25" max="25" width="13.140625" bestFit="1" customWidth="1"/>
    <col min="26" max="26" width="10.28515625" bestFit="1" customWidth="1"/>
    <col min="27" max="28" width="10.140625" bestFit="1" customWidth="1"/>
    <col min="29" max="29" width="13.140625" bestFit="1" customWidth="1"/>
    <col min="30" max="30" width="10.28515625" bestFit="1" customWidth="1"/>
    <col min="31" max="32" width="10.140625" bestFit="1" customWidth="1"/>
    <col min="33" max="33" width="13.140625" bestFit="1" customWidth="1"/>
    <col min="34" max="34" width="11.140625" bestFit="1" customWidth="1"/>
    <col min="35" max="35" width="13.140625" bestFit="1" customWidth="1"/>
    <col min="36" max="36" width="12.7109375" bestFit="1" customWidth="1"/>
    <col min="37" max="37" width="9" bestFit="1" customWidth="1"/>
    <col min="38" max="41" width="11" bestFit="1" customWidth="1"/>
  </cols>
  <sheetData>
    <row r="1" spans="1:14" x14ac:dyDescent="0.25">
      <c r="B1" s="36">
        <f>GETPIVOTDATA("[Measures].[Sum of Износ]",$A$5,"[fActualAndBudget].[StavkaKategorija]","[fActualAndBudget].[StavkaKategorija].&amp;[2.29. Приходи од продажба]","[Calendar].[Месец]","[Calendar].[Месец].&amp;[Jan]")+GETPIVOTDATA("[Measures].[Sum of Износ]",$A$5,"[fActualAndBudget].[StavkaKategorija]","[fActualAndBudget].[StavkaKategorija].&amp;[2.30. Останати оперативни приходи]","[Calendar].[Месец]","[Calendar].[Месец].&amp;[Jan]")-GETPIVOTDATA("[Measures].[Sum of Износ]",$A$5,"[fActualAndBudget].[StavkaKategorija]","[fActualAndBudget].[StavkaKategorija].&amp;[2.32. Потрошени суровини и материјали]","[Calendar].[Месец]","[Calendar].[Месец].&amp;[Jan]")-GETPIVOTDATA("[Measures].[Sum of Износ]",$A$5,"[fActualAndBudget].[StavkaKategorija]","[fActualAndBudget].[StavkaKategorija].&amp;[2.33. Трошоци за вработените]","[Calendar].[Месец]","[Calendar].[Месец].&amp;[Jan]")-GETPIVOTDATA("[Measures].[Sum of Износ]",$A$5,"[fActualAndBudget].[StavkaKategorija]","[fActualAndBudget].[StavkaKategorija].&amp;[2.34. Амортизација на материјални средства]","[Calendar].[Месец]","[Calendar].[Месец].&amp;[Jan]")-GETPIVOTDATA("[Measures].[Sum of Износ]",$A$5,"[fActualAndBudget].[StavkaKategorija]","[fActualAndBudget].[StavkaKategorija].&amp;[2.35. Вредносно усогласување на тековни средства]","[Calendar].[Месец]","[Calendar].[Месец].&amp;[Jan]")-GETPIVOTDATA("[Measures].[Sum of Износ]",$A$5,"[fActualAndBudget].[StavkaKategorija]","[fActualAndBudget].[StavkaKategorija].&amp;[2.37. Останати оперативни расходи]","[Calendar].[Месец]","[Calendar].[Месец].&amp;[Jan]")+GETPIVOTDATA("[Measures].[Sum of Износ]",$A$5,"[fActualAndBudget].[StavkaKategorija]","[fActualAndBudget].[StavkaKategorija].&amp;[2.40. Приходи од финансирање]","[Calendar].[Месец]","[Calendar].[Месец].&amp;[Jan]")-GETPIVOTDATA("[Measures].[Sum of Износ]",$A$5,"[fActualAndBudget].[StavkaKategorija]","[fActualAndBudget].[StavkaKategorija].&amp;[2.41. Расходи од финансирање]","[Calendar].[Месец]","[Calendar].[Месец].&amp;[Jan]")</f>
        <v>-14669195</v>
      </c>
      <c r="C1" s="36">
        <f>GETPIVOTDATA("[Measures].[Sum of Износ]",$A$5,"[fActualAndBudget].[StavkaKategorija]","[fActualAndBudget].[StavkaKategorija].&amp;[2.29. Приходи од продажба]","[Calendar].[Месец]","[Calendar].[Месец].&amp;[Feb]")+GETPIVOTDATA("[Measures].[Sum of Износ]",$A$5,"[fActualAndBudget].[StavkaKategorija]","[fActualAndBudget].[StavkaKategorija].&amp;[2.30. Останати оперативни приходи]","[Calendar].[Месец]","[Calendar].[Месец].&amp;[Feb]")-GETPIVOTDATA("[Measures].[Sum of Износ]",$A$5,"[fActualAndBudget].[StavkaKategorija]","[fActualAndBudget].[StavkaKategorija].&amp;[2.32. Потрошени суровини и материјали]","[Calendar].[Месец]","[Calendar].[Месец].&amp;[Feb]")-GETPIVOTDATA("[Measures].[Sum of Износ]",$A$5,"[fActualAndBudget].[StavkaKategorija]","[fActualAndBudget].[StavkaKategorija].&amp;[2.33. Трошоци за вработените]","[Calendar].[Месец]","[Calendar].[Месец].&amp;[Feb]")-GETPIVOTDATA("[Measures].[Sum of Износ]",$A$5,"[fActualAndBudget].[StavkaKategorija]","[fActualAndBudget].[StavkaKategorija].&amp;[2.34. Амортизација на материјални средства]","[Calendar].[Месец]","[Calendar].[Месец].&amp;[Feb]")-GETPIVOTDATA("[Measures].[Sum of Износ]",$A$5,"[fActualAndBudget].[StavkaKategorija]","[fActualAndBudget].[StavkaKategorija].&amp;[2.35. Вредносно усогласување на тековни средства]","[Calendar].[Месец]","[Calendar].[Месец].&amp;[Feb]")-GETPIVOTDATA("[Measures].[Sum of Износ]",$A$5,"[fActualAndBudget].[StavkaKategorija]","[fActualAndBudget].[StavkaKategorija].&amp;[2.37. Останати оперативни расходи]","[Calendar].[Месец]","[Calendar].[Месец].&amp;[Feb]")+GETPIVOTDATA("[Measures].[Sum of Износ]",$A$5,"[fActualAndBudget].[StavkaKategorija]","[fActualAndBudget].[StavkaKategorija].&amp;[2.40. Приходи од финансирање]","[Calendar].[Месец]","[Calendar].[Месец].&amp;[Feb]")-GETPIVOTDATA("[Measures].[Sum of Износ]",$A$5,"[fActualAndBudget].[StavkaKategorija]","[fActualAndBudget].[StavkaKategorija].&amp;[2.41. Расходи од финансирање]","[Calendar].[Месец]","[Calendar].[Месец].&amp;[Feb]")</f>
        <v>62340379</v>
      </c>
      <c r="D1" s="36">
        <f>GETPIVOTDATA("[Measures].[Sum of Износ]",$A$5,"[fActualAndBudget].[StavkaKategorija]","[fActualAndBudget].[StavkaKategorija].&amp;[2.29. Приходи од продажба]","[Calendar].[Месец]","[Calendar].[Месец].&amp;[Mar]")+GETPIVOTDATA("[Measures].[Sum of Износ]",$A$5,"[fActualAndBudget].[StavkaKategorija]","[fActualAndBudget].[StavkaKategorija].&amp;[2.30. Останати оперативни приходи]","[Calendar].[Месец]","[Calendar].[Месец].&amp;[Mar]")+GETPIVOTDATA("[Measures].[Sum of Износ]",$A$5,"[fActualAndBudget].[StavkaKategorija]","[fActualAndBudget].[StavkaKategorija].&amp;[2.40. Приходи од финансирање]","[Calendar].[Месец]","[Calendar].[Месец].&amp;[Mar]")-GETPIVOTDATA("[Measures].[Sum of Износ]",$A$5,"[fActualAndBudget].[StavkaKategorija]","[fActualAndBudget].[StavkaKategorija].&amp;[2.32. Потрошени суровини и материјали]","[Calendar].[Месец]","[Calendar].[Месец].&amp;[Mar]")-GETPIVOTDATA("[Measures].[Sum of Износ]",$A$5,"[fActualAndBudget].[StavkaKategorija]","[fActualAndBudget].[StavkaKategorija].&amp;[2.33. Трошоци за вработените]","[Calendar].[Месец]","[Calendar].[Месец].&amp;[Mar]")-GETPIVOTDATA("[Measures].[Sum of Износ]",$A$5,"[fActualAndBudget].[StavkaKategorija]","[fActualAndBudget].[StavkaKategorija].&amp;[2.34. Амортизација на материјални средства]","[Calendar].[Месец]","[Calendar].[Месец].&amp;[Mar]")-GETPIVOTDATA("[Measures].[Sum of Износ]",$A$5,"[fActualAndBudget].[StavkaKategorija]","[fActualAndBudget].[StavkaKategorija].&amp;[2.37. Останати оперативни расходи]","[Calendar].[Месец]","[Calendar].[Месец].&amp;[Mar]")-GETPIVOTDATA("[Measures].[Sum of Износ]",$A$5,"[fActualAndBudget].[StavkaKategorija]","[fActualAndBudget].[StavkaKategorija].&amp;[2.41. Расходи од финансирање]","[Calendar].[Месец]","[Calendar].[Месец].&amp;[Mar]")</f>
        <v>73797497</v>
      </c>
      <c r="E1" s="36">
        <f>GETPIVOTDATA("[Measures].[Sum of Износ]",$A$5,"[fActualAndBudget].[StavkaKategorija]","[fActualAndBudget].[StavkaKategorija].&amp;[2.29. Приходи од продажба]","[Calendar].[Месец]","[Calendar].[Месец].&amp;[Apr]")+GETPIVOTDATA("[Measures].[Sum of Износ]",$A$5,"[fActualAndBudget].[StavkaKategorija]","[fActualAndBudget].[StavkaKategorija].&amp;[2.30. Останати оперативни приходи]","[Calendar].[Месец]","[Calendar].[Месец].&amp;[Apr]")+GETPIVOTDATA("[Measures].[Sum of Износ]",$A$5,"[fActualAndBudget].[StavkaKategorija]","[fActualAndBudget].[StavkaKategorija].&amp;[2.40. Приходи од финансирање]","[Calendar].[Месец]","[Calendar].[Месец].&amp;[Apr]")-GETPIVOTDATA("[Measures].[Sum of Износ]",$A$5,"[fActualAndBudget].[StavkaKategorija]","[fActualAndBudget].[StavkaKategorija].&amp;[2.32. Потрошени суровини и материјали]","[Calendar].[Месец]","[Calendar].[Месец].&amp;[Apr]")-GETPIVOTDATA("[Measures].[Sum of Износ]",$A$5,"[fActualAndBudget].[StavkaKategorija]","[fActualAndBudget].[StavkaKategorija].&amp;[2.33. Трошоци за вработените]","[Calendar].[Месец]","[Calendar].[Месец].&amp;[Apr]")-GETPIVOTDATA("[Measures].[Sum of Износ]",$A$5,"[fActualAndBudget].[StavkaKategorija]","[fActualAndBudget].[StavkaKategorija].&amp;[2.34. Амортизација на материјални средства]","[Calendar].[Месец]","[Calendar].[Месец].&amp;[Apr]")-GETPIVOTDATA("[Measures].[Sum of Износ]",$A$5,"[fActualAndBudget].[StavkaKategorija]","[fActualAndBudget].[StavkaKategorija].&amp;[2.37. Останати оперативни расходи]","[Calendar].[Месец]","[Calendar].[Месец].&amp;[Apr]")-GETPIVOTDATA("[Measures].[Sum of Износ]",$A$5,"[fActualAndBudget].[StavkaKategorija]","[fActualAndBudget].[StavkaKategorija].&amp;[2.41. Расходи од финансирање]","[Calendar].[Месец]","[Calendar].[Месец].&amp;[Apr]")</f>
        <v>-12991629</v>
      </c>
      <c r="F1" s="36">
        <f>GETPIVOTDATA("[Measures].[Sum of Износ]",$A$5,"[fActualAndBudget].[StavkaKategorija]","[fActualAndBudget].[StavkaKategorija].&amp;[2.29. Приходи од продажба]","[Calendar].[Месец]","[Calendar].[Месец].&amp;[May]")+GETPIVOTDATA("[Measures].[Sum of Износ]",$A$5,"[fActualAndBudget].[StavkaKategorija]","[fActualAndBudget].[StavkaKategorija].&amp;[2.30. Останати оперативни приходи]","[Calendar].[Месец]","[Calendar].[Месец].&amp;[May]")+GETPIVOTDATA("[Measures].[Sum of Износ]",$A$5,"[fActualAndBudget].[StavkaKategorija]","[fActualAndBudget].[StavkaKategorija].&amp;[2.40. Приходи од финансирање]","[Calendar].[Месец]","[Calendar].[Месец].&amp;[May]")-GETPIVOTDATA("[Measures].[Sum of Износ]",$A$5,"[fActualAndBudget].[StavkaKategorija]","[fActualAndBudget].[StavkaKategorija].&amp;[2.32. Потрошени суровини и материјали]","[Calendar].[Месец]","[Calendar].[Месец].&amp;[May]")-GETPIVOTDATA("[Measures].[Sum of Износ]",$A$5,"[fActualAndBudget].[StavkaKategorija]","[fActualAndBudget].[StavkaKategorija].&amp;[2.33. Трошоци за вработените]","[Calendar].[Месец]","[Calendar].[Месец].&amp;[May]")-GETPIVOTDATA("[Measures].[Sum of Износ]",$A$5,"[fActualAndBudget].[StavkaKategorija]","[fActualAndBudget].[StavkaKategorija].&amp;[2.34. Амортизација на материјални средства]","[Calendar].[Месец]","[Calendar].[Месец].&amp;[May]")-GETPIVOTDATA("[Measures].[Sum of Износ]",$A$5,"[fActualAndBudget].[StavkaKategorija]","[fActualAndBudget].[StavkaKategorija].&amp;[2.37. Останати оперативни расходи]","[Calendar].[Месец]","[Calendar].[Месец].&amp;[May]")-GETPIVOTDATA("[Measures].[Sum of Износ]",$A$5,"[fActualAndBudget].[StavkaKategorija]","[fActualAndBudget].[StavkaKategorija].&amp;[2.41. Расходи од финансирање]","[Calendar].[Месец]","[Calendar].[Месец].&amp;[May]")</f>
        <v>-10358575</v>
      </c>
      <c r="G1" s="36">
        <f>GETPIVOTDATA("[Measures].[Sum of Износ]",$A$5,"[fActualAndBudget].[StavkaKategorija]","[fActualAndBudget].[StavkaKategorija].&amp;[2.29. Приходи од продажба]","[Calendar].[Месец]","[Calendar].[Месец].&amp;[Jun]")+GETPIVOTDATA("[Measures].[Sum of Износ]",$A$5,"[fActualAndBudget].[StavkaKategorija]","[fActualAndBudget].[StavkaKategorija].&amp;[2.30. Останати оперативни приходи]","[Calendar].[Месец]","[Calendar].[Месец].&amp;[Jun]")+GETPIVOTDATA("[Measures].[Sum of Износ]",$A$5,"[fActualAndBudget].[StavkaKategorija]","[fActualAndBudget].[StavkaKategorija].&amp;[2.40. Приходи од финансирање]","[Calendar].[Месец]","[Calendar].[Месец].&amp;[Jun]")-GETPIVOTDATA("[Measures].[Sum of Износ]",$A$5,"[fActualAndBudget].[StavkaKategorija]","[fActualAndBudget].[StavkaKategorija].&amp;[2.32. Потрошени суровини и материјали]","[Calendar].[Месец]","[Calendar].[Месец].&amp;[Jun]")-GETPIVOTDATA("[Measures].[Sum of Износ]",$A$5,"[fActualAndBudget].[StavkaKategorija]","[fActualAndBudget].[StavkaKategorija].&amp;[2.33. Трошоци за вработените]","[Calendar].[Месец]","[Calendar].[Месец].&amp;[Jun]")-GETPIVOTDATA("[Measures].[Sum of Износ]",$A$5,"[fActualAndBudget].[StavkaKategorija]","[fActualAndBudget].[StavkaKategorija].&amp;[2.34. Амортизација на материјални средства]","[Calendar].[Месец]","[Calendar].[Месец].&amp;[Jun]")-GETPIVOTDATA("[Measures].[Sum of Износ]",$A$5,"[fActualAndBudget].[StavkaKategorija]","[fActualAndBudget].[StavkaKategorija].&amp;[2.37. Останати оперативни расходи]","[Calendar].[Месец]","[Calendar].[Месец].&amp;[Jun]")-GETPIVOTDATA("[Measures].[Sum of Износ]",$A$5,"[fActualAndBudget].[StavkaKategorija]","[fActualAndBudget].[StavkaKategorija].&amp;[2.41. Расходи од финансирање]","[Calendar].[Месец]","[Calendar].[Месец].&amp;[Jun]")</f>
        <v>-10602539</v>
      </c>
      <c r="H1" s="36">
        <f>GETPIVOTDATA("[Measures].[Sum of Износ]",$A$5,"[fActualAndBudget].[StavkaKategorija]","[fActualAndBudget].[StavkaKategorija].&amp;[2.29. Приходи од продажба]","[Calendar].[Месец]","[Calendar].[Месец].&amp;[Jul]")+GETPIVOTDATA("[Measures].[Sum of Износ]",$A$5,"[fActualAndBudget].[StavkaKategorija]","[fActualAndBudget].[StavkaKategorija].&amp;[2.30. Останати оперативни приходи]","[Calendar].[Месец]","[Calendar].[Месец].&amp;[Jul]")+GETPIVOTDATA("[Measures].[Sum of Износ]",$A$5,"[fActualAndBudget].[StavkaKategorija]","[fActualAndBudget].[StavkaKategorija].&amp;[2.40. Приходи од финансирање]","[Calendar].[Месец]","[Calendar].[Месец].&amp;[Jul]")-GETPIVOTDATA("[Measures].[Sum of Износ]",$A$5,"[fActualAndBudget].[StavkaKategorija]","[fActualAndBudget].[StavkaKategorija].&amp;[2.32. Потрошени суровини и материјали]","[Calendar].[Месец]","[Calendar].[Месец].&amp;[Jul]")-GETPIVOTDATA("[Measures].[Sum of Износ]",$A$5,"[fActualAndBudget].[StavkaKategorija]","[fActualAndBudget].[StavkaKategorija].&amp;[2.33. Трошоци за вработените]","[Calendar].[Месец]","[Calendar].[Месец].&amp;[Jul]")-GETPIVOTDATA("[Measures].[Sum of Износ]",$A$5,"[fActualAndBudget].[StavkaKategorija]","[fActualAndBudget].[StavkaKategorija].&amp;[2.34. Амортизација на материјални средства]","[Calendar].[Месец]","[Calendar].[Месец].&amp;[Jul]")-GETPIVOTDATA("[Measures].[Sum of Износ]",$A$5,"[fActualAndBudget].[StavkaKategorija]","[fActualAndBudget].[StavkaKategorija].&amp;[2.37. Останати оперативни расходи]","[Calendar].[Месец]","[Calendar].[Месец].&amp;[Jul]")-GETPIVOTDATA("[Measures].[Sum of Износ]",$A$5,"[fActualAndBudget].[StavkaKategorija]","[fActualAndBudget].[StavkaKategorija].&amp;[2.41. Расходи од финансирање]","[Calendar].[Месец]","[Calendar].[Месец].&amp;[Jul]")</f>
        <v>-22691615</v>
      </c>
      <c r="I1" s="36">
        <f>GETPIVOTDATA("[Measures].[Sum of Износ]",$A$5,"[fActualAndBudget].[StavkaKategorija]","[fActualAndBudget].[StavkaKategorija].&amp;[2.29. Приходи од продажба]","[Calendar].[Месец]","[Calendar].[Месец].&amp;[Aug]")+GETPIVOTDATA("[Measures].[Sum of Износ]",$A$5,"[fActualAndBudget].[StavkaKategorija]","[fActualAndBudget].[StavkaKategorija].&amp;[2.30. Останати оперативни приходи]","[Calendar].[Месец]","[Calendar].[Месец].&amp;[Aug]")+GETPIVOTDATA("[Measures].[Sum of Износ]",$A$5,"[fActualAndBudget].[StavkaKategorija]","[fActualAndBudget].[StavkaKategorija].&amp;[2.40. Приходи од финансирање]","[Calendar].[Месец]","[Calendar].[Месец].&amp;[Aug]")-GETPIVOTDATA("[Measures].[Sum of Износ]",$A$5,"[fActualAndBudget].[StavkaKategorija]","[fActualAndBudget].[StavkaKategorija].&amp;[2.32. Потрошени суровини и материјали]","[Calendar].[Месец]","[Calendar].[Месец].&amp;[Aug]")-GETPIVOTDATA("[Measures].[Sum of Износ]",$A$5,"[fActualAndBudget].[StavkaKategorija]","[fActualAndBudget].[StavkaKategorija].&amp;[2.33. Трошоци за вработените]","[Calendar].[Месец]","[Calendar].[Месец].&amp;[Aug]")-GETPIVOTDATA("[Measures].[Sum of Износ]",$A$5,"[fActualAndBudget].[StavkaKategorija]","[fActualAndBudget].[StavkaKategorija].&amp;[2.34. Амортизација на материјални средства]","[Calendar].[Месец]","[Calendar].[Месец].&amp;[Aug]")-GETPIVOTDATA("[Measures].[Sum of Износ]",$A$5,"[fActualAndBudget].[StavkaKategorija]","[fActualAndBudget].[StavkaKategorija].&amp;[2.37. Останати оперативни расходи]","[Calendar].[Месец]","[Calendar].[Месец].&amp;[Aug]")-GETPIVOTDATA("[Measures].[Sum of Износ]",$A$5,"[fActualAndBudget].[StavkaKategorija]","[fActualAndBudget].[StavkaKategorija].&amp;[2.41. Расходи од финансирање]","[Calendar].[Месец]","[Calendar].[Месец].&amp;[Aug]")</f>
        <v>-17407646</v>
      </c>
      <c r="J1" s="36">
        <f>GETPIVOTDATA("[Measures].[Sum of Износ]",$A$5,"[fActualAndBudget].[StavkaKategorija]","[fActualAndBudget].[StavkaKategorija].&amp;[2.29. Приходи од продажба]","[Calendar].[Месец]","[Calendar].[Месец].&amp;[Sep]")+GETPIVOTDATA("[Measures].[Sum of Износ]",$A$5,"[fActualAndBudget].[StavkaKategorija]","[fActualAndBudget].[StavkaKategorija].&amp;[2.30. Останати оперативни приходи]","[Calendar].[Месец]","[Calendar].[Месец].&amp;[Sep]")+GETPIVOTDATA("[Measures].[Sum of Износ]",$A$5,"[fActualAndBudget].[StavkaKategorija]","[fActualAndBudget].[StavkaKategorija].&amp;[2.40. Приходи од финансирање]","[Calendar].[Месец]","[Calendar].[Месец].&amp;[Sep]")-GETPIVOTDATA("[Measures].[Sum of Износ]",$A$5,"[fActualAndBudget].[StavkaKategorija]","[fActualAndBudget].[StavkaKategorija].&amp;[2.32. Потрошени суровини и материјали]","[Calendar].[Месец]","[Calendar].[Месец].&amp;[Sep]")-GETPIVOTDATA("[Measures].[Sum of Износ]",$A$5,"[fActualAndBudget].[StavkaKategorija]","[fActualAndBudget].[StavkaKategorija].&amp;[2.33. Трошоци за вработените]","[Calendar].[Месец]","[Calendar].[Месец].&amp;[Sep]")-GETPIVOTDATA("[Measures].[Sum of Износ]",$A$5,"[fActualAndBudget].[StavkaKategorija]","[fActualAndBudget].[StavkaKategorija].&amp;[2.34. Амортизација на материјални средства]","[Calendar].[Месец]","[Calendar].[Месец].&amp;[Sep]")-GETPIVOTDATA("[Measures].[Sum of Износ]",$A$5,"[fActualAndBudget].[StavkaKategorija]","[fActualAndBudget].[StavkaKategorija].&amp;[2.37. Останати оперативни расходи]","[Calendar].[Месец]","[Calendar].[Месец].&amp;[Sep]")-GETPIVOTDATA("[Measures].[Sum of Износ]",$A$5,"[fActualAndBudget].[StavkaKategorija]","[fActualAndBudget].[StavkaKategorija].&amp;[2.41. Расходи од финансирање]","[Calendar].[Месец]","[Calendar].[Месец].&amp;[Sep]")</f>
        <v>-11463734</v>
      </c>
      <c r="K1" s="36">
        <f>GETPIVOTDATA("[Measures].[Sum of Износ]",$A$5,"[fActualAndBudget].[StavkaKategorija]","[fActualAndBudget].[StavkaKategorija].&amp;[2.29. Приходи од продажба]","[Calendar].[Месец]","[Calendar].[Месец].&amp;[Oct]")+GETPIVOTDATA("[Measures].[Sum of Износ]",$A$5,"[fActualAndBudget].[StavkaKategorija]","[fActualAndBudget].[StavkaKategorija].&amp;[2.30. Останати оперативни приходи]","[Calendar].[Месец]","[Calendar].[Месец].&amp;[Oct]")+GETPIVOTDATA("[Measures].[Sum of Износ]",$A$5,"[fActualAndBudget].[StavkaKategorija]","[fActualAndBudget].[StavkaKategorija].&amp;[2.40. Приходи од финансирање]","[Calendar].[Месец]","[Calendar].[Месец].&amp;[Oct]")-GETPIVOTDATA("[Measures].[Sum of Износ]",$A$5,"[fActualAndBudget].[StavkaKategorija]","[fActualAndBudget].[StavkaKategorija].&amp;[2.32. Потрошени суровини и материјали]","[Calendar].[Месец]","[Calendar].[Месец].&amp;[Oct]")-GETPIVOTDATA("[Measures].[Sum of Износ]",$A$5,"[fActualAndBudget].[StavkaKategorija]","[fActualAndBudget].[StavkaKategorija].&amp;[2.33. Трошоци за вработените]","[Calendar].[Месец]","[Calendar].[Месец].&amp;[Oct]")-GETPIVOTDATA("[Measures].[Sum of Износ]",$A$5,"[fActualAndBudget].[StavkaKategorija]","[fActualAndBudget].[StavkaKategorija].&amp;[2.34. Амортизација на материјални средства]","[Calendar].[Месец]","[Calendar].[Месец].&amp;[Oct]")-GETPIVOTDATA("[Measures].[Sum of Износ]",$A$5,"[fActualAndBudget].[StavkaKategorija]","[fActualAndBudget].[StavkaKategorija].&amp;[2.37. Останати оперативни расходи]","[Calendar].[Месец]","[Calendar].[Месец].&amp;[Oct]")-GETPIVOTDATA("[Measures].[Sum of Износ]",$A$5,"[fActualAndBudget].[StavkaKategorija]","[fActualAndBudget].[StavkaKategorija].&amp;[2.41. Расходи од финансирање]","[Calendar].[Месец]","[Calendar].[Месец].&amp;[Oct]")</f>
        <v>-12593488</v>
      </c>
      <c r="L1" s="36">
        <f>GETPIVOTDATA("[Measures].[Sum of Износ]",$A$5,"[fActualAndBudget].[StavkaKategorija]","[fActualAndBudget].[StavkaKategorija].&amp;[2.29. Приходи од продажба]","[Calendar].[Месец]","[Calendar].[Месец].&amp;[Nov]")+GETPIVOTDATA("[Measures].[Sum of Износ]",$A$5,"[fActualAndBudget].[StavkaKategorija]","[fActualAndBudget].[StavkaKategorija].&amp;[2.30. Останати оперативни приходи]","[Calendar].[Месец]","[Calendar].[Месец].&amp;[Nov]")+GETPIVOTDATA("[Measures].[Sum of Износ]",$A$5,"[fActualAndBudget].[StavkaKategorija]","[fActualAndBudget].[StavkaKategorija].&amp;[2.40. Приходи од финансирање]","[Calendar].[Месец]","[Calendar].[Месец].&amp;[Nov]")-GETPIVOTDATA("[Measures].[Sum of Износ]",$A$5,"[fActualAndBudget].[StavkaKategorija]","[fActualAndBudget].[StavkaKategorija].&amp;[2.32. Потрошени суровини и материјали]","[Calendar].[Месец]","[Calendar].[Месец].&amp;[Nov]")-GETPIVOTDATA("[Measures].[Sum of Износ]",$A$5,"[fActualAndBudget].[StavkaKategorija]","[fActualAndBudget].[StavkaKategorija].&amp;[2.33. Трошоци за вработените]","[Calendar].[Месец]","[Calendar].[Месец].&amp;[Nov]")-GETPIVOTDATA("[Measures].[Sum of Износ]",$A$5,"[fActualAndBudget].[StavkaKategorija]","[fActualAndBudget].[StavkaKategorija].&amp;[2.34. Амортизација на материјални средства]","[Calendar].[Месец]","[Calendar].[Месец].&amp;[Nov]")-GETPIVOTDATA("[Measures].[Sum of Износ]",$A$5,"[fActualAndBudget].[StavkaKategorija]","[fActualAndBudget].[StavkaKategorija].&amp;[2.37. Останати оперативни расходи]","[Calendar].[Месец]","[Calendar].[Месец].&amp;[Nov]")-GETPIVOTDATA("[Measures].[Sum of Износ]",$A$5,"[fActualAndBudget].[StavkaKategorija]","[fActualAndBudget].[StavkaKategorija].&amp;[2.41. Расходи од финансирање]","[Calendar].[Месец]","[Calendar].[Месец].&amp;[Nov]")</f>
        <v>-14053301</v>
      </c>
      <c r="M1" s="36">
        <f>GETPIVOTDATA("[Measures].[Sum of Износ]",$A$5,"[fActualAndBudget].[StavkaKategorija]","[fActualAndBudget].[StavkaKategorija].&amp;[2.29. Приходи од продажба]","[Calendar].[Месец]","[Calendar].[Месец].&amp;[Dec]")+GETPIVOTDATA("[Measures].[Sum of Износ]",$A$5,"[fActualAndBudget].[StavkaKategorija]","[fActualAndBudget].[StavkaKategorija].&amp;[2.30. Останати оперативни приходи]","[Calendar].[Месец]","[Calendar].[Месец].&amp;[Dec]")+GETPIVOTDATA("[Measures].[Sum of Износ]",$A$5,"[fActualAndBudget].[StavkaKategorija]","[fActualAndBudget].[StavkaKategorija].&amp;[2.40. Приходи од финансирање]","[Calendar].[Месец]","[Calendar].[Месец].&amp;[Dec]")-GETPIVOTDATA("[Measures].[Sum of Износ]",$A$5,"[fActualAndBudget].[StavkaKategorija]","[fActualAndBudget].[StavkaKategorija].&amp;[2.32. Потрошени суровини и материјали]","[Calendar].[Месец]","[Calendar].[Месец].&amp;[Dec]")-GETPIVOTDATA("[Measures].[Sum of Износ]",$A$5,"[fActualAndBudget].[StavkaKategorija]","[fActualAndBudget].[StavkaKategorija].&amp;[2.33. Трошоци за вработените]","[Calendar].[Месец]","[Calendar].[Месец].&amp;[Dec]")-GETPIVOTDATA("[Measures].[Sum of Износ]",$A$5,"[fActualAndBudget].[StavkaKategorija]","[fActualAndBudget].[StavkaKategorija].&amp;[2.34. Амортизација на материјални средства]","[Calendar].[Месец]","[Calendar].[Месец].&amp;[Dec]")-GETPIVOTDATA("[Measures].[Sum of Износ]",$A$5,"[fActualAndBudget].[StavkaKategorija]","[fActualAndBudget].[StavkaKategorija].&amp;[2.35. Вредносно усогласување на тековни средства]","[Calendar].[Месец]","[Calendar].[Месец].&amp;[Dec]")-GETPIVOTDATA("[Measures].[Sum of Износ]",$A$5,"[fActualAndBudget].[StavkaKategorija]","[fActualAndBudget].[StavkaKategorija].&amp;[2.37. Останати оперативни расходи]","[Calendar].[Месец]","[Calendar].[Месец].&amp;[Dec]")-GETPIVOTDATA("[Measures].[Sum of Износ]",$A$5,"[fActualAndBudget].[StavkaKategorija]","[fActualAndBudget].[StavkaKategorija].&amp;[2.41. Расходи од финансирање]","[Calendar].[Месец]","[Calendar].[Месец].&amp;[Dec]")</f>
        <v>-7921932</v>
      </c>
      <c r="N1" s="36">
        <f>GETPIVOTDATA("[Measures].[Sum of Износ]",$A$5,"[fActualAndBudget].[StavkaKategorija]","[fActualAndBudget].[StavkaKategorija].&amp;[2.29. Приходи од продажба]")+GETPIVOTDATA("[Measures].[Sum of Износ]",$A$5,"[fActualAndBudget].[StavkaKategorija]","[fActualAndBudget].[StavkaKategorija].&amp;[2.30. Останати оперативни приходи]")+GETPIVOTDATA("[Measures].[Sum of Износ]",$A$5,"[fActualAndBudget].[StavkaKategorija]","[fActualAndBudget].[StavkaKategorija].&amp;[2.40. Приходи од финансирање]")-GETPIVOTDATA("[Measures].[Sum of Износ]",$A$5,"[fActualAndBudget].[StavkaKategorija]","[fActualAndBudget].[StavkaKategorija].&amp;[2.32. Потрошени суровини и материјали]")-GETPIVOTDATA("[Measures].[Sum of Износ]",$A$5,"[fActualAndBudget].[StavkaKategorija]","[fActualAndBudget].[StavkaKategorija].&amp;[2.33. Трошоци за вработените]")-GETPIVOTDATA("[Measures].[Sum of Износ]",$A$5,"[fActualAndBudget].[StavkaKategorija]","[fActualAndBudget].[StavkaKategorija].&amp;[2.34. Амортизација на материјални средства]")-GETPIVOTDATA("[Measures].[Sum of Износ]",$A$5,"[fActualAndBudget].[StavkaKategorija]","[fActualAndBudget].[StavkaKategorija].&amp;[2.35. Вредносно усогласување на тековни средства]")-GETPIVOTDATA("[Measures].[Sum of Износ]",$A$5,"[fActualAndBudget].[StavkaKategorija]","[fActualAndBudget].[StavkaKategorija].&amp;[2.37. Останати оперативни расходи]")-GETPIVOTDATA("[Measures].[Sum of Износ]",$A$5,"[fActualAndBudget].[StavkaKategorija]","[fActualAndBudget].[StavkaKategorija].&amp;[2.41. Расходи од финансирање]")</f>
        <v>1378822</v>
      </c>
    </row>
    <row r="3" spans="1:14" x14ac:dyDescent="0.25">
      <c r="A3" s="4" t="s">
        <v>244</v>
      </c>
      <c r="B3" t="s" vm="12">
        <v>245</v>
      </c>
    </row>
    <row r="5" spans="1:14" x14ac:dyDescent="0.25">
      <c r="A5" s="4" t="s">
        <v>136</v>
      </c>
    </row>
    <row r="6" spans="1:14" x14ac:dyDescent="0.25">
      <c r="B6" t="s">
        <v>140</v>
      </c>
      <c r="C6" t="s">
        <v>141</v>
      </c>
      <c r="D6" t="s">
        <v>142</v>
      </c>
      <c r="E6" t="s">
        <v>143</v>
      </c>
      <c r="F6" t="s">
        <v>144</v>
      </c>
      <c r="G6" t="s">
        <v>145</v>
      </c>
      <c r="H6" t="s">
        <v>146</v>
      </c>
      <c r="I6" t="s">
        <v>147</v>
      </c>
      <c r="J6" t="s">
        <v>148</v>
      </c>
      <c r="K6" t="s">
        <v>149</v>
      </c>
      <c r="L6" t="s">
        <v>150</v>
      </c>
      <c r="M6" t="s">
        <v>162</v>
      </c>
      <c r="N6" t="s">
        <v>138</v>
      </c>
    </row>
    <row r="7" spans="1:14" x14ac:dyDescent="0.25">
      <c r="A7" s="6" t="s">
        <v>376</v>
      </c>
      <c r="B7" s="1">
        <v>16955209</v>
      </c>
      <c r="C7" s="1">
        <v>93947569</v>
      </c>
      <c r="D7" s="1">
        <v>106439646</v>
      </c>
      <c r="E7" s="1">
        <v>19811282</v>
      </c>
      <c r="F7" s="1">
        <v>22077767</v>
      </c>
      <c r="G7" s="1">
        <v>21254343</v>
      </c>
      <c r="H7" s="1">
        <v>18347728</v>
      </c>
      <c r="I7" s="1">
        <v>15632303</v>
      </c>
      <c r="J7" s="1">
        <v>20820074</v>
      </c>
      <c r="K7" s="1">
        <v>20439944</v>
      </c>
      <c r="L7" s="1">
        <v>18846250</v>
      </c>
      <c r="M7" s="1">
        <v>25237331</v>
      </c>
      <c r="N7" s="1">
        <v>399809446</v>
      </c>
    </row>
    <row r="8" spans="1:14" x14ac:dyDescent="0.25">
      <c r="A8" s="7" t="s">
        <v>763</v>
      </c>
      <c r="B8" s="1">
        <v>3574993</v>
      </c>
      <c r="C8" s="1">
        <v>73634200</v>
      </c>
      <c r="D8" s="1">
        <v>85037136</v>
      </c>
      <c r="E8" s="1">
        <v>3517434</v>
      </c>
      <c r="F8" s="1">
        <v>2199866</v>
      </c>
      <c r="G8" s="1">
        <v>2049086</v>
      </c>
      <c r="H8" s="1">
        <v>3042151</v>
      </c>
      <c r="I8" s="1">
        <v>2301101</v>
      </c>
      <c r="J8" s="1">
        <v>2425682</v>
      </c>
      <c r="K8" s="1">
        <v>2419980</v>
      </c>
      <c r="L8" s="1">
        <v>1377066</v>
      </c>
      <c r="M8" s="1">
        <v>4414240</v>
      </c>
      <c r="N8" s="1">
        <v>185992935</v>
      </c>
    </row>
    <row r="9" spans="1:14" x14ac:dyDescent="0.25">
      <c r="A9" s="7" t="s">
        <v>764</v>
      </c>
      <c r="B9" s="1">
        <v>110780</v>
      </c>
      <c r="C9" s="1">
        <v>163412</v>
      </c>
      <c r="D9" s="1">
        <v>197960</v>
      </c>
      <c r="E9" s="1">
        <v>194014</v>
      </c>
      <c r="F9" s="1">
        <v>165283</v>
      </c>
      <c r="G9" s="1">
        <v>139048</v>
      </c>
      <c r="H9" s="1">
        <v>151664</v>
      </c>
      <c r="I9" s="1">
        <v>157182</v>
      </c>
      <c r="J9" s="1">
        <v>195796</v>
      </c>
      <c r="K9" s="1">
        <v>185577</v>
      </c>
      <c r="L9" s="1">
        <v>193307</v>
      </c>
      <c r="M9" s="1">
        <v>215739</v>
      </c>
      <c r="N9" s="1">
        <v>2069762</v>
      </c>
    </row>
    <row r="10" spans="1:14" x14ac:dyDescent="0.25">
      <c r="A10" s="7" t="s">
        <v>765</v>
      </c>
      <c r="B10" s="1">
        <v>2429894</v>
      </c>
      <c r="C10" s="1">
        <v>3944646</v>
      </c>
      <c r="D10" s="1">
        <v>3887447</v>
      </c>
      <c r="E10" s="1">
        <v>3109913</v>
      </c>
      <c r="F10" s="1">
        <v>2519003</v>
      </c>
      <c r="G10" s="1">
        <v>3069835</v>
      </c>
      <c r="H10" s="1">
        <v>2608232</v>
      </c>
      <c r="I10" s="1">
        <v>2232168</v>
      </c>
      <c r="J10" s="1">
        <v>2696710</v>
      </c>
      <c r="K10" s="1">
        <v>2572820</v>
      </c>
      <c r="L10" s="1">
        <v>2896224</v>
      </c>
      <c r="M10" s="1">
        <v>3430277</v>
      </c>
      <c r="N10" s="1">
        <v>35397169</v>
      </c>
    </row>
    <row r="11" spans="1:14" x14ac:dyDescent="0.25">
      <c r="A11" s="7" t="s">
        <v>1090</v>
      </c>
      <c r="B11" s="1">
        <v>1935380</v>
      </c>
      <c r="C11" s="1">
        <v>2820881</v>
      </c>
      <c r="D11" s="1">
        <v>2461556</v>
      </c>
      <c r="E11" s="1">
        <v>2056839</v>
      </c>
      <c r="F11" s="1">
        <v>2042595</v>
      </c>
      <c r="G11" s="1">
        <v>2324700</v>
      </c>
      <c r="H11" s="1">
        <v>1620558</v>
      </c>
      <c r="I11" s="1">
        <v>1039676</v>
      </c>
      <c r="J11" s="1">
        <v>2415579</v>
      </c>
      <c r="K11" s="1">
        <v>2558144</v>
      </c>
      <c r="L11" s="1">
        <v>2926646</v>
      </c>
      <c r="M11" s="1">
        <v>3695287</v>
      </c>
      <c r="N11" s="1">
        <v>27897841</v>
      </c>
    </row>
    <row r="12" spans="1:14" x14ac:dyDescent="0.25">
      <c r="A12" s="7" t="s">
        <v>766</v>
      </c>
      <c r="B12" s="1">
        <v>84602</v>
      </c>
      <c r="C12" s="1">
        <v>106987</v>
      </c>
      <c r="D12" s="1">
        <v>114072</v>
      </c>
      <c r="E12" s="1">
        <v>97292</v>
      </c>
      <c r="F12" s="1">
        <v>96805</v>
      </c>
      <c r="G12" s="1">
        <v>129404</v>
      </c>
      <c r="H12" s="1">
        <v>89194</v>
      </c>
      <c r="I12" s="1">
        <v>82725</v>
      </c>
      <c r="J12" s="1">
        <v>99624</v>
      </c>
      <c r="K12" s="1">
        <v>88216</v>
      </c>
      <c r="L12" s="1">
        <v>109646</v>
      </c>
      <c r="M12" s="1">
        <v>120386</v>
      </c>
      <c r="N12" s="1">
        <v>1218953</v>
      </c>
    </row>
    <row r="13" spans="1:14" x14ac:dyDescent="0.25">
      <c r="A13" s="7" t="s">
        <v>995</v>
      </c>
      <c r="B13" s="1">
        <v>0</v>
      </c>
      <c r="C13" s="1">
        <v>0</v>
      </c>
      <c r="D13" s="1">
        <v>0</v>
      </c>
      <c r="E13" s="1">
        <v>0</v>
      </c>
      <c r="F13" s="1">
        <v>0</v>
      </c>
      <c r="G13" s="1">
        <v>0</v>
      </c>
      <c r="H13" s="1">
        <v>0</v>
      </c>
      <c r="I13" s="1">
        <v>0</v>
      </c>
      <c r="J13" s="1">
        <v>0</v>
      </c>
      <c r="K13" s="1">
        <v>0</v>
      </c>
      <c r="L13" s="1">
        <v>0</v>
      </c>
      <c r="M13" s="1">
        <v>0</v>
      </c>
      <c r="N13" s="1">
        <v>0</v>
      </c>
    </row>
    <row r="14" spans="1:14" x14ac:dyDescent="0.25">
      <c r="A14" s="7" t="s">
        <v>767</v>
      </c>
      <c r="B14" s="1">
        <v>38400</v>
      </c>
      <c r="C14" s="1">
        <v>75300</v>
      </c>
      <c r="D14" s="1">
        <v>90935</v>
      </c>
      <c r="E14" s="1">
        <v>66244</v>
      </c>
      <c r="F14" s="1">
        <v>86875</v>
      </c>
      <c r="G14" s="1">
        <v>129650</v>
      </c>
      <c r="H14" s="1">
        <v>89998</v>
      </c>
      <c r="I14" s="1">
        <v>102419</v>
      </c>
      <c r="J14" s="1">
        <v>84131</v>
      </c>
      <c r="K14" s="1">
        <v>91101</v>
      </c>
      <c r="L14" s="1">
        <v>86324</v>
      </c>
      <c r="M14" s="1">
        <v>92816</v>
      </c>
      <c r="N14" s="1">
        <v>1034193</v>
      </c>
    </row>
    <row r="15" spans="1:14" x14ac:dyDescent="0.25">
      <c r="A15" s="7" t="s">
        <v>768</v>
      </c>
      <c r="B15" s="1">
        <v>639</v>
      </c>
      <c r="C15" s="1">
        <v>532</v>
      </c>
      <c r="D15" s="1">
        <v>0</v>
      </c>
      <c r="E15" s="1">
        <v>160</v>
      </c>
      <c r="F15" s="1">
        <v>1278</v>
      </c>
      <c r="G15" s="1">
        <v>1278</v>
      </c>
      <c r="H15" s="1">
        <v>0</v>
      </c>
      <c r="I15" s="1">
        <v>1757</v>
      </c>
      <c r="J15" s="1">
        <v>0</v>
      </c>
      <c r="K15" s="1">
        <v>0</v>
      </c>
      <c r="L15" s="1">
        <v>1757</v>
      </c>
      <c r="M15" s="1">
        <v>160</v>
      </c>
      <c r="N15" s="1">
        <v>7561</v>
      </c>
    </row>
    <row r="16" spans="1:14" x14ac:dyDescent="0.25">
      <c r="A16" s="7" t="s">
        <v>769</v>
      </c>
      <c r="B16" s="1">
        <v>17561</v>
      </c>
      <c r="C16" s="1">
        <v>17274</v>
      </c>
      <c r="D16" s="1">
        <v>33239</v>
      </c>
      <c r="E16" s="1">
        <v>14519</v>
      </c>
      <c r="F16" s="1">
        <v>19471</v>
      </c>
      <c r="G16" s="1">
        <v>18372</v>
      </c>
      <c r="H16" s="1">
        <v>27569</v>
      </c>
      <c r="I16" s="1">
        <v>23697</v>
      </c>
      <c r="J16" s="1">
        <v>22450</v>
      </c>
      <c r="K16" s="1">
        <v>23451</v>
      </c>
      <c r="L16" s="1">
        <v>33440</v>
      </c>
      <c r="M16" s="1">
        <v>20565</v>
      </c>
      <c r="N16" s="1">
        <v>271608</v>
      </c>
    </row>
    <row r="17" spans="1:19" x14ac:dyDescent="0.25">
      <c r="A17" s="7" t="s">
        <v>770</v>
      </c>
      <c r="B17" s="1">
        <v>1051368</v>
      </c>
      <c r="C17" s="1">
        <v>1402964</v>
      </c>
      <c r="D17" s="1">
        <v>1373199</v>
      </c>
      <c r="E17" s="1">
        <v>1087173</v>
      </c>
      <c r="F17" s="1">
        <v>4012467</v>
      </c>
      <c r="G17" s="1">
        <v>1443903</v>
      </c>
      <c r="H17" s="1">
        <v>1116471</v>
      </c>
      <c r="I17" s="1">
        <v>1073351</v>
      </c>
      <c r="J17" s="1">
        <v>1177053</v>
      </c>
      <c r="K17" s="1">
        <v>1098974</v>
      </c>
      <c r="L17" s="1">
        <v>1080265</v>
      </c>
      <c r="M17" s="1">
        <v>1557562</v>
      </c>
      <c r="N17" s="1">
        <v>17474750</v>
      </c>
    </row>
    <row r="18" spans="1:19" x14ac:dyDescent="0.25">
      <c r="A18" s="7" t="s">
        <v>771</v>
      </c>
      <c r="B18" s="1">
        <v>0</v>
      </c>
      <c r="C18" s="1">
        <v>0</v>
      </c>
      <c r="D18" s="1">
        <v>10842</v>
      </c>
      <c r="E18" s="1">
        <v>0</v>
      </c>
      <c r="F18" s="1">
        <v>149166</v>
      </c>
      <c r="G18" s="1">
        <v>16756</v>
      </c>
      <c r="H18" s="1">
        <v>0</v>
      </c>
      <c r="I18" s="1">
        <v>22726</v>
      </c>
      <c r="J18" s="1">
        <v>0</v>
      </c>
      <c r="K18" s="1">
        <v>7990</v>
      </c>
      <c r="L18" s="1">
        <v>0</v>
      </c>
      <c r="M18" s="1">
        <v>29003</v>
      </c>
      <c r="N18" s="1">
        <v>236483</v>
      </c>
    </row>
    <row r="19" spans="1:19" x14ac:dyDescent="0.25">
      <c r="A19" s="7" t="s">
        <v>772</v>
      </c>
      <c r="B19" s="1">
        <v>7711592</v>
      </c>
      <c r="C19" s="1">
        <v>11781373</v>
      </c>
      <c r="D19" s="1">
        <v>13233260</v>
      </c>
      <c r="E19" s="1">
        <v>9667694</v>
      </c>
      <c r="F19" s="1">
        <v>10784958</v>
      </c>
      <c r="G19" s="1">
        <v>11932311</v>
      </c>
      <c r="H19" s="1">
        <v>9601891</v>
      </c>
      <c r="I19" s="1">
        <v>8595501</v>
      </c>
      <c r="J19" s="1">
        <v>11703049</v>
      </c>
      <c r="K19" s="1">
        <v>11393691</v>
      </c>
      <c r="L19" s="1">
        <v>10141575</v>
      </c>
      <c r="M19" s="1">
        <v>11661296</v>
      </c>
      <c r="N19" s="1">
        <v>128208191</v>
      </c>
      <c r="S19" s="1"/>
    </row>
    <row r="20" spans="1:19" x14ac:dyDescent="0.25">
      <c r="A20" s="6" t="s">
        <v>377</v>
      </c>
      <c r="B20" s="1">
        <v>438301</v>
      </c>
      <c r="C20" s="1">
        <v>418525</v>
      </c>
      <c r="D20" s="1">
        <v>451378</v>
      </c>
      <c r="E20" s="1">
        <v>421720</v>
      </c>
      <c r="F20" s="1">
        <v>440332</v>
      </c>
      <c r="G20" s="1">
        <v>517144</v>
      </c>
      <c r="H20" s="1">
        <v>525158</v>
      </c>
      <c r="I20" s="1">
        <v>405811</v>
      </c>
      <c r="J20" s="1">
        <v>483821</v>
      </c>
      <c r="K20" s="1">
        <v>439825</v>
      </c>
      <c r="L20" s="1">
        <v>418525</v>
      </c>
      <c r="M20" s="1">
        <v>419318</v>
      </c>
      <c r="N20" s="1">
        <v>5379858</v>
      </c>
      <c r="S20" s="1"/>
    </row>
    <row r="21" spans="1:19" x14ac:dyDescent="0.25">
      <c r="A21" s="6" t="s">
        <v>378</v>
      </c>
      <c r="B21" s="1">
        <v>1661917</v>
      </c>
      <c r="C21" s="1">
        <v>1661917</v>
      </c>
      <c r="D21" s="1">
        <v>1661917</v>
      </c>
      <c r="E21" s="1">
        <v>1786917</v>
      </c>
      <c r="F21" s="1">
        <v>1786917</v>
      </c>
      <c r="G21" s="1">
        <v>1661917</v>
      </c>
      <c r="H21" s="1">
        <v>1661917</v>
      </c>
      <c r="I21" s="1">
        <v>1661917</v>
      </c>
      <c r="J21" s="1">
        <v>1661917</v>
      </c>
      <c r="K21" s="1">
        <v>1661917</v>
      </c>
      <c r="L21" s="1">
        <v>1661917</v>
      </c>
      <c r="M21" s="1">
        <v>1661917</v>
      </c>
      <c r="N21" s="1">
        <v>20193004</v>
      </c>
    </row>
    <row r="22" spans="1:19" x14ac:dyDescent="0.25">
      <c r="A22" s="7" t="s">
        <v>585</v>
      </c>
      <c r="B22" s="1">
        <v>1310000</v>
      </c>
      <c r="C22" s="1">
        <v>1310000</v>
      </c>
      <c r="D22" s="1">
        <v>1310000</v>
      </c>
      <c r="E22" s="1">
        <v>1310000</v>
      </c>
      <c r="F22" s="1">
        <v>1310000</v>
      </c>
      <c r="G22" s="1">
        <v>1310000</v>
      </c>
      <c r="H22" s="1">
        <v>1310000</v>
      </c>
      <c r="I22" s="1">
        <v>1310000</v>
      </c>
      <c r="J22" s="1">
        <v>1310000</v>
      </c>
      <c r="K22" s="1">
        <v>1310000</v>
      </c>
      <c r="L22" s="1">
        <v>1310000</v>
      </c>
      <c r="M22" s="1">
        <v>1310000</v>
      </c>
      <c r="N22" s="1">
        <v>15720000</v>
      </c>
    </row>
    <row r="23" spans="1:19" x14ac:dyDescent="0.25">
      <c r="A23" s="7" t="s">
        <v>586</v>
      </c>
      <c r="B23" s="1">
        <v>2750</v>
      </c>
      <c r="C23" s="1">
        <v>2750</v>
      </c>
      <c r="D23" s="1">
        <v>2750</v>
      </c>
      <c r="E23" s="1">
        <v>2750</v>
      </c>
      <c r="F23" s="1">
        <v>2750</v>
      </c>
      <c r="G23" s="1">
        <v>2750</v>
      </c>
      <c r="H23" s="1">
        <v>2750</v>
      </c>
      <c r="I23" s="1">
        <v>2750</v>
      </c>
      <c r="J23" s="1">
        <v>2750</v>
      </c>
      <c r="K23" s="1">
        <v>2750</v>
      </c>
      <c r="L23" s="1">
        <v>2750</v>
      </c>
      <c r="M23" s="1">
        <v>2750</v>
      </c>
      <c r="N23" s="1">
        <v>33000</v>
      </c>
    </row>
    <row r="24" spans="1:19" x14ac:dyDescent="0.25">
      <c r="A24" s="7" t="s">
        <v>587</v>
      </c>
      <c r="B24" s="1">
        <v>325000</v>
      </c>
      <c r="C24" s="1">
        <v>325000</v>
      </c>
      <c r="D24" s="1">
        <v>325000</v>
      </c>
      <c r="E24" s="1">
        <v>450000</v>
      </c>
      <c r="F24" s="1">
        <v>450000</v>
      </c>
      <c r="G24" s="1">
        <v>325000</v>
      </c>
      <c r="H24" s="1">
        <v>325000</v>
      </c>
      <c r="I24" s="1">
        <v>325000</v>
      </c>
      <c r="J24" s="1">
        <v>325000</v>
      </c>
      <c r="K24" s="1">
        <v>325000</v>
      </c>
      <c r="L24" s="1">
        <v>325000</v>
      </c>
      <c r="M24" s="1">
        <v>325000</v>
      </c>
      <c r="N24" s="1">
        <v>4150000</v>
      </c>
    </row>
    <row r="25" spans="1:19" x14ac:dyDescent="0.25">
      <c r="A25" s="7" t="s">
        <v>588</v>
      </c>
      <c r="B25" s="1">
        <v>24167</v>
      </c>
      <c r="C25" s="1">
        <v>24167</v>
      </c>
      <c r="D25" s="1">
        <v>24167</v>
      </c>
      <c r="E25" s="1">
        <v>24167</v>
      </c>
      <c r="F25" s="1">
        <v>24167</v>
      </c>
      <c r="G25" s="1">
        <v>24167</v>
      </c>
      <c r="H25" s="1">
        <v>24167</v>
      </c>
      <c r="I25" s="1">
        <v>24167</v>
      </c>
      <c r="J25" s="1">
        <v>24167</v>
      </c>
      <c r="K25" s="1">
        <v>24167</v>
      </c>
      <c r="L25" s="1">
        <v>24167</v>
      </c>
      <c r="M25" s="1">
        <v>24167</v>
      </c>
      <c r="N25" s="1">
        <v>290004</v>
      </c>
    </row>
    <row r="26" spans="1:19" x14ac:dyDescent="0.25">
      <c r="A26" s="6" t="s">
        <v>386</v>
      </c>
      <c r="B26" s="1">
        <v>19788174</v>
      </c>
      <c r="C26" s="1">
        <v>19750843</v>
      </c>
      <c r="D26" s="1">
        <v>19713185</v>
      </c>
      <c r="E26" s="1">
        <v>19677430</v>
      </c>
      <c r="F26" s="1">
        <v>19667986</v>
      </c>
      <c r="G26" s="1">
        <v>19612430</v>
      </c>
      <c r="H26" s="1">
        <v>28712465</v>
      </c>
      <c r="I26" s="1">
        <v>19639772</v>
      </c>
      <c r="J26" s="1">
        <v>19605285</v>
      </c>
      <c r="K26" s="1">
        <v>19540285</v>
      </c>
      <c r="L26" s="1">
        <v>19625086</v>
      </c>
      <c r="M26" s="1">
        <v>19531872</v>
      </c>
      <c r="N26" s="1">
        <v>244864813</v>
      </c>
    </row>
    <row r="27" spans="1:19" x14ac:dyDescent="0.25">
      <c r="A27" s="6" t="s">
        <v>243</v>
      </c>
      <c r="B27" s="1">
        <v>4690673</v>
      </c>
      <c r="C27" s="1">
        <v>4690673</v>
      </c>
      <c r="D27" s="1">
        <v>5066278</v>
      </c>
      <c r="E27" s="1">
        <v>5348658</v>
      </c>
      <c r="F27" s="1">
        <v>5374908</v>
      </c>
      <c r="G27" s="1">
        <v>5378033</v>
      </c>
      <c r="H27" s="1">
        <v>5378033</v>
      </c>
      <c r="I27" s="1">
        <v>5623866</v>
      </c>
      <c r="J27" s="1">
        <v>5838241</v>
      </c>
      <c r="K27" s="1">
        <v>6088054</v>
      </c>
      <c r="L27" s="1">
        <v>6284929</v>
      </c>
      <c r="M27" s="1">
        <v>6722116</v>
      </c>
      <c r="N27" s="1">
        <v>66484462</v>
      </c>
    </row>
    <row r="28" spans="1:19" x14ac:dyDescent="0.25">
      <c r="A28" s="7" t="s">
        <v>569</v>
      </c>
      <c r="B28" s="1">
        <v>4690673</v>
      </c>
      <c r="C28" s="1">
        <v>4690673</v>
      </c>
      <c r="D28" s="1">
        <v>5066278</v>
      </c>
      <c r="E28" s="1">
        <v>5348658</v>
      </c>
      <c r="F28" s="1">
        <v>5374908</v>
      </c>
      <c r="G28" s="1">
        <v>5378033</v>
      </c>
      <c r="H28" s="1">
        <v>5378033</v>
      </c>
      <c r="I28" s="1">
        <v>5623866</v>
      </c>
      <c r="J28" s="1">
        <v>5838241</v>
      </c>
      <c r="K28" s="1">
        <v>6088054</v>
      </c>
      <c r="L28" s="1">
        <v>6284929</v>
      </c>
      <c r="M28" s="1">
        <v>6722116</v>
      </c>
      <c r="N28" s="1">
        <v>66484462</v>
      </c>
    </row>
    <row r="29" spans="1:19" x14ac:dyDescent="0.25">
      <c r="A29" s="6" t="s">
        <v>824</v>
      </c>
      <c r="B29" s="1">
        <v>600</v>
      </c>
      <c r="C29" s="1">
        <v>600</v>
      </c>
      <c r="D29" s="1">
        <v>600</v>
      </c>
      <c r="E29" s="1">
        <v>600</v>
      </c>
      <c r="F29" s="1">
        <v>600</v>
      </c>
      <c r="G29" s="1">
        <v>600</v>
      </c>
      <c r="H29" s="1">
        <v>600</v>
      </c>
      <c r="I29" s="1">
        <v>600</v>
      </c>
      <c r="J29" s="1">
        <v>600</v>
      </c>
      <c r="K29" s="1">
        <v>600</v>
      </c>
      <c r="L29" s="1">
        <v>600</v>
      </c>
      <c r="M29" s="1">
        <v>600</v>
      </c>
      <c r="N29" s="1">
        <v>7200</v>
      </c>
    </row>
    <row r="30" spans="1:19" x14ac:dyDescent="0.25">
      <c r="A30" s="6" t="s">
        <v>396</v>
      </c>
      <c r="B30" s="1">
        <v>5915537</v>
      </c>
      <c r="C30" s="1">
        <v>5915537</v>
      </c>
      <c r="D30" s="1">
        <v>6646037</v>
      </c>
      <c r="E30" s="1">
        <v>6405537</v>
      </c>
      <c r="F30" s="1">
        <v>6041537</v>
      </c>
      <c r="G30" s="1">
        <v>5715537</v>
      </c>
      <c r="H30" s="1">
        <v>5806136</v>
      </c>
      <c r="I30" s="1">
        <v>6514136</v>
      </c>
      <c r="J30" s="1">
        <v>5656131</v>
      </c>
      <c r="K30" s="1">
        <v>6178631</v>
      </c>
      <c r="L30" s="1">
        <v>5740131</v>
      </c>
      <c r="M30" s="1">
        <v>5656131</v>
      </c>
      <c r="N30" s="1">
        <v>72191018</v>
      </c>
    </row>
    <row r="31" spans="1:19" x14ac:dyDescent="0.25">
      <c r="A31" s="6" t="s">
        <v>450</v>
      </c>
      <c r="B31" s="1">
        <v>496</v>
      </c>
      <c r="C31" s="1">
        <v>155</v>
      </c>
      <c r="D31" s="1">
        <v>190</v>
      </c>
      <c r="E31" s="1">
        <v>211</v>
      </c>
      <c r="F31" s="1">
        <v>974</v>
      </c>
      <c r="G31" s="1">
        <v>191</v>
      </c>
      <c r="H31" s="1">
        <v>350</v>
      </c>
      <c r="I31" s="1">
        <v>231</v>
      </c>
      <c r="J31" s="1">
        <v>245</v>
      </c>
      <c r="K31" s="1">
        <v>1930</v>
      </c>
      <c r="L31" s="1">
        <v>287</v>
      </c>
      <c r="M31" s="1">
        <v>355</v>
      </c>
      <c r="N31" s="1">
        <v>5615</v>
      </c>
    </row>
    <row r="32" spans="1:19" x14ac:dyDescent="0.25">
      <c r="A32" s="6" t="s">
        <v>472</v>
      </c>
      <c r="B32" s="1">
        <v>6300</v>
      </c>
      <c r="C32" s="1">
        <v>6300</v>
      </c>
      <c r="D32" s="1">
        <v>6300</v>
      </c>
      <c r="E32" s="1">
        <v>6300</v>
      </c>
      <c r="F32" s="1">
        <v>6300</v>
      </c>
      <c r="G32" s="1">
        <v>6300</v>
      </c>
      <c r="H32" s="1">
        <v>6300</v>
      </c>
      <c r="I32" s="1">
        <v>6300</v>
      </c>
      <c r="J32" s="1">
        <v>6300</v>
      </c>
      <c r="K32" s="1">
        <v>6300</v>
      </c>
      <c r="L32" s="1">
        <v>6300</v>
      </c>
      <c r="M32" s="1">
        <v>6300</v>
      </c>
      <c r="N32" s="1">
        <v>75600</v>
      </c>
    </row>
  </sheetData>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3:V25"/>
  <sheetViews>
    <sheetView zoomScale="90" zoomScaleNormal="90" workbookViewId="0">
      <selection activeCell="E21" sqref="E21"/>
    </sheetView>
  </sheetViews>
  <sheetFormatPr defaultRowHeight="15" x14ac:dyDescent="0.25"/>
  <cols>
    <col min="1" max="1" width="10.5703125" customWidth="1"/>
    <col min="2" max="2" width="43.7109375" customWidth="1"/>
    <col min="3" max="15" width="15.5703125" style="36" bestFit="1" customWidth="1"/>
    <col min="16" max="16" width="13.28515625" style="36" bestFit="1" customWidth="1"/>
    <col min="17" max="17" width="13.7109375" style="36" bestFit="1" customWidth="1"/>
    <col min="18" max="18" width="8" hidden="1" customWidth="1"/>
    <col min="19" max="19" width="7" hidden="1" customWidth="1"/>
    <col min="20" max="20" width="10.7109375" hidden="1" customWidth="1"/>
    <col min="21" max="21" width="12.7109375" customWidth="1"/>
    <col min="22" max="22" width="12.85546875" bestFit="1" customWidth="1"/>
    <col min="23" max="24" width="10.7109375" bestFit="1" customWidth="1"/>
    <col min="25" max="26" width="9.140625" bestFit="1" customWidth="1"/>
    <col min="27" max="27" width="10.140625" bestFit="1" customWidth="1"/>
    <col min="28" max="30" width="9.140625" bestFit="1" customWidth="1"/>
    <col min="31" max="31" width="10.140625" bestFit="1" customWidth="1"/>
    <col min="32" max="34" width="9.140625" bestFit="1" customWidth="1"/>
    <col min="35" max="36" width="10.140625" bestFit="1" customWidth="1"/>
    <col min="37" max="39" width="9.140625" bestFit="1" customWidth="1"/>
    <col min="40" max="40" width="9.28515625" bestFit="1" customWidth="1"/>
    <col min="41" max="43" width="9.140625" bestFit="1" customWidth="1"/>
    <col min="44" max="44" width="9.28515625" bestFit="1" customWidth="1"/>
    <col min="45" max="46" width="6.7109375" bestFit="1" customWidth="1"/>
    <col min="47" max="47" width="9.28515625" bestFit="1" customWidth="1"/>
    <col min="48" max="48" width="9.7109375" bestFit="1" customWidth="1"/>
    <col min="49" max="62" width="8.28515625" bestFit="1" customWidth="1"/>
  </cols>
  <sheetData>
    <row r="3" spans="1:22" x14ac:dyDescent="0.25">
      <c r="Q3" s="149"/>
    </row>
    <row r="4" spans="1:22" x14ac:dyDescent="0.25">
      <c r="A4" t="str" vm="137">
        <f>CUBEMEMBER("ThisWorkbookDataModel","[Measures].[Sum of Износ 2]")</f>
        <v>Sum of Износ 2</v>
      </c>
      <c r="B4" t="s">
        <v>5</v>
      </c>
      <c r="C4">
        <v>2022</v>
      </c>
      <c r="D4" s="185">
        <v>44927</v>
      </c>
      <c r="E4" s="185">
        <v>44958</v>
      </c>
      <c r="F4" s="185">
        <v>44986</v>
      </c>
      <c r="G4" s="185">
        <v>45017</v>
      </c>
      <c r="H4" s="185">
        <v>45047</v>
      </c>
      <c r="I4" s="185">
        <v>45078</v>
      </c>
      <c r="J4" s="185">
        <v>45108</v>
      </c>
      <c r="K4" s="185">
        <v>45139</v>
      </c>
      <c r="L4" s="185">
        <v>45170</v>
      </c>
      <c r="M4" s="185">
        <v>45200</v>
      </c>
      <c r="N4" s="185">
        <v>45231</v>
      </c>
      <c r="O4" s="185">
        <v>45261</v>
      </c>
      <c r="P4"/>
      <c r="Q4"/>
    </row>
    <row r="5" spans="1:22" x14ac:dyDescent="0.25">
      <c r="A5" t="s">
        <v>232</v>
      </c>
      <c r="C5" t="e">
        <f>CUBEMEMBER("ThisWorkbookDataModel","[Amortizacija].[Период].&amp;[2022-12-01T00:00:00]")</f>
        <v>#N/A</v>
      </c>
      <c r="D5" t="str" vm="2116">
        <f>CUBEMEMBER("ThisWorkbookDataModel","[Amortizacija].[Период].&amp;[2023-01-01T00:00:00]")</f>
        <v>1/1/2023</v>
      </c>
      <c r="E5" t="str" vm="2115">
        <f>CUBEMEMBER("ThisWorkbookDataModel","[Amortizacija].[Период].&amp;[2023-02-01T00:00:00]")</f>
        <v>2/1/2023</v>
      </c>
      <c r="F5" t="str" vm="2110">
        <f>CUBEMEMBER("ThisWorkbookDataModel","[Amortizacija].[Период].&amp;[2023-03-01T00:00:00]")</f>
        <v>3/1/2023</v>
      </c>
      <c r="G5" t="str" vm="1450">
        <f>CUBEMEMBER("ThisWorkbookDataModel","[Amortizacija].[Период].&amp;[2023-04-01T00:00:00]")</f>
        <v>4/1/2023</v>
      </c>
      <c r="H5" t="str" vm="1451">
        <f>CUBEMEMBER("ThisWorkbookDataModel","[Amortizacija].[Период].&amp;[2023-05-01T00:00:00]")</f>
        <v>5/1/2023</v>
      </c>
      <c r="I5" t="str" vm="1460">
        <f>CUBEMEMBER("ThisWorkbookDataModel","[Amortizacija].[Период].&amp;[2023-06-01T00:00:00]")</f>
        <v>6/1/2023</v>
      </c>
      <c r="J5" t="str" vm="1447">
        <f>CUBEMEMBER("ThisWorkbookDataModel","[Amortizacija].[Период].&amp;[2023-07-01T00:00:00]")</f>
        <v>7/1/2023</v>
      </c>
      <c r="K5" t="str" vm="1456">
        <f>CUBEMEMBER("ThisWorkbookDataModel","[Amortizacija].[Период].&amp;[2023-08-01T00:00:00]")</f>
        <v>8/1/2023</v>
      </c>
      <c r="L5" t="str" vm="1458">
        <f>CUBEMEMBER("ThisWorkbookDataModel","[Amortizacija].[Период].&amp;[2023-09-01T00:00:00]")</f>
        <v>9/1/2023</v>
      </c>
      <c r="M5" t="str" vm="1445">
        <f>CUBEMEMBER("ThisWorkbookDataModel","[Amortizacija].[Период].&amp;[2023-10-01T00:00:00]")</f>
        <v>10/1/2023</v>
      </c>
      <c r="N5" t="str" vm="1453">
        <f>CUBEMEMBER("ThisWorkbookDataModel","[Amortizacija].[Период].&amp;[2023-11-01T00:00:00]")</f>
        <v>11/1/2023</v>
      </c>
      <c r="O5" t="str" vm="1459">
        <f>CUBEMEMBER("ThisWorkbookDataModel","[Amortizacija].[Период].&amp;[2023-12-01T00:00:00]")</f>
        <v>12/1/2023</v>
      </c>
      <c r="P5"/>
      <c r="Q5"/>
    </row>
    <row r="6" spans="1:22" x14ac:dyDescent="0.25">
      <c r="A6" t="str" vm="176">
        <f>CUBEMEMBER("ThisWorkbookDataModel","[Amortizacija].[Конто].&amp;[43030]")</f>
        <v>43030</v>
      </c>
      <c r="B6" t="s">
        <v>295</v>
      </c>
      <c r="C6">
        <f t="shared" ref="C6:L7" si="0">IF(ISERROR(CUBEVALUE("ThisWorkbookDataModel",$A$4,$A6,C$5)),0,CUBEVALUE("ThisWorkbookDataModel",$A$4,$A6,C$5))</f>
        <v>0</v>
      </c>
      <c r="D6" vm="2120">
        <f t="shared" si="0"/>
        <v>126875</v>
      </c>
      <c r="E6" vm="2127">
        <f t="shared" si="0"/>
        <v>126875</v>
      </c>
      <c r="F6" vm="2111">
        <f t="shared" si="0"/>
        <v>126875</v>
      </c>
      <c r="G6" vm="2112">
        <f>IF(ISERROR(CUBEVALUE("ThisWorkbookDataModel",$A$4,$A6,G$5)),0,CUBEVALUE("ThisWorkbookDataModel",$A$4,$A6,G$5))</f>
        <v>390984</v>
      </c>
      <c r="H6" vm="2113">
        <f t="shared" si="0"/>
        <v>417234</v>
      </c>
      <c r="I6" vm="1462">
        <f t="shared" si="0"/>
        <v>417234</v>
      </c>
      <c r="J6" vm="1474">
        <f t="shared" si="0"/>
        <v>417234</v>
      </c>
      <c r="K6" vm="1471">
        <f t="shared" si="0"/>
        <v>417234</v>
      </c>
      <c r="L6" vm="1464">
        <f t="shared" si="0"/>
        <v>631609</v>
      </c>
      <c r="M6" vm="1461">
        <f t="shared" ref="M6:O7" si="1">IF(ISERROR(CUBEVALUE("ThisWorkbookDataModel",$A$4,$A6,M$5)),0,CUBEVALUE("ThisWorkbookDataModel",$A$4,$A6,M$5))</f>
        <v>881422</v>
      </c>
      <c r="N6" vm="2140">
        <f t="shared" si="1"/>
        <v>881422</v>
      </c>
      <c r="O6" vm="2142">
        <f t="shared" si="1"/>
        <v>1183505</v>
      </c>
      <c r="P6">
        <f>SUM(D6:O6)</f>
        <v>6018503</v>
      </c>
      <c r="Q6" s="36">
        <f t="shared" ref="Q6:Q9" si="2">SUM(D6:O6)</f>
        <v>6018503</v>
      </c>
      <c r="U6">
        <v>5985321</v>
      </c>
      <c r="V6">
        <f>U6-P6</f>
        <v>-33182</v>
      </c>
    </row>
    <row r="7" spans="1:22" x14ac:dyDescent="0.25">
      <c r="A7" t="e">
        <f>CUBEMEMBER("ThisWorkbookDataModel","[Amortizacija].[Конто].&amp;[43031]")</f>
        <v>#N/A</v>
      </c>
      <c r="B7" t="s">
        <v>295</v>
      </c>
      <c r="C7">
        <f t="shared" si="0"/>
        <v>0</v>
      </c>
      <c r="D7">
        <f t="shared" si="0"/>
        <v>0</v>
      </c>
      <c r="E7">
        <f t="shared" si="0"/>
        <v>0</v>
      </c>
      <c r="F7">
        <f t="shared" si="0"/>
        <v>0</v>
      </c>
      <c r="G7">
        <f t="shared" si="0"/>
        <v>0</v>
      </c>
      <c r="H7">
        <f t="shared" si="0"/>
        <v>0</v>
      </c>
      <c r="I7">
        <f t="shared" si="0"/>
        <v>0</v>
      </c>
      <c r="J7">
        <f t="shared" si="0"/>
        <v>0</v>
      </c>
      <c r="K7">
        <f t="shared" si="0"/>
        <v>0</v>
      </c>
      <c r="L7">
        <f t="shared" si="0"/>
        <v>0</v>
      </c>
      <c r="M7">
        <f t="shared" si="1"/>
        <v>0</v>
      </c>
      <c r="N7">
        <f t="shared" si="1"/>
        <v>0</v>
      </c>
      <c r="O7">
        <f t="shared" si="1"/>
        <v>0</v>
      </c>
      <c r="P7">
        <f>SUM(D7:O7)</f>
        <v>0</v>
      </c>
      <c r="Q7" s="36">
        <f t="shared" si="2"/>
        <v>0</v>
      </c>
    </row>
    <row r="8" spans="1:22" x14ac:dyDescent="0.25">
      <c r="A8" t="str" vm="178">
        <f>CUBEMEMBER("ThisWorkbookDataModel","[Amortizacija].[Конто].&amp;[43134]")</f>
        <v>43134</v>
      </c>
      <c r="B8" t="s">
        <v>294</v>
      </c>
      <c r="C8" s="138">
        <v>0</v>
      </c>
      <c r="D8" vm="2125">
        <f t="shared" ref="D8:O10" si="3">IF(ISERROR(CUBEVALUE("ThisWorkbookDataModel",$A$4,$A8,D$5)),0,CUBEVALUE("ThisWorkbookDataModel",$A$4,$A8,D$5))</f>
        <v>24583</v>
      </c>
      <c r="E8" vm="2119">
        <f t="shared" si="3"/>
        <v>24583</v>
      </c>
      <c r="F8" vm="2149">
        <f t="shared" si="3"/>
        <v>396021</v>
      </c>
      <c r="G8" vm="2114">
        <f t="shared" si="3"/>
        <v>414292</v>
      </c>
      <c r="H8" vm="1472">
        <f t="shared" si="3"/>
        <v>414292</v>
      </c>
      <c r="I8" vm="1470">
        <f t="shared" si="3"/>
        <v>414292</v>
      </c>
      <c r="J8" vm="1465">
        <f t="shared" si="3"/>
        <v>414292</v>
      </c>
      <c r="K8" vm="1467">
        <f t="shared" si="3"/>
        <v>660125</v>
      </c>
      <c r="L8" vm="1466">
        <f t="shared" si="3"/>
        <v>660125</v>
      </c>
      <c r="M8" vm="1469">
        <f t="shared" si="3"/>
        <v>660125</v>
      </c>
      <c r="N8" vm="1473">
        <f t="shared" si="3"/>
        <v>857000</v>
      </c>
      <c r="O8" vm="1468">
        <f t="shared" si="3"/>
        <v>988250</v>
      </c>
      <c r="P8">
        <f>SUM(D8:O8)</f>
        <v>5927980</v>
      </c>
      <c r="Q8" s="36">
        <f t="shared" si="2"/>
        <v>5927980</v>
      </c>
      <c r="U8">
        <v>5927795</v>
      </c>
      <c r="V8">
        <f>U8-P8</f>
        <v>-185</v>
      </c>
    </row>
    <row r="9" spans="1:22" x14ac:dyDescent="0.25">
      <c r="A9" t="str" vm="2118">
        <f>CUBEMEMBER("ThisWorkbookDataModel","[Amortizacija].[Конто].&amp;[43136]")</f>
        <v>43136</v>
      </c>
      <c r="B9" t="s">
        <v>294</v>
      </c>
      <c r="C9" s="138">
        <v>0</v>
      </c>
      <c r="D9" s="138">
        <v>0</v>
      </c>
      <c r="E9" s="138">
        <v>0</v>
      </c>
      <c r="F9" s="138">
        <v>0</v>
      </c>
      <c r="G9" s="138">
        <v>0</v>
      </c>
      <c r="H9" s="138">
        <v>0</v>
      </c>
      <c r="I9" vm="2128">
        <f t="shared" si="3"/>
        <v>3125</v>
      </c>
      <c r="J9" vm="2124">
        <f t="shared" si="3"/>
        <v>3125</v>
      </c>
      <c r="K9" vm="2126">
        <f t="shared" si="3"/>
        <v>3125</v>
      </c>
      <c r="L9" vm="2129">
        <f t="shared" si="3"/>
        <v>3125</v>
      </c>
      <c r="M9" vm="2122">
        <f t="shared" si="3"/>
        <v>3125</v>
      </c>
      <c r="N9" vm="2121">
        <f t="shared" si="3"/>
        <v>3125</v>
      </c>
      <c r="O9" vm="2123">
        <f t="shared" si="3"/>
        <v>6979</v>
      </c>
      <c r="P9">
        <f>SUM(D9:O9)</f>
        <v>25729</v>
      </c>
      <c r="Q9" s="36">
        <f t="shared" si="2"/>
        <v>25729</v>
      </c>
      <c r="U9">
        <v>25729</v>
      </c>
      <c r="V9" s="94">
        <f>U9-Q9</f>
        <v>0</v>
      </c>
    </row>
    <row r="10" spans="1:22" x14ac:dyDescent="0.25">
      <c r="A10" t="str" vm="182">
        <f>CUBEMEMBER("ThisWorkbookDataModel","[Amortizacija].[Конто].&amp;[431001]")</f>
        <v>431001</v>
      </c>
      <c r="B10" t="s">
        <v>294</v>
      </c>
      <c r="C10" s="138">
        <v>0</v>
      </c>
      <c r="D10" s="138">
        <v>0</v>
      </c>
      <c r="E10" s="138">
        <v>0</v>
      </c>
      <c r="F10" vm="2147">
        <f t="shared" si="3"/>
        <v>4167</v>
      </c>
      <c r="G10" vm="2143">
        <f t="shared" si="3"/>
        <v>4167</v>
      </c>
      <c r="H10" vm="2145">
        <f t="shared" si="3"/>
        <v>4167</v>
      </c>
      <c r="I10" vm="2148">
        <f t="shared" si="3"/>
        <v>4167</v>
      </c>
      <c r="J10" vm="2150">
        <f t="shared" si="3"/>
        <v>4167</v>
      </c>
      <c r="K10" vm="2144">
        <f t="shared" si="3"/>
        <v>4167</v>
      </c>
      <c r="L10" vm="2146">
        <f t="shared" si="3"/>
        <v>4167</v>
      </c>
      <c r="M10" vm="2139">
        <f t="shared" si="3"/>
        <v>4167</v>
      </c>
      <c r="N10" vm="2141">
        <f t="shared" si="3"/>
        <v>4167</v>
      </c>
      <c r="O10" vm="1463">
        <f t="shared" si="3"/>
        <v>4167</v>
      </c>
      <c r="P10">
        <f>SUM(D10:O10)</f>
        <v>41670</v>
      </c>
      <c r="Q10" s="36">
        <f t="shared" ref="Q10" si="4">SUM(D10:O10)</f>
        <v>41670</v>
      </c>
      <c r="U10">
        <v>41667</v>
      </c>
      <c r="V10" s="94">
        <f>U10-Q10</f>
        <v>-3</v>
      </c>
    </row>
    <row r="11" spans="1:22" x14ac:dyDescent="0.25">
      <c r="A11" t="s">
        <v>153</v>
      </c>
      <c r="C11" s="100">
        <f>SUM(C6:C10)</f>
        <v>0</v>
      </c>
      <c r="D11" s="100">
        <f t="shared" ref="D11:P11" si="5">SUM(D6:D10)</f>
        <v>151458</v>
      </c>
      <c r="E11" s="100">
        <f t="shared" si="5"/>
        <v>151458</v>
      </c>
      <c r="F11" s="100">
        <f t="shared" si="5"/>
        <v>527063</v>
      </c>
      <c r="G11" s="100">
        <f t="shared" si="5"/>
        <v>809443</v>
      </c>
      <c r="H11" s="100">
        <f t="shared" si="5"/>
        <v>835693</v>
      </c>
      <c r="I11" s="100">
        <f t="shared" si="5"/>
        <v>838818</v>
      </c>
      <c r="J11" s="100">
        <f t="shared" si="5"/>
        <v>838818</v>
      </c>
      <c r="K11" s="100">
        <f t="shared" si="5"/>
        <v>1084651</v>
      </c>
      <c r="L11" s="100">
        <f t="shared" si="5"/>
        <v>1299026</v>
      </c>
      <c r="M11" s="100">
        <f t="shared" si="5"/>
        <v>1548839</v>
      </c>
      <c r="N11" s="100">
        <f t="shared" si="5"/>
        <v>1745714</v>
      </c>
      <c r="O11" s="100">
        <f t="shared" si="5"/>
        <v>2182901</v>
      </c>
      <c r="P11" s="100">
        <f t="shared" si="5"/>
        <v>12013882</v>
      </c>
      <c r="Q11" s="36">
        <f>SUM(D11:O11)</f>
        <v>12013882</v>
      </c>
      <c r="U11">
        <v>11980692</v>
      </c>
      <c r="V11" s="94">
        <f>U11-P11</f>
        <v>-33190</v>
      </c>
    </row>
    <row r="12" spans="1:22" x14ac:dyDescent="0.25">
      <c r="V12" s="94"/>
    </row>
    <row r="13" spans="1:22" x14ac:dyDescent="0.25">
      <c r="A13" t="s">
        <v>1302</v>
      </c>
    </row>
    <row r="14" spans="1:22" x14ac:dyDescent="0.25">
      <c r="B14" t="s">
        <v>295</v>
      </c>
      <c r="C14" s="241">
        <f>1607354*2</f>
        <v>3214708</v>
      </c>
      <c r="D14" s="241">
        <v>1607354</v>
      </c>
      <c r="E14" s="36">
        <f>D14</f>
        <v>1607354</v>
      </c>
      <c r="F14" s="36">
        <f t="shared" ref="F14:O14" si="6">E14</f>
        <v>1607354</v>
      </c>
      <c r="G14" s="36">
        <f t="shared" ref="G14" si="7">F14</f>
        <v>1607354</v>
      </c>
      <c r="H14" s="36">
        <f t="shared" ref="H14" si="8">G14</f>
        <v>1607354</v>
      </c>
      <c r="I14" s="36">
        <f t="shared" si="6"/>
        <v>1607354</v>
      </c>
      <c r="J14" s="36">
        <f t="shared" si="6"/>
        <v>1607354</v>
      </c>
      <c r="K14" s="36">
        <f t="shared" si="6"/>
        <v>1607354</v>
      </c>
      <c r="L14" s="36">
        <f t="shared" si="6"/>
        <v>1607354</v>
      </c>
      <c r="M14" s="36">
        <f t="shared" si="6"/>
        <v>1607354</v>
      </c>
      <c r="N14" s="36">
        <f t="shared" si="6"/>
        <v>1607354</v>
      </c>
      <c r="O14" s="36">
        <f t="shared" si="6"/>
        <v>1607354</v>
      </c>
      <c r="P14" s="36">
        <f>SUM(D14:O14)</f>
        <v>19288248</v>
      </c>
      <c r="Q14" s="36">
        <f>SUM(D14:O14)</f>
        <v>19288248</v>
      </c>
    </row>
    <row r="15" spans="1:22" x14ac:dyDescent="0.25">
      <c r="B15" t="s">
        <v>294</v>
      </c>
      <c r="C15" s="241">
        <f>2931861*2</f>
        <v>5863722</v>
      </c>
      <c r="D15" s="241">
        <v>2931861</v>
      </c>
      <c r="E15" s="36">
        <f>D15</f>
        <v>2931861</v>
      </c>
      <c r="F15" s="36">
        <f t="shared" ref="F15:O15" si="9">E15</f>
        <v>2931861</v>
      </c>
      <c r="G15" s="36">
        <f t="shared" si="9"/>
        <v>2931861</v>
      </c>
      <c r="H15" s="36">
        <f t="shared" si="9"/>
        <v>2931861</v>
      </c>
      <c r="I15" s="36">
        <f t="shared" si="9"/>
        <v>2931861</v>
      </c>
      <c r="J15" s="36">
        <f t="shared" si="9"/>
        <v>2931861</v>
      </c>
      <c r="K15" s="36">
        <f t="shared" si="9"/>
        <v>2931861</v>
      </c>
      <c r="L15" s="36">
        <f t="shared" si="9"/>
        <v>2931861</v>
      </c>
      <c r="M15" s="36">
        <f t="shared" si="9"/>
        <v>2931861</v>
      </c>
      <c r="N15" s="36">
        <f t="shared" si="9"/>
        <v>2931861</v>
      </c>
      <c r="O15" s="36">
        <f t="shared" si="9"/>
        <v>2931861</v>
      </c>
      <c r="P15" s="36">
        <f>SUM(D15:O15)</f>
        <v>35182332</v>
      </c>
      <c r="Q15" s="36">
        <f>SUM(D15:O15)</f>
        <v>35182332</v>
      </c>
      <c r="U15" s="94"/>
    </row>
    <row r="16" spans="1:22" s="8" customFormat="1" x14ac:dyDescent="0.25">
      <c r="C16" s="100">
        <f t="shared" ref="C16:P16" si="10">SUM(C14:C15)</f>
        <v>9078430</v>
      </c>
      <c r="D16" s="100">
        <f t="shared" si="10"/>
        <v>4539215</v>
      </c>
      <c r="E16" s="100">
        <f t="shared" si="10"/>
        <v>4539215</v>
      </c>
      <c r="F16" s="100">
        <f t="shared" si="10"/>
        <v>4539215</v>
      </c>
      <c r="G16" s="100">
        <f t="shared" si="10"/>
        <v>4539215</v>
      </c>
      <c r="H16" s="100">
        <f t="shared" si="10"/>
        <v>4539215</v>
      </c>
      <c r="I16" s="100">
        <f t="shared" si="10"/>
        <v>4539215</v>
      </c>
      <c r="J16" s="100">
        <f t="shared" si="10"/>
        <v>4539215</v>
      </c>
      <c r="K16" s="100">
        <f t="shared" si="10"/>
        <v>4539215</v>
      </c>
      <c r="L16" s="100">
        <f t="shared" si="10"/>
        <v>4539215</v>
      </c>
      <c r="M16" s="100">
        <f t="shared" si="10"/>
        <v>4539215</v>
      </c>
      <c r="N16" s="100">
        <f t="shared" si="10"/>
        <v>4539215</v>
      </c>
      <c r="O16" s="100">
        <f t="shared" si="10"/>
        <v>4539215</v>
      </c>
      <c r="P16" s="100">
        <f t="shared" si="10"/>
        <v>54470580</v>
      </c>
      <c r="Q16" s="36">
        <f>SUM(D16:O16)</f>
        <v>54470580</v>
      </c>
    </row>
    <row r="18" spans="1:17" x14ac:dyDescent="0.25">
      <c r="A18" t="s">
        <v>298</v>
      </c>
    </row>
    <row r="19" spans="1:17" x14ac:dyDescent="0.25">
      <c r="B19" t="s">
        <v>295</v>
      </c>
      <c r="C19" s="36">
        <f>C6+C7+C14</f>
        <v>3214708</v>
      </c>
      <c r="D19" s="36">
        <f t="shared" ref="D19:O19" si="11">D6+D7+D14</f>
        <v>1734229</v>
      </c>
      <c r="E19" s="36">
        <f t="shared" si="11"/>
        <v>1734229</v>
      </c>
      <c r="F19" s="36">
        <f t="shared" si="11"/>
        <v>1734229</v>
      </c>
      <c r="G19" s="36">
        <f t="shared" si="11"/>
        <v>1998338</v>
      </c>
      <c r="H19" s="36">
        <f t="shared" si="11"/>
        <v>2024588</v>
      </c>
      <c r="I19" s="36">
        <f t="shared" si="11"/>
        <v>2024588</v>
      </c>
      <c r="J19" s="36">
        <f t="shared" si="11"/>
        <v>2024588</v>
      </c>
      <c r="K19" s="36">
        <f t="shared" si="11"/>
        <v>2024588</v>
      </c>
      <c r="L19" s="36">
        <f t="shared" si="11"/>
        <v>2238963</v>
      </c>
      <c r="M19" s="36">
        <f t="shared" si="11"/>
        <v>2488776</v>
      </c>
      <c r="N19" s="36">
        <f t="shared" si="11"/>
        <v>2488776</v>
      </c>
      <c r="O19" s="36">
        <f t="shared" si="11"/>
        <v>2790859</v>
      </c>
      <c r="P19" s="36">
        <f t="shared" ref="P19" si="12">P6+P7+P14</f>
        <v>25306751</v>
      </c>
      <c r="Q19" s="36">
        <f>SUM(D19:O19)</f>
        <v>25306751</v>
      </c>
    </row>
    <row r="20" spans="1:17" x14ac:dyDescent="0.25">
      <c r="B20" t="s">
        <v>294</v>
      </c>
      <c r="C20" s="36">
        <f>C8+C15+C9+C10</f>
        <v>5863722</v>
      </c>
      <c r="D20" s="36">
        <f t="shared" ref="D20:O20" si="13">D8+D15+D9+D10</f>
        <v>2956444</v>
      </c>
      <c r="E20" s="36">
        <f t="shared" si="13"/>
        <v>2956444</v>
      </c>
      <c r="F20" s="36">
        <f t="shared" si="13"/>
        <v>3332049</v>
      </c>
      <c r="G20" s="36">
        <f t="shared" si="13"/>
        <v>3350320</v>
      </c>
      <c r="H20" s="36">
        <f t="shared" si="13"/>
        <v>3350320</v>
      </c>
      <c r="I20" s="36">
        <f t="shared" si="13"/>
        <v>3353445</v>
      </c>
      <c r="J20" s="36">
        <f t="shared" si="13"/>
        <v>3353445</v>
      </c>
      <c r="K20" s="36">
        <f t="shared" si="13"/>
        <v>3599278</v>
      </c>
      <c r="L20" s="36">
        <f t="shared" si="13"/>
        <v>3599278</v>
      </c>
      <c r="M20" s="36">
        <f t="shared" si="13"/>
        <v>3599278</v>
      </c>
      <c r="N20" s="36">
        <f t="shared" si="13"/>
        <v>3796153</v>
      </c>
      <c r="O20" s="36">
        <f t="shared" si="13"/>
        <v>3931257</v>
      </c>
      <c r="P20" s="36">
        <f>P8+P15+P9+P10</f>
        <v>41177711</v>
      </c>
      <c r="Q20" s="36">
        <f>SUM(D20:O20)</f>
        <v>41177711</v>
      </c>
    </row>
    <row r="21" spans="1:17" x14ac:dyDescent="0.25">
      <c r="C21" s="100">
        <f>SUM(C19:C20)</f>
        <v>9078430</v>
      </c>
      <c r="D21" s="100">
        <f t="shared" ref="D21:P21" si="14">SUM(D19:D20)</f>
        <v>4690673</v>
      </c>
      <c r="E21" s="100">
        <f t="shared" si="14"/>
        <v>4690673</v>
      </c>
      <c r="F21" s="100">
        <f t="shared" si="14"/>
        <v>5066278</v>
      </c>
      <c r="G21" s="100">
        <f t="shared" si="14"/>
        <v>5348658</v>
      </c>
      <c r="H21" s="100">
        <f t="shared" si="14"/>
        <v>5374908</v>
      </c>
      <c r="I21" s="100">
        <f t="shared" si="14"/>
        <v>5378033</v>
      </c>
      <c r="J21" s="100">
        <f t="shared" si="14"/>
        <v>5378033</v>
      </c>
      <c r="K21" s="100">
        <f t="shared" si="14"/>
        <v>5623866</v>
      </c>
      <c r="L21" s="100">
        <f t="shared" si="14"/>
        <v>5838241</v>
      </c>
      <c r="M21" s="100">
        <f t="shared" si="14"/>
        <v>6088054</v>
      </c>
      <c r="N21" s="100">
        <f t="shared" si="14"/>
        <v>6284929</v>
      </c>
      <c r="O21" s="100">
        <f t="shared" si="14"/>
        <v>6722116</v>
      </c>
      <c r="P21" s="100">
        <f t="shared" si="14"/>
        <v>66484462</v>
      </c>
      <c r="Q21" s="36">
        <f>SUM(D21:O21)</f>
        <v>66484462</v>
      </c>
    </row>
    <row r="22" spans="1:17" x14ac:dyDescent="0.25">
      <c r="C22" s="36">
        <f t="shared" ref="C22:O22" si="15">C16+C11</f>
        <v>9078430</v>
      </c>
      <c r="D22" s="36">
        <f t="shared" si="15"/>
        <v>4690673</v>
      </c>
      <c r="E22" s="36">
        <f t="shared" si="15"/>
        <v>4690673</v>
      </c>
      <c r="F22" s="36">
        <f t="shared" si="15"/>
        <v>5066278</v>
      </c>
      <c r="G22" s="36">
        <f t="shared" si="15"/>
        <v>5348658</v>
      </c>
      <c r="H22" s="36">
        <f t="shared" si="15"/>
        <v>5374908</v>
      </c>
      <c r="I22" s="36">
        <f t="shared" si="15"/>
        <v>5378033</v>
      </c>
      <c r="J22" s="36">
        <f t="shared" si="15"/>
        <v>5378033</v>
      </c>
      <c r="K22" s="36">
        <f t="shared" si="15"/>
        <v>5623866</v>
      </c>
      <c r="L22" s="36">
        <f t="shared" si="15"/>
        <v>5838241</v>
      </c>
      <c r="M22" s="36">
        <f t="shared" si="15"/>
        <v>6088054</v>
      </c>
      <c r="N22" s="36">
        <f>N16+N11</f>
        <v>6284929</v>
      </c>
      <c r="O22" s="36">
        <f t="shared" si="15"/>
        <v>6722116</v>
      </c>
      <c r="P22" s="36">
        <f>P16+P11</f>
        <v>66484462</v>
      </c>
    </row>
    <row r="23" spans="1:17" x14ac:dyDescent="0.25">
      <c r="C23" s="36">
        <f>C21-C22</f>
        <v>0</v>
      </c>
      <c r="D23" s="36">
        <f t="shared" ref="D23:P23" si="16">D21-D22</f>
        <v>0</v>
      </c>
      <c r="E23" s="36">
        <f t="shared" si="16"/>
        <v>0</v>
      </c>
      <c r="F23" s="36">
        <f t="shared" si="16"/>
        <v>0</v>
      </c>
      <c r="G23" s="36">
        <f t="shared" si="16"/>
        <v>0</v>
      </c>
      <c r="H23" s="36">
        <f t="shared" si="16"/>
        <v>0</v>
      </c>
      <c r="I23" s="36">
        <f t="shared" si="16"/>
        <v>0</v>
      </c>
      <c r="J23" s="36">
        <f t="shared" si="16"/>
        <v>0</v>
      </c>
      <c r="K23" s="36">
        <f t="shared" si="16"/>
        <v>0</v>
      </c>
      <c r="L23" s="36">
        <f t="shared" si="16"/>
        <v>0</v>
      </c>
      <c r="M23" s="36">
        <f t="shared" si="16"/>
        <v>0</v>
      </c>
      <c r="N23" s="36">
        <f t="shared" si="16"/>
        <v>0</v>
      </c>
      <c r="O23" s="36">
        <f t="shared" si="16"/>
        <v>0</v>
      </c>
      <c r="P23" s="36">
        <f t="shared" si="16"/>
        <v>0</v>
      </c>
    </row>
    <row r="24" spans="1:17" x14ac:dyDescent="0.25">
      <c r="P24" s="36">
        <v>49009986</v>
      </c>
    </row>
    <row r="25" spans="1:17" x14ac:dyDescent="0.25">
      <c r="P25" s="36">
        <f>P16-P24</f>
        <v>5460594</v>
      </c>
    </row>
  </sheetData>
  <pageMargins left="0.7" right="0.7" top="0.75" bottom="0.75" header="0.3" footer="0.3"/>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M322"/>
  <sheetViews>
    <sheetView topLeftCell="A19" workbookViewId="0">
      <selection activeCell="A19" sqref="A19"/>
    </sheetView>
  </sheetViews>
  <sheetFormatPr defaultRowHeight="15" x14ac:dyDescent="0.25"/>
  <cols>
    <col min="1" max="1" width="56.7109375" bestFit="1" customWidth="1"/>
    <col min="2" max="2" width="33.7109375" bestFit="1" customWidth="1"/>
    <col min="3" max="4" width="10.140625" bestFit="1" customWidth="1"/>
    <col min="5" max="5" width="10.85546875" bestFit="1" customWidth="1"/>
    <col min="6" max="7" width="9.85546875" bestFit="1" customWidth="1"/>
    <col min="8" max="9" width="10.85546875" bestFit="1" customWidth="1"/>
    <col min="10" max="11" width="9.85546875" bestFit="1" customWidth="1"/>
    <col min="12" max="12" width="11.28515625" bestFit="1" customWidth="1"/>
    <col min="13" max="13" width="10.140625" bestFit="1" customWidth="1"/>
    <col min="14" max="15" width="11.28515625" bestFit="1" customWidth="1"/>
    <col min="16" max="16" width="10.85546875" bestFit="1" customWidth="1"/>
    <col min="17" max="17" width="9.85546875" bestFit="1" customWidth="1"/>
    <col min="18" max="18" width="10.85546875" bestFit="1" customWidth="1"/>
    <col min="19" max="19" width="9.85546875" bestFit="1" customWidth="1"/>
    <col min="20" max="20" width="10.85546875" bestFit="1" customWidth="1"/>
    <col min="21" max="21" width="11.140625" bestFit="1" customWidth="1"/>
    <col min="22" max="22" width="12.7109375" bestFit="1" customWidth="1"/>
    <col min="23" max="23" width="10.85546875" bestFit="1" customWidth="1"/>
    <col min="24" max="24" width="11.140625" bestFit="1" customWidth="1"/>
    <col min="25" max="25" width="11.28515625" bestFit="1" customWidth="1"/>
    <col min="26" max="26" width="13.140625" bestFit="1" customWidth="1"/>
    <col min="27" max="27" width="10.28515625" bestFit="1" customWidth="1"/>
    <col min="28" max="29" width="10.140625" bestFit="1" customWidth="1"/>
    <col min="30" max="30" width="13.140625" bestFit="1" customWidth="1"/>
    <col min="31" max="31" width="10.28515625" bestFit="1" customWidth="1"/>
    <col min="32" max="33" width="10.140625" bestFit="1" customWidth="1"/>
    <col min="34" max="34" width="13.140625" bestFit="1" customWidth="1"/>
    <col min="35" max="35" width="11.140625" bestFit="1" customWidth="1"/>
    <col min="36" max="36" width="13.140625" bestFit="1" customWidth="1"/>
    <col min="37" max="37" width="12.7109375" bestFit="1" customWidth="1"/>
    <col min="38" max="38" width="9" bestFit="1" customWidth="1"/>
    <col min="39" max="42" width="11" bestFit="1" customWidth="1"/>
  </cols>
  <sheetData>
    <row r="1" spans="1:12" x14ac:dyDescent="0.25">
      <c r="A1" s="4" t="s">
        <v>152</v>
      </c>
      <c r="B1" t="s" vm="118">
        <v>248</v>
      </c>
    </row>
    <row r="2" spans="1:12" x14ac:dyDescent="0.25">
      <c r="A2" s="4" t="s">
        <v>244</v>
      </c>
      <c r="B2" t="s" vm="121">
        <v>272</v>
      </c>
    </row>
    <row r="3" spans="1:12" x14ac:dyDescent="0.25">
      <c r="A3" s="4" t="s">
        <v>151</v>
      </c>
      <c r="B3" t="s" vm="874">
        <v>570</v>
      </c>
    </row>
    <row r="5" spans="1:12" x14ac:dyDescent="0.25">
      <c r="A5" s="4" t="s">
        <v>136</v>
      </c>
      <c r="B5" s="4" t="s">
        <v>137</v>
      </c>
    </row>
    <row r="6" spans="1:12" x14ac:dyDescent="0.25">
      <c r="A6" s="4" t="s">
        <v>242</v>
      </c>
      <c r="B6">
        <v>1</v>
      </c>
      <c r="C6">
        <v>2</v>
      </c>
      <c r="D6">
        <v>3</v>
      </c>
      <c r="E6">
        <v>4</v>
      </c>
      <c r="F6">
        <v>5</v>
      </c>
      <c r="G6">
        <v>6</v>
      </c>
      <c r="H6">
        <v>7</v>
      </c>
      <c r="I6">
        <v>8</v>
      </c>
      <c r="J6">
        <v>9</v>
      </c>
      <c r="K6">
        <v>10</v>
      </c>
      <c r="L6" t="s">
        <v>138</v>
      </c>
    </row>
    <row r="7" spans="1:12" x14ac:dyDescent="0.25">
      <c r="A7" s="6" t="s">
        <v>980</v>
      </c>
      <c r="B7" s="252">
        <v>129368378</v>
      </c>
      <c r="C7" s="252">
        <v>65637521</v>
      </c>
      <c r="D7" s="252">
        <v>80305302</v>
      </c>
      <c r="E7" s="252">
        <v>-10116554</v>
      </c>
      <c r="F7" s="252">
        <v>-2473102</v>
      </c>
      <c r="G7" s="252">
        <v>-2739614</v>
      </c>
      <c r="H7" s="252">
        <v>-23048879</v>
      </c>
      <c r="I7" s="252">
        <v>-10066015</v>
      </c>
      <c r="J7" s="252">
        <v>-4430570</v>
      </c>
      <c r="K7" s="252">
        <v>-3016893</v>
      </c>
      <c r="L7" s="176">
        <v>219419574</v>
      </c>
    </row>
    <row r="8" spans="1:12" x14ac:dyDescent="0.25">
      <c r="A8" s="6" t="s">
        <v>981</v>
      </c>
      <c r="B8" s="1">
        <v>0</v>
      </c>
      <c r="C8" s="1">
        <v>0</v>
      </c>
      <c r="D8" s="1">
        <v>0</v>
      </c>
      <c r="E8" s="1">
        <v>0</v>
      </c>
      <c r="F8" s="1">
        <v>0</v>
      </c>
      <c r="G8" s="1">
        <v>0</v>
      </c>
      <c r="H8" s="1">
        <v>0</v>
      </c>
      <c r="I8" s="1">
        <v>0</v>
      </c>
      <c r="J8" s="1">
        <v>0</v>
      </c>
      <c r="K8" s="1">
        <v>0</v>
      </c>
      <c r="L8" s="313">
        <v>0</v>
      </c>
    </row>
    <row r="9" spans="1:12" x14ac:dyDescent="0.25">
      <c r="A9" s="6" t="s">
        <v>982</v>
      </c>
      <c r="B9" s="176">
        <v>21754452</v>
      </c>
      <c r="C9" s="176">
        <v>-2058753</v>
      </c>
      <c r="D9" s="176">
        <v>13234</v>
      </c>
      <c r="E9" s="176">
        <v>-634770</v>
      </c>
      <c r="F9" s="176">
        <v>9901</v>
      </c>
      <c r="G9" s="176">
        <v>149784</v>
      </c>
      <c r="H9" s="176">
        <v>-754257</v>
      </c>
      <c r="I9" s="176">
        <v>-10614</v>
      </c>
      <c r="J9" s="176">
        <v>115955</v>
      </c>
      <c r="K9" s="176">
        <v>-534182</v>
      </c>
      <c r="L9" s="176">
        <v>18050750</v>
      </c>
    </row>
    <row r="10" spans="1:12" x14ac:dyDescent="0.25">
      <c r="A10" s="6" t="s">
        <v>983</v>
      </c>
      <c r="B10" s="1">
        <v>98231476</v>
      </c>
      <c r="C10" s="1">
        <v>-392981</v>
      </c>
      <c r="D10" s="1">
        <v>-392981</v>
      </c>
      <c r="E10" s="1">
        <v>-392981</v>
      </c>
      <c r="F10" s="1">
        <v>-392981</v>
      </c>
      <c r="G10" s="1">
        <v>-392981</v>
      </c>
      <c r="H10" s="1">
        <v>-392981</v>
      </c>
      <c r="I10" s="1">
        <v>-392981</v>
      </c>
      <c r="J10" s="1">
        <v>-392981</v>
      </c>
      <c r="K10" s="1">
        <v>-392981</v>
      </c>
      <c r="L10" s="176">
        <v>94694647</v>
      </c>
    </row>
    <row r="11" spans="1:12" x14ac:dyDescent="0.25">
      <c r="A11" s="6" t="s">
        <v>984</v>
      </c>
      <c r="B11" s="176">
        <v>86277800</v>
      </c>
      <c r="C11" s="176">
        <v>0</v>
      </c>
      <c r="D11" s="176">
        <v>0</v>
      </c>
      <c r="E11" s="176">
        <v>0</v>
      </c>
      <c r="F11" s="176">
        <v>0</v>
      </c>
      <c r="G11" s="176">
        <v>0</v>
      </c>
      <c r="H11" s="176">
        <v>0</v>
      </c>
      <c r="I11" s="176">
        <v>0</v>
      </c>
      <c r="J11" s="176">
        <v>0</v>
      </c>
      <c r="K11" s="176">
        <v>0</v>
      </c>
      <c r="L11" s="176">
        <v>86277800</v>
      </c>
    </row>
    <row r="12" spans="1:12" x14ac:dyDescent="0.25">
      <c r="A12" s="6" t="s">
        <v>985</v>
      </c>
      <c r="B12" s="252">
        <v>2810920</v>
      </c>
      <c r="C12" s="252">
        <v>0</v>
      </c>
      <c r="D12" s="252">
        <v>-2184</v>
      </c>
      <c r="E12" s="252">
        <v>-18440</v>
      </c>
      <c r="F12" s="252">
        <v>-123733</v>
      </c>
      <c r="G12" s="252">
        <v>123049</v>
      </c>
      <c r="H12" s="252">
        <v>19123</v>
      </c>
      <c r="I12" s="252">
        <v>1935</v>
      </c>
      <c r="J12" s="252">
        <v>-250</v>
      </c>
      <c r="K12" s="252">
        <v>38000</v>
      </c>
      <c r="L12" s="176">
        <v>2848420</v>
      </c>
    </row>
    <row r="13" spans="1:12" x14ac:dyDescent="0.25">
      <c r="A13" s="6" t="s">
        <v>986</v>
      </c>
      <c r="B13" s="1">
        <v>126859046</v>
      </c>
      <c r="C13" s="1">
        <v>0</v>
      </c>
      <c r="D13" s="1">
        <v>0</v>
      </c>
      <c r="E13" s="1">
        <v>0</v>
      </c>
      <c r="F13" s="1">
        <v>0</v>
      </c>
      <c r="G13" s="1">
        <v>0</v>
      </c>
      <c r="H13" s="1">
        <v>0</v>
      </c>
      <c r="I13" s="1">
        <v>0</v>
      </c>
      <c r="J13" s="1">
        <v>0</v>
      </c>
      <c r="K13" s="1">
        <v>0</v>
      </c>
      <c r="L13" s="313">
        <v>126859046</v>
      </c>
    </row>
    <row r="14" spans="1:12" x14ac:dyDescent="0.25">
      <c r="A14" s="6" t="s">
        <v>987</v>
      </c>
      <c r="B14" s="1">
        <v>292646501</v>
      </c>
      <c r="C14" s="1">
        <v>0</v>
      </c>
      <c r="D14" s="1">
        <v>0</v>
      </c>
      <c r="E14" s="1">
        <v>0</v>
      </c>
      <c r="F14" s="1">
        <v>0</v>
      </c>
      <c r="G14" s="1">
        <v>0</v>
      </c>
      <c r="H14" s="1">
        <v>0</v>
      </c>
      <c r="I14" s="1">
        <v>0</v>
      </c>
      <c r="J14" s="1">
        <v>0</v>
      </c>
      <c r="K14" s="1">
        <v>0</v>
      </c>
      <c r="L14" s="313">
        <v>292646501</v>
      </c>
    </row>
    <row r="15" spans="1:12" x14ac:dyDescent="0.25">
      <c r="A15" s="6" t="s">
        <v>988</v>
      </c>
      <c r="B15" s="1">
        <v>162977979</v>
      </c>
      <c r="C15" s="1">
        <v>0</v>
      </c>
      <c r="D15" s="1">
        <v>0</v>
      </c>
      <c r="E15" s="1">
        <v>0</v>
      </c>
      <c r="F15" s="1">
        <v>0</v>
      </c>
      <c r="G15" s="1">
        <v>0</v>
      </c>
      <c r="H15" s="1">
        <v>0</v>
      </c>
      <c r="I15" s="1">
        <v>0</v>
      </c>
      <c r="J15" s="1">
        <v>0</v>
      </c>
      <c r="K15" s="1">
        <v>0</v>
      </c>
      <c r="L15" s="176">
        <v>162977979</v>
      </c>
    </row>
    <row r="16" spans="1:12" x14ac:dyDescent="0.25">
      <c r="A16" s="6" t="s">
        <v>989</v>
      </c>
      <c r="B16" s="1">
        <v>0</v>
      </c>
      <c r="C16" s="1">
        <v>0</v>
      </c>
      <c r="D16" s="1">
        <v>0</v>
      </c>
      <c r="E16" s="1">
        <v>0</v>
      </c>
      <c r="F16" s="1">
        <v>0</v>
      </c>
      <c r="G16" s="1">
        <v>0</v>
      </c>
      <c r="H16" s="1">
        <v>0</v>
      </c>
      <c r="I16" s="1">
        <v>0</v>
      </c>
      <c r="J16" s="1">
        <v>0</v>
      </c>
      <c r="K16" s="1">
        <v>0</v>
      </c>
      <c r="L16" s="313">
        <v>0</v>
      </c>
    </row>
    <row r="17" spans="1:13" x14ac:dyDescent="0.25">
      <c r="A17" s="6" t="s">
        <v>990</v>
      </c>
      <c r="B17" s="1">
        <v>0</v>
      </c>
      <c r="C17" s="1">
        <v>0</v>
      </c>
      <c r="D17" s="1">
        <v>0</v>
      </c>
      <c r="E17" s="1">
        <v>0</v>
      </c>
      <c r="F17" s="1">
        <v>0</v>
      </c>
      <c r="G17" s="1">
        <v>0</v>
      </c>
      <c r="H17" s="1">
        <v>0</v>
      </c>
      <c r="I17" s="1">
        <v>0</v>
      </c>
      <c r="J17" s="1">
        <v>0</v>
      </c>
      <c r="K17" s="1">
        <v>0</v>
      </c>
      <c r="L17" s="313">
        <v>0</v>
      </c>
    </row>
    <row r="18" spans="1:13" x14ac:dyDescent="0.25">
      <c r="A18" s="6" t="s">
        <v>991</v>
      </c>
      <c r="B18" s="252">
        <v>943451</v>
      </c>
      <c r="C18" s="252">
        <v>32226</v>
      </c>
      <c r="D18" s="252">
        <v>0</v>
      </c>
      <c r="E18" s="252">
        <v>361482</v>
      </c>
      <c r="F18" s="252">
        <v>186241</v>
      </c>
      <c r="G18" s="252">
        <v>0</v>
      </c>
      <c r="H18" s="252">
        <v>-8210</v>
      </c>
      <c r="I18" s="252">
        <v>206877</v>
      </c>
      <c r="J18" s="252">
        <v>-96889</v>
      </c>
      <c r="K18" s="252">
        <v>-140551</v>
      </c>
      <c r="L18" s="313">
        <v>1484627</v>
      </c>
      <c r="M18" s="252">
        <v>6753</v>
      </c>
    </row>
    <row r="19" spans="1:13" x14ac:dyDescent="0.25">
      <c r="A19" s="6" t="s">
        <v>992</v>
      </c>
      <c r="B19" s="252">
        <v>593117348</v>
      </c>
      <c r="C19" s="252">
        <v>-2826514</v>
      </c>
      <c r="D19" s="252">
        <v>-2826514</v>
      </c>
      <c r="E19" s="252">
        <v>-2848013</v>
      </c>
      <c r="F19" s="252">
        <v>-2847244</v>
      </c>
      <c r="G19" s="252">
        <v>-2847244</v>
      </c>
      <c r="H19" s="252">
        <v>4780639</v>
      </c>
      <c r="I19" s="252">
        <v>-2855758</v>
      </c>
      <c r="J19" s="252">
        <v>-2928321</v>
      </c>
      <c r="K19" s="252">
        <v>-2931861</v>
      </c>
      <c r="L19" s="176">
        <v>574986518</v>
      </c>
    </row>
    <row r="20" spans="1:13" x14ac:dyDescent="0.25">
      <c r="A20" s="6" t="s">
        <v>993</v>
      </c>
      <c r="B20" s="252">
        <v>57936411</v>
      </c>
      <c r="C20" s="252">
        <v>-1542864</v>
      </c>
      <c r="D20" s="252">
        <v>-1542864</v>
      </c>
      <c r="E20" s="252">
        <v>-1545322</v>
      </c>
      <c r="F20" s="252">
        <v>-1545322</v>
      </c>
      <c r="G20" s="252">
        <v>-1545322</v>
      </c>
      <c r="H20" s="252">
        <v>1432221</v>
      </c>
      <c r="I20" s="252">
        <v>1207958</v>
      </c>
      <c r="J20" s="252">
        <v>620078</v>
      </c>
      <c r="K20" s="252">
        <v>-1607354</v>
      </c>
      <c r="L20" s="176">
        <v>51867620</v>
      </c>
    </row>
    <row r="304" spans="1:12" x14ac:dyDescent="0.25">
      <c r="A304" t="s">
        <v>980</v>
      </c>
      <c r="B304" s="36">
        <v>77220704</v>
      </c>
      <c r="C304" s="36">
        <v>67317595</v>
      </c>
      <c r="D304" s="36">
        <v>60207498</v>
      </c>
      <c r="E304" s="36">
        <v>-10806701</v>
      </c>
      <c r="F304" s="36">
        <v>13312504</v>
      </c>
      <c r="G304" s="36">
        <v>-19126252</v>
      </c>
      <c r="H304" s="36">
        <v>-5069079</v>
      </c>
      <c r="I304" s="36">
        <v>-12811104</v>
      </c>
      <c r="J304" s="36">
        <v>-6039823</v>
      </c>
      <c r="K304" s="36">
        <v>-9572541</v>
      </c>
      <c r="L304" s="36">
        <v>154632801</v>
      </c>
    </row>
    <row r="305" spans="1:12" x14ac:dyDescent="0.25">
      <c r="A305" t="s">
        <v>981</v>
      </c>
      <c r="B305" s="36">
        <v>0</v>
      </c>
      <c r="C305" s="36">
        <v>0</v>
      </c>
      <c r="D305" s="36">
        <v>0</v>
      </c>
      <c r="E305" s="36">
        <v>0</v>
      </c>
      <c r="F305" s="36">
        <v>0</v>
      </c>
      <c r="G305" s="36">
        <v>0</v>
      </c>
      <c r="H305" s="36">
        <v>0</v>
      </c>
      <c r="I305" s="36">
        <v>0</v>
      </c>
      <c r="J305" s="36">
        <v>0</v>
      </c>
      <c r="K305" s="36">
        <v>0</v>
      </c>
      <c r="L305" s="36">
        <v>0</v>
      </c>
    </row>
    <row r="306" spans="1:12" x14ac:dyDescent="0.25">
      <c r="A306" t="s">
        <v>982</v>
      </c>
      <c r="B306" s="36">
        <v>24705151</v>
      </c>
      <c r="C306" s="36">
        <v>-1816480</v>
      </c>
      <c r="D306" s="36">
        <v>-236267</v>
      </c>
      <c r="E306" s="36">
        <v>-19131709</v>
      </c>
      <c r="F306" s="36">
        <v>18876781</v>
      </c>
      <c r="G306" s="36">
        <v>-490439</v>
      </c>
      <c r="H306" s="36">
        <v>-132809</v>
      </c>
      <c r="I306" s="36">
        <v>213213</v>
      </c>
      <c r="J306" s="36">
        <v>570561</v>
      </c>
      <c r="K306" s="36">
        <v>168451</v>
      </c>
      <c r="L306" s="36">
        <v>22726453</v>
      </c>
    </row>
    <row r="307" spans="1:12" x14ac:dyDescent="0.25">
      <c r="A307" t="s">
        <v>983</v>
      </c>
      <c r="B307" s="36">
        <v>102965817</v>
      </c>
      <c r="C307" s="36">
        <v>-392981</v>
      </c>
      <c r="D307" s="36">
        <v>-392981</v>
      </c>
      <c r="E307" s="36">
        <v>-392981</v>
      </c>
      <c r="F307" s="36">
        <v>-392981</v>
      </c>
      <c r="G307" s="36">
        <v>-392981</v>
      </c>
      <c r="H307" s="36">
        <v>-392981</v>
      </c>
      <c r="I307" s="36">
        <v>-392981</v>
      </c>
      <c r="J307" s="36">
        <v>-392981</v>
      </c>
      <c r="K307" s="36">
        <v>-392981</v>
      </c>
      <c r="L307" s="36">
        <v>99428988</v>
      </c>
    </row>
    <row r="308" spans="1:12" x14ac:dyDescent="0.25">
      <c r="A308" t="s">
        <v>984</v>
      </c>
      <c r="B308" s="36">
        <v>86079840</v>
      </c>
      <c r="C308" s="36">
        <v>0</v>
      </c>
      <c r="D308" s="36">
        <v>0</v>
      </c>
      <c r="E308" s="36">
        <v>0</v>
      </c>
      <c r="F308" s="36">
        <v>0</v>
      </c>
      <c r="G308" s="36">
        <v>0</v>
      </c>
      <c r="H308" s="36">
        <v>0</v>
      </c>
      <c r="I308" s="36">
        <v>0</v>
      </c>
      <c r="J308" s="36">
        <v>0</v>
      </c>
      <c r="K308" s="36">
        <v>0</v>
      </c>
      <c r="L308" s="36">
        <v>86079840</v>
      </c>
    </row>
    <row r="309" spans="1:12" x14ac:dyDescent="0.25">
      <c r="A309" t="s">
        <v>985</v>
      </c>
      <c r="B309" s="36">
        <v>4246940</v>
      </c>
      <c r="C309" s="36">
        <v>-19205</v>
      </c>
      <c r="D309" s="36">
        <v>16512</v>
      </c>
      <c r="E309" s="36">
        <v>-1678</v>
      </c>
      <c r="F309" s="36">
        <v>-41250</v>
      </c>
      <c r="G309" s="36">
        <v>45371</v>
      </c>
      <c r="H309" s="36">
        <v>250</v>
      </c>
      <c r="I309" s="36">
        <v>1935</v>
      </c>
      <c r="J309" s="36">
        <v>0</v>
      </c>
      <c r="K309" s="36">
        <v>-67814</v>
      </c>
      <c r="L309" s="36">
        <v>4181061</v>
      </c>
    </row>
    <row r="310" spans="1:12" x14ac:dyDescent="0.25">
      <c r="A310" t="s">
        <v>986</v>
      </c>
      <c r="B310" s="36">
        <v>126859046</v>
      </c>
      <c r="C310" s="36">
        <v>0</v>
      </c>
      <c r="D310" s="36">
        <v>0</v>
      </c>
      <c r="E310" s="36">
        <v>0</v>
      </c>
      <c r="F310" s="36">
        <v>0</v>
      </c>
      <c r="G310" s="36">
        <v>0</v>
      </c>
      <c r="H310" s="36">
        <v>0</v>
      </c>
      <c r="I310" s="36">
        <v>0</v>
      </c>
      <c r="J310" s="36">
        <v>0</v>
      </c>
      <c r="K310" s="36">
        <v>0</v>
      </c>
      <c r="L310" s="36">
        <v>126859046</v>
      </c>
    </row>
    <row r="311" spans="1:12" x14ac:dyDescent="0.25">
      <c r="A311" t="s">
        <v>987</v>
      </c>
      <c r="B311" s="36">
        <v>292646501</v>
      </c>
      <c r="C311" s="36">
        <v>0</v>
      </c>
      <c r="D311" s="36">
        <v>0</v>
      </c>
      <c r="E311" s="36">
        <v>0</v>
      </c>
      <c r="F311" s="36">
        <v>0</v>
      </c>
      <c r="G311" s="36">
        <v>0</v>
      </c>
      <c r="H311" s="36">
        <v>0</v>
      </c>
      <c r="I311" s="36">
        <v>0</v>
      </c>
      <c r="J311" s="36">
        <v>0</v>
      </c>
      <c r="K311" s="36">
        <v>0</v>
      </c>
      <c r="L311" s="36">
        <v>292646501</v>
      </c>
    </row>
    <row r="312" spans="1:12" x14ac:dyDescent="0.25">
      <c r="A312" t="s">
        <v>988</v>
      </c>
      <c r="B312" s="36">
        <v>121393152</v>
      </c>
      <c r="C312" s="36">
        <v>0</v>
      </c>
      <c r="D312" s="36">
        <v>0</v>
      </c>
      <c r="E312" s="36">
        <v>0</v>
      </c>
      <c r="F312" s="36">
        <v>0</v>
      </c>
      <c r="G312" s="36">
        <v>0</v>
      </c>
      <c r="H312" s="36">
        <v>0</v>
      </c>
      <c r="I312" s="36">
        <v>0</v>
      </c>
      <c r="J312" s="36">
        <v>0</v>
      </c>
      <c r="K312" s="36">
        <v>0</v>
      </c>
      <c r="L312" s="36">
        <v>121393152</v>
      </c>
    </row>
    <row r="313" spans="1:12" x14ac:dyDescent="0.25">
      <c r="A313" t="s">
        <v>989</v>
      </c>
      <c r="B313" s="36">
        <v>0</v>
      </c>
      <c r="C313" s="36">
        <v>0</v>
      </c>
      <c r="D313" s="36">
        <v>0</v>
      </c>
      <c r="E313" s="36">
        <v>0</v>
      </c>
      <c r="F313" s="36">
        <v>0</v>
      </c>
      <c r="G313" s="36">
        <v>0</v>
      </c>
      <c r="H313" s="36">
        <v>0</v>
      </c>
      <c r="I313" s="36">
        <v>0</v>
      </c>
      <c r="J313" s="36">
        <v>0</v>
      </c>
      <c r="K313" s="36">
        <v>0</v>
      </c>
      <c r="L313" s="36">
        <v>0</v>
      </c>
    </row>
    <row r="314" spans="1:12" x14ac:dyDescent="0.25">
      <c r="A314" t="s">
        <v>990</v>
      </c>
      <c r="B314" s="36">
        <v>0</v>
      </c>
      <c r="C314" s="36">
        <v>0</v>
      </c>
      <c r="D314" s="36">
        <v>0</v>
      </c>
      <c r="E314" s="36">
        <v>0</v>
      </c>
      <c r="F314" s="36">
        <v>0</v>
      </c>
      <c r="G314" s="36">
        <v>0</v>
      </c>
      <c r="H314" s="36">
        <v>0</v>
      </c>
      <c r="I314" s="36">
        <v>0</v>
      </c>
      <c r="J314" s="36">
        <v>0</v>
      </c>
      <c r="K314" s="36">
        <v>0</v>
      </c>
      <c r="L314" s="36">
        <v>0</v>
      </c>
    </row>
    <row r="315" spans="1:12" x14ac:dyDescent="0.25">
      <c r="A315" t="s">
        <v>991</v>
      </c>
      <c r="B315" s="36">
        <v>1379181</v>
      </c>
      <c r="C315" s="36">
        <v>150432</v>
      </c>
      <c r="D315" s="36">
        <v>-126971</v>
      </c>
      <c r="E315" s="36">
        <v>36988</v>
      </c>
      <c r="F315" s="36">
        <v>-190381</v>
      </c>
      <c r="G315" s="36">
        <v>177272</v>
      </c>
      <c r="H315" s="36">
        <v>-120950</v>
      </c>
      <c r="I315" s="36">
        <v>39708</v>
      </c>
      <c r="J315" s="36">
        <v>-85671</v>
      </c>
      <c r="K315" s="36">
        <v>-179418</v>
      </c>
      <c r="L315" s="36">
        <v>1080190</v>
      </c>
    </row>
    <row r="316" spans="1:12" x14ac:dyDescent="0.25">
      <c r="A316" t="s">
        <v>992</v>
      </c>
      <c r="B316" s="36">
        <v>604443071</v>
      </c>
      <c r="C316" s="36">
        <v>-2430269</v>
      </c>
      <c r="D316" s="36">
        <v>-2421359</v>
      </c>
      <c r="E316" s="36">
        <v>-2427863</v>
      </c>
      <c r="F316" s="36">
        <v>-2427863</v>
      </c>
      <c r="G316" s="36">
        <v>14043405</v>
      </c>
      <c r="H316" s="36">
        <v>-2482620</v>
      </c>
      <c r="I316" s="36">
        <v>-2696353</v>
      </c>
      <c r="J316" s="36">
        <v>-1146557</v>
      </c>
      <c r="K316" s="36">
        <v>-1471449</v>
      </c>
      <c r="L316" s="36">
        <v>600982143</v>
      </c>
    </row>
    <row r="317" spans="1:12" x14ac:dyDescent="0.25">
      <c r="A317" t="s">
        <v>993</v>
      </c>
      <c r="B317" s="36">
        <v>57898197</v>
      </c>
      <c r="C317" s="36">
        <v>-590840</v>
      </c>
      <c r="D317" s="36">
        <v>-590840</v>
      </c>
      <c r="E317" s="36">
        <v>-630806</v>
      </c>
      <c r="F317" s="36">
        <v>-630806</v>
      </c>
      <c r="G317" s="36">
        <v>-630806</v>
      </c>
      <c r="H317" s="36">
        <v>-630806</v>
      </c>
      <c r="I317" s="36">
        <v>-630806</v>
      </c>
      <c r="J317" s="36">
        <v>-1333936</v>
      </c>
      <c r="K317" s="36">
        <v>-49252</v>
      </c>
      <c r="L317" s="36">
        <v>52179299</v>
      </c>
    </row>
    <row r="318" spans="1:12" x14ac:dyDescent="0.25">
      <c r="B318" s="36"/>
      <c r="C318" s="36"/>
      <c r="D318" s="36"/>
      <c r="E318" s="36"/>
      <c r="F318" s="36"/>
      <c r="G318" s="36"/>
      <c r="H318" s="36"/>
      <c r="I318" s="36"/>
      <c r="J318" s="36"/>
      <c r="K318" s="36"/>
      <c r="L318" s="36"/>
    </row>
    <row r="319" spans="1:12" x14ac:dyDescent="0.25">
      <c r="B319" s="36"/>
      <c r="C319" s="36"/>
      <c r="D319" s="36"/>
      <c r="E319" s="36"/>
      <c r="F319" s="36"/>
      <c r="G319" s="36"/>
      <c r="H319" s="36"/>
      <c r="I319" s="36"/>
      <c r="J319" s="36"/>
      <c r="K319" s="36"/>
      <c r="L319" s="36"/>
    </row>
    <row r="320" spans="1:12" x14ac:dyDescent="0.25">
      <c r="B320" s="36">
        <f>B304+B305+B309+B315+B316+B317</f>
        <v>745188093</v>
      </c>
      <c r="C320" s="36">
        <f t="shared" ref="C320:L320" si="0">C304+C305+C309+C315+C316+C317</f>
        <v>64427713</v>
      </c>
      <c r="D320" s="36">
        <f t="shared" si="0"/>
        <v>57084840</v>
      </c>
      <c r="E320" s="36">
        <f t="shared" si="0"/>
        <v>-13830060</v>
      </c>
      <c r="F320" s="36">
        <f t="shared" si="0"/>
        <v>10022204</v>
      </c>
      <c r="G320" s="36">
        <f t="shared" si="0"/>
        <v>-5491010</v>
      </c>
      <c r="H320" s="36">
        <f t="shared" si="0"/>
        <v>-8303205</v>
      </c>
      <c r="I320" s="36">
        <f t="shared" si="0"/>
        <v>-16096620</v>
      </c>
      <c r="J320" s="36">
        <f t="shared" si="0"/>
        <v>-8605987</v>
      </c>
      <c r="K320" s="36">
        <f t="shared" si="0"/>
        <v>-11340474</v>
      </c>
      <c r="L320" s="36">
        <f t="shared" si="0"/>
        <v>813055494</v>
      </c>
    </row>
    <row r="321" spans="2:12" x14ac:dyDescent="0.25">
      <c r="B321" s="94">
        <f>B306+B307+B308+B314+B310+B311+B312</f>
        <v>754649507</v>
      </c>
      <c r="C321" s="94">
        <f t="shared" ref="C321:L321" si="1">C306+C307+C308+C314+C310+C311+C312</f>
        <v>-2209461</v>
      </c>
      <c r="D321" s="94">
        <f t="shared" si="1"/>
        <v>-629248</v>
      </c>
      <c r="E321" s="94">
        <f t="shared" si="1"/>
        <v>-19524690</v>
      </c>
      <c r="F321" s="94">
        <f t="shared" si="1"/>
        <v>18483800</v>
      </c>
      <c r="G321" s="94">
        <f t="shared" si="1"/>
        <v>-883420</v>
      </c>
      <c r="H321" s="94">
        <f t="shared" si="1"/>
        <v>-525790</v>
      </c>
      <c r="I321" s="94">
        <f t="shared" si="1"/>
        <v>-179768</v>
      </c>
      <c r="J321" s="94">
        <f t="shared" si="1"/>
        <v>177580</v>
      </c>
      <c r="K321" s="94">
        <f t="shared" si="1"/>
        <v>-224530</v>
      </c>
      <c r="L321" s="94">
        <f t="shared" si="1"/>
        <v>749133980</v>
      </c>
    </row>
    <row r="322" spans="2:12" x14ac:dyDescent="0.25">
      <c r="L322" s="94">
        <f>L320-L321</f>
        <v>63921514</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21.xml.rels><?xml version="1.0" encoding="UTF-8" standalone="yes"?>
<Relationships xmlns="http://schemas.openxmlformats.org/package/2006/relationships"><Relationship Id="rId1" Type="http://schemas.openxmlformats.org/officeDocument/2006/relationships/customXmlProps" Target="itemProps21.xml"/></Relationships>
</file>

<file path=customXml/_rels/item22.xml.rels><?xml version="1.0" encoding="UTF-8" standalone="yes"?>
<Relationships xmlns="http://schemas.openxmlformats.org/package/2006/relationships"><Relationship Id="rId1" Type="http://schemas.openxmlformats.org/officeDocument/2006/relationships/customXmlProps" Target="itemProps22.xml"/></Relationships>
</file>

<file path=customXml/_rels/item23.xml.rels><?xml version="1.0" encoding="UTF-8" standalone="yes"?>
<Relationships xmlns="http://schemas.openxmlformats.org/package/2006/relationships"><Relationship Id="rId1" Type="http://schemas.openxmlformats.org/officeDocument/2006/relationships/customXmlProps" Target="itemProps23.xml"/></Relationships>
</file>

<file path=customXml/_rels/item24.xml.rels><?xml version="1.0" encoding="UTF-8" standalone="yes"?>
<Relationships xmlns="http://schemas.openxmlformats.org/package/2006/relationships"><Relationship Id="rId1" Type="http://schemas.openxmlformats.org/officeDocument/2006/relationships/customXmlProps" Target="itemProps24.xml"/></Relationships>
</file>

<file path=customXml/_rels/item25.xml.rels><?xml version="1.0" encoding="UTF-8" standalone="yes"?>
<Relationships xmlns="http://schemas.openxmlformats.org/package/2006/relationships"><Relationship Id="rId1" Type="http://schemas.openxmlformats.org/officeDocument/2006/relationships/customXmlProps" Target="itemProps25.xml"/></Relationships>
</file>

<file path=customXml/_rels/item26.xml.rels><?xml version="1.0" encoding="UTF-8" standalone="yes"?>
<Relationships xmlns="http://schemas.openxmlformats.org/package/2006/relationships"><Relationship Id="rId1" Type="http://schemas.openxmlformats.org/officeDocument/2006/relationships/customXmlProps" Target="itemProps26.xml"/></Relationships>
</file>

<file path=customXml/_rels/item27.xml.rels><?xml version="1.0" encoding="UTF-8" standalone="yes"?>
<Relationships xmlns="http://schemas.openxmlformats.org/package/2006/relationships"><Relationship Id="rId1" Type="http://schemas.openxmlformats.org/officeDocument/2006/relationships/customXmlProps" Target="itemProps27.xml"/></Relationships>
</file>

<file path=customXml/_rels/item28.xml.rels><?xml version="1.0" encoding="UTF-8" standalone="yes"?>
<Relationships xmlns="http://schemas.openxmlformats.org/package/2006/relationships"><Relationship Id="rId1" Type="http://schemas.openxmlformats.org/officeDocument/2006/relationships/customXmlProps" Target="itemProps28.xml"/></Relationships>
</file>

<file path=customXml/_rels/item29.xml.rels><?xml version="1.0" encoding="UTF-8" standalone="yes"?>
<Relationships xmlns="http://schemas.openxmlformats.org/package/2006/relationships"><Relationship Id="rId1" Type="http://schemas.openxmlformats.org/officeDocument/2006/relationships/customXmlProps" Target="itemProps29.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30.xml.rels><?xml version="1.0" encoding="UTF-8" standalone="yes"?>
<Relationships xmlns="http://schemas.openxmlformats.org/package/2006/relationships"><Relationship Id="rId1" Type="http://schemas.openxmlformats.org/officeDocument/2006/relationships/customXmlProps" Target="itemProps30.xml"/></Relationships>
</file>

<file path=customXml/_rels/item31.xml.rels><?xml version="1.0" encoding="UTF-8" standalone="yes"?>
<Relationships xmlns="http://schemas.openxmlformats.org/package/2006/relationships"><Relationship Id="rId1" Type="http://schemas.openxmlformats.org/officeDocument/2006/relationships/customXmlProps" Target="itemProps31.xml"/></Relationships>
</file>

<file path=customXml/_rels/item32.xml.rels><?xml version="1.0" encoding="UTF-8" standalone="yes"?>
<Relationships xmlns="http://schemas.openxmlformats.org/package/2006/relationships"><Relationship Id="rId1" Type="http://schemas.openxmlformats.org/officeDocument/2006/relationships/customXmlProps" Target="itemProps32.xml"/></Relationships>
</file>

<file path=customXml/_rels/item33.xml.rels><?xml version="1.0" encoding="UTF-8" standalone="yes"?>
<Relationships xmlns="http://schemas.openxmlformats.org/package/2006/relationships"><Relationship Id="rId1" Type="http://schemas.openxmlformats.org/officeDocument/2006/relationships/customXmlProps" Target="itemProps33.xml"/></Relationships>
</file>

<file path=customXml/_rels/item34.xml.rels><?xml version="1.0" encoding="UTF-8" standalone="yes"?>
<Relationships xmlns="http://schemas.openxmlformats.org/package/2006/relationships"><Relationship Id="rId1" Type="http://schemas.openxmlformats.org/officeDocument/2006/relationships/customXmlProps" Target="itemProps34.xml"/></Relationships>
</file>

<file path=customXml/_rels/item35.xml.rels><?xml version="1.0" encoding="UTF-8" standalone="yes"?>
<Relationships xmlns="http://schemas.openxmlformats.org/package/2006/relationships"><Relationship Id="rId1" Type="http://schemas.openxmlformats.org/officeDocument/2006/relationships/customXmlProps" Target="itemProps35.xml"/></Relationships>
</file>

<file path=customXml/_rels/item36.xml.rels><?xml version="1.0" encoding="UTF-8" standalone="yes"?>
<Relationships xmlns="http://schemas.openxmlformats.org/package/2006/relationships"><Relationship Id="rId1" Type="http://schemas.openxmlformats.org/officeDocument/2006/relationships/customXmlProps" Target="itemProps36.xml"/></Relationships>
</file>

<file path=customXml/_rels/item37.xml.rels><?xml version="1.0" encoding="UTF-8" standalone="yes"?>
<Relationships xmlns="http://schemas.openxmlformats.org/package/2006/relationships"><Relationship Id="rId1" Type="http://schemas.openxmlformats.org/officeDocument/2006/relationships/customXmlProps" Target="itemProps37.xml"/></Relationships>
</file>

<file path=customXml/_rels/item38.xml.rels><?xml version="1.0" encoding="UTF-8" standalone="yes"?>
<Relationships xmlns="http://schemas.openxmlformats.org/package/2006/relationships"><Relationship Id="rId1" Type="http://schemas.openxmlformats.org/officeDocument/2006/relationships/customXmlProps" Target="itemProps38.xml"/></Relationships>
</file>

<file path=customXml/_rels/item39.xml.rels><?xml version="1.0" encoding="UTF-8" standalone="yes"?>
<Relationships xmlns="http://schemas.openxmlformats.org/package/2006/relationships"><Relationship Id="rId1" Type="http://schemas.openxmlformats.org/officeDocument/2006/relationships/customXmlProps" Target="itemProps39.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40.xml.rels><?xml version="1.0" encoding="UTF-8" standalone="yes"?>
<Relationships xmlns="http://schemas.openxmlformats.org/package/2006/relationships"><Relationship Id="rId1" Type="http://schemas.openxmlformats.org/officeDocument/2006/relationships/customXmlProps" Target="itemProps40.xml"/></Relationships>
</file>

<file path=customXml/_rels/item41.xml.rels><?xml version="1.0" encoding="UTF-8" standalone="yes"?>
<Relationships xmlns="http://schemas.openxmlformats.org/package/2006/relationships"><Relationship Id="rId1" Type="http://schemas.openxmlformats.org/officeDocument/2006/relationships/customXmlProps" Target="itemProps41.xml"/></Relationships>
</file>

<file path=customXml/_rels/item42.xml.rels><?xml version="1.0" encoding="UTF-8" standalone="yes"?>
<Relationships xmlns="http://schemas.openxmlformats.org/package/2006/relationships"><Relationship Id="rId1" Type="http://schemas.openxmlformats.org/officeDocument/2006/relationships/customXmlProps" Target="itemProps42.xml"/></Relationships>
</file>

<file path=customXml/_rels/item43.xml.rels><?xml version="1.0" encoding="UTF-8" standalone="yes"?>
<Relationships xmlns="http://schemas.openxmlformats.org/package/2006/relationships"><Relationship Id="rId1" Type="http://schemas.openxmlformats.org/officeDocument/2006/relationships/customXmlProps" Target="itemProps43.xml"/></Relationships>
</file>

<file path=customXml/_rels/item44.xml.rels><?xml version="1.0" encoding="UTF-8" standalone="yes"?>
<Relationships xmlns="http://schemas.openxmlformats.org/package/2006/relationships"><Relationship Id="rId1" Type="http://schemas.openxmlformats.org/officeDocument/2006/relationships/customXmlProps" Target="itemProps44.xml"/></Relationships>
</file>

<file path=customXml/_rels/item45.xml.rels><?xml version="1.0" encoding="UTF-8" standalone="yes"?>
<Relationships xmlns="http://schemas.openxmlformats.org/package/2006/relationships"><Relationship Id="rId1" Type="http://schemas.openxmlformats.org/officeDocument/2006/relationships/customXmlProps" Target="itemProps45.xml"/></Relationships>
</file>

<file path=customXml/_rels/item46.xml.rels><?xml version="1.0" encoding="UTF-8" standalone="yes"?>
<Relationships xmlns="http://schemas.openxmlformats.org/package/2006/relationships"><Relationship Id="rId1" Type="http://schemas.openxmlformats.org/officeDocument/2006/relationships/customXmlProps" Target="itemProps46.xml"/></Relationships>
</file>

<file path=customXml/_rels/item47.xml.rels><?xml version="1.0" encoding="UTF-8" standalone="yes"?>
<Relationships xmlns="http://schemas.openxmlformats.org/package/2006/relationships"><Relationship Id="rId1" Type="http://schemas.openxmlformats.org/officeDocument/2006/relationships/customXmlProps" Target="itemProps47.xml"/></Relationships>
</file>

<file path=customXml/_rels/item48.xml.rels><?xml version="1.0" encoding="UTF-8" standalone="yes"?>
<Relationships xmlns="http://schemas.openxmlformats.org/package/2006/relationships"><Relationship Id="rId1" Type="http://schemas.openxmlformats.org/officeDocument/2006/relationships/customXmlProps" Target="itemProps48.xml"/></Relationships>
</file>

<file path=customXml/_rels/item49.xml.rels><?xml version="1.0" encoding="UTF-8" standalone="yes"?>
<Relationships xmlns="http://schemas.openxmlformats.org/package/2006/relationships"><Relationship Id="rId1" Type="http://schemas.openxmlformats.org/officeDocument/2006/relationships/customXmlProps" Target="itemProps49.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50.xml.rels><?xml version="1.0" encoding="UTF-8" standalone="yes"?>
<Relationships xmlns="http://schemas.openxmlformats.org/package/2006/relationships"><Relationship Id="rId1" Type="http://schemas.openxmlformats.org/officeDocument/2006/relationships/customXmlProps" Target="itemProps50.xml"/></Relationships>
</file>

<file path=customXml/_rels/item51.xml.rels><?xml version="1.0" encoding="UTF-8" standalone="yes"?>
<Relationships xmlns="http://schemas.openxmlformats.org/package/2006/relationships"><Relationship Id="rId1" Type="http://schemas.openxmlformats.org/officeDocument/2006/relationships/customXmlProps" Target="itemProps51.xml"/></Relationships>
</file>

<file path=customXml/_rels/item52.xml.rels><?xml version="1.0" encoding="UTF-8" standalone="yes"?>
<Relationships xmlns="http://schemas.openxmlformats.org/package/2006/relationships"><Relationship Id="rId1" Type="http://schemas.openxmlformats.org/officeDocument/2006/relationships/customXmlProps" Target="itemProps52.xml"/></Relationships>
</file>

<file path=customXml/_rels/item53.xml.rels><?xml version="1.0" encoding="UTF-8" standalone="yes"?>
<Relationships xmlns="http://schemas.openxmlformats.org/package/2006/relationships"><Relationship Id="rId1" Type="http://schemas.openxmlformats.org/officeDocument/2006/relationships/customXmlProps" Target="itemProps53.xml"/></Relationships>
</file>

<file path=customXml/_rels/item54.xml.rels><?xml version="1.0" encoding="UTF-8" standalone="yes"?>
<Relationships xmlns="http://schemas.openxmlformats.org/package/2006/relationships"><Relationship Id="rId1" Type="http://schemas.openxmlformats.org/officeDocument/2006/relationships/customXmlProps" Target="itemProps54.xml"/></Relationships>
</file>

<file path=customXml/_rels/item55.xml.rels><?xml version="1.0" encoding="UTF-8" standalone="yes"?>
<Relationships xmlns="http://schemas.openxmlformats.org/package/2006/relationships"><Relationship Id="rId1" Type="http://schemas.openxmlformats.org/officeDocument/2006/relationships/customXmlProps" Target="itemProps55.xml"/></Relationships>
</file>

<file path=customXml/_rels/item56.xml.rels><?xml version="1.0" encoding="UTF-8" standalone="yes"?>
<Relationships xmlns="http://schemas.openxmlformats.org/package/2006/relationships"><Relationship Id="rId1" Type="http://schemas.openxmlformats.org/officeDocument/2006/relationships/customXmlProps" Target="itemProps56.xml"/></Relationships>
</file>

<file path=customXml/_rels/item57.xml.rels><?xml version="1.0" encoding="UTF-8" standalone="yes"?>
<Relationships xmlns="http://schemas.openxmlformats.org/package/2006/relationships"><Relationship Id="rId1" Type="http://schemas.openxmlformats.org/officeDocument/2006/relationships/customXmlProps" Target="itemProps57.xml"/></Relationships>
</file>

<file path=customXml/_rels/item58.xml.rels><?xml version="1.0" encoding="UTF-8" standalone="yes"?>
<Relationships xmlns="http://schemas.openxmlformats.org/package/2006/relationships"><Relationship Id="rId1" Type="http://schemas.openxmlformats.org/officeDocument/2006/relationships/customXmlProps" Target="itemProps58.xml"/></Relationships>
</file>

<file path=customXml/_rels/item59.xml.rels><?xml version="1.0" encoding="UTF-8" standalone="yes"?>
<Relationships xmlns="http://schemas.openxmlformats.org/package/2006/relationships"><Relationship Id="rId1" Type="http://schemas.openxmlformats.org/officeDocument/2006/relationships/customXmlProps" Target="itemProps59.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60.xml.rels><?xml version="1.0" encoding="UTF-8" standalone="yes"?>
<Relationships xmlns="http://schemas.openxmlformats.org/package/2006/relationships"><Relationship Id="rId1" Type="http://schemas.openxmlformats.org/officeDocument/2006/relationships/customXmlProps" Target="itemProps60.xml"/></Relationships>
</file>

<file path=customXml/_rels/item61.xml.rels><?xml version="1.0" encoding="UTF-8" standalone="yes"?>
<Relationships xmlns="http://schemas.openxmlformats.org/package/2006/relationships"><Relationship Id="rId1" Type="http://schemas.openxmlformats.org/officeDocument/2006/relationships/customXmlProps" Target="itemProps61.xml"/></Relationships>
</file>

<file path=customXml/_rels/item62.xml.rels><?xml version="1.0" encoding="UTF-8" standalone="yes"?>
<Relationships xmlns="http://schemas.openxmlformats.org/package/2006/relationships"><Relationship Id="rId1" Type="http://schemas.openxmlformats.org/officeDocument/2006/relationships/customXmlProps" Target="itemProps62.xml"/></Relationships>
</file>

<file path=customXml/_rels/item63.xml.rels><?xml version="1.0" encoding="UTF-8" standalone="yes"?>
<Relationships xmlns="http://schemas.openxmlformats.org/package/2006/relationships"><Relationship Id="rId1" Type="http://schemas.openxmlformats.org/officeDocument/2006/relationships/customXmlProps" Target="itemProps63.xml"/></Relationships>
</file>

<file path=customXml/_rels/item64.xml.rels><?xml version="1.0" encoding="UTF-8" standalone="yes"?>
<Relationships xmlns="http://schemas.openxmlformats.org/package/2006/relationships"><Relationship Id="rId1" Type="http://schemas.openxmlformats.org/officeDocument/2006/relationships/customXmlProps" Target="itemProps64.xml"/></Relationships>
</file>

<file path=customXml/_rels/item65.xml.rels><?xml version="1.0" encoding="UTF-8" standalone="yes"?>
<Relationships xmlns="http://schemas.openxmlformats.org/package/2006/relationships"><Relationship Id="rId1" Type="http://schemas.openxmlformats.org/officeDocument/2006/relationships/customXmlProps" Target="itemProps65.xml"/></Relationships>
</file>

<file path=customXml/_rels/item66.xml.rels><?xml version="1.0" encoding="UTF-8" standalone="yes"?>
<Relationships xmlns="http://schemas.openxmlformats.org/package/2006/relationships"><Relationship Id="rId1" Type="http://schemas.openxmlformats.org/officeDocument/2006/relationships/customXmlProps" Target="itemProps66.xml"/></Relationships>
</file>

<file path=customXml/_rels/item67.xml.rels><?xml version="1.0" encoding="UTF-8" standalone="yes"?>
<Relationships xmlns="http://schemas.openxmlformats.org/package/2006/relationships"><Relationship Id="rId1" Type="http://schemas.openxmlformats.org/officeDocument/2006/relationships/customXmlProps" Target="itemProps67.xml"/></Relationships>
</file>

<file path=customXml/_rels/item68.xml.rels><?xml version="1.0" encoding="UTF-8" standalone="yes"?>
<Relationships xmlns="http://schemas.openxmlformats.org/package/2006/relationships"><Relationship Id="rId1" Type="http://schemas.openxmlformats.org/officeDocument/2006/relationships/customXmlProps" Target="itemProps68.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BCD9D157FD4B7D419EF8808753D8DBDC" ma:contentTypeVersion="4" ma:contentTypeDescription="Create a new document." ma:contentTypeScope="" ma:versionID="a0d365c4ea293e7cf67aec51f0ff2d4f">
  <xsd:schema xmlns:xsd="http://www.w3.org/2001/XMLSchema" xmlns:xs="http://www.w3.org/2001/XMLSchema" xmlns:p="http://schemas.microsoft.com/office/2006/metadata/properties" xmlns:ns2="d1e39413-4b66-418d-aec3-d56351fadbc6" xmlns:ns3="8678cf70-7d2a-425d-8915-fdf73a3b7ea8" targetNamespace="http://schemas.microsoft.com/office/2006/metadata/properties" ma:root="true" ma:fieldsID="87ebba27f564c4c7f305f26b8471ae41" ns2:_="" ns3:_="">
    <xsd:import namespace="d1e39413-4b66-418d-aec3-d56351fadbc6"/>
    <xsd:import namespace="8678cf70-7d2a-425d-8915-fdf73a3b7ea8"/>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1e39413-4b66-418d-aec3-d56351fadbc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8678cf70-7d2a-425d-8915-fdf73a3b7ea8"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10.xml>��< ? x m l   v e r s i o n = " 1 . 0 "   e n c o d i n g = " U T F - 1 6 " ? > < G e m i n i   x m l n s = " h t t p : / / g e m i n i / p i v o t c u s t o m i z a t i o n / T a b l e X M L _ r O b r a z e c F i n a n s i s k i P l a n 2 0 1 9 _ b 9 6 f 4 4 8 e - 5 6 e 9 - 4 b 9 d - b a 1 3 - 6 6 5 4 5 3 c a 7 1 0 8 " > < C u s t o m C o n t e n t > < ! [ C D A T A [ < T a b l e W i d g e t G r i d S e r i a l i z a t i o n   x m l n s : x s i = " h t t p : / / w w w . w 3 . o r g / 2 0 0 1 / X M L S c h e m a - i n s t a n c e "   x m l n s : x s d = " h t t p : / / w w w . w 3 . o r g / 2 0 0 1 / X M L S c h e m a " > < C o l u m n S u g g e s t e d T y p e   / > < C o l u m n F o r m a t   / > < C o l u m n A c c u r a c y   / > < C o l u m n C u r r e n c y S y m b o l   / > < C o l u m n P o s i t i v e P a t t e r n   / > < C o l u m n N e g a t i v e P a t t e r n   / > < C o l u m n W i d t h s > < i t e m > < k e y > < s t r i n g > - $  2 0 1 9 < / s t r i n g > < / k e y > < v a l u e > < i n t > 1 4 2 < / i n t > < / v a l u e > < / i t e m > < i t e m > < k e y > < s t r i n g > !?5F8D8:0F8X0  AB02:0< / s t r i n g > < / k e y > < v a l u e > < i n t > 2 2 1 < / i n t > < / v a l u e > < / i t e m > < i t e m > < k e y > < s t r i n g > !?5F8D8:0F8X0< / s t r i n g > < / k e y > < v a l u e > < i n t > 1 6 6 < / i n t > < / v a l u e > < / i t e m > < i t e m > < k e y > < s t r i n g > 1@075F  AB02:0< / s t r i n g > < / k e y > < v a l u e > < i n t > 1 6 7 < / i n t > < / v a l u e > < / i t e m > < i t e m > < k e y > < s t r i n g > 1@075F< / s t r i n g > < / k e y > < v a l u e > < i n t > 1 1 2 < / i n t > < / v a l u e > < / i t e m > < i t e m > < k e y > < s t r i n g > T o t a l i n g < / s t r i n g > < / k e y > < v a l u e > < i n t > 1 0 2 < / i n t > < / v a l u e > < / i t e m > < / C o l u m n W i d t h s > < C o l u m n D i s p l a y I n d e x > < i t e m > < k e y > < s t r i n g > - $  2 0 1 9 < / s t r i n g > < / k e y > < v a l u e > < i n t > 0 < / i n t > < / v a l u e > < / i t e m > < i t e m > < k e y > < s t r i n g > !?5F8D8:0F8X0  AB02:0< / s t r i n g > < / k e y > < v a l u e > < i n t > 1 < / i n t > < / v a l u e > < / i t e m > < i t e m > < k e y > < s t r i n g > !?5F8D8:0F8X0< / s t r i n g > < / k e y > < v a l u e > < i n t > 2 < / i n t > < / v a l u e > < / i t e m > < i t e m > < k e y > < s t r i n g > 1@075F  AB02:0< / s t r i n g > < / k e y > < v a l u e > < i n t > 3 < / i n t > < / v a l u e > < / i t e m > < i t e m > < k e y > < s t r i n g > 1@075F< / s t r i n g > < / k e y > < v a l u e > < i n t > 4 < / i n t > < / v a l u e > < / i t e m > < i t e m > < k e y > < s t r i n g > T o t a l i n g < / s t r i n g > < / k e y > < v a l u e > < i n t > 5 < / i n t > < / v a l u e > < / i t e m > < / C o l u m n D i s p l a y I n d e x > < C o l u m n F r o z e n   / > < C o l u m n C h e c k e d   / > < C o l u m n F i l t e r > < i t e m > < k e y > < s t r i n g > !?5F8D8:0F8X0< / s t r i n g > < / k e y > < v a l u e > < F i l t e r E x p r e s s i o n   x s i : n i l = " t r u e "   / > < / v a l u e > < / i t e m > < i t e m > < k e y > < s t r i n g > 1@075F  AB02:0< / s t r i n g > < / k e y > < v a l u e > < F i l t e r E x p r e s s i o n   x s i : n i l = " t r u e "   / > < / v a l u e > < / i t e m > < / C o l u m n F i l t e r > < S e l e c t i o n F i l t e r > < i t e m > < k e y > < s t r i n g > !?5F8D8:0F8X0< / s t r i n g > < / k e y > < v a l u e > < S e l e c t i o n F i l t e r   x s i : n i l = " t r u e "   / > < / v a l u e > < / i t e m > < i t e m > < k e y > < s t r i n g > 1@075F  AB02:0< / s t r i n g > < / k e y > < v a l u e > < S e l e c t i o n F i l t e r > < S e l e c t i o n T y p e > S e l e c t < / S e l e c t i o n T y p e > < I t e m s > < a n y T y p e   x s i : t y p e = " x s d : s t r i n g " > 2 . 3 3 .   "@>H>F8  70  2@01>B5=8B5< / a n y T y p e > < / I t e m s > < / S e l e c t i o n F i l t e r > < / v a l u e > < / i t e m > < / S e l e c t i o n F i l t e r > < F i l t e r P a r a m e t e r s > < i t e m > < k e y > < s t r i n g > !?5F8D8:0F8X0< / s t r i n g > < / k e y > < v a l u e > < C o m m a n d P a r a m e t e r s   / > < / v a l u e > < / i t e m > < i t e m > < k e y > < s t r i n g > 1@075F  AB02:0< / s t r i n g > < / k e y > < v a l u e > < C o m m a n d P a r a m e t e r s   / > < / v a l u e > < / i t e m > < / F i l t e r P a r a m e t e r s > < I s S o r t D e s c e n d i n g > f a l s e < / I s S o r t D e s c e n d i n g > < / T a b l e W i d g e t G r i d S e r i a l i z a t i o n > ] ] > < / C u s t o m C o n t e n t > < / G e m i n i > 
</file>

<file path=customXml/item11.xml>��< ? x m l   v e r s i o n = " 1 . 0 "   e n c o d i n g = " U T F - 1 6 " ? > < G e m i n i   x m l n s = " h t t p : / / g e m i n i / p i v o t c u s t o m i z a t i o n / T a b l e X M L _ A m o r t i z a c i j a _ 6 9 3 8 3 0 1 b - 4 8 3 8 - 4 3 7 0 - 8 a 7 c - 3 f b 1 3 8 0 e 5 4 d 7 " > < C u s t o m C o n t e n t > < ! [ C D A T A [ < T a b l e W i d g e t G r i d S e r i a l i z a t i o n   x m l n s : x s d = " h t t p : / / w w w . w 3 . o r g / 2 0 0 1 / X M L S c h e m a "   x m l n s : x s i = " h t t p : / / w w w . w 3 . o r g / 2 0 0 1 / X M L S c h e m a - i n s t a n c e " > < C o l u m n S u g g e s t e d T y p e   / > < C o l u m n F o r m a t   / > < C o l u m n A c c u r a c y   / > < C o l u m n C u r r e n c y S y m b o l   / > < C o l u m n P o s i t i v e P a t t e r n   / > < C o l u m n N e g a t i v e P a t t e r n   / > < C o l u m n W i d t h s > < i t e m > < k e y > < s t r i n g > 7=>A< / s t r i n g > < / k e y > < v a l u e > < i n t > 9 1 < / i n t > < / v a l u e > < / i t e m > < i t e m > < k e y > < s t r i n g > >=B>< / s t r i n g > < / k e y > < v a l u e > < i n t > 9 0 < / i n t > < / v a l u e > < / i t e m > < i t e m > < k e y > < s t r i n g > R e p o r t T y p e < / s t r i n g > < / k e y > < v a l u e > < i n t > 1 3 1 < / i n t > < / v a l u e > < / i t e m > < i t e m > < k e y > < s t r i n g > @>X  =0  X02=0  =0102:0  ( ?;0=) < / s t r i n g > < / k e y > < v a l u e > < i n t > 2 7 1 < / i n t > < / v a l u e > < / i t e m > < i t e m > < k e y > < s t r i n g > !B02:0< / s t r i n g > < / k e y > < v a l u e > < i n t > 9 6 < / i n t > < / v a l u e > < / i t e m > < i t e m > < k e y > < s t r i n g > 5@8>4< / s t r i n g > < / k e y > < v a l u e > < i n t > 1 0 4 < / i n t > < / v a l u e > < / i t e m > < / C o l u m n W i d t h s > < C o l u m n D i s p l a y I n d e x > < i t e m > < k e y > < s t r i n g > 7=>A< / s t r i n g > < / k e y > < v a l u e > < i n t > 3 < / i n t > < / v a l u e > < / i t e m > < i t e m > < k e y > < s t r i n g > >=B>< / s t r i n g > < / k e y > < v a l u e > < i n t > 0 < / i n t > < / v a l u e > < / i t e m > < i t e m > < k e y > < s t r i n g > R e p o r t T y p e < / s t r i n g > < / k e y > < v a l u e > < i n t > 1 < / i n t > < / v a l u e > < / i t e m > < i t e m > < k e y > < s t r i n g > @>X  =0  X02=0  =0102:0  ( ?;0=) < / s t r i n g > < / k e y > < v a l u e > < i n t > 2 < / i n t > < / v a l u e > < / i t e m > < i t e m > < k e y > < s t r i n g > !B02:0< / s t r i n g > < / k e y > < v a l u e > < i n t > 4 < / i n t > < / v a l u e > < / i t e m > < i t e m > < k e y > < s t r i n g > 5@8>4< / s t r i n g > < / k e y > < v a l u e > < i n t > 5 < / i n t > < / v a l u e > < / i t e m > < / C o l u m n D i s p l a y I n d e x > < C o l u m n F r o z e n   / > < C o l u m n C h e c k e d   / > < C o l u m n F i l t e r > < i t e m > < k e y > < s t r i n g > >=B>< / s t r i n g > < / k e y > < v a l u e > < F i l t e r E x p r e s s i o n   x s i : n i l = " t r u e "   / > < / v a l u e > < / i t e m > < i t e m > < k e y > < s t r i n g > 5@8>4< / s t r i n g > < / k e y > < v a l u e > < F i l t e r E x p r e s s i o n   x s i : n i l = " t r u e "   / > < / v a l u e > < / i t e m > < / C o l u m n F i l t e r > < S e l e c t i o n F i l t e r > < i t e m > < k e y > < s t r i n g > >=B>< / s t r i n g > < / k e y > < v a l u e > < S e l e c t i o n F i l t e r   x s i : n i l = " t r u e "   / > < / v a l u e > < / i t e m > < i t e m > < k e y > < s t r i n g > 5@8>4< / s t r i n g > < / k e y > < v a l u e > < S e l e c t i o n F i l t e r   x s i : n i l = " t r u e "   / > < / v a l u e > < / i t e m > < / S e l e c t i o n F i l t e r > < F i l t e r P a r a m e t e r s > < i t e m > < k e y > < s t r i n g > >=B>< / s t r i n g > < / k e y > < v a l u e > < C o m m a n d P a r a m e t e r s   / > < / v a l u e > < / i t e m > < i t e m > < k e y > < s t r i n g > 5@8>4< / s t r i n g > < / k e y > < v a l u e > < C o m m a n d P a r a m e t e r s   / > < / v a l u e > < / i t e m > < / F i l t e r P a r a m e t e r s > < I s S o r t D e s c e n d i n g > f a l s e < / I s S o r t D e s c e n d i n g > < / T a b l e W i d g e t G r i d S e r i a l i z a t i o n > ] ] > < / C u s t o m C o n t e n t > < / G e m i n i > 
</file>

<file path=customXml/item12.xml>��< ? x m l   v e r s i o n = " 1 . 0 "   e n c o d i n g = " U T F - 1 6 " ? > < G e m i n i   x m l n s = " h t t p : / / g e m i n i / p i v o t c u s t o m i z a t i o n / D i a g r a m s " > < C u s t o m C o n t e n t > < ! [ C D A T A [ < A r r a y O f D i a g r a m M a n a g e r . S e r i a l i z a b l e D i a g r a m   x m l n s = " h t t p : / / s c h e m a s . d a t a c o n t r a c t . o r g / 2 0 0 4 / 0 7 / M i c r o s o f t . A n a l y s i s S e r v i c e s . C o m m o n "   x m l n s : i = " h t t p : / / w w w . w 3 . o r g / 2 0 0 1 / X M L S c h e m a - i n s t a n c e " > < D i a g r a m M a n a g e r . S e r i a l i z a b l e D i a g r a m > < A d a p t e r   i : t y p e = " M e a s u r e D i a g r a m S a n d b o x A d a p t e r " > < T a b l e N a m e > f P r i h o d i R a s h o d i < / 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 f P r i h o d i R a s h o d i < / 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  o f   7=>A  2 < / K e y > < / D i a g r a m O b j e c t K e y > < D i a g r a m O b j e c t K e y > < K e y > M e a s u r e s \ S u m   o f   7=>A  2 \ T a g I n f o \ F o r m u l a < / K e y > < / D i a g r a m O b j e c t K e y > < D i a g r a m O b j e c t K e y > < K e y > M e a s u r e s \ S u m   o f   7=>A  2 \ T a g I n f o \ V a l u e < / K e y > < / D i a g r a m O b j e c t K e y > < D i a g r a m O b j e c t K e y > < K e y > C o l u m n s \ !B02:0< / K e y > < / D i a g r a m O b j e c t K e y > < D i a g r a m O b j e c t K e y > < K e y > C o l u m n s \ 5@8>4< / K e y > < / D i a g r a m O b j e c t K e y > < D i a g r a m O b j e c t K e y > < K e y > C o l u m n s \ 7=>A< / K e y > < / D i a g r a m O b j e c t K e y > < D i a g r a m O b j e c t K e y > < K e y > C o l u m n s \ >=B>< / K e y > < / D i a g r a m O b j e c t K e y > < D i a g r a m O b j e c t K e y > < K e y > C o l u m n s \ 5@8>4  ( M o n t h   I n d e x ) < / K e y > < / D i a g r a m O b j e c t K e y > < D i a g r a m O b j e c t K e y > < K e y > C o l u m n s \ 5@8>4  ( M o n t h ) < / K e y > < / D i a g r a m O b j e c t K e y > < D i a g r a m O b j e c t K e y > < K e y > L i n k s \ & l t ; C o l u m n s \ S u m   o f   7=>A  2 & g t ; - & l t ; M e a s u r e s \ 7=>A& g t ; < / K e y > < / D i a g r a m O b j e c t K e y > < D i a g r a m O b j e c t K e y > < K e y > L i n k s \ & l t ; C o l u m n s \ S u m   o f   7=>A  2 & g t ; - & l t ; M e a s u r e s \ 7=>A& g t ; \ C O L U M N < / K e y > < / D i a g r a m O b j e c t K e y > < D i a g r a m O b j e c t K e y > < K e y > L i n k s \ & l t ; C o l u m n s \ S u m   o f   7=>A  2 & g t ; - & l t ; M e a s u r e s \ 7=>A& g t ; \ M E A S U R E 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  o f   7=>A  2 < / K e y > < / a : K e y > < a : V a l u e   i : t y p e = " M e a s u r e G r i d N o d e V i e w S t a t e " > < C o l u m n > 2 < / C o l u m n > < L a y e d O u t > t r u e < / L a y e d O u t > < W a s U I I n v i s i b l e > t r u e < / W a s U I I n v i s i b l e > < / a : V a l u e > < / a : K e y V a l u e O f D i a g r a m O b j e c t K e y a n y T y p e z b w N T n L X > < a : K e y V a l u e O f D i a g r a m O b j e c t K e y a n y T y p e z b w N T n L X > < a : K e y > < K e y > M e a s u r e s \ S u m   o f   7=>A  2 \ T a g I n f o \ F o r m u l a < / K e y > < / a : K e y > < a : V a l u e   i : t y p e = " M e a s u r e G r i d V i e w S t a t e I D i a g r a m T a g A d d i t i o n a l I n f o " / > < / a : K e y V a l u e O f D i a g r a m O b j e c t K e y a n y T y p e z b w N T n L X > < a : K e y V a l u e O f D i a g r a m O b j e c t K e y a n y T y p e z b w N T n L X > < a : K e y > < K e y > M e a s u r e s \ S u m   o f   7=>A  2 \ T a g I n f o \ V a l u e < / K e y > < / a : K e y > < a : V a l u e   i : t y p e = " M e a s u r e G r i d V i e w S t a t e I D i a g r a m T a g A d d i t i o n a l I n f o " / > < / a : K e y V a l u e O f D i a g r a m O b j e c t K e y a n y T y p e z b w N T n L X > < a : K e y V a l u e O f D i a g r a m O b j e c t K e y a n y T y p e z b w N T n L X > < a : K e y > < K e y > C o l u m n s \ !B02:0< / K e y > < / a : K e y > < a : V a l u e   i : t y p e = " M e a s u r e G r i d N o d e V i e w S t a t e " > < L a y e d O u t > t r u e < / L a y e d O u t > < / a : V a l u e > < / a : K e y V a l u e O f D i a g r a m O b j e c t K e y a n y T y p e z b w N T n L X > < a : K e y V a l u e O f D i a g r a m O b j e c t K e y a n y T y p e z b w N T n L X > < a : K e y > < K e y > C o l u m n s \ 5@8>4< / K e y > < / a : K e y > < a : V a l u e   i : t y p e = " M e a s u r e G r i d N o d e V i e w S t a t e " > < C o l u m n > 1 < / C o l u m n > < L a y e d O u t > t r u e < / L a y e d O u t > < / a : V a l u e > < / a : K e y V a l u e O f D i a g r a m O b j e c t K e y a n y T y p e z b w N T n L X > < a : K e y V a l u e O f D i a g r a m O b j e c t K e y a n y T y p e z b w N T n L X > < a : K e y > < K e y > C o l u m n s \ 7=>A< / K e y > < / a : K e y > < a : V a l u e   i : t y p e = " M e a s u r e G r i d N o d e V i e w S t a t e " > < C o l u m n > 2 < / C o l u m n > < L a y e d O u t > t r u e < / L a y e d O u t > < / a : V a l u e > < / a : K e y V a l u e O f D i a g r a m O b j e c t K e y a n y T y p e z b w N T n L X > < a : K e y V a l u e O f D i a g r a m O b j e c t K e y a n y T y p e z b w N T n L X > < a : K e y > < K e y > C o l u m n s \ >=B>< / K e y > < / a : K e y > < a : V a l u e   i : t y p e = " M e a s u r e G r i d N o d e V i e w S t a t e " > < C o l u m n > 3 < / C o l u m n > < L a y e d O u t > t r u e < / L a y e d O u t > < / a : V a l u e > < / a : K e y V a l u e O f D i a g r a m O b j e c t K e y a n y T y p e z b w N T n L X > < a : K e y V a l u e O f D i a g r a m O b j e c t K e y a n y T y p e z b w N T n L X > < a : K e y > < K e y > C o l u m n s \ 5@8>4  ( M o n t h   I n d e x ) < / K e y > < / a : K e y > < a : V a l u e   i : t y p e = " M e a s u r e G r i d N o d e V i e w S t a t e " > < C o l u m n > 4 < / C o l u m n > < L a y e d O u t > t r u e < / L a y e d O u t > < / a : V a l u e > < / a : K e y V a l u e O f D i a g r a m O b j e c t K e y a n y T y p e z b w N T n L X > < a : K e y V a l u e O f D i a g r a m O b j e c t K e y a n y T y p e z b w N T n L X > < a : K e y > < K e y > C o l u m n s \ 5@8>4  ( M o n t h ) < / K e y > < / a : K e y > < a : V a l u e   i : t y p e = " M e a s u r e G r i d N o d e V i e w S t a t e " > < C o l u m n > 5 < / C o l u m n > < L a y e d O u t > t r u e < / L a y e d O u t > < / a : V a l u e > < / a : K e y V a l u e O f D i a g r a m O b j e c t K e y a n y T y p e z b w N T n L X > < a : K e y V a l u e O f D i a g r a m O b j e c t K e y a n y T y p e z b w N T n L X > < a : K e y > < K e y > L i n k s \ & l t ; C o l u m n s \ S u m   o f   7=>A  2 & g t ; - & l t ; M e a s u r e s \ 7=>A& g t ; < / K e y > < / a : K e y > < a : V a l u e   i : t y p e = " M e a s u r e G r i d V i e w S t a t e I D i a g r a m L i n k " / > < / a : K e y V a l u e O f D i a g r a m O b j e c t K e y a n y T y p e z b w N T n L X > < a : K e y V a l u e O f D i a g r a m O b j e c t K e y a n y T y p e z b w N T n L X > < a : K e y > < K e y > L i n k s \ & l t ; C o l u m n s \ S u m   o f   7=>A  2 & g t ; - & l t ; M e a s u r e s \ 7=>A& g t ; \ C O L U M N < / K e y > < / a : K e y > < a : V a l u e   i : t y p e = " M e a s u r e G r i d V i e w S t a t e I D i a g r a m L i n k E n d p o i n t " / > < / a : K e y V a l u e O f D i a g r a m O b j e c t K e y a n y T y p e z b w N T n L X > < a : K e y V a l u e O f D i a g r a m O b j e c t K e y a n y T y p e z b w N T n L X > < a : K e y > < K e y > L i n k s \ & l t ; C o l u m n s \ S u m   o f   7=>A  2 & g t ; - & l t ; M e a s u r e s \ 7=>A& g t ; \ M E A S U R E < / K e y > < / a : K e y > < a : V a l u e   i : t y p e = " M e a s u r e G r i d V i e w S t a t e I D i a g r a m L i n k E n d p o i n t " / > < / a : K e y V a l u e O f D i a g r a m O b j e c t K e y a n y T y p e z b w N T n L X > < / V i e w S t a t e s > < / D i a g r a m M a n a g e r . S e r i a l i z a b l e D i a g r a m > < D i a g r a m M a n a g e r . S e r i a l i z a b l e D i a g r a m > < A d a p t e r   i : t y p e = " M e a s u r e D i a g r a m S a n d b o x A d a p t e r " > < T a b l e N a m e > M a p p i n g < / 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 M a p p i n g < / 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=B>< / K e y > < / D i a g r a m O b j e c t K e y > < D i a g r a m O b j e c t K e y > < K e y > C o l u m n s \ ?8A< / K e y > < / D i a g r a m O b j e c t K e y > < D i a g r a m O b j e c t K e y > < K e y > C o l u m n s \ -   D8=0=A8A:8  ?;0=< / K e y > < / D i a g r a m O b j e c t K e y > < D i a g r a m O b j e c t K e y > < K e y > C o l u m n s \ - D8=0=A8A:8  8725HB0X< / K e y > < / D i a g r a m O b j e c t K e y > < D i a g r a m O b j e c t K e y > < K e y > C o l u m n s \ - $  =>2< / K e y > < / D i a g r a m O b j e c t K e y > < D i a g r a m O b j e c t K e y > < K e y > C o l u m n s \ - >48H=8  A<5B:8< / K e y > < / D i a g r a m O b j e c t K e y > < D i a g r a m O b j e c t K e y > < K e y > C o l u m n s \ - < / 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=B>< / K e y > < / a : K e y > < a : V a l u e   i : t y p e = " M e a s u r e G r i d N o d e V i e w S t a t e " > < L a y e d O u t > t r u e < / L a y e d O u t > < / a : V a l u e > < / a : K e y V a l u e O f D i a g r a m O b j e c t K e y a n y T y p e z b w N T n L X > < a : K e y V a l u e O f D i a g r a m O b j e c t K e y a n y T y p e z b w N T n L X > < a : K e y > < K e y > C o l u m n s \ ?8A< / K e y > < / a : K e y > < a : V a l u e   i : t y p e = " M e a s u r e G r i d N o d e V i e w S t a t e " > < C o l u m n > 1 < / C o l u m n > < L a y e d O u t > t r u e < / L a y e d O u t > < / a : V a l u e > < / a : K e y V a l u e O f D i a g r a m O b j e c t K e y a n y T y p e z b w N T n L X > < a : K e y V a l u e O f D i a g r a m O b j e c t K e y a n y T y p e z b w N T n L X > < a : K e y > < K e y > C o l u m n s \ -   D8=0=A8A:8  ?;0=< / K e y > < / a : K e y > < a : V a l u e   i : t y p e = " M e a s u r e G r i d N o d e V i e w S t a t e " > < C o l u m n > 2 < / C o l u m n > < L a y e d O u t > t r u e < / L a y e d O u t > < / a : V a l u e > < / a : K e y V a l u e O f D i a g r a m O b j e c t K e y a n y T y p e z b w N T n L X > < a : K e y V a l u e O f D i a g r a m O b j e c t K e y a n y T y p e z b w N T n L X > < a : K e y > < K e y > C o l u m n s \ - D8=0=A8A:8  8725HB0X< / K e y > < / a : K e y > < a : V a l u e   i : t y p e = " M e a s u r e G r i d N o d e V i e w S t a t e " > < C o l u m n > 3 < / C o l u m n > < L a y e d O u t > t r u e < / L a y e d O u t > < / a : V a l u e > < / a : K e y V a l u e O f D i a g r a m O b j e c t K e y a n y T y p e z b w N T n L X > < a : K e y V a l u e O f D i a g r a m O b j e c t K e y a n y T y p e z b w N T n L X > < a : K e y > < K e y > C o l u m n s \ - $  =>2< / K e y > < / a : K e y > < a : V a l u e   i : t y p e = " M e a s u r e G r i d N o d e V i e w S t a t e " > < C o l u m n > 4 < / C o l u m n > < L a y e d O u t > t r u e < / L a y e d O u t > < / a : V a l u e > < / a : K e y V a l u e O f D i a g r a m O b j e c t K e y a n y T y p e z b w N T n L X > < a : K e y V a l u e O f D i a g r a m O b j e c t K e y a n y T y p e z b w N T n L X > < a : K e y > < K e y > C o l u m n s \ - >48H=8  A<5B:8< / K e y > < / a : K e y > < a : V a l u e   i : t y p e = " M e a s u r e G r i d N o d e V i e w S t a t e " > < C o l u m n > 5 < / C o l u m n > < L a y e d O u t > t r u e < / L a y e d O u t > < / a : V a l u e > < / a : K e y V a l u e O f D i a g r a m O b j e c t K e y a n y T y p e z b w N T n L X > < a : K e y V a l u e O f D i a g r a m O b j e c t K e y a n y T y p e z b w N T n L X > < a : K e y > < K e y > C o l u m n s \ - < / K e y > < / a : K e y > < a : V a l u e   i : t y p e = " M e a s u r e G r i d N o d e V i e w S t a t e " > < C o l u m n > 6 < / C o l u m n > < L a y e d O u t > t r u e < / L a y e d O u t > < / a : V a l u e > < / a : K e y V a l u e O f D i a g r a m O b j e c t K e y a n y T y p e z b w N T n L X > < / V i e w S t a t e s > < / D i a g r a m M a n a g e r . S e r i a l i z a b l e D i a g r a m > < D i a g r a m M a n a g e r . S e r i a l i z a b l e D i a g r a m > < A d a p t e r   i : t y p e = " M e a s u r e D i a g r a m S a n d b o x A d a p t e r " > < T a b l e N a m e > f V k u p n i P r i h o d i < / 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 f V k u p n i P r i h o d i < / 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 C o l u m n s \ !B02:0< / K e y > < / D i a g r a m O b j e c t K e y > < D i a g r a m O b j e c t K e y > < K e y > C o l u m n s \ 5@8>4< / K e y > < / D i a g r a m O b j e c t K e y > < D i a g r a m O b j e c t K e y > < K e y > C o l u m n s \ 7=>A< / K e y > < / D i a g r a m O b j e c t K e y > < D i a g r a m O b j e c t K e y > < K e y > C o l u m n s \ >=B>< / 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 C o l u m n s \ !B02:0< / K e y > < / a : K e y > < a : V a l u e   i : t y p e = " M e a s u r e G r i d N o d e V i e w S t a t e " > < C o l u m n > 2 < / C o l u m n > < L a y e d O u t > t r u e < / L a y e d O u t > < / a : V a l u e > < / a : K e y V a l u e O f D i a g r a m O b j e c t K e y a n y T y p e z b w N T n L X > < a : K e y V a l u e O f D i a g r a m O b j e c t K e y a n y T y p e z b w N T n L X > < a : K e y > < K e y > C o l u m n s \ 5@8>4< / K e y > < / a : K e y > < a : V a l u e   i : t y p e = " M e a s u r e G r i d N o d e V i e w S t a t e " > < L a y e d O u t > t r u e < / L a y e d O u t > < / a : V a l u e > < / a : K e y V a l u e O f D i a g r a m O b j e c t K e y a n y T y p e z b w N T n L X > < a : K e y V a l u e O f D i a g r a m O b j e c t K e y a n y T y p e z b w N T n L X > < a : K e y > < K e y > C o l u m n s \ 7=>A< / K e y > < / a : K e y > < a : V a l u e   i : t y p e = " M e a s u r e G r i d N o d e V i e w S t a t e " > < C o l u m n > 3 < / C o l u m n > < L a y e d O u t > t r u e < / L a y e d O u t > < / a : V a l u e > < / a : K e y V a l u e O f D i a g r a m O b j e c t K e y a n y T y p e z b w N T n L X > < a : K e y V a l u e O f D i a g r a m O b j e c t K e y a n y T y p e z b w N T n L X > < a : K e y > < K e y > C o l u m n s \ >=B>< / K e y > < / a : K e y > < a : V a l u e   i : t y p e = " M e a s u r e G r i d N o d e V i e w S t a t e " > < C o l u m n > 1 < / C o l u m n > < L a y e d O u t > t r u e < / L a y e d O u t > < / a : V a l u e > < / a : K e y V a l u e O f D i a g r a m O b j e c t K e y a n y T y p e z b w N T n L X > < / V i e w S t a t e s > < / D i a g r a m M a n a g e r . S e r i a l i z a b l e D i a g r a m > < D i a g r a m M a n a g e r . S e r i a l i z a b l e D i a g r a m > < A d a p t e r   i : t y p e = " M e a s u r e D i a g r a m S a n d b o x A d a p t e r " > < T a b l e N a m e > A c t u a l A n d B u d g e t < / 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 A c t u a l A n d B u d g e t < / 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=B>< / K e y > < / D i a g r a m O b j e c t K e y > < D i a g r a m O b j e c t K e y > < K e y > C o l u m n s \ 5@8>4< / K e y > < / D i a g r a m O b j e c t K e y > < D i a g r a m O b j e c t K e y > < K e y > C o l u m n s \ V r e d n o s t < / K e y > < / D i a g r a m O b j e c t K e y > < D i a g r a m O b j e c t K e y > < K e y > C o l u m n s \ !B02:0< / K e y > < / D i a g r a m O b j e c t K e y > < D i a g r a m O b j e c t K e y > < K e y > C o l u m n s \ 7=>A< / 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=B>< / K e y > < / a : K e y > < a : V a l u e   i : t y p e = " M e a s u r e G r i d N o d e V i e w S t a t e " > < L a y e d O u t > t r u e < / L a y e d O u t > < / a : V a l u e > < / a : K e y V a l u e O f D i a g r a m O b j e c t K e y a n y T y p e z b w N T n L X > < a : K e y V a l u e O f D i a g r a m O b j e c t K e y a n y T y p e z b w N T n L X > < a : K e y > < K e y > C o l u m n s \ 5@8>4< / K e y > < / a : K e y > < a : V a l u e   i : t y p e = " M e a s u r e G r i d N o d e V i e w S t a t e " > < C o l u m n > 1 < / C o l u m n > < L a y e d O u t > t r u e < / L a y e d O u t > < / a : V a l u e > < / a : K e y V a l u e O f D i a g r a m O b j e c t K e y a n y T y p e z b w N T n L X > < a : K e y V a l u e O f D i a g r a m O b j e c t K e y a n y T y p e z b w N T n L X > < a : K e y > < K e y > C o l u m n s \ V r e d n o s t < / K e y > < / a : K e y > < a : V a l u e   i : t y p e = " M e a s u r e G r i d N o d e V i e w S t a t e " > < C o l u m n > 2 < / C o l u m n > < L a y e d O u t > t r u e < / L a y e d O u t > < / a : V a l u e > < / a : K e y V a l u e O f D i a g r a m O b j e c t K e y a n y T y p e z b w N T n L X > < a : K e y V a l u e O f D i a g r a m O b j e c t K e y a n y T y p e z b w N T n L X > < a : K e y > < K e y > C o l u m n s \ !B02:0< / K e y > < / a : K e y > < a : V a l u e   i : t y p e = " M e a s u r e G r i d N o d e V i e w S t a t e " > < C o l u m n > 3 < / C o l u m n > < L a y e d O u t > t r u e < / L a y e d O u t > < / a : V a l u e > < / a : K e y V a l u e O f D i a g r a m O b j e c t K e y a n y T y p e z b w N T n L X > < a : K e y V a l u e O f D i a g r a m O b j e c t K e y a n y T y p e z b w N T n L X > < a : K e y > < K e y > C o l u m n s \ 7=>A< / K e y > < / a : K e y > < a : V a l u e   i : t y p e = " M e a s u r e G r i d N o d e V i e w S t a t e " > < C o l u m n > 4 < / C o l u m n > < L a y e d O u t > t r u e < / L a y e d O u t > < / a : V a l u e > < / a : K e y V a l u e O f D i a g r a m O b j e c t K e y a n y T y p e z b w N T n L X > < / V i e w S t a t e s > < / D i a g r a m M a n a g e r . S e r i a l i z a b l e D i a g r a m > < D i a g r a m M a n a g e r . S e r i a l i z a b l e D i a g r a m > < A d a p t e r   i : t y p e = " M e a s u r e D i a g r a m S a n d b o x A d a p t e r " > < T a b l e N a m e > r O b r a z e c F i n a n s i s k i P l a n < / 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 r O b r a z e c F i n a n s i s k i P l a n < / 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  D8=0=A8A:8  ?;0=< / K e y > < / D i a g r a m O b j e c t K e y > < D i a g r a m O b j e c t K e y > < K e y > C o l u m n s \ $- AB02:0< / K e y > < / D i a g r a m O b j e c t K e y > < D i a g r a m O b j e c t K e y > < K e y > C o l u m n s \ $- @C?0< / K e y > < / D i a g r a m O b j e c t K e y > < D i a g r a m O b j e c t K e y > < K e y > C o l u m n s \ $- 0B53>@8X0< / K e y > < / D i a g r a m O b j e c t K e y > < D i a g r a m O b j e c t K e y > < K e y > C o l u m n s \ T o t a l i n g < / 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  D8=0=A8A:8  ?;0=< / K e y > < / a : K e y > < a : V a l u e   i : t y p e = " M e a s u r e G r i d N o d e V i e w S t a t e " > < L a y e d O u t > t r u e < / L a y e d O u t > < / a : V a l u e > < / a : K e y V a l u e O f D i a g r a m O b j e c t K e y a n y T y p e z b w N T n L X > < a : K e y V a l u e O f D i a g r a m O b j e c t K e y a n y T y p e z b w N T n L X > < a : K e y > < K e y > C o l u m n s \ $- AB02:0< / K e y > < / a : K e y > < a : V a l u e   i : t y p e = " M e a s u r e G r i d N o d e V i e w S t a t e " > < C o l u m n > 1 < / C o l u m n > < L a y e d O u t > t r u e < / L a y e d O u t > < / a : V a l u e > < / a : K e y V a l u e O f D i a g r a m O b j e c t K e y a n y T y p e z b w N T n L X > < a : K e y V a l u e O f D i a g r a m O b j e c t K e y a n y T y p e z b w N T n L X > < a : K e y > < K e y > C o l u m n s \ $- @C?0< / K e y > < / a : K e y > < a : V a l u e   i : t y p e = " M e a s u r e G r i d N o d e V i e w S t a t e " > < C o l u m n > 2 < / C o l u m n > < L a y e d O u t > t r u e < / L a y e d O u t > < / a : V a l u e > < / a : K e y V a l u e O f D i a g r a m O b j e c t K e y a n y T y p e z b w N T n L X > < a : K e y V a l u e O f D i a g r a m O b j e c t K e y a n y T y p e z b w N T n L X > < a : K e y > < K e y > C o l u m n s \ $- 0B53>@8X0< / K e y > < / a : K e y > < a : V a l u e   i : t y p e = " M e a s u r e G r i d N o d e V i e w S t a t e " > < C o l u m n > 3 < / C o l u m n > < L a y e d O u t > t r u e < / L a y e d O u t > < / a : V a l u e > < / a : K e y V a l u e O f D i a g r a m O b j e c t K e y a n y T y p e z b w N T n L X > < a : K e y V a l u e O f D i a g r a m O b j e c t K e y a n y T y p e z b w N T n L X > < a : K e y > < K e y > C o l u m n s \ T o t a l i n g < / K e y > < / a : K e y > < a : V a l u e   i : t y p e = " M e a s u r e G r i d N o d e V i e w S t a t e " > < C o l u m n > 4 < / C o l u m n > < L a y e d O u t > t r u e < / L a y e d O u t > < / a : V a l u e > < / a : K e y V a l u e O f D i a g r a m O b j e c t K e y a n y T y p e z b w N T n L X > < / V i e w S t a t e s > < / D i a g r a m M a n a g e r . S e r i a l i z a b l e D i a g r a m > < D i a g r a m M a n a g e r . S e r i a l i z a b l e D i a g r a m > < A d a p t e r   i : t y p e = " M e a s u r e D i a g r a m S a n d b o x A d a p t e r " > < T a b l e N a m e > d O b r a z e c F i n a n s i s k i P l a n < / 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 d O b r a z e c F i n a n s i s k i P l a n < / 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  D8=0=A8A:8  ?;0=< / K e y > < / D i a g r a m O b j e c t K e y > < D i a g r a m O b j e c t K e y > < K e y > C o l u m n s \ $- AB02:0< / K e y > < / D i a g r a m O b j e c t K e y > < D i a g r a m O b j e c t K e y > < K e y > C o l u m n s \ $- @C?0< / K e y > < / D i a g r a m O b j e c t K e y > < D i a g r a m O b j e c t K e y > < K e y > C o l u m n s \ $- 0B53>@8X0< / K e y > < / D i a g r a m O b j e c t K e y > < D i a g r a m O b j e c t K e y > < K e y > C o l u m n s \ T o t a l i n g < / K e y > < / D i a g r a m O b j e c t K e y > < D i a g r a m O b j e c t K e y > < K e y > C o l u m n s \ $  !B02:0  =0782< / 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  D8=0=A8A:8  ?;0=< / K e y > < / a : K e y > < a : V a l u e   i : t y p e = " M e a s u r e G r i d N o d e V i e w S t a t e " > < L a y e d O u t > t r u e < / L a y e d O u t > < / a : V a l u e > < / a : K e y V a l u e O f D i a g r a m O b j e c t K e y a n y T y p e z b w N T n L X > < a : K e y V a l u e O f D i a g r a m O b j e c t K e y a n y T y p e z b w N T n L X > < a : K e y > < K e y > C o l u m n s \ $- AB02:0< / K e y > < / a : K e y > < a : V a l u e   i : t y p e = " M e a s u r e G r i d N o d e V i e w S t a t e " > < C o l u m n > 1 < / C o l u m n > < L a y e d O u t > t r u e < / L a y e d O u t > < / a : V a l u e > < / a : K e y V a l u e O f D i a g r a m O b j e c t K e y a n y T y p e z b w N T n L X > < a : K e y V a l u e O f D i a g r a m O b j e c t K e y a n y T y p e z b w N T n L X > < a : K e y > < K e y > C o l u m n s \ $- @C?0< / K e y > < / a : K e y > < a : V a l u e   i : t y p e = " M e a s u r e G r i d N o d e V i e w S t a t e " > < C o l u m n > 2 < / C o l u m n > < L a y e d O u t > t r u e < / L a y e d O u t > < / a : V a l u e > < / a : K e y V a l u e O f D i a g r a m O b j e c t K e y a n y T y p e z b w N T n L X > < a : K e y V a l u e O f D i a g r a m O b j e c t K e y a n y T y p e z b w N T n L X > < a : K e y > < K e y > C o l u m n s \ $- 0B53>@8X0< / K e y > < / a : K e y > < a : V a l u e   i : t y p e = " M e a s u r e G r i d N o d e V i e w S t a t e " > < C o l u m n > 3 < / C o l u m n > < L a y e d O u t > t r u e < / L a y e d O u t > < / a : V a l u e > < / a : K e y V a l u e O f D i a g r a m O b j e c t K e y a n y T y p e z b w N T n L X > < a : K e y V a l u e O f D i a g r a m O b j e c t K e y a n y T y p e z b w N T n L X > < a : K e y > < K e y > C o l u m n s \ T o t a l i n g < / K e y > < / a : K e y > < a : V a l u e   i : t y p e = " M e a s u r e G r i d N o d e V i e w S t a t e " > < C o l u m n > 4 < / C o l u m n > < L a y e d O u t > t r u e < / L a y e d O u t > < / a : V a l u e > < / a : K e y V a l u e O f D i a g r a m O b j e c t K e y a n y T y p e z b w N T n L X > < a : K e y V a l u e O f D i a g r a m O b j e c t K e y a n y T y p e z b w N T n L X > < a : K e y > < K e y > C o l u m n s \ $  !B02:0  =0782< / K e y > < / a : K e y > < a : V a l u e   i : t y p e = " M e a s u r e G r i d N o d e V i e w S t a t e " > < C o l u m n > 5 < / C o l u m n > < L a y e d O u t > t r u e < / L a y e d O u t > < / a : V a l u e > < / a : K e y V a l u e O f D i a g r a m O b j e c t K e y a n y T y p e z b w N T n L X > < / V i e w S t a t e s > < / D i a g r a m M a n a g e r . S e r i a l i z a b l e D i a g r a m > < D i a g r a m M a n a g e r . S e r i a l i z a b l e D i a g r a m > < A d a p t e r   i : t y p e = " M e a s u r e D i a g r a m S a n d b o x A d a p t e r " > < T a b l e N a m e > C a l e n d a r   1 < / 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 C a l e n d a r   1 < / 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 C o l u m n s \ D a t e < / K e y > < / D i a g r a m O b j e c t K e y > < D i a g r a m O b j e c t K e y > < K e y > C o l u m n s \ Y e a r < / K e y > < / D i a g r a m O b j e c t K e y > < D i a g r a m O b j e c t K e y > < K e y > C o l u m n s \ M o n t h   N u m b e r < / K e y > < / D i a g r a m O b j e c t K e y > < D i a g r a m O b j e c t K e y > < K e y > C o l u m n s \ M o n t h < / K e y > < / D i a g r a m O b j e c t K e y > < D i a g r a m O b j e c t K e y > < K e y > C o l u m n s \ M M M - Y Y Y Y < / K e y > < / D i a g r a m O b j e c t K e y > < D i a g r a m O b j e c t K e y > < K e y > C o l u m n s \ D a y   O f   W e e k   N u m b e r < / K e y > < / D i a g r a m O b j e c t K e y > < D i a g r a m O b j e c t K e y > < K e y > C o l u m n s \ D a y   O f   W e e k < / 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 C o l u m n s \ D a t e < / K e y > < / a : K e y > < a : V a l u e   i : t y p e = " M e a s u r e G r i d N o d e V i e w S t a t e " > < L a y e d O u t > t r u e < / L a y e d O u t > < / a : V a l u e > < / a : K e y V a l u e O f D i a g r a m O b j e c t K e y a n y T y p e z b w N T n L X > < a : K e y V a l u e O f D i a g r a m O b j e c t K e y a n y T y p e z b w N T n L X > < a : K e y > < K e y > C o l u m n s \ Y e a r < / K e y > < / a : K e y > < a : V a l u e   i : t y p e = " M e a s u r e G r i d N o d e V i e w S t a t e " > < C o l u m n > 1 < / C o l u m n > < L a y e d O u t > t r u e < / L a y e d O u t > < / a : V a l u e > < / a : K e y V a l u e O f D i a g r a m O b j e c t K e y a n y T y p e z b w N T n L X > < a : K e y V a l u e O f D i a g r a m O b j e c t K e y a n y T y p e z b w N T n L X > < a : K e y > < K e y > C o l u m n s \ M o n t h   N u m b e r < / K e y > < / a : K e y > < a : V a l u e   i : t y p e = " M e a s u r e G r i d N o d e V i e w S t a t e " > < C o l u m n > 2 < / C o l u m n > < L a y e d O u t > t r u e < / L a y e d O u t > < / a : V a l u e > < / a : K e y V a l u e O f D i a g r a m O b j e c t K e y a n y T y p e z b w N T n L X > < a : K e y V a l u e O f D i a g r a m O b j e c t K e y a n y T y p e z b w N T n L X > < a : K e y > < K e y > C o l u m n s \ M o n t h < / K e y > < / a : K e y > < a : V a l u e   i : t y p e = " M e a s u r e G r i d N o d e V i e w S t a t e " > < C o l u m n > 3 < / C o l u m n > < L a y e d O u t > t r u e < / L a y e d O u t > < / a : V a l u e > < / a : K e y V a l u e O f D i a g r a m O b j e c t K e y a n y T y p e z b w N T n L X > < a : K e y V a l u e O f D i a g r a m O b j e c t K e y a n y T y p e z b w N T n L X > < a : K e y > < K e y > C o l u m n s \ M M M - Y Y Y Y < / K e y > < / a : K e y > < a : V a l u e   i : t y p e = " M e a s u r e G r i d N o d e V i e w S t a t e " > < C o l u m n > 4 < / C o l u m n > < L a y e d O u t > t r u e < / L a y e d O u t > < / a : V a l u e > < / a : K e y V a l u e O f D i a g r a m O b j e c t K e y a n y T y p e z b w N T n L X > < a : K e y V a l u e O f D i a g r a m O b j e c t K e y a n y T y p e z b w N T n L X > < a : K e y > < K e y > C o l u m n s \ D a y   O f   W e e k   N u m b e r < / K e y > < / a : K e y > < a : V a l u e   i : t y p e = " M e a s u r e G r i d N o d e V i e w S t a t e " > < C o l u m n > 5 < / C o l u m n > < L a y e d O u t > t r u e < / L a y e d O u t > < / a : V a l u e > < / a : K e y V a l u e O f D i a g r a m O b j e c t K e y a n y T y p e z b w N T n L X > < a : K e y V a l u e O f D i a g r a m O b j e c t K e y a n y T y p e z b w N T n L X > < a : K e y > < K e y > C o l u m n s \ D a y   O f   W e e k < / K e y > < / a : K e y > < a : V a l u e   i : t y p e = " M e a s u r e G r i d N o d e V i e w S t a t e " > < C o l u m n > 6 < / C o l u m n > < L a y e d O u t > t r u e < / L a y e d O u t > < / a : V a l u e > < / a : K e y V a l u e O f D i a g r a m O b j e c t K e y a n y T y p e z b w N T n L X > < / V i e w S t a t e s > < / D i a g r a m M a n a g e r . S e r i a l i z a b l e D i a g r a m > < D i a g r a m M a n a g e r . S e r i a l i z a b l e D i a g r a m > < A d a p t e r   i : t y p e = " M e a s u r e D i a g r a m S a n d b o x A d a p t e r " > < T a b l e N a m e > d O b r a s c i < / 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 d O b r a s c i < / 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 C o l u m n s \ O b r a z e c I D < / K e y > < / D i a g r a m O b j e c t K e y > < D i a g r a m O b j e c t K e y > < K e y > C o l u m n s \ S t a v k a A O P < / K e y > < / D i a g r a m O b j e c t K e y > < D i a g r a m O b j e c t K e y > < K e y > C o l u m n s \ S t a v k a I D < / K e y > < / D i a g r a m O b j e c t K e y > < D i a g r a m O b j e c t K e y > < K e y > C o l u m n s \ S t a v k a I m e M K < / 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 C o l u m n s \ O b r a z e c I D < / K e y > < / a : K e y > < a : V a l u e   i : t y p e = " M e a s u r e G r i d N o d e V i e w S t a t e " > < L a y e d O u t > t r u e < / L a y e d O u t > < / a : V a l u e > < / a : K e y V a l u e O f D i a g r a m O b j e c t K e y a n y T y p e z b w N T n L X > < a : K e y V a l u e O f D i a g r a m O b j e c t K e y a n y T y p e z b w N T n L X > < a : K e y > < K e y > C o l u m n s \ S t a v k a A O P < / K e y > < / a : K e y > < a : V a l u e   i : t y p e = " M e a s u r e G r i d N o d e V i e w S t a t e " > < C o l u m n > 1 < / C o l u m n > < L a y e d O u t > t r u e < / L a y e d O u t > < / a : V a l u e > < / a : K e y V a l u e O f D i a g r a m O b j e c t K e y a n y T y p e z b w N T n L X > < a : K e y V a l u e O f D i a g r a m O b j e c t K e y a n y T y p e z b w N T n L X > < a : K e y > < K e y > C o l u m n s \ S t a v k a I D < / K e y > < / a : K e y > < a : V a l u e   i : t y p e = " M e a s u r e G r i d N o d e V i e w S t a t e " > < C o l u m n > 2 < / C o l u m n > < L a y e d O u t > t r u e < / L a y e d O u t > < / a : V a l u e > < / a : K e y V a l u e O f D i a g r a m O b j e c t K e y a n y T y p e z b w N T n L X > < a : K e y V a l u e O f D i a g r a m O b j e c t K e y a n y T y p e z b w N T n L X > < a : K e y > < K e y > C o l u m n s \ S t a v k a I m e M K < / K e y > < / a : K e y > < a : V a l u e   i : t y p e = " M e a s u r e G r i d N o d e V i e w S t a t e " > < C o l u m n > 3 < / C o l u m n > < L a y e d O u t > t r u e < / L a y e d O u t > < / a : V a l u e > < / a : K e y V a l u e O f D i a g r a m O b j e c t K e y a n y T y p e z b w N T n L X > < / V i e w S t a t e s > < / D i a g r a m M a n a g e r . S e r i a l i z a b l e D i a g r a m > < D i a g r a m M a n a g e r . S e r i a l i z a b l e D i a g r a m > < A d a p t e r   i : t y p e = " M e a s u r e D i a g r a m S a n d b o x A d a p t e r " > < T a b l e N a m e > d K o n t e n P l a n < / 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 d K o n t e n P l a n < / 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 C o l u m n s \ K o n t o < / K e y > < / D i a g r a m O b j e c t K e y > < D i a g r a m O b j e c t K e y > < K e y > C o l u m n s \ N a z i v   n a   k o n t o < / K e y > < / D i a g r a m O b j e c t K e y > < D i a g r a m O b j e c t K e y > < K e y > C o l u m n s \ T i p I z v e s t a j I D < / K e y > < / D i a g r a m O b j e c t K e y > < D i a g r a m O b j e c t K e y > < K e y > C o l u m n s \ O b r a z e c I D < / K e y > < / D i a g r a m O b j e c t K e y > < D i a g r a m O b j e c t K e y > < K e y > C o l u m n s \ S t a v k a I D < / K e y > < / D i a g r a m O b j e c t K e y > < D i a g r a m O b j e c t K e y > < K e y > C o l u m n s \ F P   s t a r < / K e y > < / D i a g r a m O b j e c t K e y > < D i a g r a m O b j e c t K e y > < K e y > C o l u m n s \ S t a v k a I m e M K < / 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 C o l u m n s \ K o n t o < / K e y > < / a : K e y > < a : V a l u e   i : t y p e = " M e a s u r e G r i d N o d e V i e w S t a t e " > < L a y e d O u t > t r u e < / L a y e d O u t > < / a : V a l u e > < / a : K e y V a l u e O f D i a g r a m O b j e c t K e y a n y T y p e z b w N T n L X > < a : K e y V a l u e O f D i a g r a m O b j e c t K e y a n y T y p e z b w N T n L X > < a : K e y > < K e y > C o l u m n s \ N a z i v   n a   k o n t o < / K e y > < / a : K e y > < a : V a l u e   i : t y p e = " M e a s u r e G r i d N o d e V i e w S t a t e " > < C o l u m n > 1 < / C o l u m n > < L a y e d O u t > t r u e < / L a y e d O u t > < / a : V a l u e > < / a : K e y V a l u e O f D i a g r a m O b j e c t K e y a n y T y p e z b w N T n L X > < a : K e y V a l u e O f D i a g r a m O b j e c t K e y a n y T y p e z b w N T n L X > < a : K e y > < K e y > C o l u m n s \ T i p I z v e s t a j I D < / K e y > < / a : K e y > < a : V a l u e   i : t y p e = " M e a s u r e G r i d N o d e V i e w S t a t e " > < C o l u m n > 2 < / C o l u m n > < L a y e d O u t > t r u e < / L a y e d O u t > < / a : V a l u e > < / a : K e y V a l u e O f D i a g r a m O b j e c t K e y a n y T y p e z b w N T n L X > < a : K e y V a l u e O f D i a g r a m O b j e c t K e y a n y T y p e z b w N T n L X > < a : K e y > < K e y > C o l u m n s \ O b r a z e c I D < / K e y > < / a : K e y > < a : V a l u e   i : t y p e = " M e a s u r e G r i d N o d e V i e w S t a t e " > < C o l u m n > 3 < / C o l u m n > < L a y e d O u t > t r u e < / L a y e d O u t > < / a : V a l u e > < / a : K e y V a l u e O f D i a g r a m O b j e c t K e y a n y T y p e z b w N T n L X > < a : K e y V a l u e O f D i a g r a m O b j e c t K e y a n y T y p e z b w N T n L X > < a : K e y > < K e y > C o l u m n s \ S t a v k a I D < / K e y > < / a : K e y > < a : V a l u e   i : t y p e = " M e a s u r e G r i d N o d e V i e w S t a t e " > < C o l u m n > 4 < / C o l u m n > < L a y e d O u t > t r u e < / L a y e d O u t > < / a : V a l u e > < / a : K e y V a l u e O f D i a g r a m O b j e c t K e y a n y T y p e z b w N T n L X > < a : K e y V a l u e O f D i a g r a m O b j e c t K e y a n y T y p e z b w N T n L X > < a : K e y > < K e y > C o l u m n s \ F P   s t a r < / K e y > < / a : K e y > < a : V a l u e   i : t y p e = " M e a s u r e G r i d N o d e V i e w S t a t e " > < C o l u m n > 5 < / C o l u m n > < L a y e d O u t > t r u e < / L a y e d O u t > < / a : V a l u e > < / a : K e y V a l u e O f D i a g r a m O b j e c t K e y a n y T y p e z b w N T n L X > < a : K e y V a l u e O f D i a g r a m O b j e c t K e y a n y T y p e z b w N T n L X > < a : K e y > < K e y > C o l u m n s \ S t a v k a I m e M K < / K e y > < / a : K e y > < a : V a l u e   i : t y p e = " M e a s u r e G r i d N o d e V i e w S t a t e " > < C o l u m n > 6 < / C o l u m n > < L a y e d O u t > t r u e < / L a y e d O u t > < / a : V a l u e > < / a : K e y V a l u e O f D i a g r a m O b j e c t K e y a n y T y p e z b w N T n L X > < / V i e w S t a t e s > < / D i a g r a m M a n a g e r . S e r i a l i z a b l e D i a g r a m > < D i a g r a m M a n a g e r . S e r i a l i z a b l e D i a g r a m > < A d a p t e r   i : t y p e = " M e a s u r e D i a g r a m S a n d b o x A d a p t e r " > < T a b l e N a m e > f N a b a v k i < / 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 f N a b a v k i < / 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  o f   7=>A  4 < / K e y > < / D i a g r a m O b j e c t K e y > < D i a g r a m O b j e c t K e y > < K e y > M e a s u r e s \ S u m   o f   7=>A  4 \ T a g I n f o \ F o r m u l a < / K e y > < / D i a g r a m O b j e c t K e y > < D i a g r a m O b j e c t K e y > < K e y > M e a s u r e s \ S u m   o f   7=>A  4 \ T a g I n f o \ V a l u e < / K e y > < / D i a g r a m O b j e c t K e y > < D i a g r a m O b j e c t K e y > < K e y > C o l u m n s \ @B8:;  < / K e y > < / D i a g r a m O b j e c t K e y > < D i a g r a m O b j e c t K e y > < K e y > C o l u m n s \ !B02:0< / K e y > < / D i a g r a m O b j e c t K e y > < D i a g r a m O b j e c t K e y > < K e y > C o l u m n s \ 5@8>4< / K e y > < / D i a g r a m O b j e c t K e y > < D i a g r a m O b j e c t K e y > < K e y > C o l u m n s \ >:0F8X0< / K e y > < / D i a g r a m O b j e c t K e y > < D i a g r a m O b j e c t K e y > < K e y > C o l u m n s \ 7=>A< / K e y > < / D i a g r a m O b j e c t K e y > < D i a g r a m O b j e c t K e y > < K e y > C o l u m n s \ R e p o r t T y p e < / K e y > < / D i a g r a m O b j e c t K e y > < D i a g r a m O b j e c t K e y > < K e y > C o l u m n s \ 0B53>@8X0  @B8:;  < / K e y > < / D i a g r a m O b j e c t K e y > < D i a g r a m O b j e c t K e y > < K e y > C o l u m n s \ 0B53>@8X0  @B8:;< / K e y > < / D i a g r a m O b j e c t K e y > < D i a g r a m O b j e c t K e y > < K e y > C o l u m n s \ >:0F8X0. 1 < / K e y > < / D i a g r a m O b j e c t K e y > < D i a g r a m O b j e c t K e y > < K e y > C o l u m n s \ "8?  =0  0@B8:;< / K e y > < / D i a g r a m O b j e c t K e y > < D i a g r a m O b j e c t K e y > < K e y > C o l u m n s \ "8?  =0  =0102:0< / K e y > < / D i a g r a m O b j e c t K e y > < D i a g r a m O b j e c t K e y > < K e y > C o l u m n s \ @30=870F8>=0  548=8F0  >43>2>@=0  70  =0102:0B0< / K e y > < / D i a g r a m O b j e c t K e y > < D i a g r a m O b j e c t K e y > < K e y > C o l u m n s \ >=B>< / K e y > < / D i a g r a m O b j e c t K e y > < D i a g r a m O b j e c t K e y > < K e y > L i n k s \ & l t ; C o l u m n s \ S u m   o f   7=>A  4 & g t ; - & l t ; M e a s u r e s \ 7=>A& g t ; < / K e y > < / D i a g r a m O b j e c t K e y > < D i a g r a m O b j e c t K e y > < K e y > L i n k s \ & l t ; C o l u m n s \ S u m   o f   7=>A  4 & g t ; - & l t ; M e a s u r e s \ 7=>A& g t ; \ C O L U M N < / K e y > < / D i a g r a m O b j e c t K e y > < D i a g r a m O b j e c t K e y > < K e y > L i n k s \ & l t ; C o l u m n s \ S u m   o f   7=>A  4 & g t ; - & l t ; M e a s u r e s \ 7=>A& g t ; \ M E A S U R E 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  o f   7=>A  4 < / K e y > < / a : K e y > < a : V a l u e   i : t y p e = " M e a s u r e G r i d N o d e V i e w S t a t e " > < C o l u m n > 1 < / C o l u m n > < L a y e d O u t > t r u e < / L a y e d O u t > < W a s U I I n v i s i b l e > t r u e < / W a s U I I n v i s i b l e > < / a : V a l u e > < / a : K e y V a l u e O f D i a g r a m O b j e c t K e y a n y T y p e z b w N T n L X > < a : K e y V a l u e O f D i a g r a m O b j e c t K e y a n y T y p e z b w N T n L X > < a : K e y > < K e y > M e a s u r e s \ S u m   o f   7=>A  4 \ T a g I n f o \ F o r m u l a < / K e y > < / a : K e y > < a : V a l u e   i : t y p e = " M e a s u r e G r i d V i e w S t a t e I D i a g r a m T a g A d d i t i o n a l I n f o " / > < / a : K e y V a l u e O f D i a g r a m O b j e c t K e y a n y T y p e z b w N T n L X > < a : K e y V a l u e O f D i a g r a m O b j e c t K e y a n y T y p e z b w N T n L X > < a : K e y > < K e y > M e a s u r e s \ S u m   o f   7=>A  4 \ T a g I n f o \ V a l u e < / K e y > < / a : K e y > < a : V a l u e   i : t y p e = " M e a s u r e G r i d V i e w S t a t e I D i a g r a m T a g A d d i t i o n a l I n f o " / > < / a : K e y V a l u e O f D i a g r a m O b j e c t K e y a n y T y p e z b w N T n L X > < a : K e y V a l u e O f D i a g r a m O b j e c t K e y a n y T y p e z b w N T n L X > < a : K e y > < K e y > C o l u m n s \ @B8:;  < / K e y > < / a : K e y > < a : V a l u e   i : t y p e = " M e a s u r e G r i d N o d e V i e w S t a t e " > < C o l u m n > 6 < / C o l u m n > < L a y e d O u t > t r u e < / L a y e d O u t > < / a : V a l u e > < / a : K e y V a l u e O f D i a g r a m O b j e c t K e y a n y T y p e z b w N T n L X > < a : K e y V a l u e O f D i a g r a m O b j e c t K e y a n y T y p e z b w N T n L X > < a : K e y > < K e y > C o l u m n s \ !B02:0< / K e y > < / a : K e y > < a : V a l u e   i : t y p e = " M e a s u r e G r i d N o d e V i e w S t a t e " > < C o l u m n > 1 1 < / C o l u m n > < L a y e d O u t > t r u e < / L a y e d O u t > < / a : V a l u e > < / a : K e y V a l u e O f D i a g r a m O b j e c t K e y a n y T y p e z b w N T n L X > < a : K e y V a l u e O f D i a g r a m O b j e c t K e y a n y T y p e z b w N T n L X > < a : K e y > < K e y > C o l u m n s \ 5@8>4< / K e y > < / a : K e y > < a : V a l u e   i : t y p e = " M e a s u r e G r i d N o d e V i e w S t a t e " > < C o l u m n > 1 2 < / C o l u m n > < L a y e d O u t > t r u e < / L a y e d O u t > < / a : V a l u e > < / a : K e y V a l u e O f D i a g r a m O b j e c t K e y a n y T y p e z b w N T n L X > < a : K e y V a l u e O f D i a g r a m O b j e c t K e y a n y T y p e z b w N T n L X > < a : K e y > < K e y > C o l u m n s \ >:0F8X0< / K e y > < / a : K e y > < a : V a l u e   i : t y p e = " M e a s u r e G r i d N o d e V i e w S t a t e " > < C o l u m n > 7 < / C o l u m n > < L a y e d O u t > t r u e < / L a y e d O u t > < / a : V a l u e > < / a : K e y V a l u e O f D i a g r a m O b j e c t K e y a n y T y p e z b w N T n L X > < a : K e y V a l u e O f D i a g r a m O b j e c t K e y a n y T y p e z b w N T n L X > < a : K e y > < K e y > C o l u m n s \ 7=>A< / K e y > < / a : K e y > < a : V a l u e   i : t y p e = " M e a s u r e G r i d N o d e V i e w S t a t e " > < C o l u m n > 1 < / C o l u m n > < L a y e d O u t > t r u e < / L a y e d O u t > < / a : V a l u e > < / a : K e y V a l u e O f D i a g r a m O b j e c t K e y a n y T y p e z b w N T n L X > < a : K e y V a l u e O f D i a g r a m O b j e c t K e y a n y T y p e z b w N T n L X > < a : K e y > < K e y > C o l u m n s \ R e p o r t T y p e < / K e y > < / a : K e y > < a : V a l u e   i : t y p e = " M e a s u r e G r i d N o d e V i e w S t a t e " > < C o l u m n > 2 < / C o l u m n > < L a y e d O u t > t r u e < / L a y e d O u t > < / a : V a l u e > < / a : K e y V a l u e O f D i a g r a m O b j e c t K e y a n y T y p e z b w N T n L X > < a : K e y V a l u e O f D i a g r a m O b j e c t K e y a n y T y p e z b w N T n L X > < a : K e y > < K e y > C o l u m n s \ 0B53>@8X0  @B8:;  < / K e y > < / a : K e y > < a : V a l u e   i : t y p e = " M e a s u r e G r i d N o d e V i e w S t a t e " > < C o l u m n > 8 < / C o l u m n > < L a y e d O u t > t r u e < / L a y e d O u t > < / a : V a l u e > < / a : K e y V a l u e O f D i a g r a m O b j e c t K e y a n y T y p e z b w N T n L X > < a : K e y V a l u e O f D i a g r a m O b j e c t K e y a n y T y p e z b w N T n L X > < a : K e y > < K e y > C o l u m n s \ 0B53>@8X0  @B8:;< / K e y > < / a : K e y > < a : V a l u e   i : t y p e = " M e a s u r e G r i d N o d e V i e w S t a t e " > < C o l u m n > 3 < / C o l u m n > < L a y e d O u t > t r u e < / L a y e d O u t > < / a : V a l u e > < / a : K e y V a l u e O f D i a g r a m O b j e c t K e y a n y T y p e z b w N T n L X > < a : K e y V a l u e O f D i a g r a m O b j e c t K e y a n y T y p e z b w N T n L X > < a : K e y > < K e y > C o l u m n s \ >:0F8X0. 1 < / K e y > < / a : K e y > < a : V a l u e   i : t y p e = " M e a s u r e G r i d N o d e V i e w S t a t e " > < C o l u m n > 9 < / C o l u m n > < L a y e d O u t > t r u e < / L a y e d O u t > < / a : V a l u e > < / a : K e y V a l u e O f D i a g r a m O b j e c t K e y a n y T y p e z b w N T n L X > < a : K e y V a l u e O f D i a g r a m O b j e c t K e y a n y T y p e z b w N T n L X > < a : K e y > < K e y > C o l u m n s \ "8?  =0  0@B8:;< / K e y > < / a : K e y > < a : V a l u e   i : t y p e = " M e a s u r e G r i d N o d e V i e w S t a t e " > < C o l u m n > 4 < / C o l u m n > < L a y e d O u t > t r u e < / L a y e d O u t > < / a : V a l u e > < / a : K e y V a l u e O f D i a g r a m O b j e c t K e y a n y T y p e z b w N T n L X > < a : K e y V a l u e O f D i a g r a m O b j e c t K e y a n y T y p e z b w N T n L X > < a : K e y > < K e y > C o l u m n s \ "8?  =0  =0102:0< / K e y > < / a : K e y > < a : V a l u e   i : t y p e = " M e a s u r e G r i d N o d e V i e w S t a t e " > < C o l u m n > 5 < / C o l u m n > < L a y e d O u t > t r u e < / L a y e d O u t > < / a : V a l u e > < / a : K e y V a l u e O f D i a g r a m O b j e c t K e y a n y T y p e z b w N T n L X > < a : K e y V a l u e O f D i a g r a m O b j e c t K e y a n y T y p e z b w N T n L X > < a : K e y > < K e y > C o l u m n s \ @30=870F8>=0  548=8F0  >43>2>@=0  70  =0102:0B0< / K e y > < / a : K e y > < a : V a l u e   i : t y p e = " M e a s u r e G r i d N o d e V i e w S t a t e " > < C o l u m n > 1 0 < / C o l u m n > < L a y e d O u t > t r u e < / L a y e d O u t > < / a : V a l u e > < / a : K e y V a l u e O f D i a g r a m O b j e c t K e y a n y T y p e z b w N T n L X > < a : K e y V a l u e O f D i a g r a m O b j e c t K e y a n y T y p e z b w N T n L X > < a : K e y > < K e y > C o l u m n s \ >=B>< / K e y > < / a : K e y > < a : V a l u e   i : t y p e = " M e a s u r e G r i d N o d e V i e w S t a t e " > < L a y e d O u t > t r u e < / L a y e d O u t > < / a : V a l u e > < / a : K e y V a l u e O f D i a g r a m O b j e c t K e y a n y T y p e z b w N T n L X > < a : K e y V a l u e O f D i a g r a m O b j e c t K e y a n y T y p e z b w N T n L X > < a : K e y > < K e y > L i n k s \ & l t ; C o l u m n s \ S u m   o f   7=>A  4 & g t ; - & l t ; M e a s u r e s \ 7=>A& g t ; < / K e y > < / a : K e y > < a : V a l u e   i : t y p e = " M e a s u r e G r i d V i e w S t a t e I D i a g r a m L i n k " / > < / a : K e y V a l u e O f D i a g r a m O b j e c t K e y a n y T y p e z b w N T n L X > < a : K e y V a l u e O f D i a g r a m O b j e c t K e y a n y T y p e z b w N T n L X > < a : K e y > < K e y > L i n k s \ & l t ; C o l u m n s \ S u m   o f   7=>A  4 & g t ; - & l t ; M e a s u r e s \ 7=>A& g t ; \ C O L U M N < / K e y > < / a : K e y > < a : V a l u e   i : t y p e = " M e a s u r e G r i d V i e w S t a t e I D i a g r a m L i n k E n d p o i n t " / > < / a : K e y V a l u e O f D i a g r a m O b j e c t K e y a n y T y p e z b w N T n L X > < a : K e y V a l u e O f D i a g r a m O b j e c t K e y a n y T y p e z b w N T n L X > < a : K e y > < K e y > L i n k s \ & l t ; C o l u m n s \ S u m   o f   7=>A  4 & g t ; - & l t ; M e a s u r e s \ 7=>A& g t ; \ M E A S U R E < / K e y > < / a : K e y > < a : V a l u e   i : t y p e = " M e a s u r e G r i d V i e w S t a t e I D i a g r a m L i n k E n d p o i n t " / > < / a : K e y V a l u e O f D i a g r a m O b j e c t K e y a n y T y p e z b w N T n L X > < / V i e w S t a t e s > < / D i a g r a m M a n a g e r . S e r i a l i z a b l e D i a g r a m > < D i a g r a m M a n a g e r . S e r i a l i z a b l e D i a g r a m > < A d a p t e r   i : t y p e = " M e a s u r e D i a g r a m S a n d b o x A d a p t e r " > < T a b l e N a m e > O P E X A n a l i z a < / 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 O P E X A n a l i z a < / 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  o f   7=>A  4 < / K e y > < / D i a g r a m O b j e c t K e y > < D i a g r a m O b j e c t K e y > < K e y > M e a s u r e s \ S u m   o f   7=>A  4 \ T a g I n f o \ F o r m u l a < / K e y > < / D i a g r a m O b j e c t K e y > < D i a g r a m O b j e c t K e y > < K e y > M e a s u r e s \ S u m   o f   7=>A  4 \ T a g I n f o \ V a l u e < / K e y > < / D i a g r a m O b j e c t K e y > < D i a g r a m O b j e c t K e y > < K e y > C o l u m n s \ @B8:;  < / K e y > < / D i a g r a m O b j e c t K e y > < D i a g r a m O b j e c t K e y > < K e y > C o l u m n s \ !B02:0< / K e y > < / D i a g r a m O b j e c t K e y > < D i a g r a m O b j e c t K e y > < K e y > C o l u m n s \ 0B53>@8X0  @B8:;  < / K e y > < / D i a g r a m O b j e c t K e y > < D i a g r a m O b j e c t K e y > < K e y > C o l u m n s \ 0B53>@8X0  @B8:;< / K e y > < / D i a g r a m O b j e c t K e y > < D i a g r a m O b j e c t K e y > < K e y > C o l u m n s \ "8?  =0  0@B8:;< / K e y > < / D i a g r a m O b j e c t K e y > < D i a g r a m O b j e c t K e y > < K e y > C o l u m n s \ 48=5G=0  <5@:0< / K e y > < / D i a g r a m O b j e c t K e y > < D i a g r a m O b j e c t K e y > < K e y > C o l u m n s \ >;8G8=0< / K e y > < / D i a g r a m O b j e c t K e y > < D i a g r a m O b j e c t K e y > < K e y > C o l u m n s \ 48=5G=0  F5=0< / K e y > < / D i a g r a m O b j e c t K e y > < D i a g r a m O b j e c t K e y > < K e y > C o l u m n s \ 7=>A< / K e y > < / D i a g r a m O b j e c t K e y > < D i a g r a m O b j e c t K e y > < K e y > C o l u m n s \ < / K e y > < / D i a g r a m O b j e c t K e y > < D i a g r a m O b j e c t K e y > < K e y > C o l u m n s \ :C?=>  B@>H>:  A>  < / K e y > < / D i a g r a m O b j e c t K e y > < D i a g r a m O b j e c t K e y > < K e y > C o l u m n s \ >=B>< / K e y > < / D i a g r a m O b j e c t K e y > < D i a g r a m O b j e c t K e y > < K e y > C o l u m n s \ 5@8>4< / K e y > < / D i a g r a m O b j e c t K e y > < D i a g r a m O b j e c t K e y > < K e y > C o l u m n s \ R e p o r t T y p e < / K e y > < / D i a g r a m O b j e c t K e y > < D i a g r a m O b j e c t K e y > < K e y > C o l u m n s \ S t a v k a I m e M K < / K e y > < / D i a g r a m O b j e c t K e y > < D i a g r a m O b j e c t K e y > < K e y > C o l u m n s \ S t a v k a K a t e g o r i j a < / K e y > < / D i a g r a m O b j e c t K e y > < D i a g r a m O b j e c t K e y > < K e y > C o l u m n s \ O b r a z e c I m e < / K e y > < / D i a g r a m O b j e c t K e y > < D i a g r a m O b j e c t K e y > < K e y > C o l u m n s \ S t a v k a I m e A O P < / K e y > < / D i a g r a m O b j e c t K e y > < D i a g r a m O b j e c t K e y > < K e y > C o l u m n s \ 5@8>4  ( Y e a r ) < / K e y > < / D i a g r a m O b j e c t K e y > < D i a g r a m O b j e c t K e y > < K e y > C o l u m n s \ 5@8>4  ( Q u a r t e r ) < / K e y > < / D i a g r a m O b j e c t K e y > < D i a g r a m O b j e c t K e y > < K e y > C o l u m n s \ 5@8>4  ( M o n t h   I n d e x ) < / K e y > < / D i a g r a m O b j e c t K e y > < D i a g r a m O b j e c t K e y > < K e y > C o l u m n s \ 5@8>4  ( M o n t h ) < / K e y > < / D i a g r a m O b j e c t K e y > < D i a g r a m O b j e c t K e y > < K e y > L i n k s \ & l t ; C o l u m n s \ S u m   o f   7=>A  4 & g t ; - & l t ; M e a s u r e s \ 7=>A& g t ; < / K e y > < / D i a g r a m O b j e c t K e y > < D i a g r a m O b j e c t K e y > < K e y > L i n k s \ & l t ; C o l u m n s \ S u m   o f   7=>A  4 & g t ; - & l t ; M e a s u r e s \ 7=>A& g t ; \ C O L U M N < / K e y > < / D i a g r a m O b j e c t K e y > < D i a g r a m O b j e c t K e y > < K e y > L i n k s \ & l t ; C o l u m n s \ S u m   o f   7=>A  4 & g t ; - & l t ; M e a s u r e s \ 7=>A& g t ; \ M E A S U R E 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  o f   7=>A  4 < / K e y > < / a : K e y > < a : V a l u e   i : t y p e = " M e a s u r e G r i d N o d e V i e w S t a t e " > < C o l u m n > 1 < / C o l u m n > < L a y e d O u t > t r u e < / L a y e d O u t > < W a s U I I n v i s i b l e > t r u e < / W a s U I I n v i s i b l e > < / a : V a l u e > < / a : K e y V a l u e O f D i a g r a m O b j e c t K e y a n y T y p e z b w N T n L X > < a : K e y V a l u e O f D i a g r a m O b j e c t K e y a n y T y p e z b w N T n L X > < a : K e y > < K e y > M e a s u r e s \ S u m   o f   7=>A  4 \ T a g I n f o \ F o r m u l a < / K e y > < / a : K e y > < a : V a l u e   i : t y p e = " M e a s u r e G r i d V i e w S t a t e I D i a g r a m T a g A d d i t i o n a l I n f o " / > < / a : K e y V a l u e O f D i a g r a m O b j e c t K e y a n y T y p e z b w N T n L X > < a : K e y V a l u e O f D i a g r a m O b j e c t K e y a n y T y p e z b w N T n L X > < a : K e y > < K e y > M e a s u r e s \ S u m   o f   7=>A  4 \ T a g I n f o \ V a l u e < / K e y > < / a : K e y > < a : V a l u e   i : t y p e = " M e a s u r e G r i d V i e w S t a t e I D i a g r a m T a g A d d i t i o n a l I n f o " / > < / a : K e y V a l u e O f D i a g r a m O b j e c t K e y a n y T y p e z b w N T n L X > < a : K e y V a l u e O f D i a g r a m O b j e c t K e y a n y T y p e z b w N T n L X > < a : K e y > < K e y > C o l u m n s \ @B8:;  < / K e y > < / a : K e y > < a : V a l u e   i : t y p e = " M e a s u r e G r i d N o d e V i e w S t a t e " > < C o l u m n > 1 2 < / C o l u m n > < L a y e d O u t > t r u e < / L a y e d O u t > < / a : V a l u e > < / a : K e y V a l u e O f D i a g r a m O b j e c t K e y a n y T y p e z b w N T n L X > < a : K e y V a l u e O f D i a g r a m O b j e c t K e y a n y T y p e z b w N T n L X > < a : K e y > < K e y > C o l u m n s \ !B02:0< / K e y > < / a : K e y > < a : V a l u e   i : t y p e = " M e a s u r e G r i d N o d e V i e w S t a t e " > < L a y e d O u t > t r u e < / L a y e d O u t > < / a : V a l u e > < / a : K e y V a l u e O f D i a g r a m O b j e c t K e y a n y T y p e z b w N T n L X > < a : K e y V a l u e O f D i a g r a m O b j e c t K e y a n y T y p e z b w N T n L X > < a : K e y > < K e y > C o l u m n s \ 0B53>@8X0  @B8:;  < / K e y > < / a : K e y > < a : V a l u e   i : t y p e = " M e a s u r e G r i d N o d e V i e w S t a t e " > < C o l u m n > 1 3 < / C o l u m n > < L a y e d O u t > t r u e < / L a y e d O u t > < / a : V a l u e > < / a : K e y V a l u e O f D i a g r a m O b j e c t K e y a n y T y p e z b w N T n L X > < a : K e y V a l u e O f D i a g r a m O b j e c t K e y a n y T y p e z b w N T n L X > < a : K e y > < K e y > C o l u m n s \ 0B53>@8X0  @B8:;< / K e y > < / a : K e y > < a : V a l u e   i : t y p e = " M e a s u r e G r i d N o d e V i e w S t a t e " > < C o l u m n > 1 4 < / C o l u m n > < L a y e d O u t > t r u e < / L a y e d O u t > < / a : V a l u e > < / a : K e y V a l u e O f D i a g r a m O b j e c t K e y a n y T y p e z b w N T n L X > < a : K e y V a l u e O f D i a g r a m O b j e c t K e y a n y T y p e z b w N T n L X > < a : K e y > < K e y > C o l u m n s \ "8?  =0  0@B8:;< / K e y > < / a : K e y > < a : V a l u e   i : t y p e = " M e a s u r e G r i d N o d e V i e w S t a t e " > < C o l u m n > 1 5 < / C o l u m n > < L a y e d O u t > t r u e < / L a y e d O u t > < / a : V a l u e > < / a : K e y V a l u e O f D i a g r a m O b j e c t K e y a n y T y p e z b w N T n L X > < a : K e y V a l u e O f D i a g r a m O b j e c t K e y a n y T y p e z b w N T n L X > < a : K e y > < K e y > C o l u m n s \ 48=5G=0  <5@:0< / K e y > < / a : K e y > < a : V a l u e   i : t y p e = " M e a s u r e G r i d N o d e V i e w S t a t e " > < C o l u m n > 1 6 < / C o l u m n > < L a y e d O u t > t r u e < / L a y e d O u t > < / a : V a l u e > < / a : K e y V a l u e O f D i a g r a m O b j e c t K e y a n y T y p e z b w N T n L X > < a : K e y V a l u e O f D i a g r a m O b j e c t K e y a n y T y p e z b w N T n L X > < a : K e y > < K e y > C o l u m n s \ >;8G8=0< / K e y > < / a : K e y > < a : V a l u e   i : t y p e = " M e a s u r e G r i d N o d e V i e w S t a t e " > < C o l u m n > 1 7 < / C o l u m n > < L a y e d O u t > t r u e < / L a y e d O u t > < / a : V a l u e > < / a : K e y V a l u e O f D i a g r a m O b j e c t K e y a n y T y p e z b w N T n L X > < a : K e y V a l u e O f D i a g r a m O b j e c t K e y a n y T y p e z b w N T n L X > < a : K e y > < K e y > C o l u m n s \ 48=5G=0  F5=0< / K e y > < / a : K e y > < a : V a l u e   i : t y p e = " M e a s u r e G r i d N o d e V i e w S t a t e " > < C o l u m n > 1 8 < / C o l u m n > < L a y e d O u t > t r u e < / L a y e d O u t > < / a : V a l u e > < / a : K e y V a l u e O f D i a g r a m O b j e c t K e y a n y T y p e z b w N T n L X > < a : K e y V a l u e O f D i a g r a m O b j e c t K e y a n y T y p e z b w N T n L X > < a : K e y > < K e y > C o l u m n s \ 7=>A< / K e y > < / a : K e y > < a : V a l u e   i : t y p e = " M e a s u r e G r i d N o d e V i e w S t a t e " > < C o l u m n > 1 < / C o l u m n > < L a y e d O u t > t r u e < / L a y e d O u t > < / a : V a l u e > < / a : K e y V a l u e O f D i a g r a m O b j e c t K e y a n y T y p e z b w N T n L X > < a : K e y V a l u e O f D i a g r a m O b j e c t K e y a n y T y p e z b w N T n L X > < a : K e y > < K e y > C o l u m n s \ < / K e y > < / a : K e y > < a : V a l u e   i : t y p e = " M e a s u r e G r i d N o d e V i e w S t a t e " > < C o l u m n > 1 9 < / C o l u m n > < L a y e d O u t > t r u e < / L a y e d O u t > < / a : V a l u e > < / a : K e y V a l u e O f D i a g r a m O b j e c t K e y a n y T y p e z b w N T n L X > < a : K e y V a l u e O f D i a g r a m O b j e c t K e y a n y T y p e z b w N T n L X > < a : K e y > < K e y > C o l u m n s \ :C?=>  B@>H>:  A>  < / K e y > < / a : K e y > < a : V a l u e   i : t y p e = " M e a s u r e G r i d N o d e V i e w S t a t e " > < C o l u m n > 2 0 < / C o l u m n > < L a y e d O u t > t r u e < / L a y e d O u t > < / a : V a l u e > < / a : K e y V a l u e O f D i a g r a m O b j e c t K e y a n y T y p e z b w N T n L X > < a : K e y V a l u e O f D i a g r a m O b j e c t K e y a n y T y p e z b w N T n L X > < a : K e y > < K e y > C o l u m n s \ >=B>< / K e y > < / a : K e y > < a : V a l u e   i : t y p e = " M e a s u r e G r i d N o d e V i e w S t a t e " > < C o l u m n > 2 < / C o l u m n > < L a y e d O u t > t r u e < / L a y e d O u t > < / a : V a l u e > < / a : K e y V a l u e O f D i a g r a m O b j e c t K e y a n y T y p e z b w N T n L X > < a : K e y V a l u e O f D i a g r a m O b j e c t K e y a n y T y p e z b w N T n L X > < a : K e y > < K e y > C o l u m n s \ 5@8>4< / K e y > < / a : K e y > < a : V a l u e   i : t y p e = " M e a s u r e G r i d N o d e V i e w S t a t e " > < C o l u m n > 7 < / C o l u m n > < L a y e d O u t > t r u e < / L a y e d O u t > < / a : V a l u e > < / a : K e y V a l u e O f D i a g r a m O b j e c t K e y a n y T y p e z b w N T n L X > < a : K e y V a l u e O f D i a g r a m O b j e c t K e y a n y T y p e z b w N T n L X > < a : K e y > < K e y > C o l u m n s \ R e p o r t T y p e < / K e y > < / a : K e y > < a : V a l u e   i : t y p e = " M e a s u r e G r i d N o d e V i e w S t a t e " > < C o l u m n > 5 < / C o l u m n > < L a y e d O u t > t r u e < / L a y e d O u t > < / a : V a l u e > < / a : K e y V a l u e O f D i a g r a m O b j e c t K e y a n y T y p e z b w N T n L X > < a : K e y V a l u e O f D i a g r a m O b j e c t K e y a n y T y p e z b w N T n L X > < a : K e y > < K e y > C o l u m n s \ S t a v k a I m e M K < / K e y > < / a : K e y > < a : V a l u e   i : t y p e = " M e a s u r e G r i d N o d e V i e w S t a t e " > < C o l u m n > 3 < / C o l u m n > < L a y e d O u t > t r u e < / L a y e d O u t > < / a : V a l u e > < / a : K e y V a l u e O f D i a g r a m O b j e c t K e y a n y T y p e z b w N T n L X > < a : K e y V a l u e O f D i a g r a m O b j e c t K e y a n y T y p e z b w N T n L X > < a : K e y > < K e y > C o l u m n s \ S t a v k a K a t e g o r i j a < / K e y > < / a : K e y > < a : V a l u e   i : t y p e = " M e a s u r e G r i d N o d e V i e w S t a t e " > < C o l u m n > 4 < / C o l u m n > < L a y e d O u t > t r u e < / L a y e d O u t > < / a : V a l u e > < / a : K e y V a l u e O f D i a g r a m O b j e c t K e y a n y T y p e z b w N T n L X > < a : K e y V a l u e O f D i a g r a m O b j e c t K e y a n y T y p e z b w N T n L X > < a : K e y > < K e y > C o l u m n s \ O b r a z e c I m e < / K e y > < / a : K e y > < a : V a l u e   i : t y p e = " M e a s u r e G r i d N o d e V i e w S t a t e " > < C o l u m n > 2 1 < / C o l u m n > < L a y e d O u t > t r u e < / L a y e d O u t > < / a : V a l u e > < / a : K e y V a l u e O f D i a g r a m O b j e c t K e y a n y T y p e z b w N T n L X > < a : K e y V a l u e O f D i a g r a m O b j e c t K e y a n y T y p e z b w N T n L X > < a : K e y > < K e y > C o l u m n s \ S t a v k a I m e A O P < / K e y > < / a : K e y > < a : V a l u e   i : t y p e = " M e a s u r e G r i d N o d e V i e w S t a t e " > < C o l u m n > 6 < / C o l u m n > < L a y e d O u t > t r u e < / L a y e d O u t > < / a : V a l u e > < / a : K e y V a l u e O f D i a g r a m O b j e c t K e y a n y T y p e z b w N T n L X > < a : K e y V a l u e O f D i a g r a m O b j e c t K e y a n y T y p e z b w N T n L X > < a : K e y > < K e y > C o l u m n s \ 5@8>4  ( Y e a r ) < / K e y > < / a : K e y > < a : V a l u e   i : t y p e = " M e a s u r e G r i d N o d e V i e w S t a t e " > < C o l u m n > 8 < / C o l u m n > < L a y e d O u t > t r u e < / L a y e d O u t > < / a : V a l u e > < / a : K e y V a l u e O f D i a g r a m O b j e c t K e y a n y T y p e z b w N T n L X > < a : K e y V a l u e O f D i a g r a m O b j e c t K e y a n y T y p e z b w N T n L X > < a : K e y > < K e y > C o l u m n s \ 5@8>4  ( Q u a r t e r ) < / K e y > < / a : K e y > < a : V a l u e   i : t y p e = " M e a s u r e G r i d N o d e V i e w S t a t e " > < C o l u m n > 9 < / C o l u m n > < L a y e d O u t > t r u e < / L a y e d O u t > < / a : V a l u e > < / a : K e y V a l u e O f D i a g r a m O b j e c t K e y a n y T y p e z b w N T n L X > < a : K e y V a l u e O f D i a g r a m O b j e c t K e y a n y T y p e z b w N T n L X > < a : K e y > < K e y > C o l u m n s \ 5@8>4  ( M o n t h   I n d e x ) < / K e y > < / a : K e y > < a : V a l u e   i : t y p e = " M e a s u r e G r i d N o d e V i e w S t a t e " > < C o l u m n > 1 0 < / C o l u m n > < L a y e d O u t > t r u e < / L a y e d O u t > < / a : V a l u e > < / a : K e y V a l u e O f D i a g r a m O b j e c t K e y a n y T y p e z b w N T n L X > < a : K e y V a l u e O f D i a g r a m O b j e c t K e y a n y T y p e z b w N T n L X > < a : K e y > < K e y > C o l u m n s \ 5@8>4  ( M o n t h ) < / K e y > < / a : K e y > < a : V a l u e   i : t y p e = " M e a s u r e G r i d N o d e V i e w S t a t e " > < C o l u m n > 1 1 < / C o l u m n > < L a y e d O u t > t r u e < / L a y e d O u t > < / a : V a l u e > < / a : K e y V a l u e O f D i a g r a m O b j e c t K e y a n y T y p e z b w N T n L X > < a : K e y V a l u e O f D i a g r a m O b j e c t K e y a n y T y p e z b w N T n L X > < a : K e y > < K e y > L i n k s \ & l t ; C o l u m n s \ S u m   o f   7=>A  4 & g t ; - & l t ; M e a s u r e s \ 7=>A& g t ; < / K e y > < / a : K e y > < a : V a l u e   i : t y p e = " M e a s u r e G r i d V i e w S t a t e I D i a g r a m L i n k " / > < / a : K e y V a l u e O f D i a g r a m O b j e c t K e y a n y T y p e z b w N T n L X > < a : K e y V a l u e O f D i a g r a m O b j e c t K e y a n y T y p e z b w N T n L X > < a : K e y > < K e y > L i n k s \ & l t ; C o l u m n s \ S u m   o f   7=>A  4 & g t ; - & l t ; M e a s u r e s \ 7=>A& g t ; \ C O L U M N < / K e y > < / a : K e y > < a : V a l u e   i : t y p e = " M e a s u r e G r i d V i e w S t a t e I D i a g r a m L i n k E n d p o i n t " / > < / a : K e y V a l u e O f D i a g r a m O b j e c t K e y a n y T y p e z b w N T n L X > < a : K e y V a l u e O f D i a g r a m O b j e c t K e y a n y T y p e z b w N T n L X > < a : K e y > < K e y > L i n k s \ & l t ; C o l u m n s \ S u m   o f   7=>A  4 & g t ; - & l t ; M e a s u r e s \ 7=>A& g t ; \ M E A S U R E < / K e y > < / a : K e y > < a : V a l u e   i : t y p e = " M e a s u r e G r i d V i e w S t a t e I D i a g r a m L i n k E n d p o i n t " / > < / a : K e y V a l u e O f D i a g r a m O b j e c t K e y a n y T y p e z b w N T n L X > < / V i e w S t a t e s > < / D i a g r a m M a n a g e r . S e r i a l i z a b l e D i a g r a m > < D i a g r a m M a n a g e r . S e r i a l i z a b l e D i a g r a m > < A d a p t e r   i : t y p e = " E R D i a g r a m S a n d b o x A d a p t e r " > < P e r s p e c t i v e N a m e / > < / A d a p t e r > < D i a g r a m T y p e > E R D i a g r a m < / D i a g r a m T y p e > < D i s p l a y C o n t e x t   i : t y p e = " D i a g r a m D i s p l a y C o n t e x t " > < P r i m a r y T a g G r o u p K e y > < K e y > T a g G r o u p s \ N o d e   T y p e s < / K e y > < / P r i m a r y T a g G r o u p K e y > < S h o w H i d d e n > t r u e < / S h o w H i d d e n > < S h o w n T a g G r o u p K e y s > < D i a g r a m O b j e c t K e y > < K e y > T a g G r o u p s \ W a r n i n g s < / K e y > < / D i a g r a m O b j e c t K e y > < / S h o w n T a g G r o u p K e y s > < T a g G r o u p H i g h l i g h t s K e y > < K e y > T a g G r o u p s \ H i g h l i g h t   R e a s o n s < / K e y > < / T a g G r o u p H i g h l i g h t s K e y > < T a g H i d d e n K e y > < K e y > S t a t i c   T a g s \ H i d d e n < / K e y > < / T a g H i d d e n K e y > < T a g H i g h l i g h t D i s a p p e a r i n g K e y > < K e y > S t a t i c   T a g s \ D e l e t i n g < / K e y > < / T a g H i g h l i g h t D i s a p p e a r i n g K e y > < T a g H i g h l i g h t P r e v i e w L i n k C r e a t i o n K e y > < K e y > S t a t i c   T a g s \ C r e a t i n g   V a l i d   R e l a t i o n s h i p < / K e y > < / T a g H i g h l i g h t P r e v i e w L i n k C r e a t i o n K e y > < T a g H i g h l i g h t R e l a t e d K e y > < K e y > S t a t i c   T a g s \ R e l a t e d < / K e y > < / T a g H i g h l i g h t R e l a t e d K e y > < T a g H i n t T e x t K e y > < K e y > S t a t i c   T a g s \ H i n t   T e x t < / K e y > < / T a g H i n t T e x t K e y > < T a g I m p l i c i t M e a s u r e K e y > < K e y > S t a t i c   T a g s \ I s   I m p l i c i t   M e a s u r e < / K e y > < / T a g I m p l i c i t M e a s u r e K e y > < T a g I n a c t i v e K e y > < K e y > S t a t i c   T a g s \ I n a c t i v e < / K e y > < / T a g I n a c t i v e K e y > < T a g P r e v i e w A c t i v e K e y > < K e y > S t a t i c   T a g s \ P r e v i e w   A c t i v e < / K e y > < / T a g P r e v i e w A c t i v e K e y > < T a g P r e v i e w I n a c t i v e K e y > < K e y > S t a t i c   T a g s \ P r e v i e w   I n a c t i v e < / K e y > < / T a g P r e v i e w I n a c t i v e K e y > < / D i s p l a y C o n t e x t > < D i s p l a y T y p e > D i a g r a m D i s p l a y < / D i s p l a y T y p e > < K e y   i : t y p e = " S a n d b o x E d i t o r D i a g r a m K e y " > < P e r s p e c t i v e / > < / K e y > < M a i n t a i n e r   i : t y p e = " E R D i a g r a m . E R D i a g r a m M a i n t a i n e r " > < A l l K e y s > < D i a g r a m O b j e c t K e y > < K e y > E R   D i a g r a m < / K e y > < / D i a g r a m O b j e c t K e y > < D i a g r a m O b j e c t K e y > < K e y > A c t i o n s \ D e l e t e < / K e y > < / D i a g r a m O b j e c t K e y > < D i a g r a m O b j e c t K e y > < K e y > A c t i o n s \ D e l e t e   f r o m   m o d e l < / K e y > < / D i a g r a m O b j e c t K e y > < D i a g r a m O b j e c t K e y > < K e y > A c t i o n s \ S e l e c t < / K e y > < / D i a g r a m O b j e c t K e y > < D i a g r a m O b j e c t K e y > < K e y > A c t i o n s \ C r e a t e   R e l a t i o n s h i p < / K e y > < / D i a g r a m O b j e c t K e y > < D i a g r a m O b j e c t K e y > < K e y > A c t i o n s \ L a u n c h   C r e a t e   R e l a t i o n s h i p   D i a l o g < / K e y > < / D i a g r a m O b j e c t K e y > < D i a g r a m O b j e c t K e y > < K e y > A c t i o n s \ L a u n c h   E d i t   R e l a t i o n s h i p   D i a l o g < / K e y > < / D i a g r a m O b j e c t K e y > < D i a g r a m O b j e c t K e y > < K e y > A c t i o n s \ C r e a t e   H i e r a r c h y   w i t h   L e v e l s < / K e y > < / D i a g r a m O b j e c t K e y > < D i a g r a m O b j e c t K e y > < K e y > A c t i o n s \ C r e a t e   E m p t y   H i e r a r c h y < / K e y > < / D i a g r a m O b j e c t K e y > < D i a g r a m O b j e c t K e y > < K e y > A c t i o n s \ R e m o v e   f r o m   H i e r a r c h y < / K e y > < / D i a g r a m O b j e c t K e y > < D i a g r a m O b j e c t K e y > < K e y > A c t i o n s \ R e n a m e   N o d e < / K e y > < / D i a g r a m O b j e c t K e y > < D i a g r a m O b j e c t K e y > < K e y > A c t i o n s \ M o v e   N o d e < / K e y > < / D i a g r a m O b j e c t K e y > < D i a g r a m O b j e c t K e y > < K e y > A c t i o n s \ H i d e   t h e   e n t i t y < / K e y > < / D i a g r a m O b j e c t K e y > < D i a g r a m O b j e c t K e y > < K e y > A c t i o n s \ U n h i d e   t h e   e n t i t y < / K e y > < / D i a g r a m O b j e c t K e y > < D i a g r a m O b j e c t K e y > < K e y > A c t i o n s \ G o T o < / K e y > < / D i a g r a m O b j e c t K e y > < D i a g r a m O b j e c t K e y > < K e y > A c t i o n s \ M o v e   U p < / K e y > < / D i a g r a m O b j e c t K e y > < D i a g r a m O b j e c t K e y > < K e y > A c t i o n s \ M o v e   D o w n < / K e y > < / D i a g r a m O b j e c t K e y > < D i a g r a m O b j e c t K e y > < K e y > A c t i o n s \ M a r k   R e l a t i o n s h i p   a s   A c t i v e < / K e y > < / D i a g r a m O b j e c t K e y > < D i a g r a m O b j e c t K e y > < K e y > A c t i o n s \ M a r k   R e l a t i o n s h i p   a s   I n a c t i v e < / K e y > < / D i a g r a m O b j e c t K e y > < D i a g r a m O b j e c t K e y > < K e y > A c t i o n s \ R e l a t i o n s h i p   C r o s s   F i l t e r   D i r e c t i o n   S i n g l e < / K e y > < / D i a g r a m O b j e c t K e y > < D i a g r a m O b j e c t K e y > < K e y > A c t i o n s \ R e l a t i o n s h i p   C r o s s   F i l t e r   D i r e c t i o n   B o t h < / K e y > < / D i a g r a m O b j e c t K e y > < D i a g r a m O b j e c t K e y > < K e y > A c t i o n s \ R e l a t i o n s h i p   E n d   P o i n t   M u l t i p l i c i t y   O n e < / K e y > < / D i a g r a m O b j e c t K e y > < D i a g r a m O b j e c t K e y > < K e y > A c t i o n s \ R e l a t i o n s h i p   E n d   P o i n t   M u l t i p l i c i t y   M a n y < / K e y > < / D i a g r a m O b j e c t K e y > < D i a g r a m O b j e c t K e y > < K e y > A c t i o n s \ A d d   t o   a   H i e r a r c h y   i n   T a b l e   C a l e n d a r < / K e y > < / D i a g r a m O b j e c t K e y > < D i a g r a m O b j e c t K e y > < K e y > A c t i o n s \ A d d   t o   h i e r a r c h y   F o r   & l t ; T a b l e s \ C a l e n d a r \ H i e r a r c h i e s \ D a t e   H i e r a r c h y & g t ; < / K e y > < / D i a g r a m O b j e c t K e y > < D i a g r a m O b j e c t K e y > < K e y > A c t i o n s \ M o v e   t o   a   H i e r a r c h y   i n   T a b l e   C a l e n d a r < / K e y > < / D i a g r a m O b j e c t K e y > < D i a g r a m O b j e c t K e y > < K e y > A c t i o n s \ M o v e   i n t o   h i e r a r c h y   F o r   & l t ; T a b l e s \ C a l e n d a r \ H i e r a r c h i e s \ D a t e   H i e r a r c h y & g t ; < / K e y > < / D i a g r a m O b j e c t K e y > < D i a g r a m O b j e c t K e y > < K e y > T a g G r o u p s \ N o d e   T y p e s < / K e y > < / D i a g r a m O b j e c t K e y > < D i a g r a m O b j e c t K e y > < K e y > T a g G r o u p s \ A d d i t i o n a l   I n f o   T y p e s < / K e y > < / D i a g r a m O b j e c t K e y > < D i a g r a m O b j e c t K e y > < K e y > T a g G r o u p s \ C a l c u l a t e d   C o l u m n s < / K e y > < / D i a g r a m O b j e c t K e y > < D i a g r a m O b j e c t K e y > < K e y > T a g G r o u p s \ W a r n i n g s < / K e y > < / D i a g r a m O b j e c t K e y > < D i a g r a m O b j e c t K e y > < K e y > T a g G r o u p s \ H i g h l i g h t   R e a s o n s < / K e y > < / D i a g r a m O b j e c t K e y > < D i a g r a m O b j e c t K e y > < K e y > T a g G r o u p s \ S t a t e < / K e y > < / D i a g r a m O b j e c t K e y > < D i a g r a m O b j e c t K e y > < K e y > T a g G r o u p s \ L i n k   R o l e s < / K e y > < / D i a g r a m O b j e c t K e y > < D i a g r a m O b j e c t K e y > < K e y > T a g G r o u p s \ L i n k   T y p e s < / K e y > < / D i a g r a m O b j e c t K e y > < D i a g r a m O b j e c t K e y > < K e y > T a g G r o u p s \ L i n k   S t a t e s < / K e y > < / D i a g r a m O b j e c t K e y > < D i a g r a m O b j e c t K e y > < K e y > D i a g r a m \ T a g G r o u p s \ D e l e t i o n   I m p a c t s < / K e y > < / D i a g r a m O b j e c t K e y > < D i a g r a m O b j e c t K e y > < K e y > T a g G r o u p s \ H i e r a r c h y   I d e n t i f i e r s < / K e y > < / D i a g r a m O b j e c t K e y > < D i a g r a m O b j e c t K e y > < K e y > T a g G r o u p s \ T a b l e   I d e n t i f i e r s < / K e y > < / D i a g r a m O b j e c t K e y > < D i a g r a m O b j e c t K e y > < K e y > T a g G r o u p s \ A c t i o n   D e s c r i p t o r s < / K e y > < / D i a g r a m O b j e c t K e y > < D i a g r a m O b j e c t K e y > < K e y > T a g G r o u p s \ H i n t   T e x t s < / K e y > < / D i a g r a m O b j e c t K e y > < D i a g r a m O b j e c t K e y > < K e y > S t a t i c   T a g s \ T a b l e < / K e y > < / D i a g r a m O b j e c t K e y > < D i a g r a m O b j e c t K e y > < K e y > S t a t i c   T a g s \ C o l u m n < / K e y > < / D i a g r a m O b j e c t K e y > < D i a g r a m O b j e c t K e y > < K e y > S t a t i c   T a g s \ M e a s u r e < / K e y > < / D i a g r a m O b j e c t K e y > < D i a g r a m O b j e c t K e y > < K e y > S t a t i c   T a g s \ H i e r a r c h y < / K e y > < / D i a g r a m O b j e c t K e y > < D i a g r a m O b j e c t K e y > < K e y > S t a t i c   T a g s \ H i e r a r c h y L e v e l < / K e y > < / D i a g r a m O b j e c t K e y > < D i a g r a m O b j e c t K e y > < K e y > S t a t i c   T a g s \ K P I < / K e y > < / D i a g r a m O b j e c t K e y > < D i a g r a m O b j e c t K e y > < K e y > S t a t i c   T a g s \ A d d i t i o n a l   I n f o   f o r   S o u r c e   C o l u m n < / K e y > < / D i a g r a m O b j e c t K e y > < D i a g r a m O b j e c t K e y > < K e y > S t a t i c   T a g s \ C a l c u l a t e d   C o l u m n < / K e y > < / D i a g r a m O b j e c t K e y > < D i a g r a m O b j e c t K e y > < K e y > S t a t i c   T a g s \ E r r o r < / K e y > < / D i a g r a m O b j e c t K e y > < D i a g r a m O b j e c t K e y > < K e y > S t a t i c   T a g s \ N o t C a l c u l a t e d < / K e y > < / D i a g r a m O b j e c t K e y > < D i a g r a m O b j e c t K e y > < K e y > S t a t i c   T a g s \ I s   I m p l i c i t   M e a s u r e < / K e y > < / D i a g r a m O b j e c t K e y > < D i a g r a m O b j e c t K e y > < K e y > S t a t i c   T a g s \ R e l a t e d < / K e y > < / D i a g r a m O b j e c t K e y > < D i a g r a m O b j e c t K e y > < K e y > S t a t i c   T a g s \ D e l e t i n g < / K e y > < / D i a g r a m O b j e c t K e y > < D i a g r a m O b j e c t K e y > < K e y > S t a t i c   T a g s \ C r e a t i n g   V a l i d   R e l a t i o n s h i p < / K e y > < / D i a g r a m O b j e c t K e y > < D i a g r a m O b j e c t K e y > < K e y > S t a t i c   T a g s \ H i d d e n < / K e y > < / D i a g r a m O b j e c t K e y > < D i a g r a m O b j e c t K e y > < K e y > S t a t i c   T a g s \ L i n k e d   T a b l e   C o l u m n < / K e y > < / D i a g r a m O b j e c t K e y > < D i a g r a m O b j e c t K e y > < K e y > S t a t i c   T a g s \ I s   r e a d o n l y < / K e y > < / D i a g r a m O b j e c t K e y > < D i a g r a m O b j e c t K e y > < K e y > S t a t i c   T a g s \ F K < / K e y > < / D i a g r a m O b j e c t K e y > < D i a g r a m O b j e c t K e y > < K e y > S t a t i c   T a g s \ P K < / K e y > < / D i a g r a m O b j e c t K e y > < D i a g r a m O b j e c t K e y > < K e y > S t a t i c   T a g s \ R e l a t i o n s h i p < / K e y > < / D i a g r a m O b j e c t K e y > < D i a g r a m O b j e c t K e y > < K e y > S t a t i c   T a g s \ A c t i v e < / K e y > < / D i a g r a m O b j e c t K e y > < D i a g r a m O b j e c t K e y > < K e y > S t a t i c   T a g s \ I n a c t i v e < / K e y > < / D i a g r a m O b j e c t K e y > < D i a g r a m O b j e c t K e y > < K e y > S t a t i c   T a g s \ P r e v i e w   A c t i v e < / K e y > < / D i a g r a m O b j e c t K e y > < D i a g r a m O b j e c t K e y > < K e y > S t a t i c   T a g s \ P r e v i e w   I n a c t i v e < / K e y > < / D i a g r a m O b j e c t K e y > < D i a g r a m O b j e c t K e y > < K e y > S t a t i c   T a g s \ C r o s s F i l t e r D i r e c t i o n < / K e y > < / D i a g r a m O b j e c t K e y > < D i a g r a m O b j e c t K e y > < K e y > S t a t i c   T a g s \ C r o s s F i l t e r D i r e c t i o n S i n g l e < / K e y > < / D i a g r a m O b j e c t K e y > < D i a g r a m O b j e c t K e y > < K e y > S t a t i c   T a g s \ C r o s s F i l t e r D i r e c t i o n B o t h < / K e y > < / D i a g r a m O b j e c t K e y > < D i a g r a m O b j e c t K e y > < K e y > S t a t i c   T a g s \ E n d P o i n t M u l t i p l i c i t y O n e < / K e y > < / D i a g r a m O b j e c t K e y > < D i a g r a m O b j e c t K e y > < K e y > S t a t i c   T a g s \ E n d P o i n t M u l t i p l i c i t y M a n y < / K e y > < / D i a g r a m O b j e c t K e y > < D i a g r a m O b j e c t K e y > < K e y > D i a g r a m \ T a g G r o u p s \ H i g h l i g h t   R e a s o n s \ T a g s \ H a r d   D e l e t i o n   I m p a c t < / K e y > < / D i a g r a m O b j e c t K e y > < D i a g r a m O b j e c t K e y > < K e y > D i a g r a m \ T a g G r o u p s \ H i g h l i g h t   R e a s o n s \ T a g s \ M i n i m u m   D e l e t i o n   I m p a c t < / K e y > < / D i a g r a m O b j e c t K e y > < D i a g r a m O b j e c t K e y > < K e y > S t a t i c   T a g s \ C a n   b e   p a r t   o f   r e l a t i o n s h i p < / K e y > < / D i a g r a m O b j e c t K e y > < D i a g r a m O b j e c t K e y > < K e y > S t a t i c   T a g s \ H i n t   T e x t < / K e y > < / D i a g r a m O b j e c t K e y > < D i a g r a m O b j e c t K e y > < K e y > D y n a m i c   T a g s \ T a b l e s \ & l t ; T a b l e s \ C a l e n d a r & g t ; < / K e y > < / D i a g r a m O b j e c t K e y > < D i a g r a m O b j e c t K e y > < K e y > D y n a m i c   T a g s \ H i e r a r c h i e s \ & l t ; T a b l e s \ C a l e n d a r \ H i e r a r c h i e s \ D a t e   H i e r a r c h y & g t ; < / K e y > < / D i a g r a m O b j e c t K e y > < D i a g r a m O b j e c t K e y > < K e y > D y n a m i c   T a g s \ T a b l e s \ & l t ; T a b l e s \ C A P E X & g t ; < / K e y > < / D i a g r a m O b j e c t K e y > < D i a g r a m O b j e c t K e y > < K e y > D y n a m i c   T a g s \ T a b l e s \ & l t ; T a b l e s \ A m o r t i z a c i j a & g t ; < / K e y > < / D i a g r a m O b j e c t K e y > < D i a g r a m O b j e c t K e y > < K e y > D y n a m i c   T a g s \ T a b l e s \ & l t ; T a b l e s \ f C o v e c k i R e s u r s i & g t ; < / K e y > < / D i a g r a m O b j e c t K e y > < D i a g r a m O b j e c t K e y > < K e y > D y n a m i c   T a g s \ T a b l e s \ & l t ; T a b l e s \ f A c t u a l A n d B u d g e t & g t ; < / K e y > < / D i a g r a m O b j e c t K e y > < D i a g r a m O b j e c t K e y > < K e y > D y n a m i c   T a g s \ T a b l e s \ & l t ; T a b l e s \ f O P E X & g t ; < / K e y > < / D i a g r a m O b j e c t K e y > < D i a g r a m O b j e c t K e y > < K e y > D y n a m i c   T a g s \ T a b l e s \ & l t ; T a b l e s \ O P E X A n a l i z a & g t ; < / K e y > < / D i a g r a m O b j e c t K e y > < D i a g r a m O b j e c t K e y > < K e y > D y n a m i c   T a g s \ T a b l e s \ & l t ; T a b l e s \ r A r t i k l i A n a l i z a & g t ; < / K e y > < / D i a g r a m O b j e c t K e y > < D i a g r a m O b j e c t K e y > < K e y > D y n a m i c   T a g s \ T a b l e s \ & l t ; T a b l e s \ f A r t i k l i C e n i & g t ; < / K e y > < / D i a g r a m O b j e c t K e y > < D i a g r a m O b j e c t K e y > < K e y > D y n a m i c   T a g s \ T a b l e s \ & l t ; T a b l e s \ r A r t i k l i _ H R _ A n a l i z a & g t ; < / K e y > < / D i a g r a m O b j e c t K e y > < D i a g r a m O b j e c t K e y > < K e y > D y n a m i c   T a g s \ T a b l e s \ & l t ; T a b l e s \ f C o v e c k i R e s u r s i     2 & g t ; < / K e y > < / D i a g r a m O b j e c t K e y > < D i a g r a m O b j e c t K e y > < K e y > T a b l e s \ C a l e n d a r < / K e y > < / D i a g r a m O b j e c t K e y > < D i a g r a m O b j e c t K e y > < K e y > T a b l e s \ C a l e n d a r \ C o l u m n s \ D a t e < / K e y > < / D i a g r a m O b j e c t K e y > < D i a g r a m O b j e c t K e y > < K e y > T a b l e s \ C a l e n d a r \ C o l u m n s \ >48=0< / K e y > < / D i a g r a m O b j e c t K e y > < D i a g r a m O b j e c t K e y > < K e y > T a b l e s \ C a l e n d a r \ C o l u m n s \ M o n t h   N u m b e r < / K e y > < / D i a g r a m O b j e c t K e y > < D i a g r a m O b j e c t K e y > < K e y > T a b l e s \ C a l e n d a r \ C o l u m n s \ 5A5F< / K e y > < / D i a g r a m O b j e c t K e y > < D i a g r a m O b j e c t K e y > < K e y > T a b l e s \ C a l e n d a r \ C o l u m n s \ M M M - Y Y Y Y < / K e y > < / D i a g r a m O b j e c t K e y > < D i a g r a m O b j e c t K e y > < K e y > T a b l e s \ C a l e n d a r \ C o l u m n s \ D a y   O f   W e e k   N u m b e r < / K e y > < / D i a g r a m O b j e c t K e y > < D i a g r a m O b j e c t K e y > < K e y > T a b l e s \ C a l e n d a r \ C o l u m n s \ D a y   O f   W e e k < / K e y > < / D i a g r a m O b j e c t K e y > < D i a g r a m O b j e c t K e y > < K e y > T a b l e s \ C a l e n d a r \ C o l u m n s \ 20@B0;< / K e y > < / D i a g r a m O b j e c t K e y > < D i a g r a m O b j e c t K e y > < K e y > T a b l e s \ C a l e n d a r \ H i e r a r c h i e s \ D a t e   H i e r a r c h y < / K e y > < / D i a g r a m O b j e c t K e y > < D i a g r a m O b j e c t K e y > < K e y > T a b l e s \ C a l e n d a r \ H i e r a r c h i e s \ D a t e   H i e r a r c h y \ L e v e l s \ Y e a r < / K e y > < / D i a g r a m O b j e c t K e y > < D i a g r a m O b j e c t K e y > < K e y > T a b l e s \ C a l e n d a r \ H i e r a r c h i e s \ D a t e   H i e r a r c h y \ L e v e l s \ M o n t h < / K e y > < / D i a g r a m O b j e c t K e y > < D i a g r a m O b j e c t K e y > < K e y > T a b l e s \ C a l e n d a r \ H i e r a r c h i e s \ D a t e   H i e r a r c h y \ L e v e l s \ D a t e C o l u m n < / K e y > < / D i a g r a m O b j e c t K e y > < D i a g r a m O b j e c t K e y > < K e y > T a b l e s \ C A P E X < / K e y > < / D i a g r a m O b j e c t K e y > < D i a g r a m O b j e c t K e y > < K e y > T a b l e s \ C A P E X \ C o l u m n s \ >48=0  70  @50;870F8X0  =0  ?@>5:B< / K e y > < / D i a g r a m O b j e c t K e y > < D i a g r a m O b j e c t K e y > < K e y > T a b l e s \ C A P E X \ C o l u m n s \ @>X  =0  X02=0  =0102:0  ( ?;0=) < / K e y > < / D i a g r a m O b j e c t K e y > < D i a g r a m O b j e c t K e y > < K e y > T a b l e s \ C A P E X \ C o l u m n s \ @54<5B  =0  4>3>2>@>B  70  X02=0  =0102:0< / K e y > < / D i a g r a m O b j e c t K e y > < D i a g r a m O b j e c t K e y > < K e y > T a b l e s \ C A P E X \ C o l u m n s \ G5:C20=  40BC<  =0  ?;0\0Z5< / K e y > < / D i a g r a m O b j e c t K e y > < D i a g r a m O b j e c t K e y > < K e y > T a b l e s \ C A P E X \ C o l u m n s \ G5:C20=  40BC<  70  AB020Z5  2>  C?>B@510  ( <5A5F) < / K e y > < / D i a g r a m O b j e c t K e y > < D i a g r a m O b j e c t K e y > < K e y > T a b l e s \ C A P E X \ C o l u m n s \ @>F5=5B0  2@54=>AB  =0  =0102:0  A>    ( 45=0@8) < / K e y > < / D i a g r a m O b j e c t K e y > < D i a g r a m O b j e c t K e y > < K e y > T a b l e s \ C A P E X \ C o l u m n s \ !B0?:0  =0  0<>@B870F8X0< / K e y > < / D i a g r a m O b j e c t K e y > < D i a g r a m O b j e c t K e y > < K e y > T a b l e s \ C A P E X \ C o l u m n s \ >=B>  !@54AB20< / K e y > < / D i a g r a m O b j e c t K e y > < D i a g r a m O b j e c t K e y > < K e y > T a b l e s \ C A P E X \ C o l u m n s \ >=B>  <>@B870F8X0< / K e y > < / D i a g r a m O b j e c t K e y > < D i a g r a m O b j e c t K e y > < K e y > T a b l e s \ C A P E X \ C o l u m n s \ 7=>A  4>=0F8X0< / K e y > < / D i a g r a m O b j e c t K e y > < D i a g r a m O b j e c t K e y > < K e y > T a b l e s \ C A P E X \ C o l u m n s \ G5:C20=  40BC<  =0  ?;0\0Z5  ( Y e a r ) < / K e y > < / D i a g r a m O b j e c t K e y > < D i a g r a m O b j e c t K e y > < K e y > T a b l e s \ C A P E X \ C o l u m n s \ G5:C20=  40BC<  =0  ?;0\0Z5  ( Q u a r t e r ) < / K e y > < / D i a g r a m O b j e c t K e y > < D i a g r a m O b j e c t K e y > < K e y > T a b l e s \ C A P E X \ C o l u m n s \ G5:C20=  40BC<  =0  ?;0\0Z5  ( M o n t h   I n d e x ) < / K e y > < / D i a g r a m O b j e c t K e y > < D i a g r a m O b j e c t K e y > < K e y > T a b l e s \ C A P E X \ C o l u m n s \ G5:C20=  40BC<  =0  ?;0\0Z5  ( M o n t h ) < / K e y > < / D i a g r a m O b j e c t K e y > < D i a g r a m O b j e c t K e y > < K e y > T a b l e s \ C A P E X \ C o l u m n s \ G5:C20=  40BC<  70  AB020Z5  2>  C?>B@510  ( <5A5F)   ( Y e a r ) < / K e y > < / D i a g r a m O b j e c t K e y > < D i a g r a m O b j e c t K e y > < K e y > T a b l e s \ C A P E X \ C o l u m n s \ G5:C20=  40BC<  70  AB020Z5  2>  C?>B@510  ( <5A5F)   ( Q u a r t e r ) < / K e y > < / D i a g r a m O b j e c t K e y > < D i a g r a m O b j e c t K e y > < K e y > T a b l e s \ C A P E X \ C o l u m n s \ G5:C20=  40BC<  70  AB020Z5  2>  C?>B@510  ( <5A5F)   ( M o n t h   I n d e x ) < / K e y > < / D i a g r a m O b j e c t K e y > < D i a g r a m O b j e c t K e y > < K e y > T a b l e s \ C A P E X \ C o l u m n s \ G5:C20=  40BC<  70  AB020Z5  2>  C?>B@510  ( <5A5F)   ( M o n t h ) < / K e y > < / D i a g r a m O b j e c t K e y > < D i a g r a m O b j e c t K e y > < K e y > T a b l e s \ C A P E X \ M e a s u r e s \ C o u n t   o f   @>F5=5B0  2@54=>AB  =0  =0102:0  A>    ( 45=0@8) < / K e y > < / D i a g r a m O b j e c t K e y > < D i a g r a m O b j e c t K e y > < K e y > T a b l e s \ C A P E X \ C o u n t   o f   @>F5=5B0  2@54=>AB  =0  =0102:0  A>    ( 45=0@8) \ A d d i t i o n a l   I n f o \ I m p l i c i t   M e a s u r e < / K e y > < / D i a g r a m O b j e c t K e y > < D i a g r a m O b j e c t K e y > < K e y > T a b l e s \ C A P E X \ M e a s u r e s \ S u m   o f   @>F5=5B0  2@54=>AB  =0  =0102:0  A>    ( 45=0@8) < / K e y > < / D i a g r a m O b j e c t K e y > < D i a g r a m O b j e c t K e y > < K e y > T a b l e s \ C A P E X \ S u m   o f   @>F5=5B0  2@54=>AB  =0  =0102:0  A>    ( 45=0@8) \ A d d i t i o n a l   I n f o \ I m p l i c i t   M e a s u r e < / K e y > < / D i a g r a m O b j e c t K e y > < D i a g r a m O b j e c t K e y > < K e y > T a b l e s \ C A P E X \ M e a s u r e s \ S u m   o f   7=>A  4>=0F8X0< / K e y > < / D i a g r a m O b j e c t K e y > < D i a g r a m O b j e c t K e y > < K e y > T a b l e s \ C A P E X \ S u m   o f   7=>A  4>=0F8X0\ A d d i t i o n a l   I n f o \ I m p l i c i t   M e a s u r e < / K e y > < / D i a g r a m O b j e c t K e y > < D i a g r a m O b j e c t K e y > < K e y > T a b l e s \ A m o r t i z a c i j a < / K e y > < / D i a g r a m O b j e c t K e y > < D i a g r a m O b j e c t K e y > < K e y > T a b l e s \ A m o r t i z a c i j a \ C o l u m n s \ @>X  =0  X02=0  =0102:0  ( ?;0=) < / K e y > < / D i a g r a m O b j e c t K e y > < D i a g r a m O b j e c t K e y > < K e y > T a b l e s \ A m o r t i z a c i j a \ C o l u m n s \ !B02:0< / K e y > < / D i a g r a m O b j e c t K e y > < D i a g r a m O b j e c t K e y > < K e y > T a b l e s \ A m o r t i z a c i j a \ C o l u m n s \ 5@8>4< / K e y > < / D i a g r a m O b j e c t K e y > < D i a g r a m O b j e c t K e y > < K e y > T a b l e s \ A m o r t i z a c i j a \ C o l u m n s \ 7=>A< / K e y > < / D i a g r a m O b j e c t K e y > < D i a g r a m O b j e c t K e y > < K e y > T a b l e s \ A m o r t i z a c i j a \ C o l u m n s \ >=B>< / K e y > < / D i a g r a m O b j e c t K e y > < D i a g r a m O b j e c t K e y > < K e y > T a b l e s \ A m o r t i z a c i j a \ C o l u m n s \ R e p o r t T y p e < / K e y > < / D i a g r a m O b j e c t K e y > < D i a g r a m O b j e c t K e y > < K e y > T a b l e s \ A m o r t i z a c i j a \ M e a s u r e s \ S u m   o f   7=>A  2 < / K e y > < / D i a g r a m O b j e c t K e y > < D i a g r a m O b j e c t K e y > < K e y > T a b l e s \ A m o r t i z a c i j a \ S u m   o f   7=>A  2 \ A d d i t i o n a l   I n f o \ I m p l i c i t   M e a s u r e < / K e y > < / D i a g r a m O b j e c t K e y > < D i a g r a m O b j e c t K e y > < K e y > T a b l e s \ f C o v e c k i R e s u r s i < / K e y > < / D i a g r a m O b j e c t K e y > < D i a g r a m O b j e c t K e y > < K e y > T a b l e s \ f C o v e c k i R e s u r s i \ C o l u m n s \ !B02:0< / K e y > < / D i a g r a m O b j e c t K e y > < D i a g r a m O b j e c t K e y > < K e y > T a b l e s \ f C o v e c k i R e s u r s i \ C o l u m n s \ "8?  =0  2@01>BC20Z5< / K e y > < / D i a g r a m O b j e c t K e y > < D i a g r a m O b j e c t K e y > < K e y > T a b l e s \ f C o v e c k i R e s u r s i \ C o l u m n s \ ;0=8@0=  ?@8;82/ ( >4;82) < / K e y > < / D i a g r a m O b j e c t K e y > < D i a g r a m O b j e c t K e y > < K e y > T a b l e s \ f C o v e c k i R e s u r s i \ C o l u m n s \ 5@8>4< / K e y > < / D i a g r a m O b j e c t K e y > < D i a g r a m O b j e c t K e y > < K e y > T a b l e s \ f C o v e c k i R e s u r s i \ C o l u m n s \ @0X=0  A>AB>X10  2@01>B5=8< / K e y > < / D i a g r a m O b j e c t K e y > < D i a g r a m O b j e c t K e y > < K e y > T a b l e s \ f C o v e c k i R e s u r s i \ C o l u m n s \ 7=>A< / K e y > < / D i a g r a m O b j e c t K e y > < D i a g r a m O b j e c t K e y > < K e y > T a b l e s \ f C o v e c k i R e s u r s i \ C o l u m n s \ >=B>< / K e y > < / D i a g r a m O b j e c t K e y > < D i a g r a m O b j e c t K e y > < K e y > T a b l e s \ f C o v e c k i R e s u r s i \ C o l u m n s \ R e p o r t T y p e < / K e y > < / D i a g r a m O b j e c t K e y > < D i a g r a m O b j e c t K e y > < K e y > T a b l e s \ f C o v e c k i R e s u r s i \ C o l u m n s \ 5@8>4  ( Y e a r ) < / K e y > < / D i a g r a m O b j e c t K e y > < D i a g r a m O b j e c t K e y > < K e y > T a b l e s \ f C o v e c k i R e s u r s i \ C o l u m n s \ 5@8>4  ( Q u a r t e r ) < / K e y > < / D i a g r a m O b j e c t K e y > < D i a g r a m O b j e c t K e y > < K e y > T a b l e s \ f C o v e c k i R e s u r s i \ C o l u m n s \ 5@8>4  ( M o n t h   I n d e x ) < / K e y > < / D i a g r a m O b j e c t K e y > < D i a g r a m O b j e c t K e y > < K e y > T a b l e s \ f C o v e c k i R e s u r s i \ C o l u m n s \ 5@8>4  ( M o n t h ) < / K e y > < / D i a g r a m O b j e c t K e y > < D i a g r a m O b j e c t K e y > < K e y > T a b l e s \ f C o v e c k i R e s u r s i \ C o l u m n s \ 5@8>4  ( Y e a r )   1 < / K e y > < / D i a g r a m O b j e c t K e y > < D i a g r a m O b j e c t K e y > < K e y > T a b l e s \ f C o v e c k i R e s u r s i \ C o l u m n s \ 5@8>4  ( Q u a r t e r )   1 < / K e y > < / D i a g r a m O b j e c t K e y > < D i a g r a m O b j e c t K e y > < K e y > T a b l e s \ f C o v e c k i R e s u r s i \ C o l u m n s \ 5@8>4  ( M o n t h   I n d e x )   1 < / K e y > < / D i a g r a m O b j e c t K e y > < D i a g r a m O b j e c t K e y > < K e y > T a b l e s \ f C o v e c k i R e s u r s i \ C o l u m n s \ 5@8>4  ( M o n t h )   1 < / K e y > < / D i a g r a m O b j e c t K e y > < D i a g r a m O b j e c t K e y > < K e y > T a b l e s \ f C o v e c k i R e s u r s i \ M e a s u r e s \ S u m   o f   7=>A  3 < / K e y > < / D i a g r a m O b j e c t K e y > < D i a g r a m O b j e c t K e y > < K e y > T a b l e s \ f C o v e c k i R e s u r s i \ S u m   o f   7=>A  3 \ A d d i t i o n a l   I n f o \ I m p l i c i t   M e a s u r e < / K e y > < / D i a g r a m O b j e c t K e y > < D i a g r a m O b j e c t K e y > < K e y > T a b l e s \ f C o v e c k i R e s u r s i \ M e a s u r e s \ S u m   o f   @0X=0  A>AB>X10  2@01>B5=8< / K e y > < / D i a g r a m O b j e c t K e y > < D i a g r a m O b j e c t K e y > < K e y > T a b l e s \ f C o v e c k i R e s u r s i \ S u m   o f   @0X=0  A>AB>X10  2@01>B5=8\ A d d i t i o n a l   I n f o \ I m p l i c i t   M e a s u r e < / K e y > < / D i a g r a m O b j e c t K e y > < D i a g r a m O b j e c t K e y > < K e y > T a b l e s \ f C o v e c k i R e s u r s i \ M e a s u r e s \ S u m   o f   ;0=8@0=  ?@8;82/ ( >4;82) < / K e y > < / D i a g r a m O b j e c t K e y > < D i a g r a m O b j e c t K e y > < K e y > T a b l e s \ f C o v e c k i R e s u r s i \ S u m   o f   ;0=8@0=  ?@8;82/ ( >4;82) \ A d d i t i o n a l   I n f o \ I m p l i c i t   M e a s u r e < / K e y > < / D i a g r a m O b j e c t K e y > < D i a g r a m O b j e c t K e y > < K e y > T a b l e s \ f A c t u a l A n d B u d g e t < / K e y > < / D i a g r a m O b j e c t K e y > < D i a g r a m O b j e c t K e y > < K e y > T a b l e s \ f A c t u a l A n d B u d g e t \ C o l u m n s \ >=B>< / K e y > < / D i a g r a m O b j e c t K e y > < D i a g r a m O b j e c t K e y > < K e y > T a b l e s \ f A c t u a l A n d B u d g e t \ C o l u m n s \ 0782  =0  :>=B>< / K e y > < / D i a g r a m O b j e c t K e y > < D i a g r a m O b j e c t K e y > < K e y > T a b l e s \ f A c t u a l A n d B u d g e t \ C o l u m n s \ 5@8>4< / K e y > < / D i a g r a m O b j e c t K e y > < D i a g r a m O b j e c t K e y > < K e y > T a b l e s \ f A c t u a l A n d B u d g e t \ C o l u m n s \ 7=>A1 < / K e y > < / D i a g r a m O b j e c t K e y > < D i a g r a m O b j e c t K e y > < K e y > T a b l e s \ f A c t u a l A n d B u d g e t \ C o l u m n s \ R e p o r t T y p e < / K e y > < / D i a g r a m O b j e c t K e y > < D i a g r a m O b j e c t K e y > < K e y > T a b l e s \ f A c t u a l A n d B u d g e t \ C o l u m n s \ !B02:0< / K e y > < / D i a g r a m O b j e c t K e y > < D i a g r a m O b j e c t K e y > < K e y > T a b l e s \ f A c t u a l A n d B u d g e t \ C o l u m n s \ @>X  =0  X02=0  =0102:0  ( ?;0=) < / K e y > < / D i a g r a m O b j e c t K e y > < D i a g r a m O b j e c t K e y > < K e y > T a b l e s \ f A c t u a l A n d B u d g e t \ C o l u m n s \ S t a v k a I D < / K e y > < / D i a g r a m O b j e c t K e y > < D i a g r a m O b j e c t K e y > < K e y > T a b l e s \ f A c t u a l A n d B u d g e t \ C o l u m n s \ S t a v k a I m e M K < / K e y > < / D i a g r a m O b j e c t K e y > < D i a g r a m O b j e c t K e y > < K e y > T a b l e s \ f A c t u a l A n d B u d g e t \ C o l u m n s \ S t a v k a G r u p a < / K e y > < / D i a g r a m O b j e c t K e y > < D i a g r a m O b j e c t K e y > < K e y > T a b l e s \ f A c t u a l A n d B u d g e t \ C o l u m n s \ S t a v k a K a t e g o r i j a < / K e y > < / D i a g r a m O b j e c t K e y > < D i a g r a m O b j e c t K e y > < K e y > T a b l e s \ f A c t u a l A n d B u d g e t \ C o l u m n s \ Z n a k I z v e s t a j < / K e y > < / D i a g r a m O b j e c t K e y > < D i a g r a m O b j e c t K e y > < K e y > T a b l e s \ f A c t u a l A n d B u d g e t \ C o l u m n s \ O b r a z e c I D < / K e y > < / D i a g r a m O b j e c t K e y > < D i a g r a m O b j e c t K e y > < K e y > T a b l e s \ f A c t u a l A n d B u d g e t \ C o l u m n s \ S t a v k a A O P < / K e y > < / D i a g r a m O b j e c t K e y > < D i a g r a m O b j e c t K e y > < K e y > T a b l e s \ f A c t u a l A n d B u d g e t \ C o l u m n s \ O b r a z e c I m e < / K e y > < / D i a g r a m O b j e c t K e y > < D i a g r a m O b j e c t K e y > < K e y > T a b l e s \ f A c t u a l A n d B u d g e t \ C o l u m n s \ 7=>A< / K e y > < / D i a g r a m O b j e c t K e y > < D i a g r a m O b j e c t K e y > < K e y > T a b l e s \ f A c t u a l A n d B u d g e t \ C o l u m n s \ 7=>A  ( 8;X048) < / K e y > < / D i a g r a m O b j e c t K e y > < D i a g r a m O b j e c t K e y > < K e y > T a b l e s \ f A c t u a l A n d B u d g e t \ C o l u m n s \ S t a v k a I m e A O P < / K e y > < / D i a g r a m O b j e c t K e y > < D i a g r a m O b j e c t K e y > < K e y > T a b l e s \ f A c t u a l A n d B u d g e t \ C o l u m n s \ >=B>  !B02:0< / K e y > < / D i a g r a m O b j e c t K e y > < D i a g r a m O b j e c t K e y > < K e y > T a b l e s \ f A c t u a l A n d B u d g e t \ M e a s u r e s \ S u m   o f   7=>A< / K e y > < / D i a g r a m O b j e c t K e y > < D i a g r a m O b j e c t K e y > < K e y > T a b l e s \ f A c t u a l A n d B u d g e t \ S u m   o f   7=>A\ A d d i t i o n a l   I n f o \ I m p l i c i t   M e a s u r e < / K e y > < / D i a g r a m O b j e c t K e y > < D i a g r a m O b j e c t K e y > < K e y > T a b l e s \ f A c t u a l A n d B u d g e t \ M e a s u r e s \ S u m   o f   7=>A  ( 8;X048) < / K e y > < / D i a g r a m O b j e c t K e y > < D i a g r a m O b j e c t K e y > < K e y > T a b l e s \ f A c t u a l A n d B u d g e t \ S u m   o f   7=>A  ( 8;X048) \ A d d i t i o n a l   I n f o \ I m p l i c i t   M e a s u r e < / K e y > < / D i a g r a m O b j e c t K e y > < D i a g r a m O b j e c t K e y > < K e y > T a b l e s \ f A c t u a l A n d B u d g e t \ M e a s u r e s \ S u m   o f   7=>A1 < / K e y > < / D i a g r a m O b j e c t K e y > < D i a g r a m O b j e c t K e y > < K e y > T a b l e s \ f A c t u a l A n d B u d g e t \ S u m   o f   7=>A1 \ A d d i t i o n a l   I n f o \ I m p l i c i t   M e a s u r e < / K e y > < / D i a g r a m O b j e c t K e y > < D i a g r a m O b j e c t K e y > < K e y > T a b l e s \ f O P E X < / K e y > < / D i a g r a m O b j e c t K e y > < D i a g r a m O b j e c t K e y > < K e y > T a b l e s \ f O P E X \ C o l u m n s \ >=B>< / K e y > < / D i a g r a m O b j e c t K e y > < D i a g r a m O b j e c t K e y > < K e y > T a b l e s \ f O P E X \ C o l u m n s \ !B02:0< / K e y > < / D i a g r a m O b j e c t K e y > < D i a g r a m O b j e c t K e y > < K e y > T a b l e s \ f O P E X \ C o l u m n s \ 5@8>4< / K e y > < / D i a g r a m O b j e c t K e y > < D i a g r a m O b j e c t K e y > < K e y > T a b l e s \ f O P E X \ C o l u m n s \ 7=>A< / K e y > < / D i a g r a m O b j e c t K e y > < D i a g r a m O b j e c t K e y > < K e y > T a b l e s \ f O P E X \ C o l u m n s \ R e p o r t T y p e < / K e y > < / D i a g r a m O b j e c t K e y > < D i a g r a m O b j e c t K e y > < K e y > T a b l e s \ O P E X A n a l i z a < / K e y > < / D i a g r a m O b j e c t K e y > < D i a g r a m O b j e c t K e y > < K e y > T a b l e s \ O P E X A n a l i z a \ C o l u m n s \ @B8:;  < / K e y > < / D i a g r a m O b j e c t K e y > < D i a g r a m O b j e c t K e y > < K e y > T a b l e s \ O P E X A n a l i z a \ C o l u m n s \ !B02:0< / K e y > < / D i a g r a m O b j e c t K e y > < D i a g r a m O b j e c t K e y > < K e y > T a b l e s \ O P E X A n a l i z a \ C o l u m n s \ 0B53>@8X0  @B8:;  < / K e y > < / D i a g r a m O b j e c t K e y > < D i a g r a m O b j e c t K e y > < K e y > T a b l e s \ O P E X A n a l i z a \ C o l u m n s \ 0B53>@8X0  @B8:;< / K e y > < / D i a g r a m O b j e c t K e y > < D i a g r a m O b j e c t K e y > < K e y > T a b l e s \ O P E X A n a l i z a \ C o l u m n s \ "8?  =0  0@B8:;< / K e y > < / D i a g r a m O b j e c t K e y > < D i a g r a m O b j e c t K e y > < K e y > T a b l e s \ O P E X A n a l i z a \ C o l u m n s \ 48=5G=0  <5@:0< / K e y > < / D i a g r a m O b j e c t K e y > < D i a g r a m O b j e c t K e y > < K e y > T a b l e s \ O P E X A n a l i z a \ C o l u m n s \ >;8G8=0< / K e y > < / D i a g r a m O b j e c t K e y > < D i a g r a m O b j e c t K e y > < K e y > T a b l e s \ O P E X A n a l i z a \ C o l u m n s \ 48=5G=0  F5=0< / K e y > < / D i a g r a m O b j e c t K e y > < D i a g r a m O b j e c t K e y > < K e y > T a b l e s \ O P E X A n a l i z a \ C o l u m n s \ 7=>A< / K e y > < / D i a g r a m O b j e c t K e y > < D i a g r a m O b j e c t K e y > < K e y > T a b l e s \ O P E X A n a l i z a \ C o l u m n s \ < / K e y > < / D i a g r a m O b j e c t K e y > < D i a g r a m O b j e c t K e y > < K e y > T a b l e s \ O P E X A n a l i z a \ C o l u m n s \ :C?=>  B@>H>:  A>  < / K e y > < / D i a g r a m O b j e c t K e y > < D i a g r a m O b j e c t K e y > < K e y > T a b l e s \ O P E X A n a l i z a \ C o l u m n s \ >=B>< / K e y > < / D i a g r a m O b j e c t K e y > < D i a g r a m O b j e c t K e y > < K e y > T a b l e s \ O P E X A n a l i z a \ C o l u m n s \ 5@8>4< / K e y > < / D i a g r a m O b j e c t K e y > < D i a g r a m O b j e c t K e y > < K e y > T a b l e s \ O P E X A n a l i z a \ C o l u m n s \ R e p o r t T y p e < / K e y > < / D i a g r a m O b j e c t K e y > < D i a g r a m O b j e c t K e y > < K e y > T a b l e s \ O P E X A n a l i z a \ C o l u m n s \ S t a v k a I m e M K < / K e y > < / D i a g r a m O b j e c t K e y > < D i a g r a m O b j e c t K e y > < K e y > T a b l e s \ O P E X A n a l i z a \ C o l u m n s \ S t a v k a K a t e g o r i j a < / K e y > < / D i a g r a m O b j e c t K e y > < D i a g r a m O b j e c t K e y > < K e y > T a b l e s \ O P E X A n a l i z a \ C o l u m n s \ S t a v k a I m e A O P 1 < / K e y > < / D i a g r a m O b j e c t K e y > < D i a g r a m O b j e c t K e y > < K e y > T a b l e s \ O P E X A n a l i z a \ C o l u m n s \ S t a v k a I m e A O P < / K e y > < / D i a g r a m O b j e c t K e y > < D i a g r a m O b j e c t K e y > < K e y > T a b l e s \ O P E X A n a l i z a \ T a b l e s \ O P E X A n a l i z a \ C o l u m n s \ S t a v k a I m e A O P \ A d d i t i o n a l   I n f o \ E r r o r < / K e y > < / D i a g r a m O b j e c t K e y > < D i a g r a m O b j e c t K e y > < K e y > T a b l e s \ O P E X A n a l i z a \ C o l u m n s \ 5@8>4  ( Y e a r ) < / K e y > < / D i a g r a m O b j e c t K e y > < D i a g r a m O b j e c t K e y > < K e y > T a b l e s \ O P E X A n a l i z a \ C o l u m n s \ 5@8>4  ( Q u a r t e r ) < / K e y > < / D i a g r a m O b j e c t K e y > < D i a g r a m O b j e c t K e y > < K e y > T a b l e s \ O P E X A n a l i z a \ C o l u m n s \ 5@8>4  ( M o n t h   I n d e x ) < / K e y > < / D i a g r a m O b j e c t K e y > < D i a g r a m O b j e c t K e y > < K e y > T a b l e s \ O P E X A n a l i z a \ C o l u m n s \ 5@8>4  ( M o n t h ) < / K e y > < / D i a g r a m O b j e c t K e y > < D i a g r a m O b j e c t K e y > < K e y > T a b l e s \ O P E X A n a l i z a \ M e a s u r e s \ S u m   o f   7=>A  4 < / K e y > < / D i a g r a m O b j e c t K e y > < D i a g r a m O b j e c t K e y > < K e y > T a b l e s \ O P E X A n a l i z a \ S u m   o f   7=>A  4 \ A d d i t i o n a l   I n f o \ I m p l i c i t   M e a s u r e < / K e y > < / D i a g r a m O b j e c t K e y > < D i a g r a m O b j e c t K e y > < K e y > T a b l e s \ r A r t i k l i A n a l i z a < / K e y > < / D i a g r a m O b j e c t K e y > < D i a g r a m O b j e c t K e y > < K e y > T a b l e s \ r A r t i k l i A n a l i z a \ C o l u m n s \ @B8:;  < / K e y > < / D i a g r a m O b j e c t K e y > < D i a g r a m O b j e c t K e y > < K e y > T a b l e s \ r A r t i k l i A n a l i z a \ C o l u m n s \ !B02:0< / K e y > < / D i a g r a m O b j e c t K e y > < D i a g r a m O b j e c t K e y > < K e y > T a b l e s \ r A r t i k l i A n a l i z a \ C o l u m n s \ 0B53>@8X0  @B8:;  < / K e y > < / D i a g r a m O b j e c t K e y > < D i a g r a m O b j e c t K e y > < K e y > T a b l e s \ r A r t i k l i A n a l i z a \ C o l u m n s \ 0B53>@8X0  @B8:;< / K e y > < / D i a g r a m O b j e c t K e y > < D i a g r a m O b j e c t K e y > < K e y > T a b l e s \ r A r t i k l i A n a l i z a \ C o l u m n s \ "8?  =0  0@B8:;< / K e y > < / D i a g r a m O b j e c t K e y > < D i a g r a m O b j e c t K e y > < K e y > T a b l e s \ r A r t i k l i A n a l i z a \ C o l u m n s \ 48=5G=0  <5@:0< / K e y > < / D i a g r a m O b j e c t K e y > < D i a g r a m O b j e c t K e y > < K e y > T a b l e s \ r A r t i k l i A n a l i z a \ C o l u m n s \ >;8G8=0< / K e y > < / D i a g r a m O b j e c t K e y > < D i a g r a m O b j e c t K e y > < K e y > T a b l e s \ r A r t i k l i A n a l i z a \ C o l u m n s \ 48=5G=0  F5=0< / K e y > < / D i a g r a m O b j e c t K e y > < D i a g r a m O b j e c t K e y > < K e y > T a b l e s \ r A r t i k l i A n a l i z a \ C o l u m n s \ 7=>A< / K e y > < / D i a g r a m O b j e c t K e y > < D i a g r a m O b j e c t K e y > < K e y > T a b l e s \ r A r t i k l i A n a l i z a \ C o l u m n s \ < / K e y > < / D i a g r a m O b j e c t K e y > < D i a g r a m O b j e c t K e y > < K e y > T a b l e s \ r A r t i k l i A n a l i z a \ C o l u m n s \ :C?=>  B@>H>:  A>  < / K e y > < / D i a g r a m O b j e c t K e y > < D i a g r a m O b j e c t K e y > < K e y > T a b l e s \ r A r t i k l i A n a l i z a \ C o l u m n s \ >=B>< / K e y > < / D i a g r a m O b j e c t K e y > < D i a g r a m O b j e c t K e y > < K e y > T a b l e s \ r A r t i k l i A n a l i z a \ C o l u m n s \ 5@8>4< / K e y > < / D i a g r a m O b j e c t K e y > < D i a g r a m O b j e c t K e y > < K e y > T a b l e s \ r A r t i k l i A n a l i z a \ C o l u m n s \ R e p o r t T y p e < / K e y > < / D i a g r a m O b j e c t K e y > < D i a g r a m O b j e c t K e y > < K e y > T a b l e s \ r A r t i k l i A n a l i z a \ C o l u m n s \ S t a v k a I m e M K < / K e y > < / D i a g r a m O b j e c t K e y > < D i a g r a m O b j e c t K e y > < K e y > T a b l e s \ r A r t i k l i A n a l i z a \ C o l u m n s \ S t a v k a K a t e g o r i j a < / K e y > < / D i a g r a m O b j e c t K e y > < D i a g r a m O b j e c t K e y > < K e y > T a b l e s \ r A r t i k l i A n a l i z a \ C o l u m n s \ 5@8>4  ( Y e a r ) < / K e y > < / D i a g r a m O b j e c t K e y > < D i a g r a m O b j e c t K e y > < K e y > T a b l e s \ r A r t i k l i A n a l i z a \ C o l u m n s \ 5@8>4  ( Q u a r t e r ) < / K e y > < / D i a g r a m O b j e c t K e y > < D i a g r a m O b j e c t K e y > < K e y > T a b l e s \ r A r t i k l i A n a l i z a \ C o l u m n s \ 5@8>4  ( M o n t h   I n d e x ) < / K e y > < / D i a g r a m O b j e c t K e y > < D i a g r a m O b j e c t K e y > < K e y > T a b l e s \ r A r t i k l i A n a l i z a \ C o l u m n s \ 5@8>4  ( M o n t h ) < / K e y > < / D i a g r a m O b j e c t K e y > < D i a g r a m O b j e c t K e y > < K e y > T a b l e s \ f A r t i k l i C e n i < / K e y > < / D i a g r a m O b j e c t K e y > < D i a g r a m O b j e c t K e y > < K e y > T a b l e s \ f A r t i k l i C e n i \ C o l u m n s \ !B02:0< / K e y > < / D i a g r a m O b j e c t K e y > < D i a g r a m O b j e c t K e y > < K e y > T a b l e s \ f A r t i k l i C e n i \ C o l u m n s \ 0B53>@8X0  @B8:;< / K e y > < / D i a g r a m O b j e c t K e y > < D i a g r a m O b j e c t K e y > < K e y > T a b l e s \ f A r t i k l i C e n i \ C o l u m n s \ "8?  =0  0@B8:;< / K e y > < / D i a g r a m O b j e c t K e y > < D i a g r a m O b j e c t K e y > < K e y > T a b l e s \ f A r t i k l i C e n i \ C o l u m n s \ 48=5G=0  <5@:0< / K e y > < / D i a g r a m O b j e c t K e y > < D i a g r a m O b j e c t K e y > < K e y > T a b l e s \ f A r t i k l i C e n i \ C o l u m n s \ >;8G8=0< / K e y > < / D i a g r a m O b j e c t K e y > < D i a g r a m O b j e c t K e y > < K e y > T a b l e s \ f A r t i k l i C e n i \ C o l u m n s \ 48=5G=0  F5=0< / K e y > < / D i a g r a m O b j e c t K e y > < D i a g r a m O b j e c t K e y > < K e y > T a b l e s \ f A r t i k l i C e n i \ C o l u m n s \ :C?=>  B@>H>:< / K e y > < / D i a g r a m O b j e c t K e y > < D i a g r a m O b j e c t K e y > < K e y > T a b l e s \ f A r t i k l i C e n i \ C o l u m n s \ < / K e y > < / D i a g r a m O b j e c t K e y > < D i a g r a m O b j e c t K e y > < K e y > T a b l e s \ f A r t i k l i C e n i \ C o l u m n s \ 7=>A< / K e y > < / D i a g r a m O b j e c t K e y > < D i a g r a m O b j e c t K e y > < K e y > T a b l e s \ f A r t i k l i C e n i \ C o l u m n s \ >=B>< / K e y > < / D i a g r a m O b j e c t K e y > < D i a g r a m O b j e c t K e y > < K e y > T a b l e s \ f A r t i k l i C e n i \ C o l u m n s \ R e p o r t T y p e < / K e y > < / D i a g r a m O b j e c t K e y > < D i a g r a m O b j e c t K e y > < K e y > T a b l e s \ f A r t i k l i C e n i \ C o l u m n s \ 5@8>4< / K e y > < / D i a g r a m O b j e c t K e y > < D i a g r a m O b j e c t K e y > < K e y > T a b l e s \ f A r t i k l i C e n i \ C o l u m n s \ S t a v k a I m e M K < / K e y > < / D i a g r a m O b j e c t K e y > < D i a g r a m O b j e c t K e y > < K e y > T a b l e s \ f A r t i k l i C e n i \ C o l u m n s \ S t a v k a A O P < / K e y > < / D i a g r a m O b j e c t K e y > < D i a g r a m O b j e c t K e y > < K e y > T a b l e s \ f A r t i k l i C e n i \ C o l u m n s \ S t a v k a G r u p a < / K e y > < / D i a g r a m O b j e c t K e y > < D i a g r a m O b j e c t K e y > < K e y > T a b l e s \ f A r t i k l i C e n i \ C o l u m n s \ S t a v k a K a t e g o r i j a < / K e y > < / D i a g r a m O b j e c t K e y > < D i a g r a m O b j e c t K e y > < K e y > T a b l e s \ f A r t i k l i C e n i \ C o l u m n s \ O b r a z e c I m e < / K e y > < / D i a g r a m O b j e c t K e y > < D i a g r a m O b j e c t K e y > < K e y > T a b l e s \ f A r t i k l i C e n i \ M e a s u r e s \ S u m   o f   :C?=>  B@>H>:< / K e y > < / D i a g r a m O b j e c t K e y > < D i a g r a m O b j e c t K e y > < K e y > T a b l e s \ f A r t i k l i C e n i \ S u m   o f   :C?=>  B@>H>:\ A d d i t i o n a l   I n f o \ I m p l i c i t   M e a s u r e < / K e y > < / D i a g r a m O b j e c t K e y > < D i a g r a m O b j e c t K e y > < K e y > T a b l e s \ f A r t i k l i C e n i \ M e a s u r e s \ S u m   o f   >;8G8=0< / K e y > < / D i a g r a m O b j e c t K e y > < D i a g r a m O b j e c t K e y > < K e y > T a b l e s \ f A r t i k l i C e n i \ S u m   o f   >;8G8=0\ A d d i t i o n a l   I n f o \ I m p l i c i t   M e a s u r e < / K e y > < / D i a g r a m O b j e c t K e y > < D i a g r a m O b j e c t K e y > < K e y > T a b l e s \ f A r t i k l i C e n i \ M e a s u r e s \ S u m   o f   48=5G=0  F5=0< / K e y > < / D i a g r a m O b j e c t K e y > < D i a g r a m O b j e c t K e y > < K e y > T a b l e s \ f A r t i k l i C e n i \ S u m   o f   48=5G=0  F5=0\ A d d i t i o n a l   I n f o \ I m p l i c i t   M e a s u r e < / K e y > < / D i a g r a m O b j e c t K e y > < D i a g r a m O b j e c t K e y > < K e y > T a b l e s \ f A r t i k l i C e n i \ M e a s u r e s \ S u m   o f   < / K e y > < / D i a g r a m O b j e c t K e y > < D i a g r a m O b j e c t K e y > < K e y > T a b l e s \ f A r t i k l i C e n i \ S u m   o f   \ A d d i t i o n a l   I n f o \ I m p l i c i t   M e a s u r e < / K e y > < / D i a g r a m O b j e c t K e y > < D i a g r a m O b j e c t K e y > < K e y > T a b l e s \ f A r t i k l i C e n i \ M e a s u r e s \ S u m   o f   7=>A  6 < / K e y > < / D i a g r a m O b j e c t K e y > < D i a g r a m O b j e c t K e y > < K e y > T a b l e s \ f A r t i k l i C e n i \ S u m   o f   7=>A  6 \ A d d i t i o n a l   I n f o \ I m p l i c i t   M e a s u r e < / K e y > < / D i a g r a m O b j e c t K e y > < D i a g r a m O b j e c t K e y > < K e y > T a b l e s \ f A r t i k l i C e n i \ M e a s u r e s \ C o u n t   o f   48=5G=0  <5@:0< / K e y > < / D i a g r a m O b j e c t K e y > < D i a g r a m O b j e c t K e y > < K e y > T a b l e s \ f A r t i k l i C e n i \ C o u n t   o f   48=5G=0  <5@:0\ A d d i t i o n a l   I n f o \ I m p l i c i t   M e a s u r e < / K e y > < / D i a g r a m O b j e c t K e y > < D i a g r a m O b j e c t K e y > < K e y > T a b l e s \ r A r t i k l i _ H R _ A n a l i z a < / K e y > < / D i a g r a m O b j e c t K e y > < D i a g r a m O b j e c t K e y > < K e y > T a b l e s \ r A r t i k l i _ H R _ A n a l i z a \ C o l u m n s \ !B02:0< / K e y > < / D i a g r a m O b j e c t K e y > < D i a g r a m O b j e c t K e y > < K e y > T a b l e s \ r A r t i k l i _ H R _ A n a l i z a \ C o l u m n s \ 0B53>@8X0  @B8:;< / K e y > < / D i a g r a m O b j e c t K e y > < D i a g r a m O b j e c t K e y > < K e y > T a b l e s \ r A r t i k l i _ H R _ A n a l i z a \ C o l u m n s \ "8?  =0  0@B8:;< / K e y > < / D i a g r a m O b j e c t K e y > < D i a g r a m O b j e c t K e y > < K e y > T a b l e s \ r A r t i k l i _ H R _ A n a l i z a \ C o l u m n s \ 48=5G=0  <5@:0< / K e y > < / D i a g r a m O b j e c t K e y > < D i a g r a m O b j e c t K e y > < K e y > T a b l e s \ r A r t i k l i _ H R _ A n a l i z a \ C o l u m n s \ >;8G8=0< / K e y > < / D i a g r a m O b j e c t K e y > < D i a g r a m O b j e c t K e y > < K e y > T a b l e s \ r A r t i k l i _ H R _ A n a l i z a \ C o l u m n s \ 48=5G=0  F5=0< / K e y > < / D i a g r a m O b j e c t K e y > < D i a g r a m O b j e c t K e y > < K e y > T a b l e s \ r A r t i k l i _ H R _ A n a l i z a \ C o l u m n s \ :C?=>  B@>H>:< / K e y > < / D i a g r a m O b j e c t K e y > < D i a g r a m O b j e c t K e y > < K e y > T a b l e s \ r A r t i k l i _ H R _ A n a l i z a \ C o l u m n s \ < / K e y > < / D i a g r a m O b j e c t K e y > < D i a g r a m O b j e c t K e y > < K e y > T a b l e s \ r A r t i k l i _ H R _ A n a l i z a \ C o l u m n s \ 7=>A< / K e y > < / D i a g r a m O b j e c t K e y > < D i a g r a m O b j e c t K e y > < K e y > T a b l e s \ r A r t i k l i _ H R _ A n a l i z a \ C o l u m n s \ >=B>< / K e y > < / D i a g r a m O b j e c t K e y > < D i a g r a m O b j e c t K e y > < K e y > T a b l e s \ r A r t i k l i _ H R _ A n a l i z a \ C o l u m n s \ R e p o r t T y p e < / K e y > < / D i a g r a m O b j e c t K e y > < D i a g r a m O b j e c t K e y > < K e y > T a b l e s \ r A r t i k l i _ H R _ A n a l i z a \ C o l u m n s \ 5@8>4< / K e y > < / D i a g r a m O b j e c t K e y > < D i a g r a m O b j e c t K e y > < K e y > T a b l e s \ r A r t i k l i _ H R _ A n a l i z a \ C o l u m n s \ S t a v k a I m e M K < / K e y > < / D i a g r a m O b j e c t K e y > < D i a g r a m O b j e c t K e y > < K e y > T a b l e s \ r A r t i k l i _ H R _ A n a l i z a \ C o l u m n s \ S t a v k a A O P < / K e y > < / D i a g r a m O b j e c t K e y > < D i a g r a m O b j e c t K e y > < K e y > T a b l e s \ r A r t i k l i _ H R _ A n a l i z a \ C o l u m n s \ S t a v k a G r u p a < / K e y > < / D i a g r a m O b j e c t K e y > < D i a g r a m O b j e c t K e y > < K e y > T a b l e s \ r A r t i k l i _ H R _ A n a l i z a \ C o l u m n s \ S t a v k a K a t e g o r i j a < / K e y > < / D i a g r a m O b j e c t K e y > < D i a g r a m O b j e c t K e y > < K e y > T a b l e s \ r A r t i k l i _ H R _ A n a l i z a \ C o l u m n s \ O b r a z e c I m e < / K e y > < / D i a g r a m O b j e c t K e y > < D i a g r a m O b j e c t K e y > < K e y > T a b l e s \ r A r t i k l i _ H R _ A n a l i z a \ C o l u m n s \ "8?  =0  2@01>BC20Z5< / K e y > < / D i a g r a m O b j e c t K e y > < D i a g r a m O b j e c t K e y > < K e y > T a b l e s \ r A r t i k l i _ H R _ A n a l i z a \ C o l u m n s \ ;0=8@0=  ?@8;82/ ( >4;82) < / K e y > < / D i a g r a m O b j e c t K e y > < D i a g r a m O b j e c t K e y > < K e y > T a b l e s \ r A r t i k l i _ H R _ A n a l i z a \ C o l u m n s \ @0X=0  A>AB>X10  2@01>B5=8< / K e y > < / D i a g r a m O b j e c t K e y > < D i a g r a m O b j e c t K e y > < K e y > T a b l e s \ r A r t i k l i _ H R _ A n a l i z a \ C o l u m n s \ S t a v k a K a t e g o r i j a . 1 < / K e y > < / D i a g r a m O b j e c t K e y > < D i a g r a m O b j e c t K e y > < K e y > T a b l e s \ r A r t i k l i _ H R _ A n a l i z a \ M e a s u r e s \ S u m   o f   >;8G8=0  2 < / K e y > < / D i a g r a m O b j e c t K e y > < D i a g r a m O b j e c t K e y > < K e y > T a b l e s \ r A r t i k l i _ H R _ A n a l i z a \ S u m   o f   >;8G8=0  2 \ A d d i t i o n a l   I n f o \ I m p l i c i t   M e a s u r e < / K e y > < / D i a g r a m O b j e c t K e y > < D i a g r a m O b j e c t K e y > < K e y > T a b l e s \ r A r t i k l i _ H R _ A n a l i z a \ M e a s u r e s \ S u m   o f   48=5G=0  F5=0  2 < / K e y > < / D i a g r a m O b j e c t K e y > < D i a g r a m O b j e c t K e y > < K e y > T a b l e s \ r A r t i k l i _ H R _ A n a l i z a \ S u m   o f   48=5G=0  F5=0  2 \ A d d i t i o n a l   I n f o \ I m p l i c i t   M e a s u r e < / K e y > < / D i a g r a m O b j e c t K e y > < D i a g r a m O b j e c t K e y > < K e y > T a b l e s \ r A r t i k l i _ H R _ A n a l i z a \ M e a s u r e s \ S u m   o f   :C?=>  B@>H>:  2 < / K e y > < / D i a g r a m O b j e c t K e y > < D i a g r a m O b j e c t K e y > < K e y > T a b l e s \ r A r t i k l i _ H R _ A n a l i z a \ S u m   o f   :C?=>  B@>H>:  2 \ A d d i t i o n a l   I n f o \ I m p l i c i t   M e a s u r e < / K e y > < / D i a g r a m O b j e c t K e y > < D i a g r a m O b j e c t K e y > < K e y > T a b l e s \ r A r t i k l i _ H R _ A n a l i z a \ M e a s u r e s \ S u m   o f     2 < / K e y > < / D i a g r a m O b j e c t K e y > < D i a g r a m O b j e c t K e y > < K e y > T a b l e s \ r A r t i k l i _ H R _ A n a l i z a \ S u m   o f     2 \ A d d i t i o n a l   I n f o \ I m p l i c i t   M e a s u r e < / K e y > < / D i a g r a m O b j e c t K e y > < D i a g r a m O b j e c t K e y > < K e y > T a b l e s \ r A r t i k l i _ H R _ A n a l i z a \ M e a s u r e s \ S u m   o f   7=>A  7 < / K e y > < / D i a g r a m O b j e c t K e y > < D i a g r a m O b j e c t K e y > < K e y > T a b l e s \ r A r t i k l i _ H R _ A n a l i z a \ S u m   o f   7=>A  7 \ A d d i t i o n a l   I n f o \ I m p l i c i t   M e a s u r e < / K e y > < / D i a g r a m O b j e c t K e y > < D i a g r a m O b j e c t K e y > < K e y > T a b l e s \ f C o v e c k i R e s u r s i     2 < / K e y > < / D i a g r a m O b j e c t K e y > < D i a g r a m O b j e c t K e y > < K e y > T a b l e s \ f C o v e c k i R e s u r s i     2 \ C o l u m n s \ !B02:0< / K e y > < / D i a g r a m O b j e c t K e y > < D i a g r a m O b j e c t K e y > < K e y > T a b l e s \ f C o v e c k i R e s u r s i     2 \ C o l u m n s \ 5@8>4< / K e y > < / D i a g r a m O b j e c t K e y > < D i a g r a m O b j e c t K e y > < K e y > T a b l e s \ f C o v e c k i R e s u r s i     2 \ C o l u m n s \ 7=>A< / K e y > < / D i a g r a m O b j e c t K e y > < D i a g r a m O b j e c t K e y > < K e y > T a b l e s \ f C o v e c k i R e s u r s i     2 \ C o l u m n s \ >=B>< / K e y > < / D i a g r a m O b j e c t K e y > < D i a g r a m O b j e c t K e y > < K e y > T a b l e s \ f C o v e c k i R e s u r s i     2 \ C o l u m n s \ R e p o r t T y p e < / K e y > < / D i a g r a m O b j e c t K e y > < D i a g r a m O b j e c t K e y > < K e y > T a b l e s \ f C o v e c k i R e s u r s i     2 \ C o l u m n s \ S t a v k a I m e M K < / K e y > < / D i a g r a m O b j e c t K e y > < D i a g r a m O b j e c t K e y > < K e y > T a b l e s \ f C o v e c k i R e s u r s i     2 \ C o l u m n s \ S t a v k a K a t e g o r i j a < / K e y > < / D i a g r a m O b j e c t K e y > < D i a g r a m O b j e c t K e y > < K e y > T a b l e s \ f C o v e c k i R e s u r s i     2 \ C o l u m n s \ O b r a z e c I m e < / K e y > < / D i a g r a m O b j e c t K e y > < D i a g r a m O b j e c t K e y > < K e y > T a b l e s \ f C o v e c k i R e s u r s i     2 \ M e a s u r e s \ S u m   o f   7=>A  5 < / K e y > < / D i a g r a m O b j e c t K e y > < D i a g r a m O b j e c t K e y > < K e y > T a b l e s \ f C o v e c k i R e s u r s i     2 \ S u m   o f   7=>A  5 \ A d d i t i o n a l   I n f o \ I m p l i c i t   M e a s u r e < / K e y > < / D i a g r a m O b j e c t K e y > < D i a g r a m O b j e c t K e y > < K e y > R e l a t i o n s h i p s \ & l t ; T a b l e s \ C A P E X \ C o l u m n s \ G5:C20=  40BC<  =0  ?;0\0Z5& g t ; - & l t ; T a b l e s \ C a l e n d a r \ C o l u m n s \ D a t e & g t ; < / K e y > < / D i a g r a m O b j e c t K e y > < D i a g r a m O b j e c t K e y > < K e y > R e l a t i o n s h i p s \ & l t ; T a b l e s \ C A P E X \ C o l u m n s \ G5:C20=  40BC<  =0  ?;0\0Z5& g t ; - & l t ; T a b l e s \ C a l e n d a r \ C o l u m n s \ D a t e & g t ; \ F K < / K e y > < / D i a g r a m O b j e c t K e y > < D i a g r a m O b j e c t K e y > < K e y > R e l a t i o n s h i p s \ & l t ; T a b l e s \ C A P E X \ C o l u m n s \ G5:C20=  40BC<  =0  ?;0\0Z5& g t ; - & l t ; T a b l e s \ C a l e n d a r \ C o l u m n s \ D a t e & g t ; \ P K < / K e y > < / D i a g r a m O b j e c t K e y > < D i a g r a m O b j e c t K e y > < K e y > R e l a t i o n s h i p s \ & l t ; T a b l e s \ C A P E X \ C o l u m n s \ G5:C20=  40BC<  =0  ?;0\0Z5& g t ; - & l t ; T a b l e s \ C a l e n d a r \ C o l u m n s \ D a t e & g t ; \ C r o s s F i l t e r < / K e y > < / D i a g r a m O b j e c t K e y > < D i a g r a m O b j e c t K e y > < K e y > R e l a t i o n s h i p s \ & l t ; T a b l e s \ A m o r t i z a c i j a \ C o l u m n s \ 5@8>4& g t ; - & l t ; T a b l e s \ C a l e n d a r \ C o l u m n s \ D a t e & g t ; < / K e y > < / D i a g r a m O b j e c t K e y > < D i a g r a m O b j e c t K e y > < K e y > R e l a t i o n s h i p s \ & l t ; T a b l e s \ A m o r t i z a c i j a \ C o l u m n s \ 5@8>4& g t ; - & l t ; T a b l e s \ C a l e n d a r \ C o l u m n s \ D a t e & g t ; \ F K < / K e y > < / D i a g r a m O b j e c t K e y > < D i a g r a m O b j e c t K e y > < K e y > R e l a t i o n s h i p s \ & l t ; T a b l e s \ A m o r t i z a c i j a \ C o l u m n s \ 5@8>4& g t ; - & l t ; T a b l e s \ C a l e n d a r \ C o l u m n s \ D a t e & g t ; \ P K < / K e y > < / D i a g r a m O b j e c t K e y > < D i a g r a m O b j e c t K e y > < K e y > R e l a t i o n s h i p s \ & l t ; T a b l e s \ A m o r t i z a c i j a \ C o l u m n s \ 5@8>4& g t ; - & l t ; T a b l e s \ C a l e n d a r \ C o l u m n s \ D a t e & g t ; \ C r o s s F i l t e r < / K e y > < / D i a g r a m O b j e c t K e y > < D i a g r a m O b j e c t K e y > < K e y > R e l a t i o n s h i p s \ & l t ; T a b l e s \ f C o v e c k i R e s u r s i \ C o l u m n s \ 5@8>4& g t ; - & l t ; T a b l e s \ C a l e n d a r \ C o l u m n s \ D a t e & g t ; < / K e y > < / D i a g r a m O b j e c t K e y > < D i a g r a m O b j e c t K e y > < K e y > R e l a t i o n s h i p s \ & l t ; T a b l e s \ f C o v e c k i R e s u r s i \ C o l u m n s \ 5@8>4& g t ; - & l t ; T a b l e s \ C a l e n d a r \ C o l u m n s \ D a t e & g t ; \ F K < / K e y > < / D i a g r a m O b j e c t K e y > < D i a g r a m O b j e c t K e y > < K e y > R e l a t i o n s h i p s \ & l t ; T a b l e s \ f C o v e c k i R e s u r s i \ C o l u m n s \ 5@8>4& g t ; - & l t ; T a b l e s \ C a l e n d a r \ C o l u m n s \ D a t e & g t ; \ P K < / K e y > < / D i a g r a m O b j e c t K e y > < D i a g r a m O b j e c t K e y > < K e y > R e l a t i o n s h i p s \ & l t ; T a b l e s \ f C o v e c k i R e s u r s i \ C o l u m n s \ 5@8>4& g t ; - & l t ; T a b l e s \ C a l e n d a r \ C o l u m n s \ D a t e & g t ; \ C r o s s F i l t e r < / K e y > < / D i a g r a m O b j e c t K e y > < D i a g r a m O b j e c t K e y > < K e y > R e l a t i o n s h i p s \ & l t ; T a b l e s \ f A c t u a l A n d B u d g e t \ C o l u m n s \ 5@8>4& g t ; - & l t ; T a b l e s \ C a l e n d a r \ C o l u m n s \ D a t e & g t ; < / K e y > < / D i a g r a m O b j e c t K e y > < D i a g r a m O b j e c t K e y > < K e y > R e l a t i o n s h i p s \ & l t ; T a b l e s \ f A c t u a l A n d B u d g e t \ C o l u m n s \ 5@8>4& g t ; - & l t ; T a b l e s \ C a l e n d a r \ C o l u m n s \ D a t e & g t ; \ F K < / K e y > < / D i a g r a m O b j e c t K e y > < D i a g r a m O b j e c t K e y > < K e y > R e l a t i o n s h i p s \ & l t ; T a b l e s \ f A c t u a l A n d B u d g e t \ C o l u m n s \ 5@8>4& g t ; - & l t ; T a b l e s \ C a l e n d a r \ C o l u m n s \ D a t e & g t ; \ P K < / K e y > < / D i a g r a m O b j e c t K e y > < D i a g r a m O b j e c t K e y > < K e y > R e l a t i o n s h i p s \ & l t ; T a b l e s \ f A c t u a l A n d B u d g e t \ C o l u m n s \ 5@8>4& g t ; - & l t ; T a b l e s \ C a l e n d a r \ C o l u m n s \ D a t e & g t ; \ C r o s s F i l t e r < / K e y > < / D i a g r a m O b j e c t K e y > < D i a g r a m O b j e c t K e y > < K e y > R e l a t i o n s h i p s \ & l t ; T a b l e s \ f O P E X \ C o l u m n s \ 5@8>4& g t ; - & l t ; T a b l e s \ C a l e n d a r \ C o l u m n s \ D a t e & g t ; < / K e y > < / D i a g r a m O b j e c t K e y > < D i a g r a m O b j e c t K e y > < K e y > R e l a t i o n s h i p s \ & l t ; T a b l e s \ f O P E X \ C o l u m n s \ 5@8>4& g t ; - & l t ; T a b l e s \ C a l e n d a r \ C o l u m n s \ D a t e & g t ; \ F K < / K e y > < / D i a g r a m O b j e c t K e y > < D i a g r a m O b j e c t K e y > < K e y > R e l a t i o n s h i p s \ & l t ; T a b l e s \ f O P E X \ C o l u m n s \ 5@8>4& g t ; - & l t ; T a b l e s \ C a l e n d a r \ C o l u m n s \ D a t e & g t ; \ P K < / K e y > < / D i a g r a m O b j e c t K e y > < D i a g r a m O b j e c t K e y > < K e y > R e l a t i o n s h i p s \ & l t ; T a b l e s \ f O P E X \ C o l u m n s \ 5@8>4& g t ; - & l t ; T a b l e s \ C a l e n d a r \ C o l u m n s \ D a t e & g t ; \ C r o s s F i l t e r < / K e y > < / D i a g r a m O b j e c t K e y > < D i a g r a m O b j e c t K e y > < K e y > R e l a t i o n s h i p s \ & l t ; T a b l e s \ O P E X A n a l i z a \ C o l u m n s \ 5@8>4& g t ; - & l t ; T a b l e s \ C a l e n d a r \ C o l u m n s \ D a t e & g t ; < / K e y > < / D i a g r a m O b j e c t K e y > < D i a g r a m O b j e c t K e y > < K e y > R e l a t i o n s h i p s \ & l t ; T a b l e s \ O P E X A n a l i z a \ C o l u m n s \ 5@8>4& g t ; - & l t ; T a b l e s \ C a l e n d a r \ C o l u m n s \ D a t e & g t ; \ F K < / K e y > < / D i a g r a m O b j e c t K e y > < D i a g r a m O b j e c t K e y > < K e y > R e l a t i o n s h i p s \ & l t ; T a b l e s \ O P E X A n a l i z a \ C o l u m n s \ 5@8>4& g t ; - & l t ; T a b l e s \ C a l e n d a r \ C o l u m n s \ D a t e & g t ; \ P K < / K e y > < / D i a g r a m O b j e c t K e y > < D i a g r a m O b j e c t K e y > < K e y > R e l a t i o n s h i p s \ & l t ; T a b l e s \ O P E X A n a l i z a \ C o l u m n s \ 5@8>4& g t ; - & l t ; T a b l e s \ C a l e n d a r \ C o l u m n s \ D a t e & g t ; \ C r o s s F i l t e r < / K e y > < / D i a g r a m O b j e c t K e y > < D i a g r a m O b j e c t K e y > < K e y > R e l a t i o n s h i p s \ & l t ; T a b l e s \ r A r t i k l i A n a l i z a \ C o l u m n s \ >=B>& g t ; - & l t ; T a b l e s \ C a l e n d a r \ C o l u m n s \ D a t e & g t ; < / K e y > < / D i a g r a m O b j e c t K e y > < D i a g r a m O b j e c t K e y > < K e y > R e l a t i o n s h i p s \ & l t ; T a b l e s \ r A r t i k l i A n a l i z a \ C o l u m n s \ >=B>& g t ; - & l t ; T a b l e s \ C a l e n d a r \ C o l u m n s \ D a t e & g t ; \ F K < / K e y > < / D i a g r a m O b j e c t K e y > < D i a g r a m O b j e c t K e y > < K e y > R e l a t i o n s h i p s \ & l t ; T a b l e s \ r A r t i k l i A n a l i z a \ C o l u m n s \ >=B>& g t ; - & l t ; T a b l e s \ C a l e n d a r \ C o l u m n s \ D a t e & g t ; \ P K < / K e y > < / D i a g r a m O b j e c t K e y > < D i a g r a m O b j e c t K e y > < K e y > R e l a t i o n s h i p s \ & l t ; T a b l e s \ r A r t i k l i A n a l i z a \ C o l u m n s \ >=B>& g t ; - & l t ; T a b l e s \ C a l e n d a r \ C o l u m n s \ D a t e & g t ; \ C r o s s F i l t e r < / K e y > < / D i a g r a m O b j e c t K e y > < D i a g r a m O b j e c t K e y > < K e y > R e l a t i o n s h i p s \ & l t ; T a b l e s \ f C o v e c k i R e s u r s i     2 \ C o l u m n s \ 5@8>4& g t ; - & l t ; T a b l e s \ C a l e n d a r \ C o l u m n s \ D a t e & g t ; < / K e y > < / D i a g r a m O b j e c t K e y > < D i a g r a m O b j e c t K e y > < K e y > R e l a t i o n s h i p s \ & l t ; T a b l e s \ f C o v e c k i R e s u r s i     2 \ C o l u m n s \ 5@8>4& g t ; - & l t ; T a b l e s \ C a l e n d a r \ C o l u m n s \ D a t e & g t ; \ F K < / K e y > < / D i a g r a m O b j e c t K e y > < D i a g r a m O b j e c t K e y > < K e y > R e l a t i o n s h i p s \ & l t ; T a b l e s \ f C o v e c k i R e s u r s i     2 \ C o l u m n s \ 5@8>4& g t ; - & l t ; T a b l e s \ C a l e n d a r \ C o l u m n s \ D a t e & g t ; \ P K < / K e y > < / D i a g r a m O b j e c t K e y > < D i a g r a m O b j e c t K e y > < K e y > R e l a t i o n s h i p s \ & l t ; T a b l e s \ f C o v e c k i R e s u r s i     2 \ C o l u m n s \ 5@8>4& g t ; - & l t ; T a b l e s \ C a l e n d a r \ C o l u m n s \ D a t e & g t ; \ C r o s s F i l t e r < / K e y > < / D i a g r a m O b j e c t K e y > < / A l l K e y s > < S e l e c t e d K e y s > < D i a g r a m O b j e c t K e y > < K e y > R e l a t i o n s h i p s \ & l t ; T a b l e s \ f C o v e c k i R e s u r s i     2 \ C o l u m n s \ 5@8>4& g t ; - & l t ; T a b l e s \ C a l e n d a r \ C o l u m n s \ D a t e & g t ; < / K e y > < / D i a g r a m O b j e c t K e y > < / S e l e c t e d K e y s > < / M a i n t a i n e r > < V i e w S t a t e F a c t o r y T y p e > M i c r o s o f t . A n a l y s i s S e r v i c e s . C o m m o n . D i a g r a m D i s p l a y V i e w S t a t e F a c t o r y < / V i e w S t a t e F a c t o r y T y p e > < V i e w S t a t e s   x m l n s : a = " h t t p : / / s c h e m a s . m i c r o s o f t . c o m / 2 0 0 3 / 1 0 / S e r i a l i z a t i o n / A r r a y s " > < a : K e y V a l u e O f D i a g r a m O b j e c t K e y a n y T y p e z b w N T n L X > < a : K e y > < K e y > E R   D i a g r a m < / K e y > < / a : K e y > < a : V a l u e   i : t y p e = " D i a g r a m D i s p l a y D i a g r a m V i e w S t a t e " > < L a y e d O u t > t r u e < / L a y e d O u t > < S c r o l l H o r i z o n t a l O f f s e t > 3 0 < / S c r o l l H o r i z o n t a l O f f s e t > < S c r o l l V e r t i c a l O f f s e t > 1 8 6 . 6 9 9 9 9 9 9 9 9 9 9 9 8 2 < / S c r o l l V e r t i c a l O f f s e t > < Z o o m P e r c e n t > 9 5 < / Z o o m P e r c e n t > < / a : V a l u e > < / a : K e y V a l u e O f D i a g r a m O b j e c t K e y a n y T y p e z b w N T n L X > < a : K e y V a l u e O f D i a g r a m O b j e c t K e y a n y T y p e z b w N T n L X > < a : K e y > < K e y > A c t i o n s \ D e l e t e < / K e y > < / a : K e y > < a : V a l u e   i : t y p e = " D i a g r a m D i s p l a y V i e w S t a t e I D i a g r a m A c t i o n " / > < / a : K e y V a l u e O f D i a g r a m O b j e c t K e y a n y T y p e z b w N T n L X > < a : K e y V a l u e O f D i a g r a m O b j e c t K e y a n y T y p e z b w N T n L X > < a : K e y > < K e y > A c t i o n s \ D e l e t e   f r o m   m o d e l < / K e y > < / a : K e y > < a : V a l u e   i : t y p e = " D i a g r a m D i s p l a y V i e w S t a t e I D i a g r a m A c t i o n " / > < / a : K e y V a l u e O f D i a g r a m O b j e c t K e y a n y T y p e z b w N T n L X > < a : K e y V a l u e O f D i a g r a m O b j e c t K e y a n y T y p e z b w N T n L X > < a : K e y > < K e y > A c t i o n s \ S e l e c t < / K e y > < / a : K e y > < a : V a l u e   i : t y p e = " D i a g r a m D i s p l a y V i e w S t a t e I D i a g r a m A c t i o n " / > < / a : K e y V a l u e O f D i a g r a m O b j e c t K e y a n y T y p e z b w N T n L X > < a : K e y V a l u e O f D i a g r a m O b j e c t K e y a n y T y p e z b w N T n L X > < a : K e y > < K e y > A c t i o n s \ C r e a t e   R e l a t i o n s h i p < / K e y > < / a : K e y > < a : V a l u e   i : t y p e = " D i a g r a m D i s p l a y V i e w S t a t e I D i a g r a m A c t i o n " / > < / a : K e y V a l u e O f D i a g r a m O b j e c t K e y a n y T y p e z b w N T n L X > < a : K e y V a l u e O f D i a g r a m O b j e c t K e y a n y T y p e z b w N T n L X > < a : K e y > < K e y > A c t i o n s \ L a u n c h   C r e a t e   R e l a t i o n s h i p   D i a l o g < / K e y > < / a : K e y > < a : V a l u e   i : t y p e = " D i a g r a m D i s p l a y V i e w S t a t e I D i a g r a m A c t i o n " / > < / a : K e y V a l u e O f D i a g r a m O b j e c t K e y a n y T y p e z b w N T n L X > < a : K e y V a l u e O f D i a g r a m O b j e c t K e y a n y T y p e z b w N T n L X > < a : K e y > < K e y > A c t i o n s \ L a u n c h   E d i t   R e l a t i o n s h i p   D i a l o g < / K e y > < / a : K e y > < a : V a l u e   i : t y p e = " D i a g r a m D i s p l a y V i e w S t a t e I D i a g r a m A c t i o n " / > < / a : K e y V a l u e O f D i a g r a m O b j e c t K e y a n y T y p e z b w N T n L X > < a : K e y V a l u e O f D i a g r a m O b j e c t K e y a n y T y p e z b w N T n L X > < a : K e y > < K e y > A c t i o n s \ C r e a t e   H i e r a r c h y   w i t h   L e v e l s < / K e y > < / a : K e y > < a : V a l u e   i : t y p e = " D i a g r a m D i s p l a y V i e w S t a t e I D i a g r a m A c t i o n " / > < / a : K e y V a l u e O f D i a g r a m O b j e c t K e y a n y T y p e z b w N T n L X > < a : K e y V a l u e O f D i a g r a m O b j e c t K e y a n y T y p e z b w N T n L X > < a : K e y > < K e y > A c t i o n s \ C r e a t e   E m p t y   H i e r a r c h y < / K e y > < / a : K e y > < a : V a l u e   i : t y p e = " D i a g r a m D i s p l a y V i e w S t a t e I D i a g r a m A c t i o n " / > < / a : K e y V a l u e O f D i a g r a m O b j e c t K e y a n y T y p e z b w N T n L X > < a : K e y V a l u e O f D i a g r a m O b j e c t K e y a n y T y p e z b w N T n L X > < a : K e y > < K e y > A c t i o n s \ R e m o v e   f r o m   H i e r a r c h y < / K e y > < / a : K e y > < a : V a l u e   i : t y p e = " D i a g r a m D i s p l a y V i e w S t a t e I D i a g r a m A c t i o n " / > < / a : K e y V a l u e O f D i a g r a m O b j e c t K e y a n y T y p e z b w N T n L X > < a : K e y V a l u e O f D i a g r a m O b j e c t K e y a n y T y p e z b w N T n L X > < a : K e y > < K e y > A c t i o n s \ R e n a m e   N o d e < / K e y > < / a : K e y > < a : V a l u e   i : t y p e = " D i a g r a m D i s p l a y V i e w S t a t e I D i a g r a m A c t i o n " / > < / a : K e y V a l u e O f D i a g r a m O b j e c t K e y a n y T y p e z b w N T n L X > < a : K e y V a l u e O f D i a g r a m O b j e c t K e y a n y T y p e z b w N T n L X > < a : K e y > < K e y > A c t i o n s \ M o v e   N o d e < / K e y > < / a : K e y > < a : V a l u e   i : t y p e = " D i a g r a m D i s p l a y V i e w S t a t e I D i a g r a m A c t i o n " / > < / a : K e y V a l u e O f D i a g r a m O b j e c t K e y a n y T y p e z b w N T n L X > < a : K e y V a l u e O f D i a g r a m O b j e c t K e y a n y T y p e z b w N T n L X > < a : K e y > < K e y > A c t i o n s \ H i d e   t h e   e n t i t y < / K e y > < / a : K e y > < a : V a l u e   i : t y p e = " D i a g r a m D i s p l a y V i e w S t a t e I D i a g r a m A c t i o n " / > < / a : K e y V a l u e O f D i a g r a m O b j e c t K e y a n y T y p e z b w N T n L X > < a : K e y V a l u e O f D i a g r a m O b j e c t K e y a n y T y p e z b w N T n L X > < a : K e y > < K e y > A c t i o n s \ U n h i d e   t h e   e n t i t y < / K e y > < / a : K e y > < a : V a l u e   i : t y p e = " D i a g r a m D i s p l a y V i e w S t a t e I D i a g r a m A c t i o n " / > < / a : K e y V a l u e O f D i a g r a m O b j e c t K e y a n y T y p e z b w N T n L X > < a : K e y V a l u e O f D i a g r a m O b j e c t K e y a n y T y p e z b w N T n L X > < a : K e y > < K e y > A c t i o n s \ G o T o < / K e y > < / a : K e y > < a : V a l u e   i : t y p e = " D i a g r a m D i s p l a y V i e w S t a t e I D i a g r a m A c t i o n " / > < / a : K e y V a l u e O f D i a g r a m O b j e c t K e y a n y T y p e z b w N T n L X > < a : K e y V a l u e O f D i a g r a m O b j e c t K e y a n y T y p e z b w N T n L X > < a : K e y > < K e y > A c t i o n s \ M o v e   U p < / K e y > < / a : K e y > < a : V a l u e   i : t y p e = " D i a g r a m D i s p l a y V i e w S t a t e I D i a g r a m A c t i o n " / > < / a : K e y V a l u e O f D i a g r a m O b j e c t K e y a n y T y p e z b w N T n L X > < a : K e y V a l u e O f D i a g r a m O b j e c t K e y a n y T y p e z b w N T n L X > < a : K e y > < K e y > A c t i o n s \ M o v e   D o w n < / K e y > < / a : K e y > < a : V a l u e   i : t y p e = " D i a g r a m D i s p l a y V i e w S t a t e I D i a g r a m A c t i o n " / > < / a : K e y V a l u e O f D i a g r a m O b j e c t K e y a n y T y p e z b w N T n L X > < a : K e y V a l u e O f D i a g r a m O b j e c t K e y a n y T y p e z b w N T n L X > < a : K e y > < K e y > A c t i o n s \ M a r k   R e l a t i o n s h i p   a s   A c t i v e < / K e y > < / a : K e y > < a : V a l u e   i : t y p e = " D i a g r a m D i s p l a y V i e w S t a t e I D i a g r a m A c t i o n " / > < / a : K e y V a l u e O f D i a g r a m O b j e c t K e y a n y T y p e z b w N T n L X > < a : K e y V a l u e O f D i a g r a m O b j e c t K e y a n y T y p e z b w N T n L X > < a : K e y > < K e y > A c t i o n s \ M a r k   R e l a t i o n s h i p   a s   I n a c t i v e < / K e y > < / a : K e y > < a : V a l u e   i : t y p e = " D i a g r a m D i s p l a y V i e w S t a t e I D i a g r a m A c t i o n " / > < / a : K e y V a l u e O f D i a g r a m O b j e c t K e y a n y T y p e z b w N T n L X > < a : K e y V a l u e O f D i a g r a m O b j e c t K e y a n y T y p e z b w N T n L X > < a : K e y > < K e y > A c t i o n s \ R e l a t i o n s h i p   C r o s s   F i l t e r   D i r e c t i o n   S i n g l e < / K e y > < / a : K e y > < a : V a l u e   i : t y p e = " D i a g r a m D i s p l a y V i e w S t a t e I D i a g r a m A c t i o n " / > < / a : K e y V a l u e O f D i a g r a m O b j e c t K e y a n y T y p e z b w N T n L X > < a : K e y V a l u e O f D i a g r a m O b j e c t K e y a n y T y p e z b w N T n L X > < a : K e y > < K e y > A c t i o n s \ R e l a t i o n s h i p   C r o s s   F i l t e r   D i r e c t i o n   B o t h < / K e y > < / a : K e y > < a : V a l u e   i : t y p e = " D i a g r a m D i s p l a y V i e w S t a t e I D i a g r a m A c t i o n " / > < / a : K e y V a l u e O f D i a g r a m O b j e c t K e y a n y T y p e z b w N T n L X > < a : K e y V a l u e O f D i a g r a m O b j e c t K e y a n y T y p e z b w N T n L X > < a : K e y > < K e y > A c t i o n s \ R e l a t i o n s h i p   E n d   P o i n t   M u l t i p l i c i t y   O n e < / K e y > < / a : K e y > < a : V a l u e   i : t y p e = " D i a g r a m D i s p l a y V i e w S t a t e I D i a g r a m A c t i o n " / > < / a : K e y V a l u e O f D i a g r a m O b j e c t K e y a n y T y p e z b w N T n L X > < a : K e y V a l u e O f D i a g r a m O b j e c t K e y a n y T y p e z b w N T n L X > < a : K e y > < K e y > A c t i o n s \ R e l a t i o n s h i p   E n d   P o i n t   M u l t i p l i c i t y   M a n y < / K e y > < / a : K e y > < a : V a l u e   i : t y p e = " D i a g r a m D i s p l a y V i e w S t a t e I D i a g r a m A c t i o n " / > < / a : K e y V a l u e O f D i a g r a m O b j e c t K e y a n y T y p e z b w N T n L X > < a : K e y V a l u e O f D i a g r a m O b j e c t K e y a n y T y p e z b w N T n L X > < a : K e y > < K e y > A c t i o n s \ A d d   t o   a   H i e r a r c h y   i n   T a b l e   C a l e n d a r < / K e y > < / a : K e y > < a : V a l u e   i : t y p e = " D i a g r a m D i s p l a y V i e w S t a t e I D i a g r a m A c t i o n " / > < / a : K e y V a l u e O f D i a g r a m O b j e c t K e y a n y T y p e z b w N T n L X > < a : K e y V a l u e O f D i a g r a m O b j e c t K e y a n y T y p e z b w N T n L X > < a : K e y > < K e y > A c t i o n s \ A d d   t o   h i e r a r c h y   F o r   & l t ; T a b l e s \ C a l e n d a r \ H i e r a r c h i e s \ D a t e   H i e r a r c h y & g t ; < / K e y > < / a : K e y > < a : V a l u e   i : t y p e = " D i a g r a m D i s p l a y V i e w S t a t e I D i a g r a m A c t i o n " / > < / a : K e y V a l u e O f D i a g r a m O b j e c t K e y a n y T y p e z b w N T n L X > < a : K e y V a l u e O f D i a g r a m O b j e c t K e y a n y T y p e z b w N T n L X > < a : K e y > < K e y > A c t i o n s \ M o v e   t o   a   H i e r a r c h y   i n   T a b l e   C a l e n d a r < / K e y > < / a : K e y > < a : V a l u e   i : t y p e = " D i a g r a m D i s p l a y V i e w S t a t e I D i a g r a m A c t i o n " / > < / a : K e y V a l u e O f D i a g r a m O b j e c t K e y a n y T y p e z b w N T n L X > < a : K e y V a l u e O f D i a g r a m O b j e c t K e y a n y T y p e z b w N T n L X > < a : K e y > < K e y > A c t i o n s \ M o v e   i n t o   h i e r a r c h y   F o r   & l t ; T a b l e s \ C a l e n d a r \ H i e r a r c h i e s \ D a t e   H i e r a r c h y & g t ; < / K e y > < / a : K e y > < a : V a l u e   i : t y p e = " D i a g r a m D i s p l a y V i e w S t a t e I D i a g r a m A c t i o n " / > < / a : K e y V a l u e O f D i a g r a m O b j e c t K e y a n y T y p e z b w N T n L X > < a : K e y V a l u e O f D i a g r a m O b j e c t K e y a n y T y p e z b w N T n L X > < a : K e y > < K e y > T a g G r o u p s \ N o d e   T y p e s < / K e y > < / a : K e y > < a : V a l u e   i : t y p e = " D i a g r a m D i s p l a y V i e w S t a t e I D i a g r a m T a g G r o u p " / > < / a : K e y V a l u e O f D i a g r a m O b j e c t K e y a n y T y p e z b w N T n L X > < a : K e y V a l u e O f D i a g r a m O b j e c t K e y a n y T y p e z b w N T n L X > < a : K e y > < K e y > T a g G r o u p s \ A d d i t i o n a l   I n f o   T y p e s < / K e y > < / a : K e y > < a : V a l u e   i : t y p e = " D i a g r a m D i s p l a y V i e w S t a t e I D i a g r a m T a g G r o u p " / > < / a : K e y V a l u e O f D i a g r a m O b j e c t K e y a n y T y p e z b w N T n L X > < a : K e y V a l u e O f D i a g r a m O b j e c t K e y a n y T y p e z b w N T n L X > < a : K e y > < K e y > T a g G r o u p s \ C a l c u l a t e d   C o l u m n s < / K e y > < / a : K e y > < a : V a l u e   i : t y p e = " D i a g r a m D i s p l a y V i e w S t a t e I D i a g r a m T a g G r o u p " / > < / a : K e y V a l u e O f D i a g r a m O b j e c t K e y a n y T y p e z b w N T n L X > < a : K e y V a l u e O f D i a g r a m O b j e c t K e y a n y T y p e z b w N T n L X > < a : K e y > < K e y > T a g G r o u p s \ W a r n i n g s < / K e y > < / a : K e y > < a : V a l u e   i : t y p e = " D i a g r a m D i s p l a y V i e w S t a t e I D i a g r a m T a g G r o u p " / > < / a : K e y V a l u e O f D i a g r a m O b j e c t K e y a n y T y p e z b w N T n L X > < a : K e y V a l u e O f D i a g r a m O b j e c t K e y a n y T y p e z b w N T n L X > < a : K e y > < K e y > T a g G r o u p s \ H i g h l i g h t   R e a s o n s < / K e y > < / a : K e y > < a : V a l u e   i : t y p e = " D i a g r a m D i s p l a y V i e w S t a t e I D i a g r a m T a g G r o u p " / > < / a : K e y V a l u e O f D i a g r a m O b j e c t K e y a n y T y p e z b w N T n L X > < a : K e y V a l u e O f D i a g r a m O b j e c t K e y a n y T y p e z b w N T n L X > < a : K e y > < K e y > T a g G r o u p s \ S t a t e < / K e y > < / a : K e y > < a : V a l u e   i : t y p e = " D i a g r a m D i s p l a y V i e w S t a t e I D i a g r a m T a g G r o u p " / > < / a : K e y V a l u e O f D i a g r a m O b j e c t K e y a n y T y p e z b w N T n L X > < a : K e y V a l u e O f D i a g r a m O b j e c t K e y a n y T y p e z b w N T n L X > < a : K e y > < K e y > T a g G r o u p s \ L i n k   R o l e s < / K e y > < / a : K e y > < a : V a l u e   i : t y p e = " D i a g r a m D i s p l a y V i e w S t a t e I D i a g r a m T a g G r o u p " / > < / a : K e y V a l u e O f D i a g r a m O b j e c t K e y a n y T y p e z b w N T n L X > < a : K e y V a l u e O f D i a g r a m O b j e c t K e y a n y T y p e z b w N T n L X > < a : K e y > < K e y > T a g G r o u p s \ L i n k   T y p e s < / K e y > < / a : K e y > < a : V a l u e   i : t y p e = " D i a g r a m D i s p l a y V i e w S t a t e I D i a g r a m T a g G r o u p " / > < / a : K e y V a l u e O f D i a g r a m O b j e c t K e y a n y T y p e z b w N T n L X > < a : K e y V a l u e O f D i a g r a m O b j e c t K e y a n y T y p e z b w N T n L X > < a : K e y > < K e y > T a g G r o u p s \ L i n k   S t a t e s < / K e y > < / a : K e y > < a : V a l u e   i : t y p e = " D i a g r a m D i s p l a y V i e w S t a t e I D i a g r a m T a g G r o u p " / > < / a : K e y V a l u e O f D i a g r a m O b j e c t K e y a n y T y p e z b w N T n L X > < a : K e y V a l u e O f D i a g r a m O b j e c t K e y a n y T y p e z b w N T n L X > < a : K e y > < K e y > D i a g r a m \ T a g G r o u p s \ D e l e t i o n   I m p a c t s < / K e y > < / a : K e y > < a : V a l u e   i : t y p e = " D i a g r a m D i s p l a y V i e w S t a t e I D i a g r a m T a g G r o u p " / > < / a : K e y V a l u e O f D i a g r a m O b j e c t K e y a n y T y p e z b w N T n L X > < a : K e y V a l u e O f D i a g r a m O b j e c t K e y a n y T y p e z b w N T n L X > < a : K e y > < K e y > T a g G r o u p s \ H i e r a r c h y   I d e n t i f i e r s < / K e y > < / a : K e y > < a : V a l u e   i : t y p e = " D i a g r a m D i s p l a y V i e w S t a t e I D i a g r a m T a g G r o u p " / > < / a : K e y V a l u e O f D i a g r a m O b j e c t K e y a n y T y p e z b w N T n L X > < a : K e y V a l u e O f D i a g r a m O b j e c t K e y a n y T y p e z b w N T n L X > < a : K e y > < K e y > T a g G r o u p s \ T a b l e   I d e n t i f i e r s < / K e y > < / a : K e y > < a : V a l u e   i : t y p e = " D i a g r a m D i s p l a y V i e w S t a t e I D i a g r a m T a g G r o u p " / > < / a : K e y V a l u e O f D i a g r a m O b j e c t K e y a n y T y p e z b w N T n L X > < a : K e y V a l u e O f D i a g r a m O b j e c t K e y a n y T y p e z b w N T n L X > < a : K e y > < K e y > T a g G r o u p s \ A c t i o n   D e s c r i p t o r s < / K e y > < / a : K e y > < a : V a l u e   i : t y p e = " D i a g r a m D i s p l a y V i e w S t a t e I D i a g r a m T a g G r o u p " / > < / a : K e y V a l u e O f D i a g r a m O b j e c t K e y a n y T y p e z b w N T n L X > < a : K e y V a l u e O f D i a g r a m O b j e c t K e y a n y T y p e z b w N T n L X > < a : K e y > < K e y > T a g G r o u p s \ H i n t   T e x t s < / K e y > < / a : K e y > < a : V a l u e   i : t y p e = " D i a g r a m D i s p l a y V i e w S t a t e I D i a g r a m T a g G r o u p " / > < / a : K e y V a l u e O f D i a g r a m O b j e c t K e y a n y T y p e z b w N T n L X > < a : K e y V a l u e O f D i a g r a m O b j e c t K e y a n y T y p e z b w N T n L X > < a : K e y > < K e y > S t a t i c   T a g s \ T a b l e < / K e y > < / a : K e y > < a : V a l u e   i : t y p e = " D i a g r a m D i s p l a y T a g V i e w S t a t e " > < I s N o t F i l t e r e d O u t > t r u e < / I s N o t F i l t e r e d O u t > < / a : V a l u e > < / a : K e y V a l u e O f D i a g r a m O b j e c t K e y a n y T y p e z b w N T n L X > < a : K e y V a l u e O f D i a g r a m O b j e c t K e y a n y T y p e z b w N T n L X > < a : K e y > < K e y > S t a t i c   T a g s \ C o l u m n < / K e y > < / a : K e y > < a : V a l u e   i : t y p e = " D i a g r a m D i s p l a y T a g V i e w S t a t e " > < I s N o t F i l t e r e d O u t > t r u e < / I s N o t F i l t e r e d O u t > < / a : V a l u e > < / a : K e y V a l u e O f D i a g r a m O b j e c t K e y a n y T y p e z b w N T n L X > < a : K e y V a l u e O f D i a g r a m O b j e c t K e y a n y T y p e z b w N T n L X > < a : K e y > < K e y > S t a t i c   T a g s \ M e a s u r e < / K e y > < / a : K e y > < a : V a l u e   i : t y p e = " D i a g r a m D i s p l a y T a g V i e w S t a t e " > < I s N o t F i l t e r e d O u t > t r u e < / I s N o t F i l t e r e d O u t > < / a : V a l u e > < / a : K e y V a l u e O f D i a g r a m O b j e c t K e y a n y T y p e z b w N T n L X > < a : K e y V a l u e O f D i a g r a m O b j e c t K e y a n y T y p e z b w N T n L X > < a : K e y > < K e y > S t a t i c   T a g s \ H i e r a r c h y < / K e y > < / a : K e y > < a : V a l u e   i : t y p e = " D i a g r a m D i s p l a y T a g V i e w S t a t e " > < I s N o t F i l t e r e d O u t > t r u e < / I s N o t F i l t e r e d O u t > < / a : V a l u e > < / a : K e y V a l u e O f D i a g r a m O b j e c t K e y a n y T y p e z b w N T n L X > < a : K e y V a l u e O f D i a g r a m O b j e c t K e y a n y T y p e z b w N T n L X > < a : K e y > < K e y > S t a t i c   T a g s \ H i e r a r c h y L e v e l < / K e y > < / a : K e y > < a : V a l u e   i : t y p e = " D i a g r a m D i s p l a y T a g V i e w S t a t e " > < I s N o t F i l t e r e d O u t > t r u e < / I s N o t F i l t e r e d O u t > < / a : V a l u e > < / a : K e y V a l u e O f D i a g r a m O b j e c t K e y a n y T y p e z b w N T n L X > < a : K e y V a l u e O f D i a g r a m O b j e c t K e y a n y T y p e z b w N T n L X > < a : K e y > < K e y > S t a t i c   T a g s \ K P I < / K e y > < / a : K e y > < a : V a l u e   i : t y p e = " D i a g r a m D i s p l a y T a g V i e w S t a t e " > < I s N o t F i l t e r e d O u t > t r u e < / I s N o t F i l t e r e d O u t > < / a : V a l u e > < / a : K e y V a l u e O f D i a g r a m O b j e c t K e y a n y T y p e z b w N T n L X > < a : K e y V a l u e O f D i a g r a m O b j e c t K e y a n y T y p e z b w N T n L X > < a : K e y > < K e y > S t a t i c   T a g s \ A d d i t i o n a l   I n f o   f o r   S o u r c e   C o l u m n < / K e y > < / a : K e y > < a : V a l u e   i : t y p e = " D i a g r a m D i s p l a y T a g V i e w S t a t e " > < I s N o t F i l t e r e d O u t > t r u e < / I s N o t F i l t e r e d O u t > < / a : V a l u e > < / a : K e y V a l u e O f D i a g r a m O b j e c t K e y a n y T y p e z b w N T n L X > < a : K e y V a l u e O f D i a g r a m O b j e c t K e y a n y T y p e z b w N T n L X > < a : K e y > < K e y > S t a t i c   T a g s \ C a l c u l a t e d   C o l u m n < / K e y > < / a : K e y > < a : V a l u e   i : t y p e = " D i a g r a m D i s p l a y T a g V i e w S t a t e " > < I s N o t F i l t e r e d O u t > t r u e < / I s N o t F i l t e r e d O u t > < / a : V a l u e > < / a : K e y V a l u e O f D i a g r a m O b j e c t K e y a n y T y p e z b w N T n L X > < a : K e y V a l u e O f D i a g r a m O b j e c t K e y a n y T y p e z b w N T n L X > < a : K e y > < K e y > S t a t i c   T a g s \ E r r o r < / K e y > < / a : K e y > < a : V a l u e   i : t y p e = " D i a g r a m D i s p l a y T a g V i e w S t a t e " > < I s N o t F i l t e r e d O u t > t r u e < / I s N o t F i l t e r e d O u t > < / a : V a l u e > < / a : K e y V a l u e O f D i a g r a m O b j e c t K e y a n y T y p e z b w N T n L X > < a : K e y V a l u e O f D i a g r a m O b j e c t K e y a n y T y p e z b w N T n L X > < a : K e y > < K e y > S t a t i c   T a g s \ N o t C a l c u l a t e d < / K e y > < / a : K e y > < a : V a l u e   i : t y p e = " D i a g r a m D i s p l a y T a g V i e w S t a t e " > < I s N o t F i l t e r e d O u t > t r u e < / I s N o t F i l t e r e d O u t > < / a : V a l u e > < / a : K e y V a l u e O f D i a g r a m O b j e c t K e y a n y T y p e z b w N T n L X > < a : K e y V a l u e O f D i a g r a m O b j e c t K e y a n y T y p e z b w N T n L X > < a : K e y > < K e y > S t a t i c   T a g s \ I s   I m p l i c i t   M e a s u r e < / K e y > < / a : K e y > < a : V a l u e   i : t y p e = " D i a g r a m D i s p l a y T a g V i e w S t a t e " > < I s N o t F i l t e r e d O u t > t r u e < / I s N o t F i l t e r e d O u t > < / a : V a l u e > < / a : K e y V a l u e O f D i a g r a m O b j e c t K e y a n y T y p e z b w N T n L X > < a : K e y V a l u e O f D i a g r a m O b j e c t K e y a n y T y p e z b w N T n L X > < a : K e y > < K e y > S t a t i c   T a g s \ R e l a t e d < / K e y > < / a : K e y > < a : V a l u e   i : t y p e = " D i a g r a m D i s p l a y T a g V i e w S t a t e " > < I s N o t F i l t e r e d O u t > t r u e < / I s N o t F i l t e r e d O u t > < / a : V a l u e > < / a : K e y V a l u e O f D i a g r a m O b j e c t K e y a n y T y p e z b w N T n L X > < a : K e y V a l u e O f D i a g r a m O b j e c t K e y a n y T y p e z b w N T n L X > < a : K e y > < K e y > S t a t i c   T a g s \ D e l e t i n g < / K e y > < / a : K e y > < a : V a l u e   i : t y p e = " D i a g r a m D i s p l a y T a g V i e w S t a t e " > < I s N o t F i l t e r e d O u t > t r u e < / I s N o t F i l t e r e d O u t > < / a : V a l u e > < / a : K e y V a l u e O f D i a g r a m O b j e c t K e y a n y T y p e z b w N T n L X > < a : K e y V a l u e O f D i a g r a m O b j e c t K e y a n y T y p e z b w N T n L X > < a : K e y > < K e y > S t a t i c   T a g s \ C r e a t i n g   V a l i d   R e l a t i o n s h i p < / K e y > < / a : K e y > < a : V a l u e   i : t y p e = " D i a g r a m D i s p l a y T a g V i e w S t a t e " > < I s N o t F i l t e r e d O u t > t r u e < / I s N o t F i l t e r e d O u t > < / a : V a l u e > < / a : K e y V a l u e O f D i a g r a m O b j e c t K e y a n y T y p e z b w N T n L X > < a : K e y V a l u e O f D i a g r a m O b j e c t K e y a n y T y p e z b w N T n L X > < a : K e y > < K e y > S t a t i c   T a g s \ H i d d e n < / K e y > < / a : K e y > < a : V a l u e   i : t y p e = " D i a g r a m D i s p l a y T a g V i e w S t a t e " > < I s N o t F i l t e r e d O u t > t r u e < / I s N o t F i l t e r e d O u t > < / a : V a l u e > < / a : K e y V a l u e O f D i a g r a m O b j e c t K e y a n y T y p e z b w N T n L X > < a : K e y V a l u e O f D i a g r a m O b j e c t K e y a n y T y p e z b w N T n L X > < a : K e y > < K e y > S t a t i c   T a g s \ L i n k e d   T a b l e   C o l u m n < / K e y > < / a : K e y > < a : V a l u e   i : t y p e = " D i a g r a m D i s p l a y T a g V i e w S t a t e " > < I s N o t F i l t e r e d O u t > t r u e < / I s N o t F i l t e r e d O u t > < / a : V a l u e > < / a : K e y V a l u e O f D i a g r a m O b j e c t K e y a n y T y p e z b w N T n L X > < a : K e y V a l u e O f D i a g r a m O b j e c t K e y a n y T y p e z b w N T n L X > < a : K e y > < K e y > S t a t i c   T a g s \ I s   r e a d o n l y < / K e y > < / a : K e y > < a : V a l u e   i : t y p e = " D i a g r a m D i s p l a y T a g V i e w S t a t e " > < I s N o t F i l t e r e d O u t > t r u e < / I s N o t F i l t e r e d O u t > < / a : V a l u e > < / a : K e y V a l u e O f D i a g r a m O b j e c t K e y a n y T y p e z b w N T n L X > < a : K e y V a l u e O f D i a g r a m O b j e c t K e y a n y T y p e z b w N T n L X > < a : K e y > < K e y > S t a t i c   T a g s \ F K < / K e y > < / a : K e y > < a : V a l u e   i : t y p e = " D i a g r a m D i s p l a y T a g V i e w S t a t e " > < I s N o t F i l t e r e d O u t > t r u e < / I s N o t F i l t e r e d O u t > < / a : V a l u e > < / a : K e y V a l u e O f D i a g r a m O b j e c t K e y a n y T y p e z b w N T n L X > < a : K e y V a l u e O f D i a g r a m O b j e c t K e y a n y T y p e z b w N T n L X > < a : K e y > < K e y > S t a t i c   T a g s \ P K < / K e y > < / a : K e y > < a : V a l u e   i : t y p e = " D i a g r a m D i s p l a y T a g V i e w S t a t e " > < I s N o t F i l t e r e d O u t > t r u e < / I s N o t F i l t e r e d O u t > < / a : V a l u e > < / a : K e y V a l u e O f D i a g r a m O b j e c t K e y a n y T y p e z b w N T n L X > < a : K e y V a l u e O f D i a g r a m O b j e c t K e y a n y T y p e z b w N T n L X > < a : K e y > < K e y > S t a t i c   T a g s \ R e l a t i o n s h i p < / K e y > < / a : K e y > < a : V a l u e   i : t y p e = " D i a g r a m D i s p l a y T a g V i e w S t a t e " > < I s N o t F i l t e r e d O u t > t r u e < / I s N o t F i l t e r e d O u t > < / a : V a l u e > < / a : K e y V a l u e O f D i a g r a m O b j e c t K e y a n y T y p e z b w N T n L X > < a : K e y V a l u e O f D i a g r a m O b j e c t K e y a n y T y p e z b w N T n L X > < a : K e y > < K e y > S t a t i c   T a g s \ A c t i v e < / K e y > < / a : K e y > < a : V a l u e   i : t y p e = " D i a g r a m D i s p l a y T a g V i e w S t a t e " > < I s N o t F i l t e r e d O u t > t r u e < / I s N o t F i l t e r e d O u t > < / a : V a l u e > < / a : K e y V a l u e O f D i a g r a m O b j e c t K e y a n y T y p e z b w N T n L X > < a : K e y V a l u e O f D i a g r a m O b j e c t K e y a n y T y p e z b w N T n L X > < a : K e y > < K e y > S t a t i c   T a g s \ I n a c t i v e < / K e y > < / a : K e y > < a : V a l u e   i : t y p e = " D i a g r a m D i s p l a y T a g V i e w S t a t e " > < I s N o t F i l t e r e d O u t > t r u e < / I s N o t F i l t e r e d O u t > < / a : V a l u e > < / a : K e y V a l u e O f D i a g r a m O b j e c t K e y a n y T y p e z b w N T n L X > < a : K e y V a l u e O f D i a g r a m O b j e c t K e y a n y T y p e z b w N T n L X > < a : K e y > < K e y > S t a t i c   T a g s \ P r e v i e w   A c t i v e < / K e y > < / a : K e y > < a : V a l u e   i : t y p e = " D i a g r a m D i s p l a y T a g V i e w S t a t e " > < I s N o t F i l t e r e d O u t > t r u e < / I s N o t F i l t e r e d O u t > < / a : V a l u e > < / a : K e y V a l u e O f D i a g r a m O b j e c t K e y a n y T y p e z b w N T n L X > < a : K e y V a l u e O f D i a g r a m O b j e c t K e y a n y T y p e z b w N T n L X > < a : K e y > < K e y > S t a t i c   T a g s \ P r e v i e w   I n a c t i v e < / K e y > < / a : K e y > < a : V a l u e   i : t y p e = " D i a g r a m D i s p l a y T a g V i e w S t a t e " > < I s N o t F i l t e r e d O u t > t r u e < / I s N o t F i l t e r e d O u t > < / a : V a l u e > < / a : K e y V a l u e O f D i a g r a m O b j e c t K e y a n y T y p e z b w N T n L X > < a : K e y V a l u e O f D i a g r a m O b j e c t K e y a n y T y p e z b w N T n L X > < a : K e y > < K e y > S t a t i c   T a g s \ C r o s s F i l t e r D i r e c t i o n < / K e y > < / a : K e y > < a : V a l u e   i : t y p e = " D i a g r a m D i s p l a y T a g V i e w S t a t e " > < I s N o t F i l t e r e d O u t > t r u e < / I s N o t F i l t e r e d O u t > < / a : V a l u e > < / a : K e y V a l u e O f D i a g r a m O b j e c t K e y a n y T y p e z b w N T n L X > < a : K e y V a l u e O f D i a g r a m O b j e c t K e y a n y T y p e z b w N T n L X > < a : K e y > < K e y > S t a t i c   T a g s \ C r o s s F i l t e r D i r e c t i o n S i n g l e < / K e y > < / a : K e y > < a : V a l u e   i : t y p e = " D i a g r a m D i s p l a y T a g V i e w S t a t e " > < I s N o t F i l t e r e d O u t > t r u e < / I s N o t F i l t e r e d O u t > < / a : V a l u e > < / a : K e y V a l u e O f D i a g r a m O b j e c t K e y a n y T y p e z b w N T n L X > < a : K e y V a l u e O f D i a g r a m O b j e c t K e y a n y T y p e z b w N T n L X > < a : K e y > < K e y > S t a t i c   T a g s \ C r o s s F i l t e r D i r e c t i o n B o t h < / K e y > < / a : K e y > < a : V a l u e   i : t y p e = " D i a g r a m D i s p l a y T a g V i e w S t a t e " > < I s N o t F i l t e r e d O u t > t r u e < / I s N o t F i l t e r e d O u t > < / a : V a l u e > < / a : K e y V a l u e O f D i a g r a m O b j e c t K e y a n y T y p e z b w N T n L X > < a : K e y V a l u e O f D i a g r a m O b j e c t K e y a n y T y p e z b w N T n L X > < a : K e y > < K e y > S t a t i c   T a g s \ E n d P o i n t M u l t i p l i c i t y O n e < / K e y > < / a : K e y > < a : V a l u e   i : t y p e = " D i a g r a m D i s p l a y T a g V i e w S t a t e " > < I s N o t F i l t e r e d O u t > t r u e < / I s N o t F i l t e r e d O u t > < / a : V a l u e > < / a : K e y V a l u e O f D i a g r a m O b j e c t K e y a n y T y p e z b w N T n L X > < a : K e y V a l u e O f D i a g r a m O b j e c t K e y a n y T y p e z b w N T n L X > < a : K e y > < K e y > S t a t i c   T a g s \ E n d P o i n t M u l t i p l i c i t y M a n y < / K e y > < / a : K e y > < a : V a l u e   i : t y p e = " D i a g r a m D i s p l a y T a g V i e w S t a t e " > < I s N o t F i l t e r e d O u t > t r u e < / I s N o t F i l t e r e d O u t > < / a : V a l u e > < / a : K e y V a l u e O f D i a g r a m O b j e c t K e y a n y T y p e z b w N T n L X > < a : K e y V a l u e O f D i a g r a m O b j e c t K e y a n y T y p e z b w N T n L X > < a : K e y > < K e y > D i a g r a m \ T a g G r o u p s \ H i g h l i g h t   R e a s o n s \ T a g s \ H a r d   D e l e t i o n   I m p a c t < / K e y > < / a : K e y > < a : V a l u e   i : t y p e = " D i a g r a m D i s p l a y T a g V i e w S t a t e " > < I s N o t F i l t e r e d O u t > t r u e < / I s N o t F i l t e r e d O u t > < / a : V a l u e > < / a : K e y V a l u e O f D i a g r a m O b j e c t K e y a n y T y p e z b w N T n L X > < a : K e y V a l u e O f D i a g r a m O b j e c t K e y a n y T y p e z b w N T n L X > < a : K e y > < K e y > D i a g r a m \ T a g G r o u p s \ H i g h l i g h t   R e a s o n s \ T a g s \ M i n i m u m   D e l e t i o n   I m p a c t < / K e y > < / a : K e y > < a : V a l u e   i : t y p e = " D i a g r a m D i s p l a y T a g V i e w S t a t e " > < I s N o t F i l t e r e d O u t > t r u e < / I s N o t F i l t e r e d O u t > < / a : V a l u e > < / a : K e y V a l u e O f D i a g r a m O b j e c t K e y a n y T y p e z b w N T n L X > < a : K e y V a l u e O f D i a g r a m O b j e c t K e y a n y T y p e z b w N T n L X > < a : K e y > < K e y > S t a t i c   T a g s \ C a n   b e   p a r t   o f   r e l a t i o n s h i p < / K e y > < / a : K e y > < a : V a l u e   i : t y p e = " D i a g r a m D i s p l a y T a g V i e w S t a t e " > < I s N o t F i l t e r e d O u t > t r u e < / I s N o t F i l t e r e d O u t > < / a : V a l u e > < / a : K e y V a l u e O f D i a g r a m O b j e c t K e y a n y T y p e z b w N T n L X > < a : K e y V a l u e O f D i a g r a m O b j e c t K e y a n y T y p e z b w N T n L X > < a : K e y > < K e y > S t a t i c   T a g s \ H i n t   T e x t < / K e y > < / a : K e y > < a : V a l u e   i : t y p e = " D i a g r a m D i s p l a y T a g V i e w S t a t e " > < I s N o t F i l t e r e d O u t > t r u e < / I s N o t F i l t e r e d O u t > < / a : V a l u e > < / a : K e y V a l u e O f D i a g r a m O b j e c t K e y a n y T y p e z b w N T n L X > < a : K e y V a l u e O f D i a g r a m O b j e c t K e y a n y T y p e z b w N T n L X > < a : K e y > < K e y > D y n a m i c   T a g s \ T a b l e s \ & l t ; T a b l e s \ C a l e n d a r & g t ; < / K e y > < / a : K e y > < a : V a l u e   i : t y p e = " D i a g r a m D i s p l a y T a g V i e w S t a t e " > < I s N o t F i l t e r e d O u t > t r u e < / I s N o t F i l t e r e d O u t > < / a : V a l u e > < / a : K e y V a l u e O f D i a g r a m O b j e c t K e y a n y T y p e z b w N T n L X > < a : K e y V a l u e O f D i a g r a m O b j e c t K e y a n y T y p e z b w N T n L X > < a : K e y > < K e y > D y n a m i c   T a g s \ H i e r a r c h i e s \ & l t ; T a b l e s \ C a l e n d a r \ H i e r a r c h i e s \ D a t e   H i e r a r c h y & g t ; < / K e y > < / a : K e y > < a : V a l u e   i : t y p e = " D i a g r a m D i s p l a y T a g V i e w S t a t e " > < I s N o t F i l t e r e d O u t > t r u e < / I s N o t F i l t e r e d O u t > < / a : V a l u e > < / a : K e y V a l u e O f D i a g r a m O b j e c t K e y a n y T y p e z b w N T n L X > < a : K e y V a l u e O f D i a g r a m O b j e c t K e y a n y T y p e z b w N T n L X > < a : K e y > < K e y > D y n a m i c   T a g s \ T a b l e s \ & l t ; T a b l e s \ C A P E X & g t ; < / K e y > < / a : K e y > < a : V a l u e   i : t y p e = " D i a g r a m D i s p l a y T a g V i e w S t a t e " > < I s N o t F i l t e r e d O u t > t r u e < / I s N o t F i l t e r e d O u t > < / a : V a l u e > < / a : K e y V a l u e O f D i a g r a m O b j e c t K e y a n y T y p e z b w N T n L X > < a : K e y V a l u e O f D i a g r a m O b j e c t K e y a n y T y p e z b w N T n L X > < a : K e y > < K e y > D y n a m i c   T a g s \ T a b l e s \ & l t ; T a b l e s \ A m o r t i z a c i j a & g t ; < / K e y > < / a : K e y > < a : V a l u e   i : t y p e = " D i a g r a m D i s p l a y T a g V i e w S t a t e " > < I s N o t F i l t e r e d O u t > t r u e < / I s N o t F i l t e r e d O u t > < / a : V a l u e > < / a : K e y V a l u e O f D i a g r a m O b j e c t K e y a n y T y p e z b w N T n L X > < a : K e y V a l u e O f D i a g r a m O b j e c t K e y a n y T y p e z b w N T n L X > < a : K e y > < K e y > D y n a m i c   T a g s \ T a b l e s \ & l t ; T a b l e s \ f C o v e c k i R e s u r s i & g t ; < / K e y > < / a : K e y > < a : V a l u e   i : t y p e = " D i a g r a m D i s p l a y T a g V i e w S t a t e " > < I s N o t F i l t e r e d O u t > t r u e < / I s N o t F i l t e r e d O u t > < / a : V a l u e > < / a : K e y V a l u e O f D i a g r a m O b j e c t K e y a n y T y p e z b w N T n L X > < a : K e y V a l u e O f D i a g r a m O b j e c t K e y a n y T y p e z b w N T n L X > < a : K e y > < K e y > D y n a m i c   T a g s \ T a b l e s \ & l t ; T a b l e s \ f A c t u a l A n d B u d g e t & g t ; < / K e y > < / a : K e y > < a : V a l u e   i : t y p e = " D i a g r a m D i s p l a y T a g V i e w S t a t e " > < I s N o t F i l t e r e d O u t > t r u e < / I s N o t F i l t e r e d O u t > < / a : V a l u e > < / a : K e y V a l u e O f D i a g r a m O b j e c t K e y a n y T y p e z b w N T n L X > < a : K e y V a l u e O f D i a g r a m O b j e c t K e y a n y T y p e z b w N T n L X > < a : K e y > < K e y > D y n a m i c   T a g s \ T a b l e s \ & l t ; T a b l e s \ f O P E X & g t ; < / K e y > < / a : K e y > < a : V a l u e   i : t y p e = " D i a g r a m D i s p l a y T a g V i e w S t a t e " > < I s N o t F i l t e r e d O u t > t r u e < / I s N o t F i l t e r e d O u t > < / a : V a l u e > < / a : K e y V a l u e O f D i a g r a m O b j e c t K e y a n y T y p e z b w N T n L X > < a : K e y V a l u e O f D i a g r a m O b j e c t K e y a n y T y p e z b w N T n L X > < a : K e y > < K e y > D y n a m i c   T a g s \ T a b l e s \ & l t ; T a b l e s \ O P E X A n a l i z a & g t ; < / K e y > < / a : K e y > < a : V a l u e   i : t y p e = " D i a g r a m D i s p l a y T a g V i e w S t a t e " > < I s N o t F i l t e r e d O u t > t r u e < / I s N o t F i l t e r e d O u t > < / a : V a l u e > < / a : K e y V a l u e O f D i a g r a m O b j e c t K e y a n y T y p e z b w N T n L X > < a : K e y V a l u e O f D i a g r a m O b j e c t K e y a n y T y p e z b w N T n L X > < a : K e y > < K e y > D y n a m i c   T a g s \ T a b l e s \ & l t ; T a b l e s \ r A r t i k l i A n a l i z a & g t ; < / K e y > < / a : K e y > < a : V a l u e   i : t y p e = " D i a g r a m D i s p l a y T a g V i e w S t a t e " > < I s N o t F i l t e r e d O u t > t r u e < / I s N o t F i l t e r e d O u t > < / a : V a l u e > < / a : K e y V a l u e O f D i a g r a m O b j e c t K e y a n y T y p e z b w N T n L X > < a : K e y V a l u e O f D i a g r a m O b j e c t K e y a n y T y p e z b w N T n L X > < a : K e y > < K e y > D y n a m i c   T a g s \ T a b l e s \ & l t ; T a b l e s \ f A r t i k l i C e n i & g t ; < / K e y > < / a : K e y > < a : V a l u e   i : t y p e = " D i a g r a m D i s p l a y T a g V i e w S t a t e " > < I s N o t F i l t e r e d O u t > t r u e < / I s N o t F i l t e r e d O u t > < / a : V a l u e > < / a : K e y V a l u e O f D i a g r a m O b j e c t K e y a n y T y p e z b w N T n L X > < a : K e y V a l u e O f D i a g r a m O b j e c t K e y a n y T y p e z b w N T n L X > < a : K e y > < K e y > D y n a m i c   T a g s \ T a b l e s \ & l t ; T a b l e s \ r A r t i k l i _ H R _ A n a l i z a & g t ; < / K e y > < / a : K e y > < a : V a l u e   i : t y p e = " D i a g r a m D i s p l a y T a g V i e w S t a t e " > < I s N o t F i l t e r e d O u t > t r u e < / I s N o t F i l t e r e d O u t > < / a : V a l u e > < / a : K e y V a l u e O f D i a g r a m O b j e c t K e y a n y T y p e z b w N T n L X > < a : K e y V a l u e O f D i a g r a m O b j e c t K e y a n y T y p e z b w N T n L X > < a : K e y > < K e y > D y n a m i c   T a g s \ T a b l e s \ & l t ; T a b l e s \ f C o v e c k i R e s u r s i     2 & g t ; < / K e y > < / a : K e y > < a : V a l u e   i : t y p e = " D i a g r a m D i s p l a y T a g V i e w S t a t e " > < I s N o t F i l t e r e d O u t > t r u e < / I s N o t F i l t e r e d O u t > < / a : V a l u e > < / a : K e y V a l u e O f D i a g r a m O b j e c t K e y a n y T y p e z b w N T n L X > < a : K e y V a l u e O f D i a g r a m O b j e c t K e y a n y T y p e z b w N T n L X > < a : K e y > < K e y > T a b l e s \ C a l e n d a r < / K e y > < / a : K e y > < a : V a l u e   i : t y p e = " D i a g r a m D i s p l a y N o d e V i e w S t a t e " > < H e i g h t > 3 3 6 . 7 9 9 9 9 9 9 9 9 9 9 9 9 5 < / H e i g h t > < I s E x p a n d e d > t r u e < / I s E x p a n d e d > < L a y e d O u t > t r u e < / L a y e d O u t > < L e f t > 5 4 7 . 6 1 5 2 4 2 2 7 0 6 6 4 1 1 < / L e f t > < T a b I n d e x > 1 < / T a b I n d e x > < T o p > 2 5 . 2 0 0 0 0 0 0 0 0 0 0 0 0 4 5 < / T o p > < W i d t h > 2 0 0 < / W i d t h > < / a : V a l u e > < / a : K e y V a l u e O f D i a g r a m O b j e c t K e y a n y T y p e z b w N T n L X > < a : K e y V a l u e O f D i a g r a m O b j e c t K e y a n y T y p e z b w N T n L X > < a : K e y > < K e y > T a b l e s \ C a l e n d a r \ C o l u m n s \ D a t e < / K e y > < / a : K e y > < a : V a l u e   i : t y p e = " D i a g r a m D i s p l a y N o d e V i e w S t a t e " > < H e i g h t > 1 5 0 < / H e i g h t > < I s E x p a n d e d > t r u e < / I s E x p a n d e d > < W i d t h > 2 0 0 < / W i d t h > < / a : V a l u e > < / a : K e y V a l u e O f D i a g r a m O b j e c t K e y a n y T y p e z b w N T n L X > < a : K e y V a l u e O f D i a g r a m O b j e c t K e y a n y T y p e z b w N T n L X > < a : K e y > < K e y > T a b l e s \ C a l e n d a r \ C o l u m n s \ >48=0< / K e y > < / a : K e y > < a : V a l u e   i : t y p e = " D i a g r a m D i s p l a y N o d e V i e w S t a t e " > < H e i g h t > 1 5 0 < / H e i g h t > < I s E x p a n d e d > t r u e < / I s E x p a n d e d > < W i d t h > 2 0 0 < / W i d t h > < / a : V a l u e > < / a : K e y V a l u e O f D i a g r a m O b j e c t K e y a n y T y p e z b w N T n L X > < a : K e y V a l u e O f D i a g r a m O b j e c t K e y a n y T y p e z b w N T n L X > < a : K e y > < K e y > T a b l e s \ C a l e n d a r \ C o l u m n s \ M o n t h   N u m b e r < / K e y > < / a : K e y > < a : V a l u e   i : t y p e = " D i a g r a m D i s p l a y N o d e V i e w S t a t e " > < H e i g h t > 1 5 0 < / H e i g h t > < I s E x p a n d e d > t r u e < / I s E x p a n d e d > < W i d t h > 2 0 0 < / W i d t h > < / a : V a l u e > < / a : K e y V a l u e O f D i a g r a m O b j e c t K e y a n y T y p e z b w N T n L X > < a : K e y V a l u e O f D i a g r a m O b j e c t K e y a n y T y p e z b w N T n L X > < a : K e y > < K e y > T a b l e s \ C a l e n d a r \ C o l u m n s \ 5A5F< / K e y > < / a : K e y > < a : V a l u e   i : t y p e = " D i a g r a m D i s p l a y N o d e V i e w S t a t e " > < H e i g h t > 1 5 0 < / H e i g h t > < I s E x p a n d e d > t r u e < / I s E x p a n d e d > < W i d t h > 2 0 0 < / W i d t h > < / a : V a l u e > < / a : K e y V a l u e O f D i a g r a m O b j e c t K e y a n y T y p e z b w N T n L X > < a : K e y V a l u e O f D i a g r a m O b j e c t K e y a n y T y p e z b w N T n L X > < a : K e y > < K e y > T a b l e s \ C a l e n d a r \ C o l u m n s \ M M M - Y Y Y Y < / K e y > < / a : K e y > < a : V a l u e   i : t y p e = " D i a g r a m D i s p l a y N o d e V i e w S t a t e " > < H e i g h t > 1 5 0 < / H e i g h t > < I s E x p a n d e d > t r u e < / I s E x p a n d e d > < W i d t h > 2 0 0 < / W i d t h > < / a : V a l u e > < / a : K e y V a l u e O f D i a g r a m O b j e c t K e y a n y T y p e z b w N T n L X > < a : K e y V a l u e O f D i a g r a m O b j e c t K e y a n y T y p e z b w N T n L X > < a : K e y > < K e y > T a b l e s \ C a l e n d a r \ C o l u m n s \ D a y   O f   W e e k   N u m b e r < / K e y > < / a : K e y > < a : V a l u e   i : t y p e = " D i a g r a m D i s p l a y N o d e V i e w S t a t e " > < H e i g h t > 1 5 0 < / H e i g h t > < I s E x p a n d e d > t r u e < / I s E x p a n d e d > < W i d t h > 2 0 0 < / W i d t h > < / a : V a l u e > < / a : K e y V a l u e O f D i a g r a m O b j e c t K e y a n y T y p e z b w N T n L X > < a : K e y V a l u e O f D i a g r a m O b j e c t K e y a n y T y p e z b w N T n L X > < a : K e y > < K e y > T a b l e s \ C a l e n d a r \ C o l u m n s \ D a y   O f   W e e k < / K e y > < / a : K e y > < a : V a l u e   i : t y p e = " D i a g r a m D i s p l a y N o d e V i e w S t a t e " > < H e i g h t > 1 5 0 < / H e i g h t > < I s E x p a n d e d > t r u e < / I s E x p a n d e d > < W i d t h > 2 0 0 < / W i d t h > < / a : V a l u e > < / a : K e y V a l u e O f D i a g r a m O b j e c t K e y a n y T y p e z b w N T n L X > < a : K e y V a l u e O f D i a g r a m O b j e c t K e y a n y T y p e z b w N T n L X > < a : K e y > < K e y > T a b l e s \ C a l e n d a r \ C o l u m n s \ 20@B0;< / K e y > < / a : K e y > < a : V a l u e   i : t y p e = " D i a g r a m D i s p l a y N o d e V i e w S t a t e " > < H e i g h t > 1 5 0 < / H e i g h t > < I s E x p a n d e d > t r u e < / I s E x p a n d e d > < W i d t h > 2 0 0 < / W i d t h > < / a : V a l u e > < / a : K e y V a l u e O f D i a g r a m O b j e c t K e y a n y T y p e z b w N T n L X > < a : K e y V a l u e O f D i a g r a m O b j e c t K e y a n y T y p e z b w N T n L X > < a : K e y > < K e y > T a b l e s \ C a l e n d a r \ H i e r a r c h i e s \ D a t e   H i e r a r c h y < / K e y > < / a : K e y > < a : V a l u e   i : t y p e = " D i a g r a m D i s p l a y N o d e V i e w S t a t e " > < H e i g h t > 1 5 0 < / H e i g h t > < I s E x p a n d e d > t r u e < / I s E x p a n d e d > < W i d t h > 2 0 0 < / W i d t h > < / a : V a l u e > < / a : K e y V a l u e O f D i a g r a m O b j e c t K e y a n y T y p e z b w N T n L X > < a : K e y V a l u e O f D i a g r a m O b j e c t K e y a n y T y p e z b w N T n L X > < a : K e y > < K e y > T a b l e s \ C a l e n d a r \ H i e r a r c h i e s \ D a t e   H i e r a r c h y \ L e v e l s \ Y e a r < / K e y > < / a : K e y > < a : V a l u e   i : t y p e = " D i a g r a m D i s p l a y N o d e V i e w S t a t e " > < H e i g h t > 1 5 0 < / H e i g h t > < I s E x p a n d e d > t r u e < / I s E x p a n d e d > < W i d t h > 2 0 0 < / W i d t h > < / a : V a l u e > < / a : K e y V a l u e O f D i a g r a m O b j e c t K e y a n y T y p e z b w N T n L X > < a : K e y V a l u e O f D i a g r a m O b j e c t K e y a n y T y p e z b w N T n L X > < a : K e y > < K e y > T a b l e s \ C a l e n d a r \ H i e r a r c h i e s \ D a t e   H i e r a r c h y \ L e v e l s \ M o n t h < / K e y > < / a : K e y > < a : V a l u e   i : t y p e = " D i a g r a m D i s p l a y N o d e V i e w S t a t e " > < H e i g h t > 1 5 0 < / H e i g h t > < I s E x p a n d e d > t r u e < / I s E x p a n d e d > < W i d t h > 2 0 0 < / W i d t h > < / a : V a l u e > < / a : K e y V a l u e O f D i a g r a m O b j e c t K e y a n y T y p e z b w N T n L X > < a : K e y V a l u e O f D i a g r a m O b j e c t K e y a n y T y p e z b w N T n L X > < a : K e y > < K e y > T a b l e s \ C a l e n d a r \ H i e r a r c h i e s \ D a t e   H i e r a r c h y \ L e v e l s \ D a t e C o l u m n < / K e y > < / a : K e y > < a : V a l u e   i : t y p e = " D i a g r a m D i s p l a y N o d e V i e w S t a t e " > < H e i g h t > 1 5 0 < / H e i g h t > < I s E x p a n d e d > t r u e < / I s E x p a n d e d > < W i d t h > 2 0 0 < / W i d t h > < / a : V a l u e > < / a : K e y V a l u e O f D i a g r a m O b j e c t K e y a n y T y p e z b w N T n L X > < a : K e y V a l u e O f D i a g r a m O b j e c t K e y a n y T y p e z b w N T n L X > < a : K e y > < K e y > T a b l e s \ C A P E X < / K e y > < / a : K e y > < a : V a l u e   i : t y p e = " D i a g r a m D i s p l a y N o d e V i e w S t a t e " > < H e i g h t > 3 8 7 . 7 9 9 9 9 9 9 9 9 9 9 9 9 5 < / H e i g h t > < I s E x p a n d e d > t r u e < / I s E x p a n d e d > < L a y e d O u t > t r u e < / L a y e d O u t > < L e f t > 1 5 8 . 8 1 5 2 4 2 2 7 0 6 6 4 2 7 < / L e f t > < T a b I n d e x > 7 < / T a b I n d e x > < T o p > 5 2 9 . 5 9 9 9 9 9 9 9 9 9 9 9 9 1 < / T o p > < W i d t h > 3 9 0 . 2 0 0 0 0 0 0 0 0 0 0 0 0 5 < / W i d t h > < / a : V a l u e > < / a : K e y V a l u e O f D i a g r a m O b j e c t K e y a n y T y p e z b w N T n L X > < a : K e y V a l u e O f D i a g r a m O b j e c t K e y a n y T y p e z b w N T n L X > < a : K e y > < K e y > T a b l e s \ C A P E X \ C o l u m n s \ >48=0  70  @50;870F8X0  =0  ?@>5:B< / K e y > < / a : K e y > < a : V a l u e   i : t y p e = " D i a g r a m D i s p l a y N o d e V i e w S t a t e " > < H e i g h t > 1 5 0 < / H e i g h t > < I s E x p a n d e d > t r u e < / I s E x p a n d e d > < W i d t h > 2 0 0 < / W i d t h > < / a : V a l u e > < / a : K e y V a l u e O f D i a g r a m O b j e c t K e y a n y T y p e z b w N T n L X > < a : K e y V a l u e O f D i a g r a m O b j e c t K e y a n y T y p e z b w N T n L X > < a : K e y > < K e y > T a b l e s \ C A P E X \ C o l u m n s \ @>X  =0  X02=0  =0102:0  ( ?;0=) < / K e y > < / a : K e y > < a : V a l u e   i : t y p e = " D i a g r a m D i s p l a y N o d e V i e w S t a t e " > < H e i g h t > 1 5 0 < / H e i g h t > < I s E x p a n d e d > t r u e < / I s E x p a n d e d > < W i d t h > 2 0 0 < / W i d t h > < / a : V a l u e > < / a : K e y V a l u e O f D i a g r a m O b j e c t K e y a n y T y p e z b w N T n L X > < a : K e y V a l u e O f D i a g r a m O b j e c t K e y a n y T y p e z b w N T n L X > < a : K e y > < K e y > T a b l e s \ C A P E X \ C o l u m n s \ @54<5B  =0  4>3>2>@>B  70  X02=0  =0102:0< / K e y > < / a : K e y > < a : V a l u e   i : t y p e = " D i a g r a m D i s p l a y N o d e V i e w S t a t e " > < H e i g h t > 1 5 0 < / H e i g h t > < I s E x p a n d e d > t r u e < / I s E x p a n d e d > < W i d t h > 2 0 0 < / W i d t h > < / a : V a l u e > < / a : K e y V a l u e O f D i a g r a m O b j e c t K e y a n y T y p e z b w N T n L X > < a : K e y V a l u e O f D i a g r a m O b j e c t K e y a n y T y p e z b w N T n L X > < a : K e y > < K e y > T a b l e s \ C A P E X \ C o l u m n s \ G5:C20=  40BC<  =0  ?;0\0Z5< / K e y > < / a : K e y > < a : V a l u e   i : t y p e = " D i a g r a m D i s p l a y N o d e V i e w S t a t e " > < H e i g h t > 1 5 0 < / H e i g h t > < I s E x p a n d e d > t r u e < / I s E x p a n d e d > < W i d t h > 2 0 0 < / W i d t h > < / a : V a l u e > < / a : K e y V a l u e O f D i a g r a m O b j e c t K e y a n y T y p e z b w N T n L X > < a : K e y V a l u e O f D i a g r a m O b j e c t K e y a n y T y p e z b w N T n L X > < a : K e y > < K e y > T a b l e s \ C A P E X \ C o l u m n s \ G5:C20=  40BC<  70  AB020Z5  2>  C?>B@510  ( <5A5F) < / K e y > < / a : K e y > < a : V a l u e   i : t y p e = " D i a g r a m D i s p l a y N o d e V i e w S t a t e " > < H e i g h t > 1 5 0 < / H e i g h t > < I s E x p a n d e d > t r u e < / I s E x p a n d e d > < W i d t h > 2 0 0 < / W i d t h > < / a : V a l u e > < / a : K e y V a l u e O f D i a g r a m O b j e c t K e y a n y T y p e z b w N T n L X > < a : K e y V a l u e O f D i a g r a m O b j e c t K e y a n y T y p e z b w N T n L X > < a : K e y > < K e y > T a b l e s \ C A P E X \ C o l u m n s \ @>F5=5B0  2@54=>AB  =0  =0102:0  A>    ( 45=0@8) < / K e y > < / a : K e y > < a : V a l u e   i : t y p e = " D i a g r a m D i s p l a y N o d e V i e w S t a t e " > < H e i g h t > 1 5 0 < / H e i g h t > < I s E x p a n d e d > t r u e < / I s E x p a n d e d > < W i d t h > 2 0 0 < / W i d t h > < / a : V a l u e > < / a : K e y V a l u e O f D i a g r a m O b j e c t K e y a n y T y p e z b w N T n L X > < a : K e y V a l u e O f D i a g r a m O b j e c t K e y a n y T y p e z b w N T n L X > < a : K e y > < K e y > T a b l e s \ C A P E X \ C o l u m n s \ !B0?:0  =0  0<>@B870F8X0< / K e y > < / a : K e y > < a : V a l u e   i : t y p e = " D i a g r a m D i s p l a y N o d e V i e w S t a t e " > < H e i g h t > 1 5 0 < / H e i g h t > < I s E x p a n d e d > t r u e < / I s E x p a n d e d > < W i d t h > 2 0 0 < / W i d t h > < / a : V a l u e > < / a : K e y V a l u e O f D i a g r a m O b j e c t K e y a n y T y p e z b w N T n L X > < a : K e y V a l u e O f D i a g r a m O b j e c t K e y a n y T y p e z b w N T n L X > < a : K e y > < K e y > T a b l e s \ C A P E X \ C o l u m n s \ >=B>  !@54AB20< / K e y > < / a : K e y > < a : V a l u e   i : t y p e = " D i a g r a m D i s p l a y N o d e V i e w S t a t e " > < H e i g h t > 1 5 0 < / H e i g h t > < I s E x p a n d e d > t r u e < / I s E x p a n d e d > < W i d t h > 2 0 0 < / W i d t h > < / a : V a l u e > < / a : K e y V a l u e O f D i a g r a m O b j e c t K e y a n y T y p e z b w N T n L X > < a : K e y V a l u e O f D i a g r a m O b j e c t K e y a n y T y p e z b w N T n L X > < a : K e y > < K e y > T a b l e s \ C A P E X \ C o l u m n s \ >=B>  <>@B870F8X0< / K e y > < / a : K e y > < a : V a l u e   i : t y p e = " D i a g r a m D i s p l a y N o d e V i e w S t a t e " > < H e i g h t > 1 5 0 < / H e i g h t > < I s E x p a n d e d > t r u e < / I s E x p a n d e d > < W i d t h > 2 0 0 < / W i d t h > < / a : V a l u e > < / a : K e y V a l u e O f D i a g r a m O b j e c t K e y a n y T y p e z b w N T n L X > < a : K e y V a l u e O f D i a g r a m O b j e c t K e y a n y T y p e z b w N T n L X > < a : K e y > < K e y > T a b l e s \ C A P E X \ C o l u m n s \ 7=>A  4>=0F8X0< / K e y > < / a : K e y > < a : V a l u e   i : t y p e = " D i a g r a m D i s p l a y N o d e V i e w S t a t e " > < H e i g h t > 1 5 0 < / H e i g h t > < I s E x p a n d e d > t r u e < / I s E x p a n d e d > < W i d t h > 2 0 0 < / W i d t h > < / a : V a l u e > < / a : K e y V a l u e O f D i a g r a m O b j e c t K e y a n y T y p e z b w N T n L X > < a : K e y V a l u e O f D i a g r a m O b j e c t K e y a n y T y p e z b w N T n L X > < a : K e y > < K e y > T a b l e s \ C A P E X \ C o l u m n s \ G5:C20=  40BC<  =0  ?;0\0Z5  ( Y e a r ) < / K e y > < / a : K e y > < a : V a l u e   i : t y p e = " D i a g r a m D i s p l a y N o d e V i e w S t a t e " > < H e i g h t > 1 5 0 < / H e i g h t > < I s E x p a n d e d > t r u e < / I s E x p a n d e d > < W i d t h > 2 0 0 < / W i d t h > < / a : V a l u e > < / a : K e y V a l u e O f D i a g r a m O b j e c t K e y a n y T y p e z b w N T n L X > < a : K e y V a l u e O f D i a g r a m O b j e c t K e y a n y T y p e z b w N T n L X > < a : K e y > < K e y > T a b l e s \ C A P E X \ C o l u m n s \ G5:C20=  40BC<  =0  ?;0\0Z5  ( Q u a r t e r ) < / K e y > < / a : K e y > < a : V a l u e   i : t y p e = " D i a g r a m D i s p l a y N o d e V i e w S t a t e " > < H e i g h t > 1 5 0 < / H e i g h t > < I s E x p a n d e d > t r u e < / I s E x p a n d e d > < W i d t h > 2 0 0 < / W i d t h > < / a : V a l u e > < / a : K e y V a l u e O f D i a g r a m O b j e c t K e y a n y T y p e z b w N T n L X > < a : K e y V a l u e O f D i a g r a m O b j e c t K e y a n y T y p e z b w N T n L X > < a : K e y > < K e y > T a b l e s \ C A P E X \ C o l u m n s \ G5:C20=  40BC<  =0  ?;0\0Z5  ( M o n t h   I n d e x ) < / K e y > < / a : K e y > < a : V a l u e   i : t y p e = " D i a g r a m D i s p l a y N o d e V i e w S t a t e " > < H e i g h t > 1 5 0 < / H e i g h t > < I s E x p a n d e d > t r u e < / I s E x p a n d e d > < W i d t h > 2 0 0 < / W i d t h > < / a : V a l u e > < / a : K e y V a l u e O f D i a g r a m O b j e c t K e y a n y T y p e z b w N T n L X > < a : K e y V a l u e O f D i a g r a m O b j e c t K e y a n y T y p e z b w N T n L X > < a : K e y > < K e y > T a b l e s \ C A P E X \ C o l u m n s \ G5:C20=  40BC<  =0  ?;0\0Z5  ( M o n t h ) < / K e y > < / a : K e y > < a : V a l u e   i : t y p e = " D i a g r a m D i s p l a y N o d e V i e w S t a t e " > < H e i g h t > 1 5 0 < / H e i g h t > < I s E x p a n d e d > t r u e < / I s E x p a n d e d > < W i d t h > 2 0 0 < / W i d t h > < / a : V a l u e > < / a : K e y V a l u e O f D i a g r a m O b j e c t K e y a n y T y p e z b w N T n L X > < a : K e y V a l u e O f D i a g r a m O b j e c t K e y a n y T y p e z b w N T n L X > < a : K e y > < K e y > T a b l e s \ C A P E X \ C o l u m n s \ G5:C20=  40BC<  70  AB020Z5  2>  C?>B@510  ( <5A5F)   ( Y e a r ) < / K e y > < / a : K e y > < a : V a l u e   i : t y p e = " D i a g r a m D i s p l a y N o d e V i e w S t a t e " > < H e i g h t > 1 5 0 < / H e i g h t > < I s E x p a n d e d > t r u e < / I s E x p a n d e d > < W i d t h > 2 0 0 < / W i d t h > < / a : V a l u e > < / a : K e y V a l u e O f D i a g r a m O b j e c t K e y a n y T y p e z b w N T n L X > < a : K e y V a l u e O f D i a g r a m O b j e c t K e y a n y T y p e z b w N T n L X > < a : K e y > < K e y > T a b l e s \ C A P E X \ C o l u m n s \ G5:C20=  40BC<  70  AB020Z5  2>  C?>B@510  ( <5A5F)   ( Q u a r t e r ) < / K e y > < / a : K e y > < a : V a l u e   i : t y p e = " D i a g r a m D i s p l a y N o d e V i e w S t a t e " > < H e i g h t > 1 5 0 < / H e i g h t > < I s E x p a n d e d > t r u e < / I s E x p a n d e d > < W i d t h > 2 0 0 < / W i d t h > < / a : V a l u e > < / a : K e y V a l u e O f D i a g r a m O b j e c t K e y a n y T y p e z b w N T n L X > < a : K e y V a l u e O f D i a g r a m O b j e c t K e y a n y T y p e z b w N T n L X > < a : K e y > < K e y > T a b l e s \ C A P E X \ C o l u m n s \ G5:C20=  40BC<  70  AB020Z5  2>  C?>B@510  ( <5A5F)   ( M o n t h   I n d e x ) < / K e y > < / a : K e y > < a : V a l u e   i : t y p e = " D i a g r a m D i s p l a y N o d e V i e w S t a t e " > < H e i g h t > 1 5 0 < / H e i g h t > < I s E x p a n d e d > t r u e < / I s E x p a n d e d > < W i d t h > 2 0 0 < / W i d t h > < / a : V a l u e > < / a : K e y V a l u e O f D i a g r a m O b j e c t K e y a n y T y p e z b w N T n L X > < a : K e y V a l u e O f D i a g r a m O b j e c t K e y a n y T y p e z b w N T n L X > < a : K e y > < K e y > T a b l e s \ C A P E X \ C o l u m n s \ G5:C20=  40BC<  70  AB020Z5  2>  C?>B@510  ( <5A5F)   ( M o n t h ) < / K e y > < / a : K e y > < a : V a l u e   i : t y p e = " D i a g r a m D i s p l a y N o d e V i e w S t a t e " > < H e i g h t > 1 5 0 < / H e i g h t > < I s E x p a n d e d > t r u e < / I s E x p a n d e d > < W i d t h > 2 0 0 < / W i d t h > < / a : V a l u e > < / a : K e y V a l u e O f D i a g r a m O b j e c t K e y a n y T y p e z b w N T n L X > < a : K e y V a l u e O f D i a g r a m O b j e c t K e y a n y T y p e z b w N T n L X > < a : K e y > < K e y > T a b l e s \ C A P E X \ M e a s u r e s \ C o u n t   o f   @>F5=5B0  2@54=>AB  =0  =0102:0  A>    ( 45=0@8) < / K e y > < / a : K e y > < a : V a l u e   i : t y p e = " D i a g r a m D i s p l a y N o d e V i e w S t a t e " > < H e i g h t > 1 5 0 < / H e i g h t > < I s E x p a n d e d > t r u e < / I s E x p a n d e d > < W i d t h > 2 0 0 < / W i d t h > < / a : V a l u e > < / a : K e y V a l u e O f D i a g r a m O b j e c t K e y a n y T y p e z b w N T n L X > < a : K e y V a l u e O f D i a g r a m O b j e c t K e y a n y T y p e z b w N T n L X > < a : K e y > < K e y > T a b l e s \ C A P E X \ C o u n t   o f   @>F5=5B0  2@54=>AB  =0  =0102:0  A>    ( 45=0@8) \ A d d i t i o n a l   I n f o \ I m p l i c i t   M e a s u r e < / K e y > < / a : K e y > < a : V a l u e   i : t y p e = " D i a g r a m D i s p l a y V i e w S t a t e I D i a g r a m T a g A d d i t i o n a l I n f o " / > < / a : K e y V a l u e O f D i a g r a m O b j e c t K e y a n y T y p e z b w N T n L X > < a : K e y V a l u e O f D i a g r a m O b j e c t K e y a n y T y p e z b w N T n L X > < a : K e y > < K e y > T a b l e s \ C A P E X \ M e a s u r e s \ S u m   o f   @>F5=5B0  2@54=>AB  =0  =0102:0  A>    ( 45=0@8) < / K e y > < / a : K e y > < a : V a l u e   i : t y p e = " D i a g r a m D i s p l a y N o d e V i e w S t a t e " > < H e i g h t > 1 5 0 < / H e i g h t > < I s E x p a n d e d > t r u e < / I s E x p a n d e d > < W i d t h > 2 0 0 < / W i d t h > < / a : V a l u e > < / a : K e y V a l u e O f D i a g r a m O b j e c t K e y a n y T y p e z b w N T n L X > < a : K e y V a l u e O f D i a g r a m O b j e c t K e y a n y T y p e z b w N T n L X > < a : K e y > < K e y > T a b l e s \ C A P E X \ S u m   o f   @>F5=5B0  2@54=>AB  =0  =0102:0  A>    ( 45=0@8) \ A d d i t i o n a l   I n f o \ I m p l i c i t   M e a s u r e < / K e y > < / a : K e y > < a : V a l u e   i : t y p e = " D i a g r a m D i s p l a y V i e w S t a t e I D i a g r a m T a g A d d i t i o n a l I n f o " / > < / a : K e y V a l u e O f D i a g r a m O b j e c t K e y a n y T y p e z b w N T n L X > < a : K e y V a l u e O f D i a g r a m O b j e c t K e y a n y T y p e z b w N T n L X > < a : K e y > < K e y > T a b l e s \ C A P E X \ M e a s u r e s \ S u m   o f   7=>A  4>=0F8X0< / K e y > < / a : K e y > < a : V a l u e   i : t y p e = " D i a g r a m D i s p l a y N o d e V i e w S t a t e " > < H e i g h t > 1 5 0 < / H e i g h t > < I s E x p a n d e d > t r u e < / I s E x p a n d e d > < W i d t h > 2 0 0 < / W i d t h > < / a : V a l u e > < / a : K e y V a l u e O f D i a g r a m O b j e c t K e y a n y T y p e z b w N T n L X > < a : K e y V a l u e O f D i a g r a m O b j e c t K e y a n y T y p e z b w N T n L X > < a : K e y > < K e y > T a b l e s \ C A P E X \ S u m   o f   7=>A  4>=0F8X0\ A d d i t i o n a l   I n f o \ I m p l i c i t   M e a s u r e < / K e y > < / a : K e y > < a : V a l u e   i : t y p e = " D i a g r a m D i s p l a y V i e w S t a t e I D i a g r a m T a g A d d i t i o n a l I n f o " / > < / a : K e y V a l u e O f D i a g r a m O b j e c t K e y a n y T y p e z b w N T n L X > < a : K e y V a l u e O f D i a g r a m O b j e c t K e y a n y T y p e z b w N T n L X > < a : K e y > < K e y > T a b l e s \ A m o r t i z a c i j a < / K e y > < / a : K e y > < a : V a l u e   i : t y p e = " D i a g r a m D i s p l a y N o d e V i e w S t a t e " > < H e i g h t > 1 9 0 . 4 0 0 0 0 0 0 0 0 0 0 0 0 3 < / H e i g h t > < I s E x p a n d e d > t r u e < / I s E x p a n d e d > < L a y e d O u t > t r u e < / L a y e d O u t > < L e f t > 5 6 1 . 3 2 6 6 7 3 9 7 3 6 6 1 1 7 < / L e f t > < T a b I n d e x > 8 < / T a b I n d e x > < T o p > 5 5 3 . 6 5 0 0 0 0 0 0 0 0 0 0 0 9 < / T o p > < W i d t h > 2 6 8 < / W i d t h > < / a : V a l u e > < / a : K e y V a l u e O f D i a g r a m O b j e c t K e y a n y T y p e z b w N T n L X > < a : K e y V a l u e O f D i a g r a m O b j e c t K e y a n y T y p e z b w N T n L X > < a : K e y > < K e y > T a b l e s \ A m o r t i z a c i j a \ C o l u m n s \ @>X  =0  X02=0  =0102:0  ( ?;0=) < / K e y > < / a : K e y > < a : V a l u e   i : t y p e = " D i a g r a m D i s p l a y N o d e V i e w S t a t e " > < H e i g h t > 1 5 0 < / H e i g h t > < I s E x p a n d e d > t r u e < / I s E x p a n d e d > < W i d t h > 2 0 0 < / W i d t h > < / a : V a l u e > < / a : K e y V a l u e O f D i a g r a m O b j e c t K e y a n y T y p e z b w N T n L X > < a : K e y V a l u e O f D i a g r a m O b j e c t K e y a n y T y p e z b w N T n L X > < a : K e y > < K e y > T a b l e s \ A m o r t i z a c i j a \ C o l u m n s \ !B02:0< / K e y > < / a : K e y > < a : V a l u e   i : t y p e = " D i a g r a m D i s p l a y N o d e V i e w S t a t e " > < H e i g h t > 1 5 0 < / H e i g h t > < I s E x p a n d e d > t r u e < / I s E x p a n d e d > < W i d t h > 2 0 0 < / W i d t h > < / a : V a l u e > < / a : K e y V a l u e O f D i a g r a m O b j e c t K e y a n y T y p e z b w N T n L X > < a : K e y V a l u e O f D i a g r a m O b j e c t K e y a n y T y p e z b w N T n L X > < a : K e y > < K e y > T a b l e s \ A m o r t i z a c i j a \ C o l u m n s \ 5@8>4< / K e y > < / a : K e y > < a : V a l u e   i : t y p e = " D i a g r a m D i s p l a y N o d e V i e w S t a t e " > < H e i g h t > 1 5 0 < / H e i g h t > < I s E x p a n d e d > t r u e < / I s E x p a n d e d > < W i d t h > 2 0 0 < / W i d t h > < / a : V a l u e > < / a : K e y V a l u e O f D i a g r a m O b j e c t K e y a n y T y p e z b w N T n L X > < a : K e y V a l u e O f D i a g r a m O b j e c t K e y a n y T y p e z b w N T n L X > < a : K e y > < K e y > T a b l e s \ A m o r t i z a c i j a \ C o l u m n s \ 7=>A< / K e y > < / a : K e y > < a : V a l u e   i : t y p e = " D i a g r a m D i s p l a y N o d e V i e w S t a t e " > < H e i g h t > 1 5 0 < / H e i g h t > < I s E x p a n d e d > t r u e < / I s E x p a n d e d > < W i d t h > 2 0 0 < / W i d t h > < / a : V a l u e > < / a : K e y V a l u e O f D i a g r a m O b j e c t K e y a n y T y p e z b w N T n L X > < a : K e y V a l u e O f D i a g r a m O b j e c t K e y a n y T y p e z b w N T n L X > < a : K e y > < K e y > T a b l e s \ A m o r t i z a c i j a \ C o l u m n s \ >=B>< / K e y > < / a : K e y > < a : V a l u e   i : t y p e = " D i a g r a m D i s p l a y N o d e V i e w S t a t e " > < H e i g h t > 1 5 0 < / H e i g h t > < I s E x p a n d e d > t r u e < / I s E x p a n d e d > < W i d t h > 2 0 0 < / W i d t h > < / a : V a l u e > < / a : K e y V a l u e O f D i a g r a m O b j e c t K e y a n y T y p e z b w N T n L X > < a : K e y V a l u e O f D i a g r a m O b j e c t K e y a n y T y p e z b w N T n L X > < a : K e y > < K e y > T a b l e s \ A m o r t i z a c i j a \ C o l u m n s \ R e p o r t T y p e < / K e y > < / a : K e y > < a : V a l u e   i : t y p e = " D i a g r a m D i s p l a y N o d e V i e w S t a t e " > < H e i g h t > 1 5 0 < / H e i g h t > < I s E x p a n d e d > t r u e < / I s E x p a n d e d > < W i d t h > 2 0 0 < / W i d t h > < / a : V a l u e > < / a : K e y V a l u e O f D i a g r a m O b j e c t K e y a n y T y p e z b w N T n L X > < a : K e y V a l u e O f D i a g r a m O b j e c t K e y a n y T y p e z b w N T n L X > < a : K e y > < K e y > T a b l e s \ A m o r t i z a c i j a \ M e a s u r e s \ S u m   o f   7=>A  2 < / K e y > < / a : K e y > < a : V a l u e   i : t y p e = " D i a g r a m D i s p l a y N o d e V i e w S t a t e " > < H e i g h t > 1 5 0 < / H e i g h t > < I s E x p a n d e d > t r u e < / I s E x p a n d e d > < W i d t h > 2 0 0 < / W i d t h > < / a : V a l u e > < / a : K e y V a l u e O f D i a g r a m O b j e c t K e y a n y T y p e z b w N T n L X > < a : K e y V a l u e O f D i a g r a m O b j e c t K e y a n y T y p e z b w N T n L X > < a : K e y > < K e y > T a b l e s \ A m o r t i z a c i j a \ S u m   o f   7=>A  2 \ A d d i t i o n a l   I n f o \ I m p l i c i t   M e a s u r e < / K e y > < / a : K e y > < a : V a l u e   i : t y p e = " D i a g r a m D i s p l a y V i e w S t a t e I D i a g r a m T a g A d d i t i o n a l I n f o " / > < / a : K e y V a l u e O f D i a g r a m O b j e c t K e y a n y T y p e z b w N T n L X > < a : K e y V a l u e O f D i a g r a m O b j e c t K e y a n y T y p e z b w N T n L X > < a : K e y > < K e y > T a b l e s \ f C o v e c k i R e s u r s i < / K e y > < / a : K e y > < a : V a l u e   i : t y p e = " D i a g r a m D i s p l a y N o d e V i e w S t a t e " > < H e i g h t > 4 7 1 . 9 0 0 0 0 0 0 0 0 0 0 0 2 < / H e i g h t > < I s E x p a n d e d > t r u e < / I s E x p a n d e d > < L a y e d O u t > t r u e < / L a y e d O u t > < L e f t > 8 6 6 . 9 2 6 6 7 3 9 7 3 6 6 1 0 8 < / L e f t > < T a b I n d e x > 9 < / T a b I n d e x > < T o p > 5 1 3 . 7 9 9 9 9 9 9 9 9 9 9 9 7 3 < / T o p > < W i d t h > 2 2 8 < / W i d t h > < / a : V a l u e > < / a : K e y V a l u e O f D i a g r a m O b j e c t K e y a n y T y p e z b w N T n L X > < a : K e y V a l u e O f D i a g r a m O b j e c t K e y a n y T y p e z b w N T n L X > < a : K e y > < K e y > T a b l e s \ f C o v e c k i R e s u r s i \ C o l u m n s \ !B02:0< / K e y > < / a : K e y > < a : V a l u e   i : t y p e = " D i a g r a m D i s p l a y N o d e V i e w S t a t e " > < H e i g h t > 1 5 0 < / H e i g h t > < I s E x p a n d e d > t r u e < / I s E x p a n d e d > < W i d t h > 2 0 0 < / W i d t h > < / a : V a l u e > < / a : K e y V a l u e O f D i a g r a m O b j e c t K e y a n y T y p e z b w N T n L X > < a : K e y V a l u e O f D i a g r a m O b j e c t K e y a n y T y p e z b w N T n L X > < a : K e y > < K e y > T a b l e s \ f C o v e c k i R e s u r s i \ C o l u m n s \ "8?  =0  2@01>BC20Z5< / K e y > < / a : K e y > < a : V a l u e   i : t y p e = " D i a g r a m D i s p l a y N o d e V i e w S t a t e " > < H e i g h t > 1 5 0 < / H e i g h t > < I s E x p a n d e d > t r u e < / I s E x p a n d e d > < W i d t h > 2 0 0 < / W i d t h > < / a : V a l u e > < / a : K e y V a l u e O f D i a g r a m O b j e c t K e y a n y T y p e z b w N T n L X > < a : K e y V a l u e O f D i a g r a m O b j e c t K e y a n y T y p e z b w N T n L X > < a : K e y > < K e y > T a b l e s \ f C o v e c k i R e s u r s i \ C o l u m n s \ ;0=8@0=  ?@8;82/ ( >4;82) < / K e y > < / a : K e y > < a : V a l u e   i : t y p e = " D i a g r a m D i s p l a y N o d e V i e w S t a t e " > < H e i g h t > 1 5 0 < / H e i g h t > < I s E x p a n d e d > t r u e < / I s E x p a n d e d > < W i d t h > 2 0 0 < / W i d t h > < / a : V a l u e > < / a : K e y V a l u e O f D i a g r a m O b j e c t K e y a n y T y p e z b w N T n L X > < a : K e y V a l u e O f D i a g r a m O b j e c t K e y a n y T y p e z b w N T n L X > < a : K e y > < K e y > T a b l e s \ f C o v e c k i R e s u r s i \ C o l u m n s \ 5@8>4< / K e y > < / a : K e y > < a : V a l u e   i : t y p e = " D i a g r a m D i s p l a y N o d e V i e w S t a t e " > < H e i g h t > 1 5 0 < / H e i g h t > < I s E x p a n d e d > t r u e < / I s E x p a n d e d > < W i d t h > 2 0 0 < / W i d t h > < / a : V a l u e > < / a : K e y V a l u e O f D i a g r a m O b j e c t K e y a n y T y p e z b w N T n L X > < a : K e y V a l u e O f D i a g r a m O b j e c t K e y a n y T y p e z b w N T n L X > < a : K e y > < K e y > T a b l e s \ f C o v e c k i R e s u r s i \ C o l u m n s \ @0X=0  A>AB>X10  2@01>B5=8< / K e y > < / a : K e y > < a : V a l u e   i : t y p e = " D i a g r a m D i s p l a y N o d e V i e w S t a t e " > < H e i g h t > 1 5 0 < / H e i g h t > < I s E x p a n d e d > t r u e < / I s E x p a n d e d > < W i d t h > 2 0 0 < / W i d t h > < / a : V a l u e > < / a : K e y V a l u e O f D i a g r a m O b j e c t K e y a n y T y p e z b w N T n L X > < a : K e y V a l u e O f D i a g r a m O b j e c t K e y a n y T y p e z b w N T n L X > < a : K e y > < K e y > T a b l e s \ f C o v e c k i R e s u r s i \ C o l u m n s \ 7=>A< / K e y > < / a : K e y > < a : V a l u e   i : t y p e = " D i a g r a m D i s p l a y N o d e V i e w S t a t e " > < H e i g h t > 1 5 0 < / H e i g h t > < I s E x p a n d e d > t r u e < / I s E x p a n d e d > < W i d t h > 2 0 0 < / W i d t h > < / a : V a l u e > < / a : K e y V a l u e O f D i a g r a m O b j e c t K e y a n y T y p e z b w N T n L X > < a : K e y V a l u e O f D i a g r a m O b j e c t K e y a n y T y p e z b w N T n L X > < a : K e y > < K e y > T a b l e s \ f C o v e c k i R e s u r s i \ C o l u m n s \ >=B>< / K e y > < / a : K e y > < a : V a l u e   i : t y p e = " D i a g r a m D i s p l a y N o d e V i e w S t a t e " > < H e i g h t > 1 5 0 < / H e i g h t > < I s E x p a n d e d > t r u e < / I s E x p a n d e d > < W i d t h > 2 0 0 < / W i d t h > < / a : V a l u e > < / a : K e y V a l u e O f D i a g r a m O b j e c t K e y a n y T y p e z b w N T n L X > < a : K e y V a l u e O f D i a g r a m O b j e c t K e y a n y T y p e z b w N T n L X > < a : K e y > < K e y > T a b l e s \ f C o v e c k i R e s u r s i \ C o l u m n s \ R e p o r t T y p e < / K e y > < / a : K e y > < a : V a l u e   i : t y p e = " D i a g r a m D i s p l a y N o d e V i e w S t a t e " > < H e i g h t > 1 5 0 < / H e i g h t > < I s E x p a n d e d > t r u e < / I s E x p a n d e d > < W i d t h > 2 0 0 < / W i d t h > < / a : V a l u e > < / a : K e y V a l u e O f D i a g r a m O b j e c t K e y a n y T y p e z b w N T n L X > < a : K e y V a l u e O f D i a g r a m O b j e c t K e y a n y T y p e z b w N T n L X > < a : K e y > < K e y > T a b l e s \ f C o v e c k i R e s u r s i \ C o l u m n s \ 5@8>4  ( Y e a r ) < / K e y > < / a : K e y > < a : V a l u e   i : t y p e = " D i a g r a m D i s p l a y N o d e V i e w S t a t e " > < H e i g h t > 1 5 0 < / H e i g h t > < I s E x p a n d e d > t r u e < / I s E x p a n d e d > < W i d t h > 2 0 0 < / W i d t h > < / a : V a l u e > < / a : K e y V a l u e O f D i a g r a m O b j e c t K e y a n y T y p e z b w N T n L X > < a : K e y V a l u e O f D i a g r a m O b j e c t K e y a n y T y p e z b w N T n L X > < a : K e y > < K e y > T a b l e s \ f C o v e c k i R e s u r s i \ C o l u m n s \ 5@8>4  ( Q u a r t e r ) < / K e y > < / a : K e y > < a : V a l u e   i : t y p e = " D i a g r a m D i s p l a y N o d e V i e w S t a t e " > < H e i g h t > 1 5 0 < / H e i g h t > < I s E x p a n d e d > t r u e < / I s E x p a n d e d > < W i d t h > 2 0 0 < / W i d t h > < / a : V a l u e > < / a : K e y V a l u e O f D i a g r a m O b j e c t K e y a n y T y p e z b w N T n L X > < a : K e y V a l u e O f D i a g r a m O b j e c t K e y a n y T y p e z b w N T n L X > < a : K e y > < K e y > T a b l e s \ f C o v e c k i R e s u r s i \ C o l u m n s \ 5@8>4  ( M o n t h   I n d e x ) < / K e y > < / a : K e y > < a : V a l u e   i : t y p e = " D i a g r a m D i s p l a y N o d e V i e w S t a t e " > < H e i g h t > 1 5 0 < / H e i g h t > < I s E x p a n d e d > t r u e < / I s E x p a n d e d > < W i d t h > 2 0 0 < / W i d t h > < / a : V a l u e > < / a : K e y V a l u e O f D i a g r a m O b j e c t K e y a n y T y p e z b w N T n L X > < a : K e y V a l u e O f D i a g r a m O b j e c t K e y a n y T y p e z b w N T n L X > < a : K e y > < K e y > T a b l e s \ f C o v e c k i R e s u r s i \ C o l u m n s \ 5@8>4  ( M o n t h ) < / K e y > < / a : K e y > < a : V a l u e   i : t y p e = " D i a g r a m D i s p l a y N o d e V i e w S t a t e " > < H e i g h t > 1 5 0 < / H e i g h t > < I s E x p a n d e d > t r u e < / I s E x p a n d e d > < W i d t h > 2 0 0 < / W i d t h > < / a : V a l u e > < / a : K e y V a l u e O f D i a g r a m O b j e c t K e y a n y T y p e z b w N T n L X > < a : K e y V a l u e O f D i a g r a m O b j e c t K e y a n y T y p e z b w N T n L X > < a : K e y > < K e y > T a b l e s \ f C o v e c k i R e s u r s i \ C o l u m n s \ 5@8>4  ( Y e a r )   1 < / K e y > < / a : K e y > < a : V a l u e   i : t y p e = " D i a g r a m D i s p l a y N o d e V i e w S t a t e " > < H e i g h t > 1 5 0 < / H e i g h t > < I s E x p a n d e d > t r u e < / I s E x p a n d e d > < W i d t h > 2 0 0 < / W i d t h > < / a : V a l u e > < / a : K e y V a l u e O f D i a g r a m O b j e c t K e y a n y T y p e z b w N T n L X > < a : K e y V a l u e O f D i a g r a m O b j e c t K e y a n y T y p e z b w N T n L X > < a : K e y > < K e y > T a b l e s \ f C o v e c k i R e s u r s i \ C o l u m n s \ 5@8>4  ( Q u a r t e r )   1 < / K e y > < / a : K e y > < a : V a l u e   i : t y p e = " D i a g r a m D i s p l a y N o d e V i e w S t a t e " > < H e i g h t > 1 5 0 < / H e i g h t > < I s E x p a n d e d > t r u e < / I s E x p a n d e d > < W i d t h > 2 0 0 < / W i d t h > < / a : V a l u e > < / a : K e y V a l u e O f D i a g r a m O b j e c t K e y a n y T y p e z b w N T n L X > < a : K e y V a l u e O f D i a g r a m O b j e c t K e y a n y T y p e z b w N T n L X > < a : K e y > < K e y > T a b l e s \ f C o v e c k i R e s u r s i \ C o l u m n s \ 5@8>4  ( M o n t h   I n d e x )   1 < / K e y > < / a : K e y > < a : V a l u e   i : t y p e = " D i a g r a m D i s p l a y N o d e V i e w S t a t e " > < H e i g h t > 1 5 0 < / H e i g h t > < I s E x p a n d e d > t r u e < / I s E x p a n d e d > < W i d t h > 2 0 0 < / W i d t h > < / a : V a l u e > < / a : K e y V a l u e O f D i a g r a m O b j e c t K e y a n y T y p e z b w N T n L X > < a : K e y V a l u e O f D i a g r a m O b j e c t K e y a n y T y p e z b w N T n L X > < a : K e y > < K e y > T a b l e s \ f C o v e c k i R e s u r s i \ C o l u m n s \ 5@8>4  ( M o n t h )   1 < / K e y > < / a : K e y > < a : V a l u e   i : t y p e = " D i a g r a m D i s p l a y N o d e V i e w S t a t e " > < H e i g h t > 1 5 0 < / H e i g h t > < I s E x p a n d e d > t r u e < / I s E x p a n d e d > < W i d t h > 2 0 0 < / W i d t h > < / a : V a l u e > < / a : K e y V a l u e O f D i a g r a m O b j e c t K e y a n y T y p e z b w N T n L X > < a : K e y V a l u e O f D i a g r a m O b j e c t K e y a n y T y p e z b w N T n L X > < a : K e y > < K e y > T a b l e s \ f C o v e c k i R e s u r s i \ M e a s u r e s \ S u m   o f   7=>A  3 < / K e y > < / a : K e y > < a : V a l u e   i : t y p e = " D i a g r a m D i s p l a y N o d e V i e w S t a t e " > < H e i g h t > 1 5 0 < / H e i g h t > < I s E x p a n d e d > t r u e < / I s E x p a n d e d > < W i d t h > 2 0 0 < / W i d t h > < / a : V a l u e > < / a : K e y V a l u e O f D i a g r a m O b j e c t K e y a n y T y p e z b w N T n L X > < a : K e y V a l u e O f D i a g r a m O b j e c t K e y a n y T y p e z b w N T n L X > < a : K e y > < K e y > T a b l e s \ f C o v e c k i R e s u r s i \ S u m   o f   7=>A  3 \ A d d i t i o n a l   I n f o \ I m p l i c i t   M e a s u r e < / K e y > < / a : K e y > < a : V a l u e   i : t y p e = " D i a g r a m D i s p l a y V i e w S t a t e I D i a g r a m T a g A d d i t i o n a l I n f o " / > < / a : K e y V a l u e O f D i a g r a m O b j e c t K e y a n y T y p e z b w N T n L X > < a : K e y V a l u e O f D i a g r a m O b j e c t K e y a n y T y p e z b w N T n L X > < a : K e y > < K e y > T a b l e s \ f C o v e c k i R e s u r s i \ M e a s u r e s \ S u m   o f   @0X=0  A>AB>X10  2@01>B5=8< / K e y > < / a : K e y > < a : V a l u e   i : t y p e = " D i a g r a m D i s p l a y N o d e V i e w S t a t e " > < H e i g h t > 1 5 0 < / H e i g h t > < I s E x p a n d e d > t r u e < / I s E x p a n d e d > < W i d t h > 2 0 0 < / W i d t h > < / a : V a l u e > < / a : K e y V a l u e O f D i a g r a m O b j e c t K e y a n y T y p e z b w N T n L X > < a : K e y V a l u e O f D i a g r a m O b j e c t K e y a n y T y p e z b w N T n L X > < a : K e y > < K e y > T a b l e s \ f C o v e c k i R e s u r s i \ S u m   o f   @0X=0  A>AB>X10  2@01>B5=8\ A d d i t i o n a l   I n f o \ I m p l i c i t   M e a s u r e < / K e y > < / a : K e y > < a : V a l u e   i : t y p e = " D i a g r a m D i s p l a y V i e w S t a t e I D i a g r a m T a g A d d i t i o n a l I n f o " / > < / a : K e y V a l u e O f D i a g r a m O b j e c t K e y a n y T y p e z b w N T n L X > < a : K e y V a l u e O f D i a g r a m O b j e c t K e y a n y T y p e z b w N T n L X > < a : K e y > < K e y > T a b l e s \ f C o v e c k i R e s u r s i \ M e a s u r e s \ S u m   o f   ;0=8@0=  ?@8;82/ ( >4;82) < / K e y > < / a : K e y > < a : V a l u e   i : t y p e = " D i a g r a m D i s p l a y N o d e V i e w S t a t e " > < H e i g h t > 1 5 0 < / H e i g h t > < I s E x p a n d e d > t r u e < / I s E x p a n d e d > < W i d t h > 2 0 0 < / W i d t h > < / a : V a l u e > < / a : K e y V a l u e O f D i a g r a m O b j e c t K e y a n y T y p e z b w N T n L X > < a : K e y V a l u e O f D i a g r a m O b j e c t K e y a n y T y p e z b w N T n L X > < a : K e y > < K e y > T a b l e s \ f C o v e c k i R e s u r s i \ S u m   o f   ;0=8@0=  ?@8;82/ ( >4;82) \ A d d i t i o n a l   I n f o \ I m p l i c i t   M e a s u r e < / K e y > < / a : K e y > < a : V a l u e   i : t y p e = " D i a g r a m D i s p l a y V i e w S t a t e I D i a g r a m T a g A d d i t i o n a l I n f o " / > < / a : K e y V a l u e O f D i a g r a m O b j e c t K e y a n y T y p e z b w N T n L X > < a : K e y V a l u e O f D i a g r a m O b j e c t K e y a n y T y p e z b w N T n L X > < a : K e y > < K e y > T a b l e s \ f A c t u a l A n d B u d g e t < / K e y > < / a : K e y > < a : V a l u e   i : t y p e = " D i a g r a m D i s p l a y N o d e V i e w S t a t e " > < H e i g h t > 4 3 2 . 4 < / H e i g h t > < I s E x p a n d e d > t r u e < / I s E x p a n d e d > < L a y e d O u t > t r u e < / L a y e d O u t > < L e f t > 5 . 6 8 4 3 4 1 8 8 6 0 8 0 8 0 1 5 E - 1 4 < / L e f t > < W i d t h > 2 8 0 . 8 < / W i d t h > < / a : V a l u e > < / a : K e y V a l u e O f D i a g r a m O b j e c t K e y a n y T y p e z b w N T n L X > < a : K e y V a l u e O f D i a g r a m O b j e c t K e y a n y T y p e z b w N T n L X > < a : K e y > < K e y > T a b l e s \ f A c t u a l A n d B u d g e t \ C o l u m n s \ >=B>< / K e y > < / a : K e y > < a : V a l u e   i : t y p e = " D i a g r a m D i s p l a y N o d e V i e w S t a t e " > < H e i g h t > 1 5 0 < / H e i g h t > < I s E x p a n d e d > t r u e < / I s E x p a n d e d > < W i d t h > 2 0 0 < / W i d t h > < / a : V a l u e > < / a : K e y V a l u e O f D i a g r a m O b j e c t K e y a n y T y p e z b w N T n L X > < a : K e y V a l u e O f D i a g r a m O b j e c t K e y a n y T y p e z b w N T n L X > < a : K e y > < K e y > T a b l e s \ f A c t u a l A n d B u d g e t \ C o l u m n s \ 0782  =0  :>=B>< / K e y > < / a : K e y > < a : V a l u e   i : t y p e = " D i a g r a m D i s p l a y N o d e V i e w S t a t e " > < H e i g h t > 1 5 0 < / H e i g h t > < I s E x p a n d e d > t r u e < / I s E x p a n d e d > < W i d t h > 2 0 0 < / W i d t h > < / a : V a l u e > < / a : K e y V a l u e O f D i a g r a m O b j e c t K e y a n y T y p e z b w N T n L X > < a : K e y V a l u e O f D i a g r a m O b j e c t K e y a n y T y p e z b w N T n L X > < a : K e y > < K e y > T a b l e s \ f A c t u a l A n d B u d g e t \ C o l u m n s \ 5@8>4< / K e y > < / a : K e y > < a : V a l u e   i : t y p e = " D i a g r a m D i s p l a y N o d e V i e w S t a t e " > < H e i g h t > 1 5 0 < / H e i g h t > < I s E x p a n d e d > t r u e < / I s E x p a n d e d > < W i d t h > 2 0 0 < / W i d t h > < / a : V a l u e > < / a : K e y V a l u e O f D i a g r a m O b j e c t K e y a n y T y p e z b w N T n L X > < a : K e y V a l u e O f D i a g r a m O b j e c t K e y a n y T y p e z b w N T n L X > < a : K e y > < K e y > T a b l e s \ f A c t u a l A n d B u d g e t \ C o l u m n s \ 7=>A1 < / K e y > < / a : K e y > < a : V a l u e   i : t y p e = " D i a g r a m D i s p l a y N o d e V i e w S t a t e " > < H e i g h t > 1 5 0 < / H e i g h t > < I s E x p a n d e d > t r u e < / I s E x p a n d e d > < W i d t h > 2 0 0 < / W i d t h > < / a : V a l u e > < / a : K e y V a l u e O f D i a g r a m O b j e c t K e y a n y T y p e z b w N T n L X > < a : K e y V a l u e O f D i a g r a m O b j e c t K e y a n y T y p e z b w N T n L X > < a : K e y > < K e y > T a b l e s \ f A c t u a l A n d B u d g e t \ C o l u m n s \ R e p o r t T y p e < / K e y > < / a : K e y > < a : V a l u e   i : t y p e = " D i a g r a m D i s p l a y N o d e V i e w S t a t e " > < H e i g h t > 1 5 0 < / H e i g h t > < I s E x p a n d e d > t r u e < / I s E x p a n d e d > < W i d t h > 2 0 0 < / W i d t h > < / a : V a l u e > < / a : K e y V a l u e O f D i a g r a m O b j e c t K e y a n y T y p e z b w N T n L X > < a : K e y V a l u e O f D i a g r a m O b j e c t K e y a n y T y p e z b w N T n L X > < a : K e y > < K e y > T a b l e s \ f A c t u a l A n d B u d g e t \ C o l u m n s \ !B02:0< / K e y > < / a : K e y > < a : V a l u e   i : t y p e = " D i a g r a m D i s p l a y N o d e V i e w S t a t e " > < H e i g h t > 1 5 0 < / H e i g h t > < I s E x p a n d e d > t r u e < / I s E x p a n d e d > < W i d t h > 2 0 0 < / W i d t h > < / a : V a l u e > < / a : K e y V a l u e O f D i a g r a m O b j e c t K e y a n y T y p e z b w N T n L X > < a : K e y V a l u e O f D i a g r a m O b j e c t K e y a n y T y p e z b w N T n L X > < a : K e y > < K e y > T a b l e s \ f A c t u a l A n d B u d g e t \ C o l u m n s \ @>X  =0  X02=0  =0102:0  ( ?;0=) < / K e y > < / a : K e y > < a : V a l u e   i : t y p e = " D i a g r a m D i s p l a y N o d e V i e w S t a t e " > < H e i g h t > 1 5 0 < / H e i g h t > < I s E x p a n d e d > t r u e < / I s E x p a n d e d > < W i d t h > 2 0 0 < / W i d t h > < / a : V a l u e > < / a : K e y V a l u e O f D i a g r a m O b j e c t K e y a n y T y p e z b w N T n L X > < a : K e y V a l u e O f D i a g r a m O b j e c t K e y a n y T y p e z b w N T n L X > < a : K e y > < K e y > T a b l e s \ f A c t u a l A n d B u d g e t \ C o l u m n s \ S t a v k a I D < / K e y > < / a : K e y > < a : V a l u e   i : t y p e = " D i a g r a m D i s p l a y N o d e V i e w S t a t e " > < H e i g h t > 1 5 0 < / H e i g h t > < I s E x p a n d e d > t r u e < / I s E x p a n d e d > < W i d t h > 2 0 0 < / W i d t h > < / a : V a l u e > < / a : K e y V a l u e O f D i a g r a m O b j e c t K e y a n y T y p e z b w N T n L X > < a : K e y V a l u e O f D i a g r a m O b j e c t K e y a n y T y p e z b w N T n L X > < a : K e y > < K e y > T a b l e s \ f A c t u a l A n d B u d g e t \ C o l u m n s \ S t a v k a I m e M K < / K e y > < / a : K e y > < a : V a l u e   i : t y p e = " D i a g r a m D i s p l a y N o d e V i e w S t a t e " > < H e i g h t > 1 5 0 < / H e i g h t > < I s E x p a n d e d > t r u e < / I s E x p a n d e d > < W i d t h > 2 0 0 < / W i d t h > < / a : V a l u e > < / a : K e y V a l u e O f D i a g r a m O b j e c t K e y a n y T y p e z b w N T n L X > < a : K e y V a l u e O f D i a g r a m O b j e c t K e y a n y T y p e z b w N T n L X > < a : K e y > < K e y > T a b l e s \ f A c t u a l A n d B u d g e t \ C o l u m n s \ S t a v k a G r u p a < / K e y > < / a : K e y > < a : V a l u e   i : t y p e = " D i a g r a m D i s p l a y N o d e V i e w S t a t e " > < H e i g h t > 1 5 0 < / H e i g h t > < I s E x p a n d e d > t r u e < / I s E x p a n d e d > < W i d t h > 2 0 0 < / W i d t h > < / a : V a l u e > < / a : K e y V a l u e O f D i a g r a m O b j e c t K e y a n y T y p e z b w N T n L X > < a : K e y V a l u e O f D i a g r a m O b j e c t K e y a n y T y p e z b w N T n L X > < a : K e y > < K e y > T a b l e s \ f A c t u a l A n d B u d g e t \ C o l u m n s \ S t a v k a K a t e g o r i j a < / K e y > < / a : K e y > < a : V a l u e   i : t y p e = " D i a g r a m D i s p l a y N o d e V i e w S t a t e " > < H e i g h t > 1 5 0 < / H e i g h t > < I s E x p a n d e d > t r u e < / I s E x p a n d e d > < W i d t h > 2 0 0 < / W i d t h > < / a : V a l u e > < / a : K e y V a l u e O f D i a g r a m O b j e c t K e y a n y T y p e z b w N T n L X > < a : K e y V a l u e O f D i a g r a m O b j e c t K e y a n y T y p e z b w N T n L X > < a : K e y > < K e y > T a b l e s \ f A c t u a l A n d B u d g e t \ C o l u m n s \ Z n a k I z v e s t a j < / K e y > < / a : K e y > < a : V a l u e   i : t y p e = " D i a g r a m D i s p l a y N o d e V i e w S t a t e " > < H e i g h t > 1 5 0 < / H e i g h t > < I s E x p a n d e d > t r u e < / I s E x p a n d e d > < W i d t h > 2 0 0 < / W i d t h > < / a : V a l u e > < / a : K e y V a l u e O f D i a g r a m O b j e c t K e y a n y T y p e z b w N T n L X > < a : K e y V a l u e O f D i a g r a m O b j e c t K e y a n y T y p e z b w N T n L X > < a : K e y > < K e y > T a b l e s \ f A c t u a l A n d B u d g e t \ C o l u m n s \ O b r a z e c I D < / K e y > < / a : K e y > < a : V a l u e   i : t y p e = " D i a g r a m D i s p l a y N o d e V i e w S t a t e " > < H e i g h t > 1 5 0 < / H e i g h t > < I s E x p a n d e d > t r u e < / I s E x p a n d e d > < W i d t h > 2 0 0 < / W i d t h > < / a : V a l u e > < / a : K e y V a l u e O f D i a g r a m O b j e c t K e y a n y T y p e z b w N T n L X > < a : K e y V a l u e O f D i a g r a m O b j e c t K e y a n y T y p e z b w N T n L X > < a : K e y > < K e y > T a b l e s \ f A c t u a l A n d B u d g e t \ C o l u m n s \ S t a v k a A O P < / K e y > < / a : K e y > < a : V a l u e   i : t y p e = " D i a g r a m D i s p l a y N o d e V i e w S t a t e " > < H e i g h t > 1 5 0 < / H e i g h t > < I s E x p a n d e d > t r u e < / I s E x p a n d e d > < W i d t h > 2 0 0 < / W i d t h > < / a : V a l u e > < / a : K e y V a l u e O f D i a g r a m O b j e c t K e y a n y T y p e z b w N T n L X > < a : K e y V a l u e O f D i a g r a m O b j e c t K e y a n y T y p e z b w N T n L X > < a : K e y > < K e y > T a b l e s \ f A c t u a l A n d B u d g e t \ C o l u m n s \ O b r a z e c I m e < / K e y > < / a : K e y > < a : V a l u e   i : t y p e = " D i a g r a m D i s p l a y N o d e V i e w S t a t e " > < H e i g h t > 1 5 0 < / H e i g h t > < I s E x p a n d e d > t r u e < / I s E x p a n d e d > < W i d t h > 2 0 0 < / W i d t h > < / a : V a l u e > < / a : K e y V a l u e O f D i a g r a m O b j e c t K e y a n y T y p e z b w N T n L X > < a : K e y V a l u e O f D i a g r a m O b j e c t K e y a n y T y p e z b w N T n L X > < a : K e y > < K e y > T a b l e s \ f A c t u a l A n d B u d g e t \ C o l u m n s \ 7=>A< / K e y > < / a : K e y > < a : V a l u e   i : t y p e = " D i a g r a m D i s p l a y N o d e V i e w S t a t e " > < H e i g h t > 1 5 0 < / H e i g h t > < I s E x p a n d e d > t r u e < / I s E x p a n d e d > < W i d t h > 2 0 0 < / W i d t h > < / a : V a l u e > < / a : K e y V a l u e O f D i a g r a m O b j e c t K e y a n y T y p e z b w N T n L X > < a : K e y V a l u e O f D i a g r a m O b j e c t K e y a n y T y p e z b w N T n L X > < a : K e y > < K e y > T a b l e s \ f A c t u a l A n d B u d g e t \ C o l u m n s \ 7=>A  ( 8;X048) < / K e y > < / a : K e y > < a : V a l u e   i : t y p e = " D i a g r a m D i s p l a y N o d e V i e w S t a t e " > < H e i g h t > 1 5 0 < / H e i g h t > < I s E x p a n d e d > t r u e < / I s E x p a n d e d > < W i d t h > 2 0 0 < / W i d t h > < / a : V a l u e > < / a : K e y V a l u e O f D i a g r a m O b j e c t K e y a n y T y p e z b w N T n L X > < a : K e y V a l u e O f D i a g r a m O b j e c t K e y a n y T y p e z b w N T n L X > < a : K e y > < K e y > T a b l e s \ f A c t u a l A n d B u d g e t \ C o l u m n s \ S t a v k a I m e A O P < / K e y > < / a : K e y > < a : V a l u e   i : t y p e = " D i a g r a m D i s p l a y N o d e V i e w S t a t e " > < H e i g h t > 1 5 0 < / H e i g h t > < I s E x p a n d e d > t r u e < / I s E x p a n d e d > < W i d t h > 2 0 0 < / W i d t h > < / a : V a l u e > < / a : K e y V a l u e O f D i a g r a m O b j e c t K e y a n y T y p e z b w N T n L X > < a : K e y V a l u e O f D i a g r a m O b j e c t K e y a n y T y p e z b w N T n L X > < a : K e y > < K e y > T a b l e s \ f A c t u a l A n d B u d g e t \ C o l u m n s \ >=B>  !B02:0< / K e y > < / a : K e y > < a : V a l u e   i : t y p e = " D i a g r a m D i s p l a y N o d e V i e w S t a t e " > < H e i g h t > 1 5 0 < / H e i g h t > < I s E x p a n d e d > t r u e < / I s E x p a n d e d > < W i d t h > 2 0 0 < / W i d t h > < / a : V a l u e > < / a : K e y V a l u e O f D i a g r a m O b j e c t K e y a n y T y p e z b w N T n L X > < a : K e y V a l u e O f D i a g r a m O b j e c t K e y a n y T y p e z b w N T n L X > < a : K e y > < K e y > T a b l e s \ f A c t u a l A n d B u d g e t \ M e a s u r e s \ S u m   o f   7=>A< / K e y > < / a : K e y > < a : V a l u e   i : t y p e = " D i a g r a m D i s p l a y N o d e V i e w S t a t e " > < H e i g h t > 1 5 0 < / H e i g h t > < I s E x p a n d e d > t r u e < / I s E x p a n d e d > < W i d t h > 2 0 0 < / W i d t h > < / a : V a l u e > < / a : K e y V a l u e O f D i a g r a m O b j e c t K e y a n y T y p e z b w N T n L X > < a : K e y V a l u e O f D i a g r a m O b j e c t K e y a n y T y p e z b w N T n L X > < a : K e y > < K e y > T a b l e s \ f A c t u a l A n d B u d g e t \ S u m   o f   7=>A\ A d d i t i o n a l   I n f o \ I m p l i c i t   M e a s u r e < / K e y > < / a : K e y > < a : V a l u e   i : t y p e = " D i a g r a m D i s p l a y V i e w S t a t e I D i a g r a m T a g A d d i t i o n a l I n f o " / > < / a : K e y V a l u e O f D i a g r a m O b j e c t K e y a n y T y p e z b w N T n L X > < a : K e y V a l u e O f D i a g r a m O b j e c t K e y a n y T y p e z b w N T n L X > < a : K e y > < K e y > T a b l e s \ f A c t u a l A n d B u d g e t \ M e a s u r e s \ S u m   o f   7=>A  ( 8;X048) < / K e y > < / a : K e y > < a : V a l u e   i : t y p e = " D i a g r a m D i s p l a y N o d e V i e w S t a t e " > < H e i g h t > 1 5 0 < / H e i g h t > < I s E x p a n d e d > t r u e < / I s E x p a n d e d > < W i d t h > 2 0 0 < / W i d t h > < / a : V a l u e > < / a : K e y V a l u e O f D i a g r a m O b j e c t K e y a n y T y p e z b w N T n L X > < a : K e y V a l u e O f D i a g r a m O b j e c t K e y a n y T y p e z b w N T n L X > < a : K e y > < K e y > T a b l e s \ f A c t u a l A n d B u d g e t \ S u m   o f   7=>A  ( 8;X048) \ A d d i t i o n a l   I n f o \ I m p l i c i t   M e a s u r e < / K e y > < / a : K e y > < a : V a l u e   i : t y p e = " D i a g r a m D i s p l a y V i e w S t a t e I D i a g r a m T a g A d d i t i o n a l I n f o " / > < / a : K e y V a l u e O f D i a g r a m O b j e c t K e y a n y T y p e z b w N T n L X > < a : K e y V a l u e O f D i a g r a m O b j e c t K e y a n y T y p e z b w N T n L X > < a : K e y > < K e y > T a b l e s \ f A c t u a l A n d B u d g e t \ M e a s u r e s \ S u m   o f   7=>A1 < / K e y > < / a : K e y > < a : V a l u e   i : t y p e = " D i a g r a m D i s p l a y N o d e V i e w S t a t e " > < H e i g h t > 1 5 0 < / H e i g h t > < I s E x p a n d e d > t r u e < / I s E x p a n d e d > < W i d t h > 2 0 0 < / W i d t h > < / a : V a l u e > < / a : K e y V a l u e O f D i a g r a m O b j e c t K e y a n y T y p e z b w N T n L X > < a : K e y V a l u e O f D i a g r a m O b j e c t K e y a n y T y p e z b w N T n L X > < a : K e y > < K e y > T a b l e s \ f A c t u a l A n d B u d g e t \ S u m   o f   7=>A1 \ A d d i t i o n a l   I n f o \ I m p l i c i t   M e a s u r e < / K e y > < / a : K e y > < a : V a l u e   i : t y p e = " D i a g r a m D i s p l a y V i e w S t a t e I D i a g r a m T a g A d d i t i o n a l I n f o " / > < / a : K e y V a l u e O f D i a g r a m O b j e c t K e y a n y T y p e z b w N T n L X > < a : K e y V a l u e O f D i a g r a m O b j e c t K e y a n y T y p e z b w N T n L X > < a : K e y > < K e y > T a b l e s \ f O P E X < / K e y > < / a : K e y > < a : V a l u e   i : t y p e = " D i a g r a m D i s p l a y N o d e V i e w S t a t e " > < H e i g h t > 2 8 0 . 4 0 0 0 0 0 0 0 0 0 0 0 0 3 < / H e i g h t > < I s E x p a n d e d > t r u e < / I s E x p a n d e d > < L a y e d O u t > t r u e < / L a y e d O u t > < L e f t > 8 9 6 . 5 2 6 6 7 3 9 7 3 6 6 1 2 2 < / L e f t > < T a b I n d e x > 2 < / T a b I n d e x > < W i d t h > 2 0 0 < / W i d t h > < / a : V a l u e > < / a : K e y V a l u e O f D i a g r a m O b j e c t K e y a n y T y p e z b w N T n L X > < a : K e y V a l u e O f D i a g r a m O b j e c t K e y a n y T y p e z b w N T n L X > < a : K e y > < K e y > T a b l e s \ f O P E X \ C o l u m n s \ >=B>< / K e y > < / a : K e y > < a : V a l u e   i : t y p e = " D i a g r a m D i s p l a y N o d e V i e w S t a t e " > < H e i g h t > 1 5 0 < / H e i g h t > < I s E x p a n d e d > t r u e < / I s E x p a n d e d > < W i d t h > 2 0 0 < / W i d t h > < / a : V a l u e > < / a : K e y V a l u e O f D i a g r a m O b j e c t K e y a n y T y p e z b w N T n L X > < a : K e y V a l u e O f D i a g r a m O b j e c t K e y a n y T y p e z b w N T n L X > < a : K e y > < K e y > T a b l e s \ f O P E X \ C o l u m n s \ !B02:0< / K e y > < / a : K e y > < a : V a l u e   i : t y p e = " D i a g r a m D i s p l a y N o d e V i e w S t a t e " > < H e i g h t > 1 5 0 < / H e i g h t > < I s E x p a n d e d > t r u e < / I s E x p a n d e d > < W i d t h > 2 0 0 < / W i d t h > < / a : V a l u e > < / a : K e y V a l u e O f D i a g r a m O b j e c t K e y a n y T y p e z b w N T n L X > < a : K e y V a l u e O f D i a g r a m O b j e c t K e y a n y T y p e z b w N T n L X > < a : K e y > < K e y > T a b l e s \ f O P E X \ C o l u m n s \ 5@8>4< / K e y > < / a : K e y > < a : V a l u e   i : t y p e = " D i a g r a m D i s p l a y N o d e V i e w S t a t e " > < H e i g h t > 1 5 0 < / H e i g h t > < I s E x p a n d e d > t r u e < / I s E x p a n d e d > < W i d t h > 2 0 0 < / W i d t h > < / a : V a l u e > < / a : K e y V a l u e O f D i a g r a m O b j e c t K e y a n y T y p e z b w N T n L X > < a : K e y V a l u e O f D i a g r a m O b j e c t K e y a n y T y p e z b w N T n L X > < a : K e y > < K e y > T a b l e s \ f O P E X \ C o l u m n s \ 7=>A< / K e y > < / a : K e y > < a : V a l u e   i : t y p e = " D i a g r a m D i s p l a y N o d e V i e w S t a t e " > < H e i g h t > 1 5 0 < / H e i g h t > < I s E x p a n d e d > t r u e < / I s E x p a n d e d > < W i d t h > 2 0 0 < / W i d t h > < / a : V a l u e > < / a : K e y V a l u e O f D i a g r a m O b j e c t K e y a n y T y p e z b w N T n L X > < a : K e y V a l u e O f D i a g r a m O b j e c t K e y a n y T y p e z b w N T n L X > < a : K e y > < K e y > T a b l e s \ f O P E X \ C o l u m n s \ R e p o r t T y p e < / K e y > < / a : K e y > < a : V a l u e   i : t y p e = " D i a g r a m D i s p l a y N o d e V i e w S t a t e " > < H e i g h t > 1 5 0 < / H e i g h t > < I s E x p a n d e d > t r u e < / I s E x p a n d e d > < W i d t h > 2 0 0 < / W i d t h > < / a : V a l u e > < / a : K e y V a l u e O f D i a g r a m O b j e c t K e y a n y T y p e z b w N T n L X > < a : K e y V a l u e O f D i a g r a m O b j e c t K e y a n y T y p e z b w N T n L X > < a : K e y > < K e y > T a b l e s \ O P E X A n a l i z a < / K e y > < / a : K e y > < a : V a l u e   i : t y p e = " D i a g r a m D i s p l a y N o d e V i e w S t a t e " > < H e i g h t > 4 5 6 < / H e i g h t > < I s E x p a n d e d > t r u e < / I s E x p a n d e d > < L a y e d O u t > t r u e < / L a y e d O u t > < L e f t > 1 4 5 4 . 7 3 4 2 9 5 1 0 8 9 9 3 1 < / L e f t > < T a b I n d e x > 3 < / T a b I n d e x > < W i d t h > 2 0 0 < / W i d t h > < / a : V a l u e > < / a : K e y V a l u e O f D i a g r a m O b j e c t K e y a n y T y p e z b w N T n L X > < a : K e y V a l u e O f D i a g r a m O b j e c t K e y a n y T y p e z b w N T n L X > < a : K e y > < K e y > T a b l e s \ O P E X A n a l i z a \ C o l u m n s \ @B8:;  < / K e y > < / a : K e y > < a : V a l u e   i : t y p e = " D i a g r a m D i s p l a y N o d e V i e w S t a t e " > < H e i g h t > 1 5 0 < / H e i g h t > < I s E x p a n d e d > t r u e < / I s E x p a n d e d > < W i d t h > 2 0 0 < / W i d t h > < / a : V a l u e > < / a : K e y V a l u e O f D i a g r a m O b j e c t K e y a n y T y p e z b w N T n L X > < a : K e y V a l u e O f D i a g r a m O b j e c t K e y a n y T y p e z b w N T n L X > < a : K e y > < K e y > T a b l e s \ O P E X A n a l i z a \ C o l u m n s \ !B02:0< / K e y > < / a : K e y > < a : V a l u e   i : t y p e = " D i a g r a m D i s p l a y N o d e V i e w S t a t e " > < H e i g h t > 1 5 0 < / H e i g h t > < I s E x p a n d e d > t r u e < / I s E x p a n d e d > < W i d t h > 2 0 0 < / W i d t h > < / a : V a l u e > < / a : K e y V a l u e O f D i a g r a m O b j e c t K e y a n y T y p e z b w N T n L X > < a : K e y V a l u e O f D i a g r a m O b j e c t K e y a n y T y p e z b w N T n L X > < a : K e y > < K e y > T a b l e s \ O P E X A n a l i z a \ C o l u m n s \ 0B53>@8X0  @B8:;  < / K e y > < / a : K e y > < a : V a l u e   i : t y p e = " D i a g r a m D i s p l a y N o d e V i e w S t a t e " > < H e i g h t > 1 5 0 < / H e i g h t > < I s E x p a n d e d > t r u e < / I s E x p a n d e d > < W i d t h > 2 0 0 < / W i d t h > < / a : V a l u e > < / a : K e y V a l u e O f D i a g r a m O b j e c t K e y a n y T y p e z b w N T n L X > < a : K e y V a l u e O f D i a g r a m O b j e c t K e y a n y T y p e z b w N T n L X > < a : K e y > < K e y > T a b l e s \ O P E X A n a l i z a \ C o l u m n s \ 0B53>@8X0  @B8:;< / K e y > < / a : K e y > < a : V a l u e   i : t y p e = " D i a g r a m D i s p l a y N o d e V i e w S t a t e " > < H e i g h t > 1 5 0 < / H e i g h t > < I s E x p a n d e d > t r u e < / I s E x p a n d e d > < W i d t h > 2 0 0 < / W i d t h > < / a : V a l u e > < / a : K e y V a l u e O f D i a g r a m O b j e c t K e y a n y T y p e z b w N T n L X > < a : K e y V a l u e O f D i a g r a m O b j e c t K e y a n y T y p e z b w N T n L X > < a : K e y > < K e y > T a b l e s \ O P E X A n a l i z a \ C o l u m n s \ "8?  =0  0@B8:;< / K e y > < / a : K e y > < a : V a l u e   i : t y p e = " D i a g r a m D i s p l a y N o d e V i e w S t a t e " > < H e i g h t > 1 5 0 < / H e i g h t > < I s E x p a n d e d > t r u e < / I s E x p a n d e d > < W i d t h > 2 0 0 < / W i d t h > < / a : V a l u e > < / a : K e y V a l u e O f D i a g r a m O b j e c t K e y a n y T y p e z b w N T n L X > < a : K e y V a l u e O f D i a g r a m O b j e c t K e y a n y T y p e z b w N T n L X > < a : K e y > < K e y > T a b l e s \ O P E X A n a l i z a \ C o l u m n s \ 48=5G=0  <5@:0< / K e y > < / a : K e y > < a : V a l u e   i : t y p e = " D i a g r a m D i s p l a y N o d e V i e w S t a t e " > < H e i g h t > 1 5 0 < / H e i g h t > < I s E x p a n d e d > t r u e < / I s E x p a n d e d > < W i d t h > 2 0 0 < / W i d t h > < / a : V a l u e > < / a : K e y V a l u e O f D i a g r a m O b j e c t K e y a n y T y p e z b w N T n L X > < a : K e y V a l u e O f D i a g r a m O b j e c t K e y a n y T y p e z b w N T n L X > < a : K e y > < K e y > T a b l e s \ O P E X A n a l i z a \ C o l u m n s \ >;8G8=0< / K e y > < / a : K e y > < a : V a l u e   i : t y p e = " D i a g r a m D i s p l a y N o d e V i e w S t a t e " > < H e i g h t > 1 5 0 < / H e i g h t > < I s E x p a n d e d > t r u e < / I s E x p a n d e d > < W i d t h > 2 0 0 < / W i d t h > < / a : V a l u e > < / a : K e y V a l u e O f D i a g r a m O b j e c t K e y a n y T y p e z b w N T n L X > < a : K e y V a l u e O f D i a g r a m O b j e c t K e y a n y T y p e z b w N T n L X > < a : K e y > < K e y > T a b l e s \ O P E X A n a l i z a \ C o l u m n s \ 48=5G=0  F5=0< / K e y > < / a : K e y > < a : V a l u e   i : t y p e = " D i a g r a m D i s p l a y N o d e V i e w S t a t e " > < H e i g h t > 1 5 0 < / H e i g h t > < I s E x p a n d e d > t r u e < / I s E x p a n d e d > < W i d t h > 2 0 0 < / W i d t h > < / a : V a l u e > < / a : K e y V a l u e O f D i a g r a m O b j e c t K e y a n y T y p e z b w N T n L X > < a : K e y V a l u e O f D i a g r a m O b j e c t K e y a n y T y p e z b w N T n L X > < a : K e y > < K e y > T a b l e s \ O P E X A n a l i z a \ C o l u m n s \ 7=>A< / K e y > < / a : K e y > < a : V a l u e   i : t y p e = " D i a g r a m D i s p l a y N o d e V i e w S t a t e " > < H e i g h t > 1 5 0 < / H e i g h t > < I s E x p a n d e d > t r u e < / I s E x p a n d e d > < W i d t h > 2 0 0 < / W i d t h > < / a : V a l u e > < / a : K e y V a l u e O f D i a g r a m O b j e c t K e y a n y T y p e z b w N T n L X > < a : K e y V a l u e O f D i a g r a m O b j e c t K e y a n y T y p e z b w N T n L X > < a : K e y > < K e y > T a b l e s \ O P E X A n a l i z a \ C o l u m n s \ < / K e y > < / a : K e y > < a : V a l u e   i : t y p e = " D i a g r a m D i s p l a y N o d e V i e w S t a t e " > < H e i g h t > 1 5 0 < / H e i g h t > < I s E x p a n d e d > t r u e < / I s E x p a n d e d > < W i d t h > 2 0 0 < / W i d t h > < / a : V a l u e > < / a : K e y V a l u e O f D i a g r a m O b j e c t K e y a n y T y p e z b w N T n L X > < a : K e y V a l u e O f D i a g r a m O b j e c t K e y a n y T y p e z b w N T n L X > < a : K e y > < K e y > T a b l e s \ O P E X A n a l i z a \ C o l u m n s \ :C?=>  B@>H>:  A>  < / K e y > < / a : K e y > < a : V a l u e   i : t y p e = " D i a g r a m D i s p l a y N o d e V i e w S t a t e " > < H e i g h t > 1 5 0 < / H e i g h t > < I s E x p a n d e d > t r u e < / I s E x p a n d e d > < W i d t h > 2 0 0 < / W i d t h > < / a : V a l u e > < / a : K e y V a l u e O f D i a g r a m O b j e c t K e y a n y T y p e z b w N T n L X > < a : K e y V a l u e O f D i a g r a m O b j e c t K e y a n y T y p e z b w N T n L X > < a : K e y > < K e y > T a b l e s \ O P E X A n a l i z a \ C o l u m n s \ >=B>< / K e y > < / a : K e y > < a : V a l u e   i : t y p e = " D i a g r a m D i s p l a y N o d e V i e w S t a t e " > < H e i g h t > 1 5 0 < / H e i g h t > < I s E x p a n d e d > t r u e < / I s E x p a n d e d > < W i d t h > 2 0 0 < / W i d t h > < / a : V a l u e > < / a : K e y V a l u e O f D i a g r a m O b j e c t K e y a n y T y p e z b w N T n L X > < a : K e y V a l u e O f D i a g r a m O b j e c t K e y a n y T y p e z b w N T n L X > < a : K e y > < K e y > T a b l e s \ O P E X A n a l i z a \ C o l u m n s \ 5@8>4< / K e y > < / a : K e y > < a : V a l u e   i : t y p e = " D i a g r a m D i s p l a y N o d e V i e w S t a t e " > < H e i g h t > 1 5 0 < / H e i g h t > < I s E x p a n d e d > t r u e < / I s E x p a n d e d > < W i d t h > 2 0 0 < / W i d t h > < / a : V a l u e > < / a : K e y V a l u e O f D i a g r a m O b j e c t K e y a n y T y p e z b w N T n L X > < a : K e y V a l u e O f D i a g r a m O b j e c t K e y a n y T y p e z b w N T n L X > < a : K e y > < K e y > T a b l e s \ O P E X A n a l i z a \ C o l u m n s \ R e p o r t T y p e < / K e y > < / a : K e y > < a : V a l u e   i : t y p e = " D i a g r a m D i s p l a y N o d e V i e w S t a t e " > < H e i g h t > 1 5 0 < / H e i g h t > < I s E x p a n d e d > t r u e < / I s E x p a n d e d > < W i d t h > 2 0 0 < / W i d t h > < / a : V a l u e > < / a : K e y V a l u e O f D i a g r a m O b j e c t K e y a n y T y p e z b w N T n L X > < a : K e y V a l u e O f D i a g r a m O b j e c t K e y a n y T y p e z b w N T n L X > < a : K e y > < K e y > T a b l e s \ O P E X A n a l i z a \ C o l u m n s \ S t a v k a I m e M K < / K e y > < / a : K e y > < a : V a l u e   i : t y p e = " D i a g r a m D i s p l a y N o d e V i e w S t a t e " > < H e i g h t > 1 5 0 < / H e i g h t > < I s E x p a n d e d > t r u e < / I s E x p a n d e d > < W i d t h > 2 0 0 < / W i d t h > < / a : V a l u e > < / a : K e y V a l u e O f D i a g r a m O b j e c t K e y a n y T y p e z b w N T n L X > < a : K e y V a l u e O f D i a g r a m O b j e c t K e y a n y T y p e z b w N T n L X > < a : K e y > < K e y > T a b l e s \ O P E X A n a l i z a \ C o l u m n s \ S t a v k a K a t e g o r i j a < / K e y > < / a : K e y > < a : V a l u e   i : t y p e = " D i a g r a m D i s p l a y N o d e V i e w S t a t e " > < H e i g h t > 1 5 0 < / H e i g h t > < I s E x p a n d e d > t r u e < / I s E x p a n d e d > < W i d t h > 2 0 0 < / W i d t h > < / a : V a l u e > < / a : K e y V a l u e O f D i a g r a m O b j e c t K e y a n y T y p e z b w N T n L X > < a : K e y V a l u e O f D i a g r a m O b j e c t K e y a n y T y p e z b w N T n L X > < a : K e y > < K e y > T a b l e s \ O P E X A n a l i z a \ C o l u m n s \ S t a v k a I m e A O P 1 < / K e y > < / a : K e y > < a : V a l u e   i : t y p e = " D i a g r a m D i s p l a y N o d e V i e w S t a t e " > < H e i g h t > 1 5 0 < / H e i g h t > < I s E x p a n d e d > t r u e < / I s E x p a n d e d > < W i d t h > 2 0 0 < / W i d t h > < / a : V a l u e > < / a : K e y V a l u e O f D i a g r a m O b j e c t K e y a n y T y p e z b w N T n L X > < a : K e y V a l u e O f D i a g r a m O b j e c t K e y a n y T y p e z b w N T n L X > < a : K e y > < K e y > T a b l e s \ O P E X A n a l i z a \ C o l u m n s \ S t a v k a I m e A O P < / K e y > < / a : K e y > < a : V a l u e   i : t y p e = " D i a g r a m D i s p l a y N o d e V i e w S t a t e " > < H e i g h t > 1 5 0 < / H e i g h t > < I s E x p a n d e d > t r u e < / I s E x p a n d e d > < W i d t h > 2 0 0 < / W i d t h > < / a : V a l u e > < / a : K e y V a l u e O f D i a g r a m O b j e c t K e y a n y T y p e z b w N T n L X > < a : K e y V a l u e O f D i a g r a m O b j e c t K e y a n y T y p e z b w N T n L X > < a : K e y > < K e y > T a b l e s \ O P E X A n a l i z a \ T a b l e s \ O P E X A n a l i z a \ C o l u m n s \ S t a v k a I m e A O P \ A d d i t i o n a l   I n f o \ E r r o r < / K e y > < / a : K e y > < a : V a l u e   i : t y p e = " D i a g r a m D i s p l a y V i e w S t a t e I D i a g r a m T a g A d d i t i o n a l I n f o " / > < / a : K e y V a l u e O f D i a g r a m O b j e c t K e y a n y T y p e z b w N T n L X > < a : K e y V a l u e O f D i a g r a m O b j e c t K e y a n y T y p e z b w N T n L X > < a : K e y > < K e y > T a b l e s \ O P E X A n a l i z a \ C o l u m n s \ 5@8>4  ( Y e a r ) < / K e y > < / a : K e y > < a : V a l u e   i : t y p e = " D i a g r a m D i s p l a y N o d e V i e w S t a t e " > < H e i g h t > 1 5 0 < / H e i g h t > < I s E x p a n d e d > t r u e < / I s E x p a n d e d > < W i d t h > 2 0 0 < / W i d t h > < / a : V a l u e > < / a : K e y V a l u e O f D i a g r a m O b j e c t K e y a n y T y p e z b w N T n L X > < a : K e y V a l u e O f D i a g r a m O b j e c t K e y a n y T y p e z b w N T n L X > < a : K e y > < K e y > T a b l e s \ O P E X A n a l i z a \ C o l u m n s \ 5@8>4  ( Q u a r t e r ) < / K e y > < / a : K e y > < a : V a l u e   i : t y p e = " D i a g r a m D i s p l a y N o d e V i e w S t a t e " > < H e i g h t > 1 5 0 < / H e i g h t > < I s E x p a n d e d > t r u e < / I s E x p a n d e d > < W i d t h > 2 0 0 < / W i d t h > < / a : V a l u e > < / a : K e y V a l u e O f D i a g r a m O b j e c t K e y a n y T y p e z b w N T n L X > < a : K e y V a l u e O f D i a g r a m O b j e c t K e y a n y T y p e z b w N T n L X > < a : K e y > < K e y > T a b l e s \ O P E X A n a l i z a \ C o l u m n s \ 5@8>4  ( M o n t h   I n d e x ) < / K e y > < / a : K e y > < a : V a l u e   i : t y p e = " D i a g r a m D i s p l a y N o d e V i e w S t a t e " > < H e i g h t > 1 5 0 < / H e i g h t > < I s E x p a n d e d > t r u e < / I s E x p a n d e d > < W i d t h > 2 0 0 < / W i d t h > < / a : V a l u e > < / a : K e y V a l u e O f D i a g r a m O b j e c t K e y a n y T y p e z b w N T n L X > < a : K e y V a l u e O f D i a g r a m O b j e c t K e y a n y T y p e z b w N T n L X > < a : K e y > < K e y > T a b l e s \ O P E X A n a l i z a \ C o l u m n s \ 5@8>4  ( M o n t h ) < / K e y > < / a : K e y > < a : V a l u e   i : t y p e = " D i a g r a m D i s p l a y N o d e V i e w S t a t e " > < H e i g h t > 1 5 0 < / H e i g h t > < I s E x p a n d e d > t r u e < / I s E x p a n d e d > < W i d t h > 2 0 0 < / W i d t h > < / a : V a l u e > < / a : K e y V a l u e O f D i a g r a m O b j e c t K e y a n y T y p e z b w N T n L X > < a : K e y V a l u e O f D i a g r a m O b j e c t K e y a n y T y p e z b w N T n L X > < a : K e y > < K e y > T a b l e s \ O P E X A n a l i z a \ M e a s u r e s \ S u m   o f   7=>A  4 < / K e y > < / a : K e y > < a : V a l u e   i : t y p e = " D i a g r a m D i s p l a y N o d e V i e w S t a t e " > < H e i g h t > 1 5 0 < / H e i g h t > < I s E x p a n d e d > t r u e < / I s E x p a n d e d > < W i d t h > 2 0 0 < / W i d t h > < / a : V a l u e > < / a : K e y V a l u e O f D i a g r a m O b j e c t K e y a n y T y p e z b w N T n L X > < a : K e y V a l u e O f D i a g r a m O b j e c t K e y a n y T y p e z b w N T n L X > < a : K e y > < K e y > T a b l e s \ O P E X A n a l i z a \ S u m   o f   7=>A  4 \ A d d i t i o n a l   I n f o \ I m p l i c i t   M e a s u r e < / K e y > < / a : K e y > < a : V a l u e   i : t y p e = " D i a g r a m D i s p l a y V i e w S t a t e I D i a g r a m T a g A d d i t i o n a l I n f o " / > < / a : K e y V a l u e O f D i a g r a m O b j e c t K e y a n y T y p e z b w N T n L X > < a : K e y V a l u e O f D i a g r a m O b j e c t K e y a n y T y p e z b w N T n L X > < a : K e y > < K e y > T a b l e s \ r A r t i k l i A n a l i z a < / K e y > < / a : K e y > < a : V a l u e   i : t y p e = " D i a g r a m D i s p l a y N o d e V i e w S t a t e " > < H e i g h t > 2 8 8 < / H e i g h t > < I s E x p a n d e d > t r u e < / I s E x p a n d e d > < L a y e d O u t > t r u e < / L a y e d O u t > < L e f t > 1 1 5 6 . 5 4 1 9 1 6 2 4 4 3 2 5 < / L e f t > < S c r o l l V e r t i c a l O f f s e t > 2 3 2 . 9 6 9 9 9 9 9 9 9 9 9 9 8 3 < / S c r o l l V e r t i c a l O f f s e t > < T a b I n d e x > 4 < / T a b I n d e x > < T o p > 3 5 2 . 1 9 9 9 9 9 9 9 9 9 9 9 9 3 < / T o p > < W i d t h > 2 2 4 < / W i d t h > < / a : V a l u e > < / a : K e y V a l u e O f D i a g r a m O b j e c t K e y a n y T y p e z b w N T n L X > < a : K e y V a l u e O f D i a g r a m O b j e c t K e y a n y T y p e z b w N T n L X > < a : K e y > < K e y > T a b l e s \ r A r t i k l i A n a l i z a \ C o l u m n s \ @B8:;  < / K e y > < / a : K e y > < a : V a l u e   i : t y p e = " D i a g r a m D i s p l a y N o d e V i e w S t a t e " > < H e i g h t > 1 5 0 < / H e i g h t > < I s E x p a n d e d > t r u e < / I s E x p a n d e d > < W i d t h > 2 0 0 < / W i d t h > < / a : V a l u e > < / a : K e y V a l u e O f D i a g r a m O b j e c t K e y a n y T y p e z b w N T n L X > < a : K e y V a l u e O f D i a g r a m O b j e c t K e y a n y T y p e z b w N T n L X > < a : K e y > < K e y > T a b l e s \ r A r t i k l i A n a l i z a \ C o l u m n s \ !B02:0< / K e y > < / a : K e y > < a : V a l u e   i : t y p e = " D i a g r a m D i s p l a y N o d e V i e w S t a t e " > < H e i g h t > 1 5 0 < / H e i g h t > < I s E x p a n d e d > t r u e < / I s E x p a n d e d > < W i d t h > 2 0 0 < / W i d t h > < / a : V a l u e > < / a : K e y V a l u e O f D i a g r a m O b j e c t K e y a n y T y p e z b w N T n L X > < a : K e y V a l u e O f D i a g r a m O b j e c t K e y a n y T y p e z b w N T n L X > < a : K e y > < K e y > T a b l e s \ r A r t i k l i A n a l i z a \ C o l u m n s \ 0B53>@8X0  @B8:;  < / K e y > < / a : K e y > < a : V a l u e   i : t y p e = " D i a g r a m D i s p l a y N o d e V i e w S t a t e " > < H e i g h t > 1 5 0 < / H e i g h t > < I s E x p a n d e d > t r u e < / I s E x p a n d e d > < W i d t h > 2 0 0 < / W i d t h > < / a : V a l u e > < / a : K e y V a l u e O f D i a g r a m O b j e c t K e y a n y T y p e z b w N T n L X > < a : K e y V a l u e O f D i a g r a m O b j e c t K e y a n y T y p e z b w N T n L X > < a : K e y > < K e y > T a b l e s \ r A r t i k l i A n a l i z a \ C o l u m n s \ 0B53>@8X0  @B8:;< / K e y > < / a : K e y > < a : V a l u e   i : t y p e = " D i a g r a m D i s p l a y N o d e V i e w S t a t e " > < H e i g h t > 1 5 0 < / H e i g h t > < I s E x p a n d e d > t r u e < / I s E x p a n d e d > < W i d t h > 2 0 0 < / W i d t h > < / a : V a l u e > < / a : K e y V a l u e O f D i a g r a m O b j e c t K e y a n y T y p e z b w N T n L X > < a : K e y V a l u e O f D i a g r a m O b j e c t K e y a n y T y p e z b w N T n L X > < a : K e y > < K e y > T a b l e s \ r A r t i k l i A n a l i z a \ C o l u m n s \ "8?  =0  0@B8:;< / K e y > < / a : K e y > < a : V a l u e   i : t y p e = " D i a g r a m D i s p l a y N o d e V i e w S t a t e " > < H e i g h t > 1 5 0 < / H e i g h t > < I s E x p a n d e d > t r u e < / I s E x p a n d e d > < W i d t h > 2 0 0 < / W i d t h > < / a : V a l u e > < / a : K e y V a l u e O f D i a g r a m O b j e c t K e y a n y T y p e z b w N T n L X > < a : K e y V a l u e O f D i a g r a m O b j e c t K e y a n y T y p e z b w N T n L X > < a : K e y > < K e y > T a b l e s \ r A r t i k l i A n a l i z a \ C o l u m n s \ 48=5G=0  <5@:0< / K e y > < / a : K e y > < a : V a l u e   i : t y p e = " D i a g r a m D i s p l a y N o d e V i e w S t a t e " > < H e i g h t > 1 5 0 < / H e i g h t > < I s E x p a n d e d > t r u e < / I s E x p a n d e d > < W i d t h > 2 0 0 < / W i d t h > < / a : V a l u e > < / a : K e y V a l u e O f D i a g r a m O b j e c t K e y a n y T y p e z b w N T n L X > < a : K e y V a l u e O f D i a g r a m O b j e c t K e y a n y T y p e z b w N T n L X > < a : K e y > < K e y > T a b l e s \ r A r t i k l i A n a l i z a \ C o l u m n s \ >;8G8=0< / K e y > < / a : K e y > < a : V a l u e   i : t y p e = " D i a g r a m D i s p l a y N o d e V i e w S t a t e " > < H e i g h t > 1 5 0 < / H e i g h t > < I s E x p a n d e d > t r u e < / I s E x p a n d e d > < W i d t h > 2 0 0 < / W i d t h > < / a : V a l u e > < / a : K e y V a l u e O f D i a g r a m O b j e c t K e y a n y T y p e z b w N T n L X > < a : K e y V a l u e O f D i a g r a m O b j e c t K e y a n y T y p e z b w N T n L X > < a : K e y > < K e y > T a b l e s \ r A r t i k l i A n a l i z a \ C o l u m n s \ 48=5G=0  F5=0< / K e y > < / a : K e y > < a : V a l u e   i : t y p e = " D i a g r a m D i s p l a y N o d e V i e w S t a t e " > < H e i g h t > 1 5 0 < / H e i g h t > < I s E x p a n d e d > t r u e < / I s E x p a n d e d > < W i d t h > 2 0 0 < / W i d t h > < / a : V a l u e > < / a : K e y V a l u e O f D i a g r a m O b j e c t K e y a n y T y p e z b w N T n L X > < a : K e y V a l u e O f D i a g r a m O b j e c t K e y a n y T y p e z b w N T n L X > < a : K e y > < K e y > T a b l e s \ r A r t i k l i A n a l i z a \ C o l u m n s \ 7=>A< / K e y > < / a : K e y > < a : V a l u e   i : t y p e = " D i a g r a m D i s p l a y N o d e V i e w S t a t e " > < H e i g h t > 1 5 0 < / H e i g h t > < I s E x p a n d e d > t r u e < / I s E x p a n d e d > < W i d t h > 2 0 0 < / W i d t h > < / a : V a l u e > < / a : K e y V a l u e O f D i a g r a m O b j e c t K e y a n y T y p e z b w N T n L X > < a : K e y V a l u e O f D i a g r a m O b j e c t K e y a n y T y p e z b w N T n L X > < a : K e y > < K e y > T a b l e s \ r A r t i k l i A n a l i z a \ C o l u m n s \ < / K e y > < / a : K e y > < a : V a l u e   i : t y p e = " D i a g r a m D i s p l a y N o d e V i e w S t a t e " > < H e i g h t > 1 5 0 < / H e i g h t > < I s E x p a n d e d > t r u e < / I s E x p a n d e d > < W i d t h > 2 0 0 < / W i d t h > < / a : V a l u e > < / a : K e y V a l u e O f D i a g r a m O b j e c t K e y a n y T y p e z b w N T n L X > < a : K e y V a l u e O f D i a g r a m O b j e c t K e y a n y T y p e z b w N T n L X > < a : K e y > < K e y > T a b l e s \ r A r t i k l i A n a l i z a \ C o l u m n s \ :C?=>  B@>H>:  A>  < / K e y > < / a : K e y > < a : V a l u e   i : t y p e = " D i a g r a m D i s p l a y N o d e V i e w S t a t e " > < H e i g h t > 1 5 0 < / H e i g h t > < I s E x p a n d e d > t r u e < / I s E x p a n d e d > < W i d t h > 2 0 0 < / W i d t h > < / a : V a l u e > < / a : K e y V a l u e O f D i a g r a m O b j e c t K e y a n y T y p e z b w N T n L X > < a : K e y V a l u e O f D i a g r a m O b j e c t K e y a n y T y p e z b w N T n L X > < a : K e y > < K e y > T a b l e s \ r A r t i k l i A n a l i z a \ C o l u m n s \ >=B>< / K e y > < / a : K e y > < a : V a l u e   i : t y p e = " D i a g r a m D i s p l a y N o d e V i e w S t a t e " > < H e i g h t > 1 5 0 < / H e i g h t > < I s E x p a n d e d > t r u e < / I s E x p a n d e d > < W i d t h > 2 0 0 < / W i d t h > < / a : V a l u e > < / a : K e y V a l u e O f D i a g r a m O b j e c t K e y a n y T y p e z b w N T n L X > < a : K e y V a l u e O f D i a g r a m O b j e c t K e y a n y T y p e z b w N T n L X > < a : K e y > < K e y > T a b l e s \ r A r t i k l i A n a l i z a \ C o l u m n s \ 5@8>4< / K e y > < / a : K e y > < a : V a l u e   i : t y p e = " D i a g r a m D i s p l a y N o d e V i e w S t a t e " > < H e i g h t > 1 5 0 < / H e i g h t > < I s E x p a n d e d > t r u e < / I s E x p a n d e d > < W i d t h > 2 0 0 < / W i d t h > < / a : V a l u e > < / a : K e y V a l u e O f D i a g r a m O b j e c t K e y a n y T y p e z b w N T n L X > < a : K e y V a l u e O f D i a g r a m O b j e c t K e y a n y T y p e z b w N T n L X > < a : K e y > < K e y > T a b l e s \ r A r t i k l i A n a l i z a \ C o l u m n s \ R e p o r t T y p e < / K e y > < / a : K e y > < a : V a l u e   i : t y p e = " D i a g r a m D i s p l a y N o d e V i e w S t a t e " > < H e i g h t > 1 5 0 < / H e i g h t > < I s E x p a n d e d > t r u e < / I s E x p a n d e d > < W i d t h > 2 0 0 < / W i d t h > < / a : V a l u e > < / a : K e y V a l u e O f D i a g r a m O b j e c t K e y a n y T y p e z b w N T n L X > < a : K e y V a l u e O f D i a g r a m O b j e c t K e y a n y T y p e z b w N T n L X > < a : K e y > < K e y > T a b l e s \ r A r t i k l i A n a l i z a \ C o l u m n s \ S t a v k a I m e M K < / K e y > < / a : K e y > < a : V a l u e   i : t y p e = " D i a g r a m D i s p l a y N o d e V i e w S t a t e " > < H e i g h t > 1 5 0 < / H e i g h t > < I s E x p a n d e d > t r u e < / I s E x p a n d e d > < W i d t h > 2 0 0 < / W i d t h > < / a : V a l u e > < / a : K e y V a l u e O f D i a g r a m O b j e c t K e y a n y T y p e z b w N T n L X > < a : K e y V a l u e O f D i a g r a m O b j e c t K e y a n y T y p e z b w N T n L X > < a : K e y > < K e y > T a b l e s \ r A r t i k l i A n a l i z a \ C o l u m n s \ S t a v k a K a t e g o r i j a < / K e y > < / a : K e y > < a : V a l u e   i : t y p e = " D i a g r a m D i s p l a y N o d e V i e w S t a t e " > < H e i g h t > 1 5 0 < / H e i g h t > < I s E x p a n d e d > t r u e < / I s E x p a n d e d > < W i d t h > 2 0 0 < / W i d t h > < / a : V a l u e > < / a : K e y V a l u e O f D i a g r a m O b j e c t K e y a n y T y p e z b w N T n L X > < a : K e y V a l u e O f D i a g r a m O b j e c t K e y a n y T y p e z b w N T n L X > < a : K e y > < K e y > T a b l e s \ r A r t i k l i A n a l i z a \ C o l u m n s \ 5@8>4  ( Y e a r ) < / K e y > < / a : K e y > < a : V a l u e   i : t y p e = " D i a g r a m D i s p l a y N o d e V i e w S t a t e " > < H e i g h t > 1 5 0 < / H e i g h t > < I s E x p a n d e d > t r u e < / I s E x p a n d e d > < W i d t h > 2 0 0 < / W i d t h > < / a : V a l u e > < / a : K e y V a l u e O f D i a g r a m O b j e c t K e y a n y T y p e z b w N T n L X > < a : K e y V a l u e O f D i a g r a m O b j e c t K e y a n y T y p e z b w N T n L X > < a : K e y > < K e y > T a b l e s \ r A r t i k l i A n a l i z a \ C o l u m n s \ 5@8>4  ( Q u a r t e r ) < / K e y > < / a : K e y > < a : V a l u e   i : t y p e = " D i a g r a m D i s p l a y N o d e V i e w S t a t e " > < H e i g h t > 1 5 0 < / H e i g h t > < I s E x p a n d e d > t r u e < / I s E x p a n d e d > < W i d t h > 2 0 0 < / W i d t h > < / a : V a l u e > < / a : K e y V a l u e O f D i a g r a m O b j e c t K e y a n y T y p e z b w N T n L X > < a : K e y V a l u e O f D i a g r a m O b j e c t K e y a n y T y p e z b w N T n L X > < a : K e y > < K e y > T a b l e s \ r A r t i k l i A n a l i z a \ C o l u m n s \ 5@8>4  ( M o n t h   I n d e x ) < / K e y > < / a : K e y > < a : V a l u e   i : t y p e = " D i a g r a m D i s p l a y N o d e V i e w S t a t e " > < H e i g h t > 1 5 0 < / H e i g h t > < I s E x p a n d e d > t r u e < / I s E x p a n d e d > < W i d t h > 2 0 0 < / W i d t h > < / a : V a l u e > < / a : K e y V a l u e O f D i a g r a m O b j e c t K e y a n y T y p e z b w N T n L X > < a : K e y V a l u e O f D i a g r a m O b j e c t K e y a n y T y p e z b w N T n L X > < a : K e y > < K e y > T a b l e s \ r A r t i k l i A n a l i z a \ C o l u m n s \ 5@8>4  ( M o n t h ) < / K e y > < / a : K e y > < a : V a l u e   i : t y p e = " D i a g r a m D i s p l a y N o d e V i e w S t a t e " > < H e i g h t > 1 5 0 < / H e i g h t > < I s E x p a n d e d > t r u e < / I s E x p a n d e d > < W i d t h > 2 0 0 < / W i d t h > < / a : V a l u e > < / a : K e y V a l u e O f D i a g r a m O b j e c t K e y a n y T y p e z b w N T n L X > < a : K e y V a l u e O f D i a g r a m O b j e c t K e y a n y T y p e z b w N T n L X > < a : K e y > < K e y > T a b l e s \ f A r t i k l i C e n i < / K e y > < / a : K e y > < a : V a l u e   i : t y p e = " D i a g r a m D i s p l a y N o d e V i e w S t a t e " > < H e i g h t > 1 5 0 < / H e i g h t > < I s E x p a n d e d > t r u e < / I s E x p a n d e d > < L a y e d O u t > t r u e < / L a y e d O u t > < L e f t > 2 1 3 2 . 6 3 8 1 0 5 6 7 6 6 5 9 1 < / L e f t > < T a b I n d e x > 6 < / T a b I n d e x > < T o p > 3 7 3 . 6 9 9 9 9 9 9 9 9 9 9 9 9 3 < / T o p > < W i d t h > 2 0 0 < / W i d t h > < / a : V a l u e > < / a : K e y V a l u e O f D i a g r a m O b j e c t K e y a n y T y p e z b w N T n L X > < a : K e y V a l u e O f D i a g r a m O b j e c t K e y a n y T y p e z b w N T n L X > < a : K e y > < K e y > T a b l e s \ f A r t i k l i C e n i \ C o l u m n s \ !B02:0< / K e y > < / a : K e y > < a : V a l u e   i : t y p e = " D i a g r a m D i s p l a y N o d e V i e w S t a t e " > < H e i g h t > 1 5 0 < / H e i g h t > < I s E x p a n d e d > t r u e < / I s E x p a n d e d > < W i d t h > 2 0 0 < / W i d t h > < / a : V a l u e > < / a : K e y V a l u e O f D i a g r a m O b j e c t K e y a n y T y p e z b w N T n L X > < a : K e y V a l u e O f D i a g r a m O b j e c t K e y a n y T y p e z b w N T n L X > < a : K e y > < K e y > T a b l e s \ f A r t i k l i C e n i \ C o l u m n s \ 0B53>@8X0  @B8:;< / K e y > < / a : K e y > < a : V a l u e   i : t y p e = " D i a g r a m D i s p l a y N o d e V i e w S t a t e " > < H e i g h t > 1 5 0 < / H e i g h t > < I s E x p a n d e d > t r u e < / I s E x p a n d e d > < W i d t h > 2 0 0 < / W i d t h > < / a : V a l u e > < / a : K e y V a l u e O f D i a g r a m O b j e c t K e y a n y T y p e z b w N T n L X > < a : K e y V a l u e O f D i a g r a m O b j e c t K e y a n y T y p e z b w N T n L X > < a : K e y > < K e y > T a b l e s \ f A r t i k l i C e n i \ C o l u m n s \ "8?  =0  0@B8:;< / K e y > < / a : K e y > < a : V a l u e   i : t y p e = " D i a g r a m D i s p l a y N o d e V i e w S t a t e " > < H e i g h t > 1 5 0 < / H e i g h t > < I s E x p a n d e d > t r u e < / I s E x p a n d e d > < W i d t h > 2 0 0 < / W i d t h > < / a : V a l u e > < / a : K e y V a l u e O f D i a g r a m O b j e c t K e y a n y T y p e z b w N T n L X > < a : K e y V a l u e O f D i a g r a m O b j e c t K e y a n y T y p e z b w N T n L X > < a : K e y > < K e y > T a b l e s \ f A r t i k l i C e n i \ C o l u m n s \ 48=5G=0  <5@:0< / K e y > < / a : K e y > < a : V a l u e   i : t y p e = " D i a g r a m D i s p l a y N o d e V i e w S t a t e " > < H e i g h t > 1 5 0 < / H e i g h t > < I s E x p a n d e d > t r u e < / I s E x p a n d e d > < W i d t h > 2 0 0 < / W i d t h > < / a : V a l u e > < / a : K e y V a l u e O f D i a g r a m O b j e c t K e y a n y T y p e z b w N T n L X > < a : K e y V a l u e O f D i a g r a m O b j e c t K e y a n y T y p e z b w N T n L X > < a : K e y > < K e y > T a b l e s \ f A r t i k l i C e n i \ C o l u m n s \ >;8G8=0< / K e y > < / a : K e y > < a : V a l u e   i : t y p e = " D i a g r a m D i s p l a y N o d e V i e w S t a t e " > < H e i g h t > 1 5 0 < / H e i g h t > < I s E x p a n d e d > t r u e < / I s E x p a n d e d > < W i d t h > 2 0 0 < / W i d t h > < / a : V a l u e > < / a : K e y V a l u e O f D i a g r a m O b j e c t K e y a n y T y p e z b w N T n L X > < a : K e y V a l u e O f D i a g r a m O b j e c t K e y a n y T y p e z b w N T n L X > < a : K e y > < K e y > T a b l e s \ f A r t i k l i C e n i \ C o l u m n s \ 48=5G=0  F5=0< / K e y > < / a : K e y > < a : V a l u e   i : t y p e = " D i a g r a m D i s p l a y N o d e V i e w S t a t e " > < H e i g h t > 1 5 0 < / H e i g h t > < I s E x p a n d e d > t r u e < / I s E x p a n d e d > < W i d t h > 2 0 0 < / W i d t h > < / a : V a l u e > < / a : K e y V a l u e O f D i a g r a m O b j e c t K e y a n y T y p e z b w N T n L X > < a : K e y V a l u e O f D i a g r a m O b j e c t K e y a n y T y p e z b w N T n L X > < a : K e y > < K e y > T a b l e s \ f A r t i k l i C e n i \ C o l u m n s \ :C?=>  B@>H>:< / K e y > < / a : K e y > < a : V a l u e   i : t y p e = " D i a g r a m D i s p l a y N o d e V i e w S t a t e " > < H e i g h t > 1 5 0 < / H e i g h t > < I s E x p a n d e d > t r u e < / I s E x p a n d e d > < W i d t h > 2 0 0 < / W i d t h > < / a : V a l u e > < / a : K e y V a l u e O f D i a g r a m O b j e c t K e y a n y T y p e z b w N T n L X > < a : K e y V a l u e O f D i a g r a m O b j e c t K e y a n y T y p e z b w N T n L X > < a : K e y > < K e y > T a b l e s \ f A r t i k l i C e n i \ C o l u m n s \ < / K e y > < / a : K e y > < a : V a l u e   i : t y p e = " D i a g r a m D i s p l a y N o d e V i e w S t a t e " > < H e i g h t > 1 5 0 < / H e i g h t > < I s E x p a n d e d > t r u e < / I s E x p a n d e d > < W i d t h > 2 0 0 < / W i d t h > < / a : V a l u e > < / a : K e y V a l u e O f D i a g r a m O b j e c t K e y a n y T y p e z b w N T n L X > < a : K e y V a l u e O f D i a g r a m O b j e c t K e y a n y T y p e z b w N T n L X > < a : K e y > < K e y > T a b l e s \ f A r t i k l i C e n i \ C o l u m n s \ 7=>A< / K e y > < / a : K e y > < a : V a l u e   i : t y p e = " D i a g r a m D i s p l a y N o d e V i e w S t a t e " > < H e i g h t > 1 5 0 < / H e i g h t > < I s E x p a n d e d > t r u e < / I s E x p a n d e d > < W i d t h > 2 0 0 < / W i d t h > < / a : V a l u e > < / a : K e y V a l u e O f D i a g r a m O b j e c t K e y a n y T y p e z b w N T n L X > < a : K e y V a l u e O f D i a g r a m O b j e c t K e y a n y T y p e z b w N T n L X > < a : K e y > < K e y > T a b l e s \ f A r t i k l i C e n i \ C o l u m n s \ >=B>< / K e y > < / a : K e y > < a : V a l u e   i : t y p e = " D i a g r a m D i s p l a y N o d e V i e w S t a t e " > < H e i g h t > 1 5 0 < / H e i g h t > < I s E x p a n d e d > t r u e < / I s E x p a n d e d > < W i d t h > 2 0 0 < / W i d t h > < / a : V a l u e > < / a : K e y V a l u e O f D i a g r a m O b j e c t K e y a n y T y p e z b w N T n L X > < a : K e y V a l u e O f D i a g r a m O b j e c t K e y a n y T y p e z b w N T n L X > < a : K e y > < K e y > T a b l e s \ f A r t i k l i C e n i \ C o l u m n s \ R e p o r t T y p e < / K e y > < / a : K e y > < a : V a l u e   i : t y p e = " D i a g r a m D i s p l a y N o d e V i e w S t a t e " > < H e i g h t > 1 5 0 < / H e i g h t > < I s E x p a n d e d > t r u e < / I s E x p a n d e d > < W i d t h > 2 0 0 < / W i d t h > < / a : V a l u e > < / a : K e y V a l u e O f D i a g r a m O b j e c t K e y a n y T y p e z b w N T n L X > < a : K e y V a l u e O f D i a g r a m O b j e c t K e y a n y T y p e z b w N T n L X > < a : K e y > < K e y > T a b l e s \ f A r t i k l i C e n i \ C o l u m n s \ 5@8>4< / K e y > < / a : K e y > < a : V a l u e   i : t y p e = " D i a g r a m D i s p l a y N o d e V i e w S t a t e " > < H e i g h t > 1 5 0 < / H e i g h t > < I s E x p a n d e d > t r u e < / I s E x p a n d e d > < W i d t h > 2 0 0 < / W i d t h > < / a : V a l u e > < / a : K e y V a l u e O f D i a g r a m O b j e c t K e y a n y T y p e z b w N T n L X > < a : K e y V a l u e O f D i a g r a m O b j e c t K e y a n y T y p e z b w N T n L X > < a : K e y > < K e y > T a b l e s \ f A r t i k l i C e n i \ C o l u m n s \ S t a v k a I m e M K < / K e y > < / a : K e y > < a : V a l u e   i : t y p e = " D i a g r a m D i s p l a y N o d e V i e w S t a t e " > < H e i g h t > 1 5 0 < / H e i g h t > < I s E x p a n d e d > t r u e < / I s E x p a n d e d > < W i d t h > 2 0 0 < / W i d t h > < / a : V a l u e > < / a : K e y V a l u e O f D i a g r a m O b j e c t K e y a n y T y p e z b w N T n L X > < a : K e y V a l u e O f D i a g r a m O b j e c t K e y a n y T y p e z b w N T n L X > < a : K e y > < K e y > T a b l e s \ f A r t i k l i C e n i \ C o l u m n s \ S t a v k a A O P < / K e y > < / a : K e y > < a : V a l u e   i : t y p e = " D i a g r a m D i s p l a y N o d e V i e w S t a t e " > < H e i g h t > 1 5 0 < / H e i g h t > < I s E x p a n d e d > t r u e < / I s E x p a n d e d > < W i d t h > 2 0 0 < / W i d t h > < / a : V a l u e > < / a : K e y V a l u e O f D i a g r a m O b j e c t K e y a n y T y p e z b w N T n L X > < a : K e y V a l u e O f D i a g r a m O b j e c t K e y a n y T y p e z b w N T n L X > < a : K e y > < K e y > T a b l e s \ f A r t i k l i C e n i \ C o l u m n s \ S t a v k a G r u p a < / K e y > < / a : K e y > < a : V a l u e   i : t y p e = " D i a g r a m D i s p l a y N o d e V i e w S t a t e " > < H e i g h t > 1 5 0 < / H e i g h t > < I s E x p a n d e d > t r u e < / I s E x p a n d e d > < W i d t h > 2 0 0 < / W i d t h > < / a : V a l u e > < / a : K e y V a l u e O f D i a g r a m O b j e c t K e y a n y T y p e z b w N T n L X > < a : K e y V a l u e O f D i a g r a m O b j e c t K e y a n y T y p e z b w N T n L X > < a : K e y > < K e y > T a b l e s \ f A r t i k l i C e n i \ C o l u m n s \ S t a v k a K a t e g o r i j a < / K e y > < / a : K e y > < a : V a l u e   i : t y p e = " D i a g r a m D i s p l a y N o d e V i e w S t a t e " > < H e i g h t > 1 5 0 < / H e i g h t > < I s E x p a n d e d > t r u e < / I s E x p a n d e d > < W i d t h > 2 0 0 < / W i d t h > < / a : V a l u e > < / a : K e y V a l u e O f D i a g r a m O b j e c t K e y a n y T y p e z b w N T n L X > < a : K e y V a l u e O f D i a g r a m O b j e c t K e y a n y T y p e z b w N T n L X > < a : K e y > < K e y > T a b l e s \ f A r t i k l i C e n i \ C o l u m n s \ O b r a z e c I m e < / K e y > < / a : K e y > < a : V a l u e   i : t y p e = " D i a g r a m D i s p l a y N o d e V i e w S t a t e " > < H e i g h t > 1 5 0 < / H e i g h t > < I s E x p a n d e d > t r u e < / I s E x p a n d e d > < W i d t h > 2 0 0 < / W i d t h > < / a : V a l u e > < / a : K e y V a l u e O f D i a g r a m O b j e c t K e y a n y T y p e z b w N T n L X > < a : K e y V a l u e O f D i a g r a m O b j e c t K e y a n y T y p e z b w N T n L X > < a : K e y > < K e y > T a b l e s \ f A r t i k l i C e n i \ M e a s u r e s \ S u m   o f   :C?=>  B@>H>:< / K e y > < / a : K e y > < a : V a l u e   i : t y p e = " D i a g r a m D i s p l a y N o d e V i e w S t a t e " > < H e i g h t > 1 5 0 < / H e i g h t > < I s E x p a n d e d > t r u e < / I s E x p a n d e d > < W i d t h > 2 0 0 < / W i d t h > < / a : V a l u e > < / a : K e y V a l u e O f D i a g r a m O b j e c t K e y a n y T y p e z b w N T n L X > < a : K e y V a l u e O f D i a g r a m O b j e c t K e y a n y T y p e z b w N T n L X > < a : K e y > < K e y > T a b l e s \ f A r t i k l i C e n i \ S u m   o f   :C?=>  B@>H>:\ A d d i t i o n a l   I n f o \ I m p l i c i t   M e a s u r e < / K e y > < / a : K e y > < a : V a l u e   i : t y p e = " D i a g r a m D i s p l a y V i e w S t a t e I D i a g r a m T a g A d d i t i o n a l I n f o " / > < / a : K e y V a l u e O f D i a g r a m O b j e c t K e y a n y T y p e z b w N T n L X > < a : K e y V a l u e O f D i a g r a m O b j e c t K e y a n y T y p e z b w N T n L X > < a : K e y > < K e y > T a b l e s \ f A r t i k l i C e n i \ M e a s u r e s \ S u m   o f   >;8G8=0< / K e y > < / a : K e y > < a : V a l u e   i : t y p e = " D i a g r a m D i s p l a y N o d e V i e w S t a t e " > < H e i g h t > 1 5 0 < / H e i g h t > < I s E x p a n d e d > t r u e < / I s E x p a n d e d > < W i d t h > 2 0 0 < / W i d t h > < / a : V a l u e > < / a : K e y V a l u e O f D i a g r a m O b j e c t K e y a n y T y p e z b w N T n L X > < a : K e y V a l u e O f D i a g r a m O b j e c t K e y a n y T y p e z b w N T n L X > < a : K e y > < K e y > T a b l e s \ f A r t i k l i C e n i \ S u m   o f   >;8G8=0\ A d d i t i o n a l   I n f o \ I m p l i c i t   M e a s u r e < / K e y > < / a : K e y > < a : V a l u e   i : t y p e = " D i a g r a m D i s p l a y V i e w S t a t e I D i a g r a m T a g A d d i t i o n a l I n f o " / > < / a : K e y V a l u e O f D i a g r a m O b j e c t K e y a n y T y p e z b w N T n L X > < a : K e y V a l u e O f D i a g r a m O b j e c t K e y a n y T y p e z b w N T n L X > < a : K e y > < K e y > T a b l e s \ f A r t i k l i C e n i \ M e a s u r e s \ S u m   o f   48=5G=0  F5=0< / K e y > < / a : K e y > < a : V a l u e   i : t y p e = " D i a g r a m D i s p l a y N o d e V i e w S t a t e " > < H e i g h t > 1 5 0 < / H e i g h t > < I s E x p a n d e d > t r u e < / I s E x p a n d e d > < W i d t h > 2 0 0 < / W i d t h > < / a : V a l u e > < / a : K e y V a l u e O f D i a g r a m O b j e c t K e y a n y T y p e z b w N T n L X > < a : K e y V a l u e O f D i a g r a m O b j e c t K e y a n y T y p e z b w N T n L X > < a : K e y > < K e y > T a b l e s \ f A r t i k l i C e n i \ S u m   o f   48=5G=0  F5=0\ A d d i t i o n a l   I n f o \ I m p l i c i t   M e a s u r e < / K e y > < / a : K e y > < a : V a l u e   i : t y p e = " D i a g r a m D i s p l a y V i e w S t a t e I D i a g r a m T a g A d d i t i o n a l I n f o " / > < / a : K e y V a l u e O f D i a g r a m O b j e c t K e y a n y T y p e z b w N T n L X > < a : K e y V a l u e O f D i a g r a m O b j e c t K e y a n y T y p e z b w N T n L X > < a : K e y > < K e y > T a b l e s \ f A r t i k l i C e n i \ M e a s u r e s \ S u m   o f   < / K e y > < / a : K e y > < a : V a l u e   i : t y p e = " D i a g r a m D i s p l a y N o d e V i e w S t a t e " > < H e i g h t > 1 5 0 < / H e i g h t > < I s E x p a n d e d > t r u e < / I s E x p a n d e d > < W i d t h > 2 0 0 < / W i d t h > < / a : V a l u e > < / a : K e y V a l u e O f D i a g r a m O b j e c t K e y a n y T y p e z b w N T n L X > < a : K e y V a l u e O f D i a g r a m O b j e c t K e y a n y T y p e z b w N T n L X > < a : K e y > < K e y > T a b l e s \ f A r t i k l i C e n i \ S u m   o f   \ A d d i t i o n a l   I n f o \ I m p l i c i t   M e a s u r e < / K e y > < / a : K e y > < a : V a l u e   i : t y p e = " D i a g r a m D i s p l a y V i e w S t a t e I D i a g r a m T a g A d d i t i o n a l I n f o " / > < / a : K e y V a l u e O f D i a g r a m O b j e c t K e y a n y T y p e z b w N T n L X > < a : K e y V a l u e O f D i a g r a m O b j e c t K e y a n y T y p e z b w N T n L X > < a : K e y > < K e y > T a b l e s \ f A r t i k l i C e n i \ M e a s u r e s \ S u m   o f   7=>A  6 < / K e y > < / a : K e y > < a : V a l u e   i : t y p e = " D i a g r a m D i s p l a y N o d e V i e w S t a t e " > < H e i g h t > 1 5 0 < / H e i g h t > < I s E x p a n d e d > t r u e < / I s E x p a n d e d > < W i d t h > 2 0 0 < / W i d t h > < / a : V a l u e > < / a : K e y V a l u e O f D i a g r a m O b j e c t K e y a n y T y p e z b w N T n L X > < a : K e y V a l u e O f D i a g r a m O b j e c t K e y a n y T y p e z b w N T n L X > < a : K e y > < K e y > T a b l e s \ f A r t i k l i C e n i \ S u m   o f   7=>A  6 \ A d d i t i o n a l   I n f o \ I m p l i c i t   M e a s u r e < / K e y > < / a : K e y > < a : V a l u e   i : t y p e = " D i a g r a m D i s p l a y V i e w S t a t e I D i a g r a m T a g A d d i t i o n a l I n f o " / > < / a : K e y V a l u e O f D i a g r a m O b j e c t K e y a n y T y p e z b w N T n L X > < a : K e y V a l u e O f D i a g r a m O b j e c t K e y a n y T y p e z b w N T n L X > < a : K e y > < K e y > T a b l e s \ f A r t i k l i C e n i \ M e a s u r e s \ C o u n t   o f   48=5G=0  <5@:0< / K e y > < / a : K e y > < a : V a l u e   i : t y p e = " D i a g r a m D i s p l a y N o d e V i e w S t a t e " > < H e i g h t > 1 5 0 < / H e i g h t > < I s E x p a n d e d > t r u e < / I s E x p a n d e d > < W i d t h > 2 0 0 < / W i d t h > < / a : V a l u e > < / a : K e y V a l u e O f D i a g r a m O b j e c t K e y a n y T y p e z b w N T n L X > < a : K e y V a l u e O f D i a g r a m O b j e c t K e y a n y T y p e z b w N T n L X > < a : K e y > < K e y > T a b l e s \ f A r t i k l i C e n i \ C o u n t   o f   48=5G=0  <5@:0\ A d d i t i o n a l   I n f o \ I m p l i c i t   M e a s u r e < / K e y > < / a : K e y > < a : V a l u e   i : t y p e = " D i a g r a m D i s p l a y V i e w S t a t e I D i a g r a m T a g A d d i t i o n a l I n f o " / > < / a : K e y V a l u e O f D i a g r a m O b j e c t K e y a n y T y p e z b w N T n L X > < a : K e y V a l u e O f D i a g r a m O b j e c t K e y a n y T y p e z b w N T n L X > < a : K e y > < K e y > T a b l e s \ r A r t i k l i _ H R _ A n a l i z a < / K e y > < / a : K e y > < a : V a l u e   i : t y p e = " D i a g r a m D i s p l a y N o d e V i e w S t a t e " > < H e i g h t > 4 7 9 < / H e i g h t > < I s E x p a n d e d > t r u e < / I s E x p a n d e d > < L a y e d O u t > t r u e < / L a y e d O u t > < L e f t > 1 7 9 7 . 6 3 8 1 0 5 6 7 6 6 5 9 1 < / L e f t > < S c r o l l V e r t i c a l O f f s e t > 4 7 . 9 6 9 9 9 9 9 9 9 9 9 9 8 < / S c r o l l V e r t i c a l O f f s e t > < T a b I n d e x > 5 < / T a b I n d e x > < T o p > 3 7 7 < / T o p > < W i d t h > 2 0 0 < / W i d t h > < / a : V a l u e > < / a : K e y V a l u e O f D i a g r a m O b j e c t K e y a n y T y p e z b w N T n L X > < a : K e y V a l u e O f D i a g r a m O b j e c t K e y a n y T y p e z b w N T n L X > < a : K e y > < K e y > T a b l e s \ r A r t i k l i _ H R _ A n a l i z a \ C o l u m n s \ !B02:0< / K e y > < / a : K e y > < a : V a l u e   i : t y p e = " D i a g r a m D i s p l a y N o d e V i e w S t a t e " > < H e i g h t > 1 5 0 < / H e i g h t > < I s E x p a n d e d > t r u e < / I s E x p a n d e d > < W i d t h > 2 0 0 < / W i d t h > < / a : V a l u e > < / a : K e y V a l u e O f D i a g r a m O b j e c t K e y a n y T y p e z b w N T n L X > < a : K e y V a l u e O f D i a g r a m O b j e c t K e y a n y T y p e z b w N T n L X > < a : K e y > < K e y > T a b l e s \ r A r t i k l i _ H R _ A n a l i z a \ C o l u m n s \ 0B53>@8X0  @B8:;< / K e y > < / a : K e y > < a : V a l u e   i : t y p e = " D i a g r a m D i s p l a y N o d e V i e w S t a t e " > < H e i g h t > 1 5 0 < / H e i g h t > < I s E x p a n d e d > t r u e < / I s E x p a n d e d > < W i d t h > 2 0 0 < / W i d t h > < / a : V a l u e > < / a : K e y V a l u e O f D i a g r a m O b j e c t K e y a n y T y p e z b w N T n L X > < a : K e y V a l u e O f D i a g r a m O b j e c t K e y a n y T y p e z b w N T n L X > < a : K e y > < K e y > T a b l e s \ r A r t i k l i _ H R _ A n a l i z a \ C o l u m n s \ "8?  =0  0@B8:;< / K e y > < / a : K e y > < a : V a l u e   i : t y p e = " D i a g r a m D i s p l a y N o d e V i e w S t a t e " > < H e i g h t > 1 5 0 < / H e i g h t > < I s E x p a n d e d > t r u e < / I s E x p a n d e d > < W i d t h > 2 0 0 < / W i d t h > < / a : V a l u e > < / a : K e y V a l u e O f D i a g r a m O b j e c t K e y a n y T y p e z b w N T n L X > < a : K e y V a l u e O f D i a g r a m O b j e c t K e y a n y T y p e z b w N T n L X > < a : K e y > < K e y > T a b l e s \ r A r t i k l i _ H R _ A n a l i z a \ C o l u m n s \ 48=5G=0  <5@:0< / K e y > < / a : K e y > < a : V a l u e   i : t y p e = " D i a g r a m D i s p l a y N o d e V i e w S t a t e " > < H e i g h t > 1 5 0 < / H e i g h t > < I s E x p a n d e d > t r u e < / I s E x p a n d e d > < W i d t h > 2 0 0 < / W i d t h > < / a : V a l u e > < / a : K e y V a l u e O f D i a g r a m O b j e c t K e y a n y T y p e z b w N T n L X > < a : K e y V a l u e O f D i a g r a m O b j e c t K e y a n y T y p e z b w N T n L X > < a : K e y > < K e y > T a b l e s \ r A r t i k l i _ H R _ A n a l i z a \ C o l u m n s \ >;8G8=0< / K e y > < / a : K e y > < a : V a l u e   i : t y p e = " D i a g r a m D i s p l a y N o d e V i e w S t a t e " > < H e i g h t > 1 5 0 < / H e i g h t > < I s E x p a n d e d > t r u e < / I s E x p a n d e d > < W i d t h > 2 0 0 < / W i d t h > < / a : V a l u e > < / a : K e y V a l u e O f D i a g r a m O b j e c t K e y a n y T y p e z b w N T n L X > < a : K e y V a l u e O f D i a g r a m O b j e c t K e y a n y T y p e z b w N T n L X > < a : K e y > < K e y > T a b l e s \ r A r t i k l i _ H R _ A n a l i z a \ C o l u m n s \ 48=5G=0  F5=0< / K e y > < / a : K e y > < a : V a l u e   i : t y p e = " D i a g r a m D i s p l a y N o d e V i e w S t a t e " > < H e i g h t > 1 5 0 < / H e i g h t > < I s E x p a n d e d > t r u e < / I s E x p a n d e d > < W i d t h > 2 0 0 < / W i d t h > < / a : V a l u e > < / a : K e y V a l u e O f D i a g r a m O b j e c t K e y a n y T y p e z b w N T n L X > < a : K e y V a l u e O f D i a g r a m O b j e c t K e y a n y T y p e z b w N T n L X > < a : K e y > < K e y > T a b l e s \ r A r t i k l i _ H R _ A n a l i z a \ C o l u m n s \ :C?=>  B@>H>:< / K e y > < / a : K e y > < a : V a l u e   i : t y p e = " D i a g r a m D i s p l a y N o d e V i e w S t a t e " > < H e i g h t > 1 5 0 < / H e i g h t > < I s E x p a n d e d > t r u e < / I s E x p a n d e d > < W i d t h > 2 0 0 < / W i d t h > < / a : V a l u e > < / a : K e y V a l u e O f D i a g r a m O b j e c t K e y a n y T y p e z b w N T n L X > < a : K e y V a l u e O f D i a g r a m O b j e c t K e y a n y T y p e z b w N T n L X > < a : K e y > < K e y > T a b l e s \ r A r t i k l i _ H R _ A n a l i z a \ C o l u m n s \ < / K e y > < / a : K e y > < a : V a l u e   i : t y p e = " D i a g r a m D i s p l a y N o d e V i e w S t a t e " > < H e i g h t > 1 5 0 < / H e i g h t > < I s E x p a n d e d > t r u e < / I s E x p a n d e d > < W i d t h > 2 0 0 < / W i d t h > < / a : V a l u e > < / a : K e y V a l u e O f D i a g r a m O b j e c t K e y a n y T y p e z b w N T n L X > < a : K e y V a l u e O f D i a g r a m O b j e c t K e y a n y T y p e z b w N T n L X > < a : K e y > < K e y > T a b l e s \ r A r t i k l i _ H R _ A n a l i z a \ C o l u m n s \ 7=>A< / K e y > < / a : K e y > < a : V a l u e   i : t y p e = " D i a g r a m D i s p l a y N o d e V i e w S t a t e " > < H e i g h t > 1 5 0 < / H e i g h t > < I s E x p a n d e d > t r u e < / I s E x p a n d e d > < W i d t h > 2 0 0 < / W i d t h > < / a : V a l u e > < / a : K e y V a l u e O f D i a g r a m O b j e c t K e y a n y T y p e z b w N T n L X > < a : K e y V a l u e O f D i a g r a m O b j e c t K e y a n y T y p e z b w N T n L X > < a : K e y > < K e y > T a b l e s \ r A r t i k l i _ H R _ A n a l i z a \ C o l u m n s \ >=B>< / K e y > < / a : K e y > < a : V a l u e   i : t y p e = " D i a g r a m D i s p l a y N o d e V i e w S t a t e " > < H e i g h t > 1 5 0 < / H e i g h t > < I s E x p a n d e d > t r u e < / I s E x p a n d e d > < W i d t h > 2 0 0 < / W i d t h > < / a : V a l u e > < / a : K e y V a l u e O f D i a g r a m O b j e c t K e y a n y T y p e z b w N T n L X > < a : K e y V a l u e O f D i a g r a m O b j e c t K e y a n y T y p e z b w N T n L X > < a : K e y > < K e y > T a b l e s \ r A r t i k l i _ H R _ A n a l i z a \ C o l u m n s \ R e p o r t T y p e < / K e y > < / a : K e y > < a : V a l u e   i : t y p e = " D i a g r a m D i s p l a y N o d e V i e w S t a t e " > < H e i g h t > 1 5 0 < / H e i g h t > < I s E x p a n d e d > t r u e < / I s E x p a n d e d > < W i d t h > 2 0 0 < / W i d t h > < / a : V a l u e > < / a : K e y V a l u e O f D i a g r a m O b j e c t K e y a n y T y p e z b w N T n L X > < a : K e y V a l u e O f D i a g r a m O b j e c t K e y a n y T y p e z b w N T n L X > < a : K e y > < K e y > T a b l e s \ r A r t i k l i _ H R _ A n a l i z a \ C o l u m n s \ 5@8>4< / K e y > < / a : K e y > < a : V a l u e   i : t y p e = " D i a g r a m D i s p l a y N o d e V i e w S t a t e " > < H e i g h t > 1 5 0 < / H e i g h t > < I s E x p a n d e d > t r u e < / I s E x p a n d e d > < W i d t h > 2 0 0 < / W i d t h > < / a : V a l u e > < / a : K e y V a l u e O f D i a g r a m O b j e c t K e y a n y T y p e z b w N T n L X > < a : K e y V a l u e O f D i a g r a m O b j e c t K e y a n y T y p e z b w N T n L X > < a : K e y > < K e y > T a b l e s \ r A r t i k l i _ H R _ A n a l i z a \ C o l u m n s \ S t a v k a I m e M K < / K e y > < / a : K e y > < a : V a l u e   i : t y p e = " D i a g r a m D i s p l a y N o d e V i e w S t a t e " > < H e i g h t > 1 5 0 < / H e i g h t > < I s E x p a n d e d > t r u e < / I s E x p a n d e d > < W i d t h > 2 0 0 < / W i d t h > < / a : V a l u e > < / a : K e y V a l u e O f D i a g r a m O b j e c t K e y a n y T y p e z b w N T n L X > < a : K e y V a l u e O f D i a g r a m O b j e c t K e y a n y T y p e z b w N T n L X > < a : K e y > < K e y > T a b l e s \ r A r t i k l i _ H R _ A n a l i z a \ C o l u m n s \ S t a v k a A O P < / K e y > < / a : K e y > < a : V a l u e   i : t y p e = " D i a g r a m D i s p l a y N o d e V i e w S t a t e " > < H e i g h t > 1 5 0 < / H e i g h t > < I s E x p a n d e d > t r u e < / I s E x p a n d e d > < W i d t h > 2 0 0 < / W i d t h > < / a : V a l u e > < / a : K e y V a l u e O f D i a g r a m O b j e c t K e y a n y T y p e z b w N T n L X > < a : K e y V a l u e O f D i a g r a m O b j e c t K e y a n y T y p e z b w N T n L X > < a : K e y > < K e y > T a b l e s \ r A r t i k l i _ H R _ A n a l i z a \ C o l u m n s \ S t a v k a G r u p a < / K e y > < / a : K e y > < a : V a l u e   i : t y p e = " D i a g r a m D i s p l a y N o d e V i e w S t a t e " > < H e i g h t > 1 5 0 < / H e i g h t > < I s E x p a n d e d > t r u e < / I s E x p a n d e d > < W i d t h > 2 0 0 < / W i d t h > < / a : V a l u e > < / a : K e y V a l u e O f D i a g r a m O b j e c t K e y a n y T y p e z b w N T n L X > < a : K e y V a l u e O f D i a g r a m O b j e c t K e y a n y T y p e z b w N T n L X > < a : K e y > < K e y > T a b l e s \ r A r t i k l i _ H R _ A n a l i z a \ C o l u m n s \ S t a v k a K a t e g o r i j a < / K e y > < / a : K e y > < a : V a l u e   i : t y p e = " D i a g r a m D i s p l a y N o d e V i e w S t a t e " > < H e i g h t > 1 5 0 < / H e i g h t > < I s E x p a n d e d > t r u e < / I s E x p a n d e d > < W i d t h > 2 0 0 < / W i d t h > < / a : V a l u e > < / a : K e y V a l u e O f D i a g r a m O b j e c t K e y a n y T y p e z b w N T n L X > < a : K e y V a l u e O f D i a g r a m O b j e c t K e y a n y T y p e z b w N T n L X > < a : K e y > < K e y > T a b l e s \ r A r t i k l i _ H R _ A n a l i z a \ C o l u m n s \ O b r a z e c I m e < / K e y > < / a : K e y > < a : V a l u e   i : t y p e = " D i a g r a m D i s p l a y N o d e V i e w S t a t e " > < H e i g h t > 1 5 0 < / H e i g h t > < I s E x p a n d e d > t r u e < / I s E x p a n d e d > < W i d t h > 2 0 0 < / W i d t h > < / a : V a l u e > < / a : K e y V a l u e O f D i a g r a m O b j e c t K e y a n y T y p e z b w N T n L X > < a : K e y V a l u e O f D i a g r a m O b j e c t K e y a n y T y p e z b w N T n L X > < a : K e y > < K e y > T a b l e s \ r A r t i k l i _ H R _ A n a l i z a \ C o l u m n s \ "8?  =0  2@01>BC20Z5< / K e y > < / a : K e y > < a : V a l u e   i : t y p e = " D i a g r a m D i s p l a y N o d e V i e w S t a t e " > < H e i g h t > 1 5 0 < / H e i g h t > < I s E x p a n d e d > t r u e < / I s E x p a n d e d > < W i d t h > 2 0 0 < / W i d t h > < / a : V a l u e > < / a : K e y V a l u e O f D i a g r a m O b j e c t K e y a n y T y p e z b w N T n L X > < a : K e y V a l u e O f D i a g r a m O b j e c t K e y a n y T y p e z b w N T n L X > < a : K e y > < K e y > T a b l e s \ r A r t i k l i _ H R _ A n a l i z a \ C o l u m n s \ ;0=8@0=  ?@8;82/ ( >4;82) < / K e y > < / a : K e y > < a : V a l u e   i : t y p e = " D i a g r a m D i s p l a y N o d e V i e w S t a t e " > < H e i g h t > 1 5 0 < / H e i g h t > < I s E x p a n d e d > t r u e < / I s E x p a n d e d > < W i d t h > 2 0 0 < / W i d t h > < / a : V a l u e > < / a : K e y V a l u e O f D i a g r a m O b j e c t K e y a n y T y p e z b w N T n L X > < a : K e y V a l u e O f D i a g r a m O b j e c t K e y a n y T y p e z b w N T n L X > < a : K e y > < K e y > T a b l e s \ r A r t i k l i _ H R _ A n a l i z a \ C o l u m n s \ @0X=0  A>AB>X10  2@01>B5=8< / K e y > < / a : K e y > < a : V a l u e   i : t y p e = " D i a g r a m D i s p l a y N o d e V i e w S t a t e " > < H e i g h t > 1 5 0 < / H e i g h t > < I s E x p a n d e d > t r u e < / I s E x p a n d e d > < W i d t h > 2 0 0 < / W i d t h > < / a : V a l u e > < / a : K e y V a l u e O f D i a g r a m O b j e c t K e y a n y T y p e z b w N T n L X > < a : K e y V a l u e O f D i a g r a m O b j e c t K e y a n y T y p e z b w N T n L X > < a : K e y > < K e y > T a b l e s \ r A r t i k l i _ H R _ A n a l i z a \ C o l u m n s \ S t a v k a K a t e g o r i j a . 1 < / K e y > < / a : K e y > < a : V a l u e   i : t y p e = " D i a g r a m D i s p l a y N o d e V i e w S t a t e " > < H e i g h t > 1 5 0 < / H e i g h t > < I s E x p a n d e d > t r u e < / I s E x p a n d e d > < W i d t h > 2 0 0 < / W i d t h > < / a : V a l u e > < / a : K e y V a l u e O f D i a g r a m O b j e c t K e y a n y T y p e z b w N T n L X > < a : K e y V a l u e O f D i a g r a m O b j e c t K e y a n y T y p e z b w N T n L X > < a : K e y > < K e y > T a b l e s \ r A r t i k l i _ H R _ A n a l i z a \ M e a s u r e s \ S u m   o f   >;8G8=0  2 < / K e y > < / a : K e y > < a : V a l u e   i : t y p e = " D i a g r a m D i s p l a y N o d e V i e w S t a t e " > < H e i g h t > 1 5 0 < / H e i g h t > < I s E x p a n d e d > t r u e < / I s E x p a n d e d > < W i d t h > 2 0 0 < / W i d t h > < / a : V a l u e > < / a : K e y V a l u e O f D i a g r a m O b j e c t K e y a n y T y p e z b w N T n L X > < a : K e y V a l u e O f D i a g r a m O b j e c t K e y a n y T y p e z b w N T n L X > < a : K e y > < K e y > T a b l e s \ r A r t i k l i _ H R _ A n a l i z a \ S u m   o f   >;8G8=0  2 \ A d d i t i o n a l   I n f o \ I m p l i c i t   M e a s u r e < / K e y > < / a : K e y > < a : V a l u e   i : t y p e = " D i a g r a m D i s p l a y V i e w S t a t e I D i a g r a m T a g A d d i t i o n a l I n f o " / > < / a : K e y V a l u e O f D i a g r a m O b j e c t K e y a n y T y p e z b w N T n L X > < a : K e y V a l u e O f D i a g r a m O b j e c t K e y a n y T y p e z b w N T n L X > < a : K e y > < K e y > T a b l e s \ r A r t i k l i _ H R _ A n a l i z a \ M e a s u r e s \ S u m   o f   48=5G=0  F5=0  2 < / K e y > < / a : K e y > < a : V a l u e   i : t y p e = " D i a g r a m D i s p l a y N o d e V i e w S t a t e " > < H e i g h t > 1 5 0 < / H e i g h t > < I s E x p a n d e d > t r u e < / I s E x p a n d e d > < W i d t h > 2 0 0 < / W i d t h > < / a : V a l u e > < / a : K e y V a l u e O f D i a g r a m O b j e c t K e y a n y T y p e z b w N T n L X > < a : K e y V a l u e O f D i a g r a m O b j e c t K e y a n y T y p e z b w N T n L X > < a : K e y > < K e y > T a b l e s \ r A r t i k l i _ H R _ A n a l i z a \ S u m   o f   48=5G=0  F5=0  2 \ A d d i t i o n a l   I n f o \ I m p l i c i t   M e a s u r e < / K e y > < / a : K e y > < a : V a l u e   i : t y p e = " D i a g r a m D i s p l a y V i e w S t a t e I D i a g r a m T a g A d d i t i o n a l I n f o " / > < / a : K e y V a l u e O f D i a g r a m O b j e c t K e y a n y T y p e z b w N T n L X > < a : K e y V a l u e O f D i a g r a m O b j e c t K e y a n y T y p e z b w N T n L X > < a : K e y > < K e y > T a b l e s \ r A r t i k l i _ H R _ A n a l i z a \ M e a s u r e s \ S u m   o f   :C?=>  B@>H>:  2 < / K e y > < / a : K e y > < a : V a l u e   i : t y p e = " D i a g r a m D i s p l a y N o d e V i e w S t a t e " > < H e i g h t > 1 5 0 < / H e i g h t > < I s E x p a n d e d > t r u e < / I s E x p a n d e d > < W i d t h > 2 0 0 < / W i d t h > < / a : V a l u e > < / a : K e y V a l u e O f D i a g r a m O b j e c t K e y a n y T y p e z b w N T n L X > < a : K e y V a l u e O f D i a g r a m O b j e c t K e y a n y T y p e z b w N T n L X > < a : K e y > < K e y > T a b l e s \ r A r t i k l i _ H R _ A n a l i z a \ S u m   o f   :C?=>  B@>H>:  2 \ A d d i t i o n a l   I n f o \ I m p l i c i t   M e a s u r e < / K e y > < / a : K e y > < a : V a l u e   i : t y p e = " D i a g r a m D i s p l a y V i e w S t a t e I D i a g r a m T a g A d d i t i o n a l I n f o " / > < / a : K e y V a l u e O f D i a g r a m O b j e c t K e y a n y T y p e z b w N T n L X > < a : K e y V a l u e O f D i a g r a m O b j e c t K e y a n y T y p e z b w N T n L X > < a : K e y > < K e y > T a b l e s \ r A r t i k l i _ H R _ A n a l i z a \ M e a s u r e s \ S u m   o f     2 < / K e y > < / a : K e y > < a : V a l u e   i : t y p e = " D i a g r a m D i s p l a y N o d e V i e w S t a t e " > < H e i g h t > 1 5 0 < / H e i g h t > < I s E x p a n d e d > t r u e < / I s E x p a n d e d > < W i d t h > 2 0 0 < / W i d t h > < / a : V a l u e > < / a : K e y V a l u e O f D i a g r a m O b j e c t K e y a n y T y p e z b w N T n L X > < a : K e y V a l u e O f D i a g r a m O b j e c t K e y a n y T y p e z b w N T n L X > < a : K e y > < K e y > T a b l e s \ r A r t i k l i _ H R _ A n a l i z a \ S u m   o f     2 \ A d d i t i o n a l   I n f o \ I m p l i c i t   M e a s u r e < / K e y > < / a : K e y > < a : V a l u e   i : t y p e = " D i a g r a m D i s p l a y V i e w S t a t e I D i a g r a m T a g A d d i t i o n a l I n f o " / > < / a : K e y V a l u e O f D i a g r a m O b j e c t K e y a n y T y p e z b w N T n L X > < a : K e y V a l u e O f D i a g r a m O b j e c t K e y a n y T y p e z b w N T n L X > < a : K e y > < K e y > T a b l e s \ r A r t i k l i _ H R _ A n a l i z a \ M e a s u r e s \ S u m   o f   7=>A  7 < / K e y > < / a : K e y > < a : V a l u e   i : t y p e = " D i a g r a m D i s p l a y N o d e V i e w S t a t e " > < H e i g h t > 1 5 0 < / H e i g h t > < I s E x p a n d e d > t r u e < / I s E x p a n d e d > < W i d t h > 2 0 0 < / W i d t h > < / a : V a l u e > < / a : K e y V a l u e O f D i a g r a m O b j e c t K e y a n y T y p e z b w N T n L X > < a : K e y V a l u e O f D i a g r a m O b j e c t K e y a n y T y p e z b w N T n L X > < a : K e y > < K e y > T a b l e s \ r A r t i k l i _ H R _ A n a l i z a \ S u m   o f   7=>A  7 \ A d d i t i o n a l   I n f o \ I m p l i c i t   M e a s u r e < / K e y > < / a : K e y > < a : V a l u e   i : t y p e = " D i a g r a m D i s p l a y V i e w S t a t e I D i a g r a m T a g A d d i t i o n a l I n f o " / > < / a : K e y V a l u e O f D i a g r a m O b j e c t K e y a n y T y p e z b w N T n L X > < a : K e y V a l u e O f D i a g r a m O b j e c t K e y a n y T y p e z b w N T n L X > < a : K e y > < K e y > T a b l e s \ f C o v e c k i R e s u r s i     2 < / K e y > < / a : K e y > < a : V a l u e   i : t y p e = " D i a g r a m D i s p l a y N o d e V i e w S t a t e " > < H e i g h t > 2 4 3 < / H e i g h t > < I s E x p a n d e d > t r u e < / I s E x p a n d e d > < L a y e d O u t > t r u e < / L a y e d O u t > < L e f t > 1 1 7 0 . 6 3 8 1 0 5 6 7 6 6 5 9 1 < / L e f t > < T a b I n d e x > 1 0 < / T a b I n d e x > < T o p > 6 9 4 . 6 9 9 9 9 9 9 9 9 9 9 9 9 3 < / T o p > < W i d t h > 2 0 0 < / W i d t h > < / a : V a l u e > < / a : K e y V a l u e O f D i a g r a m O b j e c t K e y a n y T y p e z b w N T n L X > < a : K e y V a l u e O f D i a g r a m O b j e c t K e y a n y T y p e z b w N T n L X > < a : K e y > < K e y > T a b l e s \ f C o v e c k i R e s u r s i     2 \ C o l u m n s \ !B02:0< / K e y > < / a : K e y > < a : V a l u e   i : t y p e = " D i a g r a m D i s p l a y N o d e V i e w S t a t e " > < H e i g h t > 1 5 0 < / H e i g h t > < I s E x p a n d e d > t r u e < / I s E x p a n d e d > < W i d t h > 2 0 0 < / W i d t h > < / a : V a l u e > < / a : K e y V a l u e O f D i a g r a m O b j e c t K e y a n y T y p e z b w N T n L X > < a : K e y V a l u e O f D i a g r a m O b j e c t K e y a n y T y p e z b w N T n L X > < a : K e y > < K e y > T a b l e s \ f C o v e c k i R e s u r s i     2 \ C o l u m n s \ 5@8>4< / K e y > < / a : K e y > < a : V a l u e   i : t y p e = " D i a g r a m D i s p l a y N o d e V i e w S t a t e " > < H e i g h t > 1 5 0 < / H e i g h t > < I s E x p a n d e d > t r u e < / I s E x p a n d e d > < W i d t h > 2 0 0 < / W i d t h > < / a : V a l u e > < / a : K e y V a l u e O f D i a g r a m O b j e c t K e y a n y T y p e z b w N T n L X > < a : K e y V a l u e O f D i a g r a m O b j e c t K e y a n y T y p e z b w N T n L X > < a : K e y > < K e y > T a b l e s \ f C o v e c k i R e s u r s i     2 \ C o l u m n s \ 7=>A< / K e y > < / a : K e y > < a : V a l u e   i : t y p e = " D i a g r a m D i s p l a y N o d e V i e w S t a t e " > < H e i g h t > 1 5 0 < / H e i g h t > < I s E x p a n d e d > t r u e < / I s E x p a n d e d > < W i d t h > 2 0 0 < / W i d t h > < / a : V a l u e > < / a : K e y V a l u e O f D i a g r a m O b j e c t K e y a n y T y p e z b w N T n L X > < a : K e y V a l u e O f D i a g r a m O b j e c t K e y a n y T y p e z b w N T n L X > < a : K e y > < K e y > T a b l e s \ f C o v e c k i R e s u r s i     2 \ C o l u m n s \ >=B>< / K e y > < / a : K e y > < a : V a l u e   i : t y p e = " D i a g r a m D i s p l a y N o d e V i e w S t a t e " > < H e i g h t > 1 5 0 < / H e i g h t > < I s E x p a n d e d > t r u e < / I s E x p a n d e d > < W i d t h > 2 0 0 < / W i d t h > < / a : V a l u e > < / a : K e y V a l u e O f D i a g r a m O b j e c t K e y a n y T y p e z b w N T n L X > < a : K e y V a l u e O f D i a g r a m O b j e c t K e y a n y T y p e z b w N T n L X > < a : K e y > < K e y > T a b l e s \ f C o v e c k i R e s u r s i     2 \ C o l u m n s \ R e p o r t T y p e < / K e y > < / a : K e y > < a : V a l u e   i : t y p e = " D i a g r a m D i s p l a y N o d e V i e w S t a t e " > < H e i g h t > 1 5 0 < / H e i g h t > < I s E x p a n d e d > t r u e < / I s E x p a n d e d > < W i d t h > 2 0 0 < / W i d t h > < / a : V a l u e > < / a : K e y V a l u e O f D i a g r a m O b j e c t K e y a n y T y p e z b w N T n L X > < a : K e y V a l u e O f D i a g r a m O b j e c t K e y a n y T y p e z b w N T n L X > < a : K e y > < K e y > T a b l e s \ f C o v e c k i R e s u r s i     2 \ C o l u m n s \ S t a v k a I m e M K < / K e y > < / a : K e y > < a : V a l u e   i : t y p e = " D i a g r a m D i s p l a y N o d e V i e w S t a t e " > < H e i g h t > 1 5 0 < / H e i g h t > < I s E x p a n d e d > t r u e < / I s E x p a n d e d > < W i d t h > 2 0 0 < / W i d t h > < / a : V a l u e > < / a : K e y V a l u e O f D i a g r a m O b j e c t K e y a n y T y p e z b w N T n L X > < a : K e y V a l u e O f D i a g r a m O b j e c t K e y a n y T y p e z b w N T n L X > < a : K e y > < K e y > T a b l e s \ f C o v e c k i R e s u r s i     2 \ C o l u m n s \ S t a v k a K a t e g o r i j a < / K e y > < / a : K e y > < a : V a l u e   i : t y p e = " D i a g r a m D i s p l a y N o d e V i e w S t a t e " > < H e i g h t > 1 5 0 < / H e i g h t > < I s E x p a n d e d > t r u e < / I s E x p a n d e d > < W i d t h > 2 0 0 < / W i d t h > < / a : V a l u e > < / a : K e y V a l u e O f D i a g r a m O b j e c t K e y a n y T y p e z b w N T n L X > < a : K e y V a l u e O f D i a g r a m O b j e c t K e y a n y T y p e z b w N T n L X > < a : K e y > < K e y > T a b l e s \ f C o v e c k i R e s u r s i     2 \ C o l u m n s \ O b r a z e c I m e < / K e y > < / a : K e y > < a : V a l u e   i : t y p e = " D i a g r a m D i s p l a y N o d e V i e w S t a t e " > < H e i g h t > 1 5 0 < / H e i g h t > < I s E x p a n d e d > t r u e < / I s E x p a n d e d > < W i d t h > 2 0 0 < / W i d t h > < / a : V a l u e > < / a : K e y V a l u e O f D i a g r a m O b j e c t K e y a n y T y p e z b w N T n L X > < a : K e y V a l u e O f D i a g r a m O b j e c t K e y a n y T y p e z b w N T n L X > < a : K e y > < K e y > T a b l e s \ f C o v e c k i R e s u r s i     2 \ M e a s u r e s \ S u m   o f   7=>A  5 < / K e y > < / a : K e y > < a : V a l u e   i : t y p e = " D i a g r a m D i s p l a y N o d e V i e w S t a t e " > < H e i g h t > 1 5 0 < / H e i g h t > < I s E x p a n d e d > t r u e < / I s E x p a n d e d > < W i d t h > 2 0 0 < / W i d t h > < / a : V a l u e > < / a : K e y V a l u e O f D i a g r a m O b j e c t K e y a n y T y p e z b w N T n L X > < a : K e y V a l u e O f D i a g r a m O b j e c t K e y a n y T y p e z b w N T n L X > < a : K e y > < K e y > T a b l e s \ f C o v e c k i R e s u r s i     2 \ S u m   o f   7=>A  5 \ A d d i t i o n a l   I n f o \ I m p l i c i t   M e a s u r e < / K e y > < / a : K e y > < a : V a l u e   i : t y p e = " D i a g r a m D i s p l a y V i e w S t a t e I D i a g r a m T a g A d d i t i o n a l I n f o " / > < / a : K e y V a l u e O f D i a g r a m O b j e c t K e y a n y T y p e z b w N T n L X > < a : K e y V a l u e O f D i a g r a m O b j e c t K e y a n y T y p e z b w N T n L X > < a : K e y > < K e y > R e l a t i o n s h i p s \ & l t ; T a b l e s \ C A P E X \ C o l u m n s \ G5:C20=  40BC<  =0  ?;0\0Z5& g t ; - & l t ; T a b l e s \ C a l e n d a r \ C o l u m n s \ D a t e & g t ; < / K e y > < / a : K e y > < a : V a l u e   i : t y p e = " D i a g r a m D i s p l a y L i n k V i e w S t a t e " > < A u t o m a t i o n P r o p e r t y H e l p e r T e x t > E n d   p o i n t   1 :   ( 3 5 3 . 9 1 5 2 4 2 , 5 1 3 . 6 ) .   E n d   p o i n t   2 :   ( 6 0 5 . 5 6 7 1 4 7 , 3 7 8 )   < / A u t o m a t i o n P r o p e r t y H e l p e r T e x t > < L a y e d O u t > t r u e < / L a y e d O u t > < P o i n t s   x m l n s : b = " h t t p : / / s c h e m a s . d a t a c o n t r a c t . o r g / 2 0 0 4 / 0 7 / S y s t e m . W i n d o w s " > < b : P o i n t > < b : _ x > 3 5 3 . 9 1 5 2 4 2 < / b : _ x > < b : _ y > 5 1 3 . 5 9 9 9 9 9 9 9 9 9 9 9 9 1 < / b : _ y > < / b : P o i n t > < b : P o i n t > < b : _ x > 3 5 3 . 9 1 5 2 4 2 < / b : _ x > < b : _ y > 4 4 7 . 8 < / b : _ y > < / b : P o i n t > < b : P o i n t > < b : _ x > 3 5 5 . 9 1 5 2 4 2 < / b : _ x > < b : _ y > 4 4 5 . 8 < / b : _ y > < / b : P o i n t > < b : P o i n t > < b : _ x > 6 0 3 . 5 6 7 1 4 7 < / b : _ x > < b : _ y > 4 4 5 . 8 < / b : _ y > < / b : P o i n t > < b : P o i n t > < b : _ x > 6 0 5 . 5 6 7 1 4 7 < / b : _ x > < b : _ y > 4 4 3 . 8 < / b : _ y > < / b : P o i n t > < b : P o i n t > < b : _ x > 6 0 5 . 5 6 7 1 4 7 < / b : _ x > < b : _ y > 3 7 8 < / b : _ y > < / b : P o i n t > < / P o i n t s > < / a : V a l u e > < / a : K e y V a l u e O f D i a g r a m O b j e c t K e y a n y T y p e z b w N T n L X > < a : K e y V a l u e O f D i a g r a m O b j e c t K e y a n y T y p e z b w N T n L X > < a : K e y > < K e y > R e l a t i o n s h i p s \ & l t ; T a b l e s \ C A P E X \ C o l u m n s \ G5:C20=  40BC<  =0  ?;0\0Z5& g t ; - & l t ; T a b l e s \ C a l e n d a r \ C o l u m n s \ D a t e & g t ; \ F K < / K e y > < / a : K e y > < a : V a l u e   i : t y p e = " D i a g r a m D i s p l a y L i n k E n d p o i n t V i e w S t a t e " > < H e i g h t > 1 6 < / H e i g h t > < L a b e l L o c a t i o n   x m l n s : b = " h t t p : / / s c h e m a s . d a t a c o n t r a c t . o r g / 2 0 0 4 / 0 7 / S y s t e m . W i n d o w s " > < b : _ x > 3 4 5 . 9 1 5 2 4 2 < / b : _ x > < b : _ y > 5 1 3 . 5 9 9 9 9 9 9 9 9 9 9 9 9 1 < / b : _ y > < / L a b e l L o c a t i o n > < L o c a t i o n   x m l n s : b = " h t t p : / / s c h e m a s . d a t a c o n t r a c t . o r g / 2 0 0 4 / 0 7 / S y s t e m . W i n d o w s " > < b : _ x > 3 5 3 . 9 1 5 2 4 2 < / b : _ x > < b : _ y > 5 2 9 . 5 9 9 9 9 9 9 9 9 9 9 9 9 1 < / b : _ y > < / L o c a t i o n > < S h a p e R o t a t e A n g l e > 2 7 0 < / S h a p e R o t a t e A n g l e > < W i d t h > 1 6 < / W i d t h > < / a : V a l u e > < / a : K e y V a l u e O f D i a g r a m O b j e c t K e y a n y T y p e z b w N T n L X > < a : K e y V a l u e O f D i a g r a m O b j e c t K e y a n y T y p e z b w N T n L X > < a : K e y > < K e y > R e l a t i o n s h i p s \ & l t ; T a b l e s \ C A P E X \ C o l u m n s \ G5:C20=  40BC<  =0  ?;0\0Z5& g t ; - & l t ; T a b l e s \ C a l e n d a r \ C o l u m n s \ D a t e & g t ; \ P K < / K e y > < / a : K e y > < a : V a l u e   i : t y p e = " D i a g r a m D i s p l a y L i n k E n d p o i n t V i e w S t a t e " > < H e i g h t > 1 6 < / H e i g h t > < L a b e l L o c a t i o n   x m l n s : b = " h t t p : / / s c h e m a s . d a t a c o n t r a c t . o r g / 2 0 0 4 / 0 7 / S y s t e m . W i n d o w s " > < b : _ x > 5 9 7 . 5 6 7 1 4 7 < / b : _ x > < b : _ y > 3 6 2 < / b : _ y > < / L a b e l L o c a t i o n > < L o c a t i o n   x m l n s : b = " h t t p : / / s c h e m a s . d a t a c o n t r a c t . o r g / 2 0 0 4 / 0 7 / S y s t e m . W i n d o w s " > < b : _ x > 6 0 5 . 5 6 7 1 4 7 < / b : _ x > < b : _ y > 3 6 2 < / b : _ y > < / L o c a t i o n > < S h a p e R o t a t e A n g l e > 9 0 < / S h a p e R o t a t e A n g l e > < W i d t h > 1 6 < / W i d t h > < / a : V a l u e > < / a : K e y V a l u e O f D i a g r a m O b j e c t K e y a n y T y p e z b w N T n L X > < a : K e y V a l u e O f D i a g r a m O b j e c t K e y a n y T y p e z b w N T n L X > < a : K e y > < K e y > R e l a t i o n s h i p s \ & l t ; T a b l e s \ C A P E X \ C o l u m n s \ G5:C20=  40BC<  =0  ?;0\0Z5& g t ; - & l t ; T a b l e s \ C a l e n d a r \ C o l u m n s \ D a t e & g t ; \ C r o s s F i l t e r < / K e y > < / a : K e y > < a : V a l u e   i : t y p e = " D i a g r a m D i s p l a y L i n k C r o s s F i l t e r V i e w S t a t e " > < P o i n t s   x m l n s : b = " h t t p : / / s c h e m a s . d a t a c o n t r a c t . o r g / 2 0 0 4 / 0 7 / S y s t e m . W i n d o w s " > < b : P o i n t > < b : _ x > 3 5 3 . 9 1 5 2 4 2 < / b : _ x > < b : _ y > 5 1 3 . 5 9 9 9 9 9 9 9 9 9 9 9 9 1 < / b : _ y > < / b : P o i n t > < b : P o i n t > < b : _ x > 3 5 3 . 9 1 5 2 4 2 < / b : _ x > < b : _ y > 4 4 7 . 8 < / b : _ y > < / b : P o i n t > < b : P o i n t > < b : _ x > 3 5 5 . 9 1 5 2 4 2 < / b : _ x > < b : _ y > 4 4 5 . 8 < / b : _ y > < / b : P o i n t > < b : P o i n t > < b : _ x > 6 0 3 . 5 6 7 1 4 7 < / b : _ x > < b : _ y > 4 4 5 . 8 < / b : _ y > < / b : P o i n t > < b : P o i n t > < b : _ x > 6 0 5 . 5 6 7 1 4 7 < / b : _ x > < b : _ y > 4 4 3 . 8 < / b : _ y > < / b : P o i n t > < b : P o i n t > < b : _ x > 6 0 5 . 5 6 7 1 4 7 < / b : _ x > < b : _ y > 3 7 8 < / b : _ y > < / b : P o i n t > < / P o i n t s > < / a : V a l u e > < / a : K e y V a l u e O f D i a g r a m O b j e c t K e y a n y T y p e z b w N T n L X > < a : K e y V a l u e O f D i a g r a m O b j e c t K e y a n y T y p e z b w N T n L X > < a : K e y > < K e y > R e l a t i o n s h i p s \ & l t ; T a b l e s \ A m o r t i z a c i j a \ C o l u m n s \ 5@8>4& g t ; - & l t ; T a b l e s \ C a l e n d a r \ C o l u m n s \ D a t e & g t ; < / K e y > < / a : K e y > < a : V a l u e   i : t y p e = " D i a g r a m D i s p l a y L i n k V i e w S t a t e " > < A u t o m a t i o n P r o p e r t y H e l p e r T e x t > E n d   p o i n t   1 :   ( 7 0 5 . 5 6 7 1 4 7 , 5 3 7 . 6 5 ) .   E n d   p o i n t   2 :   ( 6 2 5 . 5 6 7 1 4 7 , 3 7 8 )   < / A u t o m a t i o n P r o p e r t y H e l p e r T e x t > < L a y e d O u t > t r u e < / L a y e d O u t > < P o i n t s   x m l n s : b = " h t t p : / / s c h e m a s . d a t a c o n t r a c t . o r g / 2 0 0 4 / 0 7 / S y s t e m . W i n d o w s " > < b : P o i n t > < b : _ x > 7 0 5 . 5 6 7 1 4 7 < / b : _ x > < b : _ y > 5 3 7 . 6 5 0 0 0 0 0 0 0 0 0 0 0 9 < / b : _ y > < / b : P o i n t > < b : P o i n t > < b : _ x > 7 0 5 . 5 6 7 1 4 7 < / b : _ x > < b : _ y > 4 5 9 . 8 2 5 < / b : _ y > < / b : P o i n t > < b : P o i n t > < b : _ x > 7 0 3 . 5 6 7 1 4 7 < / b : _ x > < b : _ y > 4 5 7 . 8 2 5 < / b : _ y > < / b : P o i n t > < b : P o i n t > < b : _ x > 6 2 7 . 5 6 7 1 4 7 < / b : _ x > < b : _ y > 4 5 7 . 8 2 5 < / b : _ y > < / b : P o i n t > < b : P o i n t > < b : _ x > 6 2 5 . 5 6 7 1 4 7 < / b : _ x > < b : _ y > 4 5 5 . 8 2 5 < / b : _ y > < / b : P o i n t > < b : P o i n t > < b : _ x > 6 2 5 . 5 6 7 1 4 7 < / b : _ x > < b : _ y > 3 7 7 . 9 9 9 9 9 9 9 9 9 9 9 9 8 9 < / b : _ y > < / b : P o i n t > < / P o i n t s > < / a : V a l u e > < / a : K e y V a l u e O f D i a g r a m O b j e c t K e y a n y T y p e z b w N T n L X > < a : K e y V a l u e O f D i a g r a m O b j e c t K e y a n y T y p e z b w N T n L X > < a : K e y > < K e y > R e l a t i o n s h i p s \ & l t ; T a b l e s \ A m o r t i z a c i j a \ C o l u m n s \ 5@8>4& g t ; - & l t ; T a b l e s \ C a l e n d a r \ C o l u m n s \ D a t e & g t ; \ F K < / K e y > < / a : K e y > < a : V a l u e   i : t y p e = " D i a g r a m D i s p l a y L i n k E n d p o i n t V i e w S t a t e " > < H e i g h t > 1 6 < / H e i g h t > < L a b e l L o c a t i o n   x m l n s : b = " h t t p : / / s c h e m a s . d a t a c o n t r a c t . o r g / 2 0 0 4 / 0 7 / S y s t e m . W i n d o w s " > < b : _ x > 6 9 7 . 5 6 7 1 4 7 < / b : _ x > < b : _ y > 5 3 7 . 6 5 0 0 0 0 0 0 0 0 0 0 0 9 < / b : _ y > < / L a b e l L o c a t i o n > < L o c a t i o n   x m l n s : b = " h t t p : / / s c h e m a s . d a t a c o n t r a c t . o r g / 2 0 0 4 / 0 7 / S y s t e m . W i n d o w s " > < b : _ x > 7 0 5 . 5 6 7 1 4 7 < / b : _ x > < b : _ y > 5 5 3 . 6 5 0 0 0 0 0 0 0 0 0 0 0 9 < / b : _ y > < / L o c a t i o n > < S h a p e R o t a t e A n g l e > 2 7 0 < / S h a p e R o t a t e A n g l e > < W i d t h > 1 6 < / W i d t h > < / a : V a l u e > < / a : K e y V a l u e O f D i a g r a m O b j e c t K e y a n y T y p e z b w N T n L X > < a : K e y V a l u e O f D i a g r a m O b j e c t K e y a n y T y p e z b w N T n L X > < a : K e y > < K e y > R e l a t i o n s h i p s \ & l t ; T a b l e s \ A m o r t i z a c i j a \ C o l u m n s \ 5@8>4& g t ; - & l t ; T a b l e s \ C a l e n d a r \ C o l u m n s \ D a t e & g t ; \ P K < / K e y > < / a : K e y > < a : V a l u e   i : t y p e = " D i a g r a m D i s p l a y L i n k E n d p o i n t V i e w S t a t e " > < H e i g h t > 1 6 < / H e i g h t > < L a b e l L o c a t i o n   x m l n s : b = " h t t p : / / s c h e m a s . d a t a c o n t r a c t . o r g / 2 0 0 4 / 0 7 / S y s t e m . W i n d o w s " > < b : _ x > 6 1 7 . 5 6 7 1 4 7 < / b : _ x > < b : _ y > 3 6 1 . 9 9 9 9 9 9 9 9 9 9 9 9 8 9 < / b : _ y > < / L a b e l L o c a t i o n > < L o c a t i o n   x m l n s : b = " h t t p : / / s c h e m a s . d a t a c o n t r a c t . o r g / 2 0 0 4 / 0 7 / S y s t e m . W i n d o w s " > < b : _ x > 6 2 5 . 5 6 7 1 4 7 < / b : _ x > < b : _ y > 3 6 1 . 9 9 9 9 9 9 9 9 9 9 9 9 8 9 < / b : _ y > < / L o c a t i o n > < S h a p e R o t a t e A n g l e > 9 0 < / S h a p e R o t a t e A n g l e > < W i d t h > 1 6 < / W i d t h > < / a : V a l u e > < / a : K e y V a l u e O f D i a g r a m O b j e c t K e y a n y T y p e z b w N T n L X > < a : K e y V a l u e O f D i a g r a m O b j e c t K e y a n y T y p e z b w N T n L X > < a : K e y > < K e y > R e l a t i o n s h i p s \ & l t ; T a b l e s \ A m o r t i z a c i j a \ C o l u m n s \ 5@8>4& g t ; - & l t ; T a b l e s \ C a l e n d a r \ C o l u m n s \ D a t e & g t ; \ C r o s s F i l t e r < / K e y > < / a : K e y > < a : V a l u e   i : t y p e = " D i a g r a m D i s p l a y L i n k C r o s s F i l t e r V i e w S t a t e " > < P o i n t s   x m l n s : b = " h t t p : / / s c h e m a s . d a t a c o n t r a c t . o r g / 2 0 0 4 / 0 7 / S y s t e m . W i n d o w s " > < b : P o i n t > < b : _ x > 7 0 5 . 5 6 7 1 4 7 < / b : _ x > < b : _ y > 5 3 7 . 6 5 0 0 0 0 0 0 0 0 0 0 0 9 < / b : _ y > < / b : P o i n t > < b : P o i n t > < b : _ x > 7 0 5 . 5 6 7 1 4 7 < / b : _ x > < b : _ y > 4 5 9 . 8 2 5 < / b : _ y > < / b : P o i n t > < b : P o i n t > < b : _ x > 7 0 3 . 5 6 7 1 4 7 < / b : _ x > < b : _ y > 4 5 7 . 8 2 5 < / b : _ y > < / b : P o i n t > < b : P o i n t > < b : _ x > 6 2 7 . 5 6 7 1 4 7 < / b : _ x > < b : _ y > 4 5 7 . 8 2 5 < / b : _ y > < / b : P o i n t > < b : P o i n t > < b : _ x > 6 2 5 . 5 6 7 1 4 7 < / b : _ x > < b : _ y > 4 5 5 . 8 2 5 < / b : _ y > < / b : P o i n t > < b : P o i n t > < b : _ x > 6 2 5 . 5 6 7 1 4 7 < / b : _ x > < b : _ y > 3 7 7 . 9 9 9 9 9 9 9 9 9 9 9 9 8 9 < / b : _ y > < / b : P o i n t > < / P o i n t s > < / a : V a l u e > < / a : K e y V a l u e O f D i a g r a m O b j e c t K e y a n y T y p e z b w N T n L X > < a : K e y V a l u e O f D i a g r a m O b j e c t K e y a n y T y p e z b w N T n L X > < a : K e y > < K e y > R e l a t i o n s h i p s \ & l t ; T a b l e s \ f C o v e c k i R e s u r s i \ C o l u m n s \ 5@8>4& g t ; - & l t ; T a b l e s \ C a l e n d a r \ C o l u m n s \ D a t e & g t ; < / K e y > < / a : K e y > < a : V a l u e   i : t y p e = " D i a g r a m D i s p l a y L i n k V i e w S t a t e " > < A u t o m a t i o n P r o p e r t y H e l p e r T e x t > E n d   p o i n t   1 :   ( 9 2 6 . 7 6 2 5 4 8 , 4 9 7 . 8 ) .   E n d   p o i n t   2 :   ( 6 4 5 . 5 6 7 1 4 7 , 3 7 8 )   < / A u t o m a t i o n P r o p e r t y H e l p e r T e x t > < L a y e d O u t > t r u e < / L a y e d O u t > < P o i n t s   x m l n s : b = " h t t p : / / s c h e m a s . d a t a c o n t r a c t . o r g / 2 0 0 4 / 0 7 / S y s t e m . W i n d o w s " > < b : P o i n t > < b : _ x > 9 2 6 . 7 6 2 5 4 8 0 0 0 0 0 0 1 5 < / b : _ x > < b : _ y > 4 9 7 . 7 9 9 9 9 9 9 9 9 9 9 9 7 8 < / b : _ y > < / b : P o i n t > < b : P o i n t > < b : _ x > 9 2 6 . 7 6 2 5 4 8 < / b : _ x > < b : _ y > 4 4 7 . 4 < / b : _ y > < / b : P o i n t > < b : P o i n t > < b : _ x > 9 2 4 . 7 6 2 5 4 8 < / b : _ x > < b : _ y > 4 4 5 . 4 < / b : _ y > < / b : P o i n t > < b : P o i n t > < b : _ x > 6 4 7 . 5 6 7 1 4 7 < / b : _ x > < b : _ y > 4 4 5 . 4 < / b : _ y > < / b : P o i n t > < b : P o i n t > < b : _ x > 6 4 5 . 5 6 7 1 4 7 < / b : _ x > < b : _ y > 4 4 3 . 4 < / b : _ y > < / b : P o i n t > < b : P o i n t > < b : _ x > 6 4 5 . 5 6 7 1 4 7 < / b : _ x > < b : _ y > 3 7 7 . 9 9 9 9 9 9 9 9 9 9 9 9 9 4 < / b : _ y > < / b : P o i n t > < / P o i n t s > < / a : V a l u e > < / a : K e y V a l u e O f D i a g r a m O b j e c t K e y a n y T y p e z b w N T n L X > < a : K e y V a l u e O f D i a g r a m O b j e c t K e y a n y T y p e z b w N T n L X > < a : K e y > < K e y > R e l a t i o n s h i p s \ & l t ; T a b l e s \ f C o v e c k i R e s u r s i \ C o l u m n s \ 5@8>4& g t ; - & l t ; T a b l e s \ C a l e n d a r \ C o l u m n s \ D a t e & g t ; \ F K < / K e y > < / a : K e y > < a : V a l u e   i : t y p e = " D i a g r a m D i s p l a y L i n k E n d p o i n t V i e w S t a t e " > < H e i g h t > 1 6 < / H e i g h t > < L a b e l L o c a t i o n   x m l n s : b = " h t t p : / / s c h e m a s . d a t a c o n t r a c t . o r g / 2 0 0 4 / 0 7 / S y s t e m . W i n d o w s " > < b : _ x > 9 1 8 . 7 6 2 5 4 8 0 0 0 0 0 0 1 5 < / b : _ x > < b : _ y > 4 9 7 . 7 9 9 9 9 9 9 9 9 9 9 9 7 8 < / b : _ y > < / L a b e l L o c a t i o n > < L o c a t i o n   x m l n s : b = " h t t p : / / s c h e m a s . d a t a c o n t r a c t . o r g / 2 0 0 4 / 0 7 / S y s t e m . W i n d o w s " > < b : _ x > 9 2 6 . 7 6 2 5 4 8 < / b : _ x > < b : _ y > 5 1 3 . 7 9 9 9 9 9 9 9 9 9 9 9 7 3 < / b : _ y > < / L o c a t i o n > < S h a p e R o t a t e A n g l e > 2 7 0 . 0 0 0 0 0 0 0 0 0 0 0 0 4 < / S h a p e R o t a t e A n g l e > < W i d t h > 1 6 < / W i d t h > < / a : V a l u e > < / a : K e y V a l u e O f D i a g r a m O b j e c t K e y a n y T y p e z b w N T n L X > < a : K e y V a l u e O f D i a g r a m O b j e c t K e y a n y T y p e z b w N T n L X > < a : K e y > < K e y > R e l a t i o n s h i p s \ & l t ; T a b l e s \ f C o v e c k i R e s u r s i \ C o l u m n s \ 5@8>4& g t ; - & l t ; T a b l e s \ C a l e n d a r \ C o l u m n s \ D a t e & g t ; \ P K < / K e y > < / a : K e y > < a : V a l u e   i : t y p e = " D i a g r a m D i s p l a y L i n k E n d p o i n t V i e w S t a t e " > < H e i g h t > 1 6 < / H e i g h t > < L a b e l L o c a t i o n   x m l n s : b = " h t t p : / / s c h e m a s . d a t a c o n t r a c t . o r g / 2 0 0 4 / 0 7 / S y s t e m . W i n d o w s " > < b : _ x > 6 3 7 . 5 6 7 1 4 7 < / b : _ x > < b : _ y > 3 6 1 . 9 9 9 9 9 9 9 9 9 9 9 9 9 4 < / b : _ y > < / L a b e l L o c a t i o n > < L o c a t i o n   x m l n s : b = " h t t p : / / s c h e m a s . d a t a c o n t r a c t . o r g / 2 0 0 4 / 0 7 / S y s t e m . W i n d o w s " > < b : _ x > 6 4 5 . 5 6 7 1 4 7 < / b : _ x > < b : _ y > 3 6 1 . 9 9 9 9 9 9 9 9 9 9 9 9 9 4 < / b : _ y > < / L o c a t i o n > < S h a p e R o t a t e A n g l e > 9 0 < / S h a p e R o t a t e A n g l e > < W i d t h > 1 6 < / W i d t h > < / a : V a l u e > < / a : K e y V a l u e O f D i a g r a m O b j e c t K e y a n y T y p e z b w N T n L X > < a : K e y V a l u e O f D i a g r a m O b j e c t K e y a n y T y p e z b w N T n L X > < a : K e y > < K e y > R e l a t i o n s h i p s \ & l t ; T a b l e s \ f C o v e c k i R e s u r s i \ C o l u m n s \ 5@8>4& g t ; - & l t ; T a b l e s \ C a l e n d a r \ C o l u m n s \ D a t e & g t ; \ C r o s s F i l t e r < / K e y > < / a : K e y > < a : V a l u e   i : t y p e = " D i a g r a m D i s p l a y L i n k C r o s s F i l t e r V i e w S t a t e " > < P o i n t s   x m l n s : b = " h t t p : / / s c h e m a s . d a t a c o n t r a c t . o r g / 2 0 0 4 / 0 7 / S y s t e m . W i n d o w s " > < b : P o i n t > < b : _ x > 9 2 6 . 7 6 2 5 4 8 0 0 0 0 0 0 1 5 < / b : _ x > < b : _ y > 4 9 7 . 7 9 9 9 9 9 9 9 9 9 9 9 7 8 < / b : _ y > < / b : P o i n t > < b : P o i n t > < b : _ x > 9 2 6 . 7 6 2 5 4 8 < / b : _ x > < b : _ y > 4 4 7 . 4 < / b : _ y > < / b : P o i n t > < b : P o i n t > < b : _ x > 9 2 4 . 7 6 2 5 4 8 < / b : _ x > < b : _ y > 4 4 5 . 4 < / b : _ y > < / b : P o i n t > < b : P o i n t > < b : _ x > 6 4 7 . 5 6 7 1 4 7 < / b : _ x > < b : _ y > 4 4 5 . 4 < / b : _ y > < / b : P o i n t > < b : P o i n t > < b : _ x > 6 4 5 . 5 6 7 1 4 7 < / b : _ x > < b : _ y > 4 4 3 . 4 < / b : _ y > < / b : P o i n t > < b : P o i n t > < b : _ x > 6 4 5 . 5 6 7 1 4 7 < / b : _ x > < b : _ y > 3 7 7 . 9 9 9 9 9 9 9 9 9 9 9 9 9 4 < / b : _ y > < / b : P o i n t > < / P o i n t s > < / a : V a l u e > < / a : K e y V a l u e O f D i a g r a m O b j e c t K e y a n y T y p e z b w N T n L X > < a : K e y V a l u e O f D i a g r a m O b j e c t K e y a n y T y p e z b w N T n L X > < a : K e y > < K e y > R e l a t i o n s h i p s \ & l t ; T a b l e s \ f A c t u a l A n d B u d g e t \ C o l u m n s \ 5@8>4& g t ; - & l t ; T a b l e s \ C a l e n d a r \ C o l u m n s \ D a t e & g t ; < / K e y > < / a : K e y > < a : V a l u e   i : t y p e = " D i a g r a m D i s p l a y L i n k V i e w S t a t e " > < A u t o m a t i o n P r o p e r t y H e l p e r T e x t > E n d   p o i n t   1 :   ( 2 9 6 . 8 , 2 1 6 . 2 ) .   E n d   p o i n t   2 :   ( 5 3 1 . 6 1 5 2 4 2 2 7 0 6 6 4 , 1 9 3 . 6 )   < / A u t o m a t i o n P r o p e r t y H e l p e r T e x t > < L a y e d O u t > t r u e < / L a y e d O u t > < P o i n t s   x m l n s : b = " h t t p : / / s c h e m a s . d a t a c o n t r a c t . o r g / 2 0 0 4 / 0 7 / S y s t e m . W i n d o w s " > < b : P o i n t > < b : _ x > 2 9 6 . 8 0 0 0 0 0 0 0 0 0 0 0 0 7 < / b : _ x > < b : _ y > 2 1 6 . 2 < / b : _ y > < / b : P o i n t > < b : P o i n t > < b : _ x > 4 1 2 . 2 0 7 6 2 1 < / b : _ x > < b : _ y > 2 1 6 . 2 < / b : _ y > < / b : P o i n t > < b : P o i n t > < b : _ x > 4 1 4 . 2 0 7 6 2 1 < / b : _ x > < b : _ y > 2 1 4 . 2 < / b : _ y > < / b : P o i n t > < b : P o i n t > < b : _ x > 4 1 4 . 2 0 7 6 2 1 < / b : _ x > < b : _ y > 1 9 5 . 6 < / b : _ y > < / b : P o i n t > < b : P o i n t > < b : _ x > 4 1 6 . 2 0 7 6 2 1 < / b : _ x > < b : _ y > 1 9 3 . 6 < / b : _ y > < / b : P o i n t > < b : P o i n t > < b : _ x > 5 3 1 . 6 1 5 2 4 2 2 7 0 6 6 4 1 1 < / b : _ x > < b : _ y > 1 9 3 . 6 < / b : _ y > < / b : P o i n t > < / P o i n t s > < / a : V a l u e > < / a : K e y V a l u e O f D i a g r a m O b j e c t K e y a n y T y p e z b w N T n L X > < a : K e y V a l u e O f D i a g r a m O b j e c t K e y a n y T y p e z b w N T n L X > < a : K e y > < K e y > R e l a t i o n s h i p s \ & l t ; T a b l e s \ f A c t u a l A n d B u d g e t \ C o l u m n s \ 5@8>4& g t ; - & l t ; T a b l e s \ C a l e n d a r \ C o l u m n s \ D a t e & g t ; \ F K < / K e y > < / a : K e y > < a : V a l u e   i : t y p e = " D i a g r a m D i s p l a y L i n k E n d p o i n t V i e w S t a t e " > < H e i g h t > 1 6 < / H e i g h t > < L a b e l L o c a t i o n   x m l n s : b = " h t t p : / / s c h e m a s . d a t a c o n t r a c t . o r g / 2 0 0 4 / 0 7 / S y s t e m . W i n d o w s " > < b : _ x > 2 8 0 . 8 0 0 0 0 0 0 0 0 0 0 0 0 7 < / b : _ x > < b : _ y > 2 0 8 . 2 < / b : _ y > < / L a b e l L o c a t i o n > < L o c a t i o n   x m l n s : b = " h t t p : / / s c h e m a s . d a t a c o n t r a c t . o r g / 2 0 0 4 / 0 7 / S y s t e m . W i n d o w s " > < b : _ x > 2 8 0 . 8 0 0 0 0 0 0 0 0 0 0 0 0 7 < / b : _ x > < b : _ y > 2 1 6 . 2 < / b : _ y > < / L o c a t i o n > < S h a p e R o t a t e A n g l e > 3 6 0 < / S h a p e R o t a t e A n g l e > < W i d t h > 1 6 < / W i d t h > < / a : V a l u e > < / a : K e y V a l u e O f D i a g r a m O b j e c t K e y a n y T y p e z b w N T n L X > < a : K e y V a l u e O f D i a g r a m O b j e c t K e y a n y T y p e z b w N T n L X > < a : K e y > < K e y > R e l a t i o n s h i p s \ & l t ; T a b l e s \ f A c t u a l A n d B u d g e t \ C o l u m n s \ 5@8>4& g t ; - & l t ; T a b l e s \ C a l e n d a r \ C o l u m n s \ D a t e & g t ; \ P K < / K e y > < / a : K e y > < a : V a l u e   i : t y p e = " D i a g r a m D i s p l a y L i n k E n d p o i n t V i e w S t a t e " > < H e i g h t > 1 6 < / H e i g h t > < L a b e l L o c a t i o n   x m l n s : b = " h t t p : / / s c h e m a s . d a t a c o n t r a c t . o r g / 2 0 0 4 / 0 7 / S y s t e m . W i n d o w s " > < b : _ x > 5 3 1 . 6 1 5 2 4 2 2 7 0 6 6 4 1 1 < / b : _ x > < b : _ y > 1 8 5 . 6 < / b : _ y > < / L a b e l L o c a t i o n > < L o c a t i o n   x m l n s : b = " h t t p : / / s c h e m a s . d a t a c o n t r a c t . o r g / 2 0 0 4 / 0 7 / S y s t e m . W i n d o w s " > < b : _ x > 5 4 7 . 6 1 5 2 4 2 2 7 0 6 6 4 1 1 < / b : _ x > < b : _ y > 1 9 3 . 6 < / b : _ y > < / L o c a t i o n > < S h a p e R o t a t e A n g l e > 1 8 0 < / S h a p e R o t a t e A n g l e > < W i d t h > 1 6 < / W i d t h > < / a : V a l u e > < / a : K e y V a l u e O f D i a g r a m O b j e c t K e y a n y T y p e z b w N T n L X > < a : K e y V a l u e O f D i a g r a m O b j e c t K e y a n y T y p e z b w N T n L X > < a : K e y > < K e y > R e l a t i o n s h i p s \ & l t ; T a b l e s \ f A c t u a l A n d B u d g e t \ C o l u m n s \ 5@8>4& g t ; - & l t ; T a b l e s \ C a l e n d a r \ C o l u m n s \ D a t e & g t ; \ C r o s s F i l t e r < / K e y > < / a : K e y > < a : V a l u e   i : t y p e = " D i a g r a m D i s p l a y L i n k C r o s s F i l t e r V i e w S t a t e " > < P o i n t s   x m l n s : b = " h t t p : / / s c h e m a s . d a t a c o n t r a c t . o r g / 2 0 0 4 / 0 7 / S y s t e m . W i n d o w s " > < b : P o i n t > < b : _ x > 2 9 6 . 8 0 0 0 0 0 0 0 0 0 0 0 0 7 < / b : _ x > < b : _ y > 2 1 6 . 2 < / b : _ y > < / b : P o i n t > < b : P o i n t > < b : _ x > 4 1 2 . 2 0 7 6 2 1 < / b : _ x > < b : _ y > 2 1 6 . 2 < / b : _ y > < / b : P o i n t > < b : P o i n t > < b : _ x > 4 1 4 . 2 0 7 6 2 1 < / b : _ x > < b : _ y > 2 1 4 . 2 < / b : _ y > < / b : P o i n t > < b : P o i n t > < b : _ x > 4 1 4 . 2 0 7 6 2 1 < / b : _ x > < b : _ y > 1 9 5 . 6 < / b : _ y > < / b : P o i n t > < b : P o i n t > < b : _ x > 4 1 6 . 2 0 7 6 2 1 < / b : _ x > < b : _ y > 1 9 3 . 6 < / b : _ y > < / b : P o i n t > < b : P o i n t > < b : _ x > 5 3 1 . 6 1 5 2 4 2 2 7 0 6 6 4 1 1 < / b : _ x > < b : _ y > 1 9 3 . 6 < / b : _ y > < / b : P o i n t > < / P o i n t s > < / a : V a l u e > < / a : K e y V a l u e O f D i a g r a m O b j e c t K e y a n y T y p e z b w N T n L X > < a : K e y V a l u e O f D i a g r a m O b j e c t K e y a n y T y p e z b w N T n L X > < a : K e y > < K e y > R e l a t i o n s h i p s \ & l t ; T a b l e s \ f O P E X \ C o l u m n s \ 5@8>4& g t ; - & l t ; T a b l e s \ C a l e n d a r \ C o l u m n s \ D a t e & g t ; < / K e y > < / a : K e y > < a : V a l u e   i : t y p e = " D i a g r a m D i s p l a y L i n k V i e w S t a t e " > < A u t o m a t i o n P r o p e r t y H e l p e r T e x t > E n d   p o i n t   1 :   ( 8 8 0 . 5 2 6 6 7 3 9 7 3 6 6 1 , 1 4 0 . 2 ) .   E n d   p o i n t   2 :   ( 7 6 3 . 6 1 5 2 4 2 2 7 0 6 6 4 , 1 8 3 . 6 )   < / A u t o m a t i o n P r o p e r t y H e l p e r T e x t > < L a y e d O u t > t r u e < / L a y e d O u t > < P o i n t s   x m l n s : b = " h t t p : / / s c h e m a s . d a t a c o n t r a c t . o r g / 2 0 0 4 / 0 7 / S y s t e m . W i n d o w s " > < b : P o i n t > < b : _ x > 8 8 0 . 5 2 6 6 7 3 9 7 3 6 6 1 2 2 < / b : _ x > < b : _ y > 1 4 0 . 2 < / b : _ y > < / b : P o i n t > < b : P o i n t > < b : _ x > 8 2 4 . 0 7 0 9 5 8 < / b : _ x > < b : _ y > 1 4 0 . 2 < / b : _ y > < / b : P o i n t > < b : P o i n t > < b : _ x > 8 2 2 . 0 7 0 9 5 8 < / b : _ x > < b : _ y > 1 4 2 . 2 < / b : _ y > < / b : P o i n t > < b : P o i n t > < b : _ x > 8 2 2 . 0 7 0 9 5 8 < / b : _ x > < b : _ y > 1 8 1 . 6 < / b : _ y > < / b : P o i n t > < b : P o i n t > < b : _ x > 8 2 0 . 0 7 0 9 5 8 < / b : _ x > < b : _ y > 1 8 3 . 6 < / b : _ y > < / b : P o i n t > < b : P o i n t > < b : _ x > 7 6 3 . 6 1 5 2 4 2 2 7 0 6 6 4 1 1 < / b : _ x > < b : _ y > 1 8 3 . 6 0 0 0 0 0 0 0 0 0 0 0 0 2 < / b : _ y > < / b : P o i n t > < / P o i n t s > < / a : V a l u e > < / a : K e y V a l u e O f D i a g r a m O b j e c t K e y a n y T y p e z b w N T n L X > < a : K e y V a l u e O f D i a g r a m O b j e c t K e y a n y T y p e z b w N T n L X > < a : K e y > < K e y > R e l a t i o n s h i p s \ & l t ; T a b l e s \ f O P E X \ C o l u m n s \ 5@8>4& g t ; - & l t ; T a b l e s \ C a l e n d a r \ C o l u m n s \ D a t e & g t ; \ F K < / K e y > < / a : K e y > < a : V a l u e   i : t y p e = " D i a g r a m D i s p l a y L i n k E n d p o i n t V i e w S t a t e " > < H e i g h t > 1 6 < / H e i g h t > < L a b e l L o c a t i o n   x m l n s : b = " h t t p : / / s c h e m a s . d a t a c o n t r a c t . o r g / 2 0 0 4 / 0 7 / S y s t e m . W i n d o w s " > < b : _ x > 8 8 0 . 5 2 6 6 7 3 9 7 3 6 6 1 2 2 < / b : _ x > < b : _ y > 1 3 2 . 2 < / b : _ y > < / L a b e l L o c a t i o n > < L o c a t i o n   x m l n s : b = " h t t p : / / s c h e m a s . d a t a c o n t r a c t . o r g / 2 0 0 4 / 0 7 / S y s t e m . W i n d o w s " > < b : _ x > 8 9 6 . 5 2 6 6 7 3 9 7 3 6 6 1 2 2 < / b : _ x > < b : _ y > 1 4 0 . 2 < / b : _ y > < / L o c a t i o n > < S h a p e R o t a t e A n g l e > 1 8 0 < / S h a p e R o t a t e A n g l e > < W i d t h > 1 6 < / W i d t h > < / a : V a l u e > < / a : K e y V a l u e O f D i a g r a m O b j e c t K e y a n y T y p e z b w N T n L X > < a : K e y V a l u e O f D i a g r a m O b j e c t K e y a n y T y p e z b w N T n L X > < a : K e y > < K e y > R e l a t i o n s h i p s \ & l t ; T a b l e s \ f O P E X \ C o l u m n s \ 5@8>4& g t ; - & l t ; T a b l e s \ C a l e n d a r \ C o l u m n s \ D a t e & g t ; \ P K < / K e y > < / a : K e y > < a : V a l u e   i : t y p e = " D i a g r a m D i s p l a y L i n k E n d p o i n t V i e w S t a t e " > < H e i g h t > 1 6 < / H e i g h t > < L a b e l L o c a t i o n   x m l n s : b = " h t t p : / / s c h e m a s . d a t a c o n t r a c t . o r g / 2 0 0 4 / 0 7 / S y s t e m . W i n d o w s " > < b : _ x > 7 4 7 . 6 1 5 2 4 2 2 7 0 6 6 4 1 1 < / b : _ x > < b : _ y > 1 7 5 . 6 0 0 0 0 0 0 0 0 0 0 0 0 2 < / b : _ y > < / L a b e l L o c a t i o n > < L o c a t i o n   x m l n s : b = " h t t p : / / s c h e m a s . d a t a c o n t r a c t . o r g / 2 0 0 4 / 0 7 / S y s t e m . W i n d o w s " > < b : _ x > 7 4 7 . 6 1 5 2 4 2 2 7 0 6 6 4 1 1 < / b : _ x > < b : _ y > 1 8 3 . 6 < / b : _ y > < / L o c a t i o n > < S h a p e R o t a t e A n g l e > 1 . 1 3 6 8 6 8 3 7 7 2 1 6 1 6 0 3 E - 1 3 < / S h a p e R o t a t e A n g l e > < W i d t h > 1 6 < / W i d t h > < / a : V a l u e > < / a : K e y V a l u e O f D i a g r a m O b j e c t K e y a n y T y p e z b w N T n L X > < a : K e y V a l u e O f D i a g r a m O b j e c t K e y a n y T y p e z b w N T n L X > < a : K e y > < K e y > R e l a t i o n s h i p s \ & l t ; T a b l e s \ f O P E X \ C o l u m n s \ 5@8>4& g t ; - & l t ; T a b l e s \ C a l e n d a r \ C o l u m n s \ D a t e & g t ; \ C r o s s F i l t e r < / K e y > < / a : K e y > < a : V a l u e   i : t y p e = " D i a g r a m D i s p l a y L i n k C r o s s F i l t e r V i e w S t a t e " > < P o i n t s   x m l n s : b = " h t t p : / / s c h e m a s . d a t a c o n t r a c t . o r g / 2 0 0 4 / 0 7 / S y s t e m . W i n d o w s " > < b : P o i n t > < b : _ x > 8 8 0 . 5 2 6 6 7 3 9 7 3 6 6 1 2 2 < / b : _ x > < b : _ y > 1 4 0 . 2 < / b : _ y > < / b : P o i n t > < b : P o i n t > < b : _ x > 8 2 4 . 0 7 0 9 5 8 < / b : _ x > < b : _ y > 1 4 0 . 2 < / b : _ y > < / b : P o i n t > < b : P o i n t > < b : _ x > 8 2 2 . 0 7 0 9 5 8 < / b : _ x > < b : _ y > 1 4 2 . 2 < / b : _ y > < / b : P o i n t > < b : P o i n t > < b : _ x > 8 2 2 . 0 7 0 9 5 8 < / b : _ x > < b : _ y > 1 8 1 . 6 < / b : _ y > < / b : P o i n t > < b : P o i n t > < b : _ x > 8 2 0 . 0 7 0 9 5 8 < / b : _ x > < b : _ y > 1 8 3 . 6 < / b : _ y > < / b : P o i n t > < b : P o i n t > < b : _ x > 7 6 3 . 6 1 5 2 4 2 2 7 0 6 6 4 1 1 < / b : _ x > < b : _ y > 1 8 3 . 6 0 0 0 0 0 0 0 0 0 0 0 0 2 < / b : _ y > < / b : P o i n t > < / P o i n t s > < / a : V a l u e > < / a : K e y V a l u e O f D i a g r a m O b j e c t K e y a n y T y p e z b w N T n L X > < a : K e y V a l u e O f D i a g r a m O b j e c t K e y a n y T y p e z b w N T n L X > < a : K e y > < K e y > R e l a t i o n s h i p s \ & l t ; T a b l e s \ O P E X A n a l i z a \ C o l u m n s \ 5@8>4& g t ; - & l t ; T a b l e s \ C a l e n d a r \ C o l u m n s \ D a t e & g t ; < / K e y > < / a : K e y > < a : V a l u e   i : t y p e = " D i a g r a m D i s p l a y L i n k V i e w S t a t e " > < A u t o m a t i o n P r o p e r t y H e l p e r T e x t > E n d   p o i n t   1 :   ( 1 4 3 8 . 7 3 4 2 9 5 1 0 8 9 9 , 2 2 8 ) .   E n d   p o i n t   2 :   ( 7 6 3 . 6 1 5 2 4 2 2 7 0 6 6 4 , 2 0 3 . 6 )   < / A u t o m a t i o n P r o p e r t y H e l p e r T e x t > < L a y e d O u t > t r u e < / L a y e d O u t > < P o i n t s   x m l n s : b = " h t t p : / / s c h e m a s . d a t a c o n t r a c t . o r g / 2 0 0 4 / 0 7 / S y s t e m . W i n d o w s " > < b : P o i n t > < b : _ x > 1 4 3 8 . 7 3 4 2 9 5 1 0 8 9 9 3 1 < / b : _ x > < b : _ y > 2 2 8 < / b : _ y > < / b : P o i n t > < b : P o i n t > < b : _ x > 1 1 6 7 . 8 8 0 4 8 4 5 < / b : _ x > < b : _ y > 2 2 8 < / b : _ y > < / b : P o i n t > < b : P o i n t > < b : _ x > 1 1 6 5 . 8 8 0 4 8 4 5 < / b : _ x > < b : _ y > 2 3 0 < / b : _ y > < / b : P o i n t > < b : P o i n t > < b : _ x > 1 1 6 5 . 8 8 0 4 8 4 5 < / b : _ x > < b : _ y > 2 9 7 . 9 < / b : _ y > < / b : P o i n t > < b : P o i n t > < b : _ x > 1 1 6 3 . 8 8 0 4 8 4 5 < / b : _ x > < b : _ y > 2 9 9 . 9 < / b : _ y > < / b : P o i n t > < b : P o i n t > < b : _ x > 8 7 9 . 0 2 6 6 7 4 0 0 4 5 < / b : _ x > < b : _ y > 2 9 9 . 9 < / b : _ y > < / b : P o i n t > < b : P o i n t > < b : _ x > 8 7 7 . 0 2 6 6 7 4 0 0 4 5 < / b : _ x > < b : _ y > 2 9 7 . 9 < / b : _ y > < / b : P o i n t > < b : P o i n t > < b : _ x > 8 7 7 . 0 2 6 6 7 4 0 0 4 5 < / b : _ x > < b : _ y > 2 0 5 . 6 < / b : _ y > < / b : P o i n t > < b : P o i n t > < b : _ x > 8 7 5 . 0 2 6 6 7 4 0 0 4 5 < / b : _ x > < b : _ y > 2 0 3 . 6 < / b : _ y > < / b : P o i n t > < b : P o i n t > < b : _ x > 7 6 3 . 6 1 5 2 4 2 2 7 0 6 6 4 3 4 < / b : _ x > < b : _ y > 2 0 3 . 6 < / b : _ y > < / b : P o i n t > < / P o i n t s > < / a : V a l u e > < / a : K e y V a l u e O f D i a g r a m O b j e c t K e y a n y T y p e z b w N T n L X > < a : K e y V a l u e O f D i a g r a m O b j e c t K e y a n y T y p e z b w N T n L X > < a : K e y > < K e y > R e l a t i o n s h i p s \ & l t ; T a b l e s \ O P E X A n a l i z a \ C o l u m n s \ 5@8>4& g t ; - & l t ; T a b l e s \ C a l e n d a r \ C o l u m n s \ D a t e & g t ; \ F K < / K e y > < / a : K e y > < a : V a l u e   i : t y p e = " D i a g r a m D i s p l a y L i n k E n d p o i n t V i e w S t a t e " > < H e i g h t > 1 6 < / H e i g h t > < L a b e l L o c a t i o n   x m l n s : b = " h t t p : / / s c h e m a s . d a t a c o n t r a c t . o r g / 2 0 0 4 / 0 7 / S y s t e m . W i n d o w s " > < b : _ x > 1 4 3 8 . 7 3 4 2 9 5 1 0 8 9 9 3 1 < / b : _ x > < b : _ y > 2 2 0 < / b : _ y > < / L a b e l L o c a t i o n > < L o c a t i o n   x m l n s : b = " h t t p : / / s c h e m a s . d a t a c o n t r a c t . o r g / 2 0 0 4 / 0 7 / S y s t e m . W i n d o w s " > < b : _ x > 1 4 5 4 . 7 3 4 2 9 5 1 0 8 9 9 3 1 < / b : _ x > < b : _ y > 2 2 8 < / b : _ y > < / L o c a t i o n > < S h a p e R o t a t e A n g l e > 1 8 0 < / S h a p e R o t a t e A n g l e > < W i d t h > 1 6 < / W i d t h > < / a : V a l u e > < / a : K e y V a l u e O f D i a g r a m O b j e c t K e y a n y T y p e z b w N T n L X > < a : K e y V a l u e O f D i a g r a m O b j e c t K e y a n y T y p e z b w N T n L X > < a : K e y > < K e y > R e l a t i o n s h i p s \ & l t ; T a b l e s \ O P E X A n a l i z a \ C o l u m n s \ 5@8>4& g t ; - & l t ; T a b l e s \ C a l e n d a r \ C o l u m n s \ D a t e & g t ; \ P K < / K e y > < / a : K e y > < a : V a l u e   i : t y p e = " D i a g r a m D i s p l a y L i n k E n d p o i n t V i e w S t a t e " > < H e i g h t > 1 6 < / H e i g h t > < L a b e l L o c a t i o n   x m l n s : b = " h t t p : / / s c h e m a s . d a t a c o n t r a c t . o r g / 2 0 0 4 / 0 7 / S y s t e m . W i n d o w s " > < b : _ x > 7 4 7 . 6 1 5 2 4 2 2 7 0 6 6 4 3 4 < / b : _ x > < b : _ y > 1 9 5 . 6 < / b : _ y > < / L a b e l L o c a t i o n > < L o c a t i o n   x m l n s : b = " h t t p : / / s c h e m a s . d a t a c o n t r a c t . o r g / 2 0 0 4 / 0 7 / S y s t e m . W i n d o w s " > < b : _ x > 7 4 7 . 6 1 5 2 4 2 2 7 0 6 6 4 2 3 < / b : _ x > < b : _ y > 2 0 3 . 6 < / b : _ y > < / L o c a t i o n > < S h a p e R o t a t e A n g l e > 3 6 0 < / S h a p e R o t a t e A n g l e > < W i d t h > 1 6 < / W i d t h > < / a : V a l u e > < / a : K e y V a l u e O f D i a g r a m O b j e c t K e y a n y T y p e z b w N T n L X > < a : K e y V a l u e O f D i a g r a m O b j e c t K e y a n y T y p e z b w N T n L X > < a : K e y > < K e y > R e l a t i o n s h i p s \ & l t ; T a b l e s \ O P E X A n a l i z a \ C o l u m n s \ 5@8>4& g t ; - & l t ; T a b l e s \ C a l e n d a r \ C o l u m n s \ D a t e & g t ; \ C r o s s F i l t e r < / K e y > < / a : K e y > < a : V a l u e   i : t y p e = " D i a g r a m D i s p l a y L i n k C r o s s F i l t e r V i e w S t a t e " > < P o i n t s   x m l n s : b = " h t t p : / / s c h e m a s . d a t a c o n t r a c t . o r g / 2 0 0 4 / 0 7 / S y s t e m . W i n d o w s " > < b : P o i n t > < b : _ x > 1 4 3 8 . 7 3 4 2 9 5 1 0 8 9 9 3 1 < / b : _ x > < b : _ y > 2 2 8 < / b : _ y > < / b : P o i n t > < b : P o i n t > < b : _ x > 1 1 6 7 . 8 8 0 4 8 4 5 < / b : _ x > < b : _ y > 2 2 8 < / b : _ y > < / b : P o i n t > < b : P o i n t > < b : _ x > 1 1 6 5 . 8 8 0 4 8 4 5 < / b : _ x > < b : _ y > 2 3 0 < / b : _ y > < / b : P o i n t > < b : P o i n t > < b : _ x > 1 1 6 5 . 8 8 0 4 8 4 5 < / b : _ x > < b : _ y > 2 9 7 . 9 < / b : _ y > < / b : P o i n t > < b : P o i n t > < b : _ x > 1 1 6 3 . 8 8 0 4 8 4 5 < / b : _ x > < b : _ y > 2 9 9 . 9 < / b : _ y > < / b : P o i n t > < b : P o i n t > < b : _ x > 8 7 9 . 0 2 6 6 7 4 0 0 4 5 < / b : _ x > < b : _ y > 2 9 9 . 9 < / b : _ y > < / b : P o i n t > < b : P o i n t > < b : _ x > 8 7 7 . 0 2 6 6 7 4 0 0 4 5 < / b : _ x > < b : _ y > 2 9 7 . 9 < / b : _ y > < / b : P o i n t > < b : P o i n t > < b : _ x > 8 7 7 . 0 2 6 6 7 4 0 0 4 5 < / b : _ x > < b : _ y > 2 0 5 . 6 < / b : _ y > < / b : P o i n t > < b : P o i n t > < b : _ x > 8 7 5 . 0 2 6 6 7 4 0 0 4 5 < / b : _ x > < b : _ y > 2 0 3 . 6 < / b : _ y > < / b : P o i n t > < b : P o i n t > < b : _ x > 7 6 3 . 6 1 5 2 4 2 2 7 0 6 6 4 3 4 < / b : _ x > < b : _ y > 2 0 3 . 6 < / b : _ y > < / b : P o i n t > < / P o i n t s > < / a : V a l u e > < / a : K e y V a l u e O f D i a g r a m O b j e c t K e y a n y T y p e z b w N T n L X > < a : K e y V a l u e O f D i a g r a m O b j e c t K e y a n y T y p e z b w N T n L X > < a : K e y > < K e y > R e l a t i o n s h i p s \ & l t ; T a b l e s \ r A r t i k l i A n a l i z a \ C o l u m n s \ >=B>& g t ; - & l t ; T a b l e s \ C a l e n d a r \ C o l u m n s \ D a t e & g t ; < / K e y > < / a : K e y > < a : V a l u e   i : t y p e = " D i a g r a m D i s p l a y L i n k V i e w S t a t e " > < A u t o m a t i o n P r o p e r t y H e l p e r T e x t > E n d   p o i n t   1 :   ( 1 1 4 0 . 5 4 1 9 1 6 2 4 4 3 2 , 4 8 1 . 8 ) .   E n d   p o i n t   2 :   ( 6 8 5 . 5 6 7 1 4 7 , 3 7 8 )   < / A u t o m a t i o n P r o p e r t y H e l p e r T e x t > < L a y e d O u t > t r u e < / L a y e d O u t > < P o i n t s   x m l n s : b = " h t t p : / / s c h e m a s . d a t a c o n t r a c t . o r g / 2 0 0 4 / 0 7 / S y s t e m . W i n d o w s " > < b : P o i n t > < b : _ x > 1 1 4 0 . 5 4 1 9 1 6 2 4 4 3 2 5 < / b : _ x > < b : _ y > 4 8 1 . 7 9 9 9 9 9 9 9 9 9 9 9 9 5 < / b : _ y > < / b : P o i n t > < b : P o i n t > < b : _ x > 9 8 9 . 9 0 6 4 3 6 9 9 9 9 9 9 8 7 < / b : _ x > < b : _ y > 4 8 1 . 8 < / b : _ y > < / b : P o i n t > < b : P o i n t > < b : _ x > 9 8 7 . 9 0 6 4 3 6 9 9 9 9 9 9 8 7 < / b : _ x > < b : _ y > 4 7 9 . 8 < / b : _ y > < / b : P o i n t > < b : P o i n t > < b : _ x > 9 8 7 . 9 0 6 4 3 6 9 9 9 9 9 9 8 7 < / b : _ x > < b : _ y > 4 0 1 . 7 < / b : _ y > < / b : P o i n t > < b : P o i n t > < b : _ x > 9 8 5 . 9 0 6 4 3 6 9 9 9 9 9 9 8 7 < / b : _ x > < b : _ y > 3 9 9 . 7 < / b : _ y > < / b : P o i n t > < b : P o i n t > < b : _ x > 6 8 7 . 5 6 7 1 4 7 < / b : _ x > < b : _ y > 3 9 9 . 7 < / b : _ y > < / b : P o i n t > < b : P o i n t > < b : _ x > 6 8 5 . 5 6 7 1 4 7 < / b : _ x > < b : _ y > 3 9 7 . 7 < / b : _ y > < / b : P o i n t > < b : P o i n t > < b : _ x > 6 8 5 . 5 6 7 1 4 7 < / b : _ x > < b : _ y > 3 7 8 < / b : _ y > < / b : P o i n t > < / P o i n t s > < / a : V a l u e > < / a : K e y V a l u e O f D i a g r a m O b j e c t K e y a n y T y p e z b w N T n L X > < a : K e y V a l u e O f D i a g r a m O b j e c t K e y a n y T y p e z b w N T n L X > < a : K e y > < K e y > R e l a t i o n s h i p s \ & l t ; T a b l e s \ r A r t i k l i A n a l i z a \ C o l u m n s \ >=B>& g t ; - & l t ; T a b l e s \ C a l e n d a r \ C o l u m n s \ D a t e & g t ; \ F K < / K e y > < / a : K e y > < a : V a l u e   i : t y p e = " D i a g r a m D i s p l a y L i n k E n d p o i n t V i e w S t a t e " > < H e i g h t > 1 6 < / H e i g h t > < L a b e l L o c a t i o n   x m l n s : b = " h t t p : / / s c h e m a s . d a t a c o n t r a c t . o r g / 2 0 0 4 / 0 7 / S y s t e m . W i n d o w s " > < b : _ x > 1 1 4 0 . 5 4 1 9 1 6 2 4 4 3 2 5 < / b : _ x > < b : _ y > 4 7 3 . 7 9 9 9 9 9 9 9 9 9 9 9 9 5 < / b : _ y > < / L a b e l L o c a t i o n > < L o c a t i o n   x m l n s : b = " h t t p : / / s c h e m a s . d a t a c o n t r a c t . o r g / 2 0 0 4 / 0 7 / S y s t e m . W i n d o w s " > < b : _ x > 1 1 5 6 . 5 4 1 9 1 6 2 4 4 3 2 5 < / b : _ x > < b : _ y > 4 8 1 . 7 9 9 9 9 9 9 9 9 9 9 9 9 5 < / b : _ y > < / L o c a t i o n > < S h a p e R o t a t e A n g l e > 1 8 0 < / S h a p e R o t a t e A n g l e > < W i d t h > 1 6 < / W i d t h > < / a : V a l u e > < / a : K e y V a l u e O f D i a g r a m O b j e c t K e y a n y T y p e z b w N T n L X > < a : K e y V a l u e O f D i a g r a m O b j e c t K e y a n y T y p e z b w N T n L X > < a : K e y > < K e y > R e l a t i o n s h i p s \ & l t ; T a b l e s \ r A r t i k l i A n a l i z a \ C o l u m n s \ >=B>& g t ; - & l t ; T a b l e s \ C a l e n d a r \ C o l u m n s \ D a t e & g t ; \ P K < / K e y > < / a : K e y > < a : V a l u e   i : t y p e = " D i a g r a m D i s p l a y L i n k E n d p o i n t V i e w S t a t e " > < H e i g h t > 1 6 < / H e i g h t > < L a b e l L o c a t i o n   x m l n s : b = " h t t p : / / s c h e m a s . d a t a c o n t r a c t . o r g / 2 0 0 4 / 0 7 / S y s t e m . W i n d o w s " > < b : _ x > 6 7 7 . 5 6 7 1 4 7 < / b : _ x > < b : _ y > 3 6 2 < / b : _ y > < / L a b e l L o c a t i o n > < L o c a t i o n   x m l n s : b = " h t t p : / / s c h e m a s . d a t a c o n t r a c t . o r g / 2 0 0 4 / 0 7 / S y s t e m . W i n d o w s " > < b : _ x > 6 8 5 . 5 6 7 1 4 7 < / b : _ x > < b : _ y > 3 6 2 < / b : _ y > < / L o c a t i o n > < S h a p e R o t a t e A n g l e > 9 0 < / S h a p e R o t a t e A n g l e > < W i d t h > 1 6 < / W i d t h > < / a : V a l u e > < / a : K e y V a l u e O f D i a g r a m O b j e c t K e y a n y T y p e z b w N T n L X > < a : K e y V a l u e O f D i a g r a m O b j e c t K e y a n y T y p e z b w N T n L X > < a : K e y > < K e y > R e l a t i o n s h i p s \ & l t ; T a b l e s \ r A r t i k l i A n a l i z a \ C o l u m n s \ >=B>& g t ; - & l t ; T a b l e s \ C a l e n d a r \ C o l u m n s \ D a t e & g t ; \ C r o s s F i l t e r < / K e y > < / a : K e y > < a : V a l u e   i : t y p e = " D i a g r a m D i s p l a y L i n k C r o s s F i l t e r V i e w S t a t e " > < P o i n t s   x m l n s : b = " h t t p : / / s c h e m a s . d a t a c o n t r a c t . o r g / 2 0 0 4 / 0 7 / S y s t e m . W i n d o w s " > < b : P o i n t > < b : _ x > 1 1 4 0 . 5 4 1 9 1 6 2 4 4 3 2 5 < / b : _ x > < b : _ y > 4 8 1 . 7 9 9 9 9 9 9 9 9 9 9 9 9 5 < / b : _ y > < / b : P o i n t > < b : P o i n t > < b : _ x > 9 8 9 . 9 0 6 4 3 6 9 9 9 9 9 9 8 7 < / b : _ x > < b : _ y > 4 8 1 . 8 < / b : _ y > < / b : P o i n t > < b : P o i n t > < b : _ x > 9 8 7 . 9 0 6 4 3 6 9 9 9 9 9 9 8 7 < / b : _ x > < b : _ y > 4 7 9 . 8 < / b : _ y > < / b : P o i n t > < b : P o i n t > < b : _ x > 9 8 7 . 9 0 6 4 3 6 9 9 9 9 9 9 8 7 < / b : _ x > < b : _ y > 4 0 1 . 7 < / b : _ y > < / b : P o i n t > < b : P o i n t > < b : _ x > 9 8 5 . 9 0 6 4 3 6 9 9 9 9 9 9 8 7 < / b : _ x > < b : _ y > 3 9 9 . 7 < / b : _ y > < / b : P o i n t > < b : P o i n t > < b : _ x > 6 8 7 . 5 6 7 1 4 7 < / b : _ x > < b : _ y > 3 9 9 . 7 < / b : _ y > < / b : P o i n t > < b : P o i n t > < b : _ x > 6 8 5 . 5 6 7 1 4 7 < / b : _ x > < b : _ y > 3 9 7 . 7 < / b : _ y > < / b : P o i n t > < b : P o i n t > < b : _ x > 6 8 5 . 5 6 7 1 4 7 < / b : _ x > < b : _ y > 3 7 8 < / b : _ y > < / b : P o i n t > < / P o i n t s > < / a : V a l u e > < / a : K e y V a l u e O f D i a g r a m O b j e c t K e y a n y T y p e z b w N T n L X > < a : K e y V a l u e O f D i a g r a m O b j e c t K e y a n y T y p e z b w N T n L X > < a : K e y > < K e y > R e l a t i o n s h i p s \ & l t ; T a b l e s \ f C o v e c k i R e s u r s i     2 \ C o l u m n s \ 5@8>4& g t ; - & l t ; T a b l e s \ C a l e n d a r \ C o l u m n s \ D a t e & g t ; < / K e y > < / a : K e y > < a : V a l u e   i : t y p e = " D i a g r a m D i s p l a y L i n k V i e w S t a t e " > < A u t o m a t i o n P r o p e r t y H e l p e r T e x t > E n d   p o i n t   1 :   ( 1 2 7 0 . 6 3 8 1 0 6 , 6 7 8 . 7 ) .   E n d   p o i n t   2 :   ( 6 6 5 . 5 6 7 1 4 7 , 3 7 8 )   < / A u t o m a t i o n P r o p e r t y H e l p e r T e x t > < I s F o c u s e d > t r u e < / I s F o c u s e d > < L a y e d O u t > t r u e < / L a y e d O u t > < P o i n t s   x m l n s : b = " h t t p : / / s c h e m a s . d a t a c o n t r a c t . o r g / 2 0 0 4 / 0 7 / S y s t e m . W i n d o w s " > < b : P o i n t > < b : _ x > 1 2 7 0 . 6 3 8 1 0 6 < / b : _ x > < b : _ y > 6 7 8 . 6 9 9 9 9 9 9 9 9 9 9 9 9 3 < / b : _ y > < / b : P o i n t > < b : P o i n t > < b : _ x > 1 2 7 0 . 6 3 8 1 0 6 < / b : _ x > < b : _ y > 6 6 1 . 7 < / b : _ y > < / b : P o i n t > < b : P o i n t > < b : _ x > 1 2 6 8 . 6 3 8 1 0 6 < / b : _ x > < b : _ y > 6 5 9 . 7 < / b : _ y > < / b : P o i n t > < b : P o i n t > < b : _ x > 1 1 1 6 . 4 2 6 6 7 3 9 9 5 5 < / b : _ x > < b : _ y > 6 5 9 . 7 < / b : _ y > < / b : P o i n t > < b : P o i n t > < b : _ x > 1 1 1 4 . 4 2 6 6 7 3 9 9 5 5 < / b : _ x > < b : _ y > 6 5 7 . 7 < / b : _ y > < / b : P o i n t > < b : P o i n t > < b : _ x > 1 1 1 4 . 4 2 6 6 7 3 9 9 5 5 < / b : _ x > < b : _ y > 4 0 6 . 7 < / b : _ y > < / b : P o i n t > < b : P o i n t > < b : _ x > 1 1 1 2 . 4 2 6 6 7 3 9 9 5 5 < / b : _ x > < b : _ y > 4 0 4 . 7 < / b : _ y > < / b : P o i n t > < b : P o i n t > < b : _ x > 6 6 7 . 5 6 7 1 4 7 < / b : _ x > < b : _ y > 4 0 4 . 7 < / b : _ y > < / b : P o i n t > < b : P o i n t > < b : _ x > 6 6 5 . 5 6 7 1 4 7 < / b : _ x > < b : _ y > 4 0 2 . 7 < / b : _ y > < / b : P o i n t > < b : P o i n t > < b : _ x > 6 6 5 . 5 6 7 1 4 7 < / b : _ x > < b : _ y > 3 7 7 . 9 9 9 9 9 9 9 9 9 9 9 9 8 9 < / b : _ y > < / b : P o i n t > < / P o i n t s > < / a : V a l u e > < / a : K e y V a l u e O f D i a g r a m O b j e c t K e y a n y T y p e z b w N T n L X > < a : K e y V a l u e O f D i a g r a m O b j e c t K e y a n y T y p e z b w N T n L X > < a : K e y > < K e y > R e l a t i o n s h i p s \ & l t ; T a b l e s \ f C o v e c k i R e s u r s i     2 \ C o l u m n s \ 5@8>4& g t ; - & l t ; T a b l e s \ C a l e n d a r \ C o l u m n s \ D a t e & g t ; \ F K < / K e y > < / a : K e y > < a : V a l u e   i : t y p e = " D i a g r a m D i s p l a y L i n k E n d p o i n t V i e w S t a t e " > < H e i g h t > 1 6 < / H e i g h t > < L a b e l L o c a t i o n   x m l n s : b = " h t t p : / / s c h e m a s . d a t a c o n t r a c t . o r g / 2 0 0 4 / 0 7 / S y s t e m . W i n d o w s " > < b : _ x > 1 2 6 2 . 6 3 8 1 0 6 < / b : _ x > < b : _ y > 6 7 8 . 6 9 9 9 9 9 9 9 9 9 9 9 9 3 < / b : _ y > < / L a b e l L o c a t i o n > < L o c a t i o n   x m l n s : b = " h t t p : / / s c h e m a s . d a t a c o n t r a c t . o r g / 2 0 0 4 / 0 7 / S y s t e m . W i n d o w s " > < b : _ x > 1 2 7 0 . 6 3 8 1 0 6 < / b : _ x > < b : _ y > 6 9 4 . 6 9 9 9 9 9 9 9 9 9 9 9 9 3 < / b : _ y > < / L o c a t i o n > < S h a p e R o t a t e A n g l e > 2 7 0 < / S h a p e R o t a t e A n g l e > < W i d t h > 1 6 < / W i d t h > < / a : V a l u e > < / a : K e y V a l u e O f D i a g r a m O b j e c t K e y a n y T y p e z b w N T n L X > < a : K e y V a l u e O f D i a g r a m O b j e c t K e y a n y T y p e z b w N T n L X > < a : K e y > < K e y > R e l a t i o n s h i p s \ & l t ; T a b l e s \ f C o v e c k i R e s u r s i     2 \ C o l u m n s \ 5@8>4& g t ; - & l t ; T a b l e s \ C a l e n d a r \ C o l u m n s \ D a t e & g t ; \ P K < / K e y > < / a : K e y > < a : V a l u e   i : t y p e = " D i a g r a m D i s p l a y L i n k E n d p o i n t V i e w S t a t e " > < H e i g h t > 1 6 < / H e i g h t > < L a b e l L o c a t i o n   x m l n s : b = " h t t p : / / s c h e m a s . d a t a c o n t r a c t . o r g / 2 0 0 4 / 0 7 / S y s t e m . W i n d o w s " > < b : _ x > 6 5 7 . 5 6 7 1 4 7 < / b : _ x > < b : _ y > 3 6 1 . 9 9 9 9 9 9 9 9 9 9 9 9 8 9 < / b : _ y > < / L a b e l L o c a t i o n > < L o c a t i o n   x m l n s : b = " h t t p : / / s c h e m a s . d a t a c o n t r a c t . o r g / 2 0 0 4 / 0 7 / S y s t e m . W i n d o w s " > < b : _ x > 6 6 5 . 5 6 7 1 4 7 < / b : _ x > < b : _ y > 3 6 1 . 9 9 9 9 9 9 9 9 9 9 9 9 8 9 < / b : _ y > < / L o c a t i o n > < S h a p e R o t a t e A n g l e > 9 0 < / S h a p e R o t a t e A n g l e > < W i d t h > 1 6 < / W i d t h > < / a : V a l u e > < / a : K e y V a l u e O f D i a g r a m O b j e c t K e y a n y T y p e z b w N T n L X > < a : K e y V a l u e O f D i a g r a m O b j e c t K e y a n y T y p e z b w N T n L X > < a : K e y > < K e y > R e l a t i o n s h i p s \ & l t ; T a b l e s \ f C o v e c k i R e s u r s i     2 \ C o l u m n s \ 5@8>4& g t ; - & l t ; T a b l e s \ C a l e n d a r \ C o l u m n s \ D a t e & g t ; \ C r o s s F i l t e r < / K e y > < / a : K e y > < a : V a l u e   i : t y p e = " D i a g r a m D i s p l a y L i n k C r o s s F i l t e r V i e w S t a t e " > < P o i n t s   x m l n s : b = " h t t p : / / s c h e m a s . d a t a c o n t r a c t . o r g / 2 0 0 4 / 0 7 / S y s t e m . W i n d o w s " > < b : P o i n t > < b : _ x > 1 2 7 0 . 6 3 8 1 0 6 < / b : _ x > < b : _ y > 6 7 8 . 6 9 9 9 9 9 9 9 9 9 9 9 9 3 < / b : _ y > < / b : P o i n t > < b : P o i n t > < b : _ x > 1 2 7 0 . 6 3 8 1 0 6 < / b : _ x > < b : _ y > 6 6 1 . 7 < / b : _ y > < / b : P o i n t > < b : P o i n t > < b : _ x > 1 2 6 8 . 6 3 8 1 0 6 < / b : _ x > < b : _ y > 6 5 9 . 7 < / b : _ y > < / b : P o i n t > < b : P o i n t > < b : _ x > 1 1 1 6 . 4 2 6 6 7 3 9 9 5 5 < / b : _ x > < b : _ y > 6 5 9 . 7 < / b : _ y > < / b : P o i n t > < b : P o i n t > < b : _ x > 1 1 1 4 . 4 2 6 6 7 3 9 9 5 5 < / b : _ x > < b : _ y > 6 5 7 . 7 < / b : _ y > < / b : P o i n t > < b : P o i n t > < b : _ x > 1 1 1 4 . 4 2 6 6 7 3 9 9 5 5 < / b : _ x > < b : _ y > 4 0 6 . 7 < / b : _ y > < / b : P o i n t > < b : P o i n t > < b : _ x > 1 1 1 2 . 4 2 6 6 7 3 9 9 5 5 < / b : _ x > < b : _ y > 4 0 4 . 7 < / b : _ y > < / b : P o i n t > < b : P o i n t > < b : _ x > 6 6 7 . 5 6 7 1 4 7 < / b : _ x > < b : _ y > 4 0 4 . 7 < / b : _ y > < / b : P o i n t > < b : P o i n t > < b : _ x > 6 6 5 . 5 6 7 1 4 7 < / b : _ x > < b : _ y > 4 0 2 . 7 < / b : _ y > < / b : P o i n t > < b : P o i n t > < b : _ x > 6 6 5 . 5 6 7 1 4 7 < / b : _ x > < b : _ y > 3 7 7 . 9 9 9 9 9 9 9 9 9 9 9 9 8 9 < / b : _ y > < / b : P o i n t > < / P o i n t s > < / a : V a l u e > < / a : K e y V a l u e O f D i a g r a m O b j e c t K e y a n y T y p e z b w N T n L X > < / V i e w S t a t e s > < / D i a g r a m M a n a g e r . S e r i a l i z a b l e D i a g r a m > < D i a g r a m M a n a g e r . S e r i a l i z a b l e D i a g r a m > < A d a p t e r   i : t y p e = " M e a s u r e D i a g r a m S a n d b o x A d a p t e r " > < T a b l e N a m e > r A r t i k l i _ H R _ A n a l i z a < / 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 r A r t i k l i _ H R _ A n a l i z a < / 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  o f   >;8G8=0  2 < / K e y > < / D i a g r a m O b j e c t K e y > < D i a g r a m O b j e c t K e y > < K e y > M e a s u r e s \ S u m   o f   >;8G8=0  2 \ T a g I n f o \ F o r m u l a < / K e y > < / D i a g r a m O b j e c t K e y > < D i a g r a m O b j e c t K e y > < K e y > M e a s u r e s \ S u m   o f   >;8G8=0  2 \ T a g I n f o \ V a l u e < / K e y > < / D i a g r a m O b j e c t K e y > < D i a g r a m O b j e c t K e y > < K e y > M e a s u r e s \ S u m   o f   48=5G=0  F5=0  2 < / K e y > < / D i a g r a m O b j e c t K e y > < D i a g r a m O b j e c t K e y > < K e y > M e a s u r e s \ S u m   o f   48=5G=0  F5=0  2 \ T a g I n f o \ F o r m u l a < / K e y > < / D i a g r a m O b j e c t K e y > < D i a g r a m O b j e c t K e y > < K e y > M e a s u r e s \ S u m   o f   48=5G=0  F5=0  2 \ T a g I n f o \ V a l u e < / K e y > < / D i a g r a m O b j e c t K e y > < D i a g r a m O b j e c t K e y > < K e y > M e a s u r e s \ S u m   o f   :C?=>  B@>H>:  2 < / K e y > < / D i a g r a m O b j e c t K e y > < D i a g r a m O b j e c t K e y > < K e y > M e a s u r e s \ S u m   o f   :C?=>  B@>H>:  2 \ T a g I n f o \ F o r m u l a < / K e y > < / D i a g r a m O b j e c t K e y > < D i a g r a m O b j e c t K e y > < K e y > M e a s u r e s \ S u m   o f   :C?=>  B@>H>:  2 \ T a g I n f o \ V a l u e < / K e y > < / D i a g r a m O b j e c t K e y > < D i a g r a m O b j e c t K e y > < K e y > M e a s u r e s \ S u m   o f     2 < / K e y > < / D i a g r a m O b j e c t K e y > < D i a g r a m O b j e c t K e y > < K e y > M e a s u r e s \ S u m   o f     2 \ T a g I n f o \ F o r m u l a < / K e y > < / D i a g r a m O b j e c t K e y > < D i a g r a m O b j e c t K e y > < K e y > M e a s u r e s \ S u m   o f     2 \ T a g I n f o \ V a l u e < / K e y > < / D i a g r a m O b j e c t K e y > < D i a g r a m O b j e c t K e y > < K e y > M e a s u r e s \ S u m   o f   7=>A  7 < / K e y > < / D i a g r a m O b j e c t K e y > < D i a g r a m O b j e c t K e y > < K e y > M e a s u r e s \ S u m   o f   7=>A  7 \ T a g I n f o \ F o r m u l a < / K e y > < / D i a g r a m O b j e c t K e y > < D i a g r a m O b j e c t K e y > < K e y > M e a s u r e s \ S u m   o f   7=>A  7 \ T a g I n f o \ V a l u e < / K e y > < / D i a g r a m O b j e c t K e y > < D i a g r a m O b j e c t K e y > < K e y > C o l u m n s \ !B02:0< / K e y > < / D i a g r a m O b j e c t K e y > < D i a g r a m O b j e c t K e y > < K e y > C o l u m n s \ 0B53>@8X0  @B8:;< / K e y > < / D i a g r a m O b j e c t K e y > < D i a g r a m O b j e c t K e y > < K e y > C o l u m n s \ "8?  =0  0@B8:;< / K e y > < / D i a g r a m O b j e c t K e y > < D i a g r a m O b j e c t K e y > < K e y > C o l u m n s \ 48=5G=0  <5@:0< / K e y > < / D i a g r a m O b j e c t K e y > < D i a g r a m O b j e c t K e y > < K e y > C o l u m n s \ >;8G8=0< / K e y > < / D i a g r a m O b j e c t K e y > < D i a g r a m O b j e c t K e y > < K e y > C o l u m n s \ 48=5G=0  F5=0< / K e y > < / D i a g r a m O b j e c t K e y > < D i a g r a m O b j e c t K e y > < K e y > C o l u m n s \ :C?=>  B@>H>:< / K e y > < / D i a g r a m O b j e c t K e y > < D i a g r a m O b j e c t K e y > < K e y > C o l u m n s \ < / K e y > < / D i a g r a m O b j e c t K e y > < D i a g r a m O b j e c t K e y > < K e y > C o l u m n s \ 7=>A< / K e y > < / D i a g r a m O b j e c t K e y > < D i a g r a m O b j e c t K e y > < K e y > C o l u m n s \ >=B>< / K e y > < / D i a g r a m O b j e c t K e y > < D i a g r a m O b j e c t K e y > < K e y > C o l u m n s \ R e p o r t T y p e < / K e y > < / D i a g r a m O b j e c t K e y > < D i a g r a m O b j e c t K e y > < K e y > C o l u m n s \ 5@8>4< / K e y > < / D i a g r a m O b j e c t K e y > < D i a g r a m O b j e c t K e y > < K e y > C o l u m n s \ S t a v k a I m e M K < / K e y > < / D i a g r a m O b j e c t K e y > < D i a g r a m O b j e c t K e y > < K e y > C o l u m n s \ S t a v k a A O P < / K e y > < / D i a g r a m O b j e c t K e y > < D i a g r a m O b j e c t K e y > < K e y > C o l u m n s \ S t a v k a G r u p a < / K e y > < / D i a g r a m O b j e c t K e y > < D i a g r a m O b j e c t K e y > < K e y > C o l u m n s \ S t a v k a K a t e g o r i j a < / K e y > < / D i a g r a m O b j e c t K e y > < D i a g r a m O b j e c t K e y > < K e y > C o l u m n s \ O b r a z e c I m e < / K e y > < / D i a g r a m O b j e c t K e y > < D i a g r a m O b j e c t K e y > < K e y > C o l u m n s \ "8?  =0  2@01>BC20Z5< / K e y > < / D i a g r a m O b j e c t K e y > < D i a g r a m O b j e c t K e y > < K e y > C o l u m n s \ ;0=8@0=  ?@8;82/ ( >4;82) < / K e y > < / D i a g r a m O b j e c t K e y > < D i a g r a m O b j e c t K e y > < K e y > C o l u m n s \ @0X=0  A>AB>X10  2@01>B5=8< / K e y > < / D i a g r a m O b j e c t K e y > < D i a g r a m O b j e c t K e y > < K e y > C o l u m n s \ S t a v k a K a t e g o r i j a . 1 < / K e y > < / D i a g r a m O b j e c t K e y > < D i a g r a m O b j e c t K e y > < K e y > L i n k s \ & l t ; C o l u m n s \ S u m   o f   >;8G8=0  2 & g t ; - & l t ; M e a s u r e s \ >;8G8=0& g t ; < / K e y > < / D i a g r a m O b j e c t K e y > < D i a g r a m O b j e c t K e y > < K e y > L i n k s \ & l t ; C o l u m n s \ S u m   o f   >;8G8=0  2 & g t ; - & l t ; M e a s u r e s \ >;8G8=0& g t ; \ C O L U M N < / K e y > < / D i a g r a m O b j e c t K e y > < D i a g r a m O b j e c t K e y > < K e y > L i n k s \ & l t ; C o l u m n s \ S u m   o f   >;8G8=0  2 & g t ; - & l t ; M e a s u r e s \ >;8G8=0& g t ; \ M E A S U R E < / K e y > < / D i a g r a m O b j e c t K e y > < D i a g r a m O b j e c t K e y > < K e y > L i n k s \ & l t ; C o l u m n s \ S u m   o f   48=5G=0  F5=0  2 & g t ; - & l t ; M e a s u r e s \ 48=5G=0  F5=0& g t ; < / K e y > < / D i a g r a m O b j e c t K e y > < D i a g r a m O b j e c t K e y > < K e y > L i n k s \ & l t ; C o l u m n s \ S u m   o f   48=5G=0  F5=0  2 & g t ; - & l t ; M e a s u r e s \ 48=5G=0  F5=0& g t ; \ C O L U M N < / K e y > < / D i a g r a m O b j e c t K e y > < D i a g r a m O b j e c t K e y > < K e y > L i n k s \ & l t ; C o l u m n s \ S u m   o f   48=5G=0  F5=0  2 & g t ; - & l t ; M e a s u r e s \ 48=5G=0  F5=0& g t ; \ M E A S U R E < / K e y > < / D i a g r a m O b j e c t K e y > < D i a g r a m O b j e c t K e y > < K e y > L i n k s \ & l t ; C o l u m n s \ S u m   o f   :C?=>  B@>H>:  2 & g t ; - & l t ; M e a s u r e s \ :C?=>  B@>H>:& g t ; < / K e y > < / D i a g r a m O b j e c t K e y > < D i a g r a m O b j e c t K e y > < K e y > L i n k s \ & l t ; C o l u m n s \ S u m   o f   :C?=>  B@>H>:  2 & g t ; - & l t ; M e a s u r e s \ :C?=>  B@>H>:& g t ; \ C O L U M N < / K e y > < / D i a g r a m O b j e c t K e y > < D i a g r a m O b j e c t K e y > < K e y > L i n k s \ & l t ; C o l u m n s \ S u m   o f   :C?=>  B@>H>:  2 & g t ; - & l t ; M e a s u r e s \ :C?=>  B@>H>:& g t ; \ M E A S U R E < / K e y > < / D i a g r a m O b j e c t K e y > < D i a g r a m O b j e c t K e y > < K e y > L i n k s \ & l t ; C o l u m n s \ S u m   o f     2 & g t ; - & l t ; M e a s u r e s \ & g t ; < / K e y > < / D i a g r a m O b j e c t K e y > < D i a g r a m O b j e c t K e y > < K e y > L i n k s \ & l t ; C o l u m n s \ S u m   o f     2 & g t ; - & l t ; M e a s u r e s \ & g t ; \ C O L U M N < / K e y > < / D i a g r a m O b j e c t K e y > < D i a g r a m O b j e c t K e y > < K e y > L i n k s \ & l t ; C o l u m n s \ S u m   o f     2 & g t ; - & l t ; M e a s u r e s \ & g t ; \ M E A S U R E < / K e y > < / D i a g r a m O b j e c t K e y > < D i a g r a m O b j e c t K e y > < K e y > L i n k s \ & l t ; C o l u m n s \ S u m   o f   7=>A  7 & g t ; - & l t ; M e a s u r e s \ 7=>A& g t ; < / K e y > < / D i a g r a m O b j e c t K e y > < D i a g r a m O b j e c t K e y > < K e y > L i n k s \ & l t ; C o l u m n s \ S u m   o f   7=>A  7 & g t ; - & l t ; M e a s u r e s \ 7=>A& g t ; \ C O L U M N < / K e y > < / D i a g r a m O b j e c t K e y > < D i a g r a m O b j e c t K e y > < K e y > L i n k s \ & l t ; C o l u m n s \ S u m   o f   7=>A  7 & g t ; - & l t ; M e a s u r e s \ 7=>A& g t ; \ M E A S U R E 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  o f   >;8G8=0  2 < / K e y > < / a : K e y > < a : V a l u e   i : t y p e = " M e a s u r e G r i d N o d e V i e w S t a t e " > < C o l u m n > 4 < / C o l u m n > < L a y e d O u t > t r u e < / L a y e d O u t > < W a s U I I n v i s i b l e > t r u e < / W a s U I I n v i s i b l e > < / a : V a l u e > < / a : K e y V a l u e O f D i a g r a m O b j e c t K e y a n y T y p e z b w N T n L X > < a : K e y V a l u e O f D i a g r a m O b j e c t K e y a n y T y p e z b w N T n L X > < a : K e y > < K e y > M e a s u r e s \ S u m   o f   >;8G8=0  2 \ T a g I n f o \ F o r m u l a < / K e y > < / a : K e y > < a : V a l u e   i : t y p e = " M e a s u r e G r i d V i e w S t a t e I D i a g r a m T a g A d d i t i o n a l I n f o " / > < / a : K e y V a l u e O f D i a g r a m O b j e c t K e y a n y T y p e z b w N T n L X > < a : K e y V a l u e O f D i a g r a m O b j e c t K e y a n y T y p e z b w N T n L X > < a : K e y > < K e y > M e a s u r e s \ S u m   o f   >;8G8=0  2 \ T a g I n f o \ V a l u e < / K e y > < / a : K e y > < a : V a l u e   i : t y p e = " M e a s u r e G r i d V i e w S t a t e I D i a g r a m T a g A d d i t i o n a l I n f o " / > < / a : K e y V a l u e O f D i a g r a m O b j e c t K e y a n y T y p e z b w N T n L X > < a : K e y V a l u e O f D i a g r a m O b j e c t K e y a n y T y p e z b w N T n L X > < a : K e y > < K e y > M e a s u r e s \ S u m   o f   48=5G=0  F5=0  2 < / K e y > < / a : K e y > < a : V a l u e   i : t y p e = " M e a s u r e G r i d N o d e V i e w S t a t e " > < C o l u m n > 5 < / C o l u m n > < L a y e d O u t > t r u e < / L a y e d O u t > < W a s U I I n v i s i b l e > t r u e < / W a s U I I n v i s i b l e > < / a : V a l u e > < / a : K e y V a l u e O f D i a g r a m O b j e c t K e y a n y T y p e z b w N T n L X > < a : K e y V a l u e O f D i a g r a m O b j e c t K e y a n y T y p e z b w N T n L X > < a : K e y > < K e y > M e a s u r e s \ S u m   o f   48=5G=0  F5=0  2 \ T a g I n f o \ F o r m u l a < / K e y > < / a : K e y > < a : V a l u e   i : t y p e = " M e a s u r e G r i d V i e w S t a t e I D i a g r a m T a g A d d i t i o n a l I n f o " / > < / a : K e y V a l u e O f D i a g r a m O b j e c t K e y a n y T y p e z b w N T n L X > < a : K e y V a l u e O f D i a g r a m O b j e c t K e y a n y T y p e z b w N T n L X > < a : K e y > < K e y > M e a s u r e s \ S u m   o f   48=5G=0  F5=0  2 \ T a g I n f o \ V a l u e < / K e y > < / a : K e y > < a : V a l u e   i : t y p e = " M e a s u r e G r i d V i e w S t a t e I D i a g r a m T a g A d d i t i o n a l I n f o " / > < / a : K e y V a l u e O f D i a g r a m O b j e c t K e y a n y T y p e z b w N T n L X > < a : K e y V a l u e O f D i a g r a m O b j e c t K e y a n y T y p e z b w N T n L X > < a : K e y > < K e y > M e a s u r e s \ S u m   o f   :C?=>  B@>H>:  2 < / K e y > < / a : K e y > < a : V a l u e   i : t y p e = " M e a s u r e G r i d N o d e V i e w S t a t e " > < C o l u m n > 6 < / C o l u m n > < L a y e d O u t > t r u e < / L a y e d O u t > < W a s U I I n v i s i b l e > t r u e < / W a s U I I n v i s i b l e > < / a : V a l u e > < / a : K e y V a l u e O f D i a g r a m O b j e c t K e y a n y T y p e z b w N T n L X > < a : K e y V a l u e O f D i a g r a m O b j e c t K e y a n y T y p e z b w N T n L X > < a : K e y > < K e y > M e a s u r e s \ S u m   o f   :C?=>  B@>H>:  2 \ T a g I n f o \ F o r m u l a < / K e y > < / a : K e y > < a : V a l u e   i : t y p e = " M e a s u r e G r i d V i e w S t a t e I D i a g r a m T a g A d d i t i o n a l I n f o " / > < / a : K e y V a l u e O f D i a g r a m O b j e c t K e y a n y T y p e z b w N T n L X > < a : K e y V a l u e O f D i a g r a m O b j e c t K e y a n y T y p e z b w N T n L X > < a : K e y > < K e y > M e a s u r e s \ S u m   o f   :C?=>  B@>H>:  2 \ T a g I n f o \ V a l u e < / K e y > < / a : K e y > < a : V a l u e   i : t y p e = " M e a s u r e G r i d V i e w S t a t e I D i a g r a m T a g A d d i t i o n a l I n f o " / > < / a : K e y V a l u e O f D i a g r a m O b j e c t K e y a n y T y p e z b w N T n L X > < a : K e y V a l u e O f D i a g r a m O b j e c t K e y a n y T y p e z b w N T n L X > < a : K e y > < K e y > M e a s u r e s \ S u m   o f     2 < / K e y > < / a : K e y > < a : V a l u e   i : t y p e = " M e a s u r e G r i d N o d e V i e w S t a t e " > < C o l u m n > 7 < / C o l u m n > < L a y e d O u t > t r u e < / L a y e d O u t > < W a s U I I n v i s i b l e > t r u e < / W a s U I I n v i s i b l e > < / a : V a l u e > < / a : K e y V a l u e O f D i a g r a m O b j e c t K e y a n y T y p e z b w N T n L X > < a : K e y V a l u e O f D i a g r a m O b j e c t K e y a n y T y p e z b w N T n L X > < a : K e y > < K e y > M e a s u r e s \ S u m   o f     2 \ T a g I n f o \ F o r m u l a < / K e y > < / a : K e y > < a : V a l u e   i : t y p e = " M e a s u r e G r i d V i e w S t a t e I D i a g r a m T a g A d d i t i o n a l I n f o " / > < / a : K e y V a l u e O f D i a g r a m O b j e c t K e y a n y T y p e z b w N T n L X > < a : K e y V a l u e O f D i a g r a m O b j e c t K e y a n y T y p e z b w N T n L X > < a : K e y > < K e y > M e a s u r e s \ S u m   o f     2 \ T a g I n f o \ V a l u e < / K e y > < / a : K e y > < a : V a l u e   i : t y p e = " M e a s u r e G r i d V i e w S t a t e I D i a g r a m T a g A d d i t i o n a l I n f o " / > < / a : K e y V a l u e O f D i a g r a m O b j e c t K e y a n y T y p e z b w N T n L X > < a : K e y V a l u e O f D i a g r a m O b j e c t K e y a n y T y p e z b w N T n L X > < a : K e y > < K e y > M e a s u r e s \ S u m   o f   7=>A  7 < / K e y > < / a : K e y > < a : V a l u e   i : t y p e = " M e a s u r e G r i d N o d e V i e w S t a t e " > < C o l u m n > 8 < / C o l u m n > < L a y e d O u t > t r u e < / L a y e d O u t > < W a s U I I n v i s i b l e > t r u e < / W a s U I I n v i s i b l e > < / a : V a l u e > < / a : K e y V a l u e O f D i a g r a m O b j e c t K e y a n y T y p e z b w N T n L X > < a : K e y V a l u e O f D i a g r a m O b j e c t K e y a n y T y p e z b w N T n L X > < a : K e y > < K e y > M e a s u r e s \ S u m   o f   7=>A  7 \ T a g I n f o \ F o r m u l a < / K e y > < / a : K e y > < a : V a l u e   i : t y p e = " M e a s u r e G r i d V i e w S t a t e I D i a g r a m T a g A d d i t i o n a l I n f o " / > < / a : K e y V a l u e O f D i a g r a m O b j e c t K e y a n y T y p e z b w N T n L X > < a : K e y V a l u e O f D i a g r a m O b j e c t K e y a n y T y p e z b w N T n L X > < a : K e y > < K e y > M e a s u r e s \ S u m   o f   7=>A  7 \ T a g I n f o \ V a l u e < / K e y > < / a : K e y > < a : V a l u e   i : t y p e = " M e a s u r e G r i d V i e w S t a t e I D i a g r a m T a g A d d i t i o n a l I n f o " / > < / a : K e y V a l u e O f D i a g r a m O b j e c t K e y a n y T y p e z b w N T n L X > < a : K e y V a l u e O f D i a g r a m O b j e c t K e y a n y T y p e z b w N T n L X > < a : K e y > < K e y > C o l u m n s \ !B02:0< / K e y > < / a : K e y > < a : V a l u e   i : t y p e = " M e a s u r e G r i d N o d e V i e w S t a t e " > < L a y e d O u t > t r u e < / L a y e d O u t > < / a : V a l u e > < / a : K e y V a l u e O f D i a g r a m O b j e c t K e y a n y T y p e z b w N T n L X > < a : K e y V a l u e O f D i a g r a m O b j e c t K e y a n y T y p e z b w N T n L X > < a : K e y > < K e y > C o l u m n s \ 0B53>@8X0  @B8:;< / K e y > < / a : K e y > < a : V a l u e   i : t y p e = " M e a s u r e G r i d N o d e V i e w S t a t e " > < C o l u m n > 1 < / C o l u m n > < L a y e d O u t > t r u e < / L a y e d O u t > < / a : V a l u e > < / a : K e y V a l u e O f D i a g r a m O b j e c t K e y a n y T y p e z b w N T n L X > < a : K e y V a l u e O f D i a g r a m O b j e c t K e y a n y T y p e z b w N T n L X > < a : K e y > < K e y > C o l u m n s \ "8?  =0  0@B8:;< / K e y > < / a : K e y > < a : V a l u e   i : t y p e = " M e a s u r e G r i d N o d e V i e w S t a t e " > < C o l u m n > 2 < / C o l u m n > < L a y e d O u t > t r u e < / L a y e d O u t > < / a : V a l u e > < / a : K e y V a l u e O f D i a g r a m O b j e c t K e y a n y T y p e z b w N T n L X > < a : K e y V a l u e O f D i a g r a m O b j e c t K e y a n y T y p e z b w N T n L X > < a : K e y > < K e y > C o l u m n s \ 48=5G=0  <5@:0< / K e y > < / a : K e y > < a : V a l u e   i : t y p e = " M e a s u r e G r i d N o d e V i e w S t a t e " > < C o l u m n > 3 < / C o l u m n > < L a y e d O u t > t r u e < / L a y e d O u t > < / a : V a l u e > < / a : K e y V a l u e O f D i a g r a m O b j e c t K e y a n y T y p e z b w N T n L X > < a : K e y V a l u e O f D i a g r a m O b j e c t K e y a n y T y p e z b w N T n L X > < a : K e y > < K e y > C o l u m n s \ >;8G8=0< / K e y > < / a : K e y > < a : V a l u e   i : t y p e = " M e a s u r e G r i d N o d e V i e w S t a t e " > < C o l u m n > 4 < / C o l u m n > < L a y e d O u t > t r u e < / L a y e d O u t > < / a : V a l u e > < / a : K e y V a l u e O f D i a g r a m O b j e c t K e y a n y T y p e z b w N T n L X > < a : K e y V a l u e O f D i a g r a m O b j e c t K e y a n y T y p e z b w N T n L X > < a : K e y > < K e y > C o l u m n s \ 48=5G=0  F5=0< / K e y > < / a : K e y > < a : V a l u e   i : t y p e = " M e a s u r e G r i d N o d e V i e w S t a t e " > < C o l u m n > 5 < / C o l u m n > < L a y e d O u t > t r u e < / L a y e d O u t > < / a : V a l u e > < / a : K e y V a l u e O f D i a g r a m O b j e c t K e y a n y T y p e z b w N T n L X > < a : K e y V a l u e O f D i a g r a m O b j e c t K e y a n y T y p e z b w N T n L X > < a : K e y > < K e y > C o l u m n s \ :C?=>  B@>H>:< / K e y > < / a : K e y > < a : V a l u e   i : t y p e = " M e a s u r e G r i d N o d e V i e w S t a t e " > < C o l u m n > 6 < / C o l u m n > < L a y e d O u t > t r u e < / L a y e d O u t > < / a : V a l u e > < / a : K e y V a l u e O f D i a g r a m O b j e c t K e y a n y T y p e z b w N T n L X > < a : K e y V a l u e O f D i a g r a m O b j e c t K e y a n y T y p e z b w N T n L X > < a : K e y > < K e y > C o l u m n s \ < / K e y > < / a : K e y > < a : V a l u e   i : t y p e = " M e a s u r e G r i d N o d e V i e w S t a t e " > < C o l u m n > 7 < / C o l u m n > < L a y e d O u t > t r u e < / L a y e d O u t > < / a : V a l u e > < / a : K e y V a l u e O f D i a g r a m O b j e c t K e y a n y T y p e z b w N T n L X > < a : K e y V a l u e O f D i a g r a m O b j e c t K e y a n y T y p e z b w N T n L X > < a : K e y > < K e y > C o l u m n s \ 7=>A< / K e y > < / a : K e y > < a : V a l u e   i : t y p e = " M e a s u r e G r i d N o d e V i e w S t a t e " > < C o l u m n > 8 < / C o l u m n > < L a y e d O u t > t r u e < / L a y e d O u t > < / a : V a l u e > < / a : K e y V a l u e O f D i a g r a m O b j e c t K e y a n y T y p e z b w N T n L X > < a : K e y V a l u e O f D i a g r a m O b j e c t K e y a n y T y p e z b w N T n L X > < a : K e y > < K e y > C o l u m n s \ >=B>< / K e y > < / a : K e y > < a : V a l u e   i : t y p e = " M e a s u r e G r i d N o d e V i e w S t a t e " > < C o l u m n > 9 < / C o l u m n > < L a y e d O u t > t r u e < / L a y e d O u t > < / a : V a l u e > < / a : K e y V a l u e O f D i a g r a m O b j e c t K e y a n y T y p e z b w N T n L X > < a : K e y V a l u e O f D i a g r a m O b j e c t K e y a n y T y p e z b w N T n L X > < a : K e y > < K e y > C o l u m n s \ R e p o r t T y p e < / K e y > < / a : K e y > < a : V a l u e   i : t y p e = " M e a s u r e G r i d N o d e V i e w S t a t e " > < C o l u m n > 1 0 < / C o l u m n > < L a y e d O u t > t r u e < / L a y e d O u t > < / a : V a l u e > < / a : K e y V a l u e O f D i a g r a m O b j e c t K e y a n y T y p e z b w N T n L X > < a : K e y V a l u e O f D i a g r a m O b j e c t K e y a n y T y p e z b w N T n L X > < a : K e y > < K e y > C o l u m n s \ 5@8>4< / K e y > < / a : K e y > < a : V a l u e   i : t y p e = " M e a s u r e G r i d N o d e V i e w S t a t e " > < C o l u m n > 1 1 < / C o l u m n > < L a y e d O u t > t r u e < / L a y e d O u t > < / a : V a l u e > < / a : K e y V a l u e O f D i a g r a m O b j e c t K e y a n y T y p e z b w N T n L X > < a : K e y V a l u e O f D i a g r a m O b j e c t K e y a n y T y p e z b w N T n L X > < a : K e y > < K e y > C o l u m n s \ S t a v k a I m e M K < / K e y > < / a : K e y > < a : V a l u e   i : t y p e = " M e a s u r e G r i d N o d e V i e w S t a t e " > < C o l u m n > 1 2 < / C o l u m n > < L a y e d O u t > t r u e < / L a y e d O u t > < / a : V a l u e > < / a : K e y V a l u e O f D i a g r a m O b j e c t K e y a n y T y p e z b w N T n L X > < a : K e y V a l u e O f D i a g r a m O b j e c t K e y a n y T y p e z b w N T n L X > < a : K e y > < K e y > C o l u m n s \ S t a v k a A O P < / K e y > < / a : K e y > < a : V a l u e   i : t y p e = " M e a s u r e G r i d N o d e V i e w S t a t e " > < C o l u m n > 1 3 < / C o l u m n > < L a y e d O u t > t r u e < / L a y e d O u t > < / a : V a l u e > < / a : K e y V a l u e O f D i a g r a m O b j e c t K e y a n y T y p e z b w N T n L X > < a : K e y V a l u e O f D i a g r a m O b j e c t K e y a n y T y p e z b w N T n L X > < a : K e y > < K e y > C o l u m n s \ S t a v k a G r u p a < / K e y > < / a : K e y > < a : V a l u e   i : t y p e = " M e a s u r e G r i d N o d e V i e w S t a t e " > < C o l u m n > 1 4 < / C o l u m n > < L a y e d O u t > t r u e < / L a y e d O u t > < / a : V a l u e > < / a : K e y V a l u e O f D i a g r a m O b j e c t K e y a n y T y p e z b w N T n L X > < a : K e y V a l u e O f D i a g r a m O b j e c t K e y a n y T y p e z b w N T n L X > < a : K e y > < K e y > C o l u m n s \ S t a v k a K a t e g o r i j a < / K e y > < / a : K e y > < a : V a l u e   i : t y p e = " M e a s u r e G r i d N o d e V i e w S t a t e " > < C o l u m n > 1 5 < / C o l u m n > < L a y e d O u t > t r u e < / L a y e d O u t > < / a : V a l u e > < / a : K e y V a l u e O f D i a g r a m O b j e c t K e y a n y T y p e z b w N T n L X > < a : K e y V a l u e O f D i a g r a m O b j e c t K e y a n y T y p e z b w N T n L X > < a : K e y > < K e y > C o l u m n s \ O b r a z e c I m e < / K e y > < / a : K e y > < a : V a l u e   i : t y p e = " M e a s u r e G r i d N o d e V i e w S t a t e " > < C o l u m n > 1 6 < / C o l u m n > < L a y e d O u t > t r u e < / L a y e d O u t > < / a : V a l u e > < / a : K e y V a l u e O f D i a g r a m O b j e c t K e y a n y T y p e z b w N T n L X > < a : K e y V a l u e O f D i a g r a m O b j e c t K e y a n y T y p e z b w N T n L X > < a : K e y > < K e y > C o l u m n s \ "8?  =0  2@01>BC20Z5< / K e y > < / a : K e y > < a : V a l u e   i : t y p e = " M e a s u r e G r i d N o d e V i e w S t a t e " > < C o l u m n > 1 7 < / C o l u m n > < L a y e d O u t > t r u e < / L a y e d O u t > < / a : V a l u e > < / a : K e y V a l u e O f D i a g r a m O b j e c t K e y a n y T y p e z b w N T n L X > < a : K e y V a l u e O f D i a g r a m O b j e c t K e y a n y T y p e z b w N T n L X > < a : K e y > < K e y > C o l u m n s \ ;0=8@0=  ?@8;82/ ( >4;82) < / K e y > < / a : K e y > < a : V a l u e   i : t y p e = " M e a s u r e G r i d N o d e V i e w S t a t e " > < C o l u m n > 1 8 < / C o l u m n > < L a y e d O u t > t r u e < / L a y e d O u t > < / a : V a l u e > < / a : K e y V a l u e O f D i a g r a m O b j e c t K e y a n y T y p e z b w N T n L X > < a : K e y V a l u e O f D i a g r a m O b j e c t K e y a n y T y p e z b w N T n L X > < a : K e y > < K e y > C o l u m n s \ @0X=0  A>AB>X10  2@01>B5=8< / K e y > < / a : K e y > < a : V a l u e   i : t y p e = " M e a s u r e G r i d N o d e V i e w S t a t e " > < C o l u m n > 1 9 < / C o l u m n > < L a y e d O u t > t r u e < / L a y e d O u t > < / a : V a l u e > < / a : K e y V a l u e O f D i a g r a m O b j e c t K e y a n y T y p e z b w N T n L X > < a : K e y V a l u e O f D i a g r a m O b j e c t K e y a n y T y p e z b w N T n L X > < a : K e y > < K e y > C o l u m n s \ S t a v k a K a t e g o r i j a . 1 < / K e y > < / a : K e y > < a : V a l u e   i : t y p e = " M e a s u r e G r i d N o d e V i e w S t a t e " > < C o l u m n > 2 0 < / C o l u m n > < L a y e d O u t > t r u e < / L a y e d O u t > < / a : V a l u e > < / a : K e y V a l u e O f D i a g r a m O b j e c t K e y a n y T y p e z b w N T n L X > < a : K e y V a l u e O f D i a g r a m O b j e c t K e y a n y T y p e z b w N T n L X > < a : K e y > < K e y > L i n k s \ & l t ; C o l u m n s \ S u m   o f   >;8G8=0  2 & g t ; - & l t ; M e a s u r e s \ >;8G8=0& g t ; < / K e y > < / a : K e y > < a : V a l u e   i : t y p e = " M e a s u r e G r i d V i e w S t a t e I D i a g r a m L i n k " / > < / a : K e y V a l u e O f D i a g r a m O b j e c t K e y a n y T y p e z b w N T n L X > < a : K e y V a l u e O f D i a g r a m O b j e c t K e y a n y T y p e z b w N T n L X > < a : K e y > < K e y > L i n k s \ & l t ; C o l u m n s \ S u m   o f   >;8G8=0  2 & g t ; - & l t ; M e a s u r e s \ >;8G8=0& g t ; \ C O L U M N < / K e y > < / a : K e y > < a : V a l u e   i : t y p e = " M e a s u r e G r i d V i e w S t a t e I D i a g r a m L i n k E n d p o i n t " / > < / a : K e y V a l u e O f D i a g r a m O b j e c t K e y a n y T y p e z b w N T n L X > < a : K e y V a l u e O f D i a g r a m O b j e c t K e y a n y T y p e z b w N T n L X > < a : K e y > < K e y > L i n k s \ & l t ; C o l u m n s \ S u m   o f   >;8G8=0  2 & g t ; - & l t ; M e a s u r e s \ >;8G8=0& g t ; \ M E A S U R E < / K e y > < / a : K e y > < a : V a l u e   i : t y p e = " M e a s u r e G r i d V i e w S t a t e I D i a g r a m L i n k E n d p o i n t " / > < / a : K e y V a l u e O f D i a g r a m O b j e c t K e y a n y T y p e z b w N T n L X > < a : K e y V a l u e O f D i a g r a m O b j e c t K e y a n y T y p e z b w N T n L X > < a : K e y > < K e y > L i n k s \ & l t ; C o l u m n s \ S u m   o f   48=5G=0  F5=0  2 & g t ; - & l t ; M e a s u r e s \ 48=5G=0  F5=0& g t ; < / K e y > < / a : K e y > < a : V a l u e   i : t y p e = " M e a s u r e G r i d V i e w S t a t e I D i a g r a m L i n k " / > < / a : K e y V a l u e O f D i a g r a m O b j e c t K e y a n y T y p e z b w N T n L X > < a : K e y V a l u e O f D i a g r a m O b j e c t K e y a n y T y p e z b w N T n L X > < a : K e y > < K e y > L i n k s \ & l t ; C o l u m n s \ S u m   o f   48=5G=0  F5=0  2 & g t ; - & l t ; M e a s u r e s \ 48=5G=0  F5=0& g t ; \ C O L U M N < / K e y > < / a : K e y > < a : V a l u e   i : t y p e = " M e a s u r e G r i d V i e w S t a t e I D i a g r a m L i n k E n d p o i n t " / > < / a : K e y V a l u e O f D i a g r a m O b j e c t K e y a n y T y p e z b w N T n L X > < a : K e y V a l u e O f D i a g r a m O b j e c t K e y a n y T y p e z b w N T n L X > < a : K e y > < K e y > L i n k s \ & l t ; C o l u m n s \ S u m   o f   48=5G=0  F5=0  2 & g t ; - & l t ; M e a s u r e s \ 48=5G=0  F5=0& g t ; \ M E A S U R E < / K e y > < / a : K e y > < a : V a l u e   i : t y p e = " M e a s u r e G r i d V i e w S t a t e I D i a g r a m L i n k E n d p o i n t " / > < / a : K e y V a l u e O f D i a g r a m O b j e c t K e y a n y T y p e z b w N T n L X > < a : K e y V a l u e O f D i a g r a m O b j e c t K e y a n y T y p e z b w N T n L X > < a : K e y > < K e y > L i n k s \ & l t ; C o l u m n s \ S u m   o f   :C?=>  B@>H>:  2 & g t ; - & l t ; M e a s u r e s \ :C?=>  B@>H>:& g t ; < / K e y > < / a : K e y > < a : V a l u e   i : t y p e = " M e a s u r e G r i d V i e w S t a t e I D i a g r a m L i n k " / > < / a : K e y V a l u e O f D i a g r a m O b j e c t K e y a n y T y p e z b w N T n L X > < a : K e y V a l u e O f D i a g r a m O b j e c t K e y a n y T y p e z b w N T n L X > < a : K e y > < K e y > L i n k s \ & l t ; C o l u m n s \ S u m   o f   :C?=>  B@>H>:  2 & g t ; - & l t ; M e a s u r e s \ :C?=>  B@>H>:& g t ; \ C O L U M N < / K e y > < / a : K e y > < a : V a l u e   i : t y p e = " M e a s u r e G r i d V i e w S t a t e I D i a g r a m L i n k E n d p o i n t " / > < / a : K e y V a l u e O f D i a g r a m O b j e c t K e y a n y T y p e z b w N T n L X > < a : K e y V a l u e O f D i a g r a m O b j e c t K e y a n y T y p e z b w N T n L X > < a : K e y > < K e y > L i n k s \ & l t ; C o l u m n s \ S u m   o f   :C?=>  B@>H>:  2 & g t ; - & l t ; M e a s u r e s \ :C?=>  B@>H>:& g t ; \ M E A S U R E < / K e y > < / a : K e y > < a : V a l u e   i : t y p e = " M e a s u r e G r i d V i e w S t a t e I D i a g r a m L i n k E n d p o i n t " / > < / a : K e y V a l u e O f D i a g r a m O b j e c t K e y a n y T y p e z b w N T n L X > < a : K e y V a l u e O f D i a g r a m O b j e c t K e y a n y T y p e z b w N T n L X > < a : K e y > < K e y > L i n k s \ & l t ; C o l u m n s \ S u m   o f     2 & g t ; - & l t ; M e a s u r e s \ & g t ; < / K e y > < / a : K e y > < a : V a l u e   i : t y p e = " M e a s u r e G r i d V i e w S t a t e I D i a g r a m L i n k " / > < / a : K e y V a l u e O f D i a g r a m O b j e c t K e y a n y T y p e z b w N T n L X > < a : K e y V a l u e O f D i a g r a m O b j e c t K e y a n y T y p e z b w N T n L X > < a : K e y > < K e y > L i n k s \ & l t ; C o l u m n s \ S u m   o f     2 & g t ; - & l t ; M e a s u r e s \ & g t ; \ C O L U M N < / K e y > < / a : K e y > < a : V a l u e   i : t y p e = " M e a s u r e G r i d V i e w S t a t e I D i a g r a m L i n k E n d p o i n t " / > < / a : K e y V a l u e O f D i a g r a m O b j e c t K e y a n y T y p e z b w N T n L X > < a : K e y V a l u e O f D i a g r a m O b j e c t K e y a n y T y p e z b w N T n L X > < a : K e y > < K e y > L i n k s \ & l t ; C o l u m n s \ S u m   o f     2 & g t ; - & l t ; M e a s u r e s \ & g t ; \ M E A S U R E < / K e y > < / a : K e y > < a : V a l u e   i : t y p e = " M e a s u r e G r i d V i e w S t a t e I D i a g r a m L i n k E n d p o i n t " / > < / a : K e y V a l u e O f D i a g r a m O b j e c t K e y a n y T y p e z b w N T n L X > < a : K e y V a l u e O f D i a g r a m O b j e c t K e y a n y T y p e z b w N T n L X > < a : K e y > < K e y > L i n k s \ & l t ; C o l u m n s \ S u m   o f   7=>A  7 & g t ; - & l t ; M e a s u r e s \ 7=>A& g t ; < / K e y > < / a : K e y > < a : V a l u e   i : t y p e = " M e a s u r e G r i d V i e w S t a t e I D i a g r a m L i n k " / > < / a : K e y V a l u e O f D i a g r a m O b j e c t K e y a n y T y p e z b w N T n L X > < a : K e y V a l u e O f D i a g r a m O b j e c t K e y a n y T y p e z b w N T n L X > < a : K e y > < K e y > L i n k s \ & l t ; C o l u m n s \ S u m   o f   7=>A  7 & g t ; - & l t ; M e a s u r e s \ 7=>A& g t ; \ C O L U M N < / K e y > < / a : K e y > < a : V a l u e   i : t y p e = " M e a s u r e G r i d V i e w S t a t e I D i a g r a m L i n k E n d p o i n t " / > < / a : K e y V a l u e O f D i a g r a m O b j e c t K e y a n y T y p e z b w N T n L X > < a : K e y V a l u e O f D i a g r a m O b j e c t K e y a n y T y p e z b w N T n L X > < a : K e y > < K e y > L i n k s \ & l t ; C o l u m n s \ S u m   o f   7=>A  7 & g t ; - & l t ; M e a s u r e s \ 7=>A& g t ; \ M E A S U R E < / K e y > < / a : K e y > < a : V a l u e   i : t y p e = " M e a s u r e G r i d V i e w S t a t e I D i a g r a m L i n k E n d p o i n t " / > < / a : K e y V a l u e O f D i a g r a m O b j e c t K e y a n y T y p e z b w N T n L X > < / V i e w S t a t e s > < / D i a g r a m M a n a g e r . S e r i a l i z a b l e D i a g r a m > < D i a g r a m M a n a g e r . S e r i a l i z a b l e D i a g r a m > < A d a p t e r   i : t y p e = " M e a s u r e D i a g r a m S a n d b o x A d a p t e r " > < T a b l e N a m e > r A r t i k l i A n a l i z a < / 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 r A r t i k l i A n a l i z a < / 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 C o l u m n s \ @B8:;  < / K e y > < / D i a g r a m O b j e c t K e y > < D i a g r a m O b j e c t K e y > < K e y > C o l u m n s \ !B02:0< / K e y > < / D i a g r a m O b j e c t K e y > < D i a g r a m O b j e c t K e y > < K e y > C o l u m n s \ 0B53>@8X0  @B8:;  < / K e y > < / D i a g r a m O b j e c t K e y > < D i a g r a m O b j e c t K e y > < K e y > C o l u m n s \ 0B53>@8X0  @B8:;< / K e y > < / D i a g r a m O b j e c t K e y > < D i a g r a m O b j e c t K e y > < K e y > C o l u m n s \ "8?  =0  0@B8:;< / K e y > < / D i a g r a m O b j e c t K e y > < D i a g r a m O b j e c t K e y > < K e y > C o l u m n s \ 48=5G=0  <5@:0< / K e y > < / D i a g r a m O b j e c t K e y > < D i a g r a m O b j e c t K e y > < K e y > C o l u m n s \ >;8G8=0< / K e y > < / D i a g r a m O b j e c t K e y > < D i a g r a m O b j e c t K e y > < K e y > C o l u m n s \ 48=5G=0  F5=0< / K e y > < / D i a g r a m O b j e c t K e y > < D i a g r a m O b j e c t K e y > < K e y > C o l u m n s \ 7=>A< / K e y > < / D i a g r a m O b j e c t K e y > < D i a g r a m O b j e c t K e y > < K e y > C o l u m n s \ < / K e y > < / D i a g r a m O b j e c t K e y > < D i a g r a m O b j e c t K e y > < K e y > C o l u m n s \ :C?=>  B@>H>:  A>  < / K e y > < / D i a g r a m O b j e c t K e y > < D i a g r a m O b j e c t K e y > < K e y > C o l u m n s \ >=B>< / K e y > < / D i a g r a m O b j e c t K e y > < D i a g r a m O b j e c t K e y > < K e y > C o l u m n s \ 5@8>4< / K e y > < / D i a g r a m O b j e c t K e y > < D i a g r a m O b j e c t K e y > < K e y > C o l u m n s \ R e p o r t T y p e < / K e y > < / D i a g r a m O b j e c t K e y > < D i a g r a m O b j e c t K e y > < K e y > C o l u m n s \ S t a v k a I m e M K < / K e y > < / D i a g r a m O b j e c t K e y > < D i a g r a m O b j e c t K e y > < K e y > C o l u m n s \ S t a v k a K a t e g o r i j a < / K e y > < / D i a g r a m O b j e c t K e y > < D i a g r a m O b j e c t K e y > < K e y > C o l u m n s \ 5@8>4  ( Y e a r ) < / K e y > < / D i a g r a m O b j e c t K e y > < D i a g r a m O b j e c t K e y > < K e y > C o l u m n s \ 5@8>4  ( Q u a r t e r ) < / K e y > < / D i a g r a m O b j e c t K e y > < D i a g r a m O b j e c t K e y > < K e y > C o l u m n s \ 5@8>4  ( M o n t h   I n d e x ) < / K e y > < / D i a g r a m O b j e c t K e y > < D i a g r a m O b j e c t K e y > < K e y > C o l u m n s \ 5@8>4  ( M o n t h ) < / 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 C o l u m n s \ @B8:;  < / K e y > < / a : K e y > < a : V a l u e   i : t y p e = " M e a s u r e G r i d N o d e V i e w S t a t e " > < C o l u m n > 8 < / C o l u m n > < L a y e d O u t > t r u e < / L a y e d O u t > < / a : V a l u e > < / a : K e y V a l u e O f D i a g r a m O b j e c t K e y a n y T y p e z b w N T n L X > < a : K e y V a l u e O f D i a g r a m O b j e c t K e y a n y T y p e z b w N T n L X > < a : K e y > < K e y > C o l u m n s \ !B02:0< / K e y > < / a : K e y > < a : V a l u e   i : t y p e = " M e a s u r e G r i d N o d e V i e w S t a t e " > < C o l u m n > 1 7 < / C o l u m n > < L a y e d O u t > t r u e < / L a y e d O u t > < / a : V a l u e > < / a : K e y V a l u e O f D i a g r a m O b j e c t K e y a n y T y p e z b w N T n L X > < a : K e y V a l u e O f D i a g r a m O b j e c t K e y a n y T y p e z b w N T n L X > < a : K e y > < K e y > C o l u m n s \ 0B53>@8X0  @B8:;  < / K e y > < / a : K e y > < a : V a l u e   i : t y p e = " M e a s u r e G r i d N o d e V i e w S t a t e " > < C o l u m n > 9 < / C o l u m n > < L a y e d O u t > t r u e < / L a y e d O u t > < / a : V a l u e > < / a : K e y V a l u e O f D i a g r a m O b j e c t K e y a n y T y p e z b w N T n L X > < a : K e y V a l u e O f D i a g r a m O b j e c t K e y a n y T y p e z b w N T n L X > < a : K e y > < K e y > C o l u m n s \ 0B53>@8X0  @B8:;< / K e y > < / a : K e y > < a : V a l u e   i : t y p e = " M e a s u r e G r i d N o d e V i e w S t a t e " > < C o l u m n > 1 0 < / C o l u m n > < L a y e d O u t > t r u e < / L a y e d O u t > < / a : V a l u e > < / a : K e y V a l u e O f D i a g r a m O b j e c t K e y a n y T y p e z b w N T n L X > < a : K e y V a l u e O f D i a g r a m O b j e c t K e y a n y T y p e z b w N T n L X > < a : K e y > < K e y > C o l u m n s \ "8?  =0  0@B8:;< / K e y > < / a : K e y > < a : V a l u e   i : t y p e = " M e a s u r e G r i d N o d e V i e w S t a t e " > < C o l u m n > 1 1 < / C o l u m n > < L a y e d O u t > t r u e < / L a y e d O u t > < / a : V a l u e > < / a : K e y V a l u e O f D i a g r a m O b j e c t K e y a n y T y p e z b w N T n L X > < a : K e y V a l u e O f D i a g r a m O b j e c t K e y a n y T y p e z b w N T n L X > < a : K e y > < K e y > C o l u m n s \ 48=5G=0  <5@:0< / K e y > < / a : K e y > < a : V a l u e   i : t y p e = " M e a s u r e G r i d N o d e V i e w S t a t e " > < C o l u m n > 1 2 < / C o l u m n > < L a y e d O u t > t r u e < / L a y e d O u t > < / a : V a l u e > < / a : K e y V a l u e O f D i a g r a m O b j e c t K e y a n y T y p e z b w N T n L X > < a : K e y V a l u e O f D i a g r a m O b j e c t K e y a n y T y p e z b w N T n L X > < a : K e y > < K e y > C o l u m n s \ >;8G8=0< / K e y > < / a : K e y > < a : V a l u e   i : t y p e = " M e a s u r e G r i d N o d e V i e w S t a t e " > < C o l u m n > 1 3 < / C o l u m n > < L a y e d O u t > t r u e < / L a y e d O u t > < / a : V a l u e > < / a : K e y V a l u e O f D i a g r a m O b j e c t K e y a n y T y p e z b w N T n L X > < a : K e y V a l u e O f D i a g r a m O b j e c t K e y a n y T y p e z b w N T n L X > < a : K e y > < K e y > C o l u m n s \ 48=5G=0  F5=0< / K e y > < / a : K e y > < a : V a l u e   i : t y p e = " M e a s u r e G r i d N o d e V i e w S t a t e " > < C o l u m n > 1 4 < / C o l u m n > < L a y e d O u t > t r u e < / L a y e d O u t > < / a : V a l u e > < / a : K e y V a l u e O f D i a g r a m O b j e c t K e y a n y T y p e z b w N T n L X > < a : K e y V a l u e O f D i a g r a m O b j e c t K e y a n y T y p e z b w N T n L X > < a : K e y > < K e y > C o l u m n s \ 7=>A< / K e y > < / a : K e y > < a : V a l u e   i : t y p e = " M e a s u r e G r i d N o d e V i e w S t a t e " > < C o l u m n > 1 9 < / C o l u m n > < L a y e d O u t > t r u e < / L a y e d O u t > < / a : V a l u e > < / a : K e y V a l u e O f D i a g r a m O b j e c t K e y a n y T y p e z b w N T n L X > < a : K e y V a l u e O f D i a g r a m O b j e c t K e y a n y T y p e z b w N T n L X > < a : K e y > < K e y > C o l u m n s \ < / K e y > < / a : K e y > < a : V a l u e   i : t y p e = " M e a s u r e G r i d N o d e V i e w S t a t e " > < C o l u m n > 1 5 < / C o l u m n > < L a y e d O u t > t r u e < / L a y e d O u t > < / a : V a l u e > < / a : K e y V a l u e O f D i a g r a m O b j e c t K e y a n y T y p e z b w N T n L X > < a : K e y V a l u e O f D i a g r a m O b j e c t K e y a n y T y p e z b w N T n L X > < a : K e y > < K e y > C o l u m n s \ :C?=>  B@>H>:  A>  < / K e y > < / a : K e y > < a : V a l u e   i : t y p e = " M e a s u r e G r i d N o d e V i e w S t a t e " > < C o l u m n > 1 6 < / C o l u m n > < L a y e d O u t > t r u e < / L a y e d O u t > < / a : V a l u e > < / a : K e y V a l u e O f D i a g r a m O b j e c t K e y a n y T y p e z b w N T n L X > < a : K e y V a l u e O f D i a g r a m O b j e c t K e y a n y T y p e z b w N T n L X > < a : K e y > < K e y > C o l u m n s \ >=B>< / K e y > < / a : K e y > < a : V a l u e   i : t y p e = " M e a s u r e G r i d N o d e V i e w S t a t e " > < L a y e d O u t > t r u e < / L a y e d O u t > < / a : V a l u e > < / a : K e y V a l u e O f D i a g r a m O b j e c t K e y a n y T y p e z b w N T n L X > < a : K e y V a l u e O f D i a g r a m O b j e c t K e y a n y T y p e z b w N T n L X > < a : K e y > < K e y > C o l u m n s \ 5@8>4< / K e y > < / a : K e y > < a : V a l u e   i : t y p e = " M e a s u r e G r i d N o d e V i e w S t a t e " > < C o l u m n > 1 8 < / C o l u m n > < L a y e d O u t > t r u e < / L a y e d O u t > < / a : V a l u e > < / a : K e y V a l u e O f D i a g r a m O b j e c t K e y a n y T y p e z b w N T n L X > < a : K e y V a l u e O f D i a g r a m O b j e c t K e y a n y T y p e z b w N T n L X > < a : K e y > < K e y > C o l u m n s \ R e p o r t T y p e < / K e y > < / a : K e y > < a : V a l u e   i : t y p e = " M e a s u r e G r i d N o d e V i e w S t a t e " > < C o l u m n > 3 < / C o l u m n > < L a y e d O u t > t r u e < / L a y e d O u t > < / a : V a l u e > < / a : K e y V a l u e O f D i a g r a m O b j e c t K e y a n y T y p e z b w N T n L X > < a : K e y V a l u e O f D i a g r a m O b j e c t K e y a n y T y p e z b w N T n L X > < a : K e y > < K e y > C o l u m n s \ S t a v k a I m e M K < / K e y > < / a : K e y > < a : V a l u e   i : t y p e = " M e a s u r e G r i d N o d e V i e w S t a t e " > < C o l u m n > 1 < / C o l u m n > < L a y e d O u t > t r u e < / L a y e d O u t > < / a : V a l u e > < / a : K e y V a l u e O f D i a g r a m O b j e c t K e y a n y T y p e z b w N T n L X > < a : K e y V a l u e O f D i a g r a m O b j e c t K e y a n y T y p e z b w N T n L X > < a : K e y > < K e y > C o l u m n s \ S t a v k a K a t e g o r i j a < / K e y > < / a : K e y > < a : V a l u e   i : t y p e = " M e a s u r e G r i d N o d e V i e w S t a t e " > < C o l u m n > 2 < / C o l u m n > < L a y e d O u t > t r u e < / L a y e d O u t > < / a : V a l u e > < / a : K e y V a l u e O f D i a g r a m O b j e c t K e y a n y T y p e z b w N T n L X > < a : K e y V a l u e O f D i a g r a m O b j e c t K e y a n y T y p e z b w N T n L X > < a : K e y > < K e y > C o l u m n s \ 5@8>4  ( Y e a r ) < / K e y > < / a : K e y > < a : V a l u e   i : t y p e = " M e a s u r e G r i d N o d e V i e w S t a t e " > < C o l u m n > 4 < / C o l u m n > < L a y e d O u t > t r u e < / L a y e d O u t > < / a : V a l u e > < / a : K e y V a l u e O f D i a g r a m O b j e c t K e y a n y T y p e z b w N T n L X > < a : K e y V a l u e O f D i a g r a m O b j e c t K e y a n y T y p e z b w N T n L X > < a : K e y > < K e y > C o l u m n s \ 5@8>4  ( Q u a r t e r ) < / K e y > < / a : K e y > < a : V a l u e   i : t y p e = " M e a s u r e G r i d N o d e V i e w S t a t e " > < C o l u m n > 5 < / C o l u m n > < L a y e d O u t > t r u e < / L a y e d O u t > < / a : V a l u e > < / a : K e y V a l u e O f D i a g r a m O b j e c t K e y a n y T y p e z b w N T n L X > < a : K e y V a l u e O f D i a g r a m O b j e c t K e y a n y T y p e z b w N T n L X > < a : K e y > < K e y > C o l u m n s \ 5@8>4  ( M o n t h   I n d e x ) < / K e y > < / a : K e y > < a : V a l u e   i : t y p e = " M e a s u r e G r i d N o d e V i e w S t a t e " > < C o l u m n > 6 < / C o l u m n > < L a y e d O u t > t r u e < / L a y e d O u t > < / a : V a l u e > < / a : K e y V a l u e O f D i a g r a m O b j e c t K e y a n y T y p e z b w N T n L X > < a : K e y V a l u e O f D i a g r a m O b j e c t K e y a n y T y p e z b w N T n L X > < a : K e y > < K e y > C o l u m n s \ 5@8>4  ( M o n t h ) < / K e y > < / a : K e y > < a : V a l u e   i : t y p e = " M e a s u r e G r i d N o d e V i e w S t a t e " > < C o l u m n > 7 < / C o l u m n > < L a y e d O u t > t r u e < / L a y e d O u t > < / a : V a l u e > < / a : K e y V a l u e O f D i a g r a m O b j e c t K e y a n y T y p e z b w N T n L X > < / V i e w S t a t e s > < / D i a g r a m M a n a g e r . S e r i a l i z a b l e D i a g r a m > < D i a g r a m M a n a g e r . S e r i a l i z a b l e D i a g r a m > < A d a p t e r   i : t y p e = " M e a s u r e D i a g r a m S a n d b o x A d a p t e r " > < T a b l e N a m e > A m o r t i z a c i j a < / 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 A m o r t i z a c i j a < / 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  o f   7=>A  2 < / K e y > < / D i a g r a m O b j e c t K e y > < D i a g r a m O b j e c t K e y > < K e y > M e a s u r e s \ S u m   o f   7=>A  2 \ T a g I n f o \ F o r m u l a < / K e y > < / D i a g r a m O b j e c t K e y > < D i a g r a m O b j e c t K e y > < K e y > M e a s u r e s \ S u m   o f   7=>A  2 \ T a g I n f o \ V a l u e < / K e y > < / D i a g r a m O b j e c t K e y > < D i a g r a m O b j e c t K e y > < K e y > C o l u m n s \ @>X  =0  X02=0  =0102:0  ( ?;0=) < / K e y > < / D i a g r a m O b j e c t K e y > < D i a g r a m O b j e c t K e y > < K e y > C o l u m n s \ !B02:0< / K e y > < / D i a g r a m O b j e c t K e y > < D i a g r a m O b j e c t K e y > < K e y > C o l u m n s \ 5@8>4< / K e y > < / D i a g r a m O b j e c t K e y > < D i a g r a m O b j e c t K e y > < K e y > C o l u m n s \ 7=>A< / K e y > < / D i a g r a m O b j e c t K e y > < D i a g r a m O b j e c t K e y > < K e y > C o l u m n s \ >=B>< / K e y > < / D i a g r a m O b j e c t K e y > < D i a g r a m O b j e c t K e y > < K e y > C o l u m n s \ R e p o r t T y p e < / K e y > < / D i a g r a m O b j e c t K e y > < D i a g r a m O b j e c t K e y > < K e y > L i n k s \ & l t ; C o l u m n s \ S u m   o f   7=>A  2 & g t ; - & l t ; M e a s u r e s \ 7=>A& g t ; < / K e y > < / D i a g r a m O b j e c t K e y > < D i a g r a m O b j e c t K e y > < K e y > L i n k s \ & l t ; C o l u m n s \ S u m   o f   7=>A  2 & g t ; - & l t ; M e a s u r e s \ 7=>A& g t ; \ C O L U M N < / K e y > < / D i a g r a m O b j e c t K e y > < D i a g r a m O b j e c t K e y > < K e y > L i n k s \ & l t ; C o l u m n s \ S u m   o f   7=>A  2 & g t ; - & l t ; M e a s u r e s \ 7=>A& g t ; \ M E A S U R E 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  o f   7=>A  2 < / K e y > < / a : K e y > < a : V a l u e   i : t y p e = " M e a s u r e G r i d N o d e V i e w S t a t e " > < C o l u m n > 3 < / C o l u m n > < L a y e d O u t > t r u e < / L a y e d O u t > < W a s U I I n v i s i b l e > t r u e < / W a s U I I n v i s i b l e > < / a : V a l u e > < / a : K e y V a l u e O f D i a g r a m O b j e c t K e y a n y T y p e z b w N T n L X > < a : K e y V a l u e O f D i a g r a m O b j e c t K e y a n y T y p e z b w N T n L X > < a : K e y > < K e y > M e a s u r e s \ S u m   o f   7=>A  2 \ T a g I n f o \ F o r m u l a < / K e y > < / a : K e y > < a : V a l u e   i : t y p e = " M e a s u r e G r i d V i e w S t a t e I D i a g r a m T a g A d d i t i o n a l I n f o " / > < / a : K e y V a l u e O f D i a g r a m O b j e c t K e y a n y T y p e z b w N T n L X > < a : K e y V a l u e O f D i a g r a m O b j e c t K e y a n y T y p e z b w N T n L X > < a : K e y > < K e y > M e a s u r e s \ S u m   o f   7=>A  2 \ T a g I n f o \ V a l u e < / K e y > < / a : K e y > < a : V a l u e   i : t y p e = " M e a s u r e G r i d V i e w S t a t e I D i a g r a m T a g A d d i t i o n a l I n f o " / > < / a : K e y V a l u e O f D i a g r a m O b j e c t K e y a n y T y p e z b w N T n L X > < a : K e y V a l u e O f D i a g r a m O b j e c t K e y a n y T y p e z b w N T n L X > < a : K e y > < K e y > C o l u m n s \ @>X  =0  X02=0  =0102:0  ( ?;0=) < / K e y > < / a : K e y > < a : V a l u e   i : t y p e = " M e a s u r e G r i d N o d e V i e w S t a t e " > < C o l u m n > 2 < / C o l u m n > < L a y e d O u t > t r u e < / L a y e d O u t > < / a : V a l u e > < / a : K e y V a l u e O f D i a g r a m O b j e c t K e y a n y T y p e z b w N T n L X > < a : K e y V a l u e O f D i a g r a m O b j e c t K e y a n y T y p e z b w N T n L X > < a : K e y > < K e y > C o l u m n s \ !B02:0< / K e y > < / a : K e y > < a : V a l u e   i : t y p e = " M e a s u r e G r i d N o d e V i e w S t a t e " > < C o l u m n > 4 < / C o l u m n > < L a y e d O u t > t r u e < / L a y e d O u t > < / a : V a l u e > < / a : K e y V a l u e O f D i a g r a m O b j e c t K e y a n y T y p e z b w N T n L X > < a : K e y V a l u e O f D i a g r a m O b j e c t K e y a n y T y p e z b w N T n L X > < a : K e y > < K e y > C o l u m n s \ 5@8>4< / K e y > < / a : K e y > < a : V a l u e   i : t y p e = " M e a s u r e G r i d N o d e V i e w S t a t e " > < C o l u m n > 5 < / C o l u m n > < L a y e d O u t > t r u e < / L a y e d O u t > < / a : V a l u e > < / a : K e y V a l u e O f D i a g r a m O b j e c t K e y a n y T y p e z b w N T n L X > < a : K e y V a l u e O f D i a g r a m O b j e c t K e y a n y T y p e z b w N T n L X > < a : K e y > < K e y > C o l u m n s \ 7=>A< / K e y > < / a : K e y > < a : V a l u e   i : t y p e = " M e a s u r e G r i d N o d e V i e w S t a t e " > < C o l u m n > 3 < / C o l u m n > < L a y e d O u t > t r u e < / L a y e d O u t > < / a : V a l u e > < / a : K e y V a l u e O f D i a g r a m O b j e c t K e y a n y T y p e z b w N T n L X > < a : K e y V a l u e O f D i a g r a m O b j e c t K e y a n y T y p e z b w N T n L X > < a : K e y > < K e y > C o l u m n s \ >=B>< / K e y > < / a : K e y > < a : V a l u e   i : t y p e = " M e a s u r e G r i d N o d e V i e w S t a t e " > < L a y e d O u t > t r u e < / L a y e d O u t > < / a : V a l u e > < / a : K e y V a l u e O f D i a g r a m O b j e c t K e y a n y T y p e z b w N T n L X > < a : K e y V a l u e O f D i a g r a m O b j e c t K e y a n y T y p e z b w N T n L X > < a : K e y > < K e y > C o l u m n s \ R e p o r t T y p e < / K e y > < / a : K e y > < a : V a l u e   i : t y p e = " M e a s u r e G r i d N o d e V i e w S t a t e " > < C o l u m n > 1 < / C o l u m n > < L a y e d O u t > t r u e < / L a y e d O u t > < / a : V a l u e > < / a : K e y V a l u e O f D i a g r a m O b j e c t K e y a n y T y p e z b w N T n L X > < a : K e y V a l u e O f D i a g r a m O b j e c t K e y a n y T y p e z b w N T n L X > < a : K e y > < K e y > L i n k s \ & l t ; C o l u m n s \ S u m   o f   7=>A  2 & g t ; - & l t ; M e a s u r e s \ 7=>A& g t ; < / K e y > < / a : K e y > < a : V a l u e   i : t y p e = " M e a s u r e G r i d V i e w S t a t e I D i a g r a m L i n k " / > < / a : K e y V a l u e O f D i a g r a m O b j e c t K e y a n y T y p e z b w N T n L X > < a : K e y V a l u e O f D i a g r a m O b j e c t K e y a n y T y p e z b w N T n L X > < a : K e y > < K e y > L i n k s \ & l t ; C o l u m n s \ S u m   o f   7=>A  2 & g t ; - & l t ; M e a s u r e s \ 7=>A& g t ; \ C O L U M N < / K e y > < / a : K e y > < a : V a l u e   i : t y p e = " M e a s u r e G r i d V i e w S t a t e I D i a g r a m L i n k E n d p o i n t " / > < / a : K e y V a l u e O f D i a g r a m O b j e c t K e y a n y T y p e z b w N T n L X > < a : K e y V a l u e O f D i a g r a m O b j e c t K e y a n y T y p e z b w N T n L X > < a : K e y > < K e y > L i n k s \ & l t ; C o l u m n s \ S u m   o f   7=>A  2 & g t ; - & l t ; M e a s u r e s \ 7=>A& g t ; \ M E A S U R E < / K e y > < / a : K e y > < a : V a l u e   i : t y p e = " M e a s u r e G r i d V i e w S t a t e I D i a g r a m L i n k E n d p o i n t " / > < / a : K e y V a l u e O f D i a g r a m O b j e c t K e y a n y T y p e z b w N T n L X > < / V i e w S t a t e s > < / D i a g r a m M a n a g e r . S e r i a l i z a b l e D i a g r a m > < D i a g r a m M a n a g e r . S e r i a l i z a b l e D i a g r a m > < A d a p t e r   i : t y p e = " M e a s u r e D i a g r a m S a n d b o x A d a p t e r " > < T a b l e N a m e > f C o v e c k i R e s u r s i < / 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 f C o v e c k i R e s u r s i < / 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  o f   7=>A  3 < / K e y > < / D i a g r a m O b j e c t K e y > < D i a g r a m O b j e c t K e y > < K e y > M e a s u r e s \ S u m   o f   7=>A  3 \ T a g I n f o \ F o r m u l a < / K e y > < / D i a g r a m O b j e c t K e y > < D i a g r a m O b j e c t K e y > < K e y > M e a s u r e s \ S u m   o f   7=>A  3 \ T a g I n f o \ V a l u e < / K e y > < / D i a g r a m O b j e c t K e y > < D i a g r a m O b j e c t K e y > < K e y > M e a s u r e s \ S u m   o f   @0X=0  A>AB>X10  2@01>B5=8< / K e y > < / D i a g r a m O b j e c t K e y > < D i a g r a m O b j e c t K e y > < K e y > M e a s u r e s \ S u m   o f   @0X=0  A>AB>X10  2@01>B5=8\ T a g I n f o \ F o r m u l a < / K e y > < / D i a g r a m O b j e c t K e y > < D i a g r a m O b j e c t K e y > < K e y > M e a s u r e s \ S u m   o f   @0X=0  A>AB>X10  2@01>B5=8\ T a g I n f o \ V a l u e < / K e y > < / D i a g r a m O b j e c t K e y > < D i a g r a m O b j e c t K e y > < K e y > M e a s u r e s \ S u m   o f   ;0=8@0=  ?@8;82/ ( >4;82) < / K e y > < / D i a g r a m O b j e c t K e y > < D i a g r a m O b j e c t K e y > < K e y > M e a s u r e s \ S u m   o f   ;0=8@0=  ?@8;82/ ( >4;82) \ T a g I n f o \ F o r m u l a < / K e y > < / D i a g r a m O b j e c t K e y > < D i a g r a m O b j e c t K e y > < K e y > M e a s u r e s \ S u m   o f   ;0=8@0=  ?@8;82/ ( >4;82) \ T a g I n f o \ V a l u e < / K e y > < / D i a g r a m O b j e c t K e y > < D i a g r a m O b j e c t K e y > < K e y > C o l u m n s \ !B02:0< / K e y > < / D i a g r a m O b j e c t K e y > < D i a g r a m O b j e c t K e y > < K e y > C o l u m n s \ "8?  =0  2@01>BC20Z5< / K e y > < / D i a g r a m O b j e c t K e y > < D i a g r a m O b j e c t K e y > < K e y > C o l u m n s \ ;0=8@0=  ?@8;82/ ( >4;82) < / K e y > < / D i a g r a m O b j e c t K e y > < D i a g r a m O b j e c t K e y > < K e y > C o l u m n s \ 5@8>4< / K e y > < / D i a g r a m O b j e c t K e y > < D i a g r a m O b j e c t K e y > < K e y > C o l u m n s \ @0X=0  A>AB>X10  2@01>B5=8< / K e y > < / D i a g r a m O b j e c t K e y > < D i a g r a m O b j e c t K e y > < K e y > C o l u m n s \ 7=>A< / K e y > < / D i a g r a m O b j e c t K e y > < D i a g r a m O b j e c t K e y > < K e y > C o l u m n s \ >=B>< / K e y > < / D i a g r a m O b j e c t K e y > < D i a g r a m O b j e c t K e y > < K e y > C o l u m n s \ R e p o r t T y p e < / K e y > < / D i a g r a m O b j e c t K e y > < D i a g r a m O b j e c t K e y > < K e y > C o l u m n s \ 5@8>4  ( Y e a r ) < / K e y > < / D i a g r a m O b j e c t K e y > < D i a g r a m O b j e c t K e y > < K e y > C o l u m n s \ 5@8>4  ( Q u a r t e r ) < / K e y > < / D i a g r a m O b j e c t K e y > < D i a g r a m O b j e c t K e y > < K e y > C o l u m n s \ 5@8>4  ( M o n t h   I n d e x ) < / K e y > < / D i a g r a m O b j e c t K e y > < D i a g r a m O b j e c t K e y > < K e y > C o l u m n s \ 5@8>4  ( M o n t h ) < / K e y > < / D i a g r a m O b j e c t K e y > < D i a g r a m O b j e c t K e y > < K e y > C o l u m n s \ 5@8>4  ( Y e a r )   1 < / K e y > < / D i a g r a m O b j e c t K e y > < D i a g r a m O b j e c t K e y > < K e y > C o l u m n s \ 5@8>4  ( Q u a r t e r )   1 < / K e y > < / D i a g r a m O b j e c t K e y > < D i a g r a m O b j e c t K e y > < K e y > C o l u m n s \ 5@8>4  ( M o n t h   I n d e x )   1 < / K e y > < / D i a g r a m O b j e c t K e y > < D i a g r a m O b j e c t K e y > < K e y > C o l u m n s \ 5@8>4  ( M o n t h )   1 < / K e y > < / D i a g r a m O b j e c t K e y > < D i a g r a m O b j e c t K e y > < K e y > L i n k s \ & l t ; C o l u m n s \ S u m   o f   7=>A  3 & g t ; - & l t ; M e a s u r e s \ 7=>A& g t ; < / K e y > < / D i a g r a m O b j e c t K e y > < D i a g r a m O b j e c t K e y > < K e y > L i n k s \ & l t ; C o l u m n s \ S u m   o f   7=>A  3 & g t ; - & l t ; M e a s u r e s \ 7=>A& g t ; \ C O L U M N < / K e y > < / D i a g r a m O b j e c t K e y > < D i a g r a m O b j e c t K e y > < K e y > L i n k s \ & l t ; C o l u m n s \ S u m   o f   7=>A  3 & g t ; - & l t ; M e a s u r e s \ 7=>A& g t ; \ M E A S U R E < / K e y > < / D i a g r a m O b j e c t K e y > < D i a g r a m O b j e c t K e y > < K e y > L i n k s \ & l t ; C o l u m n s \ S u m   o f   @0X=0  A>AB>X10  2@01>B5=8& g t ; - & l t ; M e a s u r e s \ @0X=0  A>AB>X10  2@01>B5=8& g t ; < / K e y > < / D i a g r a m O b j e c t K e y > < D i a g r a m O b j e c t K e y > < K e y > L i n k s \ & l t ; C o l u m n s \ S u m   o f   @0X=0  A>AB>X10  2@01>B5=8& g t ; - & l t ; M e a s u r e s \ @0X=0  A>AB>X10  2@01>B5=8& g t ; \ C O L U M N < / K e y > < / D i a g r a m O b j e c t K e y > < D i a g r a m O b j e c t K e y > < K e y > L i n k s \ & l t ; C o l u m n s \ S u m   o f   @0X=0  A>AB>X10  2@01>B5=8& g t ; - & l t ; M e a s u r e s \ @0X=0  A>AB>X10  2@01>B5=8& g t ; \ M E A S U R E < / K e y > < / D i a g r a m O b j e c t K e y > < D i a g r a m O b j e c t K e y > < K e y > L i n k s \ & l t ; C o l u m n s \ S u m   o f   ;0=8@0=  ?@8;82/ ( >4;82) & g t ; - & l t ; M e a s u r e s \ ;0=8@0=  ?@8;82/ ( >4;82) & g t ; < / K e y > < / D i a g r a m O b j e c t K e y > < D i a g r a m O b j e c t K e y > < K e y > L i n k s \ & l t ; C o l u m n s \ S u m   o f   ;0=8@0=  ?@8;82/ ( >4;82) & g t ; - & l t ; M e a s u r e s \ ;0=8@0=  ?@8;82/ ( >4;82) & g t ; \ C O L U M N < / K e y > < / D i a g r a m O b j e c t K e y > < D i a g r a m O b j e c t K e y > < K e y > L i n k s \ & l t ; C o l u m n s \ S u m   o f   ;0=8@0=  ?@8;82/ ( >4;82) & g t ; - & l t ; M e a s u r e s \ ;0=8@0=  ?@8;82/ ( >4;82) & g t ; \ M E A S U R E 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  o f   7=>A  3 < / K e y > < / a : K e y > < a : V a l u e   i : t y p e = " M e a s u r e G r i d N o d e V i e w S t a t e " > < C o l u m n > 3 < / C o l u m n > < L a y e d O u t > t r u e < / L a y e d O u t > < W a s U I I n v i s i b l e > t r u e < / W a s U I I n v i s i b l e > < / a : V a l u e > < / a : K e y V a l u e O f D i a g r a m O b j e c t K e y a n y T y p e z b w N T n L X > < a : K e y V a l u e O f D i a g r a m O b j e c t K e y a n y T y p e z b w N T n L X > < a : K e y > < K e y > M e a s u r e s \ S u m   o f   7=>A  3 \ T a g I n f o \ F o r m u l a < / K e y > < / a : K e y > < a : V a l u e   i : t y p e = " M e a s u r e G r i d V i e w S t a t e I D i a g r a m T a g A d d i t i o n a l I n f o " / > < / a : K e y V a l u e O f D i a g r a m O b j e c t K e y a n y T y p e z b w N T n L X > < a : K e y V a l u e O f D i a g r a m O b j e c t K e y a n y T y p e z b w N T n L X > < a : K e y > < K e y > M e a s u r e s \ S u m   o f   7=>A  3 \ T a g I n f o \ V a l u e < / K e y > < / a : K e y > < a : V a l u e   i : t y p e = " M e a s u r e G r i d V i e w S t a t e I D i a g r a m T a g A d d i t i o n a l I n f o " / > < / a : K e y V a l u e O f D i a g r a m O b j e c t K e y a n y T y p e z b w N T n L X > < a : K e y V a l u e O f D i a g r a m O b j e c t K e y a n y T y p e z b w N T n L X > < a : K e y > < K e y > M e a s u r e s \ S u m   o f   @0X=0  A>AB>X10  2@01>B5=8< / K e y > < / a : K e y > < a : V a l u e   i : t y p e = " M e a s u r e G r i d N o d e V i e w S t a t e " > < C o l u m n > 6 < / C o l u m n > < L a y e d O u t > t r u e < / L a y e d O u t > < W a s U I I n v i s i b l e > t r u e < / W a s U I I n v i s i b l e > < / a : V a l u e > < / a : K e y V a l u e O f D i a g r a m O b j e c t K e y a n y T y p e z b w N T n L X > < a : K e y V a l u e O f D i a g r a m O b j e c t K e y a n y T y p e z b w N T n L X > < a : K e y > < K e y > M e a s u r e s \ S u m   o f   @0X=0  A>AB>X10  2@01>B5=8\ T a g I n f o \ F o r m u l a < / K e y > < / a : K e y > < a : V a l u e   i : t y p e = " M e a s u r e G r i d V i e w S t a t e I D i a g r a m T a g A d d i t i o n a l I n f o " / > < / a : K e y V a l u e O f D i a g r a m O b j e c t K e y a n y T y p e z b w N T n L X > < a : K e y V a l u e O f D i a g r a m O b j e c t K e y a n y T y p e z b w N T n L X > < a : K e y > < K e y > M e a s u r e s \ S u m   o f   @0X=0  A>AB>X10  2@01>B5=8\ T a g I n f o \ V a l u e < / K e y > < / a : K e y > < a : V a l u e   i : t y p e = " M e a s u r e G r i d V i e w S t a t e I D i a g r a m T a g A d d i t i o n a l I n f o " / > < / a : K e y V a l u e O f D i a g r a m O b j e c t K e y a n y T y p e z b w N T n L X > < a : K e y V a l u e O f D i a g r a m O b j e c t K e y a n y T y p e z b w N T n L X > < a : K e y > < K e y > M e a s u r e s \ S u m   o f   ;0=8@0=  ?@8;82/ ( >4;82) < / K e y > < / a : K e y > < a : V a l u e   i : t y p e = " M e a s u r e G r i d N o d e V i e w S t a t e " > < C o l u m n > 7 < / C o l u m n > < L a y e d O u t > t r u e < / L a y e d O u t > < W a s U I I n v i s i b l e > t r u e < / W a s U I I n v i s i b l e > < / a : V a l u e > < / a : K e y V a l u e O f D i a g r a m O b j e c t K e y a n y T y p e z b w N T n L X > < a : K e y V a l u e O f D i a g r a m O b j e c t K e y a n y T y p e z b w N T n L X > < a : K e y > < K e y > M e a s u r e s \ S u m   o f   ;0=8@0=  ?@8;82/ ( >4;82) \ T a g I n f o \ F o r m u l a < / K e y > < / a : K e y > < a : V a l u e   i : t y p e = " M e a s u r e G r i d V i e w S t a t e I D i a g r a m T a g A d d i t i o n a l I n f o " / > < / a : K e y V a l u e O f D i a g r a m O b j e c t K e y a n y T y p e z b w N T n L X > < a : K e y V a l u e O f D i a g r a m O b j e c t K e y a n y T y p e z b w N T n L X > < a : K e y > < K e y > M e a s u r e s \ S u m   o f   ;0=8@0=  ?@8;82/ ( >4;82) \ T a g I n f o \ V a l u e < / K e y > < / a : K e y > < a : V a l u e   i : t y p e = " M e a s u r e G r i d V i e w S t a t e I D i a g r a m T a g A d d i t i o n a l I n f o " / > < / a : K e y V a l u e O f D i a g r a m O b j e c t K e y a n y T y p e z b w N T n L X > < a : K e y V a l u e O f D i a g r a m O b j e c t K e y a n y T y p e z b w N T n L X > < a : K e y > < K e y > C o l u m n s \ !B02:0< / K e y > < / a : K e y > < a : V a l u e   i : t y p e = " M e a s u r e G r i d N o d e V i e w S t a t e " > < L a y e d O u t > t r u e < / L a y e d O u t > < / a : V a l u e > < / a : K e y V a l u e O f D i a g r a m O b j e c t K e y a n y T y p e z b w N T n L X > < a : K e y V a l u e O f D i a g r a m O b j e c t K e y a n y T y p e z b w N T n L X > < a : K e y > < K e y > C o l u m n s \ "8?  =0  2@01>BC20Z5< / K e y > < / a : K e y > < a : V a l u e   i : t y p e = " M e a s u r e G r i d N o d e V i e w S t a t e " > < C o l u m n > 1 < / C o l u m n > < L a y e d O u t > t r u e < / L a y e d O u t > < / a : V a l u e > < / a : K e y V a l u e O f D i a g r a m O b j e c t K e y a n y T y p e z b w N T n L X > < a : K e y V a l u e O f D i a g r a m O b j e c t K e y a n y T y p e z b w N T n L X > < a : K e y > < K e y > C o l u m n s \ ;0=8@0=  ?@8;82/ ( >4;82) < / K e y > < / a : K e y > < a : V a l u e   i : t y p e = " M e a s u r e G r i d N o d e V i e w S t a t e " > < C o l u m n > 7 < / C o l u m n > < L a y e d O u t > t r u e < / L a y e d O u t > < / a : V a l u e > < / a : K e y V a l u e O f D i a g r a m O b j e c t K e y a n y T y p e z b w N T n L X > < a : K e y V a l u e O f D i a g r a m O b j e c t K e y a n y T y p e z b w N T n L X > < a : K e y > < K e y > C o l u m n s \ 5@8>4< / K e y > < / a : K e y > < a : V a l u e   i : t y p e = " M e a s u r e G r i d N o d e V i e w S t a t e " > < C o l u m n > 2 < / C o l u m n > < L a y e d O u t > t r u e < / L a y e d O u t > < / a : V a l u e > < / a : K e y V a l u e O f D i a g r a m O b j e c t K e y a n y T y p e z b w N T n L X > < a : K e y V a l u e O f D i a g r a m O b j e c t K e y a n y T y p e z b w N T n L X > < a : K e y > < K e y > C o l u m n s \ @0X=0  A>AB>X10  2@01>B5=8< / K e y > < / a : K e y > < a : V a l u e   i : t y p e = " M e a s u r e G r i d N o d e V i e w S t a t e " > < C o l u m n > 6 < / C o l u m n > < L a y e d O u t > t r u e < / L a y e d O u t > < / a : V a l u e > < / a : K e y V a l u e O f D i a g r a m O b j e c t K e y a n y T y p e z b w N T n L X > < a : K e y V a l u e O f D i a g r a m O b j e c t K e y a n y T y p e z b w N T n L X > < a : K e y > < K e y > C o l u m n s \ 7=>A< / K e y > < / a : K e y > < a : V a l u e   i : t y p e = " M e a s u r e G r i d N o d e V i e w S t a t e " > < C o l u m n > 3 < / C o l u m n > < L a y e d O u t > t r u e < / L a y e d O u t > < / a : V a l u e > < / a : K e y V a l u e O f D i a g r a m O b j e c t K e y a n y T y p e z b w N T n L X > < a : K e y V a l u e O f D i a g r a m O b j e c t K e y a n y T y p e z b w N T n L X > < a : K e y > < K e y > C o l u m n s \ >=B>< / K e y > < / a : K e y > < a : V a l u e   i : t y p e = " M e a s u r e G r i d N o d e V i e w S t a t e " > < C o l u m n > 4 < / C o l u m n > < L a y e d O u t > t r u e < / L a y e d O u t > < / a : V a l u e > < / a : K e y V a l u e O f D i a g r a m O b j e c t K e y a n y T y p e z b w N T n L X > < a : K e y V a l u e O f D i a g r a m O b j e c t K e y a n y T y p e z b w N T n L X > < a : K e y > < K e y > C o l u m n s \ R e p o r t T y p e < / K e y > < / a : K e y > < a : V a l u e   i : t y p e = " M e a s u r e G r i d N o d e V i e w S t a t e " > < C o l u m n > 5 < / C o l u m n > < L a y e d O u t > t r u e < / L a y e d O u t > < / a : V a l u e > < / a : K e y V a l u e O f D i a g r a m O b j e c t K e y a n y T y p e z b w N T n L X > < a : K e y V a l u e O f D i a g r a m O b j e c t K e y a n y T y p e z b w N T n L X > < a : K e y > < K e y > C o l u m n s \ 5@8>4  ( Y e a r ) < / K e y > < / a : K e y > < a : V a l u e   i : t y p e = " M e a s u r e G r i d N o d e V i e w S t a t e " > < C o l u m n > 8 < / C o l u m n > < L a y e d O u t > t r u e < / L a y e d O u t > < / a : V a l u e > < / a : K e y V a l u e O f D i a g r a m O b j e c t K e y a n y T y p e z b w N T n L X > < a : K e y V a l u e O f D i a g r a m O b j e c t K e y a n y T y p e z b w N T n L X > < a : K e y > < K e y > C o l u m n s \ 5@8>4  ( Q u a r t e r ) < / K e y > < / a : K e y > < a : V a l u e   i : t y p e = " M e a s u r e G r i d N o d e V i e w S t a t e " > < C o l u m n > 9 < / C o l u m n > < L a y e d O u t > t r u e < / L a y e d O u t > < / a : V a l u e > < / a : K e y V a l u e O f D i a g r a m O b j e c t K e y a n y T y p e z b w N T n L X > < a : K e y V a l u e O f D i a g r a m O b j e c t K e y a n y T y p e z b w N T n L X > < a : K e y > < K e y > C o l u m n s \ 5@8>4  ( M o n t h   I n d e x ) < / K e y > < / a : K e y > < a : V a l u e   i : t y p e = " M e a s u r e G r i d N o d e V i e w S t a t e " > < C o l u m n > 1 0 < / C o l u m n > < L a y e d O u t > t r u e < / L a y e d O u t > < / a : V a l u e > < / a : K e y V a l u e O f D i a g r a m O b j e c t K e y a n y T y p e z b w N T n L X > < a : K e y V a l u e O f D i a g r a m O b j e c t K e y a n y T y p e z b w N T n L X > < a : K e y > < K e y > C o l u m n s \ 5@8>4  ( M o n t h ) < / K e y > < / a : K e y > < a : V a l u e   i : t y p e = " M e a s u r e G r i d N o d e V i e w S t a t e " > < C o l u m n > 1 1 < / C o l u m n > < L a y e d O u t > t r u e < / L a y e d O u t > < / a : V a l u e > < / a : K e y V a l u e O f D i a g r a m O b j e c t K e y a n y T y p e z b w N T n L X > < a : K e y V a l u e O f D i a g r a m O b j e c t K e y a n y T y p e z b w N T n L X > < a : K e y > < K e y > C o l u m n s \ 5@8>4  ( Y e a r )   1 < / K e y > < / a : K e y > < a : V a l u e   i : t y p e = " M e a s u r e G r i d N o d e V i e w S t a t e " > < C o l u m n > 1 2 < / C o l u m n > < L a y e d O u t > t r u e < / L a y e d O u t > < / a : V a l u e > < / a : K e y V a l u e O f D i a g r a m O b j e c t K e y a n y T y p e z b w N T n L X > < a : K e y V a l u e O f D i a g r a m O b j e c t K e y a n y T y p e z b w N T n L X > < a : K e y > < K e y > C o l u m n s \ 5@8>4  ( Q u a r t e r )   1 < / K e y > < / a : K e y > < a : V a l u e   i : t y p e = " M e a s u r e G r i d N o d e V i e w S t a t e " > < C o l u m n > 1 3 < / C o l u m n > < L a y e d O u t > t r u e < / L a y e d O u t > < / a : V a l u e > < / a : K e y V a l u e O f D i a g r a m O b j e c t K e y a n y T y p e z b w N T n L X > < a : K e y V a l u e O f D i a g r a m O b j e c t K e y a n y T y p e z b w N T n L X > < a : K e y > < K e y > C o l u m n s \ 5@8>4  ( M o n t h   I n d e x )   1 < / K e y > < / a : K e y > < a : V a l u e   i : t y p e = " M e a s u r e G r i d N o d e V i e w S t a t e " > < C o l u m n > 1 4 < / C o l u m n > < L a y e d O u t > t r u e < / L a y e d O u t > < / a : V a l u e > < / a : K e y V a l u e O f D i a g r a m O b j e c t K e y a n y T y p e z b w N T n L X > < a : K e y V a l u e O f D i a g r a m O b j e c t K e y a n y T y p e z b w N T n L X > < a : K e y > < K e y > C o l u m n s \ 5@8>4  ( M o n t h )   1 < / K e y > < / a : K e y > < a : V a l u e   i : t y p e = " M e a s u r e G r i d N o d e V i e w S t a t e " > < C o l u m n > 1 5 < / C o l u m n > < L a y e d O u t > t r u e < / L a y e d O u t > < / a : V a l u e > < / a : K e y V a l u e O f D i a g r a m O b j e c t K e y a n y T y p e z b w N T n L X > < a : K e y V a l u e O f D i a g r a m O b j e c t K e y a n y T y p e z b w N T n L X > < a : K e y > < K e y > L i n k s \ & l t ; C o l u m n s \ S u m   o f   7=>A  3 & g t ; - & l t ; M e a s u r e s \ 7=>A& g t ; < / K e y > < / a : K e y > < a : V a l u e   i : t y p e = " M e a s u r e G r i d V i e w S t a t e I D i a g r a m L i n k " / > < / a : K e y V a l u e O f D i a g r a m O b j e c t K e y a n y T y p e z b w N T n L X > < a : K e y V a l u e O f D i a g r a m O b j e c t K e y a n y T y p e z b w N T n L X > < a : K e y > < K e y > L i n k s \ & l t ; C o l u m n s \ S u m   o f   7=>A  3 & g t ; - & l t ; M e a s u r e s \ 7=>A& g t ; \ C O L U M N < / K e y > < / a : K e y > < a : V a l u e   i : t y p e = " M e a s u r e G r i d V i e w S t a t e I D i a g r a m L i n k E n d p o i n t " / > < / a : K e y V a l u e O f D i a g r a m O b j e c t K e y a n y T y p e z b w N T n L X > < a : K e y V a l u e O f D i a g r a m O b j e c t K e y a n y T y p e z b w N T n L X > < a : K e y > < K e y > L i n k s \ & l t ; C o l u m n s \ S u m   o f   7=>A  3 & g t ; - & l t ; M e a s u r e s \ 7=>A& g t ; \ M E A S U R E < / K e y > < / a : K e y > < a : V a l u e   i : t y p e = " M e a s u r e G r i d V i e w S t a t e I D i a g r a m L i n k E n d p o i n t " / > < / a : K e y V a l u e O f D i a g r a m O b j e c t K e y a n y T y p e z b w N T n L X > < a : K e y V a l u e O f D i a g r a m O b j e c t K e y a n y T y p e z b w N T n L X > < a : K e y > < K e y > L i n k s \ & l t ; C o l u m n s \ S u m   o f   @0X=0  A>AB>X10  2@01>B5=8& g t ; - & l t ; M e a s u r e s \ @0X=0  A>AB>X10  2@01>B5=8& g t ; < / K e y > < / a : K e y > < a : V a l u e   i : t y p e = " M e a s u r e G r i d V i e w S t a t e I D i a g r a m L i n k " / > < / a : K e y V a l u e O f D i a g r a m O b j e c t K e y a n y T y p e z b w N T n L X > < a : K e y V a l u e O f D i a g r a m O b j e c t K e y a n y T y p e z b w N T n L X > < a : K e y > < K e y > L i n k s \ & l t ; C o l u m n s \ S u m   o f   @0X=0  A>AB>X10  2@01>B5=8& g t ; - & l t ; M e a s u r e s \ @0X=0  A>AB>X10  2@01>B5=8& g t ; \ C O L U M N < / K e y > < / a : K e y > < a : V a l u e   i : t y p e = " M e a s u r e G r i d V i e w S t a t e I D i a g r a m L i n k E n d p o i n t " / > < / a : K e y V a l u e O f D i a g r a m O b j e c t K e y a n y T y p e z b w N T n L X > < a : K e y V a l u e O f D i a g r a m O b j e c t K e y a n y T y p e z b w N T n L X > < a : K e y > < K e y > L i n k s \ & l t ; C o l u m n s \ S u m   o f   @0X=0  A>AB>X10  2@01>B5=8& g t ; - & l t ; M e a s u r e s \ @0X=0  A>AB>X10  2@01>B5=8& g t ; \ M E A S U R E < / K e y > < / a : K e y > < a : V a l u e   i : t y p e = " M e a s u r e G r i d V i e w S t a t e I D i a g r a m L i n k E n d p o i n t " / > < / a : K e y V a l u e O f D i a g r a m O b j e c t K e y a n y T y p e z b w N T n L X > < a : K e y V a l u e O f D i a g r a m O b j e c t K e y a n y T y p e z b w N T n L X > < a : K e y > < K e y > L i n k s \ & l t ; C o l u m n s \ S u m   o f   ;0=8@0=  ?@8;82/ ( >4;82) & g t ; - & l t ; M e a s u r e s \ ;0=8@0=  ?@8;82/ ( >4;82) & g t ; < / K e y > < / a : K e y > < a : V a l u e   i : t y p e = " M e a s u r e G r i d V i e w S t a t e I D i a g r a m L i n k " / > < / a : K e y V a l u e O f D i a g r a m O b j e c t K e y a n y T y p e z b w N T n L X > < a : K e y V a l u e O f D i a g r a m O b j e c t K e y a n y T y p e z b w N T n L X > < a : K e y > < K e y > L i n k s \ & l t ; C o l u m n s \ S u m   o f   ;0=8@0=  ?@8;82/ ( >4;82) & g t ; - & l t ; M e a s u r e s \ ;0=8@0=  ?@8;82/ ( >4;82) & g t ; \ C O L U M N < / K e y > < / a : K e y > < a : V a l u e   i : t y p e = " M e a s u r e G r i d V i e w S t a t e I D i a g r a m L i n k E n d p o i n t " / > < / a : K e y V a l u e O f D i a g r a m O b j e c t K e y a n y T y p e z b w N T n L X > < a : K e y V a l u e O f D i a g r a m O b j e c t K e y a n y T y p e z b w N T n L X > < a : K e y > < K e y > L i n k s \ & l t ; C o l u m n s \ S u m   o f   ;0=8@0=  ?@8;82/ ( >4;82) & g t ; - & l t ; M e a s u r e s \ ;0=8@0=  ?@8;82/ ( >4;82) & g t ; \ M E A S U R E < / K e y > < / a : K e y > < a : V a l u e   i : t y p e = " M e a s u r e G r i d V i e w S t a t e I D i a g r a m L i n k E n d p o i n t " / > < / a : K e y V a l u e O f D i a g r a m O b j e c t K e y a n y T y p e z b w N T n L X > < / V i e w S t a t e s > < / D i a g r a m M a n a g e r . S e r i a l i z a b l e D i a g r a m > < D i a g r a m M a n a g e r . S e r i a l i z a b l e D i a g r a m > < A d a p t e r   i : t y p e = " M e a s u r e D i a g r a m S a n d b o x A d a p t e r " > < T a b l e N a m e > f A c t u a l A n d B u d g e t < / 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 f A c t u a l A n d B u d g e t < / 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  o f   7=>A< / K e y > < / D i a g r a m O b j e c t K e y > < D i a g r a m O b j e c t K e y > < K e y > M e a s u r e s \ S u m   o f   7=>A\ T a g I n f o \ F o r m u l a < / K e y > < / D i a g r a m O b j e c t K e y > < D i a g r a m O b j e c t K e y > < K e y > M e a s u r e s \ S u m   o f   7=>A\ T a g I n f o \ V a l u e < / K e y > < / D i a g r a m O b j e c t K e y > < D i a g r a m O b j e c t K e y > < K e y > M e a s u r e s \ S u m   o f   7=>A  ( 8;X048) < / K e y > < / D i a g r a m O b j e c t K e y > < D i a g r a m O b j e c t K e y > < K e y > M e a s u r e s \ S u m   o f   7=>A  ( 8;X048) \ T a g I n f o \ F o r m u l a < / K e y > < / D i a g r a m O b j e c t K e y > < D i a g r a m O b j e c t K e y > < K e y > M e a s u r e s \ S u m   o f   7=>A  ( 8;X048) \ T a g I n f o \ V a l u e < / K e y > < / D i a g r a m O b j e c t K e y > < D i a g r a m O b j e c t K e y > < K e y > M e a s u r e s \ S u m   o f   7=>A1 < / K e y > < / D i a g r a m O b j e c t K e y > < D i a g r a m O b j e c t K e y > < K e y > M e a s u r e s \ S u m   o f   7=>A1 \ T a g I n f o \ F o r m u l a < / K e y > < / D i a g r a m O b j e c t K e y > < D i a g r a m O b j e c t K e y > < K e y > M e a s u r e s \ S u m   o f   7=>A1 \ T a g I n f o \ V a l u e < / K e y > < / D i a g r a m O b j e c t K e y > < D i a g r a m O b j e c t K e y > < K e y > C o l u m n s \ >=B>< / K e y > < / D i a g r a m O b j e c t K e y > < D i a g r a m O b j e c t K e y > < K e y > C o l u m n s \ 0782  =0  :>=B>< / K e y > < / D i a g r a m O b j e c t K e y > < D i a g r a m O b j e c t K e y > < K e y > C o l u m n s \ 5@8>4< / K e y > < / D i a g r a m O b j e c t K e y > < D i a g r a m O b j e c t K e y > < K e y > C o l u m n s \ 7=>A1 < / K e y > < / D i a g r a m O b j e c t K e y > < D i a g r a m O b j e c t K e y > < K e y > C o l u m n s \ R e p o r t T y p e < / K e y > < / D i a g r a m O b j e c t K e y > < D i a g r a m O b j e c t K e y > < K e y > C o l u m n s \ !B02:0< / K e y > < / D i a g r a m O b j e c t K e y > < D i a g r a m O b j e c t K e y > < K e y > C o l u m n s \ @>X  =0  X02=0  =0102:0  ( ?;0=) < / K e y > < / D i a g r a m O b j e c t K e y > < D i a g r a m O b j e c t K e y > < K e y > C o l u m n s \ S t a v k a I D < / K e y > < / D i a g r a m O b j e c t K e y > < D i a g r a m O b j e c t K e y > < K e y > C o l u m n s \ S t a v k a I m e M K < / K e y > < / D i a g r a m O b j e c t K e y > < D i a g r a m O b j e c t K e y > < K e y > C o l u m n s \ S t a v k a G r u p a < / K e y > < / D i a g r a m O b j e c t K e y > < D i a g r a m O b j e c t K e y > < K e y > C o l u m n s \ S t a v k a K a t e g o r i j a < / K e y > < / D i a g r a m O b j e c t K e y > < D i a g r a m O b j e c t K e y > < K e y > C o l u m n s \ Z n a k I z v e s t a j < / K e y > < / D i a g r a m O b j e c t K e y > < D i a g r a m O b j e c t K e y > < K e y > C o l u m n s \ O b r a z e c I D < / K e y > < / D i a g r a m O b j e c t K e y > < D i a g r a m O b j e c t K e y > < K e y > C o l u m n s \ S t a v k a A O P < / K e y > < / D i a g r a m O b j e c t K e y > < D i a g r a m O b j e c t K e y > < K e y > C o l u m n s \ O b r a z e c I m e < / K e y > < / D i a g r a m O b j e c t K e y > < D i a g r a m O b j e c t K e y > < K e y > C o l u m n s \ 7=>A< / K e y > < / D i a g r a m O b j e c t K e y > < D i a g r a m O b j e c t K e y > < K e y > C o l u m n s \ 7=>A  ( 8;X048) < / K e y > < / D i a g r a m O b j e c t K e y > < D i a g r a m O b j e c t K e y > < K e y > C o l u m n s \ S t a v k a I m e A O P < / K e y > < / D i a g r a m O b j e c t K e y > < D i a g r a m O b j e c t K e y > < K e y > C o l u m n s \ >=B>  !B02:0< / K e y > < / D i a g r a m O b j e c t K e y > < D i a g r a m O b j e c t K e y > < K e y > L i n k s \ & l t ; C o l u m n s \ S u m   o f   7=>A& g t ; - & l t ; M e a s u r e s \ 7=>A& g t ; < / K e y > < / D i a g r a m O b j e c t K e y > < D i a g r a m O b j e c t K e y > < K e y > L i n k s \ & l t ; C o l u m n s \ S u m   o f   7=>A& g t ; - & l t ; M e a s u r e s \ 7=>A& g t ; \ C O L U M N < / K e y > < / D i a g r a m O b j e c t K e y > < D i a g r a m O b j e c t K e y > < K e y > L i n k s \ & l t ; C o l u m n s \ S u m   o f   7=>A& g t ; - & l t ; M e a s u r e s \ 7=>A& g t ; \ M E A S U R E < / K e y > < / D i a g r a m O b j e c t K e y > < D i a g r a m O b j e c t K e y > < K e y > L i n k s \ & l t ; C o l u m n s \ S u m   o f   7=>A  ( 8;X048) & g t ; - & l t ; M e a s u r e s \ 7=>A  ( 8;X048) & g t ; < / K e y > < / D i a g r a m O b j e c t K e y > < D i a g r a m O b j e c t K e y > < K e y > L i n k s \ & l t ; C o l u m n s \ S u m   o f   7=>A  ( 8;X048) & g t ; - & l t ; M e a s u r e s \ 7=>A  ( 8;X048) & g t ; \ C O L U M N < / K e y > < / D i a g r a m O b j e c t K e y > < D i a g r a m O b j e c t K e y > < K e y > L i n k s \ & l t ; C o l u m n s \ S u m   o f   7=>A  ( 8;X048) & g t ; - & l t ; M e a s u r e s \ 7=>A  ( 8;X048) & g t ; \ M E A S U R E < / K e y > < / D i a g r a m O b j e c t K e y > < D i a g r a m O b j e c t K e y > < K e y > L i n k s \ & l t ; C o l u m n s \ S u m   o f   7=>A1 & g t ; - & l t ; M e a s u r e s \ 7=>A1 & g t ; < / K e y > < / D i a g r a m O b j e c t K e y > < D i a g r a m O b j e c t K e y > < K e y > L i n k s \ & l t ; C o l u m n s \ S u m   o f   7=>A1 & g t ; - & l t ; M e a s u r e s \ 7=>A1 & g t ; \ C O L U M N < / K e y > < / D i a g r a m O b j e c t K e y > < D i a g r a m O b j e c t K e y > < K e y > L i n k s \ & l t ; C o l u m n s \ S u m   o f   7=>A1 & g t ; - & l t ; M e a s u r e s \ 7=>A1 & g t ; \ M E A S U R E 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  o f   7=>A< / K e y > < / a : K e y > < a : V a l u e   i : t y p e = " M e a s u r e G r i d N o d e V i e w S t a t e " > < C o l u m n > 5 < / C o l u m n > < L a y e d O u t > t r u e < / L a y e d O u t > < W a s U I I n v i s i b l e > t r u e < / W a s U I I n v i s i b l e > < / a : V a l u e > < / a : K e y V a l u e O f D i a g r a m O b j e c t K e y a n y T y p e z b w N T n L X > < a : K e y V a l u e O f D i a g r a m O b j e c t K e y a n y T y p e z b w N T n L X > < a : K e y > < K e y > M e a s u r e s \ S u m   o f   7=>A\ T a g I n f o \ F o r m u l a < / K e y > < / a : K e y > < a : V a l u e   i : t y p e = " M e a s u r e G r i d V i e w S t a t e I D i a g r a m T a g A d d i t i o n a l I n f o " / > < / a : K e y V a l u e O f D i a g r a m O b j e c t K e y a n y T y p e z b w N T n L X > < a : K e y V a l u e O f D i a g r a m O b j e c t K e y a n y T y p e z b w N T n L X > < a : K e y > < K e y > M e a s u r e s \ S u m   o f   7=>A\ T a g I n f o \ V a l u e < / K e y > < / a : K e y > < a : V a l u e   i : t y p e = " M e a s u r e G r i d V i e w S t a t e I D i a g r a m T a g A d d i t i o n a l I n f o " / > < / a : K e y V a l u e O f D i a g r a m O b j e c t K e y a n y T y p e z b w N T n L X > < a : K e y V a l u e O f D i a g r a m O b j e c t K e y a n y T y p e z b w N T n L X > < a : K e y > < K e y > M e a s u r e s \ S u m   o f   7=>A  ( 8;X048) < / K e y > < / a : K e y > < a : V a l u e   i : t y p e = " M e a s u r e G r i d N o d e V i e w S t a t e " > < C o l u m n > 6 < / C o l u m n > < L a y e d O u t > t r u e < / L a y e d O u t > < W a s U I I n v i s i b l e > t r u e < / W a s U I I n v i s i b l e > < / a : V a l u e > < / a : K e y V a l u e O f D i a g r a m O b j e c t K e y a n y T y p e z b w N T n L X > < a : K e y V a l u e O f D i a g r a m O b j e c t K e y a n y T y p e z b w N T n L X > < a : K e y > < K e y > M e a s u r e s \ S u m   o f   7=>A  ( 8;X048) \ T a g I n f o \ F o r m u l a < / K e y > < / a : K e y > < a : V a l u e   i : t y p e = " M e a s u r e G r i d V i e w S t a t e I D i a g r a m T a g A d d i t i o n a l I n f o " / > < / a : K e y V a l u e O f D i a g r a m O b j e c t K e y a n y T y p e z b w N T n L X > < a : K e y V a l u e O f D i a g r a m O b j e c t K e y a n y T y p e z b w N T n L X > < a : K e y > < K e y > M e a s u r e s \ S u m   o f   7=>A  ( 8;X048) \ T a g I n f o \ V a l u e < / K e y > < / a : K e y > < a : V a l u e   i : t y p e = " M e a s u r e G r i d V i e w S t a t e I D i a g r a m T a g A d d i t i o n a l I n f o " / > < / a : K e y V a l u e O f D i a g r a m O b j e c t K e y a n y T y p e z b w N T n L X > < a : K e y V a l u e O f D i a g r a m O b j e c t K e y a n y T y p e z b w N T n L X > < a : K e y > < K e y > M e a s u r e s \ S u m   o f   7=>A1 < / K e y > < / a : K e y > < a : V a l u e   i : t y p e = " M e a s u r e G r i d N o d e V i e w S t a t e " > < C o l u m n > 3 < / C o l u m n > < L a y e d O u t > t r u e < / L a y e d O u t > < W a s U I I n v i s i b l e > t r u e < / W a s U I I n v i s i b l e > < / a : V a l u e > < / a : K e y V a l u e O f D i a g r a m O b j e c t K e y a n y T y p e z b w N T n L X > < a : K e y V a l u e O f D i a g r a m O b j e c t K e y a n y T y p e z b w N T n L X > < a : K e y > < K e y > M e a s u r e s \ S u m   o f   7=>A1 \ T a g I n f o \ F o r m u l a < / K e y > < / a : K e y > < a : V a l u e   i : t y p e = " M e a s u r e G r i d V i e w S t a t e I D i a g r a m T a g A d d i t i o n a l I n f o " / > < / a : K e y V a l u e O f D i a g r a m O b j e c t K e y a n y T y p e z b w N T n L X > < a : K e y V a l u e O f D i a g r a m O b j e c t K e y a n y T y p e z b w N T n L X > < a : K e y > < K e y > M e a s u r e s \ S u m   o f   7=>A1 \ T a g I n f o \ V a l u e < / K e y > < / a : K e y > < a : V a l u e   i : t y p e = " M e a s u r e G r i d V i e w S t a t e I D i a g r a m T a g A d d i t i o n a l I n f o " / > < / a : K e y V a l u e O f D i a g r a m O b j e c t K e y a n y T y p e z b w N T n L X > < a : K e y V a l u e O f D i a g r a m O b j e c t K e y a n y T y p e z b w N T n L X > < a : K e y > < K e y > C o l u m n s \ >=B>< / K e y > < / a : K e y > < a : V a l u e   i : t y p e = " M e a s u r e G r i d N o d e V i e w S t a t e " > < L a y e d O u t > t r u e < / L a y e d O u t > < / a : V a l u e > < / a : K e y V a l u e O f D i a g r a m O b j e c t K e y a n y T y p e z b w N T n L X > < a : K e y V a l u e O f D i a g r a m O b j e c t K e y a n y T y p e z b w N T n L X > < a : K e y > < K e y > C o l u m n s \ 0782  =0  :>=B>< / K e y > < / a : K e y > < a : V a l u e   i : t y p e = " M e a s u r e G r i d N o d e V i e w S t a t e " > < C o l u m n > 1 8 < / C o l u m n > < L a y e d O u t > t r u e < / L a y e d O u t > < / a : V a l u e > < / a : K e y V a l u e O f D i a g r a m O b j e c t K e y a n y T y p e z b w N T n L X > < a : K e y V a l u e O f D i a g r a m O b j e c t K e y a n y T y p e z b w N T n L X > < a : K e y > < K e y > C o l u m n s \ 5@8>4< / K e y > < / a : K e y > < a : V a l u e   i : t y p e = " M e a s u r e G r i d N o d e V i e w S t a t e " > < C o l u m n > 2 < / C o l u m n > < L a y e d O u t > t r u e < / L a y e d O u t > < / a : V a l u e > < / a : K e y V a l u e O f D i a g r a m O b j e c t K e y a n y T y p e z b w N T n L X > < a : K e y V a l u e O f D i a g r a m O b j e c t K e y a n y T y p e z b w N T n L X > < a : K e y > < K e y > C o l u m n s \ 7=>A1 < / K e y > < / a : K e y > < a : V a l u e   i : t y p e = " M e a s u r e G r i d N o d e V i e w S t a t e " > < C o l u m n > 3 < / C o l u m n > < L a y e d O u t > t r u e < / L a y e d O u t > < / a : V a l u e > < / a : K e y V a l u e O f D i a g r a m O b j e c t K e y a n y T y p e z b w N T n L X > < a : K e y V a l u e O f D i a g r a m O b j e c t K e y a n y T y p e z b w N T n L X > < a : K e y > < K e y > C o l u m n s \ R e p o r t T y p e < / K e y > < / a : K e y > < a : V a l u e   i : t y p e = " M e a s u r e G r i d N o d e V i e w S t a t e " > < C o l u m n > 4 < / C o l u m n > < L a y e d O u t > t r u e < / L a y e d O u t > < / a : V a l u e > < / a : K e y V a l u e O f D i a g r a m O b j e c t K e y a n y T y p e z b w N T n L X > < a : K e y V a l u e O f D i a g r a m O b j e c t K e y a n y T y p e z b w N T n L X > < a : K e y > < K e y > C o l u m n s \ !B02:0< / K e y > < / a : K e y > < a : V a l u e   i : t y p e = " M e a s u r e G r i d N o d e V i e w S t a t e " > < C o l u m n > 1 < / C o l u m n > < L a y e d O u t > t r u e < / L a y e d O u t > < / a : V a l u e > < / a : K e y V a l u e O f D i a g r a m O b j e c t K e y a n y T y p e z b w N T n L X > < a : K e y V a l u e O f D i a g r a m O b j e c t K e y a n y T y p e z b w N T n L X > < a : K e y > < K e y > C o l u m n s \ @>X  =0  X02=0  =0102:0  ( ?;0=) < / K e y > < / a : K e y > < a : V a l u e   i : t y p e = " M e a s u r e G r i d N o d e V i e w S t a t e " > < C o l u m n > 1 5 < / C o l u m n > < L a y e d O u t > t r u e < / L a y e d O u t > < / a : V a l u e > < / a : K e y V a l u e O f D i a g r a m O b j e c t K e y a n y T y p e z b w N T n L X > < a : K e y V a l u e O f D i a g r a m O b j e c t K e y a n y T y p e z b w N T n L X > < a : K e y > < K e y > C o l u m n s \ S t a v k a I D < / K e y > < / a : K e y > < a : V a l u e   i : t y p e = " M e a s u r e G r i d N o d e V i e w S t a t e " > < C o l u m n > 9 < / C o l u m n > < L a y e d O u t > t r u e < / L a y e d O u t > < / a : V a l u e > < / a : K e y V a l u e O f D i a g r a m O b j e c t K e y a n y T y p e z b w N T n L X > < a : K e y V a l u e O f D i a g r a m O b j e c t K e y a n y T y p e z b w N T n L X > < a : K e y > < K e y > C o l u m n s \ S t a v k a I m e M K < / K e y > < / a : K e y > < a : V a l u e   i : t y p e = " M e a s u r e G r i d N o d e V i e w S t a t e " > < C o l u m n > 1 0 < / C o l u m n > < L a y e d O u t > t r u e < / L a y e d O u t > < / a : V a l u e > < / a : K e y V a l u e O f D i a g r a m O b j e c t K e y a n y T y p e z b w N T n L X > < a : K e y V a l u e O f D i a g r a m O b j e c t K e y a n y T y p e z b w N T n L X > < a : K e y > < K e y > C o l u m n s \ S t a v k a G r u p a < / K e y > < / a : K e y > < a : V a l u e   i : t y p e = " M e a s u r e G r i d N o d e V i e w S t a t e " > < C o l u m n > 1 1 < / C o l u m n > < L a y e d O u t > t r u e < / L a y e d O u t > < / a : V a l u e > < / a : K e y V a l u e O f D i a g r a m O b j e c t K e y a n y T y p e z b w N T n L X > < a : K e y V a l u e O f D i a g r a m O b j e c t K e y a n y T y p e z b w N T n L X > < a : K e y > < K e y > C o l u m n s \ S t a v k a K a t e g o r i j a < / K e y > < / a : K e y > < a : V a l u e   i : t y p e = " M e a s u r e G r i d N o d e V i e w S t a t e " > < C o l u m n > 8 < / C o l u m n > < L a y e d O u t > t r u e < / L a y e d O u t > < / a : V a l u e > < / a : K e y V a l u e O f D i a g r a m O b j e c t K e y a n y T y p e z b w N T n L X > < a : K e y V a l u e O f D i a g r a m O b j e c t K e y a n y T y p e z b w N T n L X > < a : K e y > < K e y > C o l u m n s \ Z n a k I z v e s t a j < / K e y > < / a : K e y > < a : V a l u e   i : t y p e = " M e a s u r e G r i d N o d e V i e w S t a t e " > < C o l u m n > 7 < / C o l u m n > < L a y e d O u t > t r u e < / L a y e d O u t > < / a : V a l u e > < / a : K e y V a l u e O f D i a g r a m O b j e c t K e y a n y T y p e z b w N T n L X > < a : K e y V a l u e O f D i a g r a m O b j e c t K e y a n y T y p e z b w N T n L X > < a : K e y > < K e y > C o l u m n s \ O b r a z e c I D < / K e y > < / a : K e y > < a : V a l u e   i : t y p e = " M e a s u r e G r i d N o d e V i e w S t a t e " > < C o l u m n > 1 2 < / C o l u m n > < L a y e d O u t > t r u e < / L a y e d O u t > < / a : V a l u e > < / a : K e y V a l u e O f D i a g r a m O b j e c t K e y a n y T y p e z b w N T n L X > < a : K e y V a l u e O f D i a g r a m O b j e c t K e y a n y T y p e z b w N T n L X > < a : K e y > < K e y > C o l u m n s \ S t a v k a A O P < / K e y > < / a : K e y > < a : V a l u e   i : t y p e = " M e a s u r e G r i d N o d e V i e w S t a t e " > < C o l u m n > 1 4 < / C o l u m n > < L a y e d O u t > t r u e < / L a y e d O u t > < / a : V a l u e > < / a : K e y V a l u e O f D i a g r a m O b j e c t K e y a n y T y p e z b w N T n L X > < a : K e y V a l u e O f D i a g r a m O b j e c t K e y a n y T y p e z b w N T n L X > < a : K e y > < K e y > C o l u m n s \ O b r a z e c I m e < / K e y > < / a : K e y > < a : V a l u e   i : t y p e = " M e a s u r e G r i d N o d e V i e w S t a t e " > < C o l u m n > 1 3 < / C o l u m n > < L a y e d O u t > t r u e < / L a y e d O u t > < / a : V a l u e > < / a : K e y V a l u e O f D i a g r a m O b j e c t K e y a n y T y p e z b w N T n L X > < a : K e y V a l u e O f D i a g r a m O b j e c t K e y a n y T y p e z b w N T n L X > < a : K e y > < K e y > C o l u m n s \ 7=>A< / K e y > < / a : K e y > < a : V a l u e   i : t y p e = " M e a s u r e G r i d N o d e V i e w S t a t e " > < C o l u m n > 5 < / C o l u m n > < L a y e d O u t > t r u e < / L a y e d O u t > < / a : V a l u e > < / a : K e y V a l u e O f D i a g r a m O b j e c t K e y a n y T y p e z b w N T n L X > < a : K e y V a l u e O f D i a g r a m O b j e c t K e y a n y T y p e z b w N T n L X > < a : K e y > < K e y > C o l u m n s \ 7=>A  ( 8;X048) < / K e y > < / a : K e y > < a : V a l u e   i : t y p e = " M e a s u r e G r i d N o d e V i e w S t a t e " > < C o l u m n > 6 < / C o l u m n > < L a y e d O u t > t r u e < / L a y e d O u t > < / a : V a l u e > < / a : K e y V a l u e O f D i a g r a m O b j e c t K e y a n y T y p e z b w N T n L X > < a : K e y V a l u e O f D i a g r a m O b j e c t K e y a n y T y p e z b w N T n L X > < a : K e y > < K e y > C o l u m n s \ S t a v k a I m e A O P < / K e y > < / a : K e y > < a : V a l u e   i : t y p e = " M e a s u r e G r i d N o d e V i e w S t a t e " > < C o l u m n > 1 6 < / C o l u m n > < L a y e d O u t > t r u e < / L a y e d O u t > < / a : V a l u e > < / a : K e y V a l u e O f D i a g r a m O b j e c t K e y a n y T y p e z b w N T n L X > < a : K e y V a l u e O f D i a g r a m O b j e c t K e y a n y T y p e z b w N T n L X > < a : K e y > < K e y > C o l u m n s \ >=B>  !B02:0< / K e y > < / a : K e y > < a : V a l u e   i : t y p e = " M e a s u r e G r i d N o d e V i e w S t a t e " > < C o l u m n > 1 7 < / C o l u m n > < L a y e d O u t > t r u e < / L a y e d O u t > < / a : V a l u e > < / a : K e y V a l u e O f D i a g r a m O b j e c t K e y a n y T y p e z b w N T n L X > < a : K e y V a l u e O f D i a g r a m O b j e c t K e y a n y T y p e z b w N T n L X > < a : K e y > < K e y > L i n k s \ & l t ; C o l u m n s \ S u m   o f   7=>A& g t ; - & l t ; M e a s u r e s \ 7=>A& g t ; < / K e y > < / a : K e y > < a : V a l u e   i : t y p e = " M e a s u r e G r i d V i e w S t a t e I D i a g r a m L i n k " / > < / a : K e y V a l u e O f D i a g r a m O b j e c t K e y a n y T y p e z b w N T n L X > < a : K e y V a l u e O f D i a g r a m O b j e c t K e y a n y T y p e z b w N T n L X > < a : K e y > < K e y > L i n k s \ & l t ; C o l u m n s \ S u m   o f   7=>A& g t ; - & l t ; M e a s u r e s \ 7=>A& g t ; \ C O L U M N < / K e y > < / a : K e y > < a : V a l u e   i : t y p e = " M e a s u r e G r i d V i e w S t a t e I D i a g r a m L i n k E n d p o i n t " / > < / a : K e y V a l u e O f D i a g r a m O b j e c t K e y a n y T y p e z b w N T n L X > < a : K e y V a l u e O f D i a g r a m O b j e c t K e y a n y T y p e z b w N T n L X > < a : K e y > < K e y > L i n k s \ & l t ; C o l u m n s \ S u m   o f   7=>A& g t ; - & l t ; M e a s u r e s \ 7=>A& g t ; \ M E A S U R E < / K e y > < / a : K e y > < a : V a l u e   i : t y p e = " M e a s u r e G r i d V i e w S t a t e I D i a g r a m L i n k E n d p o i n t " / > < / a : K e y V a l u e O f D i a g r a m O b j e c t K e y a n y T y p e z b w N T n L X > < a : K e y V a l u e O f D i a g r a m O b j e c t K e y a n y T y p e z b w N T n L X > < a : K e y > < K e y > L i n k s \ & l t ; C o l u m n s \ S u m   o f   7=>A  ( 8;X048) & g t ; - & l t ; M e a s u r e s \ 7=>A  ( 8;X048) & g t ; < / K e y > < / a : K e y > < a : V a l u e   i : t y p e = " M e a s u r e G r i d V i e w S t a t e I D i a g r a m L i n k " / > < / a : K e y V a l u e O f D i a g r a m O b j e c t K e y a n y T y p e z b w N T n L X > < a : K e y V a l u e O f D i a g r a m O b j e c t K e y a n y T y p e z b w N T n L X > < a : K e y > < K e y > L i n k s \ & l t ; C o l u m n s \ S u m   o f   7=>A  ( 8;X048) & g t ; - & l t ; M e a s u r e s \ 7=>A  ( 8;X048) & g t ; \ C O L U M N < / K e y > < / a : K e y > < a : V a l u e   i : t y p e = " M e a s u r e G r i d V i e w S t a t e I D i a g r a m L i n k E n d p o i n t " / > < / a : K e y V a l u e O f D i a g r a m O b j e c t K e y a n y T y p e z b w N T n L X > < a : K e y V a l u e O f D i a g r a m O b j e c t K e y a n y T y p e z b w N T n L X > < a : K e y > < K e y > L i n k s \ & l t ; C o l u m n s \ S u m   o f   7=>A  ( 8;X048) & g t ; - & l t ; M e a s u r e s \ 7=>A  ( 8;X048) & g t ; \ M E A S U R E < / K e y > < / a : K e y > < a : V a l u e   i : t y p e = " M e a s u r e G r i d V i e w S t a t e I D i a g r a m L i n k E n d p o i n t " / > < / a : K e y V a l u e O f D i a g r a m O b j e c t K e y a n y T y p e z b w N T n L X > < a : K e y V a l u e O f D i a g r a m O b j e c t K e y a n y T y p e z b w N T n L X > < a : K e y > < K e y > L i n k s \ & l t ; C o l u m n s \ S u m   o f   7=>A1 & g t ; - & l t ; M e a s u r e s \ 7=>A1 & g t ; < / K e y > < / a : K e y > < a : V a l u e   i : t y p e = " M e a s u r e G r i d V i e w S t a t e I D i a g r a m L i n k " / > < / a : K e y V a l u e O f D i a g r a m O b j e c t K e y a n y T y p e z b w N T n L X > < a : K e y V a l u e O f D i a g r a m O b j e c t K e y a n y T y p e z b w N T n L X > < a : K e y > < K e y > L i n k s \ & l t ; C o l u m n s \ S u m   o f   7=>A1 & g t ; - & l t ; M e a s u r e s \ 7=>A1 & g t ; \ C O L U M N < / K e y > < / a : K e y > < a : V a l u e   i : t y p e = " M e a s u r e G r i d V i e w S t a t e I D i a g r a m L i n k E n d p o i n t " / > < / a : K e y V a l u e O f D i a g r a m O b j e c t K e y a n y T y p e z b w N T n L X > < a : K e y V a l u e O f D i a g r a m O b j e c t K e y a n y T y p e z b w N T n L X > < a : K e y > < K e y > L i n k s \ & l t ; C o l u m n s \ S u m   o f   7=>A1 & g t ; - & l t ; M e a s u r e s \ 7=>A1 & g t ; \ M E A S U R E < / K e y > < / a : K e y > < a : V a l u e   i : t y p e = " M e a s u r e G r i d V i e w S t a t e I D i a g r a m L i n k E n d p o i n t " / > < / a : K e y V a l u e O f D i a g r a m O b j e c t K e y a n y T y p e z b w N T n L X > < / V i e w S t a t e s > < / D i a g r a m M a n a g e r . S e r i a l i z a b l e D i a g r a m > < D i a g r a m M a n a g e r . S e r i a l i z a b l e D i a g r a m > < A d a p t e r   i : t y p e = " M e a s u r e D i a g r a m S a n d b o x A d a p t e r " > < T a b l e N a m e > C A P E X < / 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 C A P E X < / 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  o f   7=>A  4>=0F8X0< / K e y > < / D i a g r a m O b j e c t K e y > < D i a g r a m O b j e c t K e y > < K e y > M e a s u r e s \ S u m   o f   7=>A  4>=0F8X0\ T a g I n f o \ F o r m u l a < / K e y > < / D i a g r a m O b j e c t K e y > < D i a g r a m O b j e c t K e y > < K e y > M e a s u r e s \ S u m   o f   7=>A  4>=0F8X0\ T a g I n f o \ V a l u e < / K e y > < / D i a g r a m O b j e c t K e y > < D i a g r a m O b j e c t K e y > < K e y > M e a s u r e s \ S u m   o f   @>F5=5B0  2@54=>AB  =0  =0102:0  A>    ( 45=0@8) < / K e y > < / D i a g r a m O b j e c t K e y > < D i a g r a m O b j e c t K e y > < K e y > M e a s u r e s \ S u m   o f   @>F5=5B0  2@54=>AB  =0  =0102:0  A>    ( 45=0@8) \ T a g I n f o \ F o r m u l a < / K e y > < / D i a g r a m O b j e c t K e y > < D i a g r a m O b j e c t K e y > < K e y > M e a s u r e s \ S u m   o f   @>F5=5B0  2@54=>AB  =0  =0102:0  A>    ( 45=0@8) \ T a g I n f o \ V a l u e < / K e y > < / D i a g r a m O b j e c t K e y > < D i a g r a m O b j e c t K e y > < K e y > C o l u m n s \ >48=0  70  @50;870F8X0  =0  ?@>5:B< / K e y > < / D i a g r a m O b j e c t K e y > < D i a g r a m O b j e c t K e y > < K e y > C o l u m n s \ @>X  =0  X02=0  =0102:0  ( ?;0=) < / K e y > < / D i a g r a m O b j e c t K e y > < D i a g r a m O b j e c t K e y > < K e y > C o l u m n s \ @54<5B  =0  4>3>2>@>B  70  X02=0  =0102:0< / K e y > < / D i a g r a m O b j e c t K e y > < D i a g r a m O b j e c t K e y > < K e y > C o l u m n s \ G5:C20=  40BC<  =0  ?;0\0Z5< / K e y > < / D i a g r a m O b j e c t K e y > < D i a g r a m O b j e c t K e y > < K e y > C o l u m n s \ G5:C20=  40BC<  70  AB020Z5  2>  C?>B@510  ( <5A5F) < / K e y > < / D i a g r a m O b j e c t K e y > < D i a g r a m O b j e c t K e y > < K e y > C o l u m n s \ @>F5=5B0  2@54=>AB  =0  =0102:0  A>    ( 45=0@8) < / K e y > < / D i a g r a m O b j e c t K e y > < D i a g r a m O b j e c t K e y > < K e y > C o l u m n s \ !B0?:0  =0  0<>@B870F8X0< / K e y > < / D i a g r a m O b j e c t K e y > < D i a g r a m O b j e c t K e y > < K e y > C o l u m n s \ >=B>  !@54AB20< / K e y > < / D i a g r a m O b j e c t K e y > < D i a g r a m O b j e c t K e y > < K e y > C o l u m n s \ >=B>  <>@B870F8X0< / K e y > < / D i a g r a m O b j e c t K e y > < D i a g r a m O b j e c t K e y > < K e y > C o l u m n s \ 7=>A  4>=0F8X0< / K e y > < / D i a g r a m O b j e c t K e y > < D i a g r a m O b j e c t K e y > < K e y > C o l u m n s \ G5:C20=  40BC<  =0  ?;0\0Z5  ( Y e a r ) < / K e y > < / D i a g r a m O b j e c t K e y > < D i a g r a m O b j e c t K e y > < K e y > C o l u m n s \ G5:C20=  40BC<  =0  ?;0\0Z5  ( Q u a r t e r ) < / K e y > < / D i a g r a m O b j e c t K e y > < D i a g r a m O b j e c t K e y > < K e y > C o l u m n s \ G5:C20=  40BC<  =0  ?;0\0Z5  ( M o n t h   I n d e x ) < / K e y > < / D i a g r a m O b j e c t K e y > < D i a g r a m O b j e c t K e y > < K e y > C o l u m n s \ G5:C20=  40BC<  =0  ?;0\0Z5  ( M o n t h ) < / K e y > < / D i a g r a m O b j e c t K e y > < D i a g r a m O b j e c t K e y > < K e y > C o l u m n s \ G5:C20=  40BC<  70  AB020Z5  2>  C?>B@510  ( <5A5F)   ( Y e a r ) < / K e y > < / D i a g r a m O b j e c t K e y > < D i a g r a m O b j e c t K e y > < K e y > C o l u m n s \ G5:C20=  40BC<  70  AB020Z5  2>  C?>B@510  ( <5A5F)   ( Q u a r t e r ) < / K e y > < / D i a g r a m O b j e c t K e y > < D i a g r a m O b j e c t K e y > < K e y > C o l u m n s \ G5:C20=  40BC<  70  AB020Z5  2>  C?>B@510  ( <5A5F)   ( M o n t h   I n d e x ) < / K e y > < / D i a g r a m O b j e c t K e y > < D i a g r a m O b j e c t K e y > < K e y > C o l u m n s \ G5:C20=  40BC<  70  AB020Z5  2>  C?>B@510  ( <5A5F)   ( M o n t h ) < / K e y > < / D i a g r a m O b j e c t K e y > < D i a g r a m O b j e c t K e y > < K e y > L i n k s \ & l t ; C o l u m n s \ S u m   o f   7=>A  4>=0F8X0& g t ; - & l t ; M e a s u r e s \ 7=>A  4>=0F8X0& g t ; < / K e y > < / D i a g r a m O b j e c t K e y > < D i a g r a m O b j e c t K e y > < K e y > L i n k s \ & l t ; C o l u m n s \ S u m   o f   7=>A  4>=0F8X0& g t ; - & l t ; M e a s u r e s \ 7=>A  4>=0F8X0& g t ; \ C O L U M N < / K e y > < / D i a g r a m O b j e c t K e y > < D i a g r a m O b j e c t K e y > < K e y > L i n k s \ & l t ; C o l u m n s \ S u m   o f   7=>A  4>=0F8X0& g t ; - & l t ; M e a s u r e s \ 7=>A  4>=0F8X0& g t ; \ M E A S U R E < / K e y > < / D i a g r a m O b j e c t K e y > < D i a g r a m O b j e c t K e y > < K e y > L i n k s \ & l t ; C o l u m n s \ S u m   o f   @>F5=5B0  2@54=>AB  =0  =0102:0  A>    ( 45=0@8) & g t ; - & l t ; M e a s u r e s \ @>F5=5B0  2@54=>AB  =0  =0102:0  A>    ( 45=0@8) & g t ; < / K e y > < / D i a g r a m O b j e c t K e y > < D i a g r a m O b j e c t K e y > < K e y > L i n k s \ & l t ; C o l u m n s \ S u m   o f   @>F5=5B0  2@54=>AB  =0  =0102:0  A>    ( 45=0@8) & g t ; - & l t ; M e a s u r e s \ @>F5=5B0  2@54=>AB  =0  =0102:0  A>    ( 45=0@8) & g t ; \ C O L U M N < / K e y > < / D i a g r a m O b j e c t K e y > < D i a g r a m O b j e c t K e y > < K e y > L i n k s \ & l t ; C o l u m n s \ S u m   o f   @>F5=5B0  2@54=>AB  =0  =0102:0  A>    ( 45=0@8) & g t ; - & l t ; M e a s u r e s \ @>F5=5B0  2@54=>AB  =0  =0102:0  A>    ( 45=0@8) & g t ; \ M E A S U R E 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  o f   7=>A  4>=0F8X0< / K e y > < / a : K e y > < a : V a l u e   i : t y p e = " M e a s u r e G r i d N o d e V i e w S t a t e " > < C o l u m n > 6 < / C o l u m n > < L a y e d O u t > t r u e < / L a y e d O u t > < W a s U I I n v i s i b l e > t r u e < / W a s U I I n v i s i b l e > < / a : V a l u e > < / a : K e y V a l u e O f D i a g r a m O b j e c t K e y a n y T y p e z b w N T n L X > < a : K e y V a l u e O f D i a g r a m O b j e c t K e y a n y T y p e z b w N T n L X > < a : K e y > < K e y > M e a s u r e s \ S u m   o f   7=>A  4>=0F8X0\ T a g I n f o \ F o r m u l a < / K e y > < / a : K e y > < a : V a l u e   i : t y p e = " M e a s u r e G r i d V i e w S t a t e I D i a g r a m T a g A d d i t i o n a l I n f o " / > < / a : K e y V a l u e O f D i a g r a m O b j e c t K e y a n y T y p e z b w N T n L X > < a : K e y V a l u e O f D i a g r a m O b j e c t K e y a n y T y p e z b w N T n L X > < a : K e y > < K e y > M e a s u r e s \ S u m   o f   7=>A  4>=0F8X0\ T a g I n f o \ V a l u e < / K e y > < / a : K e y > < a : V a l u e   i : t y p e = " M e a s u r e G r i d V i e w S t a t e I D i a g r a m T a g A d d i t i o n a l I n f o " / > < / a : K e y V a l u e O f D i a g r a m O b j e c t K e y a n y T y p e z b w N T n L X > < a : K e y V a l u e O f D i a g r a m O b j e c t K e y a n y T y p e z b w N T n L X > < a : K e y > < K e y > M e a s u r e s \ S u m   o f   @>F5=5B0  2@54=>AB  =0  =0102:0  A>    ( 45=0@8) < / K e y > < / a : K e y > < a : V a l u e   i : t y p e = " M e a s u r e G r i d N o d e V i e w S t a t e " > < C o l u m n > 1 7 < / C o l u m n > < L a y e d O u t > t r u e < / L a y e d O u t > < W a s U I I n v i s i b l e > t r u e < / W a s U I I n v i s i b l e > < / a : V a l u e > < / a : K e y V a l u e O f D i a g r a m O b j e c t K e y a n y T y p e z b w N T n L X > < a : K e y V a l u e O f D i a g r a m O b j e c t K e y a n y T y p e z b w N T n L X > < a : K e y > < K e y > M e a s u r e s \ S u m   o f   @>F5=5B0  2@54=>AB  =0  =0102:0  A>    ( 45=0@8) \ T a g I n f o \ F o r m u l a < / K e y > < / a : K e y > < a : V a l u e   i : t y p e = " M e a s u r e G r i d V i e w S t a t e I D i a g r a m T a g A d d i t i o n a l I n f o " / > < / a : K e y V a l u e O f D i a g r a m O b j e c t K e y a n y T y p e z b w N T n L X > < a : K e y V a l u e O f D i a g r a m O b j e c t K e y a n y T y p e z b w N T n L X > < a : K e y > < K e y > M e a s u r e s \ S u m   o f   @>F5=5B0  2@54=>AB  =0  =0102:0  A>    ( 45=0@8) \ T a g I n f o \ V a l u e < / K e y > < / a : K e y > < a : V a l u e   i : t y p e = " M e a s u r e G r i d V i e w S t a t e I D i a g r a m T a g A d d i t i o n a l I n f o " / > < / a : K e y V a l u e O f D i a g r a m O b j e c t K e y a n y T y p e z b w N T n L X > < a : K e y V a l u e O f D i a g r a m O b j e c t K e y a n y T y p e z b w N T n L X > < a : K e y > < K e y > C o l u m n s \ >48=0  70  @50;870F8X0  =0  ?@>5:B< / K e y > < / a : K e y > < a : V a l u e   i : t y p e = " M e a s u r e G r i d N o d e V i e w S t a t e " > < L a y e d O u t > t r u e < / L a y e d O u t > < / a : V a l u e > < / a : K e y V a l u e O f D i a g r a m O b j e c t K e y a n y T y p e z b w N T n L X > < a : K e y V a l u e O f D i a g r a m O b j e c t K e y a n y T y p e z b w N T n L X > < a : K e y > < K e y > C o l u m n s \ @>X  =0  X02=0  =0102:0  ( ?;0=) < / K e y > < / a : K e y > < a : V a l u e   i : t y p e = " M e a s u r e G r i d N o d e V i e w S t a t e " > < C o l u m n > 1 < / C o l u m n > < L a y e d O u t > t r u e < / L a y e d O u t > < / a : V a l u e > < / a : K e y V a l u e O f D i a g r a m O b j e c t K e y a n y T y p e z b w N T n L X > < a : K e y V a l u e O f D i a g r a m O b j e c t K e y a n y T y p e z b w N T n L X > < a : K e y > < K e y > C o l u m n s \ @54<5B  =0  4>3>2>@>B  70  X02=0  =0102:0< / K e y > < / a : K e y > < a : V a l u e   i : t y p e = " M e a s u r e G r i d N o d e V i e w S t a t e " > < C o l u m n > 2 < / C o l u m n > < L a y e d O u t > t r u e < / L a y e d O u t > < / a : V a l u e > < / a : K e y V a l u e O f D i a g r a m O b j e c t K e y a n y T y p e z b w N T n L X > < a : K e y V a l u e O f D i a g r a m O b j e c t K e y a n y T y p e z b w N T n L X > < a : K e y > < K e y > C o l u m n s \ G5:C20=  40BC<  =0  ?;0\0Z5< / K e y > < / a : K e y > < a : V a l u e   i : t y p e = " M e a s u r e G r i d N o d e V i e w S t a t e " > < C o l u m n > 7 < / C o l u m n > < L a y e d O u t > t r u e < / L a y e d O u t > < / a : V a l u e > < / a : K e y V a l u e O f D i a g r a m O b j e c t K e y a n y T y p e z b w N T n L X > < a : K e y V a l u e O f D i a g r a m O b j e c t K e y a n y T y p e z b w N T n L X > < a : K e y > < K e y > C o l u m n s \ G5:C20=  40BC<  70  AB020Z5  2>  C?>B@510  ( <5A5F) < / K e y > < / a : K e y > < a : V a l u e   i : t y p e = " M e a s u r e G r i d N o d e V i e w S t a t e " > < C o l u m n > 3 < / C o l u m n > < L a y e d O u t > t r u e < / L a y e d O u t > < / a : V a l u e > < / a : K e y V a l u e O f D i a g r a m O b j e c t K e y a n y T y p e z b w N T n L X > < a : K e y V a l u e O f D i a g r a m O b j e c t K e y a n y T y p e z b w N T n L X > < a : K e y > < K e y > C o l u m n s \ @>F5=5B0  2@54=>AB  =0  =0102:0  A>    ( 45=0@8) < / K e y > < / a : K e y > < a : V a l u e   i : t y p e = " M e a s u r e G r i d N o d e V i e w S t a t e " > < C o l u m n > 1 7 < / C o l u m n > < L a y e d O u t > t r u e < / L a y e d O u t > < / a : V a l u e > < / a : K e y V a l u e O f D i a g r a m O b j e c t K e y a n y T y p e z b w N T n L X > < a : K e y V a l u e O f D i a g r a m O b j e c t K e y a n y T y p e z b w N T n L X > < a : K e y > < K e y > C o l u m n s \ !B0?:0  =0  0<>@B870F8X0< / K e y > < / a : K e y > < a : V a l u e   i : t y p e = " M e a s u r e G r i d N o d e V i e w S t a t e " > < C o l u m n > 8 < / C o l u m n > < L a y e d O u t > t r u e < / L a y e d O u t > < / a : V a l u e > < / a : K e y V a l u e O f D i a g r a m O b j e c t K e y a n y T y p e z b w N T n L X > < a : K e y V a l u e O f D i a g r a m O b j e c t K e y a n y T y p e z b w N T n L X > < a : K e y > < K e y > C o l u m n s \ >=B>  !@54AB20< / K e y > < / a : K e y > < a : V a l u e   i : t y p e = " M e a s u r e G r i d N o d e V i e w S t a t e " > < C o l u m n > 4 < / C o l u m n > < L a y e d O u t > t r u e < / L a y e d O u t > < / a : V a l u e > < / a : K e y V a l u e O f D i a g r a m O b j e c t K e y a n y T y p e z b w N T n L X > < a : K e y V a l u e O f D i a g r a m O b j e c t K e y a n y T y p e z b w N T n L X > < a : K e y > < K e y > C o l u m n s \ >=B>  <>@B870F8X0< / K e y > < / a : K e y > < a : V a l u e   i : t y p e = " M e a s u r e G r i d N o d e V i e w S t a t e " > < C o l u m n > 5 < / C o l u m n > < L a y e d O u t > t r u e < / L a y e d O u t > < / a : V a l u e > < / a : K e y V a l u e O f D i a g r a m O b j e c t K e y a n y T y p e z b w N T n L X > < a : K e y V a l u e O f D i a g r a m O b j e c t K e y a n y T y p e z b w N T n L X > < a : K e y > < K e y > C o l u m n s \ 7=>A  4>=0F8X0< / K e y > < / a : K e y > < a : V a l u e   i : t y p e = " M e a s u r e G r i d N o d e V i e w S t a t e " > < C o l u m n > 6 < / C o l u m n > < L a y e d O u t > t r u e < / L a y e d O u t > < / a : V a l u e > < / a : K e y V a l u e O f D i a g r a m O b j e c t K e y a n y T y p e z b w N T n L X > < a : K e y V a l u e O f D i a g r a m O b j e c t K e y a n y T y p e z b w N T n L X > < a : K e y > < K e y > C o l u m n s \ G5:C20=  40BC<  =0  ?;0\0Z5  ( Y e a r ) < / K e y > < / a : K e y > < a : V a l u e   i : t y p e = " M e a s u r e G r i d N o d e V i e w S t a t e " > < C o l u m n > 9 < / C o l u m n > < L a y e d O u t > t r u e < / L a y e d O u t > < / a : V a l u e > < / a : K e y V a l u e O f D i a g r a m O b j e c t K e y a n y T y p e z b w N T n L X > < a : K e y V a l u e O f D i a g r a m O b j e c t K e y a n y T y p e z b w N T n L X > < a : K e y > < K e y > C o l u m n s \ G5:C20=  40BC<  =0  ?;0\0Z5  ( Q u a r t e r ) < / K e y > < / a : K e y > < a : V a l u e   i : t y p e = " M e a s u r e G r i d N o d e V i e w S t a t e " > < C o l u m n > 1 0 < / C o l u m n > < L a y e d O u t > t r u e < / L a y e d O u t > < / a : V a l u e > < / a : K e y V a l u e O f D i a g r a m O b j e c t K e y a n y T y p e z b w N T n L X > < a : K e y V a l u e O f D i a g r a m O b j e c t K e y a n y T y p e z b w N T n L X > < a : K e y > < K e y > C o l u m n s \ G5:C20=  40BC<  =0  ?;0\0Z5  ( M o n t h   I n d e x ) < / K e y > < / a : K e y > < a : V a l u e   i : t y p e = " M e a s u r e G r i d N o d e V i e w S t a t e " > < C o l u m n > 1 1 < / C o l u m n > < L a y e d O u t > t r u e < / L a y e d O u t > < / a : V a l u e > < / a : K e y V a l u e O f D i a g r a m O b j e c t K e y a n y T y p e z b w N T n L X > < a : K e y V a l u e O f D i a g r a m O b j e c t K e y a n y T y p e z b w N T n L X > < a : K e y > < K e y > C o l u m n s \ G5:C20=  40BC<  =0  ?;0\0Z5  ( M o n t h ) < / K e y > < / a : K e y > < a : V a l u e   i : t y p e = " M e a s u r e G r i d N o d e V i e w S t a t e " > < C o l u m n > 1 2 < / C o l u m n > < L a y e d O u t > t r u e < / L a y e d O u t > < / a : V a l u e > < / a : K e y V a l u e O f D i a g r a m O b j e c t K e y a n y T y p e z b w N T n L X > < a : K e y V a l u e O f D i a g r a m O b j e c t K e y a n y T y p e z b w N T n L X > < a : K e y > < K e y > C o l u m n s \ G5:C20=  40BC<  70  AB020Z5  2>  C?>B@510  ( <5A5F)   ( Y e a r ) < / K e y > < / a : K e y > < a : V a l u e   i : t y p e = " M e a s u r e G r i d N o d e V i e w S t a t e " > < C o l u m n > 1 3 < / C o l u m n > < L a y e d O u t > t r u e < / L a y e d O u t > < / a : V a l u e > < / a : K e y V a l u e O f D i a g r a m O b j e c t K e y a n y T y p e z b w N T n L X > < a : K e y V a l u e O f D i a g r a m O b j e c t K e y a n y T y p e z b w N T n L X > < a : K e y > < K e y > C o l u m n s \ G5:C20=  40BC<  70  AB020Z5  2>  C?>B@510  ( <5A5F)   ( Q u a r t e r ) < / K e y > < / a : K e y > < a : V a l u e   i : t y p e = " M e a s u r e G r i d N o d e V i e w S t a t e " > < C o l u m n > 1 4 < / C o l u m n > < L a y e d O u t > t r u e < / L a y e d O u t > < / a : V a l u e > < / a : K e y V a l u e O f D i a g r a m O b j e c t K e y a n y T y p e z b w N T n L X > < a : K e y V a l u e O f D i a g r a m O b j e c t K e y a n y T y p e z b w N T n L X > < a : K e y > < K e y > C o l u m n s \ G5:C20=  40BC<  70  AB020Z5  2>  C?>B@510  ( <5A5F)   ( M o n t h   I n d e x ) < / K e y > < / a : K e y > < a : V a l u e   i : t y p e = " M e a s u r e G r i d N o d e V i e w S t a t e " > < C o l u m n > 1 5 < / C o l u m n > < L a y e d O u t > t r u e < / L a y e d O u t > < / a : V a l u e > < / a : K e y V a l u e O f D i a g r a m O b j e c t K e y a n y T y p e z b w N T n L X > < a : K e y V a l u e O f D i a g r a m O b j e c t K e y a n y T y p e z b w N T n L X > < a : K e y > < K e y > C o l u m n s \ G5:C20=  40BC<  70  AB020Z5  2>  C?>B@510  ( <5A5F)   ( M o n t h ) < / K e y > < / a : K e y > < a : V a l u e   i : t y p e = " M e a s u r e G r i d N o d e V i e w S t a t e " > < C o l u m n > 1 6 < / C o l u m n > < L a y e d O u t > t r u e < / L a y e d O u t > < / a : V a l u e > < / a : K e y V a l u e O f D i a g r a m O b j e c t K e y a n y T y p e z b w N T n L X > < a : K e y V a l u e O f D i a g r a m O b j e c t K e y a n y T y p e z b w N T n L X > < a : K e y > < K e y > L i n k s \ & l t ; C o l u m n s \ S u m   o f   7=>A  4>=0F8X0& g t ; - & l t ; M e a s u r e s \ 7=>A  4>=0F8X0& g t ; < / K e y > < / a : K e y > < a : V a l u e   i : t y p e = " M e a s u r e G r i d V i e w S t a t e I D i a g r a m L i n k " / > < / a : K e y V a l u e O f D i a g r a m O b j e c t K e y a n y T y p e z b w N T n L X > < a : K e y V a l u e O f D i a g r a m O b j e c t K e y a n y T y p e z b w N T n L X > < a : K e y > < K e y > L i n k s \ & l t ; C o l u m n s \ S u m   o f   7=>A  4>=0F8X0& g t ; - & l t ; M e a s u r e s \ 7=>A  4>=0F8X0& g t ; \ C O L U M N < / K e y > < / a : K e y > < a : V a l u e   i : t y p e = " M e a s u r e G r i d V i e w S t a t e I D i a g r a m L i n k E n d p o i n t " / > < / a : K e y V a l u e O f D i a g r a m O b j e c t K e y a n y T y p e z b w N T n L X > < a : K e y V a l u e O f D i a g r a m O b j e c t K e y a n y T y p e z b w N T n L X > < a : K e y > < K e y > L i n k s \ & l t ; C o l u m n s \ S u m   o f   7=>A  4>=0F8X0& g t ; - & l t ; M e a s u r e s \ 7=>A  4>=0F8X0& g t ; \ M E A S U R E < / K e y > < / a : K e y > < a : V a l u e   i : t y p e = " M e a s u r e G r i d V i e w S t a t e I D i a g r a m L i n k E n d p o i n t " / > < / a : K e y V a l u e O f D i a g r a m O b j e c t K e y a n y T y p e z b w N T n L X > < a : K e y V a l u e O f D i a g r a m O b j e c t K e y a n y T y p e z b w N T n L X > < a : K e y > < K e y > L i n k s \ & l t ; C o l u m n s \ S u m   o f   @>F5=5B0  2@54=>AB  =0  =0102:0  A>    ( 45=0@8) & g t ; - & l t ; M e a s u r e s \ @>F5=5B0  2@54=>AB  =0  =0102:0  A>    ( 45=0@8) & g t ; < / K e y > < / a : K e y > < a : V a l u e   i : t y p e = " M e a s u r e G r i d V i e w S t a t e I D i a g r a m L i n k " / > < / a : K e y V a l u e O f D i a g r a m O b j e c t K e y a n y T y p e z b w N T n L X > < a : K e y V a l u e O f D i a g r a m O b j e c t K e y a n y T y p e z b w N T n L X > < a : K e y > < K e y > L i n k s \ & l t ; C o l u m n s \ S u m   o f   @>F5=5B0  2@54=>AB  =0  =0102:0  A>    ( 45=0@8) & g t ; - & l t ; M e a s u r e s \ @>F5=5B0  2@54=>AB  =0  =0102:0  A>    ( 45=0@8) & g t ; \ C O L U M N < / K e y > < / a : K e y > < a : V a l u e   i : t y p e = " M e a s u r e G r i d V i e w S t a t e I D i a g r a m L i n k E n d p o i n t " / > < / a : K e y V a l u e O f D i a g r a m O b j e c t K e y a n y T y p e z b w N T n L X > < a : K e y V a l u e O f D i a g r a m O b j e c t K e y a n y T y p e z b w N T n L X > < a : K e y > < K e y > L i n k s \ & l t ; C o l u m n s \ S u m   o f   @>F5=5B0  2@54=>AB  =0  =0102:0  A>    ( 45=0@8) & g t ; - & l t ; M e a s u r e s \ @>F5=5B0  2@54=>AB  =0  =0102:0  A>    ( 45=0@8) & g t ; \ M E A S U R E < / K e y > < / a : K e y > < a : V a l u e   i : t y p e = " M e a s u r e G r i d V i e w S t a t e I D i a g r a m L i n k E n d p o i n t " / > < / a : K e y V a l u e O f D i a g r a m O b j e c t K e y a n y T y p e z b w N T n L X > < / V i e w S t a t e s > < / D i a g r a m M a n a g e r . S e r i a l i z a b l e D i a g r a m > < D i a g r a m M a n a g e r . S e r i a l i z a b l e D i a g r a m > < A d a p t e r   i : t y p e = " M e a s u r e D i a g r a m S a n d b o x A d a p t e r " > < T a b l e N a m e > f O P E X < / 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 f O P E X < / 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=B>< / K e y > < / D i a g r a m O b j e c t K e y > < D i a g r a m O b j e c t K e y > < K e y > C o l u m n s \ !B02:0< / K e y > < / D i a g r a m O b j e c t K e y > < D i a g r a m O b j e c t K e y > < K e y > C o l u m n s \ 5@8>4< / K e y > < / D i a g r a m O b j e c t K e y > < D i a g r a m O b j e c t K e y > < K e y > C o l u m n s \ 7=>A< / K e y > < / D i a g r a m O b j e c t K e y > < D i a g r a m O b j e c t K e y > < K e y > C o l u m n s \ R e p o r t T y p e 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=B>< / K e y > < / a : K e y > < a : V a l u e   i : t y p e = " M e a s u r e G r i d N o d e V i e w S t a t e " > < L a y e d O u t > t r u e < / L a y e d O u t > < / a : V a l u e > < / a : K e y V a l u e O f D i a g r a m O b j e c t K e y a n y T y p e z b w N T n L X > < a : K e y V a l u e O f D i a g r a m O b j e c t K e y a n y T y p e z b w N T n L X > < a : K e y > < K e y > C o l u m n s \ !B02:0< / K e y > < / a : K e y > < a : V a l u e   i : t y p e = " M e a s u r e G r i d N o d e V i e w S t a t e " > < C o l u m n > 4 < / C o l u m n > < L a y e d O u t > t r u e < / L a y e d O u t > < / a : V a l u e > < / a : K e y V a l u e O f D i a g r a m O b j e c t K e y a n y T y p e z b w N T n L X > < a : K e y V a l u e O f D i a g r a m O b j e c t K e y a n y T y p e z b w N T n L X > < a : K e y > < K e y > C o l u m n s \ 5@8>4< / K e y > < / a : K e y > < a : V a l u e   i : t y p e = " M e a s u r e G r i d N o d e V i e w S t a t e " > < C o l u m n > 1 < / C o l u m n > < L a y e d O u t > t r u e < / L a y e d O u t > < / a : V a l u e > < / a : K e y V a l u e O f D i a g r a m O b j e c t K e y a n y T y p e z b w N T n L X > < a : K e y V a l u e O f D i a g r a m O b j e c t K e y a n y T y p e z b w N T n L X > < a : K e y > < K e y > C o l u m n s \ 7=>A< / K e y > < / a : K e y > < a : V a l u e   i : t y p e = " M e a s u r e G r i d N o d e V i e w S t a t e " > < C o l u m n > 2 < / C o l u m n > < L a y e d O u t > t r u e < / L a y e d O u t > < / a : V a l u e > < / a : K e y V a l u e O f D i a g r a m O b j e c t K e y a n y T y p e z b w N T n L X > < a : K e y V a l u e O f D i a g r a m O b j e c t K e y a n y T y p e z b w N T n L X > < a : K e y > < K e y > C o l u m n s \ R e p o r t T y p e < / K e y > < / a : K e y > < a : V a l u e   i : t y p e = " M e a s u r e G r i d N o d e V i e w S t a t e " > < C o l u m n > 3 < / C o l u m n > < L a y e d O u t > t r u e < / L a y e d O u t > < / a : V a l u e > < / a : K e y V a l u e O f D i a g r a m O b j e c t K e y a n y T y p e z b w N T n L X > < / V i e w S t a t e s > < / D i a g r a m M a n a g e r . S e r i a l i z a b l e D i a g r a m > < D i a g r a m M a n a g e r . S e r i a l i z a b l e D i a g r a m > < A d a p t e r   i : t y p e = " M e a s u r e D i a g r a m S a n d b o x A d a p t e r " > < T a b l e N a m e > C a l e n d a r < / 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 C a l e n d a r < / 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 C o l u m n s \ D a t e < / K e y > < / D i a g r a m O b j e c t K e y > < D i a g r a m O b j e c t K e y > < K e y > C o l u m n s \ >48=0< / K e y > < / D i a g r a m O b j e c t K e y > < D i a g r a m O b j e c t K e y > < K e y > C o l u m n s \ M o n t h   N u m b e r < / K e y > < / D i a g r a m O b j e c t K e y > < D i a g r a m O b j e c t K e y > < K e y > C o l u m n s \ 5A5F< / K e y > < / D i a g r a m O b j e c t K e y > < D i a g r a m O b j e c t K e y > < K e y > C o l u m n s \ M M M - Y Y Y Y < / K e y > < / D i a g r a m O b j e c t K e y > < D i a g r a m O b j e c t K e y > < K e y > C o l u m n s \ D a y   O f   W e e k   N u m b e r < / K e y > < / D i a g r a m O b j e c t K e y > < D i a g r a m O b j e c t K e y > < K e y > C o l u m n s \ D a y   O f   W e e k < / K e y > < / D i a g r a m O b j e c t K e y > < D i a g r a m O b j e c t K e y > < K e y > C o l u m n s \ 20@B0;< / 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 C o l u m n s \ D a t e < / K e y > < / a : K e y > < a : V a l u e   i : t y p e = " M e a s u r e G r i d N o d e V i e w S t a t e " > < L a y e d O u t > t r u e < / L a y e d O u t > < / a : V a l u e > < / a : K e y V a l u e O f D i a g r a m O b j e c t K e y a n y T y p e z b w N T n L X > < a : K e y V a l u e O f D i a g r a m O b j e c t K e y a n y T y p e z b w N T n L X > < a : K e y > < K e y > C o l u m n s \ >48=0< / K e y > < / a : K e y > < a : V a l u e   i : t y p e = " M e a s u r e G r i d N o d e V i e w S t a t e " > < C o l u m n > 1 < / C o l u m n > < L a y e d O u t > t r u e < / L a y e d O u t > < / a : V a l u e > < / a : K e y V a l u e O f D i a g r a m O b j e c t K e y a n y T y p e z b w N T n L X > < a : K e y V a l u e O f D i a g r a m O b j e c t K e y a n y T y p e z b w N T n L X > < a : K e y > < K e y > C o l u m n s \ M o n t h   N u m b e r < / K e y > < / a : K e y > < a : V a l u e   i : t y p e = " M e a s u r e G r i d N o d e V i e w S t a t e " > < C o l u m n > 2 < / C o l u m n > < L a y e d O u t > t r u e < / L a y e d O u t > < / a : V a l u e > < / a : K e y V a l u e O f D i a g r a m O b j e c t K e y a n y T y p e z b w N T n L X > < a : K e y V a l u e O f D i a g r a m O b j e c t K e y a n y T y p e z b w N T n L X > < a : K e y > < K e y > C o l u m n s \ 5A5F< / K e y > < / a : K e y > < a : V a l u e   i : t y p e = " M e a s u r e G r i d N o d e V i e w S t a t e " > < C o l u m n > 3 < / C o l u m n > < L a y e d O u t > t r u e < / L a y e d O u t > < / a : V a l u e > < / a : K e y V a l u e O f D i a g r a m O b j e c t K e y a n y T y p e z b w N T n L X > < a : K e y V a l u e O f D i a g r a m O b j e c t K e y a n y T y p e z b w N T n L X > < a : K e y > < K e y > C o l u m n s \ M M M - Y Y Y Y < / K e y > < / a : K e y > < a : V a l u e   i : t y p e = " M e a s u r e G r i d N o d e V i e w S t a t e " > < C o l u m n > 4 < / C o l u m n > < L a y e d O u t > t r u e < / L a y e d O u t > < / a : V a l u e > < / a : K e y V a l u e O f D i a g r a m O b j e c t K e y a n y T y p e z b w N T n L X > < a : K e y V a l u e O f D i a g r a m O b j e c t K e y a n y T y p e z b w N T n L X > < a : K e y > < K e y > C o l u m n s \ D a y   O f   W e e k   N u m b e r < / K e y > < / a : K e y > < a : V a l u e   i : t y p e = " M e a s u r e G r i d N o d e V i e w S t a t e " > < C o l u m n > 5 < / C o l u m n > < L a y e d O u t > t r u e < / L a y e d O u t > < / a : V a l u e > < / a : K e y V a l u e O f D i a g r a m O b j e c t K e y a n y T y p e z b w N T n L X > < a : K e y V a l u e O f D i a g r a m O b j e c t K e y a n y T y p e z b w N T n L X > < a : K e y > < K e y > C o l u m n s \ D a y   O f   W e e k < / K e y > < / a : K e y > < a : V a l u e   i : t y p e = " M e a s u r e G r i d N o d e V i e w S t a t e " > < C o l u m n > 6 < / C o l u m n > < L a y e d O u t > t r u e < / L a y e d O u t > < / a : V a l u e > < / a : K e y V a l u e O f D i a g r a m O b j e c t K e y a n y T y p e z b w N T n L X > < a : K e y V a l u e O f D i a g r a m O b j e c t K e y a n y T y p e z b w N T n L X > < a : K e y > < K e y > C o l u m n s \ 20@B0;< / K e y > < / a : K e y > < a : V a l u e   i : t y p e = " M e a s u r e G r i d N o d e V i e w S t a t e " > < C o l u m n > 7 < / C o l u m n > < L a y e d O u t > t r u e < / L a y e d O u t > < / a : V a l u e > < / a : K e y V a l u e O f D i a g r a m O b j e c t K e y a n y T y p e z b w N T n L X > < / V i e w S t a t e s > < / D i a g r a m M a n a g e r . S e r i a l i z a b l e D i a g r a m > < D i a g r a m M a n a g e r . S e r i a l i z a b l e D i a g r a m > < A d a p t e r   i : t y p e = " M e a s u r e D i a g r a m S a n d b o x A d a p t e r " > < T a b l e N a m e > f A r t i k l i C e n i < / 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 f A r t i k l i C e n i < / 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  o f   :C?=>  B@>H>:< / K e y > < / D i a g r a m O b j e c t K e y > < D i a g r a m O b j e c t K e y > < K e y > M e a s u r e s \ S u m   o f   :C?=>  B@>H>:\ T a g I n f o \ F o r m u l a < / K e y > < / D i a g r a m O b j e c t K e y > < D i a g r a m O b j e c t K e y > < K e y > M e a s u r e s \ S u m   o f   :C?=>  B@>H>:\ T a g I n f o \ V a l u e < / K e y > < / D i a g r a m O b j e c t K e y > < D i a g r a m O b j e c t K e y > < K e y > M e a s u r e s \ S u m   o f   >;8G8=0< / K e y > < / D i a g r a m O b j e c t K e y > < D i a g r a m O b j e c t K e y > < K e y > M e a s u r e s \ S u m   o f   >;8G8=0\ T a g I n f o \ F o r m u l a < / K e y > < / D i a g r a m O b j e c t K e y > < D i a g r a m O b j e c t K e y > < K e y > M e a s u r e s \ S u m   o f   >;8G8=0\ T a g I n f o \ V a l u e < / K e y > < / D i a g r a m O b j e c t K e y > < D i a g r a m O b j e c t K e y > < K e y > M e a s u r e s \ S u m   o f   48=5G=0  F5=0< / K e y > < / D i a g r a m O b j e c t K e y > < D i a g r a m O b j e c t K e y > < K e y > M e a s u r e s \ S u m   o f   48=5G=0  F5=0\ T a g I n f o \ F o r m u l a < / K e y > < / D i a g r a m O b j e c t K e y > < D i a g r a m O b j e c t K e y > < K e y > M e a s u r e s \ S u m   o f   48=5G=0  F5=0\ T a g I n f o \ V a l u e < / K e y > < / D i a g r a m O b j e c t K e y > < D i a g r a m O b j e c t K e y > < K e y > M e a s u r e s \ S u m   o f   < / K e y > < / D i a g r a m O b j e c t K e y > < D i a g r a m O b j e c t K e y > < K e y > M e a s u r e s \ S u m   o f   \ T a g I n f o \ F o r m u l a < / K e y > < / D i a g r a m O b j e c t K e y > < D i a g r a m O b j e c t K e y > < K e y > M e a s u r e s \ S u m   o f   \ T a g I n f o \ V a l u e < / K e y > < / D i a g r a m O b j e c t K e y > < D i a g r a m O b j e c t K e y > < K e y > M e a s u r e s \ S u m   o f   7=>A  6 < / K e y > < / D i a g r a m O b j e c t K e y > < D i a g r a m O b j e c t K e y > < K e y > M e a s u r e s \ S u m   o f   7=>A  6 \ T a g I n f o \ F o r m u l a < / K e y > < / D i a g r a m O b j e c t K e y > < D i a g r a m O b j e c t K e y > < K e y > M e a s u r e s \ S u m   o f   7=>A  6 \ T a g I n f o \ V a l u e < / K e y > < / D i a g r a m O b j e c t K e y > < D i a g r a m O b j e c t K e y > < K e y > M e a s u r e s \ C o u n t   o f   48=5G=0  <5@:0< / K e y > < / D i a g r a m O b j e c t K e y > < D i a g r a m O b j e c t K e y > < K e y > M e a s u r e s \ C o u n t   o f   48=5G=0  <5@:0\ T a g I n f o \ F o r m u l a < / K e y > < / D i a g r a m O b j e c t K e y > < D i a g r a m O b j e c t K e y > < K e y > M e a s u r e s \ C o u n t   o f   48=5G=0  <5@:0\ T a g I n f o \ V a l u e < / K e y > < / D i a g r a m O b j e c t K e y > < D i a g r a m O b j e c t K e y > < K e y > C o l u m n s \ !B02:0< / K e y > < / D i a g r a m O b j e c t K e y > < D i a g r a m O b j e c t K e y > < K e y > C o l u m n s \ 0B53>@8X0  @B8:;< / K e y > < / D i a g r a m O b j e c t K e y > < D i a g r a m O b j e c t K e y > < K e y > C o l u m n s \ "8?  =0  0@B8:;< / K e y > < / D i a g r a m O b j e c t K e y > < D i a g r a m O b j e c t K e y > < K e y > C o l u m n s \ 48=5G=0  <5@:0< / K e y > < / D i a g r a m O b j e c t K e y > < D i a g r a m O b j e c t K e y > < K e y > C o l u m n s \ >;8G8=0< / K e y > < / D i a g r a m O b j e c t K e y > < D i a g r a m O b j e c t K e y > < K e y > C o l u m n s \ 48=5G=0  F5=0< / K e y > < / D i a g r a m O b j e c t K e y > < D i a g r a m O b j e c t K e y > < K e y > C o l u m n s \ :C?=>  B@>H>:< / K e y > < / D i a g r a m O b j e c t K e y > < D i a g r a m O b j e c t K e y > < K e y > C o l u m n s \ < / K e y > < / D i a g r a m O b j e c t K e y > < D i a g r a m O b j e c t K e y > < K e y > C o l u m n s \ 7=>A< / K e y > < / D i a g r a m O b j e c t K e y > < D i a g r a m O b j e c t K e y > < K e y > C o l u m n s \ >=B>< / K e y > < / D i a g r a m O b j e c t K e y > < D i a g r a m O b j e c t K e y > < K e y > C o l u m n s \ R e p o r t T y p e < / K e y > < / D i a g r a m O b j e c t K e y > < D i a g r a m O b j e c t K e y > < K e y > C o l u m n s \ 5@8>4< / K e y > < / D i a g r a m O b j e c t K e y > < D i a g r a m O b j e c t K e y > < K e y > C o l u m n s \ S t a v k a I m e M K < / K e y > < / D i a g r a m O b j e c t K e y > < D i a g r a m O b j e c t K e y > < K e y > C o l u m n s \ S t a v k a A O P < / K e y > < / D i a g r a m O b j e c t K e y > < D i a g r a m O b j e c t K e y > < K e y > C o l u m n s \ S t a v k a G r u p a < / K e y > < / D i a g r a m O b j e c t K e y > < D i a g r a m O b j e c t K e y > < K e y > C o l u m n s \ S t a v k a K a t e g o r i j a < / K e y > < / D i a g r a m O b j e c t K e y > < D i a g r a m O b j e c t K e y > < K e y > C o l u m n s \ O b r a z e c I m e < / K e y > < / D i a g r a m O b j e c t K e y > < D i a g r a m O b j e c t K e y > < K e y > L i n k s \ & l t ; C o l u m n s \ S u m   o f   :C?=>  B@>H>:& g t ; - & l t ; M e a s u r e s \ :C?=>  B@>H>:& g t ; < / K e y > < / D i a g r a m O b j e c t K e y > < D i a g r a m O b j e c t K e y > < K e y > L i n k s \ & l t ; C o l u m n s \ S u m   o f   :C?=>  B@>H>:& g t ; - & l t ; M e a s u r e s \ :C?=>  B@>H>:& g t ; \ C O L U M N < / K e y > < / D i a g r a m O b j e c t K e y > < D i a g r a m O b j e c t K e y > < K e y > L i n k s \ & l t ; C o l u m n s \ S u m   o f   :C?=>  B@>H>:& g t ; - & l t ; M e a s u r e s \ :C?=>  B@>H>:& g t ; \ M E A S U R E < / K e y > < / D i a g r a m O b j e c t K e y > < D i a g r a m O b j e c t K e y > < K e y > L i n k s \ & l t ; C o l u m n s \ S u m   o f   >;8G8=0& g t ; - & l t ; M e a s u r e s \ >;8G8=0& g t ; < / K e y > < / D i a g r a m O b j e c t K e y > < D i a g r a m O b j e c t K e y > < K e y > L i n k s \ & l t ; C o l u m n s \ S u m   o f   >;8G8=0& g t ; - & l t ; M e a s u r e s \ >;8G8=0& g t ; \ C O L U M N < / K e y > < / D i a g r a m O b j e c t K e y > < D i a g r a m O b j e c t K e y > < K e y > L i n k s \ & l t ; C o l u m n s \ S u m   o f   >;8G8=0& g t ; - & l t ; M e a s u r e s \ >;8G8=0& g t ; \ M E A S U R E < / K e y > < / D i a g r a m O b j e c t K e y > < D i a g r a m O b j e c t K e y > < K e y > L i n k s \ & l t ; C o l u m n s \ S u m   o f   48=5G=0  F5=0& g t ; - & l t ; M e a s u r e s \ 48=5G=0  F5=0& g t ; < / K e y > < / D i a g r a m O b j e c t K e y > < D i a g r a m O b j e c t K e y > < K e y > L i n k s \ & l t ; C o l u m n s \ S u m   o f   48=5G=0  F5=0& g t ; - & l t ; M e a s u r e s \ 48=5G=0  F5=0& g t ; \ C O L U M N < / K e y > < / D i a g r a m O b j e c t K e y > < D i a g r a m O b j e c t K e y > < K e y > L i n k s \ & l t ; C o l u m n s \ S u m   o f   48=5G=0  F5=0& g t ; - & l t ; M e a s u r e s \ 48=5G=0  F5=0& g t ; \ M E A S U R E < / K e y > < / D i a g r a m O b j e c t K e y > < D i a g r a m O b j e c t K e y > < K e y > L i n k s \ & l t ; C o l u m n s \ S u m   o f   & g t ; - & l t ; M e a s u r e s \ & g t ; < / K e y > < / D i a g r a m O b j e c t K e y > < D i a g r a m O b j e c t K e y > < K e y > L i n k s \ & l t ; C o l u m n s \ S u m   o f   & g t ; - & l t ; M e a s u r e s \ & g t ; \ C O L U M N < / K e y > < / D i a g r a m O b j e c t K e y > < D i a g r a m O b j e c t K e y > < K e y > L i n k s \ & l t ; C o l u m n s \ S u m   o f   & g t ; - & l t ; M e a s u r e s \ & g t ; \ M E A S U R E < / K e y > < / D i a g r a m O b j e c t K e y > < D i a g r a m O b j e c t K e y > < K e y > L i n k s \ & l t ; C o l u m n s \ S u m   o f   7=>A  6 & g t ; - & l t ; M e a s u r e s \ 7=>A& g t ; < / K e y > < / D i a g r a m O b j e c t K e y > < D i a g r a m O b j e c t K e y > < K e y > L i n k s \ & l t ; C o l u m n s \ S u m   o f   7=>A  6 & g t ; - & l t ; M e a s u r e s \ 7=>A& g t ; \ C O L U M N < / K e y > < / D i a g r a m O b j e c t K e y > < D i a g r a m O b j e c t K e y > < K e y > L i n k s \ & l t ; C o l u m n s \ S u m   o f   7=>A  6 & g t ; - & l t ; M e a s u r e s \ 7=>A& g t ; \ M E A S U R E < / K e y > < / D i a g r a m O b j e c t K e y > < D i a g r a m O b j e c t K e y > < K e y > L i n k s \ & l t ; C o l u m n s \ C o u n t   o f   48=5G=0  <5@:0& g t ; - & l t ; M e a s u r e s \ 48=5G=0  <5@:0& g t ; < / K e y > < / D i a g r a m O b j e c t K e y > < D i a g r a m O b j e c t K e y > < K e y > L i n k s \ & l t ; C o l u m n s \ C o u n t   o f   48=5G=0  <5@:0& g t ; - & l t ; M e a s u r e s \ 48=5G=0  <5@:0& g t ; \ C O L U M N < / K e y > < / D i a g r a m O b j e c t K e y > < D i a g r a m O b j e c t K e y > < K e y > L i n k s \ & l t ; C o l u m n s \ C o u n t   o f   48=5G=0  <5@:0& g t ; - & l t ; M e a s u r e s \ 48=5G=0  <5@:0& 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  o f   :C?=>  B@>H>:< / K e y > < / a : K e y > < a : V a l u e   i : t y p e = " M e a s u r e G r i d N o d e V i e w S t a t e " > < C o l u m n > 5 < / C o l u m n > < L a y e d O u t > t r u e < / L a y e d O u t > < W a s U I I n v i s i b l e > t r u e < / W a s U I I n v i s i b l e > < / a : V a l u e > < / a : K e y V a l u e O f D i a g r a m O b j e c t K e y a n y T y p e z b w N T n L X > < a : K e y V a l u e O f D i a g r a m O b j e c t K e y a n y T y p e z b w N T n L X > < a : K e y > < K e y > M e a s u r e s \ S u m   o f   :C?=>  B@>H>:\ T a g I n f o \ F o r m u l a < / K e y > < / a : K e y > < a : V a l u e   i : t y p e = " M e a s u r e G r i d V i e w S t a t e I D i a g r a m T a g A d d i t i o n a l I n f o " / > < / a : K e y V a l u e O f D i a g r a m O b j e c t K e y a n y T y p e z b w N T n L X > < a : K e y V a l u e O f D i a g r a m O b j e c t K e y a n y T y p e z b w N T n L X > < a : K e y > < K e y > M e a s u r e s \ S u m   o f   :C?=>  B@>H>:\ T a g I n f o \ V a l u e < / K e y > < / a : K e y > < a : V a l u e   i : t y p e = " M e a s u r e G r i d V i e w S t a t e I D i a g r a m T a g A d d i t i o n a l I n f o " / > < / a : K e y V a l u e O f D i a g r a m O b j e c t K e y a n y T y p e z b w N T n L X > < a : K e y V a l u e O f D i a g r a m O b j e c t K e y a n y T y p e z b w N T n L X > < a : K e y > < K e y > M e a s u r e s \ S u m   o f   >;8G8=0< / K e y > < / a : K e y > < a : V a l u e   i : t y p e = " M e a s u r e G r i d N o d e V i e w S t a t e " > < C o l u m n > 3 < / C o l u m n > < L a y e d O u t > t r u e < / L a y e d O u t > < W a s U I I n v i s i b l e > t r u e < / W a s U I I n v i s i b l e > < / a : V a l u e > < / a : K e y V a l u e O f D i a g r a m O b j e c t K e y a n y T y p e z b w N T n L X > < a : K e y V a l u e O f D i a g r a m O b j e c t K e y a n y T y p e z b w N T n L X > < a : K e y > < K e y > M e a s u r e s \ S u m   o f   >;8G8=0\ T a g I n f o \ F o r m u l a < / K e y > < / a : K e y > < a : V a l u e   i : t y p e = " M e a s u r e G r i d V i e w S t a t e I D i a g r a m T a g A d d i t i o n a l I n f o " / > < / a : K e y V a l u e O f D i a g r a m O b j e c t K e y a n y T y p e z b w N T n L X > < a : K e y V a l u e O f D i a g r a m O b j e c t K e y a n y T y p e z b w N T n L X > < a : K e y > < K e y > M e a s u r e s \ S u m   o f   >;8G8=0\ T a g I n f o \ V a l u e < / K e y > < / a : K e y > < a : V a l u e   i : t y p e = " M e a s u r e G r i d V i e w S t a t e I D i a g r a m T a g A d d i t i o n a l I n f o " / > < / a : K e y V a l u e O f D i a g r a m O b j e c t K e y a n y T y p e z b w N T n L X > < a : K e y V a l u e O f D i a g r a m O b j e c t K e y a n y T y p e z b w N T n L X > < a : K e y > < K e y > M e a s u r e s \ S u m   o f   48=5G=0  F5=0< / K e y > < / a : K e y > < a : V a l u e   i : t y p e = " M e a s u r e G r i d N o d e V i e w S t a t e " > < C o l u m n > 4 < / C o l u m n > < L a y e d O u t > t r u e < / L a y e d O u t > < W a s U I I n v i s i b l e > t r u e < / W a s U I I n v i s i b l e > < / a : V a l u e > < / a : K e y V a l u e O f D i a g r a m O b j e c t K e y a n y T y p e z b w N T n L X > < a : K e y V a l u e O f D i a g r a m O b j e c t K e y a n y T y p e z b w N T n L X > < a : K e y > < K e y > M e a s u r e s \ S u m   o f   48=5G=0  F5=0\ T a g I n f o \ F o r m u l a < / K e y > < / a : K e y > < a : V a l u e   i : t y p e = " M e a s u r e G r i d V i e w S t a t e I D i a g r a m T a g A d d i t i o n a l I n f o " / > < / a : K e y V a l u e O f D i a g r a m O b j e c t K e y a n y T y p e z b w N T n L X > < a : K e y V a l u e O f D i a g r a m O b j e c t K e y a n y T y p e z b w N T n L X > < a : K e y > < K e y > M e a s u r e s \ S u m   o f   48=5G=0  F5=0\ T a g I n f o \ V a l u e < / K e y > < / a : K e y > < a : V a l u e   i : t y p e = " M e a s u r e G r i d V i e w S t a t e I D i a g r a m T a g A d d i t i o n a l I n f o " / > < / a : K e y V a l u e O f D i a g r a m O b j e c t K e y a n y T y p e z b w N T n L X > < a : K e y V a l u e O f D i a g r a m O b j e c t K e y a n y T y p e z b w N T n L X > < a : K e y > < K e y > M e a s u r e s \ S u m   o f   < / K e y > < / a : K e y > < a : V a l u e   i : t y p e = " M e a s u r e G r i d N o d e V i e w S t a t e " > < C o l u m n > 6 < / C o l u m n > < L a y e d O u t > t r u e < / L a y e d O u t > < W a s U I I n v i s i b l e > t r u e < / W a s U I I n v i s i b l e > < / a : V a l u e > < / a : K e y V a l u e O f D i a g r a m O b j e c t K e y a n y T y p e z b w N T n L X > < a : K e y V a l u e O f D i a g r a m O b j e c t K e y a n y T y p e z b w N T n L X > < a : K e y > < K e y > M e a s u r e s \ S u m   o f   \ T a g I n f o \ F o r m u l a < / K e y > < / a : K e y > < a : V a l u e   i : t y p e = " M e a s u r e G r i d V i e w S t a t e I D i a g r a m T a g A d d i t i o n a l I n f o " / > < / a : K e y V a l u e O f D i a g r a m O b j e c t K e y a n y T y p e z b w N T n L X > < a : K e y V a l u e O f D i a g r a m O b j e c t K e y a n y T y p e z b w N T n L X > < a : K e y > < K e y > M e a s u r e s \ S u m   o f   \ T a g I n f o \ V a l u e < / K e y > < / a : K e y > < a : V a l u e   i : t y p e = " M e a s u r e G r i d V i e w S t a t e I D i a g r a m T a g A d d i t i o n a l I n f o " / > < / a : K e y V a l u e O f D i a g r a m O b j e c t K e y a n y T y p e z b w N T n L X > < a : K e y V a l u e O f D i a g r a m O b j e c t K e y a n y T y p e z b w N T n L X > < a : K e y > < K e y > M e a s u r e s \ S u m   o f   7=>A  6 < / K e y > < / a : K e y > < a : V a l u e   i : t y p e = " M e a s u r e G r i d N o d e V i e w S t a t e " > < C o l u m n > 1 6 < / C o l u m n > < L a y e d O u t > t r u e < / L a y e d O u t > < W a s U I I n v i s i b l e > t r u e < / W a s U I I n v i s i b l e > < / a : V a l u e > < / a : K e y V a l u e O f D i a g r a m O b j e c t K e y a n y T y p e z b w N T n L X > < a : K e y V a l u e O f D i a g r a m O b j e c t K e y a n y T y p e z b w N T n L X > < a : K e y > < K e y > M e a s u r e s \ S u m   o f   7=>A  6 \ T a g I n f o \ F o r m u l a < / K e y > < / a : K e y > < a : V a l u e   i : t y p e = " M e a s u r e G r i d V i e w S t a t e I D i a g r a m T a g A d d i t i o n a l I n f o " / > < / a : K e y V a l u e O f D i a g r a m O b j e c t K e y a n y T y p e z b w N T n L X > < a : K e y V a l u e O f D i a g r a m O b j e c t K e y a n y T y p e z b w N T n L X > < a : K e y > < K e y > M e a s u r e s \ S u m   o f   7=>A  6 \ T a g I n f o \ V a l u e < / K e y > < / a : K e y > < a : V a l u e   i : t y p e = " M e a s u r e G r i d V i e w S t a t e I D i a g r a m T a g A d d i t i o n a l I n f o " / > < / a : K e y V a l u e O f D i a g r a m O b j e c t K e y a n y T y p e z b w N T n L X > < a : K e y V a l u e O f D i a g r a m O b j e c t K e y a n y T y p e z b w N T n L X > < a : K e y > < K e y > M e a s u r e s \ C o u n t   o f   48=5G=0  <5@:0< / K e y > < / a : K e y > < a : V a l u e   i : t y p e = " M e a s u r e G r i d N o d e V i e w S t a t e " > < C o l u m n > 2 < / C o l u m n > < L a y e d O u t > t r u e < / L a y e d O u t > < W a s U I I n v i s i b l e > t r u e < / W a s U I I n v i s i b l e > < / a : V a l u e > < / a : K e y V a l u e O f D i a g r a m O b j e c t K e y a n y T y p e z b w N T n L X > < a : K e y V a l u e O f D i a g r a m O b j e c t K e y a n y T y p e z b w N T n L X > < a : K e y > < K e y > M e a s u r e s \ C o u n t   o f   48=5G=0  <5@:0\ T a g I n f o \ F o r m u l a < / K e y > < / a : K e y > < a : V a l u e   i : t y p e = " M e a s u r e G r i d V i e w S t a t e I D i a g r a m T a g A d d i t i o n a l I n f o " / > < / a : K e y V a l u e O f D i a g r a m O b j e c t K e y a n y T y p e z b w N T n L X > < a : K e y V a l u e O f D i a g r a m O b j e c t K e y a n y T y p e z b w N T n L X > < a : K e y > < K e y > M e a s u r e s \ C o u n t   o f   48=5G=0  <5@:0\ T a g I n f o \ V a l u e < / K e y > < / a : K e y > < a : V a l u e   i : t y p e = " M e a s u r e G r i d V i e w S t a t e I D i a g r a m T a g A d d i t i o n a l I n f o " / > < / a : K e y V a l u e O f D i a g r a m O b j e c t K e y a n y T y p e z b w N T n L X > < a : K e y V a l u e O f D i a g r a m O b j e c t K e y a n y T y p e z b w N T n L X > < a : K e y > < K e y > C o l u m n s \ !B02:0< / K e y > < / a : K e y > < a : V a l u e   i : t y p e = " M e a s u r e G r i d N o d e V i e w S t a t e " > < C o l u m n > 1 5 < / C o l u m n > < L a y e d O u t > t r u e < / L a y e d O u t > < / a : V a l u e > < / a : K e y V a l u e O f D i a g r a m O b j e c t K e y a n y T y p e z b w N T n L X > < a : K e y V a l u e O f D i a g r a m O b j e c t K e y a n y T y p e z b w N T n L X > < a : K e y > < K e y > C o l u m n s \ 0B53>@8X0  @B8:;< / K e y > < / a : K e y > < a : V a l u e   i : t y p e = " M e a s u r e G r i d N o d e V i e w S t a t e " > < L a y e d O u t > t r u e < / L a y e d O u t > < / a : V a l u e > < / a : K e y V a l u e O f D i a g r a m O b j e c t K e y a n y T y p e z b w N T n L X > < a : K e y V a l u e O f D i a g r a m O b j e c t K e y a n y T y p e z b w N T n L X > < a : K e y > < K e y > C o l u m n s \ "8?  =0  0@B8:;< / K e y > < / a : K e y > < a : V a l u e   i : t y p e = " M e a s u r e G r i d N o d e V i e w S t a t e " > < C o l u m n > 1 < / C o l u m n > < L a y e d O u t > t r u e < / L a y e d O u t > < / a : V a l u e > < / a : K e y V a l u e O f D i a g r a m O b j e c t K e y a n y T y p e z b w N T n L X > < a : K e y V a l u e O f D i a g r a m O b j e c t K e y a n y T y p e z b w N T n L X > < a : K e y > < K e y > C o l u m n s \ 48=5G=0  <5@:0< / K e y > < / a : K e y > < a : V a l u e   i : t y p e = " M e a s u r e G r i d N o d e V i e w S t a t e " > < C o l u m n > 2 < / C o l u m n > < L a y e d O u t > t r u e < / L a y e d O u t > < / a : V a l u e > < / a : K e y V a l u e O f D i a g r a m O b j e c t K e y a n y T y p e z b w N T n L X > < a : K e y V a l u e O f D i a g r a m O b j e c t K e y a n y T y p e z b w N T n L X > < a : K e y > < K e y > C o l u m n s \ >;8G8=0< / K e y > < / a : K e y > < a : V a l u e   i : t y p e = " M e a s u r e G r i d N o d e V i e w S t a t e " > < C o l u m n > 3 < / C o l u m n > < L a y e d O u t > t r u e < / L a y e d O u t > < / a : V a l u e > < / a : K e y V a l u e O f D i a g r a m O b j e c t K e y a n y T y p e z b w N T n L X > < a : K e y V a l u e O f D i a g r a m O b j e c t K e y a n y T y p e z b w N T n L X > < a : K e y > < K e y > C o l u m n s \ 48=5G=0  F5=0< / K e y > < / a : K e y > < a : V a l u e   i : t y p e = " M e a s u r e G r i d N o d e V i e w S t a t e " > < C o l u m n > 4 < / C o l u m n > < L a y e d O u t > t r u e < / L a y e d O u t > < / a : V a l u e > < / a : K e y V a l u e O f D i a g r a m O b j e c t K e y a n y T y p e z b w N T n L X > < a : K e y V a l u e O f D i a g r a m O b j e c t K e y a n y T y p e z b w N T n L X > < a : K e y > < K e y > C o l u m n s \ :C?=>  B@>H>:< / K e y > < / a : K e y > < a : V a l u e   i : t y p e = " M e a s u r e G r i d N o d e V i e w S t a t e " > < C o l u m n > 5 < / C o l u m n > < L a y e d O u t > t r u e < / L a y e d O u t > < / a : V a l u e > < / a : K e y V a l u e O f D i a g r a m O b j e c t K e y a n y T y p e z b w N T n L X > < a : K e y V a l u e O f D i a g r a m O b j e c t K e y a n y T y p e z b w N T n L X > < a : K e y > < K e y > C o l u m n s \ < / K e y > < / a : K e y > < a : V a l u e   i : t y p e = " M e a s u r e G r i d N o d e V i e w S t a t e " > < C o l u m n > 6 < / C o l u m n > < L a y e d O u t > t r u e < / L a y e d O u t > < / a : V a l u e > < / a : K e y V a l u e O f D i a g r a m O b j e c t K e y a n y T y p e z b w N T n L X > < a : K e y V a l u e O f D i a g r a m O b j e c t K e y a n y T y p e z b w N T n L X > < a : K e y > < K e y > C o l u m n s \ 7=>A< / K e y > < / a : K e y > < a : V a l u e   i : t y p e = " M e a s u r e G r i d N o d e V i e w S t a t e " > < C o l u m n > 1 6 < / C o l u m n > < L a y e d O u t > t r u e < / L a y e d O u t > < / a : V a l u e > < / a : K e y V a l u e O f D i a g r a m O b j e c t K e y a n y T y p e z b w N T n L X > < a : K e y V a l u e O f D i a g r a m O b j e c t K e y a n y T y p e z b w N T n L X > < a : K e y > < K e y > C o l u m n s \ >=B>< / K e y > < / a : K e y > < a : V a l u e   i : t y p e = " M e a s u r e G r i d N o d e V i e w S t a t e " > < C o l u m n > 7 < / C o l u m n > < L a y e d O u t > t r u e < / L a y e d O u t > < / a : V a l u e > < / a : K e y V a l u e O f D i a g r a m O b j e c t K e y a n y T y p e z b w N T n L X > < a : K e y V a l u e O f D i a g r a m O b j e c t K e y a n y T y p e z b w N T n L X > < a : K e y > < K e y > C o l u m n s \ R e p o r t T y p e < / K e y > < / a : K e y > < a : V a l u e   i : t y p e = " M e a s u r e G r i d N o d e V i e w S t a t e " > < C o l u m n > 8 < / C o l u m n > < L a y e d O u t > t r u e < / L a y e d O u t > < / a : V a l u e > < / a : K e y V a l u e O f D i a g r a m O b j e c t K e y a n y T y p e z b w N T n L X > < a : K e y V a l u e O f D i a g r a m O b j e c t K e y a n y T y p e z b w N T n L X > < a : K e y > < K e y > C o l u m n s \ 5@8>4< / K e y > < / a : K e y > < a : V a l u e   i : t y p e = " M e a s u r e G r i d N o d e V i e w S t a t e " > < C o l u m n > 9 < / C o l u m n > < L a y e d O u t > t r u e < / L a y e d O u t > < / a : V a l u e > < / a : K e y V a l u e O f D i a g r a m O b j e c t K e y a n y T y p e z b w N T n L X > < a : K e y V a l u e O f D i a g r a m O b j e c t K e y a n y T y p e z b w N T n L X > < a : K e y > < K e y > C o l u m n s \ S t a v k a I m e M K < / K e y > < / a : K e y > < a : V a l u e   i : t y p e = " M e a s u r e G r i d N o d e V i e w S t a t e " > < C o l u m n > 1 0 < / C o l u m n > < L a y e d O u t > t r u e < / L a y e d O u t > < / a : V a l u e > < / a : K e y V a l u e O f D i a g r a m O b j e c t K e y a n y T y p e z b w N T n L X > < a : K e y V a l u e O f D i a g r a m O b j e c t K e y a n y T y p e z b w N T n L X > < a : K e y > < K e y > C o l u m n s \ S t a v k a A O P < / K e y > < / a : K e y > < a : V a l u e   i : t y p e = " M e a s u r e G r i d N o d e V i e w S t a t e " > < C o l u m n > 1 1 < / C o l u m n > < L a y e d O u t > t r u e < / L a y e d O u t > < / a : V a l u e > < / a : K e y V a l u e O f D i a g r a m O b j e c t K e y a n y T y p e z b w N T n L X > < a : K e y V a l u e O f D i a g r a m O b j e c t K e y a n y T y p e z b w N T n L X > < a : K e y > < K e y > C o l u m n s \ S t a v k a G r u p a < / K e y > < / a : K e y > < a : V a l u e   i : t y p e = " M e a s u r e G r i d N o d e V i e w S t a t e " > < C o l u m n > 1 2 < / C o l u m n > < L a y e d O u t > t r u e < / L a y e d O u t > < / a : V a l u e > < / a : K e y V a l u e O f D i a g r a m O b j e c t K e y a n y T y p e z b w N T n L X > < a : K e y V a l u e O f D i a g r a m O b j e c t K e y a n y T y p e z b w N T n L X > < a : K e y > < K e y > C o l u m n s \ S t a v k a K a t e g o r i j a < / K e y > < / a : K e y > < a : V a l u e   i : t y p e = " M e a s u r e G r i d N o d e V i e w S t a t e " > < C o l u m n > 1 3 < / C o l u m n > < L a y e d O u t > t r u e < / L a y e d O u t > < / a : V a l u e > < / a : K e y V a l u e O f D i a g r a m O b j e c t K e y a n y T y p e z b w N T n L X > < a : K e y V a l u e O f D i a g r a m O b j e c t K e y a n y T y p e z b w N T n L X > < a : K e y > < K e y > C o l u m n s \ O b r a z e c I m e < / K e y > < / a : K e y > < a : V a l u e   i : t y p e = " M e a s u r e G r i d N o d e V i e w S t a t e " > < C o l u m n > 1 4 < / C o l u m n > < L a y e d O u t > t r u e < / L a y e d O u t > < / a : V a l u e > < / a : K e y V a l u e O f D i a g r a m O b j e c t K e y a n y T y p e z b w N T n L X > < a : K e y V a l u e O f D i a g r a m O b j e c t K e y a n y T y p e z b w N T n L X > < a : K e y > < K e y > L i n k s \ & l t ; C o l u m n s \ S u m   o f   :C?=>  B@>H>:& g t ; - & l t ; M e a s u r e s \ :C?=>  B@>H>:& g t ; < / K e y > < / a : K e y > < a : V a l u e   i : t y p e = " M e a s u r e G r i d V i e w S t a t e I D i a g r a m L i n k " / > < / a : K e y V a l u e O f D i a g r a m O b j e c t K e y a n y T y p e z b w N T n L X > < a : K e y V a l u e O f D i a g r a m O b j e c t K e y a n y T y p e z b w N T n L X > < a : K e y > < K e y > L i n k s \ & l t ; C o l u m n s \ S u m   o f   :C?=>  B@>H>:& g t ; - & l t ; M e a s u r e s \ :C?=>  B@>H>:& g t ; \ C O L U M N < / K e y > < / a : K e y > < a : V a l u e   i : t y p e = " M e a s u r e G r i d V i e w S t a t e I D i a g r a m L i n k E n d p o i n t " / > < / a : K e y V a l u e O f D i a g r a m O b j e c t K e y a n y T y p e z b w N T n L X > < a : K e y V a l u e O f D i a g r a m O b j e c t K e y a n y T y p e z b w N T n L X > < a : K e y > < K e y > L i n k s \ & l t ; C o l u m n s \ S u m   o f   :C?=>  B@>H>:& g t ; - & l t ; M e a s u r e s \ :C?=>  B@>H>:& g t ; \ M E A S U R E < / K e y > < / a : K e y > < a : V a l u e   i : t y p e = " M e a s u r e G r i d V i e w S t a t e I D i a g r a m L i n k E n d p o i n t " / > < / a : K e y V a l u e O f D i a g r a m O b j e c t K e y a n y T y p e z b w N T n L X > < a : K e y V a l u e O f D i a g r a m O b j e c t K e y a n y T y p e z b w N T n L X > < a : K e y > < K e y > L i n k s \ & l t ; C o l u m n s \ S u m   o f   >;8G8=0& g t ; - & l t ; M e a s u r e s \ >;8G8=0& g t ; < / K e y > < / a : K e y > < a : V a l u e   i : t y p e = " M e a s u r e G r i d V i e w S t a t e I D i a g r a m L i n k " / > < / a : K e y V a l u e O f D i a g r a m O b j e c t K e y a n y T y p e z b w N T n L X > < a : K e y V a l u e O f D i a g r a m O b j e c t K e y a n y T y p e z b w N T n L X > < a : K e y > < K e y > L i n k s \ & l t ; C o l u m n s \ S u m   o f   >;8G8=0& g t ; - & l t ; M e a s u r e s \ >;8G8=0& g t ; \ C O L U M N < / K e y > < / a : K e y > < a : V a l u e   i : t y p e = " M e a s u r e G r i d V i e w S t a t e I D i a g r a m L i n k E n d p o i n t " / > < / a : K e y V a l u e O f D i a g r a m O b j e c t K e y a n y T y p e z b w N T n L X > < a : K e y V a l u e O f D i a g r a m O b j e c t K e y a n y T y p e z b w N T n L X > < a : K e y > < K e y > L i n k s \ & l t ; C o l u m n s \ S u m   o f   >;8G8=0& g t ; - & l t ; M e a s u r e s \ >;8G8=0& g t ; \ M E A S U R E < / K e y > < / a : K e y > < a : V a l u e   i : t y p e = " M e a s u r e G r i d V i e w S t a t e I D i a g r a m L i n k E n d p o i n t " / > < / a : K e y V a l u e O f D i a g r a m O b j e c t K e y a n y T y p e z b w N T n L X > < a : K e y V a l u e O f D i a g r a m O b j e c t K e y a n y T y p e z b w N T n L X > < a : K e y > < K e y > L i n k s \ & l t ; C o l u m n s \ S u m   o f   48=5G=0  F5=0& g t ; - & l t ; M e a s u r e s \ 48=5G=0  F5=0& g t ; < / K e y > < / a : K e y > < a : V a l u e   i : t y p e = " M e a s u r e G r i d V i e w S t a t e I D i a g r a m L i n k " / > < / a : K e y V a l u e O f D i a g r a m O b j e c t K e y a n y T y p e z b w N T n L X > < a : K e y V a l u e O f D i a g r a m O b j e c t K e y a n y T y p e z b w N T n L X > < a : K e y > < K e y > L i n k s \ & l t ; C o l u m n s \ S u m   o f   48=5G=0  F5=0& g t ; - & l t ; M e a s u r e s \ 48=5G=0  F5=0& g t ; \ C O L U M N < / K e y > < / a : K e y > < a : V a l u e   i : t y p e = " M e a s u r e G r i d V i e w S t a t e I D i a g r a m L i n k E n d p o i n t " / > < / a : K e y V a l u e O f D i a g r a m O b j e c t K e y a n y T y p e z b w N T n L X > < a : K e y V a l u e O f D i a g r a m O b j e c t K e y a n y T y p e z b w N T n L X > < a : K e y > < K e y > L i n k s \ & l t ; C o l u m n s \ S u m   o f   48=5G=0  F5=0& g t ; - & l t ; M e a s u r e s \ 48=5G=0  F5=0& g t ; \ M E A S U R E < / K e y > < / a : K e y > < a : V a l u e   i : t y p e = " M e a s u r e G r i d V i e w S t a t e I D i a g r a m L i n k E n d p o i n t " / > < / a : K e y V a l u e O f D i a g r a m O b j e c t K e y a n y T y p e z b w N T n L X > < a : K e y V a l u e O f D i a g r a m O b j e c t K e y a n y T y p e z b w N T n L X > < a : K e y > < K e y > L i n k s \ & l t ; C o l u m n s \ S u m   o f   & g t ; - & l t ; M e a s u r e s \ & g t ; < / K e y > < / a : K e y > < a : V a l u e   i : t y p e = " M e a s u r e G r i d V i e w S t a t e I D i a g r a m L i n k " / > < / a : K e y V a l u e O f D i a g r a m O b j e c t K e y a n y T y p e z b w N T n L X > < a : K e y V a l u e O f D i a g r a m O b j e c t K e y a n y T y p e z b w N T n L X > < a : K e y > < K e y > L i n k s \ & l t ; C o l u m n s \ S u m   o f   & g t ; - & l t ; M e a s u r e s \ & g t ; \ C O L U M N < / K e y > < / a : K e y > < a : V a l u e   i : t y p e = " M e a s u r e G r i d V i e w S t a t e I D i a g r a m L i n k E n d p o i n t " / > < / a : K e y V a l u e O f D i a g r a m O b j e c t K e y a n y T y p e z b w N T n L X > < a : K e y V a l u e O f D i a g r a m O b j e c t K e y a n y T y p e z b w N T n L X > < a : K e y > < K e y > L i n k s \ & l t ; C o l u m n s \ S u m   o f   & g t ; - & l t ; M e a s u r e s \ & g t ; \ M E A S U R E < / K e y > < / a : K e y > < a : V a l u e   i : t y p e = " M e a s u r e G r i d V i e w S t a t e I D i a g r a m L i n k E n d p o i n t " / > < / a : K e y V a l u e O f D i a g r a m O b j e c t K e y a n y T y p e z b w N T n L X > < a : K e y V a l u e O f D i a g r a m O b j e c t K e y a n y T y p e z b w N T n L X > < a : K e y > < K e y > L i n k s \ & l t ; C o l u m n s \ S u m   o f   7=>A  6 & g t ; - & l t ; M e a s u r e s \ 7=>A& g t ; < / K e y > < / a : K e y > < a : V a l u e   i : t y p e = " M e a s u r e G r i d V i e w S t a t e I D i a g r a m L i n k " / > < / a : K e y V a l u e O f D i a g r a m O b j e c t K e y a n y T y p e z b w N T n L X > < a : K e y V a l u e O f D i a g r a m O b j e c t K e y a n y T y p e z b w N T n L X > < a : K e y > < K e y > L i n k s \ & l t ; C o l u m n s \ S u m   o f   7=>A  6 & g t ; - & l t ; M e a s u r e s \ 7=>A& g t ; \ C O L U M N < / K e y > < / a : K e y > < a : V a l u e   i : t y p e = " M e a s u r e G r i d V i e w S t a t e I D i a g r a m L i n k E n d p o i n t " / > < / a : K e y V a l u e O f D i a g r a m O b j e c t K e y a n y T y p e z b w N T n L X > < a : K e y V a l u e O f D i a g r a m O b j e c t K e y a n y T y p e z b w N T n L X > < a : K e y > < K e y > L i n k s \ & l t ; C o l u m n s \ S u m   o f   7=>A  6 & g t ; - & l t ; M e a s u r e s \ 7=>A& g t ; \ M E A S U R E < / K e y > < / a : K e y > < a : V a l u e   i : t y p e = " M e a s u r e G r i d V i e w S t a t e I D i a g r a m L i n k E n d p o i n t " / > < / a : K e y V a l u e O f D i a g r a m O b j e c t K e y a n y T y p e z b w N T n L X > < a : K e y V a l u e O f D i a g r a m O b j e c t K e y a n y T y p e z b w N T n L X > < a : K e y > < K e y > L i n k s \ & l t ; C o l u m n s \ C o u n t   o f   48=5G=0  <5@:0& g t ; - & l t ; M e a s u r e s \ 48=5G=0  <5@:0& g t ; < / K e y > < / a : K e y > < a : V a l u e   i : t y p e = " M e a s u r e G r i d V i e w S t a t e I D i a g r a m L i n k " / > < / a : K e y V a l u e O f D i a g r a m O b j e c t K e y a n y T y p e z b w N T n L X > < a : K e y V a l u e O f D i a g r a m O b j e c t K e y a n y T y p e z b w N T n L X > < a : K e y > < K e y > L i n k s \ & l t ; C o l u m n s \ C o u n t   o f   48=5G=0  <5@:0& g t ; - & l t ; M e a s u r e s \ 48=5G=0  <5@:0& g t ; \ C O L U M N < / K e y > < / a : K e y > < a : V a l u e   i : t y p e = " M e a s u r e G r i d V i e w S t a t e I D i a g r a m L i n k E n d p o i n t " / > < / a : K e y V a l u e O f D i a g r a m O b j e c t K e y a n y T y p e z b w N T n L X > < a : K e y V a l u e O f D i a g r a m O b j e c t K e y a n y T y p e z b w N T n L X > < a : K e y > < K e y > L i n k s \ & l t ; C o l u m n s \ C o u n t   o f   48=5G=0  <5@:0& g t ; - & l t ; M e a s u r e s \ 48=5G=0  <5@:0& g t ; \ M E A S U R E < / K e y > < / a : K e y > < a : V a l u e   i : t y p e = " M e a s u r e G r i d V i e w S t a t e I D i a g r a m L i n k E n d p o i n t " / > < / a : K e y V a l u e O f D i a g r a m O b j e c t K e y a n y T y p e z b w N T n L X > < / V i e w S t a t e s > < / D i a g r a m M a n a g e r . S e r i a l i z a b l e D i a g r a m > < / A r r a y O f D i a g r a m M a n a g e r . S e r i a l i z a b l e D i a g r a m > ] ] > < / C u s t o m C o n t e n t > < / G e m i n i > 
</file>

<file path=customXml/item13.xml>��< ? x m l   v e r s i o n = " 1 . 0 "   e n c o d i n g = " U T F - 1 6 " ? > < G e m i n i   x m l n s = " h t t p : / / g e m i n i / p i v o t c u s t o m i z a t i o n / T a b l e X M L _ d O b r a z e c F i n a n s i s k i P l a n _ 3 7 1 5 9 9 8 1 - a 0 9 1 - 4 5 5 d - 9 5 1 3 - 4 6 6 5 9 2 7 b 0 3 6 4 " > < C u s t o m C o n t e n t > < ! [ C D A T A [ < T a b l e W i d g e t G r i d S e r i a l i z a t i o n   x m l n s : x s i = " h t t p : / / w w w . w 3 . o r g / 2 0 0 1 / X M L S c h e m a - i n s t a n c e "   x m l n s : x s d = " h t t p : / / w w w . w 3 . o r g / 2 0 0 1 / X M L S c h e m a " > < C o l u m n S u g g e s t e d T y p e   / > < C o l u m n F o r m a t   / > < C o l u m n A c c u r a c y   / > < C o l u m n C u r r e n c y S y m b o l   / > < C o l u m n P o s i t i v e P a t t e r n   / > < C o l u m n N e g a t i v e P a t t e r n   / > < C o l u m n W i d t h s > < i t e m > < k e y > < s t r i n g > -   D8=0=A8A:8  ?;0=< / s t r i n g > < / k e y > < v a l u e > < i n t > 1 7 3 < / i n t > < / v a l u e > < / i t e m > < i t e m > < k e y > < s t r i n g > $- AB02:0< / s t r i n g > < / k e y > < v a l u e > < i n t > 1 0 0 < / i n t > < / v a l u e > < / i t e m > < i t e m > < k e y > < s t r i n g > $- @C?0< / s t r i n g > < / k e y > < v a l u e > < i n t > 9 5 < / i n t > < / v a l u e > < / i t e m > < i t e m > < k e y > < s t r i n g > $- 0B53>@8X0< / s t r i n g > < / k e y > < v a l u e > < i n t > 1 2 9 < / i n t > < / v a l u e > < / i t e m > < i t e m > < k e y > < s t r i n g > T o t a l i n g < / s t r i n g > < / k e y > < v a l u e > < i n t > 8 5 < / i n t > < / v a l u e > < / i t e m > < i t e m > < k e y > < s t r i n g > $  !B02:0  =0782< / s t r i n g > < / k e y > < v a l u e > < i n t > 8 8 2 < / i n t > < / v a l u e > < / i t e m > < / C o l u m n W i d t h s > < C o l u m n D i s p l a y I n d e x > < i t e m > < k e y > < s t r i n g > -   D8=0=A8A:8  ?;0=< / s t r i n g > < / k e y > < v a l u e > < i n t > 0 < / i n t > < / v a l u e > < / i t e m > < i t e m > < k e y > < s t r i n g > $- AB02:0< / s t r i n g > < / k e y > < v a l u e > < i n t > 1 < / i n t > < / v a l u e > < / i t e m > < i t e m > < k e y > < s t r i n g > $- @C?0< / s t r i n g > < / k e y > < v a l u e > < i n t > 2 < / i n t > < / v a l u e > < / i t e m > < i t e m > < k e y > < s t r i n g > $- 0B53>@8X0< / s t r i n g > < / k e y > < v a l u e > < i n t > 3 < / i n t > < / v a l u e > < / i t e m > < i t e m > < k e y > < s t r i n g > T o t a l i n g < / s t r i n g > < / k e y > < v a l u e > < i n t > 4 < / i n t > < / v a l u e > < / i t e m > < i t e m > < k e y > < s t r i n g > $  !B02:0  =0782< / s t r i n g > < / k e y > < v a l u e > < i n t > 5 < / i n t > < / v a l u e > < / i t e m > < / C o l u m n D i s p l a y I n d e x > < C o l u m n F r o z e n   / > < C o l u m n C h e c k e d   / > < C o l u m n F i l t e r > < i t e m > < k e y > < s t r i n g > -   D8=0=A8A:8  ?;0=< / s t r i n g > < / k e y > < v a l u e > < F i l t e r E x p r e s s i o n   x s i : n i l = " t r u e "   / > < / v a l u e > < / i t e m > < / C o l u m n F i l t e r > < S e l e c t i o n F i l t e r > < i t e m > < k e y > < s t r i n g > -   D8=0=A8A:8  ?;0=< / s t r i n g > < / k e y > < v a l u e > < S e l e c t i o n F i l t e r   x s i : n i l = " t r u e "   / > < / v a l u e > < / i t e m > < / S e l e c t i o n F i l t e r > < F i l t e r P a r a m e t e r s > < i t e m > < k e y > < s t r i n g > -   D8=0=A8A:8  ?;0=< / s t r i n g > < / k e y > < v a l u e > < C o m m a n d P a r a m e t e r s   / > < / v a l u e > < / i t e m > < / F i l t e r P a r a m e t e r s > < I s S o r t D e s c e n d i n g > f a l s e < / I s S o r t D e s c e n d i n g > < / T a b l e W i d g e t G r i d S e r i a l i z a t i o n > ] ] > < / C u s t o m C o n t e n t > < / G e m i n i > 
</file>

<file path=customXml/item14.xml>��< ? x m l   v e r s i o n = " 1 . 0 "   e n c o d i n g = " U T F - 1 6 " ? > < G e m i n i   x m l n s = " h t t p : / / g e m i n i / p i v o t c u s t o m i z a t i o n / S h o w I m p l i c i t M e a s u r e s " > < C u s t o m C o n t e n t > < ! [ C D A T A [ F a l s e ] ] > < / C u s t o m C o n t e n t > < / G e m i n i > 
</file>

<file path=customXml/item15.xml>��< ? x m l   v e r s i o n = " 1 . 0 "   e n c o d i n g = " U T F - 1 6 " ? > < G e m i n i   x m l n s = " h t t p : / / g e m i n i / p i v o t c u s t o m i z a t i o n / T a b l e X M L _ O P E X A n a l i z a _ e 3 4 7 4 6 6 b - 1 0 e b - 4 8 2 7 - 8 2 2 9 - e 4 3 b d 1 3 d a a 8 d " > < C u s t o m C o n t e n t > < ! [ C D A T A [ < T a b l e W i d g e t G r i d S e r i a l i z a t i o n   x m l n s : x s d = " h t t p : / / w w w . w 3 . o r g / 2 0 0 1 / X M L S c h e m a "   x m l n s : x s i = " h t t p : / / w w w . w 3 . o r g / 2 0 0 1 / X M L S c h e m a - i n s t a n c e " > < C o l u m n S u g g e s t e d T y p e   / > < C o l u m n F o r m a t   / > < C o l u m n A c c u r a c y   / > < C o l u m n C u r r e n c y S y m b o l   / > < C o l u m n P o s i t i v e P a t t e r n   / > < C o l u m n N e g a t i v e P a t t e r n   / > < C o l u m n W i d t h s > < i t e m > < k e y > < s t r i n g > !B02:0< / s t r i n g > < / k e y > < v a l u e > < i n t > 9 6 < / i n t > < / v a l u e > < / i t e m > < i t e m > < k e y > < s t r i n g > 7=>A< / s t r i n g > < / k e y > < v a l u e > < i n t > 9 1 < / i n t > < / v a l u e > < / i t e m > < i t e m > < k e y > < s t r i n g > >=B>< / s t r i n g > < / k e y > < v a l u e > < i n t > 9 0 < / i n t > < / v a l u e > < / i t e m > < i t e m > < k e y > < s t r i n g > S t a v k a I m e M K < / s t r i n g > < / k e y > < v a l u e > < i n t > 1 5 0 < / i n t > < / v a l u e > < / i t e m > < i t e m > < k e y > < s t r i n g > 0B53>@8X0  @B8:;< / s t r i n g > < / k e y > < v a l u e > < i n t > 1 5 4 < / i n t > < / v a l u e > < / i t e m > < i t e m > < k e y > < s t r i n g > 0B53>@8X0  @B8:;  < / s t r i n g > < / k e y > < v a l u e > < i n t > 1 7 7 < / i n t > < / v a l u e > < / i t e m > < i t e m > < k e y > < s t r i n g > S t a v k a K a t e g o r i j a < / s t r i n g > < / k e y > < v a l u e > < i n t > 1 7 2 < / i n t > < / v a l u e > < / i t e m > < i t e m > < k e y > < s t r i n g > @B8:;  < / s t r i n g > < / k e y > < v a l u e > < i n t > 1 0 5 < / i n t > < / v a l u e > < / i t e m > < i t e m > < k e y > < s t r i n g > R e p o r t T y p e < / s t r i n g > < / k e y > < v a l u e > < i n t > 1 3 1 < / i n t > < / v a l u e > < / i t e m > < i t e m > < k e y > < s t r i n g > S t a v k a I m e A O P < / s t r i n g > < / k e y > < v a l u e > < i n t > 1 9 9 < / i n t > < / v a l u e > < / i t e m > < i t e m > < k e y > < s t r i n g > 5@8>4< / s t r i n g > < / k e y > < v a l u e > < i n t > 1 2 1 < / i n t > < / v a l u e > < / i t e m > < i t e m > < k e y > < s t r i n g > 5@8>4  ( Y e a r ) < / s t r i n g > < / k e y > < v a l u e > < i n t > 1 2 4 < / i n t > < / v a l u e > < / i t e m > < i t e m > < k e y > < s t r i n g > 5@8>4  ( Q u a r t e r ) < / s t r i n g > < / k e y > < v a l u e > < i n t > 1 4 6 < / i n t > < / v a l u e > < / i t e m > < i t e m > < k e y > < s t r i n g > 5@8>4  ( M o n t h   I n d e x ) < / s t r i n g > < / k e y > < v a l u e > < i n t > 1 7 7 < / i n t > < / v a l u e > < / i t e m > < i t e m > < k e y > < s t r i n g > 5@8>4  ( M o n t h ) < / s t r i n g > < / k e y > < v a l u e > < i n t > 1 3 9 < / i n t > < / v a l u e > < / i t e m > < i t e m > < k e y > < s t r i n g > "8?  =0  0@B8:;< / s t r i n g > < / k e y > < v a l u e > < i n t > 1 2 3 < / i n t > < / v a l u e > < / i t e m > < i t e m > < k e y > < s t r i n g > 48=5G=0  <5@:0< / s t r i n g > < / k e y > < v a l u e > < i n t > 1 4 0 < / i n t > < / v a l u e > < / i t e m > < i t e m > < k e y > < s t r i n g > >;8G8=0< / s t r i n g > < / k e y > < v a l u e > < i n t > 9 8 < / i n t > < / v a l u e > < / i t e m > < i t e m > < k e y > < s t r i n g > 48=5G=0  F5=0< / s t r i n g > < / k e y > < v a l u e > < i n t > 1 3 1 < / i n t > < / v a l u e > < / i t e m > < i t e m > < k e y > < s t r i n g > < / s t r i n g > < / k e y > < v a l u e > < i n t > 6 4 < / i n t > < / v a l u e > < / i t e m > < i t e m > < k e y > < s t r i n g > :C?=>  B@>H>:  A>  < / s t r i n g > < / k e y > < v a l u e > < i n t > 1 8 1 < / i n t > < / v a l u e > < / i t e m > < i t e m > < k e y > < s t r i n g > O b r a z e c I m e < / s t r i n g > < / k e y > < v a l u e > < i n t > 1 1 0 < / i n t > < / v a l u e > < / i t e m > < / C o l u m n W i d t h s > < C o l u m n D i s p l a y I n d e x > < i t e m > < k e y > < s t r i n g > !B02:0< / s t r i n g > < / k e y > < v a l u e > < i n t > 0 < / i n t > < / v a l u e > < / i t e m > < i t e m > < k e y > < s t r i n g > 7=>A< / s t r i n g > < / k e y > < v a l u e > < i n t > 1 < / i n t > < / v a l u e > < / i t e m > < i t e m > < k e y > < s t r i n g > >=B>< / s t r i n g > < / k e y > < v a l u e > < i n t > 2 < / i n t > < / v a l u e > < / i t e m > < i t e m > < k e y > < s t r i n g > S t a v k a I m e M K < / s t r i n g > < / k e y > < v a l u e > < i n t > 3 < / i n t > < / v a l u e > < / i t e m > < i t e m > < k e y > < s t r i n g > 0B53>@8X0  @B8:;< / s t r i n g > < / k e y > < v a l u e > < i n t > 1 4 < / i n t > < / v a l u e > < / i t e m > < i t e m > < k e y > < s t r i n g > 0B53>@8X0  @B8:;  < / s t r i n g > < / k e y > < v a l u e > < i n t > 1 3 < / i n t > < / v a l u e > < / i t e m > < i t e m > < k e y > < s t r i n g > S t a v k a K a t e g o r i j a < / s t r i n g > < / k e y > < v a l u e > < i n t > 4 < / i n t > < / v a l u e > < / i t e m > < i t e m > < k e y > < s t r i n g > @B8:;  < / s t r i n g > < / k e y > < v a l u e > < i n t > 1 2 < / i n t > < / v a l u e > < / i t e m > < i t e m > < k e y > < s t r i n g > R e p o r t T y p e < / s t r i n g > < / k e y > < v a l u e > < i n t > 5 < / i n t > < / v a l u e > < / i t e m > < i t e m > < k e y > < s t r i n g > S t a v k a I m e A O P < / s t r i n g > < / k e y > < v a l u e > < i n t > 6 < / i n t > < / v a l u e > < / i t e m > < i t e m > < k e y > < s t r i n g > 5@8>4< / s t r i n g > < / k e y > < v a l u e > < i n t > 7 < / i n t > < / v a l u e > < / i t e m > < i t e m > < k e y > < s t r i n g > 5@8>4  ( Y e a r ) < / s t r i n g > < / k e y > < v a l u e > < i n t > 8 < / i n t > < / v a l u e > < / i t e m > < i t e m > < k e y > < s t r i n g > 5@8>4  ( Q u a r t e r ) < / s t r i n g > < / k e y > < v a l u e > < i n t > 9 < / i n t > < / v a l u e > < / i t e m > < i t e m > < k e y > < s t r i n g > 5@8>4  ( M o n t h   I n d e x ) < / s t r i n g > < / k e y > < v a l u e > < i n t > 1 0 < / i n t > < / v a l u e > < / i t e m > < i t e m > < k e y > < s t r i n g > 5@8>4  ( M o n t h ) < / s t r i n g > < / k e y > < v a l u e > < i n t > 1 1 < / i n t > < / v a l u e > < / i t e m > < i t e m > < k e y > < s t r i n g > "8?  =0  0@B8:;< / s t r i n g > < / k e y > < v a l u e > < i n t > 1 5 < / i n t > < / v a l u e > < / i t e m > < i t e m > < k e y > < s t r i n g > 48=5G=0  <5@:0< / s t r i n g > < / k e y > < v a l u e > < i n t > 1 6 < / i n t > < / v a l u e > < / i t e m > < i t e m > < k e y > < s t r i n g > >;8G8=0< / s t r i n g > < / k e y > < v a l u e > < i n t > 1 7 < / i n t > < / v a l u e > < / i t e m > < i t e m > < k e y > < s t r i n g > 48=5G=0  F5=0< / s t r i n g > < / k e y > < v a l u e > < i n t > 1 8 < / i n t > < / v a l u e > < / i t e m > < i t e m > < k e y > < s t r i n g > < / s t r i n g > < / k e y > < v a l u e > < i n t > 1 9 < / i n t > < / v a l u e > < / i t e m > < i t e m > < k e y > < s t r i n g > :C?=>  B@>H>:  A>  < / s t r i n g > < / k e y > < v a l u e > < i n t > 2 0 < / i n t > < / v a l u e > < / i t e m > < i t e m > < k e y > < s t r i n g > O b r a z e c I m e < / s t r i n g > < / k e y > < v a l u e > < i n t > 2 1 < / i n t > < / v a l u e > < / i t e m > < / C o l u m n D i s p l a y I n d e x > < C o l u m n F r o z e n   / > < C o l u m n C h e c k e d   / > < C o l u m n F i l t e r > < i t e m > < k e y > < s t r i n g > 5@8>4< / s t r i n g > < / k e y > < v a l u e > < F i l t e r E x p r e s s i o n   x s i : n i l = " t r u e "   / > < / v a l u e > < / i t e m > < i t e m > < k e y > < s t r i n g > 5@8>4  ( Y e a r ) < / s t r i n g > < / k e y > < v a l u e > < F i l t e r E x p r e s s i o n   x s i : n i l = " t r u e "   / > < / v a l u e > < / i t e m > < i t e m > < k e y > < s t r i n g > !B02:0< / s t r i n g > < / k e y > < v a l u e > < F i l t e r E x p r e s s i o n   x s i : n i l = " t r u e "   / > < / v a l u e > < / i t e m > < / C o l u m n F i l t e r > < S e l e c t i o n F i l t e r > < i t e m > < k e y > < s t r i n g > 5@8>4< / s t r i n g > < / k e y > < v a l u e > < S e l e c t i o n F i l t e r   x s i : n i l = " t r u e "   / > < / v a l u e > < / i t e m > < i t e m > < k e y > < s t r i n g > 5@8>4  ( Y e a r ) < / s t r i n g > < / k e y > < v a l u e > < S e l e c t i o n F i l t e r   x s i : n i l = " t r u e "   / > < / v a l u e > < / i t e m > < i t e m > < k e y > < s t r i n g > !B02:0< / s t r i n g > < / k e y > < v a l u e > < S e l e c t i o n F i l t e r   x s i : n i l = " t r u e "   / > < / v a l u e > < / i t e m > < / S e l e c t i o n F i l t e r > < F i l t e r P a r a m e t e r s > < i t e m > < k e y > < s t r i n g > 5@8>4< / s t r i n g > < / k e y > < v a l u e > < C o m m a n d P a r a m e t e r s   / > < / v a l u e > < / i t e m > < i t e m > < k e y > < s t r i n g > 5@8>4  ( Y e a r ) < / s t r i n g > < / k e y > < v a l u e > < C o m m a n d P a r a m e t e r s   / > < / v a l u e > < / i t e m > < i t e m > < k e y > < s t r i n g > !B02:0< / s t r i n g > < / k e y > < v a l u e > < C o m m a n d P a r a m e t e r s   / > < / v a l u e > < / i t e m > < / F i l t e r P a r a m e t e r s > < I s S o r t D e s c e n d i n g > f a l s e < / I s S o r t D e s c e n d i n g > < / T a b l e W i d g e t G r i d S e r i a l i z a t i o n > ] ] > < / C u s t o m C o n t e n t > < / G e m i n i > 
</file>

<file path=customXml/item16.xml>��< ? x m l   v e r s i o n = " 1 . 0 "   e n c o d i n g = " U T F - 1 6 " ? > < G e m i n i   x m l n s = " h t t p : / / g e m i n i / p i v o t c u s t o m i z a t i o n / T a b l e X M L _ f A c t u a l A n d B u d g e t     2 _ a e 0 7 6 5 5 e - 0 1 3 a - 4 4 a 1 - a 8 d c - c 8 f 8 4 d 4 5 4 8 2 c " > < C u s t o m C o n t e n t   x m l n s = " h t t p : / / g e m i n i / p i v o t c u s t o m i z a t i o n / T a b l e X M L _ f A c t u a l A n d B u d g e t   2 _ a e 0 7 6 5 5 e - 0 1 3 a - 4 4 a 1 - a 8 d c - c 8 f 8 4 d 4 5 4 8 2 c " > < ! [ C D A T A [ < T a b l e W i d g e t G r i d S e r i a l i z a t i o n   x m l n s : x s i = " h t t p : / / w w w . w 3 . o r g / 2 0 0 1 / X M L S c h e m a - i n s t a n c e "   x m l n s : x s d = " h t t p : / / w w w . w 3 . o r g / 2 0 0 1 / X M L S c h e m a " > < C o l u m n S u g g e s t e d T y p e   / > < C o l u m n F o r m a t   / > < C o l u m n A c c u r a c y   / > < C o l u m n C u r r e n c y S y m b o l   / > < C o l u m n P o s i t i v e P a t t e r n   / > < C o l u m n N e g a t i v e P a t t e r n   / > < C o l u m n W i d t h s > < i t e m > < k e y > < s t r i n g > >=B>< / s t r i n g > < / k e y > < v a l u e > < i n t > 9 0 < / i n t > < / v a l u e > < / i t e m > < i t e m > < k e y > < s t r i n g > !B02:0< / s t r i n g > < / k e y > < v a l u e > < i n t > 9 6 < / i n t > < / v a l u e > < / i t e m > < i t e m > < k e y > < s t r i n g > 5@8>4< / s t r i n g > < / k e y > < v a l u e > < i n t > 1 0 4 < / i n t > < / v a l u e > < / i t e m > < i t e m > < k e y > < s t r i n g > 7=>A1 < / s t r i n g > < / k e y > < v a l u e > < i n t > 1 0 1 < / i n t > < / v a l u e > < / i t e m > < i t e m > < k e y > < s t r i n g > R e p o r t T y p e < / s t r i n g > < / k e y > < v a l u e > < i n t > 1 3 1 < / i n t > < / v a l u e > < / i t e m > < i t e m > < k e y > < s t r i n g > S t a v k a I D < / s t r i n g > < / k e y > < v a l u e > < i n t > 1 1 2 < / i n t > < / v a l u e > < / i t e m > < i t e m > < k e y > < s t r i n g > S t a v k a I m e M K < / s t r i n g > < / k e y > < v a l u e > < i n t > 1 5 0 < / i n t > < / v a l u e > < / i t e m > < i t e m > < k e y > < s t r i n g > S t a v k a G r u p a < / s t r i n g > < / k e y > < v a l u e > < i n t > 1 4 2 < / i n t > < / v a l u e > < / i t e m > < i t e m > < k e y > < s t r i n g > Z n a k I z v e s t a j < / s t r i n g > < / k e y > < v a l u e > < i n t > 1 4 0 < / i n t > < / v a l u e > < / i t e m > < / C o l u m n W i d t h s > < C o l u m n D i s p l a y I n d e x > < i t e m > < k e y > < s t r i n g > >=B>< / s t r i n g > < / k e y > < v a l u e > < i n t > 0 < / i n t > < / v a l u e > < / i t e m > < i t e m > < k e y > < s t r i n g > !B02:0< / s t r i n g > < / k e y > < v a l u e > < i n t > 1 < / i n t > < / v a l u e > < / i t e m > < i t e m > < k e y > < s t r i n g > 5@8>4< / s t r i n g > < / k e y > < v a l u e > < i n t > 2 < / i n t > < / v a l u e > < / i t e m > < i t e m > < k e y > < s t r i n g > 7=>A1 < / s t r i n g > < / k e y > < v a l u e > < i n t > 3 < / i n t > < / v a l u e > < / i t e m > < i t e m > < k e y > < s t r i n g > R e p o r t T y p e < / s t r i n g > < / k e y > < v a l u e > < i n t > 4 < / i n t > < / v a l u e > < / i t e m > < i t e m > < k e y > < s t r i n g > S t a v k a I D < / s t r i n g > < / k e y > < v a l u e > < i n t > 5 < / i n t > < / v a l u e > < / i t e m > < i t e m > < k e y > < s t r i n g > S t a v k a I m e M K < / s t r i n g > < / k e y > < v a l u e > < i n t > 6 < / i n t > < / v a l u e > < / i t e m > < i t e m > < k e y > < s t r i n g > S t a v k a G r u p a < / s t r i n g > < / k e y > < v a l u e > < i n t > 7 < / i n t > < / v a l u e > < / i t e m > < i t e m > < k e y > < s t r i n g > Z n a k I z v e s t a j < / s t r i n g > < / k e y > < v a l u e > < i n t > 8 < / i n t > < / v a l u e > < / i t e m > < / C o l u m n D i s p l a y I n d e x > < C o l u m n F r o z e n   / > < C o l u m n C h e c k e d   / > < C o l u m n F i l t e r   / > < S e l e c t i o n F i l t e r   / > < F i l t e r P a r a m e t e r s   / > < I s S o r t D e s c e n d i n g > f a l s e < / I s S o r t D e s c e n d i n g > < / T a b l e W i d g e t G r i d S e r i a l i z a t i o n > ] ] > < / C u s t o m C o n t e n t > < / G e m i n i > 
</file>

<file path=customXml/item17.xml>��< ? x m l   v e r s i o n = " 1 . 0 "   e n c o d i n g = " U T F - 1 6 " ? > < G e m i n i   x m l n s = " h t t p : / / g e m i n i / p i v o t c u s t o m i z a t i o n / T a b l e X M L _ f A r t i k l i C e n i     2 _ 1 0 5 5 3 8 c e - e d 1 0 - 4 6 2 e - a 6 c f - 5 f 7 7 4 1 5 3 e 3 b a " > < C u s t o m C o n t e n t   x m l n s = " h t t p : / / g e m i n i / p i v o t c u s t o m i z a t i o n / T a b l e X M L _ f A r t i k l i C e n i   2 _ 1 0 5 5 3 8 c e - e d 1 0 - 4 6 2 e - a 6 c f - 5 f 7 7 4 1 5 3 e 3 b a " > < ! [ C D A T A [ < T a b l e W i d g e t G r i d S e r i a l i z a t i o n   x m l n s : x s i = " h t t p : / / w w w . w 3 . o r g / 2 0 0 1 / X M L S c h e m a - i n s t a n c e "   x m l n s : x s d = " h t t p : / / w w w . w 3 . o r g / 2 0 0 1 / X M L S c h e m a " > < C o l u m n S u g g e s t e d T y p e   / > < C o l u m n F o r m a t   / > < C o l u m n A c c u r a c y   / > < C o l u m n C u r r e n c y S y m b o l   / > < C o l u m n P o s i t i v e P a t t e r n   / > < C o l u m n N e g a t i v e P a t t e r n   / > < C o l u m n W i d t h s > < i t e m > < k e y > < s t r i n g > !B02:0< / s t r i n g > < / k e y > < v a l u e > < i n t > 9 6 < / i n t > < / v a l u e > < / i t e m > < i t e m > < k e y > < s t r i n g > 7=>A< / s t r i n g > < / k e y > < v a l u e > < i n t > 9 1 < / i n t > < / v a l u e > < / i t e m > < i t e m > < k e y > < s t r i n g > >=B>< / s t r i n g > < / k e y > < v a l u e > < i n t > 9 0 < / i n t > < / v a l u e > < / i t e m > < i t e m > < k e y > < s t r i n g > S t a v k a I m e M K < / s t r i n g > < / k e y > < v a l u e > < i n t > 1 5 0 < / i n t > < / v a l u e > < / i t e m > < i t e m > < k e y > < s t r i n g > S t a v k a A O P < / s t r i n g > < / k e y > < v a l u e > < i n t > 1 2 8 < / i n t > < / v a l u e > < / i t e m > < i t e m > < k e y > < s t r i n g > S t a v k a G r u p a < / s t r i n g > < / k e y > < v a l u e > < i n t > 1 4 2 < / i n t > < / v a l u e > < / i t e m > < i t e m > < k e y > < s t r i n g > S t a v k a K a t e g o r i j a < / s t r i n g > < / k e y > < v a l u e > < i n t > 1 7 2 < / i n t > < / v a l u e > < / i t e m > < i t e m > < k e y > < s t r i n g > O b r a z e c I m e < / s t r i n g > < / k e y > < v a l u e > < i n t > 1 3 7 < / i n t > < / v a l u e > < / i t e m > < / C o l u m n W i d t h s > < C o l u m n D i s p l a y I n d e x > < i t e m > < k e y > < s t r i n g > !B02:0< / s t r i n g > < / k e y > < v a l u e > < i n t > 0 < / i n t > < / v a l u e > < / i t e m > < i t e m > < k e y > < s t r i n g > 7=>A< / s t r i n g > < / k e y > < v a l u e > < i n t > 1 < / i n t > < / v a l u e > < / i t e m > < i t e m > < k e y > < s t r i n g > >=B>< / s t r i n g > < / k e y > < v a l u e > < i n t > 2 < / i n t > < / v a l u e > < / i t e m > < i t e m > < k e y > < s t r i n g > S t a v k a I m e M K < / s t r i n g > < / k e y > < v a l u e > < i n t > 3 < / i n t > < / v a l u e > < / i t e m > < i t e m > < k e y > < s t r i n g > S t a v k a A O P < / s t r i n g > < / k e y > < v a l u e > < i n t > 4 < / i n t > < / v a l u e > < / i t e m > < i t e m > < k e y > < s t r i n g > S t a v k a G r u p a < / s t r i n g > < / k e y > < v a l u e > < i n t > 5 < / i n t > < / v a l u e > < / i t e m > < i t e m > < k e y > < s t r i n g > S t a v k a K a t e g o r i j a < / s t r i n g > < / k e y > < v a l u e > < i n t > 6 < / i n t > < / v a l u e > < / i t e m > < i t e m > < k e y > < s t r i n g > O b r a z e c I m e < / s t r i n g > < / k e y > < v a l u e > < i n t > 7 < / i n t > < / v a l u e > < / i t e m > < / C o l u m n D i s p l a y I n d e x > < C o l u m n F r o z e n   / > < C o l u m n C h e c k e d   / > < C o l u m n F i l t e r   / > < S e l e c t i o n F i l t e r   / > < F i l t e r P a r a m e t e r s   / > < I s S o r t D e s c e n d i n g > f a l s e < / I s S o r t D e s c e n d i n g > < / T a b l e W i d g e t G r i d S e r i a l i z a t i o n > ] ] > < / C u s t o m C o n t e n t > < / G e m i n i > 
</file>

<file path=customXml/item18.xml>��< ? x m l   v e r s i o n = " 1 . 0 "   e n c o d i n g = " U T F - 1 6 " ? > < G e m i n i   x m l n s = " h t t p : / / g e m i n i / p i v o t c u s t o m i z a t i o n / L i n k e d T a b l e U p d a t e M o d e " > < C u s t o m C o n t e n t > < ! [ C D A T A [ T r u e ] ] > < / C u s t o m C o n t e n t > < / G e m i n i > 
</file>

<file path=customXml/item19.xml>��< ? x m l   v e r s i o n = " 1 . 0 "   e n c o d i n g = " U T F - 1 6 " ? > < G e m i n i   x m l n s = " h t t p : / / g e m i n i / p i v o t c u s t o m i z a t i o n / T a b l e X M L _ f A c t u a l A n d B u d g e t _ 5 c 6 4 6 e a 0 - 5 1 7 5 - 4 9 4 3 - 8 c 6 b - b 8 5 7 4 f 5 b 2 f b 7 " > < C u s t o m C o n t e n t > < ! [ C D A T A [ < T a b l e W i d g e t G r i d S e r i a l i z a t i o n   x m l n s : x s d = " h t t p : / / w w w . w 3 . o r g / 2 0 0 1 / X M L S c h e m a "   x m l n s : x s i = " h t t p : / / w w w . w 3 . o r g / 2 0 0 1 / X M L S c h e m a - i n s t a n c e " > < C o l u m n S u g g e s t e d T y p e   / > < C o l u m n F o r m a t   / > < C o l u m n A c c u r a c y   / > < C o l u m n C u r r e n c y S y m b o l   / > < C o l u m n P o s i t i v e P a t t e r n   / > < C o l u m n N e g a t i v e P a t t e r n   / > < C o l u m n W i d t h s > < i t e m > < k e y > < s t r i n g > >=B>< / s t r i n g > < / k e y > < v a l u e > < i n t > 9 0 < / i n t > < / v a l u e > < / i t e m > < i t e m > < k e y > < s t r i n g > !B02:0< / s t r i n g > < / k e y > < v a l u e > < i n t > 2 2 4 < / i n t > < / v a l u e > < / i t e m > < i t e m > < k e y > < s t r i n g > 5@8>4< / s t r i n g > < / k e y > < v a l u e > < i n t > 2 0 2 < / i n t > < / v a l u e > < / i t e m > < i t e m > < k e y > < s t r i n g > 7=>A1 < / s t r i n g > < / k e y > < v a l u e > < i n t > 1 0 1 < / i n t > < / v a l u e > < / i t e m > < i t e m > < k e y > < s t r i n g > R e p o r t T y p e < / s t r i n g > < / k e y > < v a l u e > < i n t > 1 3 1 < / i n t > < / v a l u e > < / i t e m > < i t e m > < k e y > < s t r i n g > S t a v k a G r u p a < / s t r i n g > < / k e y > < v a l u e > < i n t > 1 4 2 < / i n t > < / v a l u e > < / i t e m > < i t e m > < k e y > < s t r i n g > S t a v k a I m e M K < / s t r i n g > < / k e y > < v a l u e > < i n t > 1 5 0 < / i n t > < / v a l u e > < / i t e m > < i t e m > < k e y > < s t r i n g > S t a v k a I D < / s t r i n g > < / k e y > < v a l u e > < i n t > 1 1 2 < / i n t > < / v a l u e > < / i t e m > < i t e m > < k e y > < s t r i n g > 7=>A< / s t r i n g > < / k e y > < v a l u e > < i n t > 1 9 9 < / i n t > < / v a l u e > < / i t e m > < i t e m > < k e y > < s t r i n g > 7=>A  ( 8;X048) < / s t r i n g > < / k e y > < v a l u e > < i n t > 1 9 9 < / i n t > < / v a l u e > < / i t e m > < i t e m > < k e y > < s t r i n g > Z n a k I z v e s t a j < / s t r i n g > < / k e y > < v a l u e > < i n t > 1 4 0 < / i n t > < / v a l u e > < / i t e m > < i t e m > < k e y > < s t r i n g > S t a v k a K a t e g o r i j a < / s t r i n g > < / k e y > < v a l u e > < i n t > 1 7 2 < / i n t > < / v a l u e > < / i t e m > < i t e m > < k e y > < s t r i n g > O b r a z e c I D < / s t r i n g > < / k e y > < v a l u e > < i n t > 1 2 5 < / i n t > < / v a l u e > < / i t e m > < i t e m > < k e y > < s t r i n g > O b r a z e c I m e < / s t r i n g > < / k e y > < v a l u e > < i n t > 1 3 7 < / i n t > < / v a l u e > < / i t e m > < i t e m > < k e y > < s t r i n g > @>X  =0  X02=0  =0102:0  ( ?;0=) < / s t r i n g > < / k e y > < v a l u e > < i n t > 2 7 1 < / i n t > < / v a l u e > < / i t e m > < i t e m > < k e y > < s t r i n g > S t a v k a I m e A O P < / s t r i n g > < / k e y > < v a l u e > < i n t > 1 9 9 < / i n t > < / v a l u e > < / i t e m > < i t e m > < k e y > < s t r i n g > S t a v k a A O P < / s t r i n g > < / k e y > < v a l u e > < i n t > 1 2 8 < / i n t > < / v a l u e > < / i t e m > < i t e m > < k e y > < s t r i n g > >=B>  !B02:0< / s t r i n g > < / k e y > < v a l u e > < i n t > 4 8 2 < / i n t > < / v a l u e > < / i t e m > < i t e m > < k e y > < s t r i n g > 0782  =0  :>=B>< / s t r i n g > < / k e y > < v a l u e > < i n t > 1 3 1 < / i n t > < / v a l u e > < / i t e m > < / C o l u m n W i d t h s > < C o l u m n D i s p l a y I n d e x > < i t e m > < k e y > < s t r i n g > >=B>< / s t r i n g > < / k e y > < v a l u e > < i n t > 0 < / i n t > < / v a l u e > < / i t e m > < i t e m > < k e y > < s t r i n g > !B02:0< / s t r i n g > < / k e y > < v a l u e > < i n t > 1 < / i n t > < / v a l u e > < / i t e m > < i t e m > < k e y > < s t r i n g > 5@8>4< / s t r i n g > < / k e y > < v a l u e > < i n t > 2 < / i n t > < / v a l u e > < / i t e m > < i t e m > < k e y > < s t r i n g > 7=>A1 < / s t r i n g > < / k e y > < v a l u e > < i n t > 3 < / i n t > < / v a l u e > < / i t e m > < i t e m > < k e y > < s t r i n g > R e p o r t T y p e < / s t r i n g > < / k e y > < v a l u e > < i n t > 4 < / i n t > < / v a l u e > < / i t e m > < i t e m > < k e y > < s t r i n g > S t a v k a G r u p a < / s t r i n g > < / k e y > < v a l u e > < i n t > 1 1 < / i n t > < / v a l u e > < / i t e m > < i t e m > < k e y > < s t r i n g > S t a v k a I m e M K < / s t r i n g > < / k e y > < v a l u e > < i n t > 1 0 < / i n t > < / v a l u e > < / i t e m > < i t e m > < k e y > < s t r i n g > S t a v k a I D < / s t r i n g > < / k e y > < v a l u e > < i n t > 9 < / i n t > < / v a l u e > < / i t e m > < i t e m > < k e y > < s t r i n g > 7=>A< / s t r i n g > < / k e y > < v a l u e > < i n t > 5 < / i n t > < / v a l u e > < / i t e m > < i t e m > < k e y > < s t r i n g > 7=>A  ( 8;X048) < / s t r i n g > < / k e y > < v a l u e > < i n t > 6 < / i n t > < / v a l u e > < / i t e m > < i t e m > < k e y > < s t r i n g > Z n a k I z v e s t a j < / s t r i n g > < / k e y > < v a l u e > < i n t > 7 < / i n t > < / v a l u e > < / i t e m > < i t e m > < k e y > < s t r i n g > S t a v k a K a t e g o r i j a < / s t r i n g > < / k e y > < v a l u e > < i n t > 8 < / i n t > < / v a l u e > < / i t e m > < i t e m > < k e y > < s t r i n g > O b r a z e c I D < / s t r i n g > < / k e y > < v a l u e > < i n t > 1 2 < / i n t > < / v a l u e > < / i t e m > < i t e m > < k e y > < s t r i n g > O b r a z e c I m e < / s t r i n g > < / k e y > < v a l u e > < i n t > 1 3 < / i n t > < / v a l u e > < / i t e m > < i t e m > < k e y > < s t r i n g > @>X  =0  X02=0  =0102:0  ( ?;0=) < / s t r i n g > < / k e y > < v a l u e > < i n t > 1 5 < / i n t > < / v a l u e > < / i t e m > < i t e m > < k e y > < s t r i n g > S t a v k a I m e A O P < / s t r i n g > < / k e y > < v a l u e > < i n t > 1 6 < / i n t > < / v a l u e > < / i t e m > < i t e m > < k e y > < s t r i n g > S t a v k a A O P < / s t r i n g > < / k e y > < v a l u e > < i n t > 1 4 < / i n t > < / v a l u e > < / i t e m > < i t e m > < k e y > < s t r i n g > >=B>  !B02:0< / s t r i n g > < / k e y > < v a l u e > < i n t > 1 7 < / i n t > < / v a l u e > < / i t e m > < i t e m > < k e y > < s t r i n g > 0782  =0  :>=B>< / s t r i n g > < / k e y > < v a l u e > < i n t > 1 8 < / i n t > < / v a l u e > < / i t e m > < / C o l u m n D i s p l a y I n d e x > < C o l u m n F r o z e n   / > < C o l u m n C h e c k e d   / > < C o l u m n F i l t e r > < i t e m > < k e y > < s t r i n g > 5@8>4< / s t r i n g > < / k e y > < v a l u e > < F i l t e r E x p r e s s i o n   x s i : n i l = " t r u e "   / > < / v a l u e > < / i t e m > < i t e m > < k e y > < s t r i n g > >=B>< / s t r i n g > < / k e y > < v a l u e > < F i l t e r E x p r e s s i o n   x s i : n i l = " t r u e "   / > < / v a l u e > < / i t e m > < i t e m > < k e y > < s t r i n g > 7=>A1 < / s t r i n g > < / k e y > < v a l u e > < F i l t e r E x p r e s s i o n   x s i : n i l = " t r u e "   / > < / v a l u e > < / i t e m > < i t e m > < k e y > < s t r i n g > R e p o r t T y p e < / s t r i n g > < / k e y > < v a l u e > < F i l t e r E x p r e s s i o n   x s i : n i l = " t r u e "   / > < / v a l u e > < / i t e m > < / C o l u m n F i l t e r > < S e l e c t i o n F i l t e r > < i t e m > < k e y > < s t r i n g > 5@8>4< / s t r i n g > < / k e y > < v a l u e > < S e l e c t i o n F i l t e r   x s i : n i l = " t r u e "   / > < / v a l u e > < / i t e m > < i t e m > < k e y > < s t r i n g > >=B>< / s t r i n g > < / k e y > < v a l u e > < S e l e c t i o n F i l t e r   x s i : n i l = " t r u e "   / > < / v a l u e > < / i t e m > < i t e m > < k e y > < s t r i n g > 7=>A1 < / s t r i n g > < / k e y > < v a l u e > < S e l e c t i o n F i l t e r   x s i : n i l = " t r u e "   / > < / v a l u e > < / i t e m > < i t e m > < k e y > < s t r i n g > R e p o r t T y p e < / s t r i n g > < / k e y > < v a l u e > < S e l e c t i o n F i l t e r   x s i : n i l = " t r u e "   / > < / v a l u e > < / i t e m > < / S e l e c t i o n F i l t e r > < F i l t e r P a r a m e t e r s > < i t e m > < k e y > < s t r i n g > 5@8>4< / s t r i n g > < / k e y > < v a l u e > < C o m m a n d P a r a m e t e r s   / > < / v a l u e > < / i t e m > < i t e m > < k e y > < s t r i n g > >=B>< / s t r i n g > < / k e y > < v a l u e > < C o m m a n d P a r a m e t e r s   / > < / v a l u e > < / i t e m > < i t e m > < k e y > < s t r i n g > 7=>A1 < / s t r i n g > < / k e y > < v a l u e > < C o m m a n d P a r a m e t e r s   / > < / v a l u e > < / i t e m > < i t e m > < k e y > < s t r i n g > R e p o r t T y p e < / s t r i n g > < / k e y > < v a l u e > < C o m m a n d P a r a m e t e r s   / > < / v a l u e > < / i t e m > < / F i l t e r P a r a m e t e r s > < I s S o r t D e s c e n d i n g > f a l s e < / I s S o r t D e s c e n d i n g > < / T a b l e W i d g e t G r i d S e r i a l i z a t i o n > ] ] > < / C u s t o m C o n t e n t > < / G e m i n i > 
</file>

<file path=customXml/item2.xml>��< ? x m l   v e r s i o n = " 1 . 0 "   e n c o d i n g = " u t f - 1 6 " ? > < D a t a M a s h u p   s q m i d = " 4 7 2 2 6 0 d a - 2 b 6 5 - 4 e 3 4 - a 6 a 6 - f 2 5 3 b 7 3 7 d 6 7 2 "   x m l n s = " h t t p : / / s c h e m a s . m i c r o s o f t . c o m / D a t a M a s h u p " > A A A A A N 4 O A A B Q S w M E F A A C A A g A q L u E V Y U q Y V m m A A A A + Q A A A B I A H A B D b 2 5 m a W c v U G F j a 2 F n Z S 5 4 b W w g o h g A K K A U A A A A A A A A A A A A A A A A A A A A A A A A A A A A h c 8 x D o I w G A X g q 5 D u t K U a I + S n D K 6 S m B C N a 1 M q N E I x t F j u 5 u C R v I I k i r o 5 v p d v e O 9 x u 0 M 2 t k 1 w V b 3 V n U l R h C k K l J F d q U 2 V o s G d w j X K O O y E P I t K B R M 2 N h l t m a L a u U t C i P c e + w X u + o o w S i N y z L e F r F U r 0 A f r / z j U x j p h p E I c D q 8 x n O F 4 i V e M x Z h O F s j c Q 6 7 N 1 7 B p M q Z A f k r Y D I 0 b e s W V C f c F k D k C e d / g T 1 B L A w Q U A A I A C A C o u 4 R V U 3 I 4 L J s A A A D h A A A A E w A c A F t D b 2 5 0 Z W 5 0 X 1 R 5 c G V z X S 5 4 b W w g o h g A K K A U A A A A A A A A A A A A A A A A A A A A A A A A A A A A b Y 4 9 D s I w D E a v E n l v X R g Q Q k 0 Z g B t w g S i 4 P 6 J x o s Z F 5 W w M H I k r k L Z r R 3 9 + z 5 9 / n 2 9 5 n l y v X j T E z r O G X V 6 A I r b + 0 X G j Y Z Q 6 O 8 K 5 K u / v Q F E l l K O G V i S c E K N t y Z m Y + 0 C c N r U f n J E 0 D g 0 G Y 5 + m I d w X x Q G t Z y G W T O Y b U J V X q s 3 Y i 7 p N K V 5 r k w 7 q s n J z l Q a h S X C J c d N w W 3 z o T c e L g c v D 1 R 9 Q S w M E F A A C A A g A q L u E V b H n u I 3 f C w A A m W o A A B M A H A B G b 3 J t d W x h c y 9 T Z W N 0 a W 9 u M S 5 t I K I Y A C i g F A A A A A A A A A A A A A A A A A A A A A A A A A A A A O 0 d 2 0 7 c S P Y 9 U v 7 B c l 6 6 J Y e l m 4 Q k m s 1 K h J A Z w g Y Y Q N n V h A i Z 7 g I 8 7 b a R 2 8 0 S E F J g t M k 8 z s 5 m p S i a v c 1 K + 0 w u K I g E + A X 3 H + 2 p s t 2 u m 9 1 2 Y 2 5 Z z 2 g S V 9 W p U 6 e q T p 1 b n e p p o Z p r 2 J Y y 6 / 9 d + e r K l d a K 7 q C 6 s j R q r 6 F a w 5 h B r b b T M p S 7 i o n c q 1 c U + G f W b j s 1 B D V j 6 z V k D v z B d h q L t t 0 o P T B M N D B q W y 6 y 3 F Z J n Z + / p 9 c a 7 d X 5 V c d G D d e Y f z C 9 M P 7 d 4 7 H Z u Z F x + F Y M J S w p 1 c H q 0 P z j y b H Z e W 7 Y g X W z t a 6 W N c V q m 6 a m u E 4 b l T W f i q U J 3 W y 0 T b 1 m f K 9 P 6 n W 7 i V q u X T M W 5 v R F E x P n U 7 n 5 Z N x F z b t q D L S q T R h W / a 5 K O q l P t 5 7 c 1 1 3 9 a T D C N X V 0 R b e W Y T H m n q 0 i F X A S s I E 5 R 7 d a S 7 b T H L X N d t P C j a 1 S I j n a 5 q b q / e r t e 8 e K d + j t k j + 8 D 9 6 R 9 9 n b 6 2 x 3 d u D r Q I X p A S b F R e v u l q Z A h 3 9 6 R 5 2 X A L B D + n S 2 o U h g O 6 + 9 t x j J u 8 5 z Q P M W K n a 8 P Y D Z B x T j l j t 8 Y w C T F O A A G O g G W F 5 i G G F k x T s O 0 R K Y A 4 K F E G K 1 m 4 v I C U n 5 B P 1 g C D I k o D m G j 3 2 o 3 P f e / a Y E f T / 4 3 2 U Z C Y A Y A w N Q i L q u u 0 H j G 4 w Q J n R 6 M 5 R 0 e e 1 9 B C j o J G l 7 A z 0 P M Q 3 i f t A b S F H W + c F 7 B 3 N 4 4 + 0 J X W b Q q u 2 4 h H v o p q 1 y l 8 N m U B M Y v q 7 4 r N S K m M x v C K p L H C t q f X J H v / y Q Y p W Z O V l 6 U z 4 n 3 B D N i Z + 8 t s k v s / y c q N 6 / 4 X s X l v 3 A 2 1 V h O a 9 e M a y 4 0 S m R N j U 9 9 s c z E 2 R 4 s A T x d U 2 F U V y E 6 Z q x / 0 Q t 0 i w y Q R j j u p J P n 6 Y g v b a i l J 5 g U f U U 4 N T Z F Y R c t a z o V h 2 q s Y A j 1 R N A s b 4 A g g e B Y C u L P D b l r i B H 3 B V / w G h X W L q A 1 b B M p P d 3 b H 0 V R g Y A 0 t D F 4 1 e T b x 9 Z K W 5 o 2 E H S F R 8 R v 6 6 C 6 / z P a v Q 5 F H 3 e i D 5 v R p / D 6 l Y e O K K p T T t 2 0 3 a B 4 G + Q X k c O t U p B S 1 B f 4 l d B U 5 4 E E C O m O V v T T d 1 p 3 c X 7 / b S P s y 5 Q o W 3 K i K V F Q q W H e p I d t m R p R x 8 x i W r q y n T q p L 7 l O 0 R y P k H k p h G S K Q U K u y J k h r 0 p Z T V U e m k y 7 R g r d h 0 s l W W j 5 T p n Z y E F 4 y a Z R h x p c T Y R B 5 a j M S Q l g O z H f 0 C J f A K V + T 7 c i o / Y b k j k M J G b f v X N E E C 1 6 x 1 0 X g C Y z D L 4 L 9 F 7 u 5 K W V 2 D I b M P 2 E + a P s S n 2 O 3 8 m d o 0 M c / y x i W V m m q m Y l Z R w l N 7 C f z 0 w r G l T t 6 R 8 5 a / 9 q N 1 c N C x U 2 l x 6 D F x k G U H / o K O m B N U s v u z n K l B D m 9 w x p k q V 7 M d m q u X q l u 5 e x G M T k t b j 2 I R g + R 8 b l o D 8 j s 0 5 s b W M O V N x N b c c m i D Y T s T L s U v K m Z f S p a O P Q l / 2 P E + v F i v W a E E m i i 7 V + x e 0 v s e 1 m O j O 8 4 C 4 Q y B 0 D 7 B s s 5 a 5 7 d S J b R c M W 6 E J J G 1 J 1 j n L I T y z M U s i t 1 J S G C k C g Q l 2 i p K F / / q Q q m w s Q v M d C E 0 Z a c J Z M D a I q 5 9 9 6 0 M O T O d P Z n O 9 s / v T v N h m p x A t Y n 2 C i N / Y p T s F i U 0 N m d 6 P q q R x p L o e 0 y N 9 d d W w l v N y l i o X 3 V v q f t 7 y x R r G O 0 D h p M p V r j z E l W 9 w 5 Z t c e Z g r 3 z o z N y u T w J G 4 W p v E k b Y F H T i p b x h r i q U r D W n z n L E 6 v r G G Q F d 9 P 3 5 f V K 5 T i 4 6 + g W q y p l l X X 2 v o s h Y 4 G o D P E c Y K e j T R o 4 n c A 0 v h m B S u R 8 j B E N + 2 k W M g C t U k z B b V H 9 q G J V M X 9 M y A 6 j o p G H y 1 G t Q D P E a E T a m B 3 6 M l d 6 o N 5 0 p y i k L w x I P E E c y M E g 4 / M j W N G 7 p L O T a J i x O m 3 j K W j A Y R 7 t O O v m a Y l t G I A L 9 2 2 q v + V t E V U X E C j K 1 l 2 4 H O I T b y 8 Z 2 l N 0 L u U L c u B B F x 2 1 u J 2 V 9 h B 1 i u x j u M S 6 2 a I T S o Y U v q T Q 7 h M + w y E W D U Q B E N T a R u 8 W V G 7 Y n j U t b D S M 1 t 6 + a I V b / X r i 8 j N 5 X h 4 P f R Y j y 6 b C c r 1 F 2 M F Y R X O 1 B e u M U X W G S l Q 5 W W v N K 9 Y 4 + S Q x R o T 9 r s e 6 r 8 9 n f K N e x h l K q D l Z u a U q l q y l D F D 0 0 m Q A 4 H k I O p I X v j v A W Q a Q E B Y / V 2 G s C h t B h v p J o N A N 5 M i 3 E 4 L c Z b a T H e T g t 4 J + 3 Q l c H U W 1 N J j d P f 7 r J M L o T c n S g X u A A 2 c y g Y b c v o U V 4 V s 4 3 9 S 0 v p 2 O e q D y t y h R g o E V G H K B q r O q A 3 Z c 1 Q m m w r B T J e D 2 l x u O J W v H p J 9 V M 1 m 3 6 K m f 1 Q z 9 n T I 7 A a Y 2 k E 3 N a G a Y w i y x B b V b o 5 i / q Q u 1 w i 4 Y E C I c 4 b r X 0 5 Z J H q d Q K C R i z d B H f 7 S 7 i 5 8 2 O E w s 0 d v f K X 5 e L O + 6 n z H H h n 3 z v w P i n e a + 8 V i T 8 w l W x Q 7 Y 2 3 S 8 I O 7 7 0 j E k x 7 j S M S U i S 9 I A k Q H T 3 Z 5 d r + h q N 0 0 I R v q w n A Z 6 J v w v s e z P e f A O 9 L A r Q r 7 d J 5 Q Q X d f v Y O O j 9 4 x z i 4 p X R 2 y F X 4 j 9 2 7 6 F f w 7 8 + J Y C Q S o 1 C A C W G 0 q 1 f o Y O t W s d K n t t L M O v c Z P u C i E 5 v y z e L j 7 L F b x w X z 0 + 6 j G M f v u a s J q S 2 7 S Y C J + y 2 Q z 2 + + k F e U w A v 8 p B I 4 Q 0 A b 7 v 8 0 A i l s u f o y S o G I 4 x 0 B a e b b k c Q L m a z h F T Z M I 3 q D U b C U c w i j h t T W D d U l a 5 i F G Y 0 P V I n W o C S a J Q H q I x N A O h n x f P a 6 9 k k U R 8 w N U L r b z 2 s q n 1 d Z q p b V I r m y S K 4 s k i u L 5 M q E V b 4 o t 4 X n m O S Z 9 T q C u 1 + / l C p T E j 8 R w g a Z O m Q L A c u 1 a O j V R g e Q O L E h 7 4 E H G + v e U 6 p w d O Q s s 3 H J a G f r 1 C / h 1 Z r U H + p r l j G p L 5 K Y 1 K V x 7 v / q Z 7 r 4 B / Q j F g / P Q Q b s E u E B R Z y c 4 r s V B A A L m S O S b u L L q r 8 Q g f b a b 8 V w c I r F 3 E u l B P K Q s E y 5 K w b 3 Y F Q s B 3 Y C z F g u g B s D H Y 4 I z p 2 A m j i c B N E / i B w 9 8 E U j F o I f s E M E x c 8 h v X j Y z i + U 3 E z q Q g b c D o Q R 6 a J g e h R i G R 4 R s 3 C P S M y S L 8 L g v x d l S r D 7 P g 1 W J o F Q x Z M 8 9 K W t L C e V d k Q A 5 w f f J c J y v E z J x W M C G r h s M P B R Y N d S u 8 N 6 w A p 0 J G O T u b w T m 3 9 K w N L V 6 v 6 W H F L N W w X D F A y T i W H y C 7 a c h O t 4 4 7 Q f H u S d i n w Y k s O a m T s 5 N + A 0 W F W S W Z o 3 3 / L 7 k 4 W L p Y G f R M a W x K 5 6 c j n X J 4 H l m d n E G W F x F y l c 6 C f j L Q q d r X h h z C 2 a q A X y n E k I K t A g + U U S x I G J H L m U Z z + n s / t L 0 B b 4 n v s R F / c 4 Z D m k j 5 / s i Y + v A / q m P z 6 H m 6 G l k u T b 8 k n c p 7 R l 3 B u l P B k u 3 s 9 O 4 y E K a 5 V K P o n 5 V W c l m e B r 8 D r 8 U V 2 Y a r l r Q I F l X 8 + W Y Z w p w Z g s O u z j p X H 8 L t Z z z N Q B P N 4 0 P O H b T j G X N c 3 r z p Q S L D H l m I t R S b K O V e / v 4 a V F c O g P 2 B 5 g + x h 2 X S 4 0 x j c s u 5 U g + j I + 1 p B I v 4 Q Q b z z d 2 Z 4 x 5 f m W N E G 4 i 5 q m z 9 d v t D U W p o M V j y i + m E c U O a I r X k i c 4 Q u J N O a N z P U q P e l S i v n / p m I 7 C l s 1 n C 4 C H i Q q f k G i I M i 8 / D + U B N 3 P 2 9 H n n e i z M k h 9 V 8 7 h 8 R V b v s 2 V 7 3 B l n 1 y 6 o n K J h F N P Q e K / u p E K j H j h I 4 g S p o 0 8 3 G H b Y l / x y F B E T 3 p i W 2 P a m N x q k Q K x l s v l Z g J T K Z 7 T h g n G X 5 D Y C l O m v z y 5 l c 1 A u T x H v H 9 T g r o M 5 w 9 G J F v z z S a J l j f d W 2 s 6 E b 9 I e r 9 Q 4 Z E i F T u X V G z W T 5 c F N 4 t 1 z i f l P W m h i 5 z 3 I u e 9 y H k / m 5 x 3 5 q F / w n P 9 5 O y + E 2 H L e O u c l P v H W g a p I 9 + C l Z x X O r 4 g A 0 / h x 5 n 6 U i Y + Z F r D D 9 t g S Y 8 d u Z 8 Z 4 N 5 H a j G v C + j R f V T 0 e w R y U 3 / 9 4 e Q Z P k I o U j G L V M w i s 6 5 I x S w Y 5 v w Z p k j F L F I x i 1 T M k z 0 W O 5 m 8 7 V s i 9 H n k T 0 d i 5 v M y L M + s t j w Q L e A p k 2 X + U f Y C T Z h h Y J o n O x L n p 2 C Z 6 W g B s U 5 I 9 R y c n n v P 7 i P T a B p g 3 5 Z U B Q b + t m 2 7 a N Z 9 h l 1 z 2 w I b P a c d 6 i c h h 1 v 1 U 2 e X + A 5 9 K o N o l H d w Z j / 4 + a p 8 J 2 4 k i u t G 6 l j j j r Z b r t 2 M V g l q K W 9 C y M Y M A j V M B g P 1 V K / P / 5 k A Q w r e C H a U N J l X 1 f i N l v y M f 1 p L S K W C U y E 1 z A 9 9 J G Z q V S W / P r T w z c x C B q e c / Z E l z h / P 6 Z f / L n L c S / 7 j D l H t Q C X 2 x x c p f F / 9 D 1 B L A Q I t A B Q A A g A I A K i 7 h F W F K m F Z p g A A A P k A A A A S A A A A A A A A A A A A A A A A A A A A A A B D b 2 5 m a W c v U G F j a 2 F n Z S 5 4 b W x Q S w E C L Q A U A A I A C A C o u 4 R V U 3 I 4 L J s A A A D h A A A A E w A A A A A A A A A A A A A A A A D y A A A A W 0 N v b n R l b n R f V H l w Z X N d L n h t b F B L A Q I t A B Q A A g A I A K i 7 h F W x 5 7 i N 3 w s A A J l q A A A T A A A A A A A A A A A A A A A A A N o B A A B G b 3 J t d W x h c y 9 T Z W N 0 a W 9 u M S 5 t U E s F B g A A A A A D A A M A w g A A A A Y O A A A A A B E 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m Z h b H N l P C 9 G a X J l d 2 F s b E V u Y W J s Z W Q + P C 9 Q Z X J t a X N z a W 9 u T G l z d D 5 e R A E A A A A A A D x E A Q D v u 7 8 8 P 3 h t b C B 2 Z X J z a W 9 u P S I x L j A i I G V u Y 2 9 k a W 5 n P S J 1 d G Y t O C I / P j x M b 2 N h b F B h Y 2 t h Z 2 V N Z X R h Z G F 0 Y U Z p b G U g e G 1 s b n M 6 e H N k P S J o d H R w O i 8 v d 3 d 3 L n c z L m 9 y Z y 8 y M D A x L 1 h N T F N j a G V t Y S I g e G 1 s b n M 6 e H N p P S J o d H R w O i 8 v d 3 d 3 L n c z L m 9 y Z y 8 y M D A x L 1 h N T F N j a G V t Y S 1 p b n N 0 Y W 5 j Z S I + P E l 0 Z W 1 z P j x J d G V t P j x J d G V t T G 9 j Y X R p b 2 4 + P E l 0 Z W 1 U e X B l P k Z v c m 1 1 b G E 8 L 0 l 0 Z W 1 U e X B l P j x J d G V t U G F 0 a D 5 T Z W N 0 a W 9 u M S 9 m U H J p a G 9 k a V J l Z 2 l z d H J p P C 9 J d G V t U G F 0 a D 4 8 L 0 l 0 Z W 1 M b 2 N h d G l v b j 4 8 U 3 R h Y m x l R W 5 0 c m l l c z 4 8 R W 5 0 c n k g V H l w Z T 0 i Q W R k Z W R U b 0 R h d G F N b 2 R l b C I g V m F s d W U 9 I m w w I i A v P j x F b n R y e S B U e X B l P S J C d W Z m Z X J O Z X h 0 U m V m c m V z a C I g V m F s d W U 9 I m w x I i A v P j x F b n R y e S B U e X B l P S J G a W x s R W 5 h Y m x l Z C I g V m F s d W U 9 I m w w I i A v P j x F b n R y e S B U e X B l P S J G a W x s R X J y b 3 J D b 2 R l I i B W Y W x 1 Z T 0 i c 1 V u a 2 5 v d 2 4 i I C 8 + P E V u d H J 5 I F R 5 c G U 9 I k Z p b G x M Y X N 0 V X B k Y X R l Z C I g V m F s d W U 9 I m Q y M D E 5 L T E x L T A z V D A x O j Q y O j M 2 L j c 5 M z g z M D Z a I i A v P j x F b n R y e S B U e X B l P S J G a W x s Q 2 9 s d W 1 u V H l w Z X M i I F Z h b H V l P S J z Q U F Z S k F 3 T U R B d 1 k 9 I i A v P j x F b n R y e S B U e X B l P S J G a W x s Q 2 9 s d W 1 u T m F t Z X M i I F Z h b H V l P S J z W y Z x d W 9 0 O 9 C g 0 L X Q s 9 C 4 0 Y H R g t C w 0 Y A m c X V v d D s s J n F 1 b 3 Q 7 0 K P R g d C 7 0 Y P Q s 9 C w I N C 9 0 L D Q t 9 C 4 0 L I m c X V v d D s s J n F 1 b 3 Q 7 0 J / Q t d G A 0 L j Q v t C 0 J n F 1 b 3 Q 7 L C Z x d W 9 0 O 9 C i 0 Y D Q s N C 9 0 Y H Q s N C 6 0 Y b Q u N C 4 J n F 1 b 3 Q 7 L C Z x d W 9 0 O 9 C m 0 L X Q v d C w J n F 1 b 3 Q 7 L C Z x d W 9 0 O 9 C U 0 L j R g d C 6 0 L 7 Q v d G C J n F 1 b 3 Q 7 L C Z x d W 9 0 O 9 C f 0 Y D Q u N G F 0 L 7 Q t N C 4 J n F 1 b 3 Q 7 L C Z x d W 9 0 O 9 C a 0 L 7 Q v d G C 0 L 4 m c X V v d D t d I i A v P j x F b n R y e S B U e X B l P S J G a W x s Z W R D b 2 1 w b G V 0 Z V J l c 3 V s d F R v V 2 9 y a 3 N o Z W V 0 I i B W Y W x 1 Z T 0 i b D A i I C 8 + P E V u d H J 5 I F R 5 c G U 9 I k Z p b G x T d G F 0 d X M i I F Z h b H V l P S J z Q 2 9 t c G x l d G U i I C 8 + P E V u d H J 5 I F R 5 c G U 9 I k Z p b G x U b 0 R h d G F N b 2 R l b E V u Y W J s Z W Q i I F Z h b H V l P S J s M C I g L z 4 8 R W 5 0 c n k g V H l w Z T 0 i S X N Q c m l 2 Y X R l I i B W Y W x 1 Z T 0 i b D A i I C 8 + P E V u d H J 5 I F R 5 c G U 9 I l F 1 Z X J 5 S U Q i I F Z h b H V l P S J z M j E x M j R i M G Q t Z m F h Y S 0 0 N T E z L T l i Y m Q t N j M 2 M T J j N z Z m N z I 4 I i A v P j x F b n R y e S B U e X B l P S J S Z W x h d G l v b n N o a X B J b m Z v Q 2 9 u d G F p b m V y I i B W Y W x 1 Z T 0 i c 3 s m c X V v d D t j b 2 x 1 b W 5 D b 3 V u d C Z x d W 9 0 O z o 4 L C Z x d W 9 0 O 2 t l e U N v b H V t b k 5 h b W V z J n F 1 b 3 Q 7 O l t d L C Z x d W 9 0 O 3 F 1 Z X J 5 U m V s Y X R p b 2 5 z a G l w c y Z x d W 9 0 O z p b X S w m c X V v d D t j b 2 x 1 b W 5 J Z G V u d G l 0 a W V z J n F 1 b 3 Q 7 O l s m c X V v d D t T Z W N 0 a W 9 u M S 9 m U H J p a G 9 k a V J l Z 2 l z d H J p L 2 Z Q c m l o b 2 R p U m V n a X N 0 c m l f V G F i b G U u e 9 C g 0 L X Q s 9 C 4 0 Y H R g t C w 0 Y A s M H 0 m c X V v d D s s J n F 1 b 3 Q 7 U 2 V j d G l v b j E v Z l B y a W h v Z G l S Z W d p c 3 R y a S 9 D a G F u Z 2 V k I F R 5 c G U u e 9 C j 0 Y H Q u 9 G D 0 L P Q s C D Q v d C w 0 L f Q u N C y L D F 9 J n F 1 b 3 Q 7 L C Z x d W 9 0 O 1 N l Y 3 R p b 2 4 x L 2 Z Q c m l o b 2 R p U m V n a X N 0 c m k v Q 2 h h b m d l Z C B U e X B l L n v Q n 9 C 1 0 Y D Q u N C + 0 L Q s M n 0 m c X V v d D s s J n F 1 b 3 Q 7 U 2 V j d G l v b j E v Z l B y a W h v Z G l S Z W d p c 3 R y a S 9 D a G F u Z 2 V k I F R 5 c G U u e 9 C i 0 Y D Q s N C 9 0 Y H Q s N C 6 0 Y b Q u N C 4 L D N 9 J n F 1 b 3 Q 7 L C Z x d W 9 0 O 1 N l Y 3 R p b 2 4 x L 2 Z Q c m l o b 2 R p U m V n a X N 0 c m k v Q 2 h h b m d l Z C B U e X B l L n v Q p t C 1 0 L 3 Q s C w 0 f S Z x d W 9 0 O y w m c X V v d D t T Z W N 0 a W 9 u M S 9 m U H J p a G 9 k a V J l Z 2 l z d H J p L 0 N o Y W 5 n Z W Q g V H l w Z S 5 7 0 J T Q u N G B 0 L r Q v t C 9 0 Y I s N X 0 m c X V v d D s s J n F 1 b 3 Q 7 U 2 V j d G l v b j E v Z l B y a W h v Z G l S Z W d p c 3 R y a S 9 D a G F u Z 2 V k I F R 5 c G U u e 9 C f 0 Y D Q u N G F 0 L 7 Q t N C 4 L D Z 9 J n F 1 b 3 Q 7 L C Z x d W 9 0 O 1 N l Y 3 R p b 2 4 x L 2 Z Q c m l o b 2 R p U m V n a X N 0 c m k v Q 2 h h b m d l Z C B U e X B l L n v Q m t C + 0 L 3 R g t C + L D d 9 J n F 1 b 3 Q 7 X S w m c X V v d D t D b 2 x 1 b W 5 D b 3 V u d C Z x d W 9 0 O z o 4 L C Z x d W 9 0 O 0 t l e U N v b H V t b k 5 h b W V z J n F 1 b 3 Q 7 O l t d L C Z x d W 9 0 O 0 N v b H V t b k l k Z W 5 0 a X R p Z X M m c X V v d D s 6 W y Z x d W 9 0 O 1 N l Y 3 R p b 2 4 x L 2 Z Q c m l o b 2 R p U m V n a X N 0 c m k v Z l B y a W h v Z G l S Z W d p c 3 R y a V 9 U Y W J s Z S 5 7 0 K D Q t d C z 0 L j R g d G C 0 L D R g C w w f S Z x d W 9 0 O y w m c X V v d D t T Z W N 0 a W 9 u M S 9 m U H J p a G 9 k a V J l Z 2 l z d H J p L 0 N o Y W 5 n Z W Q g V H l w Z S 5 7 0 K P R g d C 7 0 Y P Q s 9 C w I N C 9 0 L D Q t 9 C 4 0 L I s M X 0 m c X V v d D s s J n F 1 b 3 Q 7 U 2 V j d G l v b j E v Z l B y a W h v Z G l S Z W d p c 3 R y a S 9 D a G F u Z 2 V k I F R 5 c G U u e 9 C f 0 L X R g N C 4 0 L 7 Q t C w y f S Z x d W 9 0 O y w m c X V v d D t T Z W N 0 a W 9 u M S 9 m U H J p a G 9 k a V J l Z 2 l z d H J p L 0 N o Y W 5 n Z W Q g V H l w Z S 5 7 0 K L R g N C w 0 L 3 R g d C w 0 L r R h t C 4 0 L g s M 3 0 m c X V v d D s s J n F 1 b 3 Q 7 U 2 V j d G l v b j E v Z l B y a W h v Z G l S Z W d p c 3 R y a S 9 D a G F u Z 2 V k I F R 5 c G U u e 9 C m 0 L X Q v d C w L D R 9 J n F 1 b 3 Q 7 L C Z x d W 9 0 O 1 N l Y 3 R p b 2 4 x L 2 Z Q c m l o b 2 R p U m V n a X N 0 c m k v Q 2 h h b m d l Z C B U e X B l L n v Q l N C 4 0 Y H Q u t C + 0 L 3 R g i w 1 f S Z x d W 9 0 O y w m c X V v d D t T Z W N 0 a W 9 u M S 9 m U H J p a G 9 k a V J l Z 2 l z d H J p L 0 N o Y W 5 n Z W Q g V H l w Z S 5 7 0 J / R g N C 4 0 Y X Q v t C 0 0 L g s N n 0 m c X V v d D s s J n F 1 b 3 Q 7 U 2 V j d G l v b j E v Z l B y a W h v Z G l S Z W d p c 3 R y a S 9 D a G F u Z 2 V k I F R 5 c G U u e 9 C a 0 L 7 Q v d G C 0 L 4 s N 3 0 m c X V v d D t d L C Z x d W 9 0 O 1 J l b G F 0 a W 9 u c 2 h p c E l u Z m 8 m c X V v d D s 6 W 1 1 9 I i A v P j x F b n R y e S B U e X B l P S J S Z X N 1 b H R U e X B l I i B W Y W x 1 Z T 0 i c 1 R h Y m x l I i A v P j x F b n R y e S B U e X B l P S J O Y X Z p Z 2 F 0 a W 9 u U 3 R l c E 5 h b W U i I F Z h b H V l P S J z T m F 2 a W d h d G l v b i I g L z 4 8 R W 5 0 c n k g V H l w Z T 0 i R m l s b E 9 i a m V j d F R 5 c G U i I F Z h b H V l P S J z Q 2 9 u b m V j d G l v b k 9 u b H k i I C 8 + P E V u d H J 5 I F R 5 c G U 9 I k 5 h b W V V c G R h d G V k Q W Z 0 Z X J G a W x s I i B W Y W x 1 Z T 0 i b D A i I C 8 + P C 9 T d G F i b G V F b n R y a W V z P j w v S X R l b T 4 8 S X R l b T 4 8 S X R l b U x v Y 2 F 0 a W 9 u P j x J d G V t V H l w Z T 5 G b 3 J t d W x h P C 9 J d G V t V H l w Z T 4 8 S X R l b V B h d G g + U 2 V j d G l v b j E v Z l B y a W h v Z G l P c 3 R h b m F 0 a T w v S X R l b V B h d G g + P C 9 J d G V t T G 9 j Y X R p b 2 4 + P F N 0 Y W J s Z U V u d H J p Z X M + P E V u d H J 5 I F R 5 c G U 9 I k F k Z G V k V G 9 E Y X R h T W 9 k Z W w i I F Z h b H V l P S J s M C I g L z 4 8 R W 5 0 c n k g V H l w Z T 0 i Q n V m Z m V y T m V 4 d F J l Z n J l c 2 g i I F Z h b H V l P S J s M S I g L z 4 8 R W 5 0 c n k g V H l w Z T 0 i R m l s b E V u Y W J s Z W Q i I F Z h b H V l P S J s M C I g L z 4 8 R W 5 0 c n k g V H l w Z T 0 i R m l s b E V y c m 9 y Q 2 9 k Z S I g V m F s d W U 9 I n N V b m t u b 3 d u I i A v P j x F b n R y e S B U e X B l P S J G a W x s T G F z d F V w Z G F 0 Z W Q i I F Z h b H V l P S J k M j A x O S 0 x M S 0 w M 1 Q w M T o 0 M j o z N i 4 4 N z g 0 O D c 3 W i I g L z 4 8 R W 5 0 c n k g V H l w Z T 0 i R m l s b E N v b H V t b l R 5 c G V z I i B W Y W x 1 Z T 0 i c 0 J n a 0 R C Z z 0 9 I i A v P j x F b n R y e S B U e X B l P S J G a W x s Q 2 9 s d W 1 u T m F t Z X M i I F Z h b H V l P S J z W y Z x d W 9 0 O 9 C j 0 Y H Q u 9 G D 0 L P Q s C D Q v d C w 0 L f Q u N C y J n F 1 b 3 Q 7 L C Z x d W 9 0 O 9 C f 0 L X R g N C 4 0 L 7 Q t C Z x d W 9 0 O y w m c X V v d D v Q n 9 G A 0 L j R h d C + 0 L T Q u C Z x d W 9 0 O y w m c X V v d D v Q m t C + 0 L 3 R g t C + J n F 1 b 3 Q 7 X S I g L z 4 8 R W 5 0 c n k g V H l w Z T 0 i R m l s b G V k Q 2 9 t c G x l d G V S Z X N 1 b H R U b 1 d v c m t z a G V l d C I g V m F s d W U 9 I m w w I i A v P j x F b n R y e S B U e X B l P S J G a W x s U 3 R h d H V z I i B W Y W x 1 Z T 0 i c 0 N v b X B s Z X R l I i A v P j x F b n R y e S B U e X B l P S J G a W x s V G 9 E Y X R h T W 9 k Z W x F b m F i b G V k I i B W Y W x 1 Z T 0 i b D A i I C 8 + P E V u d H J 5 I F R 5 c G U 9 I k l z U H J p d m F 0 Z S I g V m F s d W U 9 I m w w I i A v P j x F b n R y e S B U e X B l P S J S Z W x h d G l v b n N o a X B J b m Z v Q 2 9 u d G F p b m V y I i B W Y W x 1 Z T 0 i c 3 s m c X V v d D t j b 2 x 1 b W 5 D b 3 V u d C Z x d W 9 0 O z o 0 L C Z x d W 9 0 O 2 t l e U N v b H V t b k 5 h b W V z J n F 1 b 3 Q 7 O l t d L C Z x d W 9 0 O 3 F 1 Z X J 5 U m V s Y X R p b 2 5 z a G l w c y Z x d W 9 0 O z p b X S w m c X V v d D t j b 2 x 1 b W 5 J Z G V u d G l 0 a W V z J n F 1 b 3 Q 7 O l s m c X V v d D t T Z W N 0 a W 9 u M S 9 m U H J p a G 9 k a U 9 z d G F u Y X R p L 0 N o Y W 5 n Z W Q g V H l w Z S 5 7 0 K P R g d C 7 0 Y P Q s 9 C w I N C 9 0 L D Q t 9 C 4 0 L I s M H 0 m c X V v d D s s J n F 1 b 3 Q 7 U 2 V j d G l v b j E v Z l B y a W h v Z G l P c 3 R h b m F 0 a S 9 D a G F u Z 2 V k I F R 5 c G U u e 9 C f 0 L X R g N C 4 0 L 7 Q t C w x f S Z x d W 9 0 O y w m c X V v d D t T Z W N 0 a W 9 u M S 9 m U H J p a G 9 k a U 9 z d G F u Y X R p L 0 N o Y W 5 n Z W Q g V H l w Z S 5 7 0 J / R g N C 4 0 Y X Q v t C 0 0 L g s M n 0 m c X V v d D s s J n F 1 b 3 Q 7 U 2 V j d G l v b j E v Z l B y a W h v Z G l P c 3 R h b m F 0 a S 9 D a G F u Z 2 V k I F R 5 c G U u e 9 C a 0 L 7 Q v d G C 0 L 4 s M 3 0 m c X V v d D t d L C Z x d W 9 0 O 0 N v b H V t b k N v d W 5 0 J n F 1 b 3 Q 7 O j Q s J n F 1 b 3 Q 7 S 2 V 5 Q 2 9 s d W 1 u T m F t Z X M m c X V v d D s 6 W 1 0 s J n F 1 b 3 Q 7 Q 2 9 s d W 1 u S W R l b n R p d G l l c y Z x d W 9 0 O z p b J n F 1 b 3 Q 7 U 2 V j d G l v b j E v Z l B y a W h v Z G l P c 3 R h b m F 0 a S 9 D a G F u Z 2 V k I F R 5 c G U u e 9 C j 0 Y H Q u 9 G D 0 L P Q s C D Q v d C w 0 L f Q u N C y L D B 9 J n F 1 b 3 Q 7 L C Z x d W 9 0 O 1 N l Y 3 R p b 2 4 x L 2 Z Q c m l o b 2 R p T 3 N 0 Y W 5 h d G k v Q 2 h h b m d l Z C B U e X B l L n v Q n 9 C 1 0 Y D Q u N C + 0 L Q s M X 0 m c X V v d D s s J n F 1 b 3 Q 7 U 2 V j d G l v b j E v Z l B y a W h v Z G l P c 3 R h b m F 0 a S 9 D a G F u Z 2 V k I F R 5 c G U u e 9 C f 0 Y D Q u N G F 0 L 7 Q t N C 4 L D J 9 J n F 1 b 3 Q 7 L C Z x d W 9 0 O 1 N l Y 3 R p b 2 4 x L 2 Z Q c m l o b 2 R p T 3 N 0 Y W 5 h d G k v Q 2 h h b m d l Z C B U e X B l L n v Q m t C + 0 L 3 R g t C + L D N 9 J n F 1 b 3 Q 7 X S w m c X V v d D t S Z W x h d G l v b n N o a X B J b m Z v J n F 1 b 3 Q 7 O l t d f S I g L z 4 8 R W 5 0 c n k g V H l w Z T 0 i U m V z d W x 0 V H l w Z S I g V m F s d W U 9 I n N U Y W J s Z S I g L z 4 8 R W 5 0 c n k g V H l w Z T 0 i T m F 2 a W d h d G l v b l N 0 Z X B O Y W 1 l I i B W Y W x 1 Z T 0 i c 0 5 h d m l n Y X R p b 2 4 i I C 8 + P E V u d H J 5 I F R 5 c G U 9 I k Z p b G x P Y m p l Y 3 R U e X B l I i B W Y W x 1 Z T 0 i c 0 N v b m 5 l Y 3 R p b 2 5 P b m x 5 I i A v P j x F b n R y e S B U e X B l P S J O Y W 1 l V X B k Y X R l Z E F m d G V y R m l s b C I g V m F s d W U 9 I m w w I i A v P j w v U 3 R h Y m x l R W 5 0 c m l l c z 4 8 L 0 l 0 Z W 0 + P E l 0 Z W 0 + P E l 0 Z W 1 M b 2 N h d G l v b j 4 8 S X R l b V R 5 c G U + R m 9 y b X V s Y T w v S X R l b V R 5 c G U + P E l 0 Z W 1 Q Y X R o P l N l Y 3 R p b 2 4 x L 2 Z Q c m l o b 2 R p U m F z a G 9 k a U Z p b l B s Y W 4 8 L 0 l 0 Z W 1 Q Y X R o P j w v S X R l b U x v Y 2 F 0 a W 9 u P j x T d G F i b G V F b n R y a W V z P j x F b n R y e S B U e X B l P S J B Z G R l Z F R v R G F 0 Y U 1 v Z G V s I i B W Y W x 1 Z T 0 i b D A i I C 8 + P E V u d H J 5 I F R 5 c G U 9 I k 5 h d m l n Y X R p b 2 5 T d G V w T m F t Z S I g V m F s d W U 9 I n N O Y X Z p Z 2 F 0 a W 9 u I i A v P j x F b n R y e S B U e X B l P S J G a W x s R W 5 h Y m x l Z C I g V m F s d W U 9 I m w w I i A v P j x F b n R y e S B U e X B l P S J G a W x s R X J y b 3 J D b 2 R l I i B W Y W x 1 Z T 0 i c 1 V u a 2 5 v d 2 4 i I C 8 + P E V u d H J 5 I F R 5 c G U 9 I k Z p b G x M Y X N 0 V X B k Y X R l Z C I g V m F s d W U 9 I m Q y M D E 5 L T E x L T A 5 V D A 4 O j U 2 O j U 3 L j E y N T Q 0 M j d a I i A v P j x F b n R y e S B U e X B l P S J G a W x s Q 2 9 s d W 1 u V H l w Z X M i I F Z h b H V l P S J z Q m d Z S k F 3 P T 0 i I C 8 + P E V u d H J 5 I F R 5 c G U 9 I k Z p b G x D b 2 x 1 b W 5 O Y W 1 l c y I g V m F s d W U 9 I n N b J n F 1 b 3 Q 7 0 K H R g t C w 0 L L Q u t C w J n F 1 b 3 Q 7 L C Z x d W 9 0 O 9 C a 0 L 7 Q v d G C 0 L 4 m c X V v d D s s J n F 1 b 3 Q 7 0 J / Q t d G A 0 L j Q v t C 0 J n F 1 b 3 Q 7 L C Z x d W 9 0 O 1 Z y Z W R u b 3 N 0 J n F 1 b 3 Q 7 X S I g L z 4 8 R W 5 0 c n k g V H l w Z T 0 i R m l s b G V k Q 2 9 t c G x l d G V S Z X N 1 b H R U b 1 d v c m t z a G V l d C I g V m F s d W U 9 I m w w I i A v P j x F b n R y e S B U e X B l P S J G a W x s U 3 R h d H V z I i B W Y W x 1 Z T 0 i c 0 N v b X B s Z X R l I i A v P j x F b n R y e S B U e X B l P S J G a W x s V G 9 E Y X R h T W 9 k Z W x F b m F i b G V k I i B W Y W x 1 Z T 0 i b D A i I C 8 + P E V u d H J 5 I F R 5 c G U 9 I k l z U H J p d m F 0 Z S I g V m F s d W U 9 I m w w I i A v P j x F b n R y e S B U e X B l P S J R d W V y e U l E I i B W Y W x 1 Z T 0 i c z U 5 Z j g 0 N m I 1 L T J h O T Y t N D Y 2 N S 0 4 N T d m L W E 0 O D V m N z A 0 N T h l N i I g L z 4 8 R W 5 0 c n k g V H l w Z T 0 i U m V s Y X R p b 2 5 z a G l w S W 5 m b 0 N v b n R h a W 5 l c i I g V m F s d W U 9 I n N 7 J n F 1 b 3 Q 7 Y 2 9 s d W 1 u Q 2 9 1 b n Q m c X V v d D s 6 N C w m c X V v d D t r Z X l D b 2 x 1 b W 5 O Y W 1 l c y Z x d W 9 0 O z p b X S w m c X V v d D t x d W V y e V J l b G F 0 a W 9 u c 2 h p c H M m c X V v d D s 6 W 1 0 s J n F 1 b 3 Q 7 Y 2 9 s d W 1 u S W R l b n R p d G l l c y Z x d W 9 0 O z p b J n F 1 b 3 Q 7 U 2 V j d G l v b j E v Z l B y a W h v Z G l S Y X N o b 2 R p R m l u U G x h b i 9 T b 3 V y Y 2 U u e 9 C h 0 Y L Q s N C y 0 L r Q s C w w f S Z x d W 9 0 O y w m c X V v d D t T Z W N 0 a W 9 u M S 9 m U H J p a G 9 k a V J h c 2 h v Z G l G a W 5 Q b G F u L 1 N v d X J j Z S 5 7 0 J r Q v t C 9 0 Y L Q v i w x f S Z x d W 9 0 O y w m c X V v d D t T Z W N 0 a W 9 u M S 9 m U H J p a G 9 k a V J h c 2 h v Z G l G a W 5 Q b G F u L 1 N v d X J j Z S 5 7 0 J / Q t d G A 0 L j Q v t C 0 L D J 9 J n F 1 b 3 Q 7 L C Z x d W 9 0 O 1 N l Y 3 R p b 2 4 x L 2 Z Q c m l o b 2 R p U m F z a G 9 k a U Z p b l B s Y W 4 v U 2 9 1 c m N l L n v Q m N C 3 0 L 3 Q v t G B L D N 9 J n F 1 b 3 Q 7 X S w m c X V v d D t D b 2 x 1 b W 5 D b 3 V u d C Z x d W 9 0 O z o 0 L C Z x d W 9 0 O 0 t l e U N v b H V t b k 5 h b W V z J n F 1 b 3 Q 7 O l t d L C Z x d W 9 0 O 0 N v b H V t b k l k Z W 5 0 a X R p Z X M m c X V v d D s 6 W y Z x d W 9 0 O 1 N l Y 3 R p b 2 4 x L 2 Z Q c m l o b 2 R p U m F z a G 9 k a U Z p b l B s Y W 4 v U 2 9 1 c m N l L n v Q o d G C 0 L D Q s t C 6 0 L A s M H 0 m c X V v d D s s J n F 1 b 3 Q 7 U 2 V j d G l v b j E v Z l B y a W h v Z G l S Y X N o b 2 R p R m l u U G x h b i 9 T b 3 V y Y 2 U u e 9 C a 0 L 7 Q v d G C 0 L 4 s M X 0 m c X V v d D s s J n F 1 b 3 Q 7 U 2 V j d G l v b j E v Z l B y a W h v Z G l S Y X N o b 2 R p R m l u U G x h b i 9 T b 3 V y Y 2 U u e 9 C f 0 L X R g N C 4 0 L 7 Q t C w y f S Z x d W 9 0 O y w m c X V v d D t T Z W N 0 a W 9 u M S 9 m U H J p a G 9 k a V J h c 2 h v Z G l G a W 5 Q b G F u L 1 N v d X J j Z S 5 7 0 J j Q t 9 C 9 0 L 7 R g S w z f S Z x d W 9 0 O 1 0 s J n F 1 b 3 Q 7 U m V s Y X R p b 2 5 z a G l w S W 5 m b y Z x d W 9 0 O z p b X X 0 i I C 8 + P E V u d H J 5 I F R 5 c G U 9 I k 5 h b W V V c G R h d G V k Q W Z 0 Z X J G a W x s I i B W Y W x 1 Z T 0 i b D A i I C 8 + P E V u d H J 5 I F R 5 c G U 9 I k J 1 Z m Z l c k 5 l e H R S Z W Z y Z X N o I i B W Y W x 1 Z T 0 i b D E i I C 8 + P E V u d H J 5 I F R 5 c G U 9 I k Z p b G x P Y m p l Y 3 R U e X B l I i B W Y W x 1 Z T 0 i c 0 N v b m 5 l Y 3 R p b 2 5 P b m x 5 I i A v P j x F b n R y e S B U e X B l P S J S Z X N 1 b H R U e X B l I i B W Y W x 1 Z T 0 i c 0 V 4 Y 2 V w d G l v b i I g L z 4 8 L 1 N 0 Y W J s Z U V u d H J p Z X M + P C 9 J d G V t P j x J d G V t P j x J d G V t T G 9 j Y X R p b 2 4 + P E l 0 Z W 1 U e X B l P k Z v c m 1 1 b G E 8 L 0 l 0 Z W 1 U e X B l P j x J d G V t U G F 0 a D 5 T Z W N 0 a W 9 u M S 9 m V m t 1 c G 5 p U H J p a G 9 k a U Z p b l B s Y W 4 8 L 0 l 0 Z W 1 Q Y X R o P j w v S X R l b U x v Y 2 F 0 a W 9 u P j x T d G F i b G V F b n R y a W V z P j x F b n R y e S B U e X B l P S J B Z G R l Z F R v R G F 0 Y U 1 v Z G V s I i B W Y W x 1 Z T 0 i b D A i I C 8 + P E V u d H J 5 I F R 5 c G U 9 I k J 1 Z m Z l c k 5 l e H R S Z W Z y Z X N o I i B W Y W x 1 Z T 0 i b D E i I C 8 + P E V u d H J 5 I F R 5 c G U 9 I k Z p b G x F b m F i b G V k I i B W Y W x 1 Z T 0 i b D A i I C 8 + P E V u d H J 5 I F R 5 c G U 9 I k Z p b G x F c n J v c k N v Z G U i I F Z h b H V l P S J z V W 5 r b m 9 3 b i I g L z 4 8 R W 5 0 c n k g V H l w Z T 0 i R m l s b E x h c 3 R V c G R h d G V k I i B W Y W x 1 Z T 0 i Z D I w M T k t M T E t M j Z U M T A 6 M z Q 6 N T k u M D U 4 N z Q 2 M 1 o i I C 8 + P E V u d H J 5 I F R 5 c G U 9 I k Z p b G x D b 2 x 1 b W 5 U e X B l c y I g V m F s d W U 9 I n N C Z 2 t E Q U E 9 P S I g L z 4 8 R W 5 0 c n k g V H l w Z T 0 i R m l s b E N v b H V t b k 5 h b W V z I i B W Y W x 1 Z T 0 i c 1 s m c X V v d D v Q m t C + 0 L 3 R g t C + J n F 1 b 3 Q 7 L C Z x d W 9 0 O 9 C f 0 L X R g N C 4 0 L 7 Q t C Z x d W 9 0 O y w m c X V v d D v Q m N C 3 0 L 3 Q v t G B J n F 1 b 3 Q 7 L C Z x d W 9 0 O 9 C g 0 L X Q s 9 C 4 0 Y H R g t C w 0 Y A m c X V v d D t d I i A v P j x F b n R y e S B U e X B l P S J G a W x s Z W R D b 2 1 w b G V 0 Z V J l c 3 V s d F R v V 2 9 y a 3 N o Z W V 0 I i B W Y W x 1 Z T 0 i b D A i I C 8 + P E V u d H J 5 I F R 5 c G U 9 I k Z p b G x T d G F 0 d X M i I F Z h b H V l P S J z Q 2 9 t c G x l d G U i I C 8 + P E V u d H J 5 I F R 5 c G U 9 I k Z p b G x U b 0 R h d G F N b 2 R l b E V u Y W J s Z W Q i I F Z h b H V l P S J s M C I g L z 4 8 R W 5 0 c n k g V H l w Z T 0 i S X N Q c m l 2 Y X R l I i B W Y W x 1 Z T 0 i b D A i I C 8 + P E V u d H J 5 I F R 5 c G U 9 I l F 1 Z X J 5 S U Q i I F Z h b H V l P S J z O D k 2 M z M 2 Z D g t M m E y M C 0 0 M z I w L T l j M m E t N z V m Y j E x N j g 2 M D F h I i A v P j x F b n R y e S B U e X B l P S J S Z W x h d G l v b n N o a X B J b m Z v Q 2 9 u d G F p b m V y I i B W Y W x 1 Z T 0 i c 3 s m c X V v d D t j b 2 x 1 b W 5 D b 3 V u d C Z x d W 9 0 O z o 0 L C Z x d W 9 0 O 2 t l e U N v b H V t b k 5 h b W V z J n F 1 b 3 Q 7 O l t d L C Z x d W 9 0 O 3 F 1 Z X J 5 U m V s Y X R p b 2 5 z a G l w c y Z x d W 9 0 O z p b X S w m c X V v d D t j b 2 x 1 b W 5 J Z G V u d G l 0 a W V z J n F 1 b 3 Q 7 O l s m c X V v d D t T Z W N 0 a W 9 u M S 9 m V m t 1 c G 5 p U H J p a G 9 k a U Z p b l B s Y W 4 v Q 2 h h b m d l Z C B U e X B l L n v Q m t C + 0 L 3 R g t C + L D B 9 J n F 1 b 3 Q 7 L C Z x d W 9 0 O 1 N l Y 3 R p b 2 4 x L 2 Z W a 3 V w b m l Q c m l o b 2 R p R m l u U G x h b i 9 T b 3 V y Y 2 U u e 9 C f 0 L X R g N C 4 0 L 7 Q t C w x f S Z x d W 9 0 O y w m c X V v d D t T Z W N 0 a W 9 u M S 9 m V m t 1 c G 5 p U H J p a G 9 k a U Z p b l B s Y W 4 v U 2 9 1 c m N l L n v Q n 9 G A 0 L j R h d C + 0 L T Q u C w y f S Z x d W 9 0 O y w m c X V v d D t T Z W N 0 a W 9 u M S 9 m V m t 1 c G 5 p U H J p a G 9 k a U Z p b l B s Y W 4 v U 2 9 1 c m N l L n v Q o N C 1 0 L P Q u N G B 0 Y L Q s N G A L D R 9 J n F 1 b 3 Q 7 X S w m c X V v d D t D b 2 x 1 b W 5 D b 3 V u d C Z x d W 9 0 O z o 0 L C Z x d W 9 0 O 0 t l e U N v b H V t b k 5 h b W V z J n F 1 b 3 Q 7 O l t d L C Z x d W 9 0 O 0 N v b H V t b k l k Z W 5 0 a X R p Z X M m c X V v d D s 6 W y Z x d W 9 0 O 1 N l Y 3 R p b 2 4 x L 2 Z W a 3 V w b m l Q c m l o b 2 R p R m l u U G x h b i 9 D a G F u Z 2 V k I F R 5 c G U u e 9 C a 0 L 7 Q v d G C 0 L 4 s M H 0 m c X V v d D s s J n F 1 b 3 Q 7 U 2 V j d G l v b j E v Z l Z r d X B u a V B y a W h v Z G l G a W 5 Q b G F u L 1 N v d X J j Z S 5 7 0 J / Q t d G A 0 L j Q v t C 0 L D F 9 J n F 1 b 3 Q 7 L C Z x d W 9 0 O 1 N l Y 3 R p b 2 4 x L 2 Z W a 3 V w b m l Q c m l o b 2 R p R m l u U G x h b i 9 T b 3 V y Y 2 U u e 9 C f 0 Y D Q u N G F 0 L 7 Q t N C 4 L D J 9 J n F 1 b 3 Q 7 L C Z x d W 9 0 O 1 N l Y 3 R p b 2 4 x L 2 Z W a 3 V w b m l Q c m l o b 2 R p R m l u U G x h b i 9 T b 3 V y Y 2 U u e 9 C g 0 L X Q s 9 C 4 0 Y H R g t C w 0 Y A s N H 0 m c X V v d D t d L C Z x d W 9 0 O 1 J l b G F 0 a W 9 u c 2 h p c E l u Z m 8 m c X V v d D s 6 W 1 1 9 I i A v P j x F b n R y e S B U e X B l P S J S Z X N 1 b H R U e X B l I i B W Y W x 1 Z T 0 i c 1 R h Y m x l I i A v P j x F b n R y e S B U e X B l P S J O Y X Z p Z 2 F 0 a W 9 u U 3 R l c E 5 h b W U i I F Z h b H V l P S J z T m F 2 a W d h d G l v b i I g L z 4 8 R W 5 0 c n k g V H l w Z T 0 i R m l s b E 9 i a m V j d F R 5 c G U i I F Z h b H V l P S J z Q 2 9 u b m V j d G l v b k 9 u b H k i I C 8 + P E V u d H J 5 I F R 5 c G U 9 I k 5 h b W V V c G R h d G V k Q W Z 0 Z X J G a W x s I i B W Y W x 1 Z T 0 i b D A i I C 8 + P C 9 T d G F i b G V F b n R y a W V z P j w v S X R l b T 4 8 S X R l b T 4 8 S X R l b U x v Y 2 F 0 a W 9 u P j x J d G V t V H l w Z T 5 G b 3 J t d W x h P C 9 J d G V t V H l w Z T 4 8 S X R l b V B h d G g + U 2 V j d G l v b j E v Z l Z r d X B u a V J h c 2 h v Z G l G a W 5 Q b G F u P C 9 J d G V t U G F 0 a D 4 8 L 0 l 0 Z W 1 M b 2 N h d G l v b j 4 8 U 3 R h Y m x l R W 5 0 c m l l c z 4 8 R W 5 0 c n k g V H l w Z T 0 i Q W R k Z W R U b 0 R h d G F N b 2 R l b C I g V m F s d W U 9 I m w w I i A v P j x F b n R y e S B U e X B l P S J O Y X Z p Z 2 F 0 a W 9 u U 3 R l c E 5 h b W U i I F Z h b H V l P S J z T m F 2 a W d h d G l v b i I g L z 4 8 R W 5 0 c n k g V H l w Z T 0 i R m l s b E V u Y W J s Z W Q i I F Z h b H V l P S J s M C I g L z 4 8 R W 5 0 c n k g V H l w Z T 0 i R m l s b E V y c m 9 y Q 2 9 k Z S I g V m F s d W U 9 I n N V b m t u b 3 d u I i A v P j x F b n R y e S B U e X B l P S J G a W x s T G F z d F V w Z G F 0 Z W Q i I F Z h b H V l P S J k M j A x O S 0 x M S 0 w O V Q w O D o 1 N j o 1 N y 4 w N z g 1 O T E 4 W i I g L z 4 8 R W 5 0 c n k g V H l w Z T 0 i R m l s b E N v b H V t b l R 5 c G V z I i B W Y W x 1 Z T 0 i c 0 J n a 0 Q i I C 8 + P E V u d H J 5 I F R 5 c G U 9 I k Z p b G x D b 2 x 1 b W 5 O Y W 1 l c y I g V m F s d W U 9 I n N b J n F 1 b 3 Q 7 0 J r Q v t C 9 0 Y L Q v i Z x d W 9 0 O y w m c X V v d D v Q n 9 C 1 0 Y D Q u N C + 0 L Q m c X V v d D s s J n F 1 b 3 Q 7 0 J j Q t 9 C 9 0 L 7 R g S Z x d W 9 0 O 1 0 i I C 8 + P E V u d H J 5 I F R 5 c G U 9 I k Z p b G x l Z E N v b X B s Z X R l U m V z d W x 0 V G 9 X b 3 J r c 2 h l Z X Q i I F Z h b H V l P S J s M C I g L z 4 8 R W 5 0 c n k g V H l w Z T 0 i R m l s b F N 0 Y X R 1 c y I g V m F s d W U 9 I n N D b 2 1 w b G V 0 Z S I g L z 4 8 R W 5 0 c n k g V H l w Z T 0 i R m l s b F R v R G F 0 Y U 1 v Z G V s R W 5 h Y m x l Z C I g V m F s d W U 9 I m w w I i A v P j x F b n R y e S B U e X B l P S J J c 1 B y a X Z h d G U i I F Z h b H V l P S J s M C I g L z 4 8 R W 5 0 c n k g V H l w Z T 0 i U X V l c n l J R C I g V m F s d W U 9 I n N j M D I 1 O T g 1 N i 0 w Z T M 3 L T Q 4 Y W Q t O W J j O S 1 i Y W N i M j E 3 M D R k Z T Y i I C 8 + P E V u d H J 5 I F R 5 c G U 9 I l J l b G F 0 a W 9 u c 2 h p c E l u Z m 9 D b 2 5 0 Y W l u Z X I i I F Z h b H V l P S J z e y Z x d W 9 0 O 2 N v b H V t b k N v d W 5 0 J n F 1 b 3 Q 7 O j M s J n F 1 b 3 Q 7 a 2 V 5 Q 2 9 s d W 1 u T m F t Z X M m c X V v d D s 6 W 1 0 s J n F 1 b 3 Q 7 c X V l c n l S Z W x h d G l v b n N o a X B z J n F 1 b 3 Q 7 O l t d L C Z x d W 9 0 O 2 N v b H V t b k l k Z W 5 0 a X R p Z X M m c X V v d D s 6 W y Z x d W 9 0 O 1 N l Y 3 R p b 2 4 x L 2 Z W a 3 V w b m l S Y X N o b 2 R p R m l u U G x h b i 9 T b 3 V y Y 2 U u e 9 C a 0 L 7 Q v d G C 0 L 4 s M 3 0 m c X V v d D s s J n F 1 b 3 Q 7 U 2 V j d G l v b j E v Z l Z r d X B u a V J h c 2 h v Z G l G a W 5 Q b G F u L 1 N v d X J j Z S 5 7 0 J / Q t d G A 0 L j Q v t C 0 L D F 9 J n F 1 b 3 Q 7 L C Z x d W 9 0 O 1 N l Y 3 R p b 2 4 x L 2 Z W a 3 V w b m l S Y X N o b 2 R p R m l u U G x h b i 9 T b 3 V y Y 2 U u e 9 C Y 0 L f Q v d C + 0 Y E s M n 0 m c X V v d D t d L C Z x d W 9 0 O 0 N v b H V t b k N v d W 5 0 J n F 1 b 3 Q 7 O j M s J n F 1 b 3 Q 7 S 2 V 5 Q 2 9 s d W 1 u T m F t Z X M m c X V v d D s 6 W 1 0 s J n F 1 b 3 Q 7 Q 2 9 s d W 1 u S W R l b n R p d G l l c y Z x d W 9 0 O z p b J n F 1 b 3 Q 7 U 2 V j d G l v b j E v Z l Z r d X B u a V J h c 2 h v Z G l G a W 5 Q b G F u L 1 N v d X J j Z S 5 7 0 J r Q v t C 9 0 Y L Q v i w z f S Z x d W 9 0 O y w m c X V v d D t T Z W N 0 a W 9 u M S 9 m V m t 1 c G 5 p U m F z a G 9 k a U Z p b l B s Y W 4 v U 2 9 1 c m N l L n v Q n 9 C 1 0 Y D Q u N C + 0 L Q s M X 0 m c X V v d D s s J n F 1 b 3 Q 7 U 2 V j d G l v b j E v Z l Z r d X B u a V J h c 2 h v Z G l G a W 5 Q b G F u L 1 N v d X J j Z S 5 7 0 J j Q t 9 C 9 0 L 7 R g S w y f S Z x d W 9 0 O 1 0 s J n F 1 b 3 Q 7 U m V s Y X R p b 2 5 z a G l w S W 5 m b y Z x d W 9 0 O z p b X X 0 i I C 8 + P E V u d H J 5 I F R 5 c G U 9 I k 5 h b W V V c G R h d G V k Q W Z 0 Z X J G a W x s I i B W Y W x 1 Z T 0 i b D A i I C 8 + P E V u d H J 5 I F R 5 c G U 9 I k J 1 Z m Z l c k 5 l e H R S Z W Z y Z X N o I i B W Y W x 1 Z T 0 i b D E i I C 8 + P E V u d H J 5 I F R 5 c G U 9 I k Z p b G x P Y m p l Y 3 R U e X B l I i B W Y W x 1 Z T 0 i c 0 N v b m 5 l Y 3 R p b 2 5 P b m x 5 I i A v P j x F b n R y e S B U e X B l P S J S Z X N 1 b H R U e X B l I i B W Y W x 1 Z T 0 i c 0 V 4 Y 2 V w d G l v b i I g L z 4 8 L 1 N 0 Y W J s Z U V u d H J p Z X M + P C 9 J d G V t P j x J d G V t P j x J d G V t T G 9 j Y X R p b 2 4 + P E l 0 Z W 1 U e X B l P k Z v c m 1 1 b G E 8 L 0 l 0 Z W 1 U e X B l P j x J d G V t U G F 0 a D 5 T Z W N 0 a W 9 u M S 9 k S 2 9 u d G V u U G x h b j w v S X R l b V B h d G g + P C 9 J d G V t T G 9 j Y X R p b 2 4 + P F N 0 Y W J s Z U V u d H J p Z X M + P E V u d H J 5 I F R 5 c G U 9 I k F k Z G V k V G 9 E Y X R h T W 9 k Z W w i I F Z h b H V l P S J s M S I g L z 4 8 R W 5 0 c n k g V H l w Z T 0 i Q n V m Z m V y T m V 4 d F J l Z n J l c 2 g i I F Z h b H V l P S J s M S I g L z 4 8 R W 5 0 c n k g V H l w Z T 0 i R m l s b E N v d W 5 0 I i B W Y W x 1 Z T 0 i b D E x N j Y i I C 8 + P E V u d H J 5 I F R 5 c G U 9 I k Z p b G x F b m F i b G V k I i B W Y W x 1 Z T 0 i b D A i I C 8 + P E V u d H J 5 I F R 5 c G U 9 I k Z p b G x F c n J v c k N v Z G U i I F Z h b H V l P S J z V W 5 r b m 9 3 b i I g L z 4 8 R W 5 0 c n k g V H l w Z T 0 i R m l s b E V y c m 9 y Q 2 9 1 b n Q i I F Z h b H V l P S J s M T c x I i A v P j x F b n R y e S B U e X B l P S J G a W x s T G F z d F V w Z G F 0 Z W Q i I F Z h b H V l P S J k M j A x O S 0 x M S 0 w N V Q x N D o w M T o 0 O S 4 1 N D Y 1 M T U y W i I g L z 4 8 R W 5 0 c n k g V H l w Z T 0 i R m l s b E N v b H V t b l R 5 c G V z I i B W Y W x 1 Z T 0 i c 0 J n W U R B d 0 1 H Q m d Z R 0 J n W U d C Z 0 1 H I i A v P j x F b n R y e S B U e X B l P S J G a W x s Q 2 9 s d W 1 u T m F t Z X M i I F Z h b H V l P S J z W y Z x d W 9 0 O 0 t v b n R v J n F 1 b 3 Q 7 L C Z x d W 9 0 O 0 5 h e m l 2 I G 5 h I G t v b n R v J n F 1 b 3 Q 7 L C Z x d W 9 0 O 1 R p c E l 6 d m V z d G F q S U Q m c X V v d D s s J n F 1 b 3 Q 7 T 2 J y Y X p l Y 0 l E J n F 1 b 3 Q 7 L C Z x d W 9 0 O 1 N 0 Y X Z r Y U l E J n F 1 b 3 Q 7 L C Z x d W 9 0 O 1 N 0 Y X Z r Y U l t Z U 1 L J n F 1 b 3 Q 7 L C Z x d W 9 0 O 1 N 0 Y X Z r Y U F P U C Z x d W 9 0 O y w m c X V v d D t T d G F 2 a 2 F J b W V F T i Z x d W 9 0 O y w m c X V v d D t L b G F z a W Z p a 2 F j a W p h U H J h d m l s b m l r J n F 1 b 3 Q 7 L C Z x d W 9 0 O 1 N 0 Y X Z r Y U d y d X B h S U Q m c X V v d D s s J n F 1 b 3 Q 7 U 3 R h d m t h R 3 J 1 c G E m c X V v d D s s J n F 1 b 3 Q 7 U 3 R h d m t h S 2 F 0 Z W d v c m l q Y S Z x d W 9 0 O y w m c X V v d D t L b G F z Y S Z x d W 9 0 O y w m c X V v d D t a b m F r S X p 2 Z X N 0 Y W o m c X V v d D s s J n F 1 b 3 Q 7 T 2 J y Y X p l Y 0 l t Z S Z x d W 9 0 O 1 0 i I C 8 + P E V u d H J 5 I F R 5 c G U 9 I k Z p b G x l Z E N v b X B s Z X R l U m V z d W x 0 V G 9 X b 3 J r c 2 h l Z X Q i I F Z h b H V l P S J s M C I g L z 4 8 R W 5 0 c n k g V H l w Z T 0 i R m l s b F N 0 Y X R 1 c y I g V m F s d W U 9 I n N D b 2 1 w b G V 0 Z S I g L z 4 8 R W 5 0 c n k g V H l w Z T 0 i R m l s b F R v R G F 0 Y U 1 v Z G V s R W 5 h Y m x l Z C I g V m F s d W U 9 I m w x I i A v P j x F b n R y e S B U e X B l P S J J c 1 B y a X Z h d G U i I F Z h b H V l P S J s M C I g L z 4 8 R W 5 0 c n k g V H l w Z T 0 i U X V l c n l J R C I g V m F s d W U 9 I n N j Y T V i Y 2 M 5 M C 1 k O D Q 2 L T R h Y z g t O T M z M C 0 4 M z I 0 M G F j Y j U z Z G U i I C 8 + P E V u d H J 5 I F R 5 c G U 9 I l J l b G F 0 a W 9 u c 2 h p c E l u Z m 9 D b 2 5 0 Y W l u Z X I i I F Z h b H V l P S J z e y Z x d W 9 0 O 2 N v b H V t b k N v d W 5 0 J n F 1 b 3 Q 7 O j E 1 L C Z x d W 9 0 O 2 t l e U N v b H V t b k 5 h b W V z J n F 1 b 3 Q 7 O l t d L C Z x d W 9 0 O 3 F 1 Z X J 5 U m V s Y X R p b 2 5 z a G l w c y Z x d W 9 0 O z p b e y Z x d W 9 0 O 2 t l e U N v b H V t b k N v d W 5 0 J n F 1 b 3 Q 7 O j E s J n F 1 b 3 Q 7 a 2 V 5 Q 2 9 s d W 1 u J n F 1 b 3 Q 7 O j Q s J n F 1 b 3 Q 7 b 3 R o Z X J L Z X l D b 2 x 1 b W 5 J Z G V u d G l 0 e S Z x d W 9 0 O z o m c X V v d D t T Z W N 0 a W 9 u M S 9 k U 3 R h d m t p L 0 N o Y W 5 n Z W Q g V H l w Z S 5 7 U 3 R h d m t h S U Q s M n 0 m c X V v d D s s J n F 1 b 3 Q 7 S 2 V 5 Q 2 9 s d W 1 u Q 2 9 1 b n Q m c X V v d D s 6 M X 0 s e y Z x d W 9 0 O 2 t l e U N v b H V t b k N v d W 5 0 J n F 1 b 3 Q 7 O j E s J n F 1 b 3 Q 7 a 2 V 5 Q 2 9 s d W 1 u J n F 1 b 3 Q 7 O j M s J n F 1 b 3 Q 7 b 3 R o Z X J L Z X l D b 2 x 1 b W 5 J Z G V u d G l 0 e S Z x d W 9 0 O z o m c X V v d D t T Z W N 0 a W 9 u M S 9 k T 2 J y Y X N j a S 9 D a G F u Z 2 V k I F R 5 c G U u e 0 9 i c m F 6 Z W N J R C w x f S Z x d W 9 0 O y w m c X V v d D t L Z X l D b 2 x 1 b W 5 D b 3 V u d C Z x d W 9 0 O z o x f V 0 s J n F 1 b 3 Q 7 Y 2 9 s d W 1 u S W R l b n R p d G l l c y Z x d W 9 0 O z p b J n F 1 b 3 Q 7 U 2 V j d G l v b j E v Z E t v b n R l b l B s Y W 4 v Q 2 h h b m d l Z C B U e X B l L n t L b 2 5 0 b y w w f S Z x d W 9 0 O y w m c X V v d D t T Z W N 0 a W 9 u M S 9 k S 2 9 u d G V u U G x h b i 9 D a G F u Z 2 V k I F R 5 c G U u e 0 5 h e m l 2 I G 5 h I G t v b n R v L D F 9 J n F 1 b 3 Q 7 L C Z x d W 9 0 O 1 N l Y 3 R p b 2 4 x L 2 R L b 2 5 0 Z W 5 Q b G F u L 0 N o Y W 5 n Z W Q g V H l w Z S 5 7 V G l w S X p 2 Z X N 0 Y W p J R C w y f S Z x d W 9 0 O y w m c X V v d D t T Z W N 0 a W 9 u M S 9 k S 2 9 u d G V u U G x h b i 9 D a G F u Z 2 V k I F R 5 c G U u e 0 9 i c m F 6 Z W N J R C w z f S Z x d W 9 0 O y w m c X V v d D t T Z W N 0 a W 9 u M S 9 k S 2 9 u d G V u U G x h b i 9 D a G F u Z 2 V k I F R 5 c G U u e 1 N 0 Y X Z r Y U l E L D R 9 J n F 1 b 3 Q 7 L C Z x d W 9 0 O 1 N l Y 3 R p b 2 4 x L 2 R L b 2 5 0 Z W 5 Q b G F u L 0 N o Y W 5 n Z W Q g V H l w Z S 5 7 U 3 R h d m t h S W 1 l T U s s N n 0 m c X V v d D s s J n F 1 b 3 Q 7 U 2 V j d G l v b j E v Z F N 0 Y X Z r a S 9 D a G F u Z 2 V k I F R 5 c G U u e 1 N 0 Y X Z r Y U F P U C w x f S Z x d W 9 0 O y w m c X V v d D t T Z W N 0 a W 9 u M S 9 k U 3 R h d m t p L 0 N o Y W 5 n Z W Q g V H l w Z S 5 7 U 3 R h d m t h S W 1 l R U 4 s N H 0 m c X V v d D s s J n F 1 b 3 Q 7 U 2 V j d G l v b j E v Z F N 0 Y X Z r a S 9 D a G F u Z 2 V k I F R 5 c G U u e 0 t s Y X N p Z m l r Y W N p a m F Q c m F 2 a W x u a W s s N X 0 m c X V v d D s s J n F 1 b 3 Q 7 U 2 V j d G l v b j E v Z F N 0 Y X Z r a S 9 D a G F u Z 2 V k I F R 5 c G U u e 1 N 0 Y X Z r Y U d y d X B h S U Q s N n 0 m c X V v d D s s J n F 1 b 3 Q 7 U 2 V j d G l v b j E v Z F N 0 Y X Z r a S 9 D a G F u Z 2 V k I F R 5 c G U u e 1 N 0 Y X Z r Y U d y d X B h L D d 9 J n F 1 b 3 Q 7 L C Z x d W 9 0 O 1 N l Y 3 R p b 2 4 x L 2 R T d G F 2 a 2 k v Q 2 h h b m d l Z C B U e X B l L n t T d G F 2 a 2 F L Y X R l Z 2 9 y a W p h L D h 9 J n F 1 b 3 Q 7 L C Z x d W 9 0 O 1 N l Y 3 R p b 2 4 x L 2 R T d G F 2 a 2 k v Q 2 h h b m d l Z C B U e X B l L n t L b G F z Y S w 5 f S Z x d W 9 0 O y w m c X V v d D t T Z W N 0 a W 9 u M S 9 k U 3 R h d m t p L 0 N o Y W 5 n Z W Q g V H l w Z S 5 7 W m 5 h a 0 l 6 d m V z d G F q L D E w f S Z x d W 9 0 O y w m c X V v d D t T Z W N 0 a W 9 u M S 9 k T 2 J y Y X N j a S 9 D a G F u Z 2 V k I F R 5 c G U u e 0 9 i c m F 6 Z W N J b W U s M n 0 m c X V v d D t d L C Z x d W 9 0 O 0 N v b H V t b k N v d W 5 0 J n F 1 b 3 Q 7 O j E 1 L C Z x d W 9 0 O 0 t l e U N v b H V t b k 5 h b W V z J n F 1 b 3 Q 7 O l t d L C Z x d W 9 0 O 0 N v b H V t b k l k Z W 5 0 a X R p Z X M m c X V v d D s 6 W y Z x d W 9 0 O 1 N l Y 3 R p b 2 4 x L 2 R L b 2 5 0 Z W 5 Q b G F u L 0 N o Y W 5 n Z W Q g V H l w Z S 5 7 S 2 9 u d G 8 s M H 0 m c X V v d D s s J n F 1 b 3 Q 7 U 2 V j d G l v b j E v Z E t v b n R l b l B s Y W 4 v Q 2 h h b m d l Z C B U e X B l L n t O Y X p p d i B u Y S B r b 2 5 0 b y w x f S Z x d W 9 0 O y w m c X V v d D t T Z W N 0 a W 9 u M S 9 k S 2 9 u d G V u U G x h b i 9 D a G F u Z 2 V k I F R 5 c G U u e 1 R p c E l 6 d m V z d G F q S U Q s M n 0 m c X V v d D s s J n F 1 b 3 Q 7 U 2 V j d G l v b j E v Z E t v b n R l b l B s Y W 4 v Q 2 h h b m d l Z C B U e X B l L n t P Y n J h e m V j S U Q s M 3 0 m c X V v d D s s J n F 1 b 3 Q 7 U 2 V j d G l v b j E v Z E t v b n R l b l B s Y W 4 v Q 2 h h b m d l Z C B U e X B l L n t T d G F 2 a 2 F J R C w 0 f S Z x d W 9 0 O y w m c X V v d D t T Z W N 0 a W 9 u M S 9 k S 2 9 u d G V u U G x h b i 9 D a G F u Z 2 V k I F R 5 c G U u e 1 N 0 Y X Z r Y U l t Z U 1 L L D Z 9 J n F 1 b 3 Q 7 L C Z x d W 9 0 O 1 N l Y 3 R p b 2 4 x L 2 R T d G F 2 a 2 k v Q 2 h h b m d l Z C B U e X B l L n t T d G F 2 a 2 F B T 1 A s M X 0 m c X V v d D s s J n F 1 b 3 Q 7 U 2 V j d G l v b j E v Z F N 0 Y X Z r a S 9 D a G F u Z 2 V k I F R 5 c G U u e 1 N 0 Y X Z r Y U l t Z U V O L D R 9 J n F 1 b 3 Q 7 L C Z x d W 9 0 O 1 N l Y 3 R p b 2 4 x L 2 R T d G F 2 a 2 k v Q 2 h h b m d l Z C B U e X B l L n t L b G F z a W Z p a 2 F j a W p h U H J h d m l s b m l r L D V 9 J n F 1 b 3 Q 7 L C Z x d W 9 0 O 1 N l Y 3 R p b 2 4 x L 2 R T d G F 2 a 2 k v Q 2 h h b m d l Z C B U e X B l L n t T d G F 2 a 2 F H c n V w Y U l E L D Z 9 J n F 1 b 3 Q 7 L C Z x d W 9 0 O 1 N l Y 3 R p b 2 4 x L 2 R T d G F 2 a 2 k v Q 2 h h b m d l Z C B U e X B l L n t T d G F 2 a 2 F H c n V w Y S w 3 f S Z x d W 9 0 O y w m c X V v d D t T Z W N 0 a W 9 u M S 9 k U 3 R h d m t p L 0 N o Y W 5 n Z W Q g V H l w Z S 5 7 U 3 R h d m t h S 2 F 0 Z W d v c m l q Y S w 4 f S Z x d W 9 0 O y w m c X V v d D t T Z W N 0 a W 9 u M S 9 k U 3 R h d m t p L 0 N o Y W 5 n Z W Q g V H l w Z S 5 7 S 2 x h c 2 E s O X 0 m c X V v d D s s J n F 1 b 3 Q 7 U 2 V j d G l v b j E v Z F N 0 Y X Z r a S 9 D a G F u Z 2 V k I F R 5 c G U u e 1 p u Y W t J e n Z l c 3 R h a i w x M H 0 m c X V v d D s s J n F 1 b 3 Q 7 U 2 V j d G l v b j E v Z E 9 i c m F z Y 2 k v Q 2 h h b m d l Z C B U e X B l L n t P Y n J h e m V j S W 1 l L D J 9 J n F 1 b 3 Q 7 X S w m c X V v d D t S Z W x h d G l v b n N o a X B J b m Z v J n F 1 b 3 Q 7 O l t 7 J n F 1 b 3 Q 7 a 2 V 5 Q 2 9 s d W 1 u Q 2 9 1 b n Q m c X V v d D s 6 M S w m c X V v d D t r Z X l D b 2 x 1 b W 4 m c X V v d D s 6 N C w m c X V v d D t v d G h l c k t l e U N v b H V t b k l k Z W 5 0 a X R 5 J n F 1 b 3 Q 7 O i Z x d W 9 0 O 1 N l Y 3 R p b 2 4 x L 2 R T d G F 2 a 2 k v Q 2 h h b m d l Z C B U e X B l L n t T d G F 2 a 2 F J R C w y f S Z x d W 9 0 O y w m c X V v d D t L Z X l D b 2 x 1 b W 5 D b 3 V u d C Z x d W 9 0 O z o x f S x 7 J n F 1 b 3 Q 7 a 2 V 5 Q 2 9 s d W 1 u Q 2 9 1 b n Q m c X V v d D s 6 M S w m c X V v d D t r Z X l D b 2 x 1 b W 4 m c X V v d D s 6 M y w m c X V v d D t v d G h l c k t l e U N v b H V t b k l k Z W 5 0 a X R 5 J n F 1 b 3 Q 7 O i Z x d W 9 0 O 1 N l Y 3 R p b 2 4 x L 2 R P Y n J h c 2 N p L 0 N o Y W 5 n Z W Q g V H l w Z S 5 7 T 2 J y Y X p l Y 0 l E L D F 9 J n F 1 b 3 Q 7 L C Z x d W 9 0 O 0 t l e U N v b H V t b k N v d W 5 0 J n F 1 b 3 Q 7 O j F 9 X X 0 i I C 8 + P E V u d H J 5 I F R 5 c G U 9 I l J l c 3 V s d F R 5 c G U i I F Z h b H V l P S J z V G F i b G U i I C 8 + P E V u d H J 5 I F R 5 c G U 9 I k 5 h d m l n Y X R p b 2 5 T d G V w T m F t Z S I g V m F s d W U 9 I n N O Y X Z p Z 2 F 0 a W 9 u I i A v P j x F b n R y e S B U e X B l P S J G a W x s T 2 J q Z W N 0 V H l w Z S I g V m F s d W U 9 I n N Q a X Z v d F R h Y m x l I i A v P j x F b n R y e S B U e X B l P S J O Y W 1 l V X B k Y X R l Z E F m d G V y R m l s b C I g V m F s d W U 9 I m w w I i A v P j x F b n R y e S B U e X B l P S J Q a X Z v d E 9 i a m V j d E 5 h b W U i I F Z h b H V l P S J z Q 1 V C R T I h R k l O U E x B T i I g L z 4 8 L 1 N 0 Y W J s Z U V u d H J p Z X M + P C 9 J d G V t P j x J d G V t P j x J d G V t T G 9 j Y X R p b 2 4 + P E l 0 Z W 1 U e X B l P k Z v c m 1 1 b G E 8 L 0 l 0 Z W 1 U e X B l P j x J d G V t U G F 0 a D 5 T Z W N 0 a W 9 u M S 9 m Q W N 0 d W F s Q W 5 k Q n V k Z 2 V 0 P C 9 J d G V t U G F 0 a D 4 8 L 0 l 0 Z W 1 M b 2 N h d G l v b j 4 8 U 3 R h Y m x l R W 5 0 c m l l c z 4 8 R W 5 0 c n k g V H l w Z T 0 i R m l s b F N 0 Y X R 1 c y I g V m F s d W U 9 I n N D b 2 1 w b G V 0 Z S I g L z 4 8 R W 5 0 c n k g V H l w Z T 0 i T m F 2 a W d h d G l v b l N 0 Z X B O Y W 1 l I i B W Y W x 1 Z T 0 i c 0 5 h d m l n Y X R p b 2 4 i I C 8 + P E V u d H J 5 I F R 5 c G U 9 I k Z p b G x D b 2 x 1 b W 5 O Y W 1 l c y I g V m F s d W U 9 I n N b J n F 1 b 3 Q 7 0 J r Q v t C 9 0 Y L Q v i Z x d W 9 0 O y w m c X V v d D v Q n d C w 0 L f Q u N C y I N C 9 0 L A g 0 L r Q v t C 9 0 Y L Q v i Z x d W 9 0 O y w m c X V v d D v Q n 9 C 1 0 Y D Q u N C + 0 L Q m c X V v d D s s J n F 1 b 3 Q 7 0 J j Q t 9 C 9 0 L 7 R g T E m c X V v d D s s J n F 1 b 3 Q 7 U m V w b 3 J 0 V H l w Z S Z x d W 9 0 O y w m c X V v d D v Q o d G C 0 L D Q s t C 6 0 L A m c X V v d D s s J n F 1 b 3 Q 7 0 J H R g N C + 0 Z g g 0 L 3 Q s C D R m N C w 0 L L Q v d C w I N C 9 0 L D Q s d C w 0 L L Q u t C w I C j Q v 9 C 7 0 L D Q v S k m c X V v d D s s J n F 1 b 3 Q 7 U 3 R h d m t h S U Q m c X V v d D s s J n F 1 b 3 Q 7 U 3 R h d m t h S W 1 l T U s m c X V v d D s s J n F 1 b 3 Q 7 U 3 R h d m t h R 3 J 1 c G E m c X V v d D s s J n F 1 b 3 Q 7 U 3 R h d m t h S 2 F 0 Z W d v c m l q Y S Z x d W 9 0 O y w m c X V v d D t a b m F r S X p 2 Z X N 0 Y W o m c X V v d D s s J n F 1 b 3 Q 7 T 2 J y Y X p l Y 0 l E J n F 1 b 3 Q 7 L C Z x d W 9 0 O 1 N 0 Y X Z r Y U F P U C Z x d W 9 0 O y w m c X V v d D t P Y n J h e m V j S W 1 l J n F 1 b 3 Q 7 X S I g L z 4 8 R W 5 0 c n k g V H l w Z T 0 i R m l s b E V u Y W J s Z W Q i I F Z h b H V l P S J s M C I g L z 4 8 R W 5 0 c n k g V H l w Z T 0 i R m l s b E N v b H V t b l R 5 c G V z I i B W Y W x 1 Z T 0 i c 0 J n W U p B d 1 l H Q m d N R 0 J n W U R B d 1 l H I i A v P j x F b n R y e S B U e X B l P S J G a W x s T G F z d F V w Z G F 0 Z W Q i I F Z h b H V l P S J k M j A y M i 0 x M i 0 w N F Q y M j o y O D o 1 N i 4 4 O T k 0 N j Y 3 W i I g L z 4 8 R W 5 0 c n k g V H l w Z T 0 i R m l s b E V y c m 9 y Q 2 9 1 b n Q i I F Z h b H V l P S J s M C I g L z 4 8 R W 5 0 c n k g V H l w Z T 0 i R m l s b E V y c m 9 y Q 2 9 k Z S I g V m F s d W U 9 I n N V b m t u b 3 d u I i A v P j x F b n R y e S B U e X B l P S J G a W x s Z W R D b 2 1 w b G V 0 Z V J l c 3 V s d F R v V 2 9 y a 3 N o Z W V 0 I i B W Y W x 1 Z T 0 i b D A i I C 8 + P E V u d H J 5 I F R 5 c G U 9 I k Z p b G x D b 3 V u d C I g V m F s d W U 9 I m w y O T Y x N i I g L z 4 8 R W 5 0 c n k g V H l w Z T 0 i R m l s b F R v R G F 0 Y U 1 v Z G V s R W 5 h Y m x l Z C I g V m F s d W U 9 I m w x I i A v P j x F b n R y e S B U e X B l P S J J c 1 B y a X Z h d G U i I F Z h b H V l P S J s M C I g L z 4 8 R W 5 0 c n k g V H l w Z T 0 i U X V l c n l H c m 9 1 c E l E I i B W Y W x 1 Z T 0 i c 2 R m M j N k N z I 4 L T Z k Y j I t N D Q y M S 0 4 N j Z m L T M 1 Z T c 5 M T M z O T I x N C I g L z 4 8 R W 5 0 c n k g V H l w Z T 0 i U X V l c n l J R C I g V m F s d W U 9 I n M 1 M D U z N T g 0 Y S 1 k O T B k L T R j N G U t Y m R h Z S 1 h Y j k x O T F j M T J k Y 2 U i I C 8 + P E V u d H J 5 I F R 5 c G U 9 I k F k Z G V k V G 9 E Y X R h T W 9 k Z W w i I F Z h b H V l P S J s M S I g L z 4 8 R W 5 0 c n k g V H l w Z T 0 i T m F t Z V V w Z G F 0 Z W R B Z n R l c k Z p b G w i I F Z h b H V l P S J s M C I g L z 4 8 R W 5 0 c n k g V H l w Z T 0 i Q n V m Z m V y T m V 4 d F J l Z n J l c 2 g i I F Z h b H V l P S J s M S I g L z 4 8 R W 5 0 c n k g V H l w Z T 0 i R m l s b E 9 i a m V j d F R 5 c G U i I F Z h b H V l P S J z U G l 2 b 3 R U Y W J s Z S I g L z 4 8 R W 5 0 c n k g V H l w Z T 0 i U m V z d W x 0 V H l w Z S I g V m F s d W U 9 I n N F e G N l c H R p b 2 4 i I C 8 + P E V u d H J 5 I F R 5 c G U 9 I l B p d m 9 0 T 2 J q Z W N 0 T m F t Z S I g V m F s d W U 9 I n M 1 L i B T c G V j L i B u Y S B m a W t z b m k g c y 1 2 Y S B p I G F t b 3 J 0 I V B p d m 9 0 V G F i b G U 0 I i A v P j x F b n R y e S B U e X B l P S J S Z W x h d G l v b n N o a X B J b m Z v Q 2 9 u d G F p b m V y I i B W Y W x 1 Z T 0 i c 3 s m c X V v d D t j b 2 x 1 b W 5 D b 3 V u d C Z x d W 9 0 O z o x N S w m c X V v d D t r Z X l D b 2 x 1 b W 5 O Y W 1 l c y Z x d W 9 0 O z p b X S w m c X V v d D t x d W V y e V J l b G F 0 a W 9 u c 2 h p c H M m c X V v d D s 6 W 3 s m c X V v d D t r Z X l D b 2 x 1 b W 5 D b 3 V u d C Z x d W 9 0 O z o x L C Z x d W 9 0 O 2 t l e U N v b H V t b i Z x d W 9 0 O z o w L C Z x d W 9 0 O 2 9 0 a G V y S 2 V 5 Q 2 9 s d W 1 u S W R l b n R p d H k m c X V v d D s 6 J n F 1 b 3 Q 7 U 2 V j d G l v b j E v Z E 1 h c H B p b m c v Q 2 h h b m d l Z C B U e X B l L n t L b 2 5 0 b y w w f S Z x d W 9 0 O y w m c X V v d D t L Z X l D b 2 x 1 b W 5 D b 3 V u d C Z x d W 9 0 O z o x f S x 7 J n F 1 b 3 Q 7 a 2 V 5 Q 2 9 s d W 1 u Q 2 9 1 b n Q m c X V v d D s 6 M S w m c X V v d D t r Z X l D b 2 x 1 b W 4 m c X V v d D s 6 N y w m c X V v d D t v d G h l c k t l e U N v b H V t b k l k Z W 5 0 a X R 5 J n F 1 b 3 Q 7 O i Z x d W 9 0 O 1 N l Y 3 R p b 2 4 x L 2 R T d G F 2 a 2 k v Q 2 h h b m d l Z C B U e X B l L n t T d G F 2 a 2 F J R C w y f S Z x d W 9 0 O y w m c X V v d D t L Z X l D b 2 x 1 b W 5 D b 3 V u d C Z x d W 9 0 O z o x f S x 7 J n F 1 b 3 Q 7 a 2 V 5 Q 2 9 s d W 1 u Q 2 9 1 b n Q m c X V v d D s 6 M S w m c X V v d D t r Z X l D b 2 x 1 b W 4 m c X V v d D s 6 M T I s J n F 1 b 3 Q 7 b 3 R o Z X J L Z X l D b 2 x 1 b W 5 J Z G V u d G l 0 e S Z x d W 9 0 O z o m c X V v d D t T Z W N 0 a W 9 u M S 9 k T 2 J y Y X N j a S 9 D a G F u Z 2 V k I F R 5 c G U u e 0 9 i c m F 6 Z W N J R C w x f S Z x d W 9 0 O y w m c X V v d D t L Z X l D b 2 x 1 b W 5 D b 3 V u d C Z x d W 9 0 O z o x f S x 7 J n F 1 b 3 Q 7 a 2 V 5 Q 2 9 s d W 1 u Q 2 9 1 b n Q m c X V v d D s 6 M S w m c X V v d D t r Z X l D b 2 x 1 b W 4 m c X V v d D s 6 M C w m c X V v d D t v d G h l c k t l e U N v b H V t b k l k Z W 5 0 a X R 5 J n F 1 b 3 Q 7 O i Z x d W 9 0 O 1 N l Y 3 R p b 2 4 x L 2 Z B c n R p a 2 x p Q 2 V u a S 9 D a G F u Z 2 V k I F R 5 c G U u e 9 C a 0 L 7 Q v d G C 0 L 4 s M T F 9 J n F 1 b 3 Q 7 L C Z x d W 9 0 O 0 t l e U N v b H V t b k N v d W 5 0 J n F 1 b 3 Q 7 O j F 9 X S w m c X V v d D t j b 2 x 1 b W 5 J Z G V u d G l 0 a W V z J n F 1 b 3 Q 7 O l s m c X V v d D t T Z W N 0 a W 9 u M S 9 m Q W N 0 d W F s Q W 5 k Q n V k Z 2 V 0 L 1 N v d X J j Z S 5 7 0 J r Q v t C 9 0 Y L Q v i w w f S Z x d W 9 0 O y w m c X V v d D t T Z W N 0 a W 9 u M S 9 m Q W N 0 d W F s Q W 5 k Q n V k Z 2 V 0 L 1 N v d X J j Z S 5 7 0 J 3 Q s N C 3 0 L j Q s i D Q v d C w I N C 6 0 L 7 Q v d G C 0 L 4 s M X 0 m c X V v d D s s J n F 1 b 3 Q 7 U 2 V j d G l v b j E v Z k F j d H V h b E F u Z E J 1 Z G d l d C 9 T b 3 V y Y 2 U u e 9 C f 0 L X R g N C 4 0 L 7 Q t C w y f S Z x d W 9 0 O y w m c X V v d D t T Z W N 0 a W 9 u M S 9 m Q W N 0 d W F s Q W 5 k Q n V k Z 2 V 0 L 1 N v d X J j Z S 5 7 0 J j Q t 9 C 9 0 L 7 R g T E s M 3 0 m c X V v d D s s J n F 1 b 3 Q 7 U 2 V j d G l v b j E v Z k F j d H V h b E F u Z E J 1 Z G d l d C 9 T b 3 V y Y 2 U u e 1 J l c G 9 y d F R 5 c G U s N H 0 m c X V v d D s s J n F 1 b 3 Q 7 U 2 V j d G l v b j E v Z k F j d H V h b E F u Z E J 1 Z G d l d C 9 T b 3 V y Y 2 U u e 9 C h 0 Y L Q s N C y 0 L r Q s C w 1 f S Z x d W 9 0 O y w m c X V v d D t T Z W N 0 a W 9 u M S 9 m Q W N 0 d W F s Q W 5 k Q n V k Z 2 V 0 L 1 N v d X J j Z S 5 7 0 J H R g N C + 0 Z g g 0 L 3 Q s C D R m N C w 0 L L Q v d C w I N C 9 0 L D Q s d C w 0 L L Q u t C w I C j Q v 9 C 7 0 L D Q v S k s N n 0 m c X V v d D s s J n F 1 b 3 Q 7 U 2 V j d G l v b j E v Z E 1 h c H B p b m c v Q 2 h h b m d l Z C B U e X B l L n t T d G F 2 a 2 F J R C w 0 f S Z x d W 9 0 O y w m c X V v d D t T Z W N 0 a W 9 u M S 9 k T W F w c G l u Z y 9 D a G F u Z 2 V k I F R 5 c G U u e 1 N 0 Y X Z r Y U l t Z U 1 L L D Z 9 J n F 1 b 3 Q 7 L C Z x d W 9 0 O 1 N l Y 3 R p b 2 4 x L 2 R T d G F 2 a 2 k v Q 2 h h b m d l Z C B U e X B l L n t T d G F 2 a 2 F H c n V w Y S w 3 f S Z x d W 9 0 O y w m c X V v d D t T Z W N 0 a W 9 u M S 9 k U 3 R h d m t p L 0 N o Y W 5 n Z W Q g V H l w Z S 5 7 U 3 R h d m t h S 2 F 0 Z W d v c m l q Y S w 4 f S Z x d W 9 0 O y w m c X V v d D t T Z W N 0 a W 9 u M S 9 k U 3 R h d m t p L 0 N o Y W 5 n Z W Q g V H l w Z S 5 7 W m 5 h a 0 l 6 d m V z d G F q L D E w f S Z x d W 9 0 O y w m c X V v d D t T Z W N 0 a W 9 u M S 9 k U 3 R h d m t p L 0 N o Y W 5 n Z W Q g V H l w Z S 5 7 T 2 J y Y X p l Y 0 l E L D B 9 J n F 1 b 3 Q 7 L C Z x d W 9 0 O 1 N l Y 3 R p b 2 4 x L 2 R T d G F 2 a 2 k v Q 2 h h b m d l Z C B U e X B l L n t T d G F 2 a 2 F B T 1 A s M X 0 m c X V v d D s s J n F 1 b 3 Q 7 U 2 V j d G l v b j E v Z E 9 i c m F z Y 2 k v Q 2 h h b m d l Z C B U e X B l L n t P Y n J h e m V j S W 1 l L D J 9 J n F 1 b 3 Q 7 X S w m c X V v d D t D b 2 x 1 b W 5 D b 3 V u d C Z x d W 9 0 O z o x N S w m c X V v d D t L Z X l D b 2 x 1 b W 5 O Y W 1 l c y Z x d W 9 0 O z p b X S w m c X V v d D t D b 2 x 1 b W 5 J Z G V u d G l 0 a W V z J n F 1 b 3 Q 7 O l s m c X V v d D t T Z W N 0 a W 9 u M S 9 m Q W N 0 d W F s Q W 5 k Q n V k Z 2 V 0 L 1 N v d X J j Z S 5 7 0 J r Q v t C 9 0 Y L Q v i w w f S Z x d W 9 0 O y w m c X V v d D t T Z W N 0 a W 9 u M S 9 m Q W N 0 d W F s Q W 5 k Q n V k Z 2 V 0 L 1 N v d X J j Z S 5 7 0 J 3 Q s N C 3 0 L j Q s i D Q v d C w I N C 6 0 L 7 Q v d G C 0 L 4 s M X 0 m c X V v d D s s J n F 1 b 3 Q 7 U 2 V j d G l v b j E v Z k F j d H V h b E F u Z E J 1 Z G d l d C 9 T b 3 V y Y 2 U u e 9 C f 0 L X R g N C 4 0 L 7 Q t C w y f S Z x d W 9 0 O y w m c X V v d D t T Z W N 0 a W 9 u M S 9 m Q W N 0 d W F s Q W 5 k Q n V k Z 2 V 0 L 1 N v d X J j Z S 5 7 0 J j Q t 9 C 9 0 L 7 R g T E s M 3 0 m c X V v d D s s J n F 1 b 3 Q 7 U 2 V j d G l v b j E v Z k F j d H V h b E F u Z E J 1 Z G d l d C 9 T b 3 V y Y 2 U u e 1 J l c G 9 y d F R 5 c G U s N H 0 m c X V v d D s s J n F 1 b 3 Q 7 U 2 V j d G l v b j E v Z k F j d H V h b E F u Z E J 1 Z G d l d C 9 T b 3 V y Y 2 U u e 9 C h 0 Y L Q s N C y 0 L r Q s C w 1 f S Z x d W 9 0 O y w m c X V v d D t T Z W N 0 a W 9 u M S 9 m Q W N 0 d W F s Q W 5 k Q n V k Z 2 V 0 L 1 N v d X J j Z S 5 7 0 J H R g N C + 0 Z g g 0 L 3 Q s C D R m N C w 0 L L Q v d C w I N C 9 0 L D Q s d C w 0 L L Q u t C w I C j Q v 9 C 7 0 L D Q v S k s N n 0 m c X V v d D s s J n F 1 b 3 Q 7 U 2 V j d G l v b j E v Z E 1 h c H B p b m c v Q 2 h h b m d l Z C B U e X B l L n t T d G F 2 a 2 F J R C w 0 f S Z x d W 9 0 O y w m c X V v d D t T Z W N 0 a W 9 u M S 9 k T W F w c G l u Z y 9 D a G F u Z 2 V k I F R 5 c G U u e 1 N 0 Y X Z r Y U l t Z U 1 L L D Z 9 J n F 1 b 3 Q 7 L C Z x d W 9 0 O 1 N l Y 3 R p b 2 4 x L 2 R T d G F 2 a 2 k v Q 2 h h b m d l Z C B U e X B l L n t T d G F 2 a 2 F H c n V w Y S w 3 f S Z x d W 9 0 O y w m c X V v d D t T Z W N 0 a W 9 u M S 9 k U 3 R h d m t p L 0 N o Y W 5 n Z W Q g V H l w Z S 5 7 U 3 R h d m t h S 2 F 0 Z W d v c m l q Y S w 4 f S Z x d W 9 0 O y w m c X V v d D t T Z W N 0 a W 9 u M S 9 k U 3 R h d m t p L 0 N o Y W 5 n Z W Q g V H l w Z S 5 7 W m 5 h a 0 l 6 d m V z d G F q L D E w f S Z x d W 9 0 O y w m c X V v d D t T Z W N 0 a W 9 u M S 9 k U 3 R h d m t p L 0 N o Y W 5 n Z W Q g V H l w Z S 5 7 T 2 J y Y X p l Y 0 l E L D B 9 J n F 1 b 3 Q 7 L C Z x d W 9 0 O 1 N l Y 3 R p b 2 4 x L 2 R T d G F 2 a 2 k v Q 2 h h b m d l Z C B U e X B l L n t T d G F 2 a 2 F B T 1 A s M X 0 m c X V v d D s s J n F 1 b 3 Q 7 U 2 V j d G l v b j E v Z E 9 i c m F z Y 2 k v Q 2 h h b m d l Z C B U e X B l L n t P Y n J h e m V j S W 1 l L D J 9 J n F 1 b 3 Q 7 X S w m c X V v d D t S Z W x h d G l v b n N o a X B J b m Z v J n F 1 b 3 Q 7 O l t 7 J n F 1 b 3 Q 7 a 2 V 5 Q 2 9 s d W 1 u Q 2 9 1 b n Q m c X V v d D s 6 M S w m c X V v d D t r Z X l D b 2 x 1 b W 4 m c X V v d D s 6 M C w m c X V v d D t v d G h l c k t l e U N v b H V t b k l k Z W 5 0 a X R 5 J n F 1 b 3 Q 7 O i Z x d W 9 0 O 1 N l Y 3 R p b 2 4 x L 2 R N Y X B w a W 5 n L 0 N o Y W 5 n Z W Q g V H l w Z S 5 7 S 2 9 u d G 8 s M H 0 m c X V v d D s s J n F 1 b 3 Q 7 S 2 V 5 Q 2 9 s d W 1 u Q 2 9 1 b n Q m c X V v d D s 6 M X 0 s e y Z x d W 9 0 O 2 t l e U N v b H V t b k N v d W 5 0 J n F 1 b 3 Q 7 O j E s J n F 1 b 3 Q 7 a 2 V 5 Q 2 9 s d W 1 u J n F 1 b 3 Q 7 O j c s J n F 1 b 3 Q 7 b 3 R o Z X J L Z X l D b 2 x 1 b W 5 J Z G V u d G l 0 e S Z x d W 9 0 O z o m c X V v d D t T Z W N 0 a W 9 u M S 9 k U 3 R h d m t p L 0 N o Y W 5 n Z W Q g V H l w Z S 5 7 U 3 R h d m t h S U Q s M n 0 m c X V v d D s s J n F 1 b 3 Q 7 S 2 V 5 Q 2 9 s d W 1 u Q 2 9 1 b n Q m c X V v d D s 6 M X 0 s e y Z x d W 9 0 O 2 t l e U N v b H V t b k N v d W 5 0 J n F 1 b 3 Q 7 O j E s J n F 1 b 3 Q 7 a 2 V 5 Q 2 9 s d W 1 u J n F 1 b 3 Q 7 O j E y L C Z x d W 9 0 O 2 9 0 a G V y S 2 V 5 Q 2 9 s d W 1 u S W R l b n R p d H k m c X V v d D s 6 J n F 1 b 3 Q 7 U 2 V j d G l v b j E v Z E 9 i c m F z Y 2 k v Q 2 h h b m d l Z C B U e X B l L n t P Y n J h e m V j S U Q s M X 0 m c X V v d D s s J n F 1 b 3 Q 7 S 2 V 5 Q 2 9 s d W 1 u Q 2 9 1 b n Q m c X V v d D s 6 M X 0 s e y Z x d W 9 0 O 2 t l e U N v b H V t b k N v d W 5 0 J n F 1 b 3 Q 7 O j E s J n F 1 b 3 Q 7 a 2 V 5 Q 2 9 s d W 1 u J n F 1 b 3 Q 7 O j A s J n F 1 b 3 Q 7 b 3 R o Z X J L Z X l D b 2 x 1 b W 5 J Z G V u d G l 0 e S Z x d W 9 0 O z o m c X V v d D t T Z W N 0 a W 9 u M S 9 m Q X J 0 a W t s a U N l b m k v Q 2 h h b m d l Z C B U e X B l L n v Q m t C + 0 L 3 R g t C + L D E x f S Z x d W 9 0 O y w m c X V v d D t L Z X l D b 2 x 1 b W 5 D b 3 V u d C Z x d W 9 0 O z o x f V 1 9 I i A v P j w v U 3 R h Y m x l R W 5 0 c m l l c z 4 8 L 0 l 0 Z W 0 + P E l 0 Z W 0 + P E l 0 Z W 1 M b 2 N h d G l v b j 4 8 S X R l b V R 5 c G U + R m 9 y b X V s Y T w v S X R l b V R 5 c G U + P E l 0 Z W 1 Q Y X R o P l N l Y 3 R p b 2 4 x L 2 Z D b 3 Z l Y 2 t p U m V z d X J z a T w v S X R l b V B h d G g + P C 9 J d G V t T G 9 j Y X R p b 2 4 + P F N 0 Y W J s Z U V u d H J p Z X M + P E V u d H J 5 I F R 5 c G U 9 I k Z p b G x T d G F 0 d X M i I F Z h b H V l P S J z Q 2 9 t c G x l d G U i I C 8 + P E V u d H J 5 I F R 5 c G U 9 I k J 1 Z m Z l c k 5 l e H R S Z W Z y Z X N o I i B W Y W x 1 Z T 0 i b D E i I C 8 + P E V u d H J 5 I F R 5 c G U 9 I k Z p b G x D b 2 x 1 b W 5 O Y W 1 l c y I g V m F s d W U 9 I n N b J n F 1 b 3 Q 7 0 K H R g t C w 0 L L Q u t C w J n F 1 b 3 Q 7 L C Z x d W 9 0 O 9 C i 0 L j Q v y D Q v d C w I N C y 0 Y D Q s N C x 0 L 7 R g t G D 0 L L Q s N G a 0 L U m c X V v d D s s J n F 1 b 3 Q 7 0 J / Q u 9 C w 0 L 3 Q u N G A 0 L D Q v S D Q v 9 G A 0 L j Q u 9 C 4 0 L I v K N C + 0 L T Q u 9 C 4 0 L I p J n F 1 b 3 Q 7 L C Z x d W 9 0 O 9 C f 0 L X R g N C 4 0 L 7 Q t C Z x d W 9 0 O y w m c X V v d D v Q m t G A 0 L D R m N C 9 0 L A g 0 Y H Q v t G B 0 Y L Q v t G Y 0 L H Q s C D Q s t G A 0 L D Q s d C + 0 Y L Q t d C 9 0 L g m c X V v d D s s J n F 1 b 3 Q 7 0 J j Q t 9 C 9 0 L 7 R g S Z x d W 9 0 O y w m c X V v d D v Q m t C + 0 L 3 R g t C + J n F 1 b 3 Q 7 L C Z x d W 9 0 O 1 J l c G 9 y d F R 5 c G U m c X V v d D t d I i A v P j x F b n R y e S B U e X B l P S J G a W x s R W 5 h Y m x l Z C I g V m F s d W U 9 I m w w I i A v P j x F b n R y e S B U e X B l P S J G a W x s Q 2 9 s d W 1 u V H l w Z X M i I F Z h b H V l P S J z Q m d Z R E N R T U R C Z 1 k 9 I i A v P j x F b n R y e S B U e X B l P S J G a W x s T G F z d F V w Z G F 0 Z W Q i I F Z h b H V l P S J k M j A y M i 0 x M i 0 w N F Q y M j o y O D o 1 N i 4 4 N z Y 1 M j g 5 W i I g L z 4 8 R W 5 0 c n k g V H l w Z T 0 i R m l s b E V y c m 9 y Q 2 9 1 b n Q i I F Z h b H V l P S J s M C I g L z 4 8 R W 5 0 c n k g V H l w Z T 0 i R m l s b E V y c m 9 y Q 2 9 k Z S I g V m F s d W U 9 I n N V b m t u b 3 d u I i A v P j x F b n R y e S B U e X B l P S J G a W x s Z W R D b 2 1 w b G V 0 Z V J l c 3 V s d F R v V 2 9 y a 3 N o Z W V 0 I i B W Y W x 1 Z T 0 i b D A i I C 8 + P E V u d H J 5 I F R 5 c G U 9 I k Z p b G x D b 3 V u d C I g V m F s d W U 9 I m w y M j I i I C 8 + P E V u d H J 5 I F R 5 c G U 9 I k Z p b G x U b 0 R h d G F N b 2 R l b E V u Y W J s Z W Q i I F Z h b H V l P S J s M S I g L z 4 8 R W 5 0 c n k g V H l w Z T 0 i S X N Q c m l 2 Y X R l I i B W Y W x 1 Z T 0 i b D A i I C 8 + P E V u d H J 5 I F R 5 c G U 9 I l F 1 Z X J 5 S U Q i I F Z h b H V l P S J z Y m V j N m Q 3 N D U t N T c 2 Z S 0 0 O T A x L T h l M j k t N m R m N z h l M z c 3 Y z Y 3 I i A v P j x F b n R y e S B U e X B l P S J B Z G R l Z F R v R G F 0 Y U 1 v Z G V s I i B W Y W x 1 Z T 0 i b D E i I C 8 + P E V u d H J 5 I F R 5 c G U 9 I l J l c 3 V s d F R 5 c G U i I F Z h b H V l P S J z V G F i b G U i I C 8 + P E V u d H J 5 I F R 5 c G U 9 I k 5 h d m l n Y X R p b 2 5 T d G V w T m F t Z S I g V m F s d W U 9 I n N O Y X Z p Z 2 F 0 a W 9 u I i A v P j x F b n R y e S B U e X B l P S J G a W x s T 2 J q Z W N 0 V H l w Z S I g V m F s d W U 9 I n N D b 2 5 u Z W N 0 a W 9 u T 2 5 s e S I g L z 4 8 R W 5 0 c n k g V H l w Z T 0 i T m F t Z V V w Z G F 0 Z W R B Z n R l c k Z p b G w i I F Z h b H V l P S J s M C I g L z 4 8 R W 5 0 c n k g V H l w Z T 0 i U m V s Y X R p b 2 5 z a G l w S W 5 m b 0 N v b n R h a W 5 l c i I g V m F s d W U 9 I n N 7 J n F 1 b 3 Q 7 Y 2 9 s d W 1 u Q 2 9 1 b n Q m c X V v d D s 6 O C w m c X V v d D t r Z X l D b 2 x 1 b W 5 O Y W 1 l c y Z x d W 9 0 O z p b X S w m c X V v d D t x d W V y e V J l b G F 0 a W 9 u c 2 h p c H M m c X V v d D s 6 W 1 0 s J n F 1 b 3 Q 7 Y 2 9 s d W 1 u S W R l b n R p d G l l c y Z x d W 9 0 O z p b J n F 1 b 3 Q 7 U 2 V j d G l v b j E v Z k N v d m V j a 2 l S Z X N 1 c n N p L 0 N o Y W 5 n Z W Q g V H l w Z S 5 7 0 K L Q u N C / I N C 9 0 L A g 0 L 3 Q s N C 0 0 L 7 Q v N C 1 0 Y H R g t C + 0 L o s M H 0 m c X V v d D s s J n F 1 b 3 Q 7 U 2 V j d G l v b j E v Z k N v d m V j a 2 l S Z X N 1 c n N p L 0 N o Y W 5 n Z W Q g V H l w Z S 5 7 0 K L Q u N C / I N C 9 0 L A g 0 L L R g N C w 0 L H Q v t G C 0 Y P Q s t C w 0 Z r Q t S w x f S Z x d W 9 0 O y w m c X V v d D t T Z W N 0 a W 9 u M S 9 m Q 2 9 2 Z W N r a V J l c 3 V y c 2 k v Q 2 h h b m d l Z C B U e X B l L n v Q n 9 C 7 0 L D Q v d C 4 0 Y D Q s N C 9 I N C / 0 Y D Q u N C 7 0 L j Q s i 8 o 0 L 7 Q t N C 7 0 L j Q s i k s N H 0 m c X V v d D s s J n F 1 b 3 Q 7 U 2 V j d G l v b j E v Z k N v d m V j a 2 l S Z X N 1 c n N p L 0 N o Y W 5 n Z W Q g V H l w Z S 5 7 0 J / Q t d G A 0 L j Q v t C 0 L D V 9 J n F 1 b 3 Q 7 L C Z x d W 9 0 O 1 N l Y 3 R p b 2 4 x L 2 Z D b 3 Z l Y 2 t p U m V z d X J z a S 9 D a G F u Z 2 V k I F R 5 c G U u e 9 C a 0 Y D Q s N G Y 0 L 3 Q s C D R g d C + 0 Y H R g t C + 0 Z j Q s d C w I N C y 0 Y D Q s N C x 0 L 7 R g t C 1 0 L 3 Q u C w 2 f S Z x d W 9 0 O y w m c X V v d D t T Z W N 0 a W 9 u M S 9 m Q 2 9 2 Z W N r a V J l c 3 V y c 2 k v Q 2 h h b m d l Z C B U e X B l L n v Q m N C 3 0 L 3 Q v t G B L D h 9 J n F 1 b 3 Q 7 L C Z x d W 9 0 O 1 N l Y 3 R p b 2 4 x L 2 Z D b 3 Z l Y 2 t p U m V z d X J z a S 9 D a G F u Z 2 V k I F R 5 c G U u e 9 C a 0 L 7 Q v d G C 0 L 4 s O X 0 m c X V v d D s s J n F 1 b 3 Q 7 U 2 V j d G l v b j E v Z k N v d m V j a 2 l S Z X N 1 c n N p L 0 N o Y W 5 n Z W Q g V H l w Z S 5 7 U m V w b 3 J 0 V H l w Z S w x M H 0 m c X V v d D t d L C Z x d W 9 0 O 0 N v b H V t b k N v d W 5 0 J n F 1 b 3 Q 7 O j g s J n F 1 b 3 Q 7 S 2 V 5 Q 2 9 s d W 1 u T m F t Z X M m c X V v d D s 6 W 1 0 s J n F 1 b 3 Q 7 Q 2 9 s d W 1 u S W R l b n R p d G l l c y Z x d W 9 0 O z p b J n F 1 b 3 Q 7 U 2 V j d G l v b j E v Z k N v d m V j a 2 l S Z X N 1 c n N p L 0 N o Y W 5 n Z W Q g V H l w Z S 5 7 0 K L Q u N C / I N C 9 0 L A g 0 L 3 Q s N C 0 0 L 7 Q v N C 1 0 Y H R g t C + 0 L o s M H 0 m c X V v d D s s J n F 1 b 3 Q 7 U 2 V j d G l v b j E v Z k N v d m V j a 2 l S Z X N 1 c n N p L 0 N o Y W 5 n Z W Q g V H l w Z S 5 7 0 K L Q u N C / I N C 9 0 L A g 0 L L R g N C w 0 L H Q v t G C 0 Y P Q s t C w 0 Z r Q t S w x f S Z x d W 9 0 O y w m c X V v d D t T Z W N 0 a W 9 u M S 9 m Q 2 9 2 Z W N r a V J l c 3 V y c 2 k v Q 2 h h b m d l Z C B U e X B l L n v Q n 9 C 7 0 L D Q v d C 4 0 Y D Q s N C 9 I N C / 0 Y D Q u N C 7 0 L j Q s i 8 o 0 L 7 Q t N C 7 0 L j Q s i k s N H 0 m c X V v d D s s J n F 1 b 3 Q 7 U 2 V j d G l v b j E v Z k N v d m V j a 2 l S Z X N 1 c n N p L 0 N o Y W 5 n Z W Q g V H l w Z S 5 7 0 J / Q t d G A 0 L j Q v t C 0 L D V 9 J n F 1 b 3 Q 7 L C Z x d W 9 0 O 1 N l Y 3 R p b 2 4 x L 2 Z D b 3 Z l Y 2 t p U m V z d X J z a S 9 D a G F u Z 2 V k I F R 5 c G U u e 9 C a 0 Y D Q s N G Y 0 L 3 Q s C D R g d C + 0 Y H R g t C + 0 Z j Q s d C w I N C y 0 Y D Q s N C x 0 L 7 R g t C 1 0 L 3 Q u C w 2 f S Z x d W 9 0 O y w m c X V v d D t T Z W N 0 a W 9 u M S 9 m Q 2 9 2 Z W N r a V J l c 3 V y c 2 k v Q 2 h h b m d l Z C B U e X B l L n v Q m N C 3 0 L 3 Q v t G B L D h 9 J n F 1 b 3 Q 7 L C Z x d W 9 0 O 1 N l Y 3 R p b 2 4 x L 2 Z D b 3 Z l Y 2 t p U m V z d X J z a S 9 D a G F u Z 2 V k I F R 5 c G U u e 9 C a 0 L 7 Q v d G C 0 L 4 s O X 0 m c X V v d D s s J n F 1 b 3 Q 7 U 2 V j d G l v b j E v Z k N v d m V j a 2 l S Z X N 1 c n N p L 0 N o Y W 5 n Z W Q g V H l w Z S 5 7 U m V w b 3 J 0 V H l w Z S w x M H 0 m c X V v d D t d L C Z x d W 9 0 O 1 J l b G F 0 a W 9 u c 2 h p c E l u Z m 8 m c X V v d D s 6 W 1 1 9 I i A v P j w v U 3 R h Y m x l R W 5 0 c m l l c z 4 8 L 0 l 0 Z W 0 + P E l 0 Z W 0 + P E l 0 Z W 1 M b 2 N h d G l v b j 4 8 S X R l b V R 5 c G U + R m 9 y b X V s Y T w v S X R l b V R 5 c G U + P E l 0 Z W 1 Q Y X R o P l N l Y 3 R p b 2 4 x L 0 N B U E V Y P C 9 J d G V t U G F 0 a D 4 8 L 0 l 0 Z W 1 M b 2 N h d G l v b j 4 8 U 3 R h Y m x l R W 5 0 c m l l c z 4 8 R W 5 0 c n k g V H l w Z T 0 i R m l s b E N v d W 5 0 I i B W Y W x 1 Z T 0 i b D M w I i A v P j x F b n R y e S B U e X B l P S J C d W Z m Z X J O Z X h 0 U m V m c m V z a C I g V m F s d W U 9 I m w x I i A v P j x F b n R y e S B U e X B l P S J G a W x s R X J y b 3 J D b 2 R l I i B W Y W x 1 Z T 0 i c 1 V u a 2 5 v d 2 4 i I C 8 + P E V u d H J 5 I F R 5 c G U 9 I k Z p b G x F b m F i b G V k I i B W Y W x 1 Z T 0 i b D A i I C 8 + P E V u d H J 5 I F R 5 c G U 9 I k Z p b G x F c n J v c k N v d W 5 0 I i B W Y W x 1 Z T 0 i b D A i I C 8 + P E V u d H J 5 I F R 5 c G U 9 I k Z p b G x M Y X N 0 V X B k Y X R l Z C I g V m F s d W U 9 I m Q y M D I y L T E y L T A 0 V D I y O j I 4 O j U 2 L j c 4 O T c 2 M D N a I i A v P j x F b n R y e S B U e X B l P S J G a W x s Q 2 9 s d W 1 u V H l w Z X M i I F Z h b H V l P S J z Q X d Z R 0 N R a 0 R C Q V l H Q X c 9 P S I g L z 4 8 R W 5 0 c n k g V H l w Z T 0 i R m l s b G V k Q 2 9 t c G x l d G V S Z X N 1 b H R U b 1 d v c m t z a G V l d C I g V m F s d W U 9 I m w w I i A v P j x F b n R y e S B U e X B l P S J G a W x s Q 2 9 s d W 1 u T m F t Z X M i I F Z h b H V l P S J z W y Z x d W 9 0 O 9 C T 0 L 7 Q t N C 4 0 L 3 Q s C D Q t 9 C w I N G A 0 L X Q s N C 7 0 L j Q t 9 C w 0 Y b Q u N G Y 0 L A g 0 L 3 Q s C D Q v 9 G A 0 L 7 Q t d C 6 0 Y I m c X V v d D s s J n F 1 b 3 Q 7 0 J H R g N C + 0 Z g g 0 L 3 Q s C D R m N C w 0 L L Q v d C w I N C 9 0 L D Q s d C w 0 L L Q u t C w I C j Q v 9 C 7 0 L D Q v S k m c X V v d D s s J n F 1 b 3 Q 7 0 J / R g N C 1 0 L T Q v N C 1 0 Y I g 0 L 3 Q s C D Q t N C + 0 L P Q v t C y 0 L 7 R g N C + 0 Y I g 0 L f Q s C D R m N C w 0 L L Q v d C w I N C 9 0 L D Q s d C w 0 L L Q u t C w J n F 1 b 3 Q 7 L C Z x d W 9 0 O 9 C e 0 Y f Q t d C 6 0 Y P Q s t C w 0 L 0 g 0 L T Q s N G C 0 Y P Q v C D Q v d C w I N C / 0 L v Q s N G c 0 L D R m t C 1 J n F 1 b 3 Q 7 L C Z x d W 9 0 O 9 C e 0 Y f Q t d C 6 0 Y P Q s t C w 0 L 0 g 0 L T Q s N G C 0 Y P Q v C D Q t 9 C w I N G B 0 Y L Q s N C y 0 L D R m t C 1 I N C y 0 L 4 g 0 Y P Q v 9 C + 0 Y L R g N C 1 0 L H Q s C A o 0 L z Q t d G B 0 L X R h i k m c X V v d D s s J n F 1 b 3 Q 7 0 J / R g N C + 0 Y b Q t d C 9 0 L X R g t C w I N C y 0 Y D Q t d C 0 0 L 3 Q v t G B 0 Y I g 0 L 3 Q s C D Q v d C w 0 L H Q s N C y 0 L r Q s C D R g d C + I N C U 0 J T Q k i A o 0 L T Q t d C 9 0 L D R g N C 4 K S Z x d W 9 0 O y w m c X V v d D v Q o d G C 0 L D Q v 9 C 6 0 L A g 0 L 3 Q s C D Q s N C 8 0 L 7 R g N G C 0 L j Q t 9 C w 0 Y b Q u N G Y 0 L A m c X V v d D s s J n F 1 b 3 Q 7 0 J r Q v t C 9 0 Y L Q v i D Q o d G A 0 L X Q t N G B 0 Y L Q s t C w J n F 1 b 3 Q 7 L C Z x d W 9 0 O 9 C a 0 L 7 Q v d G C 0 L 4 g 0 J D Q v N C + 0 Y D R g t C 4 0 L f Q s N G G 0 L j R m N C w J n F 1 b 3 Q 7 L C Z x d W 9 0 O 9 C Y 0 L f Q v d C + 0 Y E g 0 L T Q v t C 9 0 L D R h t C 4 0 Z j Q s C Z x d W 9 0 O 1 0 i I C 8 + P E V u d H J 5 I F R 5 c G U 9 I k Z p b G x U b 0 R h d G F N b 2 R l b E V u Y W J s Z W Q i I F Z h b H V l P S J s M S I g L z 4 8 R W 5 0 c n k g V H l w Z T 0 i S X N Q c m l 2 Y X R l I i B W Y W x 1 Z T 0 i b D A i I C 8 + P E V u d H J 5 I F R 5 c G U 9 I l F 1 Z X J 5 S U Q i I F Z h b H V l P S J z Z D A y N m U 5 N D U t M z A 2 Y S 0 0 Y T k 2 L W F l O D Y t O W U 0 M G J i O T N i Y m R h I i A v P j x F b n R y e S B U e X B l P S J G a W x s U 3 R h d H V z I i B W Y W x 1 Z T 0 i c 0 N v b X B s Z X R l I i A v P j x F b n R y e S B U e X B l P S J S Z X N 1 b H R U e X B l I i B W Y W x 1 Z T 0 i c 1 R h Y m x l I i A v P j x F b n R y e S B U e X B l P S J O Y X Z p Z 2 F 0 a W 9 u U 3 R l c E 5 h b W U i I F Z h b H V l P S J z T m F 2 a W d h d G l v b i I g L z 4 8 R W 5 0 c n k g V H l w Z T 0 i R m l s b E 9 i a m V j d F R 5 c G U i I F Z h b H V l P S J z U G l 2 b 3 R U Y W J s Z S I g L z 4 8 R W 5 0 c n k g V H l w Z T 0 i T m F t Z V V w Z G F 0 Z W R B Z n R l c k Z p b G w i I F Z h b H V l P S J s M C I g L z 4 8 R W 5 0 c n k g V H l w Z T 0 i U G l 2 b 3 R P Y m p l Y 3 R O Y W 1 l I i B W Y W x 1 Z T 0 i c 0 N B U E V Y I N C I 0 J 0 h U G l 2 b 3 R U Y W J s Z T E i I C 8 + P E V u d H J 5 I F R 5 c G U 9 I k F k Z G V k V G 9 E Y X R h T W 9 k Z W w i I F Z h b H V l P S J s M S I g L z 4 8 R W 5 0 c n k g V H l w Z T 0 i U m V s Y X R p b 2 5 z a G l w S W 5 m b 0 N v b n R h a W 5 l c i I g V m F s d W U 9 I n N 7 J n F 1 b 3 Q 7 Y 2 9 s d W 1 u Q 2 9 1 b n Q m c X V v d D s 6 M T A s J n F 1 b 3 Q 7 a 2 V 5 Q 2 9 s d W 1 u T m F t Z X M m c X V v d D s 6 W 1 0 s J n F 1 b 3 Q 7 c X V l c n l S Z W x h d G l v b n N o a X B z J n F 1 b 3 Q 7 O l t d L C Z x d W 9 0 O 2 N v b H V t b k l k Z W 5 0 a X R p Z X M m c X V v d D s 6 W y Z x d W 9 0 O 1 N l Y 3 R p b 2 4 x L 0 N B U E V Y L 0 N o Y W 5 n Z W Q g V H l w Z S 5 7 0 J P Q v t C 0 0 L j Q v d C w I N C 3 0 L A g 0 Y D Q t d C w 0 L v Q u N C 3 0 L D R h t C 4 0 Z j Q s C D Q v d C w I N C / 0 Y D Q v t C 1 0 L r R g i w w f S Z x d W 9 0 O y w m c X V v d D t T Z W N 0 a W 9 u M S 9 D Q V B F W C 9 D a G F u Z 2 V k I F R 5 c G U u e 9 C R 0 Y D Q v t G Y I N C 9 0 L A g 0 Z j Q s N C y 0 L 3 Q s C D Q v d C w 0 L H Q s N C y 0 L r Q s C A o 0 L / Q u 9 C w 0 L 0 p L D F 9 J n F 1 b 3 Q 7 L C Z x d W 9 0 O 1 N l Y 3 R p b 2 4 x L 0 N B U E V Y L 0 N o Y W 5 n Z W Q g V H l w Z S 5 7 0 J / R g N C 1 0 L T Q v N C 1 0 Y I g 0 L 3 Q s C D Q t N C + 0 L P Q v t C y 0 L 7 R g N C + 0 Y I g 0 L f Q s C D R m N C w 0 L L Q v d C w I N C 9 0 L D Q s d C w 0 L L Q u t C w L D J 9 J n F 1 b 3 Q 7 L C Z x d W 9 0 O 1 N l Y 3 R p b 2 4 x L 0 N B U E V Y L 0 N o Y W 5 n Z W Q g V H l w Z S 5 7 0 J 7 R h 9 C 1 0 L r R g 9 C y 0 L D Q v S D Q t N C w 0 Y L R g 9 C 8 I N C 9 0 L A g 0 L / Q u 9 C w 0 Z z Q s N G a 0 L U s M 3 0 m c X V v d D s s J n F 1 b 3 Q 7 U 2 V j d G l v b j E v Q 0 F Q R V g v Q 2 h h b m d l Z C B U e X B l L n v Q n t G H 0 L X Q u t G D 0 L L Q s N C 9 I N C 0 0 L D R g t G D 0 L w g 0 L f Q s C D R g d G C 0 L D Q s t C w 0 Z r Q t S D Q s t C + I N G D 0 L / Q v t G C 0 Y D Q t d C x 0 L A g K N C 8 0 L X R g d C 1 0 Y Y p L D R 9 J n F 1 b 3 Q 7 L C Z x d W 9 0 O 1 N l Y 3 R p b 2 4 x L 0 N B U E V Y L 0 N o Y W 5 n Z W Q g V H l w Z S 5 7 0 J / R g N C + 0 Y b Q t d C 9 0 L X R g t C w I N C y 0 Y D Q t d C 0 0 L 3 Q v t G B 0 Y I g 0 L 3 Q s C D Q v d C w 0 L H Q s N C y 0 L r Q s C D R g d C + I N C U 0 J T Q k i A o 0 L T Q t d C 9 0 L D R g N C 4 K S w 1 f S Z x d W 9 0 O y w m c X V v d D t T Z W N 0 a W 9 u M S 9 D Q V B F W C 9 D a G F u Z 2 V k I F R 5 c G U u e 9 C h 0 Y L Q s N C / 0 L r Q s C D Q v d C w I N C w 0 L z Q v t G A 0 Y L Q u N C 3 0 L D R h t C 4 0 Z j Q s C w 2 f S Z x d W 9 0 O y w m c X V v d D t T Z W N 0 a W 9 u M S 9 D Q V B F W C 9 D a G F u Z 2 V k I F R 5 c G U u e 9 C a 0 L 7 Q v d G C 0 L 4 g 0 K H R g N C 1 0 L T R g d G C 0 L L Q s C w 3 f S Z x d W 9 0 O y w m c X V v d D t T Z W N 0 a W 9 u M S 9 D Q V B F W C 9 D a G F u Z 2 V k I F R 5 c G U u e 9 C a 0 L 7 Q v d G C 0 L 4 g 0 J D Q v N C + 0 Y D R g t C 4 0 L f Q s N G G 0 L j R m N C w L D h 9 J n F 1 b 3 Q 7 L C Z x d W 9 0 O 1 N l Y 3 R p b 2 4 x L 0 N B U E V Y L 0 N o Y W 5 n Z W Q g V H l w Z S 5 7 0 J j Q t 9 C 9 0 L 7 R g S D Q t N C + 0 L 3 Q s N G G 0 L j R m N C w L D l 9 J n F 1 b 3 Q 7 X S w m c X V v d D t D b 2 x 1 b W 5 D b 3 V u d C Z x d W 9 0 O z o x M C w m c X V v d D t L Z X l D b 2 x 1 b W 5 O Y W 1 l c y Z x d W 9 0 O z p b X S w m c X V v d D t D b 2 x 1 b W 5 J Z G V u d G l 0 a W V z J n F 1 b 3 Q 7 O l s m c X V v d D t T Z W N 0 a W 9 u M S 9 D Q V B F W C 9 D a G F u Z 2 V k I F R 5 c G U u e 9 C T 0 L 7 Q t N C 4 0 L 3 Q s C D Q t 9 C w I N G A 0 L X Q s N C 7 0 L j Q t 9 C w 0 Y b Q u N G Y 0 L A g 0 L 3 Q s C D Q v 9 G A 0 L 7 Q t d C 6 0 Y I s M H 0 m c X V v d D s s J n F 1 b 3 Q 7 U 2 V j d G l v b j E v Q 0 F Q R V g v Q 2 h h b m d l Z C B U e X B l L n v Q k d G A 0 L 7 R m C D Q v d C w I N G Y 0 L D Q s t C 9 0 L A g 0 L 3 Q s N C x 0 L D Q s t C 6 0 L A g K N C / 0 L v Q s N C 9 K S w x f S Z x d W 9 0 O y w m c X V v d D t T Z W N 0 a W 9 u M S 9 D Q V B F W C 9 D a G F u Z 2 V k I F R 5 c G U u e 9 C f 0 Y D Q t d C 0 0 L z Q t d G C I N C 9 0 L A g 0 L T Q v t C z 0 L 7 Q s t C + 0 Y D Q v t G C I N C 3 0 L A g 0 Z j Q s N C y 0 L 3 Q s C D Q v d C w 0 L H Q s N C y 0 L r Q s C w y f S Z x d W 9 0 O y w m c X V v d D t T Z W N 0 a W 9 u M S 9 D Q V B F W C 9 D a G F u Z 2 V k I F R 5 c G U u e 9 C e 0 Y f Q t d C 6 0 Y P Q s t C w 0 L 0 g 0 L T Q s N G C 0 Y P Q v C D Q v d C w I N C / 0 L v Q s N G c 0 L D R m t C 1 L D N 9 J n F 1 b 3 Q 7 L C Z x d W 9 0 O 1 N l Y 3 R p b 2 4 x L 0 N B U E V Y L 0 N o Y W 5 n Z W Q g V H l w Z S 5 7 0 J 7 R h 9 C 1 0 L r R g 9 C y 0 L D Q v S D Q t N C w 0 Y L R g 9 C 8 I N C 3 0 L A g 0 Y H R g t C w 0 L L Q s N G a 0 L U g 0 L L Q v i D R g 9 C / 0 L 7 R g t G A 0 L X Q s d C w I C j Q v N C 1 0 Y H Q t d G G K S w 0 f S Z x d W 9 0 O y w m c X V v d D t T Z W N 0 a W 9 u M S 9 D Q V B F W C 9 D a G F u Z 2 V k I F R 5 c G U u e 9 C f 0 Y D Q v t G G 0 L X Q v d C 1 0 Y L Q s C D Q s t G A 0 L X Q t N C 9 0 L 7 R g d G C I N C 9 0 L A g 0 L 3 Q s N C x 0 L D Q s t C 6 0 L A g 0 Y H Q v i D Q l N C U 0 J I g K N C 0 0 L X Q v d C w 0 Y D Q u C k s N X 0 m c X V v d D s s J n F 1 b 3 Q 7 U 2 V j d G l v b j E v Q 0 F Q R V g v Q 2 h h b m d l Z C B U e X B l L n v Q o d G C 0 L D Q v 9 C 6 0 L A g 0 L 3 Q s C D Q s N C 8 0 L 7 R g N G C 0 L j Q t 9 C w 0 Y b Q u N G Y 0 L A s N n 0 m c X V v d D s s J n F 1 b 3 Q 7 U 2 V j d G l v b j E v Q 0 F Q R V g v Q 2 h h b m d l Z C B U e X B l L n v Q m t C + 0 L 3 R g t C + I N C h 0 Y D Q t d C 0 0 Y H R g t C y 0 L A s N 3 0 m c X V v d D s s J n F 1 b 3 Q 7 U 2 V j d G l v b j E v Q 0 F Q R V g v Q 2 h h b m d l Z C B U e X B l L n v Q m t C + 0 L 3 R g t C + I N C Q 0 L z Q v t G A 0 Y L Q u N C 3 0 L D R h t C 4 0 Z j Q s C w 4 f S Z x d W 9 0 O y w m c X V v d D t T Z W N 0 a W 9 u M S 9 D Q V B F W C 9 D a G F u Z 2 V k I F R 5 c G U u e 9 C Y 0 L f Q v d C + 0 Y E g 0 L T Q v t C 9 0 L D R h t C 4 0 Z j Q s C w 5 f S Z x d W 9 0 O 1 0 s J n F 1 b 3 Q 7 U m V s Y X R p b 2 5 z a G l w S W 5 m b y Z x d W 9 0 O z p b X X 0 i I C 8 + P C 9 T d G F i b G V F b n R y a W V z P j w v S X R l b T 4 8 S X R l b T 4 8 S X R l b U x v Y 2 F 0 a W 9 u P j x J d G V t V H l w Z T 5 G b 3 J t d W x h P C 9 J d G V t V H l w Z T 4 8 S X R l b V B h d G g + U 2 V j d G l v b j E v Q W 1 v c n R p e m F j a W p h P C 9 J d G V t U G F 0 a D 4 8 L 0 l 0 Z W 1 M b 2 N h d G l v b j 4 8 U 3 R h Y m x l R W 5 0 c m l l c z 4 8 R W 5 0 c n k g V H l w Z T 0 i R m l s b F N 0 Y X R 1 c y I g V m F s d W U 9 I n N D b 2 1 w b G V 0 Z S I g L z 4 8 R W 5 0 c n k g V H l w Z T 0 i Q n V m Z m V y T m V 4 d F J l Z n J l c 2 g i I F Z h b H V l P S J s M S I g L z 4 8 R W 5 0 c n k g V H l w Z T 0 i R m l s b E N v b H V t b k 5 h b W V z I i B W Y W x 1 Z T 0 i c 1 s m c X V v d D v Q k d G A 0 L 7 R m C D Q v d C w I N G Y 0 L D Q s t C 9 0 L A g 0 L 3 Q s N C x 0 L D Q s t C 6 0 L A g K N C / 0 L v Q s N C 9 K S Z x d W 9 0 O y w m c X V v d D v Q o d G C 0 L D Q s t C 6 0 L A m c X V v d D s s J n F 1 b 3 Q 7 0 J / Q t d G A 0 L j Q v t C 0 J n F 1 b 3 Q 7 L C Z x d W 9 0 O 9 C Y 0 L f Q v d C + 0 Y E m c X V v d D s s J n F 1 b 3 Q 7 0 J r Q v t C 9 0 Y L Q v i Z x d W 9 0 O y w m c X V v d D t S Z X B v c n R U e X B l J n F 1 b 3 Q 7 X S I g L z 4 8 R W 5 0 c n k g V H l w Z T 0 i R m l s b E V u Y W J s Z W Q i I F Z h b H V l P S J s M C I g L z 4 8 R W 5 0 c n k g V H l w Z T 0 i R m l s b E N v b H V t b l R 5 c G V z I i B W Y W x 1 Z T 0 i c 0 J n W U p B d 1 l H I i A v P j x F b n R y e S B U e X B l P S J G a W x s T G F z d F V w Z G F 0 Z W Q i I F Z h b H V l P S J k M j A y M i 0 x M i 0 w N F Q y M j o y O D o 1 N i 4 4 N j U 1 N T c x W i I g L z 4 8 R W 5 0 c n k g V H l w Z T 0 i R m l s b E V y c m 9 y Q 2 9 1 b n Q i I F Z h b H V l P S J s M C I g L z 4 8 R W 5 0 c n k g V H l w Z T 0 i R m l s b E V y c m 9 y Q 2 9 k Z S I g V m F s d W U 9 I n N V b m t u b 3 d u I i A v P j x F b n R y e S B U e X B l P S J G a W x s Z W R D b 2 1 w b G V 0 Z V J l c 3 V s d F R v V 2 9 y a 3 N o Z W V 0 I i B W Y W x 1 Z T 0 i b D A i I C 8 + P E V u d H J 5 I F R 5 c G U 9 I k Z p b G x D b 3 V u d C I g V m F s d W U 9 I m w x M T Q i I C 8 + P E V u d H J 5 I F R 5 c G U 9 I k Z p b G x U b 0 R h d G F N b 2 R l b E V u Y W J s Z W Q i I F Z h b H V l P S J s M S I g L z 4 8 R W 5 0 c n k g V H l w Z T 0 i S X N Q c m l 2 Y X R l I i B W Y W x 1 Z T 0 i b D A i I C 8 + P E V u d H J 5 I F R 5 c G U 9 I l F 1 Z X J 5 S U Q i I F Z h b H V l P S J z M z k 5 N T N i Y z A t M j M 4 N i 0 0 Y m Q y L T g 1 M j k t Z D Q 1 Z W F k Z j V i N z E 4 I i A v P j x F b n R y e S B U e X B l P S J B Z G R l Z F R v R G F 0 Y U 1 v Z G V s I i B W Y W x 1 Z T 0 i b D E i I C 8 + P E V u d H J 5 I F R 5 c G U 9 I l J l c 3 V s d F R 5 c G U i I F Z h b H V l P S J z V G F i b G U i I C 8 + P E V u d H J 5 I F R 5 c G U 9 I k 5 h d m l n Y X R p b 2 5 T d G V w T m F t Z S I g V m F s d W U 9 I n N O Y X Z p Z 2 F 0 a W 9 u I i A v P j x F b n R y e S B U e X B l P S J G a W x s T 2 J q Z W N 0 V H l w Z S I g V m F s d W U 9 I n N Q a X Z v d F R h Y m x l I i A v P j x F b n R y e S B U e X B l P S J O Y W 1 l V X B k Y X R l Z E F m d G V y R m l s b C I g V m F s d W U 9 I m w w I i A v P j x F b n R y e S B U e X B l P S J Q a X Z v d E 9 i a m V j d E 5 h b W U i I F Z h b H V l P S J z Q W 1 v c n R p e m F j a W p h X 0 N V Q k U h U G l 2 b 3 R U Y W J s Z T Y i I C 8 + P E V u d H J 5 I F R 5 c G U 9 I l J l b G F 0 a W 9 u c 2 h p c E l u Z m 9 D b 2 5 0 Y W l u Z X I i I F Z h b H V l P S J z e y Z x d W 9 0 O 2 N v b H V t b k N v d W 5 0 J n F 1 b 3 Q 7 O j Y s J n F 1 b 3 Q 7 a 2 V 5 Q 2 9 s d W 1 u T m F t Z X M m c X V v d D s 6 W 1 0 s J n F 1 b 3 Q 7 c X V l c n l S Z W x h d G l v b n N o a X B z J n F 1 b 3 Q 7 O l t d L C Z x d W 9 0 O 2 N v b H V t b k l k Z W 5 0 a X R p Z X M m c X V v d D s 6 W y Z x d W 9 0 O 1 N l Y 3 R p b 2 4 x L 0 F t b 3 J 0 a X p h Y 2 l q Y S 9 D a G F u Z 2 V k I F R 5 c G U u e 9 C R 0 Y D Q v t G Y I N C 9 0 L A g 0 Z j Q s N C y 0 L 3 Q s C D Q v d C w 0 L H Q s N C y 0 L r Q s C A o 0 L / Q u 9 C w 0 L 0 p L D B 9 J n F 1 b 3 Q 7 L C Z x d W 9 0 O 1 N l Y 3 R p b 2 4 x L 0 F t b 3 J 0 a X p h Y 2 l q Y S 9 D a G F u Z 2 V k I F R 5 c G U u e 9 C f 0 Y D Q t d C 0 0 L z Q t d G C I N C 9 0 L A g 0 L T Q v t C z 0 L 7 Q s t C + 0 Y D Q v t G C I N C 3 0 L A g 0 Z j Q s N C y 0 L 3 Q s C D Q v d C w 0 L H Q s N C y 0 L r Q s C w x f S Z x d W 9 0 O y w m c X V v d D t T Z W N 0 a W 9 u M S 9 B b W 9 y d G l 6 Y W N p a m E v Q 2 h h b m d l Z C B U e X B l L n v Q n t G H 0 L X Q u t G D 0 L L Q s N C 9 I N C 0 0 L D R g t G D 0 L w g 0 L f Q s C D R g d G C 0 L D Q s t C w 0 Z r Q t S D Q s t C + I N G D 0 L / Q v t G C 0 Y D Q t d C x 0 L A g K N C 8 0 L X R g d C 1 0 Y Y p L D J 9 J n F 1 b 3 Q 7 L C Z x d W 9 0 O 1 N l Y 3 R p b 2 4 x L 0 F t b 3 J 0 a X p h Y 2 l q Y S 9 D a G F u Z 2 V k I F R 5 c G U u e 9 C c 0 L X R g d C 1 0 Y f Q t d C 9 I N C 4 0 L f Q v d C + 0 Y E g 0 L 3 Q s C D Q s N C 8 0 L 7 R g N G C 0 L j Q t 9 C w 0 Y b Q u N G Y 0 L A s M 3 0 m c X V v d D s s J n F 1 b 3 Q 7 U 2 V j d G l v b j E v Q W 1 v c n R p e m F j a W p h L 0 N o Y W 5 n Z W Q g V H l w Z S 5 7 0 J r Q v t C 9 0 Y L Q v i w 0 f S Z x d W 9 0 O y w m c X V v d D t T Z W N 0 a W 9 u M S 9 B b W 9 y d G l 6 Y W N p a m E v Q 2 h h b m d l Z C B U e X B l L n t S Z X B v c n R U e X B l L D V 9 J n F 1 b 3 Q 7 X S w m c X V v d D t D b 2 x 1 b W 5 D b 3 V u d C Z x d W 9 0 O z o 2 L C Z x d W 9 0 O 0 t l e U N v b H V t b k 5 h b W V z J n F 1 b 3 Q 7 O l t d L C Z x d W 9 0 O 0 N v b H V t b k l k Z W 5 0 a X R p Z X M m c X V v d D s 6 W y Z x d W 9 0 O 1 N l Y 3 R p b 2 4 x L 0 F t b 3 J 0 a X p h Y 2 l q Y S 9 D a G F u Z 2 V k I F R 5 c G U u e 9 C R 0 Y D Q v t G Y I N C 9 0 L A g 0 Z j Q s N C y 0 L 3 Q s C D Q v d C w 0 L H Q s N C y 0 L r Q s C A o 0 L / Q u 9 C w 0 L 0 p L D B 9 J n F 1 b 3 Q 7 L C Z x d W 9 0 O 1 N l Y 3 R p b 2 4 x L 0 F t b 3 J 0 a X p h Y 2 l q Y S 9 D a G F u Z 2 V k I F R 5 c G U u e 9 C f 0 Y D Q t d C 0 0 L z Q t d G C I N C 9 0 L A g 0 L T Q v t C z 0 L 7 Q s t C + 0 Y D Q v t G C I N C 3 0 L A g 0 Z j Q s N C y 0 L 3 Q s C D Q v d C w 0 L H Q s N C y 0 L r Q s C w x f S Z x d W 9 0 O y w m c X V v d D t T Z W N 0 a W 9 u M S 9 B b W 9 y d G l 6 Y W N p a m E v Q 2 h h b m d l Z C B U e X B l L n v Q n t G H 0 L X Q u t G D 0 L L Q s N C 9 I N C 0 0 L D R g t G D 0 L w g 0 L f Q s C D R g d G C 0 L D Q s t C w 0 Z r Q t S D Q s t C + I N G D 0 L / Q v t G C 0 Y D Q t d C x 0 L A g K N C 8 0 L X R g d C 1 0 Y Y p L D J 9 J n F 1 b 3 Q 7 L C Z x d W 9 0 O 1 N l Y 3 R p b 2 4 x L 0 F t b 3 J 0 a X p h Y 2 l q Y S 9 D a G F u Z 2 V k I F R 5 c G U u e 9 C c 0 L X R g d C 1 0 Y f Q t d C 9 I N C 4 0 L f Q v d C + 0 Y E g 0 L 3 Q s C D Q s N C 8 0 L 7 R g N G C 0 L j Q t 9 C w 0 Y b Q u N G Y 0 L A s M 3 0 m c X V v d D s s J n F 1 b 3 Q 7 U 2 V j d G l v b j E v Q W 1 v c n R p e m F j a W p h L 0 N o Y W 5 n Z W Q g V H l w Z S 5 7 0 J r Q v t C 9 0 Y L Q v i w 0 f S Z x d W 9 0 O y w m c X V v d D t T Z W N 0 a W 9 u M S 9 B b W 9 y d G l 6 Y W N p a m E v Q 2 h h b m d l Z C B U e X B l L n t S Z X B v c n R U e X B l L D V 9 J n F 1 b 3 Q 7 X S w m c X V v d D t S Z W x h d G l v b n N o a X B J b m Z v J n F 1 b 3 Q 7 O l t d f S I g L z 4 8 L 1 N 0 Y W J s Z U V u d H J p Z X M + P C 9 J d G V t P j x J d G V t P j x J d G V t T G 9 j Y X R p b 2 4 + P E l 0 Z W 1 U e X B l P k Z v c m 1 1 b G E 8 L 0 l 0 Z W 1 U e X B l P j x J d G V t U G F 0 a D 5 T Z W N 0 a W 9 u M S 9 k U 3 R h d m t p P C 9 J d G V t U G F 0 a D 4 8 L 0 l 0 Z W 1 M b 2 N h d G l v b j 4 8 U 3 R h Y m x l R W 5 0 c m l l c z 4 8 R W 5 0 c n k g V H l w Z T 0 i Q W R k Z W R U b 0 R h d G F N b 2 R l b C I g V m F s d W U 9 I m w w I i A v P j x F b n R y e S B U e X B l P S J C d W Z m Z X J O Z X h 0 U m V m c m V z a C I g V m F s d W U 9 I m w x I i A v P j x F b n R y e S B U e X B l P S J G a W x s R W 5 h Y m x l Z C I g V m F s d W U 9 I m w w I i A v P j x F b n R y e S B U e X B l P S J G a W x s R X J y b 3 J D b 2 R l I i B W Y W x 1 Z T 0 i c 1 V u a 2 5 v d 2 4 i I C 8 + P E V u d H J 5 I F R 5 c G U 9 I k Z p b G x M Y X N 0 V X B k Y X R l Z C I g V m F s d W U 9 I m Q y M D E 5 L T E x L T A 1 V D A x O j M z O j M 0 L j Y x N T E z O D V a I i A v P j x F b n R y e S B U e X B l P S J G a W x s Q 2 9 s d W 1 u V H l w Z X M i I F Z h b H V l P S J z Q X d Z R E J n W U d C Z 1 l H Q m d N P S I g L z 4 8 R W 5 0 c n k g V H l w Z T 0 i R m l s b E N v b H V t b k 5 h b W V z I i B W Y W x 1 Z T 0 i c 1 s m c X V v d D t P Y n J h e m V j S U Q m c X V v d D s s J n F 1 b 3 Q 7 U 3 R h d m t h Q U 9 Q J n F 1 b 3 Q 7 L C Z x d W 9 0 O 1 N 0 Y X Z r Y U l E J n F 1 b 3 Q 7 L C Z x d W 9 0 O 1 N 0 Y X Z r Y U l t Z U 1 L J n F 1 b 3 Q 7 L C Z x d W 9 0 O 1 N 0 Y X Z r Y U l t Z U V O J n F 1 b 3 Q 7 L C Z x d W 9 0 O 0 t s Y X N p Z m l r Y W N p a m F Q c m F 2 a W x u a W s m c X V v d D s s J n F 1 b 3 Q 7 U 3 R h d m t h R 3 J 1 c G F J R C Z x d W 9 0 O y w m c X V v d D t T d G F 2 a 2 F H c n V w Y S Z x d W 9 0 O y w m c X V v d D t T d G F 2 a 2 F L Y X R l Z 2 9 y a W p h J n F 1 b 3 Q 7 L C Z x d W 9 0 O 0 t s Y X N h J n F 1 b 3 Q 7 L C Z x d W 9 0 O 1 p u Y W t J e n Z l c 3 R h a i Z x d W 9 0 O 1 0 i I C 8 + P E V u d H J 5 I F R 5 c G U 9 I k Z p b G x l Z E N v b X B s Z X R l U m V z d W x 0 V G 9 X b 3 J r c 2 h l Z X Q i I F Z h b H V l P S J s M C I g L z 4 8 R W 5 0 c n k g V H l w Z T 0 i R m l s b F N 0 Y X R 1 c y I g V m F s d W U 9 I n N D b 2 1 w b G V 0 Z S I g L z 4 8 R W 5 0 c n k g V H l w Z T 0 i R m l s b F R v R G F 0 Y U 1 v Z G V s R W 5 h Y m x l Z C I g V m F s d W U 9 I m w w I i A v P j x F b n R y e S B U e X B l P S J J c 1 B y a X Z h d G U i I F Z h b H V l P S J s M C I g L z 4 8 R W 5 0 c n k g V H l w Z T 0 i U X V l c n l J R C I g V m F s d W U 9 I n N h N T I 3 O T J l O S 0 w M D J j L T Q x N D Y t Y T Q 4 N C 1 k M 2 R h Y 2 M 1 Y T Z i Z j E i I C 8 + P E V u d H J 5 I F R 5 c G U 9 I l J l b G F 0 a W 9 u c 2 h p c E l u Z m 9 D b 2 5 0 Y W l u Z X I i I F Z h b H V l P S J z e y Z x d W 9 0 O 2 N v b H V t b k N v d W 5 0 J n F 1 b 3 Q 7 O j E x L C Z x d W 9 0 O 2 t l e U N v b H V t b k 5 h b W V z J n F 1 b 3 Q 7 O l t d L C Z x d W 9 0 O 3 F 1 Z X J 5 U m V s Y X R p b 2 5 z a G l w c y Z x d W 9 0 O z p b X S w m c X V v d D t j b 2 x 1 b W 5 J Z G V u d G l 0 a W V z J n F 1 b 3 Q 7 O l s m c X V v d D t T Z W N 0 a W 9 u M S 9 k U 3 R h d m t p L 0 N o Y W 5 n Z W Q g V H l w Z S 5 7 T 2 J y Y X p l Y 0 l E L D B 9 J n F 1 b 3 Q 7 L C Z x d W 9 0 O 1 N l Y 3 R p b 2 4 x L 2 R T d G F 2 a 2 k v Q 2 h h b m d l Z C B U e X B l L n t T d G F 2 a 2 F B T 1 A s M X 0 m c X V v d D s s J n F 1 b 3 Q 7 U 2 V j d G l v b j E v Z F N 0 Y X Z r a S 9 D a G F u Z 2 V k I F R 5 c G U u e 1 N 0 Y X Z r Y U l E L D J 9 J n F 1 b 3 Q 7 L C Z x d W 9 0 O 1 N l Y 3 R p b 2 4 x L 2 R T d G F 2 a 2 k v Q 2 h h b m d l Z C B U e X B l L n t T d G F 2 a 2 F J b W V N S y w z f S Z x d W 9 0 O y w m c X V v d D t T Z W N 0 a W 9 u M S 9 k U 3 R h d m t p L 0 N o Y W 5 n Z W Q g V H l w Z S 5 7 U 3 R h d m t h S W 1 l R U 4 s N H 0 m c X V v d D s s J n F 1 b 3 Q 7 U 2 V j d G l v b j E v Z F N 0 Y X Z r a S 9 D a G F u Z 2 V k I F R 5 c G U u e 0 t s Y X N p Z m l r Y W N p a m F Q c m F 2 a W x u a W s s N X 0 m c X V v d D s s J n F 1 b 3 Q 7 U 2 V j d G l v b j E v Z F N 0 Y X Z r a S 9 D a G F u Z 2 V k I F R 5 c G U u e 1 N 0 Y X Z r Y U d y d X B h S U Q s N n 0 m c X V v d D s s J n F 1 b 3 Q 7 U 2 V j d G l v b j E v Z F N 0 Y X Z r a S 9 D a G F u Z 2 V k I F R 5 c G U u e 1 N 0 Y X Z r Y U d y d X B h L D d 9 J n F 1 b 3 Q 7 L C Z x d W 9 0 O 1 N l Y 3 R p b 2 4 x L 2 R T d G F 2 a 2 k v Q 2 h h b m d l Z C B U e X B l L n t T d G F 2 a 2 F L Y X R l Z 2 9 y a W p h L D h 9 J n F 1 b 3 Q 7 L C Z x d W 9 0 O 1 N l Y 3 R p b 2 4 x L 2 R T d G F 2 a 2 k v Q 2 h h b m d l Z C B U e X B l L n t L b G F z Y S w 5 f S Z x d W 9 0 O y w m c X V v d D t T Z W N 0 a W 9 u M S 9 k U 3 R h d m t p L 0 N o Y W 5 n Z W Q g V H l w Z S 5 7 W m 5 h a 0 l 6 d m V z d G F q L D E w f S Z x d W 9 0 O 1 0 s J n F 1 b 3 Q 7 Q 2 9 s d W 1 u Q 2 9 1 b n Q m c X V v d D s 6 M T E s J n F 1 b 3 Q 7 S 2 V 5 Q 2 9 s d W 1 u T m F t Z X M m c X V v d D s 6 W 1 0 s J n F 1 b 3 Q 7 Q 2 9 s d W 1 u S W R l b n R p d G l l c y Z x d W 9 0 O z p b J n F 1 b 3 Q 7 U 2 V j d G l v b j E v Z F N 0 Y X Z r a S 9 D a G F u Z 2 V k I F R 5 c G U u e 0 9 i c m F 6 Z W N J R C w w f S Z x d W 9 0 O y w m c X V v d D t T Z W N 0 a W 9 u M S 9 k U 3 R h d m t p L 0 N o Y W 5 n Z W Q g V H l w Z S 5 7 U 3 R h d m t h Q U 9 Q L D F 9 J n F 1 b 3 Q 7 L C Z x d W 9 0 O 1 N l Y 3 R p b 2 4 x L 2 R T d G F 2 a 2 k v Q 2 h h b m d l Z C B U e X B l L n t T d G F 2 a 2 F J R C w y f S Z x d W 9 0 O y w m c X V v d D t T Z W N 0 a W 9 u M S 9 k U 3 R h d m t p L 0 N o Y W 5 n Z W Q g V H l w Z S 5 7 U 3 R h d m t h S W 1 l T U s s M 3 0 m c X V v d D s s J n F 1 b 3 Q 7 U 2 V j d G l v b j E v Z F N 0 Y X Z r a S 9 D a G F u Z 2 V k I F R 5 c G U u e 1 N 0 Y X Z r Y U l t Z U V O L D R 9 J n F 1 b 3 Q 7 L C Z x d W 9 0 O 1 N l Y 3 R p b 2 4 x L 2 R T d G F 2 a 2 k v Q 2 h h b m d l Z C B U e X B l L n t L b G F z a W Z p a 2 F j a W p h U H J h d m l s b m l r L D V 9 J n F 1 b 3 Q 7 L C Z x d W 9 0 O 1 N l Y 3 R p b 2 4 x L 2 R T d G F 2 a 2 k v Q 2 h h b m d l Z C B U e X B l L n t T d G F 2 a 2 F H c n V w Y U l E L D Z 9 J n F 1 b 3 Q 7 L C Z x d W 9 0 O 1 N l Y 3 R p b 2 4 x L 2 R T d G F 2 a 2 k v Q 2 h h b m d l Z C B U e X B l L n t T d G F 2 a 2 F H c n V w Y S w 3 f S Z x d W 9 0 O y w m c X V v d D t T Z W N 0 a W 9 u M S 9 k U 3 R h d m t p L 0 N o Y W 5 n Z W Q g V H l w Z S 5 7 U 3 R h d m t h S 2 F 0 Z W d v c m l q Y S w 4 f S Z x d W 9 0 O y w m c X V v d D t T Z W N 0 a W 9 u M S 9 k U 3 R h d m t p L 0 N o Y W 5 n Z W Q g V H l w Z S 5 7 S 2 x h c 2 E s O X 0 m c X V v d D s s J n F 1 b 3 Q 7 U 2 V j d G l v b j E v Z F N 0 Y X Z r a S 9 D a G F u Z 2 V k I F R 5 c G U u e 1 p u Y W t J e n Z l c 3 R h a i w x M H 0 m c X V v d D t d L C Z x d W 9 0 O 1 J l b G F 0 a W 9 u c 2 h p c E l u Z m 8 m c X V v d D s 6 W 1 1 9 I i A v P j x F b n R y e S B U e X B l P S J S Z X N 1 b H R U e X B l I i B W Y W x 1 Z T 0 i c 1 R h Y m x l I i A v P j x F b n R y e S B U e X B l P S J O Y X Z p Z 2 F 0 a W 9 u U 3 R l c E 5 h b W U i I F Z h b H V l P S J z T m F 2 a W d h d G l v b i I g L z 4 8 R W 5 0 c n k g V H l w Z T 0 i R m l s b E 9 i a m V j d F R 5 c G U i I F Z h b H V l P S J z Q 2 9 u b m V j d G l v b k 9 u b H k i I C 8 + P E V u d H J 5 I F R 5 c G U 9 I k 5 h b W V V c G R h d G V k Q W Z 0 Z X J G a W x s I i B W Y W x 1 Z T 0 i b D A i I C 8 + P E V u d H J 5 I F R 5 c G U 9 I k x v Y W R l Z F R v Q W 5 h b H l z a X N T Z X J 2 a W N l c y I g V m F s d W U 9 I m w w I i A v P j w v U 3 R h Y m x l R W 5 0 c m l l c z 4 8 L 0 l 0 Z W 0 + P E l 0 Z W 0 + P E l 0 Z W 1 M b 2 N h d G l v b j 4 8 S X R l b V R 5 c G U + R m 9 y b X V s Y T w v S X R l b V R 5 c G U + P E l 0 Z W 1 Q Y X R o P l N l Y 3 R p b 2 4 x L 2 Z P U E V Y P C 9 J d G V t U G F 0 a D 4 8 L 0 l 0 Z W 1 M b 2 N h d G l v b j 4 8 U 3 R h Y m x l R W 5 0 c m l l c z 4 8 R W 5 0 c n k g V H l w Z T 0 i R m l s b F N 0 Y X R 1 c y I g V m F s d W U 9 I n N D b 2 1 w b G V 0 Z S I g L z 4 8 R W 5 0 c n k g V H l w Z T 0 i Q n V m Z m V y T m V 4 d F J l Z n J l c 2 g i I F Z h b H V l P S J s M S I g L z 4 8 R W 5 0 c n k g V H l w Z T 0 i R m l s b E N v b H V t b k 5 h b W V z I i B W Y W x 1 Z T 0 i c 1 s m c X V v d D v Q m t C + 0 L 3 R g t C + J n F 1 b 3 Q 7 L C Z x d W 9 0 O 9 C h 0 Y L Q s N C y 0 L r Q s C Z x d W 9 0 O y w m c X V v d D v Q n 9 C 1 0 Y D Q u N C + 0 L Q m c X V v d D s s J n F 1 b 3 Q 7 0 J j Q t 9 C 9 0 L 7 R g S Z x d W 9 0 O y w m c X V v d D t S Z X B v c n R U e X B l J n F 1 b 3 Q 7 X S I g L z 4 8 R W 5 0 c n k g V H l w Z T 0 i R m l s b E V u Y W J s Z W Q i I F Z h b H V l P S J s M C I g L z 4 8 R W 5 0 c n k g V H l w Z T 0 i R m l s b E N v b H V t b l R 5 c G V z I i B W Y W x 1 Z T 0 i c 0 J n W U p B d 1 k 9 I i A v P j x F b n R y e S B U e X B l P S J G a W x s T G F z d F V w Z G F 0 Z W Q i I F Z h b H V l P S J k M j A y M i 0 x M i 0 w N F Q y M j o y O D o 1 N i 4 4 O D Y 1 M D I 2 W i I g L z 4 8 R W 5 0 c n k g V H l w Z T 0 i R m l s b E V y c m 9 y Q 2 9 1 b n Q i I F Z h b H V l P S J s M C I g L z 4 8 R W 5 0 c n k g V H l w Z T 0 i R m l s b E V y c m 9 y Q 2 9 k Z S I g V m F s d W U 9 I n N V b m t u b 3 d u I i A v P j x F b n R y e S B U e X B l P S J G a W x s Z W R D b 2 1 w b G V 0 Z V J l c 3 V s d F R v V 2 9 y a 3 N o Z W V 0 I i B W Y W x 1 Z T 0 i b D A i I C 8 + P E V u d H J 5 I F R 5 c G U 9 I k Z p b G x D b 3 V u d C I g V m F s d W U 9 I m w x M j Y x I i A v P j x F b n R y e S B U e X B l P S J G a W x s V G 9 E Y X R h T W 9 k Z W x F b m F i b G V k I i B W Y W x 1 Z T 0 i b D E i I C 8 + P E V u d H J 5 I F R 5 c G U 9 I k l z U H J p d m F 0 Z S I g V m F s d W U 9 I m w w I i A v P j x F b n R y e S B U e X B l P S J R d W V y e U l E I i B W Y W x 1 Z T 0 i c z E 2 M G M w Z m Y 3 L T g 1 Z D Q t N D U z O S 1 i N z F k L T A y Y T U 1 N D M 3 Y m I y N C I g L z 4 8 R W 5 0 c n k g V H l w Z T 0 i Q W R k Z W R U b 0 R h d G F N b 2 R l b C I g V m F s d W U 9 I m w x I i A v P j x F b n R y e S B U e X B l P S J S Z X N 1 b H R U e X B l I i B W Y W x 1 Z T 0 i c 1 R h Y m x l I i A v P j x F b n R y e S B U e X B l P S J O Y X Z p Z 2 F 0 a W 9 u U 3 R l c E 5 h b W U i I F Z h b H V l P S J z T m F 2 a W d h d G l v b i I g L z 4 8 R W 5 0 c n k g V H l w Z T 0 i R m l s b E 9 i a m V j d F R 5 c G U i I F Z h b H V l P S J z Q 2 9 u b m V j d G l v b k 9 u b H k i I C 8 + P E V u d H J 5 I F R 5 c G U 9 I k 5 h b W V V c G R h d G V k Q W Z 0 Z X J G a W x s I i B W Y W x 1 Z T 0 i b D A i I C 8 + P E V u d H J 5 I F R 5 c G U 9 I l J l b G F 0 a W 9 u c 2 h p c E l u Z m 9 D b 2 5 0 Y W l u Z X I i I F Z h b H V l P S J z e y Z x d W 9 0 O 2 N v b H V t b k N v d W 5 0 J n F 1 b 3 Q 7 O j U s J n F 1 b 3 Q 7 a 2 V 5 Q 2 9 s d W 1 u T m F t Z X M m c X V v d D s 6 W 1 0 s J n F 1 b 3 Q 7 c X V l c n l S Z W x h d G l v b n N o a X B z J n F 1 b 3 Q 7 O l t d L C Z x d W 9 0 O 2 N v b H V t b k l k Z W 5 0 a X R p Z X M m c X V v d D s 6 W y Z x d W 9 0 O 1 N l Y 3 R p b 2 4 x L 2 Z P U E V Y L 0 N o Y W 5 n Z W Q g V H l w Z T E u e 9 C a 0 L 7 Q v d G C 0 L 4 s M H 0 m c X V v d D s s J n F 1 b 3 Q 7 U 2 V j d G l v b j E v Z k 9 Q R V g v Q 2 h h b m d l Z C B U e X B l M S 5 7 0 K H R g t C w 0 L L Q u t C w L D F 9 J n F 1 b 3 Q 7 L C Z x d W 9 0 O 1 N l Y 3 R p b 2 4 x L 2 Z P U E V Y L 0 N o Y W 5 n Z W Q g V H l w Z T E u e 9 C f 0 L X R g N C 4 0 L 7 Q t C D Q v d C w I N C 9 0 L D Q s d C w 0 L L Q u t C w L D J 9 J n F 1 b 3 Q 7 L C Z x d W 9 0 O 1 N l Y 3 R p b 2 4 x L 2 Z P U E V Y L 0 N o Y W 5 n Z W Q g V H l w Z T E u e 9 C Y 0 L f Q v d C + 0 Y E s M 3 0 m c X V v d D s s J n F 1 b 3 Q 7 U 2 V j d G l v b j E v Z k 9 Q R V g v Q 2 h h b m d l Z C B U e X B l M S 5 7 U m V w b 3 J 0 V H l w Z S w 0 f S Z x d W 9 0 O 1 0 s J n F 1 b 3 Q 7 Q 2 9 s d W 1 u Q 2 9 1 b n Q m c X V v d D s 6 N S w m c X V v d D t L Z X l D b 2 x 1 b W 5 O Y W 1 l c y Z x d W 9 0 O z p b X S w m c X V v d D t D b 2 x 1 b W 5 J Z G V u d G l 0 a W V z J n F 1 b 3 Q 7 O l s m c X V v d D t T Z W N 0 a W 9 u M S 9 m T 1 B F W C 9 D a G F u Z 2 V k I F R 5 c G U x L n v Q m t C + 0 L 3 R g t C + L D B 9 J n F 1 b 3 Q 7 L C Z x d W 9 0 O 1 N l Y 3 R p b 2 4 x L 2 Z P U E V Y L 0 N o Y W 5 n Z W Q g V H l w Z T E u e 9 C h 0 Y L Q s N C y 0 L r Q s C w x f S Z x d W 9 0 O y w m c X V v d D t T Z W N 0 a W 9 u M S 9 m T 1 B F W C 9 D a G F u Z 2 V k I F R 5 c G U x L n v Q n 9 C 1 0 Y D Q u N C + 0 L Q g 0 L 3 Q s C D Q v d C w 0 L H Q s N C y 0 L r Q s C w y f S Z x d W 9 0 O y w m c X V v d D t T Z W N 0 a W 9 u M S 9 m T 1 B F W C 9 D a G F u Z 2 V k I F R 5 c G U x L n v Q m N C 3 0 L 3 Q v t G B L D N 9 J n F 1 b 3 Q 7 L C Z x d W 9 0 O 1 N l Y 3 R p b 2 4 x L 2 Z P U E V Y L 0 N o Y W 5 n Z W Q g V H l w Z T E u e 1 J l c G 9 y d F R 5 c G U s N H 0 m c X V v d D t d L C Z x d W 9 0 O 1 J l b G F 0 a W 9 u c 2 h p c E l u Z m 8 m c X V v d D s 6 W 1 1 9 I i A v P j w v U 3 R h Y m x l R W 5 0 c m l l c z 4 8 L 0 l 0 Z W 0 + P E l 0 Z W 0 + P E l 0 Z W 1 M b 2 N h d G l v b j 4 8 S X R l b V R 5 c G U + R m 9 y b X V s Y T w v S X R l b V R 5 c G U + P E l 0 Z W 1 Q Y X R o P l N l Y 3 R p b 2 4 x L 2 R N Y X B w a W 5 n P C 9 J d G V t U G F 0 a D 4 8 L 0 l 0 Z W 1 M b 2 N h d G l v b j 4 8 U 3 R h Y m x l R W 5 0 c m l l c z 4 8 R W 5 0 c n k g V H l w Z T 0 i Q W R k Z W R U b 0 R h d G F N b 2 R l b C I g V m F s d W U 9 I m w w I i A v P j x F b n R y e S B U e X B l P S J C d W Z m Z X J O Z X h 0 U m V m c m V z a C I g V m F s d W U 9 I m w x I i A v P j x F b n R y e S B U e X B l P S J G a W x s R W 5 h Y m x l Z C I g V m F s d W U 9 I m w w I i A v P j x F b n R y e S B U e X B l P S J G a W x s R X J y b 3 J D b 2 R l I i B W Y W x 1 Z T 0 i c 1 V u a 2 5 v d 2 4 i I C 8 + P E V u d H J 5 I F R 5 c G U 9 I k Z p b G x M Y X N 0 V X B k Y X R l Z C I g V m F s d W U 9 I m Q y M D E 5 L T E x L T A 1 V D A x O j M z O j U x L j I 4 M T Y z O D J a I i A v P j x F b n R y e S B U e X B l P S J G a W x s Q 2 9 s d W 1 u V H l w Z X M i I F Z h b H V l P S J z Q m d Z R E F 3 T U d C Z z 0 9 I i A v P j x F b n R y e S B U e X B l P S J G a W x s Q 2 9 s d W 1 u T m F t Z X M i I F Z h b H V l P S J z W y Z x d W 9 0 O 0 t v b n R v J n F 1 b 3 Q 7 L C Z x d W 9 0 O 0 5 h e m l 2 I G 5 h I G t v b n R v J n F 1 b 3 Q 7 L C Z x d W 9 0 O 1 R p c E l 6 d m V z d G F q S U Q m c X V v d D s s J n F 1 b 3 Q 7 T 2 J y Y X p l Y 0 l E J n F 1 b 3 Q 7 L C Z x d W 9 0 O 1 N 0 Y X Z r Y U l E J n F 1 b 3 Q 7 L C Z x d W 9 0 O 0 Z Q I H N 0 Y X I m c X V v d D s s J n F 1 b 3 Q 7 U 3 R h d m t h S W 1 l T U s m c X V v d D t d I i A v P j x F b n R y e S B U e X B l P S J G a W x s Z W R D b 2 1 w b G V 0 Z V J l c 3 V s d F R v V 2 9 y a 3 N o Z W V 0 I i B W Y W x 1 Z T 0 i b D A i I C 8 + P E V u d H J 5 I F R 5 c G U 9 I k Z p b G x T d G F 0 d X M i I F Z h b H V l P S J z Q 2 9 t c G x l d G U i I C 8 + P E V u d H J 5 I F R 5 c G U 9 I k Z p b G x U b 0 R h d G F N b 2 R l b E V u Y W J s Z W Q i I F Z h b H V l P S J s M C I g L z 4 8 R W 5 0 c n k g V H l w Z T 0 i S X N Q c m l 2 Y X R l I i B W Y W x 1 Z T 0 i b D A i I C 8 + P E V u d H J 5 I F R 5 c G U 9 I l J l b G F 0 a W 9 u c 2 h p c E l u Z m 9 D b 2 5 0 Y W l u Z X I i I F Z h b H V l P S J z e y Z x d W 9 0 O 2 N v b H V t b k N v d W 5 0 J n F 1 b 3 Q 7 O j c s J n F 1 b 3 Q 7 a 2 V 5 Q 2 9 s d W 1 u T m F t Z X M m c X V v d D s 6 W 1 0 s J n F 1 b 3 Q 7 c X V l c n l S Z W x h d G l v b n N o a X B z J n F 1 b 3 Q 7 O l t d L C Z x d W 9 0 O 2 N v b H V t b k l k Z W 5 0 a X R p Z X M m c X V v d D s 6 W y Z x d W 9 0 O 1 N l Y 3 R p b 2 4 x L 2 R N Y X B w a W 5 n L 0 N o Y W 5 n Z W Q g V H l w Z S 5 7 S 2 9 u d G 8 s M H 0 m c X V v d D s s J n F 1 b 3 Q 7 U 2 V j d G l v b j E v Z E 1 h c H B p b m c v Q 2 h h b m d l Z C B U e X B l L n t O Y X p p d i B u Y S B r b 2 5 0 b y w x f S Z x d W 9 0 O y w m c X V v d D t T Z W N 0 a W 9 u M S 9 k T W F w c G l u Z y 9 D a G F u Z 2 V k I F R 5 c G U u e 1 R p c E l 6 d m V z d G F q S U Q s M n 0 m c X V v d D s s J n F 1 b 3 Q 7 U 2 V j d G l v b j E v Z E 1 h c H B p b m c v Q 2 h h b m d l Z C B U e X B l L n t P Y n J h e m V j S U Q s M 3 0 m c X V v d D s s J n F 1 b 3 Q 7 U 2 V j d G l v b j E v Z E 1 h c H B p b m c v Q 2 h h b m d l Z C B U e X B l L n t T d G F 2 a 2 F J R C w 0 f S Z x d W 9 0 O y w m c X V v d D t T Z W N 0 a W 9 u M S 9 k T W F w c G l u Z y 9 D a G F u Z 2 V k I F R 5 c G U u e 0 Z Q I H N 0 Y X I s N X 0 m c X V v d D s s J n F 1 b 3 Q 7 U 2 V j d G l v b j E v Z E 1 h c H B p b m c v Q 2 h h b m d l Z C B U e X B l L n t T d G F 2 a 2 F J b W V N S y w 2 f S Z x d W 9 0 O 1 0 s J n F 1 b 3 Q 7 Q 2 9 s d W 1 u Q 2 9 1 b n Q m c X V v d D s 6 N y w m c X V v d D t L Z X l D b 2 x 1 b W 5 O Y W 1 l c y Z x d W 9 0 O z p b X S w m c X V v d D t D b 2 x 1 b W 5 J Z G V u d G l 0 a W V z J n F 1 b 3 Q 7 O l s m c X V v d D t T Z W N 0 a W 9 u M S 9 k T W F w c G l u Z y 9 D a G F u Z 2 V k I F R 5 c G U u e 0 t v b n R v L D B 9 J n F 1 b 3 Q 7 L C Z x d W 9 0 O 1 N l Y 3 R p b 2 4 x L 2 R N Y X B w a W 5 n L 0 N o Y W 5 n Z W Q g V H l w Z S 5 7 T m F 6 a X Y g b m E g a 2 9 u d G 8 s M X 0 m c X V v d D s s J n F 1 b 3 Q 7 U 2 V j d G l v b j E v Z E 1 h c H B p b m c v Q 2 h h b m d l Z C B U e X B l L n t U a X B J e n Z l c 3 R h a k l E L D J 9 J n F 1 b 3 Q 7 L C Z x d W 9 0 O 1 N l Y 3 R p b 2 4 x L 2 R N Y X B w a W 5 n L 0 N o Y W 5 n Z W Q g V H l w Z S 5 7 T 2 J y Y X p l Y 0 l E L D N 9 J n F 1 b 3 Q 7 L C Z x d W 9 0 O 1 N l Y 3 R p b 2 4 x L 2 R N Y X B w a W 5 n L 0 N o Y W 5 n Z W Q g V H l w Z S 5 7 U 3 R h d m t h S U Q s N H 0 m c X V v d D s s J n F 1 b 3 Q 7 U 2 V j d G l v b j E v Z E 1 h c H B p b m c v Q 2 h h b m d l Z C B U e X B l L n t G U C B z d G F y L D V 9 J n F 1 b 3 Q 7 L C Z x d W 9 0 O 1 N l Y 3 R p b 2 4 x L 2 R N Y X B w a W 5 n L 0 N o Y W 5 n Z W Q g V H l w Z S 5 7 U 3 R h d m t h S W 1 l T U s s N n 0 m c X V v d D t d L C Z x d W 9 0 O 1 J l b G F 0 a W 9 u c 2 h p c E l u Z m 8 m c X V v d D s 6 W 1 1 9 I i A v P j x F b n R y e S B U e X B l P S J S Z X N 1 b H R U e X B l I i B W Y W x 1 Z T 0 i c 1 R h Y m x l I i A v P j x F b n R y e S B U e X B l P S J O Y X Z p Z 2 F 0 a W 9 u U 3 R l c E 5 h b W U i I F Z h b H V l P S J z T m F 2 a W d h d G l v b i I g L z 4 8 R W 5 0 c n k g V H l w Z T 0 i R m l s b E 9 i a m V j d F R 5 c G U i I F Z h b H V l P S J z Q 2 9 u b m V j d G l v b k 9 u b H k i I C 8 + P E V u d H J 5 I F R 5 c G U 9 I k 5 h b W V V c G R h d G V k Q W Z 0 Z X J G a W x s I i B W Y W x 1 Z T 0 i b D A i I C 8 + P E V u d H J 5 I F R 5 c G U 9 I k x v Y W R l Z F R v Q W 5 h b H l z a X N T Z X J 2 a W N l c y I g V m F s d W U 9 I m w w I i A v P j w v U 3 R h Y m x l R W 5 0 c m l l c z 4 8 L 0 l 0 Z W 0 + P E l 0 Z W 0 + P E l 0 Z W 1 M b 2 N h d G l v b j 4 8 S X R l b V R 5 c G U + R m 9 y b X V s Y T w v S X R l b V R 5 c G U + P E l 0 Z W 1 Q Y X R o P l N l Y 3 R p b 2 4 x L 2 R P Y n J h c 2 N p P C 9 J d G V t U G F 0 a D 4 8 L 0 l 0 Z W 1 M b 2 N h d G l v b j 4 8 U 3 R h Y m x l R W 5 0 c m l l c z 4 8 R W 5 0 c n k g V H l w Z T 0 i Q W R k Z W R U b 0 R h d G F N b 2 R l b C I g V m F s d W U 9 I m w w I i A v P j x F b n R y e S B U e X B l P S J C d W Z m Z X J O Z X h 0 U m V m c m V z a C I g V m F s d W U 9 I m w x I i A v P j x F b n R y e S B U e X B l P S J G a W x s R W 5 h Y m x l Z C I g V m F s d W U 9 I m w w I i A v P j x F b n R y e S B U e X B l P S J G a W x s R X J y b 3 J D b 2 R l I i B W Y W x 1 Z T 0 i c 1 V u a 2 5 v d 2 4 i I C 8 + P E V u d H J 5 I F R 5 c G U 9 I k Z p b G x M Y X N 0 V X B k Y X R l Z C I g V m F s d W U 9 I m Q y M D E 5 L T E x L T A 1 V D I x O j A 4 O j A 1 L j c 0 M j c 1 M D V a I i A v P j x F b n R y e S B U e X B l P S J G a W x s Q 2 9 s d W 1 u V H l w Z X M i I F Z h b H V l P S J z Q X d N R y I g L z 4 8 R W 5 0 c n k g V H l w Z T 0 i R m l s b E N v b H V t b k 5 h b W V z I i B W Y W x 1 Z T 0 i c 1 s m c X V v d D t U a X B J e n Z l c 3 R h a k l E J n F 1 b 3 Q 7 L C Z x d W 9 0 O 0 9 i c m F 6 Z W N J R C Z x d W 9 0 O y w m c X V v d D t P Y n J h e m V j S W 1 l J n F 1 b 3 Q 7 X S I g L z 4 8 R W 5 0 c n k g V H l w Z T 0 i R m l s b G V k Q 2 9 t c G x l d G V S Z X N 1 b H R U b 1 d v c m t z a G V l d C I g V m F s d W U 9 I m w w I i A v P j x F b n R y e S B U e X B l P S J G a W x s U 3 R h d H V z I i B W Y W x 1 Z T 0 i c 0 N v b X B s Z X R l I i A v P j x F b n R y e S B U e X B l P S J G a W x s V G 9 E Y X R h T W 9 k Z W x F b m F i b G V k I i B W Y W x 1 Z T 0 i b D A i I C 8 + P E V u d H J 5 I F R 5 c G U 9 I k l z U H J p d m F 0 Z S I g V m F s d W U 9 I m w w I i A v P j x F b n R y e S B U e X B l P S J R d W V y e U l E I i B W Y W x 1 Z T 0 i c z g 4 M W Q 3 Z G U 3 L T M x Y W Q t N D U 5 Y i 0 4 Y 2 Y z L W Y 3 Z T A 0 O D k 5 N m M 5 M C I g L z 4 8 R W 5 0 c n k g V H l w Z T 0 i U m V s Y X R p b 2 5 z a G l w S W 5 m b 0 N v b n R h a W 5 l c i I g V m F s d W U 9 I n N 7 J n F 1 b 3 Q 7 Y 2 9 s d W 1 u Q 2 9 1 b n Q m c X V v d D s 6 M y w m c X V v d D t r Z X l D b 2 x 1 b W 5 O Y W 1 l c y Z x d W 9 0 O z p b X S w m c X V v d D t x d W V y e V J l b G F 0 a W 9 u c 2 h p c H M m c X V v d D s 6 W 1 0 s J n F 1 b 3 Q 7 Y 2 9 s d W 1 u S W R l b n R p d G l l c y Z x d W 9 0 O z p b J n F 1 b 3 Q 7 U 2 V j d G l v b j E v Z E 9 i c m F z Y 2 k v Q 2 h h b m d l Z C B U e X B l L n t U a X B J e n Z l c 3 R h a k l E L D B 9 J n F 1 b 3 Q 7 L C Z x d W 9 0 O 1 N l Y 3 R p b 2 4 x L 2 R P Y n J h c 2 N p L 0 N o Y W 5 n Z W Q g V H l w Z S 5 7 T 2 J y Y X p l Y 0 l E L D F 9 J n F 1 b 3 Q 7 L C Z x d W 9 0 O 1 N l Y 3 R p b 2 4 x L 2 R P Y n J h c 2 N p L 0 N o Y W 5 n Z W Q g V H l w Z S 5 7 T 2 J y Y X p l Y 0 l t Z S w y f S Z x d W 9 0 O 1 0 s J n F 1 b 3 Q 7 Q 2 9 s d W 1 u Q 2 9 1 b n Q m c X V v d D s 6 M y w m c X V v d D t L Z X l D b 2 x 1 b W 5 O Y W 1 l c y Z x d W 9 0 O z p b X S w m c X V v d D t D b 2 x 1 b W 5 J Z G V u d G l 0 a W V z J n F 1 b 3 Q 7 O l s m c X V v d D t T Z W N 0 a W 9 u M S 9 k T 2 J y Y X N j a S 9 D a G F u Z 2 V k I F R 5 c G U u e 1 R p c E l 6 d m V z d G F q S U Q s M H 0 m c X V v d D s s J n F 1 b 3 Q 7 U 2 V j d G l v b j E v Z E 9 i c m F z Y 2 k v Q 2 h h b m d l Z C B U e X B l L n t P Y n J h e m V j S U Q s M X 0 m c X V v d D s s J n F 1 b 3 Q 7 U 2 V j d G l v b j E v Z E 9 i c m F z Y 2 k v Q 2 h h b m d l Z C B U e X B l L n t P Y n J h e m V j S W 1 l L D J 9 J n F 1 b 3 Q 7 X S w m c X V v d D t S Z W x h d G l v b n N o a X B J b m Z v J n F 1 b 3 Q 7 O l t d f S I g L z 4 8 R W 5 0 c n k g V H l w Z T 0 i U m V z d W x 0 V H l w Z S I g V m F s d W U 9 I n N U Y W J s Z S I g L z 4 8 R W 5 0 c n k g V H l w Z T 0 i T m F 2 a W d h d G l v b l N 0 Z X B O Y W 1 l I i B W Y W x 1 Z T 0 i c 0 5 h d m l n Y X R p b 2 4 i I C 8 + P E V u d H J 5 I F R 5 c G U 9 I k Z p b G x P Y m p l Y 3 R U e X B l I i B W Y W x 1 Z T 0 i c 0 N v b m 5 l Y 3 R p b 2 5 P b m x 5 I i A v P j x F b n R y e S B U e X B l P S J O Y W 1 l V X B k Y X R l Z E F m d G V y R m l s b C I g V m F s d W U 9 I m w w I i A v P j x F b n R y e S B U e X B l P S J M b 2 F k Z W R U b 0 F u Y W x 5 c 2 l z U 2 V y d m l j Z X M i I F Z h b H V l P S J s M C I g L z 4 8 L 1 N 0 Y W J s Z U V u d H J p Z X M + P C 9 J d G V t P j x J d G V t P j x J d G V t T G 9 j Y X R p b 2 4 + P E l 0 Z W 1 U e X B l P k Z v c m 1 1 b G E 8 L 0 l 0 Z W 1 U e X B l P j x J d G V t U G F 0 a D 5 T Z W N 0 a W 9 u M S 9 m Q W N 0 d W F s P C 9 J d G V t U G F 0 a D 4 8 L 0 l 0 Z W 1 M b 2 N h d G l v b j 4 8 U 3 R h Y m x l R W 5 0 c m l l c z 4 8 R W 5 0 c n k g V H l w Z T 0 i Q W R k Z W R U b 0 R h d G F N b 2 R l b C I g V m F s d W U 9 I m w w I i A v P j x F b n R y e S B U e X B l P S J C d W Z m Z X J O Z X h 0 U m V m c m V z a C I g V m F s d W U 9 I m w x I i A v P j x F b n R y e S B U e X B l P S J G a W x s R W 5 h Y m x l Z C I g V m F s d W U 9 I m w w I i A v P j x F b n R y e S B U e X B l P S J G a W x s R X J y b 3 J D b 2 R l I i B W Y W x 1 Z T 0 i c 1 V u a 2 5 v d 2 4 i I C 8 + P E V u d H J 5 I F R 5 c G U 9 I k Z p b G x M Y X N 0 V X B k Y X R l Z C I g V m F s d W U 9 I m Q y M D I y L T E x L T A 4 V D E w O j E 1 O j I 1 L j A 2 M z M 2 M D d a I i A v P j x F b n R y e S B U e X B l P S J G a W x s Z W R D b 2 1 w b G V 0 Z V J l c 3 V s d F R v V 2 9 y a 3 N o Z W V 0 I i B W Y W x 1 Z T 0 i b D A i I C 8 + P E V u d H J 5 I F R 5 c G U 9 I k Z p b G x T d G F 0 d X M i I F Z h b H V l P S J z Q 2 9 t c G x l d G U i I C 8 + P E V u d H J 5 I F R 5 c G U 9 I k Z p b G x U b 0 R h d G F N b 2 R l b E V u Y W J s Z W Q i I F Z h b H V l P S J s M C I g L z 4 8 R W 5 0 c n k g V H l w Z T 0 i S X N Q c m l 2 Y X R l I i B W Y W x 1 Z T 0 i b D A i I C 8 + P E V u d H J 5 I F R 5 c G U 9 I l J l c 3 V s d F R 5 c G U i I F Z h b H V l P S J z V G F i b G U i I C 8 + P E V u d H J 5 I F R 5 c G U 9 I k 5 h d m l n Y X R p b 2 5 T d G V w T m F t Z S I g V m F s d W U 9 I n N O Y X Z p Z 2 F 0 a W 9 u I i A v P j x F b n R y e S B U e X B l P S J G a W x s T 2 J q Z W N 0 V H l w Z S I g V m F s d W U 9 I n N D b 2 5 u Z W N 0 a W 9 u T 2 5 s e S I g L z 4 8 R W 5 0 c n k g V H l w Z T 0 i T m F t Z V V w Z G F 0 Z W R B Z n R l c k Z p b G w i I F Z h b H V l P S J s M S I g L z 4 8 L 1 N 0 Y W J s Z U V u d H J p Z X M + P C 9 J d G V t P j x J d G V t P j x J d G V t T G 9 j Y X R p b 2 4 + P E l 0 Z W 1 U e X B l P k Z v c m 1 1 b G E 8 L 0 l 0 Z W 1 U e X B l P j x J d G V t U G F 0 a D 5 T Z W N 0 a W 9 u M S 9 m Q X J 0 a W t s a U N l b m k 8 L 0 l 0 Z W 1 Q Y X R o P j w v S X R l b U x v Y 2 F 0 a W 9 u P j x T d G F i b G V F b n R y a W V z P j x F b n R y e S B U e X B l P S J G a W x s U 3 R h d H V z I i B W Y W x 1 Z T 0 i c 0 N v b X B s Z X R l I i A v P j x F b n R y e S B U e X B l P S J O Y X Z p Z 2 F 0 a W 9 u U 3 R l c E 5 h b W U i I F Z h b H V l P S J z T m F 2 a W d h d G l v b i I g L z 4 8 R W 5 0 c n k g V H l w Z T 0 i R m l s b E N v b H V t b k 5 h b W V z I i B W Y W x 1 Z T 0 i c 1 s m c X V v d D v Q o d G C 0 L D Q s t C 6 0 L A m c X V v d D s s J n F 1 b 3 Q 7 0 J r Q s N G C 0 L X Q s 9 C + 0 Y D Q u N G Y 0 L A g 0 J D R g N G C 0 L j Q u t C 7 J n F 1 b 3 Q 7 L C Z x d W 9 0 O 9 C i 0 L j Q v y D Q v d C w I N C w 0 Y D R g t C 4 0 L r Q u y Z x d W 9 0 O y w m c X V v d D v Q l d C 0 0 L j Q v d C 1 0 Y f Q v d C w I N C 8 0 L X R g N C 6 0 L A m c X V v d D s s J n F 1 b 3 Q 7 0 J r Q v t C 7 0 L j R h 9 C 4 0 L 3 Q s C Z x d W 9 0 O y w m c X V v d D v Q l d C 0 0 L j Q v d C 1 0 Y f Q v d C w I N G G 0 L X Q v d C w J n F 1 b 3 Q 7 L C Z x d W 9 0 O 9 C S 0 L r R g 9 C / 0 L 3 Q v i D R g t G A 0 L 7 R i N C + 0 L o m c X V v d D s s J n F 1 b 3 Q 7 0 J T Q l N C S J n F 1 b 3 Q 7 L C Z x d W 9 0 O 9 C Y 0 L f Q v d C + 0 Y E m c X V v d D s s J n F 1 b 3 Q 7 0 J r Q v t C 9 0 Y L Q v i Z x d W 9 0 O y w m c X V v d D t S Z X B v c n R U e X B l J n F 1 b 3 Q 7 L C Z x d W 9 0 O 9 C f 0 L X R g N C 4 0 L 7 Q t C Z x d W 9 0 O y w m c X V v d D t T d G F 2 a 2 F J b W V N S y Z x d W 9 0 O y w m c X V v d D t T d G F 2 a 2 F B T 1 A m c X V v d D s s J n F 1 b 3 Q 7 U 3 R h d m t h R 3 J 1 c G E m c X V v d D s s J n F 1 b 3 Q 7 U 3 R h d m t h S 2 F 0 Z W d v c m l q Y S Z x d W 9 0 O y w m c X V v d D t P Y n J h e m V j S W 1 l J n F 1 b 3 Q 7 X S I g L z 4 8 R W 5 0 c n k g V H l w Z T 0 i R m l s b E V u Y W J s Z W Q i I F Z h b H V l P S J s M C I g L z 4 8 R W 5 0 c n k g V H l w Z T 0 i R m l s b E N v b H V t b l R 5 c G V z I i B W Y W x 1 Z T 0 i c 0 J n W U d C Z 1 V E Q l F R R k J n W U p C Z 1 l H Q m d Z P S I g L z 4 8 R W 5 0 c n k g V H l w Z T 0 i R m l s b E x h c 3 R V c G R h d G V k I i B W Y W x 1 Z T 0 i Z D I w M j I t M T I t M D R U M j I 6 M j g 6 N T Y u O T M 5 M z U 5 M V o i I C 8 + P E V u d H J 5 I F R 5 c G U 9 I k Z p b G x F c n J v c k N v d W 5 0 I i B W Y W x 1 Z T 0 i b D A i I C 8 + P E V u d H J 5 I F R 5 c G U 9 I k Z p b G x F c n J v c k N v Z G U i I F Z h b H V l P S J z V W 5 r b m 9 3 b i I g L z 4 8 R W 5 0 c n k g V H l w Z T 0 i R m l s b G V k Q 2 9 t c G x l d G V S Z X N 1 b H R U b 1 d v c m t z a G V l d C I g V m F s d W U 9 I m w w I i A v P j x F b n R y e S B U e X B l P S J G a W x s Q 2 9 1 b n Q i I F Z h b H V l P S J s N j g 4 I i A v P j x F b n R y e S B U e X B l P S J G a W x s V G 9 E Y X R h T W 9 k Z W x F b m F i b G V k I i B W Y W x 1 Z T 0 i b D E i I C 8 + P E V u d H J 5 I F R 5 c G U 9 I k l z U H J p d m F 0 Z S I g V m F s d W U 9 I m w w I i A v P j x F b n R y e S B U e X B l P S J R d W V y e U l E I i B W Y W x 1 Z T 0 i c z B k Y W V i Z j V i L W E 0 O T Y t N G U y Z C 0 5 Z T B m L W U 1 Z j M 1 Z W U 3 M G U y O S I g L z 4 8 R W 5 0 c n k g V H l w Z T 0 i Q W R k Z W R U b 0 R h d G F N b 2 R l b C I g V m F s d W U 9 I m w x I i A v P j x F b n R y e S B U e X B l P S J O Y W 1 l V X B k Y X R l Z E F m d G V y R m l s b C I g V m F s d W U 9 I m w w I i A v P j x F b n R y e S B U e X B l P S J C d W Z m Z X J O Z X h 0 U m V m c m V z a C I g V m F s d W U 9 I m w x I i A v P j x F b n R y e S B U e X B l P S J G a W x s T 2 J q Z W N 0 V H l w Z S I g V m F s d W U 9 I n N D b 2 5 u Z W N 0 a W 9 u T 2 5 s e S I g L z 4 8 R W 5 0 c n k g V H l w Z T 0 i U m V z d W x 0 V H l w Z S I g V m F s d W U 9 I n N F e G N l c H R p b 2 4 i I C 8 + P E V u d H J 5 I F R 5 c G U 9 I k x v Y W R l Z F R v Q W 5 h b H l z a X N T Z X J 2 a W N l c y I g V m F s d W U 9 I m w w I i A v P j x F b n R y e S B U e X B l P S J S Z W x h d G l v b n N o a X B J b m Z v Q 2 9 u d G F p b m V y I i B W Y W x 1 Z T 0 i c 3 s m c X V v d D t j b 2 x 1 b W 5 D b 3 V u d C Z x d W 9 0 O z o x N y w m c X V v d D t r Z X l D b 2 x 1 b W 5 O Y W 1 l c y Z x d W 9 0 O z p b X S w m c X V v d D t x d W V y e V J l b G F 0 a W 9 u c 2 h p c H M m c X V v d D s 6 W 3 s m c X V v d D t r Z X l D b 2 x 1 b W 5 D b 3 V u d C Z x d W 9 0 O z o x L C Z x d W 9 0 O 2 t l e U N v b H V t b i Z x d W 9 0 O z o 5 L C Z x d W 9 0 O 2 9 0 a G V y S 2 V 5 Q 2 9 s d W 1 u S W R l b n R p d H k m c X V v d D s 6 J n F 1 b 3 Q 7 U 2 V j d G l v b j E v Z E t v b n R l b l B s Y W 4 v Q 2 h h b m d l Z C B U e X B l L n t L b 2 5 0 b y w w f S Z x d W 9 0 O y w m c X V v d D t L Z X l D b 2 x 1 b W 5 D b 3 V u d C Z x d W 9 0 O z o x f V 0 s J n F 1 b 3 Q 7 Y 2 9 s d W 1 u S W R l b n R p d G l l c y Z x d W 9 0 O z p b J n F 1 b 3 Q 7 U 2 V j d G l v b j E v Z k F y d G l r b G l D Z W 5 p L 0 N o Y W 5 n Z W Q g V H l w Z S 5 7 0 J D R g N G C 0 L j Q u t C 7 I N C 9 0 L D Q t 9 C 4 0 L I s M X 0 m c X V v d D s s J n F 1 b 3 Q 7 U 2 V j d G l v b j E v Z k F y d G l r b G l D Z W 5 p L 0 N o Y W 5 n Z W Q g V H l w Z S 5 7 0 J r Q s N G C 0 L X Q s 9 C + 0 Y D Q u N G Y 0 L A g 0 J D R g N G C 0 L j Q u t C 7 L D N 9 J n F 1 b 3 Q 7 L C Z x d W 9 0 O 1 N l Y 3 R p b 2 4 x L 2 Z B c n R p a 2 x p Q 2 V u a S 9 D a G F u Z 2 V k I F R 5 c G U u e 9 C i 0 L j Q v y D Q v d C w I N C w 0 Y D R g t C 4 0 L r Q u y w 0 f S Z x d W 9 0 O y w m c X V v d D t T Z W N 0 a W 9 u M S 9 m Q X J 0 a W t s a U N l b m k v Q 2 h h b m d l Z C B U e X B l L n v Q l d C 0 0 L j Q v d C 1 0 Y f Q v d C w I N C 8 0 L X R g N C 6 0 L A s N X 0 m c X V v d D s s J n F 1 b 3 Q 7 U 2 V j d G l v b j E v Z k F y d G l r b G l D Z W 5 p L 0 N o Y W 5 n Z W Q g V H l w Z S 5 7 0 J r Q v t C 7 0 L j R h 9 C 4 0 L 3 Q s C w 2 f S Z x d W 9 0 O y w m c X V v d D t T Z W N 0 a W 9 u M S 9 m Q X J 0 a W t s a U N l b m k v Q 2 h h b m d l Z C B U e X B l L n v Q l d C 0 0 L j Q v d C 1 0 Y f Q v d C w I N G G 0 L X Q v d C w L D d 9 J n F 1 b 3 Q 7 L C Z x d W 9 0 O 1 N l Y 3 R p b 2 4 x L 2 Z B c n R p a 2 x p Q 2 V u a S 9 D a G F u Z 2 V k I F R 5 c G U u e 9 C S 0 L r R g 9 C / 0 L 3 Q v i D R g t G A 0 L 7 R i N C + 0 L o s O H 0 m c X V v d D s s J n F 1 b 3 Q 7 U 2 V j d G l v b j E v Z k F y d G l r b G l D Z W 5 p L 0 N o Y W 5 n Z W Q g V H l w Z S 5 7 0 J T Q l N C S L D l 9 J n F 1 b 3 Q 7 L C Z x d W 9 0 O 1 N l Y 3 R p b 2 4 x L 2 Z B c n R p a 2 x p Q 2 V u a S 9 D a G F u Z 2 V k I F R 5 c G U u e 9 C S 0 L r R g 9 C / 0 L 3 Q v i D R g t G A 0 L 7 R i N C + 0 L o g 0 Y H Q v i D Q l N C U 0 J I s M T B 9 J n F 1 b 3 Q 7 L C Z x d W 9 0 O 1 N l Y 3 R p b 2 4 x L 2 Z B c n R p a 2 x p Q 2 V u a S 9 D a G F u Z 2 V k I F R 5 c G U u e 9 C a 0 L 7 Q v d G C 0 L 4 s M T F 9 J n F 1 b 3 Q 7 L C Z x d W 9 0 O 1 N l Y 3 R p b 2 4 x L 2 Z B c n R p a 2 x p Q 2 V u a S 9 D a G F u Z 2 V k I F R 5 c G U u e 1 J l c G 9 y d F R 5 c G U s M T J 9 J n F 1 b 3 Q 7 L C Z x d W 9 0 O 1 N l Y 3 R p b 2 4 x L 2 Z B c n R p a 2 x p Q 2 V u a S 9 D a G F u Z 2 V k I F R 5 c G U u e 9 C f 0 L X R g N C 4 0 L 7 Q t C w x M 3 0 m c X V v d D s s J n F 1 b 3 Q 7 U 2 V j d G l v b j E v Z E t v b n R l b l B s Y W 4 v Q 2 h h b m d l Z C B U e X B l L n t T d G F 2 a 2 F J b W V N S y w 2 f S Z x d W 9 0 O y w m c X V v d D t T Z W N 0 a W 9 u M S 9 k U 3 R h d m t p L 0 N o Y W 5 n Z W Q g V H l w Z S 5 7 U 3 R h d m t h Q U 9 Q L D F 9 J n F 1 b 3 Q 7 L C Z x d W 9 0 O 1 N l Y 3 R p b 2 4 x L 2 R T d G F 2 a 2 k v Q 2 h h b m d l Z C B U e X B l L n t T d G F 2 a 2 F H c n V w Y S w 3 f S Z x d W 9 0 O y w m c X V v d D t T Z W N 0 a W 9 u M S 9 k U 3 R h d m t p L 0 N o Y W 5 n Z W Q g V H l w Z S 5 7 U 3 R h d m t h S 2 F 0 Z W d v c m l q Y S w 4 f S Z x d W 9 0 O y w m c X V v d D t T Z W N 0 a W 9 u M S 9 k T 2 J y Y X N j a S 9 D a G F u Z 2 V k I F R 5 c G U u e 0 9 i c m F 6 Z W N J b W U s M n 0 m c X V v d D t d L C Z x d W 9 0 O 0 N v b H V t b k N v d W 5 0 J n F 1 b 3 Q 7 O j E 3 L C Z x d W 9 0 O 0 t l e U N v b H V t b k 5 h b W V z J n F 1 b 3 Q 7 O l t d L C Z x d W 9 0 O 0 N v b H V t b k l k Z W 5 0 a X R p Z X M m c X V v d D s 6 W y Z x d W 9 0 O 1 N l Y 3 R p b 2 4 x L 2 Z B c n R p a 2 x p Q 2 V u a S 9 D a G F u Z 2 V k I F R 5 c G U u e 9 C Q 0 Y D R g t C 4 0 L r Q u y D Q v d C w 0 L f Q u N C y L D F 9 J n F 1 b 3 Q 7 L C Z x d W 9 0 O 1 N l Y 3 R p b 2 4 x L 2 Z B c n R p a 2 x p Q 2 V u a S 9 D a G F u Z 2 V k I F R 5 c G U u e 9 C a 0 L D R g t C 1 0 L P Q v t G A 0 L j R m N C w I N C Q 0 Y D R g t C 4 0 L r Q u y w z f S Z x d W 9 0 O y w m c X V v d D t T Z W N 0 a W 9 u M S 9 m Q X J 0 a W t s a U N l b m k v Q 2 h h b m d l Z C B U e X B l L n v Q o t C 4 0 L 8 g 0 L 3 Q s C D Q s N G A 0 Y L Q u N C 6 0 L s s N H 0 m c X V v d D s s J n F 1 b 3 Q 7 U 2 V j d G l v b j E v Z k F y d G l r b G l D Z W 5 p L 0 N o Y W 5 n Z W Q g V H l w Z S 5 7 0 J X Q t N C 4 0 L 3 Q t d G H 0 L 3 Q s C D Q v N C 1 0 Y D Q u t C w L D V 9 J n F 1 b 3 Q 7 L C Z x d W 9 0 O 1 N l Y 3 R p b 2 4 x L 2 Z B c n R p a 2 x p Q 2 V u a S 9 D a G F u Z 2 V k I F R 5 c G U u e 9 C a 0 L 7 Q u 9 C 4 0 Y f Q u N C 9 0 L A s N n 0 m c X V v d D s s J n F 1 b 3 Q 7 U 2 V j d G l v b j E v Z k F y d G l r b G l D Z W 5 p L 0 N o Y W 5 n Z W Q g V H l w Z S 5 7 0 J X Q t N C 4 0 L 3 Q t d G H 0 L 3 Q s C D R h t C 1 0 L 3 Q s C w 3 f S Z x d W 9 0 O y w m c X V v d D t T Z W N 0 a W 9 u M S 9 m Q X J 0 a W t s a U N l b m k v Q 2 h h b m d l Z C B U e X B l L n v Q k t C 6 0 Y P Q v 9 C 9 0 L 4 g 0 Y L R g N C + 0 Y j Q v t C 6 L D h 9 J n F 1 b 3 Q 7 L C Z x d W 9 0 O 1 N l Y 3 R p b 2 4 x L 2 Z B c n R p a 2 x p Q 2 V u a S 9 D a G F u Z 2 V k I F R 5 c G U u e 9 C U 0 J T Q k i w 5 f S Z x d W 9 0 O y w m c X V v d D t T Z W N 0 a W 9 u M S 9 m Q X J 0 a W t s a U N l b m k v Q 2 h h b m d l Z C B U e X B l L n v Q k t C 6 0 Y P Q v 9 C 9 0 L 4 g 0 Y L R g N C + 0 Y j Q v t C 6 I N G B 0 L 4 g 0 J T Q l N C S L D E w f S Z x d W 9 0 O y w m c X V v d D t T Z W N 0 a W 9 u M S 9 m Q X J 0 a W t s a U N l b m k v Q 2 h h b m d l Z C B U e X B l L n v Q m t C + 0 L 3 R g t C + L D E x f S Z x d W 9 0 O y w m c X V v d D t T Z W N 0 a W 9 u M S 9 m Q X J 0 a W t s a U N l b m k v Q 2 h h b m d l Z C B U e X B l L n t S Z X B v c n R U e X B l L D E y f S Z x d W 9 0 O y w m c X V v d D t T Z W N 0 a W 9 u M S 9 m Q X J 0 a W t s a U N l b m k v Q 2 h h b m d l Z C B U e X B l L n v Q n 9 C 1 0 Y D Q u N C + 0 L Q s M T N 9 J n F 1 b 3 Q 7 L C Z x d W 9 0 O 1 N l Y 3 R p b 2 4 x L 2 R L b 2 5 0 Z W 5 Q b G F u L 0 N o Y W 5 n Z W Q g V H l w Z S 5 7 U 3 R h d m t h S W 1 l T U s s N n 0 m c X V v d D s s J n F 1 b 3 Q 7 U 2 V j d G l v b j E v Z F N 0 Y X Z r a S 9 D a G F u Z 2 V k I F R 5 c G U u e 1 N 0 Y X Z r Y U F P U C w x f S Z x d W 9 0 O y w m c X V v d D t T Z W N 0 a W 9 u M S 9 k U 3 R h d m t p L 0 N o Y W 5 n Z W Q g V H l w Z S 5 7 U 3 R h d m t h R 3 J 1 c G E s N 3 0 m c X V v d D s s J n F 1 b 3 Q 7 U 2 V j d G l v b j E v Z F N 0 Y X Z r a S 9 D a G F u Z 2 V k I F R 5 c G U u e 1 N 0 Y X Z r Y U t h d G V n b 3 J p a m E s O H 0 m c X V v d D s s J n F 1 b 3 Q 7 U 2 V j d G l v b j E v Z E 9 i c m F z Y 2 k v Q 2 h h b m d l Z C B U e X B l L n t P Y n J h e m V j S W 1 l L D J 9 J n F 1 b 3 Q 7 X S w m c X V v d D t S Z W x h d G l v b n N o a X B J b m Z v J n F 1 b 3 Q 7 O l t 7 J n F 1 b 3 Q 7 a 2 V 5 Q 2 9 s d W 1 u Q 2 9 1 b n Q m c X V v d D s 6 M S w m c X V v d D t r Z X l D b 2 x 1 b W 4 m c X V v d D s 6 O S w m c X V v d D t v d G h l c k t l e U N v b H V t b k l k Z W 5 0 a X R 5 J n F 1 b 3 Q 7 O i Z x d W 9 0 O 1 N l Y 3 R p b 2 4 x L 2 R L b 2 5 0 Z W 5 Q b G F u L 0 N o Y W 5 n Z W Q g V H l w Z S 5 7 S 2 9 u d G 8 s M H 0 m c X V v d D s s J n F 1 b 3 Q 7 S 2 V 5 Q 2 9 s d W 1 u Q 2 9 1 b n Q m c X V v d D s 6 M X 1 d f S I g L z 4 8 L 1 N 0 Y W J s Z U V u d H J p Z X M + P C 9 J d G V t P j x J d G V t P j x J d G V t T G 9 j Y X R p b 2 4 + P E l 0 Z W 1 U e X B l P k Z v c m 1 1 b G E 8 L 0 l 0 Z W 1 U e X B l P j x J d G V t U G F 0 a D 5 T Z W N 0 a W 9 u M S 9 m Q 2 9 2 Z W N r a V J l c 3 V y c 2 k l M j A o M i k 8 L 0 l 0 Z W 1 Q Y X R o P j w v S X R l b U x v Y 2 F 0 a W 9 u P j x T d G F i b G V F b n R y a W V z P j x F b n R y e S B U e X B l P S J G a W x s U 3 R h d H V z I i B W Y W x 1 Z T 0 i c 0 N v b X B s Z X R l I i A v P j x F b n R y e S B U e X B l P S J O Y X Z p Z 2 F 0 a W 9 u U 3 R l c E 5 h b W U i I F Z h b H V l P S J z T m F 2 a W d h d G l v b i I g L z 4 8 R W 5 0 c n k g V H l w Z T 0 i R m l s b E N v b H V t b k 5 h b W V z I i B W Y W x 1 Z T 0 i c 1 s m c X V v d D v Q o d G C 0 L D Q s t C 6 0 L A m c X V v d D s s J n F 1 b 3 Q 7 0 J / Q t d G A 0 L j Q v t C 0 J n F 1 b 3 Q 7 L C Z x d W 9 0 O 9 C Y 0 L f Q v d C + 0 Y E m c X V v d D s s J n F 1 b 3 Q 7 0 J r Q v t C 9 0 Y L Q v i Z x d W 9 0 O y w m c X V v d D t S Z X B v c n R U e X B l J n F 1 b 3 Q 7 L C Z x d W 9 0 O 1 N 0 Y X Z r Y U l t Z U 1 L J n F 1 b 3 Q 7 L C Z x d W 9 0 O 1 N 0 Y X Z r Y U t h d G V n b 3 J p a m E m c X V v d D s s J n F 1 b 3 Q 7 T 2 J y Y X p l Y 0 l t Z S Z x d W 9 0 O 1 0 i I C 8 + P E V u d H J 5 I F R 5 c G U 9 I k Z p b G x F b m F i b G V k I i B W Y W x 1 Z T 0 i b D A i I C 8 + P E V u d H J 5 I F R 5 c G U 9 I k Z p b G x D b 2 x 1 b W 5 U e X B l c y I g V m F s d W U 9 I n N C Z 2 t E Q m d Z R 0 J n W T 0 i I C 8 + P E V u d H J 5 I F R 5 c G U 9 I k Z p b G x M Y X N 0 V X B k Y X R l Z C I g V m F s d W U 9 I m Q y M D I y L T E y L T A 0 V D I y O j I 4 O j U 2 L j k 2 M T M w M D R a I i A v P j x F b n R y e S B U e X B l P S J G a W x s R X J y b 3 J D b 3 V u d C I g V m F s d W U 9 I m w w I i A v P j x F b n R y e S B U e X B l P S J G a W x s R X J y b 3 J D b 2 R l I i B W Y W x 1 Z T 0 i c 1 V u a 2 5 v d 2 4 i I C 8 + P E V u d H J 5 I F R 5 c G U 9 I k Z p b G x l Z E N v b X B s Z X R l U m V z d W x 0 V G 9 X b 3 J r c 2 h l Z X Q i I F Z h b H V l P S J s M C I g L z 4 8 R W 5 0 c n k g V H l w Z T 0 i R m l s b E N v d W 5 0 I i B W Y W x 1 Z T 0 i b D c 2 O C I g L z 4 8 R W 5 0 c n k g V H l w Z T 0 i R m l s b F R v R G F 0 Y U 1 v Z G V s R W 5 h Y m x l Z C I g V m F s d W U 9 I m w x I i A v P j x F b n R y e S B U e X B l P S J J c 1 B y a X Z h d G U i I F Z h b H V l P S J s M C I g L z 4 8 R W 5 0 c n k g V H l w Z T 0 i U X V l c n l H c m 9 1 c E l E I i B W Y W x 1 Z T 0 i c 2 R m M j N k N z I 4 L T Z k Y j I t N D Q y M S 0 4 N j Z m L T M 1 Z T c 5 M T M z O T I x N C I g L z 4 8 R W 5 0 c n k g V H l w Z T 0 i U X V l c n l J R C I g V m F s d W U 9 I n N m Y z E 3 Z T U w Y i 0 z M z I 2 L T R h M 2 I t Y m V l O S 1 l M T k z O T g z M G F l N D Q i I C 8 + P E V u d H J 5 I F R 5 c G U 9 I k F k Z G V k V G 9 E Y X R h T W 9 k Z W w i I F Z h b H V l P S J s M S I g L z 4 8 R W 5 0 c n k g V H l w Z T 0 i T m F t Z V V w Z G F 0 Z W R B Z n R l c k Z p b G w i I F Z h b H V l P S J s M C I g L z 4 8 R W 5 0 c n k g V H l w Z T 0 i Q n V m Z m V y T m V 4 d F J l Z n J l c 2 g i I F Z h b H V l P S J s M S I g L z 4 8 R W 5 0 c n k g V H l w Z T 0 i R m l s b E 9 i a m V j d F R 5 c G U i I F Z h b H V l P S J z Q 2 9 u b m V j d G l v b k 9 u b H k i I C 8 + P E V u d H J 5 I F R 5 c G U 9 I l J l c 3 V s d F R 5 c G U i I F Z h b H V l P S J z R X h j Z X B 0 a W 9 u I i A v P j x F b n R y e S B U e X B l P S J M b 2 F k Z W R U b 0 F u Y W x 5 c 2 l z U 2 V y d m l j Z X M i I F Z h b H V l P S J s M C I g L z 4 8 R W 5 0 c n k g V H l w Z T 0 i U m V s Y X R p b 2 5 z a G l w S W 5 m b 0 N v b n R h a W 5 l c i I g V m F s d W U 9 I n N 7 J n F 1 b 3 Q 7 Y 2 9 s d W 1 u Q 2 9 1 b n Q m c X V v d D s 6 O C w m c X V v d D t r Z X l D b 2 x 1 b W 5 O Y W 1 l c y Z x d W 9 0 O z p b X S w m c X V v d D t x d W V y e V J l b G F 0 a W 9 u c 2 h p c H M m c X V v d D s 6 W 3 s m c X V v d D t r Z X l D b 2 x 1 b W 5 D b 3 V u d C Z x d W 9 0 O z o x L C Z x d W 9 0 O 2 t l e U N v b H V t b i Z x d W 9 0 O z o z L C Z x d W 9 0 O 2 9 0 a G V y S 2 V 5 Q 2 9 s d W 1 u S W R l b n R p d H k m c X V v d D s 6 J n F 1 b 3 Q 7 U 2 V j d G l v b j E v Z E t v b n R l b l B s Y W 4 v Q 2 h h b m d l Z C B U e X B l L n t L b 2 5 0 b y w w f S Z x d W 9 0 O y w m c X V v d D t L Z X l D b 2 x 1 b W 5 D b 3 V u d C Z x d W 9 0 O z o x f V 0 s J n F 1 b 3 Q 7 Y 2 9 s d W 1 u S W R l b n R p d G l l c y Z x d W 9 0 O z p b J n F 1 b 3 Q 7 U 2 V j d G l v b j E v Z k N v d m V j a 2 l S Z X N 1 c n N p I C g y K S 9 D a G F u Z 2 V k I F R 5 c G U u e 9 C i 0 L j Q v y D Q v d C w I N C 9 0 L D Q t N C + 0 L z Q t d G B 0 Y L Q v t C 6 L D B 9 J n F 1 b 3 Q 7 L C Z x d W 9 0 O 1 N l Y 3 R p b 2 4 x L 2 Z D b 3 Z l Y 2 t p U m V z d X J z a S A o M i k v Q 2 h h b m d l Z C B U e X B l L n v Q n 9 C 1 0 Y D Q u N C + 0 L Q s N X 0 m c X V v d D s s J n F 1 b 3 Q 7 U 2 V j d G l v b j E v Z k N v d m V j a 2 l S Z X N 1 c n N p I C g y K S 9 D a G F u Z 2 V k I F R 5 c G U u e 9 C Y 0 L f Q v d C + 0 Y E s O H 0 m c X V v d D s s J n F 1 b 3 Q 7 U 2 V j d G l v b j E v Z k N v d m V j a 2 l S Z X N 1 c n N p I C g y K S 9 D a G F u Z 2 V k I F R 5 c G U u e 9 C a 0 L 7 Q v d G C 0 L 4 s O X 0 m c X V v d D s s J n F 1 b 3 Q 7 U 2 V j d G l v b j E v Z k N v d m V j a 2 l S Z X N 1 c n N p I C g y K S 9 D a G F u Z 2 V k I F R 5 c G U u e 1 J l c G 9 y d F R 5 c G U s M T B 9 J n F 1 b 3 Q 7 L C Z x d W 9 0 O 1 N l Y 3 R p b 2 4 x L 2 R L b 2 5 0 Z W 5 Q b G F u L 0 N o Y W 5 n Z W Q g V H l w Z S 5 7 U 3 R h d m t h S W 1 l T U s s N n 0 m c X V v d D s s J n F 1 b 3 Q 7 U 2 V j d G l v b j E v Z F N 0 Y X Z r a S 9 D a G F u Z 2 V k I F R 5 c G U u e 1 N 0 Y X Z r Y U t h d G V n b 3 J p a m E s O H 0 m c X V v d D s s J n F 1 b 3 Q 7 U 2 V j d G l v b j E v Z E 9 i c m F z Y 2 k v Q 2 h h b m d l Z C B U e X B l L n t P Y n J h e m V j S W 1 l L D J 9 J n F 1 b 3 Q 7 X S w m c X V v d D t D b 2 x 1 b W 5 D b 3 V u d C Z x d W 9 0 O z o 4 L C Z x d W 9 0 O 0 t l e U N v b H V t b k 5 h b W V z J n F 1 b 3 Q 7 O l t d L C Z x d W 9 0 O 0 N v b H V t b k l k Z W 5 0 a X R p Z X M m c X V v d D s 6 W y Z x d W 9 0 O 1 N l Y 3 R p b 2 4 x L 2 Z D b 3 Z l Y 2 t p U m V z d X J z a S A o M i k v Q 2 h h b m d l Z C B U e X B l L n v Q o t C 4 0 L 8 g 0 L 3 Q s C D Q v d C w 0 L T Q v t C 8 0 L X R g d G C 0 L 7 Q u i w w f S Z x d W 9 0 O y w m c X V v d D t T Z W N 0 a W 9 u M S 9 m Q 2 9 2 Z W N r a V J l c 3 V y c 2 k g K D I p L 0 N o Y W 5 n Z W Q g V H l w Z S 5 7 0 J / Q t d G A 0 L j Q v t C 0 L D V 9 J n F 1 b 3 Q 7 L C Z x d W 9 0 O 1 N l Y 3 R p b 2 4 x L 2 Z D b 3 Z l Y 2 t p U m V z d X J z a S A o M i k v Q 2 h h b m d l Z C B U e X B l L n v Q m N C 3 0 L 3 Q v t G B L D h 9 J n F 1 b 3 Q 7 L C Z x d W 9 0 O 1 N l Y 3 R p b 2 4 x L 2 Z D b 3 Z l Y 2 t p U m V z d X J z a S A o M i k v Q 2 h h b m d l Z C B U e X B l L n v Q m t C + 0 L 3 R g t C + L D l 9 J n F 1 b 3 Q 7 L C Z x d W 9 0 O 1 N l Y 3 R p b 2 4 x L 2 Z D b 3 Z l Y 2 t p U m V z d X J z a S A o M i k v Q 2 h h b m d l Z C B U e X B l L n t S Z X B v c n R U e X B l L D E w f S Z x d W 9 0 O y w m c X V v d D t T Z W N 0 a W 9 u M S 9 k S 2 9 u d G V u U G x h b i 9 D a G F u Z 2 V k I F R 5 c G U u e 1 N 0 Y X Z r Y U l t Z U 1 L L D Z 9 J n F 1 b 3 Q 7 L C Z x d W 9 0 O 1 N l Y 3 R p b 2 4 x L 2 R T d G F 2 a 2 k v Q 2 h h b m d l Z C B U e X B l L n t T d G F 2 a 2 F L Y X R l Z 2 9 y a W p h L D h 9 J n F 1 b 3 Q 7 L C Z x d W 9 0 O 1 N l Y 3 R p b 2 4 x L 2 R P Y n J h c 2 N p L 0 N o Y W 5 n Z W Q g V H l w Z S 5 7 T 2 J y Y X p l Y 0 l t Z S w y f S Z x d W 9 0 O 1 0 s J n F 1 b 3 Q 7 U m V s Y X R p b 2 5 z a G l w S W 5 m b y Z x d W 9 0 O z p b e y Z x d W 9 0 O 2 t l e U N v b H V t b k N v d W 5 0 J n F 1 b 3 Q 7 O j E s J n F 1 b 3 Q 7 a 2 V 5 Q 2 9 s d W 1 u J n F 1 b 3 Q 7 O j M s J n F 1 b 3 Q 7 b 3 R o Z X J L Z X l D b 2 x 1 b W 5 J Z G V u d G l 0 e S Z x d W 9 0 O z o m c X V v d D t T Z W N 0 a W 9 u M S 9 k S 2 9 u d G V u U G x h b i 9 D a G F u Z 2 V k I F R 5 c G U u e 0 t v b n R v L D B 9 J n F 1 b 3 Q 7 L C Z x d W 9 0 O 0 t l e U N v b H V t b k N v d W 5 0 J n F 1 b 3 Q 7 O j F 9 X X 0 i I C 8 + P C 9 T d G F i b G V F b n R y a W V z P j w v S X R l b T 4 8 S X R l b T 4 8 S X R l b U x v Y 2 F 0 a W 9 u P j x J d G V t V H l w Z T 5 G b 3 J t d W x h P C 9 J d G V t V H l w Z T 4 8 S X R l b V B h d G g + U 2 V j d G l v b j E v T 1 B F W E F u Y W x p e m E 8 L 0 l 0 Z W 1 Q Y X R o P j w v S X R l b U x v Y 2 F 0 a W 9 u P j x T d G F i b G V F b n R y a W V z P j x F b n R y e S B U e X B l P S J G a W x s U 3 R h d H V z I i B W Y W x 1 Z T 0 i c 0 N v b X B s Z X R l I i A v P j x F b n R y e S B U e X B l P S J O Y X Z p Z 2 F 0 a W 9 u U 3 R l c E 5 h b W U i I F Z h b H V l P S J z T m F 2 a W d h d G l v b i I g L z 4 8 R W 5 0 c n k g V H l w Z T 0 i R m l s b E N v b H V t b k 5 h b W V z I i B W Y W x 1 Z T 0 i c 1 s m c X V v d D v Q k N G A 0 Y L Q u N C 6 0 L s g 0 J j Q l C Z x d W 9 0 O y w m c X V v d D v Q o d G C 0 L D Q s t C 6 0 L A m c X V v d D s s J n F 1 b 3 Q 7 0 J r Q s N G C 0 L X Q s 9 C + 0 Y D Q u N G Y 0 L A g 0 J D R g N G C 0 L j Q u t C 7 I N C Y 0 J Q m c X V v d D s s J n F 1 b 3 Q 7 0 J r Q s N G C 0 L X Q s 9 C + 0 Y D Q u N G Y 0 L A g 0 J D R g N G C 0 L j Q u t C 7 J n F 1 b 3 Q 7 L C Z x d W 9 0 O 9 C i 0 L j Q v y D Q v d C w I N C w 0 Y D R g t C 4 0 L r Q u y Z x d W 9 0 O y w m c X V v d D v Q l d C 0 0 L j Q v d C 1 0 Y f Q v d C w I N C 8 0 L X R g N C 6 0 L A m c X V v d D s s J n F 1 b 3 Q 7 0 J r Q v t C 7 0 L j R h 9 C 4 0 L 3 Q s C Z x d W 9 0 O y w m c X V v d D v Q l d C 0 0 L j Q v d C 1 0 Y f Q v d C w I N G G 0 L X Q v d C w J n F 1 b 3 Q 7 L C Z x d W 9 0 O 9 C Y 0 L f Q v d C + 0 Y E m c X V v d D s s J n F 1 b 3 Q 7 0 J T Q l N C S J n F 1 b 3 Q 7 L C Z x d W 9 0 O 9 C S 0 L r R g 9 C / 0 L 3 Q v i D R g t G A 0 L 7 R i N C + 0 L o g 0 Y H Q v i D Q l N C U 0 J I m c X V v d D s s J n F 1 b 3 Q 7 0 J r Q v t C 9 0 Y L Q v i Z x d W 9 0 O y w m c X V v d D v Q n 9 C 1 0 Y D Q u N C + 0 L Q m c X V v d D s s J n F 1 b 3 Q 7 U m V w b 3 J 0 V H l w Z S Z x d W 9 0 O y w m c X V v d D t T d G F 2 a 2 F J b W V N S y Z x d W 9 0 O y w m c X V v d D t T d G F 2 a 2 F L Y X R l Z 2 9 y a W p h J n F 1 b 3 Q 7 L C Z x d W 9 0 O 0 9 i c m F 6 Z W N J b W U m c X V v d D t d I i A v P j x F b n R y e S B U e X B l P S J G a W x s R W 5 h Y m x l Z C I g V m F s d W U 9 I m w w I i A v P j x F b n R y e S B U e X B l P S J G a W x s Q 2 9 s d W 1 u V H l w Z X M i I F Z h b H V l P S J z Q X d Z R E J n W U d C U U 1 G Q k F V R 0 N R W U d C Z 1 k 9 I i A v P j x F b n R y e S B U e X B l P S J G a W x s T G F z d F V w Z G F 0 Z W Q i I F Z h b H V l P S J k M j A y M i 0 x M i 0 w N F Q y M j o y O D o 1 N i 4 5 M T A 0 M z c 5 W i I g L z 4 8 R W 5 0 c n k g V H l w Z T 0 i R m l s b E V y c m 9 y Q 2 9 1 b n Q i I F Z h b H V l P S J s M C I g L z 4 8 R W 5 0 c n k g V H l w Z T 0 i R m l s b E V y c m 9 y Q 2 9 k Z S I g V m F s d W U 9 I n N V b m t u b 3 d u I i A v P j x F b n R y e S B U e X B l P S J G a W x s Z W R D b 2 1 w b G V 0 Z V J l c 3 V s d F R v V 2 9 y a 3 N o Z W V 0 I i B W Y W x 1 Z T 0 i b D A i I C 8 + P E V u d H J 5 I F R 5 c G U 9 I k Z p b G x D b 3 V u d C I g V m F s d W U 9 I m w x N D U 2 I i A v P j x F b n R y e S B U e X B l P S J G a W x s V G 9 E Y X R h T W 9 k Z W x F b m F i b G V k I i B W Y W x 1 Z T 0 i b D E i I C 8 + P E V u d H J 5 I F R 5 c G U 9 I k l z U H J p d m F 0 Z S I g V m F s d W U 9 I m w w I i A v P j x F b n R y e S B U e X B l P S J R d W V y e U l E I i B W Y W x 1 Z T 0 i c 2 U 2 Z G R j Y z k y L T l j N D Q t N D U x N S 1 i Z W E 3 L T d m Y T R i N W I 1 Y T Y 4 N C I g L z 4 8 R W 5 0 c n k g V H l w Z T 0 i Q W R k Z W R U b 0 R h d G F N b 2 R l b C I g V m F s d W U 9 I m w x I i A v P j x F b n R y e S B U e X B l P S J O Y W 1 l V X B k Y X R l Z E F m d G V y R m l s b C I g V m F s d W U 9 I m w w I i A v P j x F b n R y e S B U e X B l P S J C d W Z m Z X J O Z X h 0 U m V m c m V z a C I g V m F s d W U 9 I m w x I i A v P j x F b n R y e S B U e X B l P S J G a W x s T 2 J q Z W N 0 V H l w Z S I g V m F s d W U 9 I n N Q a X Z v d F R h Y m x l I i A v P j x F b n R y e S B U e X B l P S J S Z X N 1 b H R U e X B l I i B W Y W x 1 Z T 0 i c 0 V 4 Y 2 V w d G l v b i I g L z 4 8 R W 5 0 c n k g V H l w Z T 0 i U G l 2 b 3 R P Y m p l Y 3 R O Y W 1 l I i B W Y W x 1 Z T 0 i c 0 9 Q R V g g c G 8 g c 3 R h d m t p I V B p d m 9 0 V G F i b G U 0 I i A v P j x F b n R y e S B U e X B l P S J S Z W x h d G l v b n N o a X B J b m Z v Q 2 9 u d G F p b m V y I i B W Y W x 1 Z T 0 i c 3 s m c X V v d D t j b 2 x 1 b W 5 D b 3 V u d C Z x d W 9 0 O z o x N y w m c X V v d D t r Z X l D b 2 x 1 b W 5 O Y W 1 l c y Z x d W 9 0 O z p b X S w m c X V v d D t x d W V y e V J l b G F 0 a W 9 u c 2 h p c H M m c X V v d D s 6 W 1 0 s J n F 1 b 3 Q 7 Y 2 9 s d W 1 u S W R l b n R p d G l l c y Z x d W 9 0 O z p b J n F 1 b 3 Q 7 U 2 V j d G l v b j E v T 1 B F W E F u Y W x p e m E v U 2 9 1 c m N l L n v Q k N G A 0 Y L Q u N C 6 0 L s g 0 J j Q l C w w f S Z x d W 9 0 O y w m c X V v d D t T Z W N 0 a W 9 u M S 9 P U E V Y Q W 5 h b G l 6 Y S 9 T b 3 V y Y 2 U u e 9 C h 0 Y L Q s N C y 0 L r Q s C w x f S Z x d W 9 0 O y w m c X V v d D t T Z W N 0 a W 9 u M S 9 P U E V Y Q W 5 h b G l 6 Y S 9 T b 3 V y Y 2 U u e 9 C a 0 L D R g t C 1 0 L P Q v t G A 0 L j R m N C w I N C Q 0 Y D R g t C 4 0 L r Q u y D Q m N C U L D J 9 J n F 1 b 3 Q 7 L C Z x d W 9 0 O 1 N l Y 3 R p b 2 4 x L 0 9 Q R V h B b m F s a X p h L 1 N v d X J j Z S 5 7 0 J r Q s N G C 0 L X Q s 9 C + 0 Y D Q u N G Y 0 L A g 0 J D R g N G C 0 L j Q u t C 7 L D N 9 J n F 1 b 3 Q 7 L C Z x d W 9 0 O 1 N l Y 3 R p b 2 4 x L 0 9 Q R V h B b m F s a X p h L 1 N v d X J j Z S 5 7 0 K L Q u N C / I N C 9 0 L A g 0 L D R g N G C 0 L j Q u t C 7 L D R 9 J n F 1 b 3 Q 7 L C Z x d W 9 0 O 1 N l Y 3 R p b 2 4 x L 0 9 Q R V h B b m F s a X p h L 1 N v d X J j Z S 5 7 0 J X Q t N C 4 0 L 3 Q t d G H 0 L 3 Q s C D Q v N C 1 0 Y D Q u t C w L D V 9 J n F 1 b 3 Q 7 L C Z x d W 9 0 O 1 N l Y 3 R p b 2 4 x L 0 9 Q R V h B b m F s a X p h L 1 N v d X J j Z S 5 7 0 J r Q v t C 7 0 L j R h 9 C 4 0 L 3 Q s C w 2 f S Z x d W 9 0 O y w m c X V v d D t T Z W N 0 a W 9 u M S 9 P U E V Y Q W 5 h b G l 6 Y S 9 T b 3 V y Y 2 U u e 9 C V 0 L T Q u N C 9 0 L X R h 9 C 9 0 L A g 0 Y b Q t d C 9 0 L A s N 3 0 m c X V v d D s s J n F 1 b 3 Q 7 U 2 V j d G l v b j E v T 1 B F W E F u Y W x p e m E v U 2 9 1 c m N l L n v Q m N C 3 0 L 3 Q v t G B L D h 9 J n F 1 b 3 Q 7 L C Z x d W 9 0 O 1 N l Y 3 R p b 2 4 x L 0 9 Q R V h B b m F s a X p h L 1 N v d X J j Z S 5 7 0 J T Q l N C S L D l 9 J n F 1 b 3 Q 7 L C Z x d W 9 0 O 1 N l Y 3 R p b 2 4 x L 0 9 Q R V h B b m F s a X p h L 1 N v d X J j Z S 5 7 0 J L Q u t G D 0 L / Q v d C + I N G C 0 Y D Q v t G I 0 L 7 Q u i D R g d C + I N C U 0 J T Q k i w x M H 0 m c X V v d D s s J n F 1 b 3 Q 7 U 2 V j d G l v b j E v T 1 B F W E F u Y W x p e m E v U 2 9 1 c m N l L n v Q m t C + 0 L 3 R g t C + L D E x f S Z x d W 9 0 O y w m c X V v d D t T Z W N 0 a W 9 u M S 9 P U E V Y Q W 5 h b G l 6 Y S 9 T b 3 V y Y 2 U u e 9 C f 0 L X R g N C 4 0 L 7 Q t C w x M n 0 m c X V v d D s s J n F 1 b 3 Q 7 U 2 V j d G l v b j E v T 1 B F W E F u Y W x p e m E v U 2 9 1 c m N l L n t S Z X B v c n R U e X B l L D E z f S Z x d W 9 0 O y w m c X V v d D t T Z W N 0 a W 9 u M S 9 P U E V Y Q W 5 h b G l 6 Y S 9 T b 3 V y Y 2 U u e 1 N 0 Y X Z r Y U l t Z U 1 L L D E 0 f S Z x d W 9 0 O y w m c X V v d D t T Z W N 0 a W 9 u M S 9 P U E V Y Q W 5 h b G l 6 Y S 9 T b 3 V y Y 2 U u e 1 N 0 Y X Z r Y U t h d G V n b 3 J p a m E s M T V 9 J n F 1 b 3 Q 7 L C Z x d W 9 0 O 1 N l Y 3 R p b 2 4 x L 0 9 Q R V h B b m F s a X p h L 1 N v d X J j Z S 5 7 T 2 J y Y X p l Y 0 l t Z S w x N n 0 m c X V v d D t d L C Z x d W 9 0 O 0 N v b H V t b k N v d W 5 0 J n F 1 b 3 Q 7 O j E 3 L C Z x d W 9 0 O 0 t l e U N v b H V t b k 5 h b W V z J n F 1 b 3 Q 7 O l t d L C Z x d W 9 0 O 0 N v b H V t b k l k Z W 5 0 a X R p Z X M m c X V v d D s 6 W y Z x d W 9 0 O 1 N l Y 3 R p b 2 4 x L 0 9 Q R V h B b m F s a X p h L 1 N v d X J j Z S 5 7 0 J D R g N G C 0 L j Q u t C 7 I N C Y 0 J Q s M H 0 m c X V v d D s s J n F 1 b 3 Q 7 U 2 V j d G l v b j E v T 1 B F W E F u Y W x p e m E v U 2 9 1 c m N l L n v Q o d G C 0 L D Q s t C 6 0 L A s M X 0 m c X V v d D s s J n F 1 b 3 Q 7 U 2 V j d G l v b j E v T 1 B F W E F u Y W x p e m E v U 2 9 1 c m N l L n v Q m t C w 0 Y L Q t d C z 0 L 7 R g N C 4 0 Z j Q s C D Q k N G A 0 Y L Q u N C 6 0 L s g 0 J j Q l C w y f S Z x d W 9 0 O y w m c X V v d D t T Z W N 0 a W 9 u M S 9 P U E V Y Q W 5 h b G l 6 Y S 9 T b 3 V y Y 2 U u e 9 C a 0 L D R g t C 1 0 L P Q v t G A 0 L j R m N C w I N C Q 0 Y D R g t C 4 0 L r Q u y w z f S Z x d W 9 0 O y w m c X V v d D t T Z W N 0 a W 9 u M S 9 P U E V Y Q W 5 h b G l 6 Y S 9 T b 3 V y Y 2 U u e 9 C i 0 L j Q v y D Q v d C w I N C w 0 Y D R g t C 4 0 L r Q u y w 0 f S Z x d W 9 0 O y w m c X V v d D t T Z W N 0 a W 9 u M S 9 P U E V Y Q W 5 h b G l 6 Y S 9 T b 3 V y Y 2 U u e 9 C V 0 L T Q u N C 9 0 L X R h 9 C 9 0 L A g 0 L z Q t d G A 0 L r Q s C w 1 f S Z x d W 9 0 O y w m c X V v d D t T Z W N 0 a W 9 u M S 9 P U E V Y Q W 5 h b G l 6 Y S 9 T b 3 V y Y 2 U u e 9 C a 0 L 7 Q u 9 C 4 0 Y f Q u N C 9 0 L A s N n 0 m c X V v d D s s J n F 1 b 3 Q 7 U 2 V j d G l v b j E v T 1 B F W E F u Y W x p e m E v U 2 9 1 c m N l L n v Q l d C 0 0 L j Q v d C 1 0 Y f Q v d C w I N G G 0 L X Q v d C w L D d 9 J n F 1 b 3 Q 7 L C Z x d W 9 0 O 1 N l Y 3 R p b 2 4 x L 0 9 Q R V h B b m F s a X p h L 1 N v d X J j Z S 5 7 0 J j Q t 9 C 9 0 L 7 R g S w 4 f S Z x d W 9 0 O y w m c X V v d D t T Z W N 0 a W 9 u M S 9 P U E V Y Q W 5 h b G l 6 Y S 9 T b 3 V y Y 2 U u e 9 C U 0 J T Q k i w 5 f S Z x d W 9 0 O y w m c X V v d D t T Z W N 0 a W 9 u M S 9 P U E V Y Q W 5 h b G l 6 Y S 9 T b 3 V y Y 2 U u e 9 C S 0 L r R g 9 C / 0 L 3 Q v i D R g t G A 0 L 7 R i N C + 0 L o g 0 Y H Q v i D Q l N C U 0 J I s M T B 9 J n F 1 b 3 Q 7 L C Z x d W 9 0 O 1 N l Y 3 R p b 2 4 x L 0 9 Q R V h B b m F s a X p h L 1 N v d X J j Z S 5 7 0 J r Q v t C 9 0 Y L Q v i w x M X 0 m c X V v d D s s J n F 1 b 3 Q 7 U 2 V j d G l v b j E v T 1 B F W E F u Y W x p e m E v U 2 9 1 c m N l L n v Q n 9 C 1 0 Y D Q u N C + 0 L Q s M T J 9 J n F 1 b 3 Q 7 L C Z x d W 9 0 O 1 N l Y 3 R p b 2 4 x L 0 9 Q R V h B b m F s a X p h L 1 N v d X J j Z S 5 7 U m V w b 3 J 0 V H l w Z S w x M 3 0 m c X V v d D s s J n F 1 b 3 Q 7 U 2 V j d G l v b j E v T 1 B F W E F u Y W x p e m E v U 2 9 1 c m N l L n t T d G F 2 a 2 F J b W V N S y w x N H 0 m c X V v d D s s J n F 1 b 3 Q 7 U 2 V j d G l v b j E v T 1 B F W E F u Y W x p e m E v U 2 9 1 c m N l L n t T d G F 2 a 2 F L Y X R l Z 2 9 y a W p h L D E 1 f S Z x d W 9 0 O y w m c X V v d D t T Z W N 0 a W 9 u M S 9 P U E V Y Q W 5 h b G l 6 Y S 9 T b 3 V y Y 2 U u e 0 9 i c m F 6 Z W N J b W U s M T Z 9 J n F 1 b 3 Q 7 X S w m c X V v d D t S Z W x h d G l v b n N o a X B J b m Z v J n F 1 b 3 Q 7 O l t d f S I g L z 4 8 L 1 N 0 Y W J s Z U V u d H J p Z X M + P C 9 J d G V t P j x J d G V t P j x J d G V t T G 9 j Y X R p b 2 4 + P E l 0 Z W 1 U e X B l P k Z v c m 1 1 b G E 8 L 0 l 0 Z W 1 U e X B l P j x J d G V t U G F 0 a D 5 T Z W N 0 a W 9 u M S 9 D Q V B F W C 1 K T j w v S X R l b V B h d G g + P C 9 J d G V t T G 9 j Y X R p b 2 4 + P F N 0 Y W J s Z U V u d H J p Z X M + P E V u d H J 5 I F R 5 c G U 9 I k Z p b G x T d G F 0 d X M i I F Z h b H V l P S J z Q 2 9 t c G x l d G U i I C 8 + P E V u d H J 5 I F R 5 c G U 9 I k J 1 Z m Z l c k 5 l e H R S Z W Z y Z X N o I i B W Y W x 1 Z T 0 i b D E i I C 8 + P E V u d H J 5 I F R 5 c G U 9 I k Z p b G x D b 2 x 1 b W 5 O Y W 1 l c y I g V m F s d W U 9 I n N b J n F 1 b 3 Q 7 0 J / R g N C 1 0 L T Q v N C 1 0 Y I g 0 L 3 Q s C D R m N C w 0 L L Q v d C w I N C 9 0 L D Q s d C w 0 L L Q u t C w J n F 1 b 3 Q 7 L C Z x d W 9 0 O 9 C f 0 Y D Q t d C 0 0 L L Q u N C 0 0 L X Q v S D Q t N C w 0 Y L R g 9 C 8 I N C 9 0 L A g 0 L 3 Q s N C x 0 L D Q s t C 6 0 L A m c X V v d D s s J n F 1 b 3 Q 7 0 J / R g N C + 0 Y b Q t d C 9 0 L X R g t C w I N C y 0 Y D Q t d C 0 0 L 3 Q v t G B 0 Y I g 0 L 3 Q s C D Q v d C w 0 L H Q s N C y 0 L r Q s C D R g d C + I N C U 0 J T Q k i A o 0 L T Q t d C 9 0 L D R g N C 4 K S Z x d W 9 0 O y w m c X V v d D v Q m t C + 0 L 3 R g t C + J n F 1 b 3 Q 7 L C Z x d W 9 0 O 1 J l c G 9 y d F R 5 c G U m c X V v d D t d I i A v P j x F b n R y e S B U e X B l P S J G a W x s R W 5 h Y m x l Z C I g V m F s d W U 9 I m w x I i A v P j x F b n R y e S B U e X B l P S J G a W x s Q 2 9 s d W 1 u V H l w Z X M i I F Z h b H V l P S J z Q m d r R E J n W T 0 i I C 8 + P E V u d H J 5 I F R 5 c G U 9 I k Z p b G x M Y X N 0 V X B k Y X R l Z C I g V m F s d W U 9 I m Q y M D I y L T E y L T A 0 V D I y O j I 5 O j E 1 L j k z M D U 1 M D V a I i A v P j x F b n R y e S B U e X B l P S J G a W x s R X J y b 3 J D b 3 V u d C I g V m F s d W U 9 I m w w I i A v P j x F b n R y e S B U e X B l P S J G a W x s R X J y b 3 J D b 2 R l I i B W Y W x 1 Z T 0 i c 1 V u a 2 5 v d 2 4 i I C 8 + P E V u d H J 5 I F R 5 c G U 9 I k Z p b G x l Z E N v b X B s Z X R l U m V z d W x 0 V G 9 X b 3 J r c 2 h l Z X Q i I F Z h b H V l P S J s M S I g L z 4 8 R W 5 0 c n k g V H l w Z T 0 i R m l s b E N v d W 5 0 I i B W Y W x 1 Z T 0 i b D M w I i A v P j x F b n R y e S B U e X B l P S J G a W x s V G 9 E Y X R h T W 9 k Z W x F b m F i b G V k I i B W Y W x 1 Z T 0 i b D A i I C 8 + P E V u d H J 5 I F R 5 c G U 9 I k l z U H J p d m F 0 Z S I g V m F s d W U 9 I m w w I i A v P j x F b n R y e S B U e X B l P S J R d W V y e U l E I i B W Y W x 1 Z T 0 i c z N m Z T M 1 N j d l L W Y 5 O T M t N D A 0 Y S 1 h Y j g 0 L T h k N z Q y M D R k Y m Y 1 Z i I g L z 4 8 R W 5 0 c n k g V H l w Z T 0 i U m V j b 3 Z l c n l U Y X J n Z X R D b 2 x 1 b W 4 i I F Z h b H V l P S J s M S I g L z 4 8 R W 5 0 c n k g V H l w Z T 0 i U m V j b 3 Z l c n l U Y X J n Z X R S b 3 c i I F Z h b H V l P S J s M S I g L z 4 8 R W 5 0 c n k g V H l w Z T 0 i U m V j b 3 Z l c n l U Y X J n Z X R T a G V l d C I g V m F s d W U 9 I n N T a G V l d D E i I C 8 + P E V u d H J 5 I F R 5 c G U 9 I k F k Z G V k V G 9 E Y X R h T W 9 k Z W w i I F Z h b H V l P S J s M C I g L z 4 8 R W 5 0 c n k g V H l w Z T 0 i U m V z d W x 0 V H l w Z S I g V m F s d W U 9 I n N U Y W J s Z S I g L z 4 8 R W 5 0 c n k g V H l w Z T 0 i T m F 2 a W d h d G l v b l N 0 Z X B O Y W 1 l I i B W Y W x 1 Z T 0 i c 0 5 h d m l n Y X R p b 2 4 i I C 8 + P E V u d H J 5 I F R 5 c G U 9 I k Z p b G x P Y m p l Y 3 R U e X B l I i B W Y W x 1 Z T 0 i c 1 R h Y m x l I i A v P j x F b n R y e S B U e X B l P S J O Y W 1 l V X B k Y X R l Z E F m d G V y R m l s b C I g V m F s d W U 9 I m w w I i A v P j x F b n R y e S B U e X B l P S J G a W x s V G F y Z 2 V 0 I i B W Y W x 1 Z T 0 i c 0 N B U E V Y X 0 p O I i A v P j x F b n R y e S B U e X B l P S J M b 2 F k Z W R U b 0 F u Y W x 5 c 2 l z U 2 V y d m l j Z X M i I F Z h b H V l P S J s M C I g L z 4 8 R W 5 0 c n k g V H l w Z T 0 i U m V s Y X R p b 2 5 z a G l w S W 5 m b 0 N v b n R h a W 5 l c i I g V m F s d W U 9 I n N 7 J n F 1 b 3 Q 7 Y 2 9 s d W 1 u Q 2 9 1 b n Q m c X V v d D s 6 N S w m c X V v d D t r Z X l D b 2 x 1 b W 5 O Y W 1 l c y Z x d W 9 0 O z p b X S w m c X V v d D t x d W V y e V J l b G F 0 a W 9 u c 2 h p c H M m c X V v d D s 6 W 1 0 s J n F 1 b 3 Q 7 Y 2 9 s d W 1 u S W R l b n R p d G l l c y Z x d W 9 0 O z p b J n F 1 b 3 Q 7 U 2 V j d G l v b j E v Q 0 F Q R V g t S k 4 v T W V y Z 2 V k I E N v b H V t b n M u e 9 C f 0 Y D Q t d C 0 0 L z Q t d G C I N C 9 0 L A g 0 L T Q v t C z 0 L 7 Q s t C + 0 Y D Q v t G C I N C 3 0 L A g 0 Z j Q s N C y 0 L 3 Q s C D Q v d C w 0 L H Q s N C y 0 L r Q s C w w f S Z x d W 9 0 O y w m c X V v d D t T Z W N 0 a W 9 u M S 9 D Q V B F W C 1 K T i 9 D a G F u Z 2 V k I F R 5 c G U u e 9 C e 0 Y f Q t d C 6 0 Y P Q s t C w 0 L 0 g 0 L T Q s N G C 0 Y P Q v C D Q v d C w I N C / 0 L v Q s N G c 0 L D R m t C 1 L D N 9 J n F 1 b 3 Q 7 L C Z x d W 9 0 O 1 N l Y 3 R p b 2 4 x L 0 N B U E V Y L U p O L 0 N o Y W 5 n Z W Q g V H l w Z S 5 7 0 J / R g N C + 0 Y b Q t d C 9 0 L X R g t C w I N C y 0 Y D Q t d C 0 0 L 3 Q v t G B 0 Y I g 0 L 3 Q s C D Q v d C w 0 L H Q s N C y 0 L r Q s C D R g d C + I N C U 0 J T Q k i A o 0 L T Q t d C 9 0 L D R g N C 4 K S w 1 f S Z x d W 9 0 O y w m c X V v d D t T Z W N 0 a W 9 u M S 9 D Q V B F W C 1 K T i 9 D a G F u Z 2 V k I F R 5 c G U u e 9 C a 0 L 7 Q v d G C 0 L 4 g 0 K H R g N C 1 0 L T R g d G C 0 L L Q s C w 3 f S Z x d W 9 0 O y w m c X V v d D t T Z W N 0 a W 9 u M S 9 D Q V B F W C 1 K T i 9 D a G F u Z 2 V k I F R 5 c G U x L n t S Z X B v c n Q g V H l w Z S w 0 f S Z x d W 9 0 O 1 0 s J n F 1 b 3 Q 7 Q 2 9 s d W 1 u Q 2 9 1 b n Q m c X V v d D s 6 N S w m c X V v d D t L Z X l D b 2 x 1 b W 5 O Y W 1 l c y Z x d W 9 0 O z p b X S w m c X V v d D t D b 2 x 1 b W 5 J Z G V u d G l 0 a W V z J n F 1 b 3 Q 7 O l s m c X V v d D t T Z W N 0 a W 9 u M S 9 D Q V B F W C 1 K T i 9 N Z X J n Z W Q g Q 2 9 s d W 1 u c y 5 7 0 J / R g N C 1 0 L T Q v N C 1 0 Y I g 0 L 3 Q s C D Q t N C + 0 L P Q v t C y 0 L 7 R g N C + 0 Y I g 0 L f Q s C D R m N C w 0 L L Q v d C w I N C 9 0 L D Q s d C w 0 L L Q u t C w L D B 9 J n F 1 b 3 Q 7 L C Z x d W 9 0 O 1 N l Y 3 R p b 2 4 x L 0 N B U E V Y L U p O L 0 N o Y W 5 n Z W Q g V H l w Z S 5 7 0 J 7 R h 9 C 1 0 L r R g 9 C y 0 L D Q v S D Q t N C w 0 Y L R g 9 C 8 I N C 9 0 L A g 0 L / Q u 9 C w 0 Z z Q s N G a 0 L U s M 3 0 m c X V v d D s s J n F 1 b 3 Q 7 U 2 V j d G l v b j E v Q 0 F Q R V g t S k 4 v Q 2 h h b m d l Z C B U e X B l L n v Q n 9 G A 0 L 7 R h t C 1 0 L 3 Q t d G C 0 L A g 0 L L R g N C 1 0 L T Q v d C + 0 Y H R g i D Q v d C w I N C 9 0 L D Q s d C w 0 L L Q u t C w I N G B 0 L 4 g 0 J T Q l N C S I C j Q t N C 1 0 L 3 Q s N G A 0 L g p L D V 9 J n F 1 b 3 Q 7 L C Z x d W 9 0 O 1 N l Y 3 R p b 2 4 x L 0 N B U E V Y L U p O L 0 N o Y W 5 n Z W Q g V H l w Z S 5 7 0 J r Q v t C 9 0 Y L Q v i D Q o d G A 0 L X Q t N G B 0 Y L Q s t C w L D d 9 J n F 1 b 3 Q 7 L C Z x d W 9 0 O 1 N l Y 3 R p b 2 4 x L 0 N B U E V Y L U p O L 0 N o Y W 5 n Z W Q g V H l w Z T E u e 1 J l c G 9 y d C B U e X B l L D R 9 J n F 1 b 3 Q 7 X S w m c X V v d D t S Z W x h d G l v b n N o a X B J b m Z v J n F 1 b 3 Q 7 O l t d f S I g L z 4 8 L 1 N 0 Y W J s Z U V u d H J p Z X M + P C 9 J d G V t P j x J d G V t P j x J d G V t T G 9 j Y X R p b 2 4 + P E l 0 Z W 1 U e X B l P k Z v c m 1 1 b G E 8 L 0 l 0 Z W 1 U e X B l P j x J d G V t U G F 0 a D 5 T Z W N 0 a W 9 u M S 9 y Q X J 0 a W t s a U F u Y W x p e m E 8 L 0 l 0 Z W 1 Q Y X R o P j w v S X R l b U x v Y 2 F 0 a W 9 u P j x T d G F i b G V F b n R y a W V z P j x F b n R y e S B U e X B l P S J G a W x s U 3 R h d H V z I i B W Y W x 1 Z T 0 i c 0 N v b X B s Z X R l I i A v P j x F b n R y e S B U e X B l P S J O Y X Z p Z 2 F 0 a W 9 u U 3 R l c E 5 h b W U i I F Z h b H V l P S J z T m F 2 a W d h d G l v b i I g L z 4 8 R W 5 0 c n k g V H l w Z T 0 i R m l s b E N v b H V t b k 5 h b W V z I i B W Y W x 1 Z T 0 i c 1 s m c X V v d D v Q k N G A 0 Y L Q u N C 6 0 L s g 0 J j Q l C Z x d W 9 0 O y w m c X V v d D v Q o d G C 0 L D Q s t C 6 0 L A m c X V v d D s s J n F 1 b 3 Q 7 0 J r Q s N G C 0 L X Q s 9 C + 0 Y D Q u N G Y 0 L A g 0 J D R g N G C 0 L j Q u t C 7 I N C Y 0 J Q m c X V v d D s s J n F 1 b 3 Q 7 0 J r Q s N G C 0 L X Q s 9 C + 0 Y D Q u N G Y 0 L A g 0 J D R g N G C 0 L j Q u t C 7 J n F 1 b 3 Q 7 L C Z x d W 9 0 O 9 C i 0 L j Q v y D Q v d C w I N C w 0 Y D R g t C 4 0 L r Q u y Z x d W 9 0 O y w m c X V v d D v Q l d C 0 0 L j Q v d C 1 0 Y f Q v d C w I N C 8 0 L X R g N C 6 0 L A m c X V v d D s s J n F 1 b 3 Q 7 0 J r Q v t C 7 0 L j R h 9 C 4 0 L 3 Q s C Z x d W 9 0 O y w m c X V v d D v Q l d C 0 0 L j Q v d C 1 0 Y f Q v d C w I N G G 0 L X Q v d C w J n F 1 b 3 Q 7 L C Z x d W 9 0 O 9 C Y 0 L f Q v d C + 0 Y E m c X V v d D s s J n F 1 b 3 Q 7 0 J T Q l N C S J n F 1 b 3 Q 7 L C Z x d W 9 0 O 9 C S 0 L r R g 9 C / 0 L 3 Q v i D R g t G A 0 L 7 R i N C + 0 L o g 0 Y H Q v i D Q l N C U 0 J I m c X V v d D s s J n F 1 b 3 Q 7 0 J r Q v t C 9 0 Y L Q v i Z x d W 9 0 O y w m c X V v d D v Q n 9 C 1 0 Y D Q u N C + 0 L Q m c X V v d D s s J n F 1 b 3 Q 7 U m V w b 3 J 0 V H l w Z S Z x d W 9 0 O y w m c X V v d D t T d G F 2 a 2 F J b W V N S y Z x d W 9 0 O y w m c X V v d D t T d G F 2 a 2 F L Y X R l Z 2 9 y a W p h J n F 1 b 3 Q 7 X S I g L z 4 8 R W 5 0 c n k g V H l w Z T 0 i R m l s b E V u Y W J s Z W Q i I F Z h b H V l P S J s M C I g L z 4 8 R W 5 0 c n k g V H l w Z T 0 i R m l s b E N v b H V t b l R 5 c G V z I i B W Y W x 1 Z T 0 i c 0 F 3 W U R C Z 1 l H Q l F N R k J B V U d D U V l H Q m c 9 P S I g L z 4 8 R W 5 0 c n k g V H l w Z T 0 i R m l s b E x h c 3 R V c G R h d G V k I i B W Y W x 1 Z T 0 i Z D I w M j I t M T I t M D R U M j I 6 M j g 6 N T Y u O T I 1 M z k 2 M V o i I C 8 + P E V u d H J 5 I F R 5 c G U 9 I k Z p b G x F c n J v c k N v d W 5 0 I i B W Y W x 1 Z T 0 i b D A i I C 8 + P E V u d H J 5 I F R 5 c G U 9 I k Z p b G x F c n J v c k N v Z G U i I F Z h b H V l P S J z V W 5 r b m 9 3 b i I g L z 4 8 R W 5 0 c n k g V H l w Z T 0 i R m l s b G V k Q 2 9 t c G x l d G V S Z X N 1 b H R U b 1 d v c m t z a G V l d C I g V m F s d W U 9 I m w w I i A v P j x F b n R y e S B U e X B l P S J G a W x s Q 2 9 1 b n Q i I F Z h b H V l P S J s N j g 4 I i A v P j x F b n R y e S B U e X B l P S J G a W x s V G 9 E Y X R h T W 9 k Z W x F b m F i b G V k I i B W Y W x 1 Z T 0 i b D E i I C 8 + P E V u d H J 5 I F R 5 c G U 9 I k l z U H J p d m F 0 Z S I g V m F s d W U 9 I m w w I i A v P j x F b n R y e S B U e X B l P S J R d W V y e U d y b 3 V w S U Q i I F Z h b H V l P S J z Z G Y y M 2 Q 3 M j g t N m R i M i 0 0 N D I x L T g 2 N m Y t M z V l N z k x M z M 5 M j E 0 I i A v P j x F b n R y e S B U e X B l P S J R d W V y e U l E I i B W Y W x 1 Z T 0 i c 2 Y 5 Y T M y O T M z L T l l Z W U t N G N h Y S 0 4 Y m Z j L W I x M G U w Y z V j O D M 3 Y S I g L z 4 8 R W 5 0 c n k g V H l w Z T 0 i Q W R k Z W R U b 0 R h d G F N b 2 R l b C I g V m F s d W U 9 I m w x I i A v P j x F b n R y e S B U e X B l P S J O Y W 1 l V X B k Y X R l Z E F m d G V y R m l s b C I g V m F s d W U 9 I m w w I i A v P j x F b n R y e S B U e X B l P S J C d W Z m Z X J O Z X h 0 U m V m c m V z a C I g V m F s d W U 9 I m w x I i A v P j x F b n R y e S B U e X B l P S J G a W x s T 2 J q Z W N 0 V H l w Z S I g V m F s d W U 9 I n N D b 2 5 u Z W N 0 a W 9 u T 2 5 s e S I g L z 4 8 R W 5 0 c n k g V H l w Z T 0 i U m V z d W x 0 V H l w Z S I g V m F s d W U 9 I n N F e G N l c H R p b 2 4 i I C 8 + P E V u d H J 5 I F R 5 c G U 9 I k x v Y W R l Z F R v Q W 5 h b H l z a X N T Z X J 2 a W N l c y I g V m F s d W U 9 I m w w I i A v P j x F b n R y e S B U e X B l P S J S Z W x h d G l v b n N o a X B J b m Z v Q 2 9 u d G F p b m V y I i B W Y W x 1 Z T 0 i c 3 s m c X V v d D t j b 2 x 1 b W 5 D b 3 V u d C Z x d W 9 0 O z o x N i w m c X V v d D t r Z X l D b 2 x 1 b W 5 O Y W 1 l c y Z x d W 9 0 O z p b X S w m c X V v d D t x d W V y e V J l b G F 0 a W 9 u c 2 h p c H M m c X V v d D s 6 W 3 s m c X V v d D t r Z X l D b 2 x 1 b W 5 D b 3 V u d C Z x d W 9 0 O z o x L C Z x d W 9 0 O 2 t l e U N v b H V t b i Z x d W 9 0 O z o x M S w m c X V v d D t v d G h l c k t l e U N v b H V t b k l k Z W 5 0 a X R 5 J n F 1 b 3 Q 7 O i Z x d W 9 0 O 1 N l Y 3 R p b 2 4 x L 2 R L b 2 5 0 Z W 5 Q b G F u L 0 N o Y W 5 n Z W Q g V H l w Z S 5 7 S 2 9 u d G 8 s M H 0 m c X V v d D s s J n F 1 b 3 Q 7 S 2 V 5 Q 2 9 s d W 1 u Q 2 9 1 b n Q m c X V v d D s 6 M X 1 d L C Z x d W 9 0 O 2 N v b H V t b k l k Z W 5 0 a X R p Z X M m c X V v d D s 6 W y Z x d W 9 0 O 1 N l Y 3 R p b 2 4 x L 3 J B c n R p a 2 x p Q W 5 h b G l 6 Y S 9 D a G F u Z 2 V k I F R 5 c G U u e 9 C Q 0 Y D R g t C 4 0 L r Q u y D Q m N C U L D B 9 J n F 1 b 3 Q 7 L C Z x d W 9 0 O 1 N l Y 3 R p b 2 4 x L 3 J B c n R p a 2 x p Q W 5 h b G l 6 Y S 9 D a G F u Z 2 V k I F R 5 c G U u e 9 C Q 0 Y D R g t C 4 0 L r Q u y D Q v d C w 0 L f Q u N C y L D F 9 J n F 1 b 3 Q 7 L C Z x d W 9 0 O 1 N l Y 3 R p b 2 4 x L 3 J B c n R p a 2 x p Q W 5 h b G l 6 Y S 9 D a G F u Z 2 V k I F R 5 c G U u e 9 C a 0 L D R g t C 1 0 L P Q v t G A 0 L j R m N C w I N C Q 0 Y D R g t C 4 0 L r Q u y D Q m N C U L D J 9 J n F 1 b 3 Q 7 L C Z x d W 9 0 O 1 N l Y 3 R p b 2 4 x L 3 J B c n R p a 2 x p Q W 5 h b G l 6 Y S 9 D a G F u Z 2 V k I F R 5 c G U u e 9 C a 0 L D R g t C 1 0 L P Q v t G A 0 L j R m N C w I N C Q 0 Y D R g t C 4 0 L r Q u y w z f S Z x d W 9 0 O y w m c X V v d D t T Z W N 0 a W 9 u M S 9 y Q X J 0 a W t s a U F u Y W x p e m E v Q 2 h h b m d l Z C B U e X B l L n v Q o t C 4 0 L 8 g 0 L 3 Q s C D Q s N G A 0 Y L Q u N C 6 0 L s s N H 0 m c X V v d D s s J n F 1 b 3 Q 7 U 2 V j d G l v b j E v c k F y d G l r b G l B b m F s a X p h L 0 N o Y W 5 n Z W Q g V H l w Z S 5 7 0 J X Q t N C 4 0 L 3 Q t d G H 0 L 3 Q s C D Q v N C 1 0 Y D Q u t C w L D V 9 J n F 1 b 3 Q 7 L C Z x d W 9 0 O 1 N l Y 3 R p b 2 4 x L 3 J B c n R p a 2 x p Q W 5 h b G l 6 Y S 9 D a G F u Z 2 V k I F R 5 c G U u e 9 C a 0 L 7 Q u 9 C 4 0 Y f Q u N C 9 0 L A s N n 0 m c X V v d D s s J n F 1 b 3 Q 7 U 2 V j d G l v b j E v c k F y d G l r b G l B b m F s a X p h L 0 N o Y W 5 n Z W Q g V H l w Z S 5 7 0 J X Q t N C 4 0 L 3 Q t d G H 0 L 3 Q s C D R h t C 1 0 L 3 Q s C w 3 f S Z x d W 9 0 O y w m c X V v d D t T Z W N 0 a W 9 u M S 9 y Q X J 0 a W t s a U F u Y W x p e m E v Q 2 h h b m d l Z C B U e X B l L n v Q k t C 6 0 Y P Q v 9 C 9 0 L 4 g 0 Y L R g N C + 0 Y j Q v t C 6 L D h 9 J n F 1 b 3 Q 7 L C Z x d W 9 0 O 1 N l Y 3 R p b 2 4 x L 3 J B c n R p a 2 x p Q W 5 h b G l 6 Y S 9 D a G F u Z 2 V k I F R 5 c G U u e 9 C U 0 J T Q k i w 5 f S Z x d W 9 0 O y w m c X V v d D t T Z W N 0 a W 9 u M S 9 y Q X J 0 a W t s a U F u Y W x p e m E v Q 2 h h b m d l Z C B U e X B l L n v Q k t C 6 0 Y P Q v 9 C 9 0 L 4 g 0 Y L R g N C + 0 Y j Q v t C 6 I N G B 0 L 4 g 0 J T Q l N C S L D E w f S Z x d W 9 0 O y w m c X V v d D t T Z W N 0 a W 9 u M S 9 y Q X J 0 a W t s a U F u Y W x p e m E v Q 2 h h b m d l Z C B U e X B l L n v Q m t C + 0 L 3 R g t C + L D E x f S Z x d W 9 0 O y w m c X V v d D t T Z W N 0 a W 9 u M S 9 y Q X J 0 a W t s a U F u Y W x p e m E v Q 2 h h b m d l Z C B U e X B l L n v Q n 9 C 1 0 Y D Q u N C + 0 L Q s M T J 9 J n F 1 b 3 Q 7 L C Z x d W 9 0 O 1 N l Y 3 R p b 2 4 x L 3 J B c n R p a 2 x p Q W 5 h b G l 6 Y S 9 D a G F u Z 2 V k I F R 5 c G U u e 1 J l c G 9 y d F R 5 c G U s M T N 9 J n F 1 b 3 Q 7 L C Z x d W 9 0 O 1 N l Y 3 R p b 2 4 x L 2 R L b 2 5 0 Z W 5 Q b G F u L 0 N o Y W 5 n Z W Q g V H l w Z S 5 7 U 3 R h d m t h S W 1 l T U s s N n 0 m c X V v d D s s J n F 1 b 3 Q 7 U 2 V j d G l v b j E v Z F N 0 Y X Z r a S 9 D a G F u Z 2 V k I F R 5 c G U u e 1 N 0 Y X Z r Y U t h d G V n b 3 J p a m E s O H 0 m c X V v d D t d L C Z x d W 9 0 O 0 N v b H V t b k N v d W 5 0 J n F 1 b 3 Q 7 O j E 2 L C Z x d W 9 0 O 0 t l e U N v b H V t b k 5 h b W V z J n F 1 b 3 Q 7 O l t d L C Z x d W 9 0 O 0 N v b H V t b k l k Z W 5 0 a X R p Z X M m c X V v d D s 6 W y Z x d W 9 0 O 1 N l Y 3 R p b 2 4 x L 3 J B c n R p a 2 x p Q W 5 h b G l 6 Y S 9 D a G F u Z 2 V k I F R 5 c G U u e 9 C Q 0 Y D R g t C 4 0 L r Q u y D Q m N C U L D B 9 J n F 1 b 3 Q 7 L C Z x d W 9 0 O 1 N l Y 3 R p b 2 4 x L 3 J B c n R p a 2 x p Q W 5 h b G l 6 Y S 9 D a G F u Z 2 V k I F R 5 c G U u e 9 C Q 0 Y D R g t C 4 0 L r Q u y D Q v d C w 0 L f Q u N C y L D F 9 J n F 1 b 3 Q 7 L C Z x d W 9 0 O 1 N l Y 3 R p b 2 4 x L 3 J B c n R p a 2 x p Q W 5 h b G l 6 Y S 9 D a G F u Z 2 V k I F R 5 c G U u e 9 C a 0 L D R g t C 1 0 L P Q v t G A 0 L j R m N C w I N C Q 0 Y D R g t C 4 0 L r Q u y D Q m N C U L D J 9 J n F 1 b 3 Q 7 L C Z x d W 9 0 O 1 N l Y 3 R p b 2 4 x L 3 J B c n R p a 2 x p Q W 5 h b G l 6 Y S 9 D a G F u Z 2 V k I F R 5 c G U u e 9 C a 0 L D R g t C 1 0 L P Q v t G A 0 L j R m N C w I N C Q 0 Y D R g t C 4 0 L r Q u y w z f S Z x d W 9 0 O y w m c X V v d D t T Z W N 0 a W 9 u M S 9 y Q X J 0 a W t s a U F u Y W x p e m E v Q 2 h h b m d l Z C B U e X B l L n v Q o t C 4 0 L 8 g 0 L 3 Q s C D Q s N G A 0 Y L Q u N C 6 0 L s s N H 0 m c X V v d D s s J n F 1 b 3 Q 7 U 2 V j d G l v b j E v c k F y d G l r b G l B b m F s a X p h L 0 N o Y W 5 n Z W Q g V H l w Z S 5 7 0 J X Q t N C 4 0 L 3 Q t d G H 0 L 3 Q s C D Q v N C 1 0 Y D Q u t C w L D V 9 J n F 1 b 3 Q 7 L C Z x d W 9 0 O 1 N l Y 3 R p b 2 4 x L 3 J B c n R p a 2 x p Q W 5 h b G l 6 Y S 9 D a G F u Z 2 V k I F R 5 c G U u e 9 C a 0 L 7 Q u 9 C 4 0 Y f Q u N C 9 0 L A s N n 0 m c X V v d D s s J n F 1 b 3 Q 7 U 2 V j d G l v b j E v c k F y d G l r b G l B b m F s a X p h L 0 N o Y W 5 n Z W Q g V H l w Z S 5 7 0 J X Q t N C 4 0 L 3 Q t d G H 0 L 3 Q s C D R h t C 1 0 L 3 Q s C w 3 f S Z x d W 9 0 O y w m c X V v d D t T Z W N 0 a W 9 u M S 9 y Q X J 0 a W t s a U F u Y W x p e m E v Q 2 h h b m d l Z C B U e X B l L n v Q k t C 6 0 Y P Q v 9 C 9 0 L 4 g 0 Y L R g N C + 0 Y j Q v t C 6 L D h 9 J n F 1 b 3 Q 7 L C Z x d W 9 0 O 1 N l Y 3 R p b 2 4 x L 3 J B c n R p a 2 x p Q W 5 h b G l 6 Y S 9 D a G F u Z 2 V k I F R 5 c G U u e 9 C U 0 J T Q k i w 5 f S Z x d W 9 0 O y w m c X V v d D t T Z W N 0 a W 9 u M S 9 y Q X J 0 a W t s a U F u Y W x p e m E v Q 2 h h b m d l Z C B U e X B l L n v Q k t C 6 0 Y P Q v 9 C 9 0 L 4 g 0 Y L R g N C + 0 Y j Q v t C 6 I N G B 0 L 4 g 0 J T Q l N C S L D E w f S Z x d W 9 0 O y w m c X V v d D t T Z W N 0 a W 9 u M S 9 y Q X J 0 a W t s a U F u Y W x p e m E v Q 2 h h b m d l Z C B U e X B l L n v Q m t C + 0 L 3 R g t C + L D E x f S Z x d W 9 0 O y w m c X V v d D t T Z W N 0 a W 9 u M S 9 y Q X J 0 a W t s a U F u Y W x p e m E v Q 2 h h b m d l Z C B U e X B l L n v Q n 9 C 1 0 Y D Q u N C + 0 L Q s M T J 9 J n F 1 b 3 Q 7 L C Z x d W 9 0 O 1 N l Y 3 R p b 2 4 x L 3 J B c n R p a 2 x p Q W 5 h b G l 6 Y S 9 D a G F u Z 2 V k I F R 5 c G U u e 1 J l c G 9 y d F R 5 c G U s M T N 9 J n F 1 b 3 Q 7 L C Z x d W 9 0 O 1 N l Y 3 R p b 2 4 x L 2 R L b 2 5 0 Z W 5 Q b G F u L 0 N o Y W 5 n Z W Q g V H l w Z S 5 7 U 3 R h d m t h S W 1 l T U s s N n 0 m c X V v d D s s J n F 1 b 3 Q 7 U 2 V j d G l v b j E v Z F N 0 Y X Z r a S 9 D a G F u Z 2 V k I F R 5 c G U u e 1 N 0 Y X Z r Y U t h d G V n b 3 J p a m E s O H 0 m c X V v d D t d L C Z x d W 9 0 O 1 J l b G F 0 a W 9 u c 2 h p c E l u Z m 8 m c X V v d D s 6 W 3 s m c X V v d D t r Z X l D b 2 x 1 b W 5 D b 3 V u d C Z x d W 9 0 O z o x L C Z x d W 9 0 O 2 t l e U N v b H V t b i Z x d W 9 0 O z o x M S w m c X V v d D t v d G h l c k t l e U N v b H V t b k l k Z W 5 0 a X R 5 J n F 1 b 3 Q 7 O i Z x d W 9 0 O 1 N l Y 3 R p b 2 4 x L 2 R L b 2 5 0 Z W 5 Q b G F u L 0 N o Y W 5 n Z W Q g V H l w Z S 5 7 S 2 9 u d G 8 s M H 0 m c X V v d D s s J n F 1 b 3 Q 7 S 2 V 5 Q 2 9 s d W 1 u Q 2 9 1 b n Q m c X V v d D s 6 M X 1 d f S I g L z 4 8 L 1 N 0 Y W J s Z U V u d H J p Z X M + P C 9 J d G V t P j x J d G V t P j x J d G V t T G 9 j Y X R p b 2 4 + P E l 0 Z W 1 U e X B l P k Z v c m 1 1 b G E 8 L 0 l 0 Z W 1 U e X B l P j x J d G V t U G F 0 a D 5 T Z W N 0 a W 9 u M S 9 y Q X J 0 a W t s a V 9 I U l 9 B b m F s a X p h P C 9 J d G V t U G F 0 a D 4 8 L 0 l 0 Z W 1 M b 2 N h d G l v b j 4 8 U 3 R h Y m x l R W 5 0 c m l l c z 4 8 R W 5 0 c n k g V H l w Z T 0 i R m l s b F N 0 Y X R 1 c y I g V m F s d W U 9 I n N D b 2 1 w b G V 0 Z S I g L z 4 8 R W 5 0 c n k g V H l w Z T 0 i T m F 2 a W d h d G l v b l N 0 Z X B O Y W 1 l I i B W Y W x 1 Z T 0 i c 0 5 h d m l n Y X R p b 2 4 i I C 8 + P E V u d H J 5 I F R 5 c G U 9 I k Z p b G x D b 2 x 1 b W 5 O Y W 1 l c y I g V m F s d W U 9 I n N b J n F 1 b 3 Q 7 0 K H R g t C w 0 L L Q u t C w J n F 1 b 3 Q 7 L C Z x d W 9 0 O 9 C a 0 L D R g t C 1 0 L P Q v t G A 0 L j R m N C w I N C Q 0 Y D R g t C 4 0 L r Q u y Z x d W 9 0 O y w m c X V v d D v Q o t C 4 0 L 8 g 0 L 3 Q s C D Q s N G A 0 Y L Q u N C 6 0 L s m c X V v d D s s J n F 1 b 3 Q 7 0 J X Q t N C 4 0 L 3 Q t d G H 0 L 3 Q s C D Q v N C 1 0 Y D Q u t C w J n F 1 b 3 Q 7 L C Z x d W 9 0 O 9 C a 0 L 7 Q u 9 C 4 0 Y f Q u N C 9 0 L A m c X V v d D s s J n F 1 b 3 Q 7 0 J X Q t N C 4 0 L 3 Q t d G H 0 L 3 Q s C D R h t C 1 0 L 3 Q s C Z x d W 9 0 O y w m c X V v d D v Q k t C 6 0 Y P Q v 9 C 9 0 L 4 g 0 Y L R g N C + 0 Y j Q v t C 6 J n F 1 b 3 Q 7 L C Z x d W 9 0 O 9 C U 0 J T Q k i Z x d W 9 0 O y w m c X V v d D v Q m N C 3 0 L 3 Q v t G B J n F 1 b 3 Q 7 L C Z x d W 9 0 O 9 C a 0 L 7 Q v d G C 0 L 4 m c X V v d D s s J n F 1 b 3 Q 7 U m V w b 3 J 0 V H l w Z S Z x d W 9 0 O y w m c X V v d D v Q n 9 C 1 0 Y D Q u N C + 0 L Q m c X V v d D s s J n F 1 b 3 Q 7 U 3 R h d m t h S W 1 l T U s m c X V v d D s s J n F 1 b 3 Q 7 U 3 R h d m t h Q U 9 Q J n F 1 b 3 Q 7 L C Z x d W 9 0 O 1 N 0 Y X Z r Y U d y d X B h J n F 1 b 3 Q 7 L C Z x d W 9 0 O 1 N 0 Y X Z r Y U t h d G V n b 3 J p a m E m c X V v d D s s J n F 1 b 3 Q 7 T 2 J y Y X p l Y 0 l t Z S Z x d W 9 0 O y w m c X V v d D v Q o t C 4 0 L 8 g 0 L 3 Q s C D Q s t G A 0 L D Q s d C + 0 Y L R g 9 C y 0 L D R m t C 1 J n F 1 b 3 Q 7 L C Z x d W 9 0 O 9 C f 0 L v Q s N C 9 0 L j R g N C w 0 L 0 g 0 L / R g N C 4 0 L v Q u N C y L y j Q v t C 0 0 L v Q u N C y K S Z x d W 9 0 O y w m c X V v d D v Q m t G A 0 L D R m N C 9 0 L A g 0 Y H Q v t G B 0 Y L Q v t G Y 0 L H Q s C D Q s t G A 0 L D Q s d C + 0 Y L Q t d C 9 0 L g m c X V v d D s s J n F 1 b 3 Q 7 U 3 R h d m t h S 2 F 0 Z W d v c m l q Y S 4 x J n F 1 b 3 Q 7 X S I g L z 4 8 R W 5 0 c n k g V H l w Z T 0 i R m l s b E V u Y W J s Z W Q i I F Z h b H V l P S J s M C I g L z 4 8 R W 5 0 c n k g V H l w Z T 0 i R m l s b E N v b H V t b l R 5 c G V z I i B W Y W x 1 Z T 0 i c 0 J n W U d C Z 1 V E Q l F R R k J n W U p C Z 1 l H Q m d Z R 0 F 3 T U c i I C 8 + P E V u d H J 5 I F R 5 c G U 9 I k Z p b G x M Y X N 0 V X B k Y X R l Z C I g V m F s d W U 9 I m Q y M D I y L T E y L T A 0 V D I y O j I 4 O j U 2 L j k 0 O T M z N T l a I i A v P j x F b n R y e S B U e X B l P S J G a W x s R X J y b 3 J D b 3 V u d C I g V m F s d W U 9 I m w w I i A v P j x F b n R y e S B U e X B l P S J G a W x s R X J y b 3 J D b 2 R l I i B W Y W x 1 Z T 0 i c 1 V u a 2 5 v d 2 4 i I C 8 + P E V u d H J 5 I F R 5 c G U 9 I k Z p b G x l Z E N v b X B s Z X R l U m V z d W x 0 V G 9 X b 3 J r c 2 h l Z X Q i I F Z h b H V l P S J s M C I g L z 4 8 R W 5 0 c n k g V H l w Z T 0 i R m l s b E N v d W 5 0 I i B W Y W x 1 Z T 0 i b D M 2 N D A i I C 8 + P E V u d H J 5 I F R 5 c G U 9 I k Z p b G x U b 0 R h d G F N b 2 R l b E V u Y W J s Z W Q i I F Z h b H V l P S J s M S I g L z 4 8 R W 5 0 c n k g V H l w Z T 0 i S X N Q c m l 2 Y X R l I i B W Y W x 1 Z T 0 i b D A i I C 8 + P E V u d H J 5 I F R 5 c G U 9 I l F 1 Z X J 5 S U Q i I F Z h b H V l P S J z O D Z h N T h h Z T g t Y z l m N i 0 0 Y z B i L W I 3 N T Q t Z G N l Z D I 3 M D Q 5 N j c 1 I i A v P j x F b n R y e S B U e X B l P S J B Z G R l Z F R v R G F 0 Y U 1 v Z G V s I i B W Y W x 1 Z T 0 i b D E i I C 8 + P E V u d H J 5 I F R 5 c G U 9 I k 5 h b W V V c G R h d G V k Q W Z 0 Z X J G a W x s I i B W Y W x 1 Z T 0 i b D A i I C 8 + P E V u d H J 5 I F R 5 c G U 9 I k J 1 Z m Z l c k 5 l e H R S Z W Z y Z X N o I i B W Y W x 1 Z T 0 i b D E i I C 8 + P E V u d H J 5 I F R 5 c G U 9 I k Z p b G x P Y m p l Y 3 R U e X B l I i B W Y W x 1 Z T 0 i c 1 B p d m 9 0 V G F i b G U i I C 8 + P E V u d H J 5 I F R 5 c G U 9 I l J l c 3 V s d F R 5 c G U i I F Z h b H V l P S J z R X h j Z X B 0 a W 9 u I i A v P j x F b n R y e S B U e X B l P S J Q a X Z v d E 9 i a m V j d E 5 h b W U i I F Z h b H V l P S J z Q W 5 h b G l 6 Y S B P U E V Y I D I w M j E g K D I p I V B p d m 9 0 V G F i b G U y I i A v P j x F b n R y e S B U e X B l P S J S Z W x h d G l v b n N o a X B J b m Z v Q 2 9 u d G F p b m V y I i B W Y W x 1 Z T 0 i c 3 s m c X V v d D t j b 2 x 1 b W 5 D b 3 V u d C Z x d W 9 0 O z o y M S w m c X V v d D t r Z X l D b 2 x 1 b W 5 O Y W 1 l c y Z x d W 9 0 O z p b X S w m c X V v d D t x d W V y e V J l b G F 0 a W 9 u c 2 h p c H M m c X V v d D s 6 W 3 s m c X V v d D t r Z X l D b 2 x 1 b W 5 D b 3 V u d C Z x d W 9 0 O z o x L C Z x d W 9 0 O 2 t l e U N v b H V t b i Z x d W 9 0 O z o 5 L C Z x d W 9 0 O 2 9 0 a G V y S 2 V 5 Q 2 9 s d W 1 u S W R l b n R p d H k m c X V v d D s 6 J n F 1 b 3 Q 7 U 2 V j d G l v b j E v Z E t v b n R l b l B s Y W 4 v Q 2 h h b m d l Z C B U e X B l L n t L b 2 5 0 b y w w f S Z x d W 9 0 O y w m c X V v d D t L Z X l D b 2 x 1 b W 5 D b 3 V u d C Z x d W 9 0 O z o x f V 0 s J n F 1 b 3 Q 7 Y 2 9 s d W 1 u S W R l b n R p d G l l c y Z x d W 9 0 O z p b J n F 1 b 3 Q 7 U 2 V j d G l v b j E v c k F y d G l r b G l f S F J f Q W 5 h b G l 6 Y S 9 T b 3 V y Y 2 U u e 9 C h 0 Y L Q s N C y 0 L r Q s C w w f S Z x d W 9 0 O y w m c X V v d D t T Z W N 0 a W 9 u M S 9 y Q X J 0 a W t s a V 9 I U l 9 B b m F s a X p h L 1 N v d X J j Z S 5 7 0 J r Q s N G C 0 L X Q s 9 C + 0 Y D Q u N G Y 0 L A g 0 J D R g N G C 0 L j Q u t C 7 L D F 9 J n F 1 b 3 Q 7 L C Z x d W 9 0 O 1 N l Y 3 R p b 2 4 x L 3 J B c n R p a 2 x p X 0 h S X 0 F u Y W x p e m E v U 2 9 1 c m N l L n v Q o t C 4 0 L 8 g 0 L 3 Q s C D Q s N G A 0 Y L Q u N C 6 0 L s s M n 0 m c X V v d D s s J n F 1 b 3 Q 7 U 2 V j d G l v b j E v c k F y d G l r b G l f S F J f Q W 5 h b G l 6 Y S 9 T b 3 V y Y 2 U u e 9 C V 0 L T Q u N C 9 0 L X R h 9 C 9 0 L A g 0 L z Q t d G A 0 L r Q s C w z f S Z x d W 9 0 O y w m c X V v d D t T Z W N 0 a W 9 u M S 9 y Q X J 0 a W t s a V 9 I U l 9 B b m F s a X p h L 1 N v d X J j Z S 5 7 0 J r Q v t C 7 0 L j R h 9 C 4 0 L 3 Q s C w 0 f S Z x d W 9 0 O y w m c X V v d D t T Z W N 0 a W 9 u M S 9 y Q X J 0 a W t s a V 9 I U l 9 B b m F s a X p h L 1 N v d X J j Z S 5 7 0 J X Q t N C 4 0 L 3 Q t d G H 0 L 3 Q s C D R h t C 1 0 L 3 Q s C w 1 f S Z x d W 9 0 O y w m c X V v d D t T Z W N 0 a W 9 u M S 9 y Q X J 0 a W t s a V 9 I U l 9 B b m F s a X p h L 1 N v d X J j Z S 5 7 0 J L Q u t G D 0 L / Q v d C + I N G C 0 Y D Q v t G I 0 L 7 Q u i w 2 f S Z x d W 9 0 O y w m c X V v d D t T Z W N 0 a W 9 u M S 9 y Q X J 0 a W t s a V 9 I U l 9 B b m F s a X p h L 1 N v d X J j Z S 5 7 0 J T Q l N C S L D d 9 J n F 1 b 3 Q 7 L C Z x d W 9 0 O 1 N l Y 3 R p b 2 4 x L 3 J B c n R p a 2 x p X 0 h S X 0 F u Y W x p e m E v U 2 9 1 c m N l L n v Q m N C 3 0 L 3 Q v t G B L D h 9 J n F 1 b 3 Q 7 L C Z x d W 9 0 O 1 N l Y 3 R p b 2 4 x L 3 J B c n R p a 2 x p X 0 h S X 0 F u Y W x p e m E v U 2 9 1 c m N l L n v Q m t C + 0 L 3 R g t C + L D l 9 J n F 1 b 3 Q 7 L C Z x d W 9 0 O 1 N l Y 3 R p b 2 4 x L 3 J B c n R p a 2 x p X 0 h S X 0 F u Y W x p e m E v U 2 9 1 c m N l L n t S Z X B v c n R U e X B l L D E w f S Z x d W 9 0 O y w m c X V v d D t T Z W N 0 a W 9 u M S 9 y Q X J 0 a W t s a V 9 I U l 9 B b m F s a X p h L 1 N v d X J j Z S 5 7 0 J / Q t d G A 0 L j Q v t C 0 L D E x f S Z x d W 9 0 O y w m c X V v d D t T Z W N 0 a W 9 u M S 9 y Q X J 0 a W t s a V 9 I U l 9 B b m F s a X p h L 1 N v d X J j Z S 5 7 U 3 R h d m t h S W 1 l T U s s M T J 9 J n F 1 b 3 Q 7 L C Z x d W 9 0 O 1 N l Y 3 R p b 2 4 x L 3 J B c n R p a 2 x p X 0 h S X 0 F u Y W x p e m E v U 2 9 1 c m N l L n t T d G F 2 a 2 F B T 1 A s M T N 9 J n F 1 b 3 Q 7 L C Z x d W 9 0 O 1 N l Y 3 R p b 2 4 x L 3 J B c n R p a 2 x p X 0 h S X 0 F u Y W x p e m E v U 2 9 1 c m N l L n t T d G F 2 a 2 F H c n V w Y S w x N H 0 m c X V v d D s s J n F 1 b 3 Q 7 U 2 V j d G l v b j E v c k F y d G l r b G l f S F J f Q W 5 h b G l 6 Y S 9 T b 3 V y Y 2 U u e 1 N 0 Y X Z r Y U t h d G V n b 3 J p a m E s M T V 9 J n F 1 b 3 Q 7 L C Z x d W 9 0 O 1 N l Y 3 R p b 2 4 x L 3 J B c n R p a 2 x p X 0 h S X 0 F u Y W x p e m E v U 2 9 1 c m N l L n t P Y n J h e m V j S W 1 l L D E 2 f S Z x d W 9 0 O y w m c X V v d D t T Z W N 0 a W 9 u M S 9 y Q X J 0 a W t s a V 9 I U l 9 B b m F s a X p h L 1 N v d X J j Z S 5 7 0 K L Q u N C / I N C 9 0 L A g 0 L L R g N C w 0 L H Q v t G C 0 Y P Q s t C w 0 Z r Q t S w x N 3 0 m c X V v d D s s J n F 1 b 3 Q 7 U 2 V j d G l v b j E v c k F y d G l r b G l f S F J f Q W 5 h b G l 6 Y S 9 T b 3 V y Y 2 U u e 9 C f 0 L v Q s N C 9 0 L j R g N C w 0 L 0 g 0 L / R g N C 4 0 L v Q u N C y L y j Q v t C 0 0 L v Q u N C y K S w x O H 0 m c X V v d D s s J n F 1 b 3 Q 7 U 2 V j d G l v b j E v c k F y d G l r b G l f S F J f Q W 5 h b G l 6 Y S 9 T b 3 V y Y 2 U u e 9 C a 0 Y D Q s N G Y 0 L 3 Q s C D R g d C + 0 Y H R g t C + 0 Z j Q s d C w I N C y 0 Y D Q s N C x 0 L 7 R g t C 1 0 L 3 Q u C w x O X 0 m c X V v d D s s J n F 1 b 3 Q 7 U 2 V j d G l v b j E v Z F N 0 Y X Z r a S 9 D a G F u Z 2 V k I F R 5 c G U u e 1 N 0 Y X Z r Y U t h d G V n b 3 J p a m E s O H 0 m c X V v d D t d L C Z x d W 9 0 O 0 N v b H V t b k N v d W 5 0 J n F 1 b 3 Q 7 O j I x L C Z x d W 9 0 O 0 t l e U N v b H V t b k 5 h b W V z J n F 1 b 3 Q 7 O l t d L C Z x d W 9 0 O 0 N v b H V t b k l k Z W 5 0 a X R p Z X M m c X V v d D s 6 W y Z x d W 9 0 O 1 N l Y 3 R p b 2 4 x L 3 J B c n R p a 2 x p X 0 h S X 0 F u Y W x p e m E v U 2 9 1 c m N l L n v Q o d G C 0 L D Q s t C 6 0 L A s M H 0 m c X V v d D s s J n F 1 b 3 Q 7 U 2 V j d G l v b j E v c k F y d G l r b G l f S F J f Q W 5 h b G l 6 Y S 9 T b 3 V y Y 2 U u e 9 C a 0 L D R g t C 1 0 L P Q v t G A 0 L j R m N C w I N C Q 0 Y D R g t C 4 0 L r Q u y w x f S Z x d W 9 0 O y w m c X V v d D t T Z W N 0 a W 9 u M S 9 y Q X J 0 a W t s a V 9 I U l 9 B b m F s a X p h L 1 N v d X J j Z S 5 7 0 K L Q u N C / I N C 9 0 L A g 0 L D R g N G C 0 L j Q u t C 7 L D J 9 J n F 1 b 3 Q 7 L C Z x d W 9 0 O 1 N l Y 3 R p b 2 4 x L 3 J B c n R p a 2 x p X 0 h S X 0 F u Y W x p e m E v U 2 9 1 c m N l L n v Q l d C 0 0 L j Q v d C 1 0 Y f Q v d C w I N C 8 0 L X R g N C 6 0 L A s M 3 0 m c X V v d D s s J n F 1 b 3 Q 7 U 2 V j d G l v b j E v c k F y d G l r b G l f S F J f Q W 5 h b G l 6 Y S 9 T b 3 V y Y 2 U u e 9 C a 0 L 7 Q u 9 C 4 0 Y f Q u N C 9 0 L A s N H 0 m c X V v d D s s J n F 1 b 3 Q 7 U 2 V j d G l v b j E v c k F y d G l r b G l f S F J f Q W 5 h b G l 6 Y S 9 T b 3 V y Y 2 U u e 9 C V 0 L T Q u N C 9 0 L X R h 9 C 9 0 L A g 0 Y b Q t d C 9 0 L A s N X 0 m c X V v d D s s J n F 1 b 3 Q 7 U 2 V j d G l v b j E v c k F y d G l r b G l f S F J f Q W 5 h b G l 6 Y S 9 T b 3 V y Y 2 U u e 9 C S 0 L r R g 9 C / 0 L 3 Q v i D R g t G A 0 L 7 R i N C + 0 L o s N n 0 m c X V v d D s s J n F 1 b 3 Q 7 U 2 V j d G l v b j E v c k F y d G l r b G l f S F J f Q W 5 h b G l 6 Y S 9 T b 3 V y Y 2 U u e 9 C U 0 J T Q k i w 3 f S Z x d W 9 0 O y w m c X V v d D t T Z W N 0 a W 9 u M S 9 y Q X J 0 a W t s a V 9 I U l 9 B b m F s a X p h L 1 N v d X J j Z S 5 7 0 J j Q t 9 C 9 0 L 7 R g S w 4 f S Z x d W 9 0 O y w m c X V v d D t T Z W N 0 a W 9 u M S 9 y Q X J 0 a W t s a V 9 I U l 9 B b m F s a X p h L 1 N v d X J j Z S 5 7 0 J r Q v t C 9 0 Y L Q v i w 5 f S Z x d W 9 0 O y w m c X V v d D t T Z W N 0 a W 9 u M S 9 y Q X J 0 a W t s a V 9 I U l 9 B b m F s a X p h L 1 N v d X J j Z S 5 7 U m V w b 3 J 0 V H l w Z S w x M H 0 m c X V v d D s s J n F 1 b 3 Q 7 U 2 V j d G l v b j E v c k F y d G l r b G l f S F J f Q W 5 h b G l 6 Y S 9 T b 3 V y Y 2 U u e 9 C f 0 L X R g N C 4 0 L 7 Q t C w x M X 0 m c X V v d D s s J n F 1 b 3 Q 7 U 2 V j d G l v b j E v c k F y d G l r b G l f S F J f Q W 5 h b G l 6 Y S 9 T b 3 V y Y 2 U u e 1 N 0 Y X Z r Y U l t Z U 1 L L D E y f S Z x d W 9 0 O y w m c X V v d D t T Z W N 0 a W 9 u M S 9 y Q X J 0 a W t s a V 9 I U l 9 B b m F s a X p h L 1 N v d X J j Z S 5 7 U 3 R h d m t h Q U 9 Q L D E z f S Z x d W 9 0 O y w m c X V v d D t T Z W N 0 a W 9 u M S 9 y Q X J 0 a W t s a V 9 I U l 9 B b m F s a X p h L 1 N v d X J j Z S 5 7 U 3 R h d m t h R 3 J 1 c G E s M T R 9 J n F 1 b 3 Q 7 L C Z x d W 9 0 O 1 N l Y 3 R p b 2 4 x L 3 J B c n R p a 2 x p X 0 h S X 0 F u Y W x p e m E v U 2 9 1 c m N l L n t T d G F 2 a 2 F L Y X R l Z 2 9 y a W p h L D E 1 f S Z x d W 9 0 O y w m c X V v d D t T Z W N 0 a W 9 u M S 9 y Q X J 0 a W t s a V 9 I U l 9 B b m F s a X p h L 1 N v d X J j Z S 5 7 T 2 J y Y X p l Y 0 l t Z S w x N n 0 m c X V v d D s s J n F 1 b 3 Q 7 U 2 V j d G l v b j E v c k F y d G l r b G l f S F J f Q W 5 h b G l 6 Y S 9 T b 3 V y Y 2 U u e 9 C i 0 L j Q v y D Q v d C w I N C y 0 Y D Q s N C x 0 L 7 R g t G D 0 L L Q s N G a 0 L U s M T d 9 J n F 1 b 3 Q 7 L C Z x d W 9 0 O 1 N l Y 3 R p b 2 4 x L 3 J B c n R p a 2 x p X 0 h S X 0 F u Y W x p e m E v U 2 9 1 c m N l L n v Q n 9 C 7 0 L D Q v d C 4 0 Y D Q s N C 9 I N C / 0 Y D Q u N C 7 0 L j Q s i 8 o 0 L 7 Q t N C 7 0 L j Q s i k s M T h 9 J n F 1 b 3 Q 7 L C Z x d W 9 0 O 1 N l Y 3 R p b 2 4 x L 3 J B c n R p a 2 x p X 0 h S X 0 F u Y W x p e m E v U 2 9 1 c m N l L n v Q m t G A 0 L D R m N C 9 0 L A g 0 Y H Q v t G B 0 Y L Q v t G Y 0 L H Q s C D Q s t G A 0 L D Q s d C + 0 Y L Q t d C 9 0 L g s M T l 9 J n F 1 b 3 Q 7 L C Z x d W 9 0 O 1 N l Y 3 R p b 2 4 x L 2 R T d G F 2 a 2 k v Q 2 h h b m d l Z C B U e X B l L n t T d G F 2 a 2 F L Y X R l Z 2 9 y a W p h L D h 9 J n F 1 b 3 Q 7 X S w m c X V v d D t S Z W x h d G l v b n N o a X B J b m Z v J n F 1 b 3 Q 7 O l t 7 J n F 1 b 3 Q 7 a 2 V 5 Q 2 9 s d W 1 u Q 2 9 1 b n Q m c X V v d D s 6 M S w m c X V v d D t r Z X l D b 2 x 1 b W 4 m c X V v d D s 6 O S w m c X V v d D t v d G h l c k t l e U N v b H V t b k l k Z W 5 0 a X R 5 J n F 1 b 3 Q 7 O i Z x d W 9 0 O 1 N l Y 3 R p b 2 4 x L 2 R L b 2 5 0 Z W 5 Q b G F u L 0 N o Y W 5 n Z W Q g V H l w Z S 5 7 S 2 9 u d G 8 s M H 0 m c X V v d D s s J n F 1 b 3 Q 7 S 2 V 5 Q 2 9 s d W 1 u Q 2 9 1 b n Q m c X V v d D s 6 M X 1 d f S I g L z 4 8 L 1 N 0 Y W J s Z U V u d H J p Z X M + P C 9 J d G V t P j x J d G V t P j x J d G V t T G 9 j Y X R p b 2 4 + P E l 0 Z W 1 U e X B l P k Z v c m 1 1 b G E 8 L 0 l 0 Z W 1 U e X B l P j x J d G V t U G F 0 a D 5 T Z W N 0 a W 9 u M S 9 m U H J p a G 9 k a V J l Z 2 l z d H J p L 1 N v d X J j Z T w v S X R l b V B h d G g + P C 9 J d G V t T G 9 j Y X R p b 2 4 + P F N 0 Y W J s Z U V u d H J p Z X M g L z 4 8 L 0 l 0 Z W 0 + P E l 0 Z W 0 + P E l 0 Z W 1 M b 2 N h d G l v b j 4 8 S X R l b V R 5 c G U + R m 9 y b X V s Y T w v S X R l b V R 5 c G U + P E l 0 Z W 1 Q Y X R o P l N l Y 3 R p b 2 4 x L 2 Z Q c m l o b 2 R p U m V n a X N 0 c m k v Z l B y a W h v Z G l S Z W d p c 3 R y a V 9 U Y W J s Z T w v S X R l b V B h d G g + P C 9 J d G V t T G 9 j Y X R p b 2 4 + P F N 0 Y W J s Z U V u d H J p Z X M g L z 4 8 L 0 l 0 Z W 0 + P E l 0 Z W 0 + P E l 0 Z W 1 M b 2 N h d G l v b j 4 8 S X R l b V R 5 c G U + R m 9 y b X V s Y T w v S X R l b V R 5 c G U + P E l 0 Z W 1 Q Y X R o P l N l Y 3 R p b 2 4 x L 2 Z Q c m l o b 2 R p U m V n a X N 0 c m k v Q 2 h h b m d l Z C U y M F R 5 c G U 8 L 0 l 0 Z W 1 Q Y X R o P j w v S X R l b U x v Y 2 F 0 a W 9 u P j x T d G F i b G V F b n R y a W V z I C 8 + P C 9 J d G V t P j x J d G V t P j x J d G V t T G 9 j Y X R p b 2 4 + P E l 0 Z W 1 U e X B l P k Z v c m 1 1 b G E 8 L 0 l 0 Z W 1 U e X B l P j x J d G V t U G F 0 a D 5 T Z W N 0 a W 9 u M S 9 m U H J p a G 9 k a U 9 z d G F u Y X R p L 1 N v d X J j Z T w v S X R l b V B h d G g + P C 9 J d G V t T G 9 j Y X R p b 2 4 + P F N 0 Y W J s Z U V u d H J p Z X M g L z 4 8 L 0 l 0 Z W 0 + P E l 0 Z W 0 + P E l 0 Z W 1 M b 2 N h d G l v b j 4 8 S X R l b V R 5 c G U + R m 9 y b X V s Y T w v S X R l b V R 5 c G U + P E l 0 Z W 1 Q Y X R o P l N l Y 3 R p b 2 4 x L 2 Z Q c m l o b 2 R p T 3 N 0 Y W 5 h d G k v Z l B y a W h v Z G l P c 3 R h b m F 0 a V 9 U Y W J s Z T w v S X R l b V B h d G g + P C 9 J d G V t T G 9 j Y X R p b 2 4 + P F N 0 Y W J s Z U V u d H J p Z X M g L z 4 8 L 0 l 0 Z W 0 + P E l 0 Z W 0 + P E l 0 Z W 1 M b 2 N h d G l v b j 4 8 S X R l b V R 5 c G U + R m 9 y b X V s Y T w v S X R l b V R 5 c G U + P E l 0 Z W 1 Q Y X R o P l N l Y 3 R p b 2 4 x L 2 Z Q c m l o b 2 R p T 3 N 0 Y W 5 h d G k v Q 2 h h b m d l Z C U y M F R 5 c G U 8 L 0 l 0 Z W 1 Q Y X R o P j w v S X R l b U x v Y 2 F 0 a W 9 u P j x T d G F i b G V F b n R y a W V z I C 8 + P C 9 J d G V t P j x J d G V t P j x J d G V t T G 9 j Y X R p b 2 4 + P E l 0 Z W 1 U e X B l P k Z v c m 1 1 b G E 8 L 0 l 0 Z W 1 U e X B l P j x J d G V t U G F 0 a D 5 T Z W N 0 a W 9 u M S 9 m U H J p a G 9 k a V J h c 2 h v Z G l G a W 5 Q b G F u L 1 N v d X J j Z T w v S X R l b V B h d G g + P C 9 J d G V t T G 9 j Y X R p b 2 4 + P F N 0 Y W J s Z U V u d H J p Z X M g L z 4 8 L 0 l 0 Z W 0 + P E l 0 Z W 0 + P E l 0 Z W 1 M b 2 N h d G l v b j 4 8 S X R l b V R 5 c G U + R m 9 y b X V s Y T w v S X R l b V R 5 c G U + P E l 0 Z W 1 Q Y X R o P l N l Y 3 R p b 2 4 x L 2 Z W a 3 V w b m l Q c m l o b 2 R p R m l u U G x h b i 9 T b 3 V y Y 2 U 8 L 0 l 0 Z W 1 Q Y X R o P j w v S X R l b U x v Y 2 F 0 a W 9 u P j x T d G F i b G V F b n R y a W V z I C 8 + P C 9 J d G V t P j x J d G V t P j x J d G V t T G 9 j Y X R p b 2 4 + P E l 0 Z W 1 U e X B l P k Z v c m 1 1 b G E 8 L 0 l 0 Z W 1 U e X B l P j x J d G V t U G F 0 a D 5 T Z W N 0 a W 9 u M S 9 m V m t 1 c G 5 p U H J p a G 9 k a U Z p b l B s Y W 4 v U m V u Y W 1 l Z C U y M E N v b H V t b n M 8 L 0 l 0 Z W 1 Q Y X R o P j w v S X R l b U x v Y 2 F 0 a W 9 u P j x T d G F i b G V F b n R y a W V z I C 8 + P C 9 J d G V t P j x J d G V t P j x J d G V t T G 9 j Y X R p b 2 4 + P E l 0 Z W 1 U e X B l P k Z v c m 1 1 b G E 8 L 0 l 0 Z W 1 U e X B l P j x J d G V t U G F 0 a D 5 T Z W N 0 a W 9 u M S 9 m V m t 1 c G 5 p U H J p a G 9 k a U Z p b l B s Y W 4 v U m V t b 3 Z l Z C U y M E N v b H V t b n M 8 L 0 l 0 Z W 1 Q Y X R o P j w v S X R l b U x v Y 2 F 0 a W 9 u P j x T d G F i b G V F b n R y a W V z I C 8 + P C 9 J d G V t P j x J d G V t P j x J d G V t T G 9 j Y X R p b 2 4 + P E l 0 Z W 1 U e X B l P k Z v c m 1 1 b G E 8 L 0 l 0 Z W 1 U e X B l P j x J d G V t U G F 0 a D 5 T Z W N 0 a W 9 u M S 9 m V m t 1 c G 5 p U m F z a G 9 k a U Z p b l B s Y W 4 v U 2 9 1 c m N l P C 9 J d G V t U G F 0 a D 4 8 L 0 l 0 Z W 1 M b 2 N h d G l v b j 4 8 U 3 R h Y m x l R W 5 0 c m l l c y A v P j w v S X R l b T 4 8 S X R l b T 4 8 S X R l b U x v Y 2 F 0 a W 9 u P j x J d G V t V H l w Z T 5 G b 3 J t d W x h P C 9 J d G V t V H l w Z T 4 8 S X R l b V B h d G g + U 2 V j d G l v b j E v Z l Z r d X B u a V B y a W h v Z G l G a W 5 Q b G F u L 1 J l b 3 J k Z X J l Z C U y M E N v b H V t b n M x P C 9 J d G V t U G F 0 a D 4 8 L 0 l 0 Z W 1 M b 2 N h d G l v b j 4 8 U 3 R h Y m x l R W 5 0 c m l l c y A v P j w v S X R l b T 4 8 S X R l b T 4 8 S X R l b U x v Y 2 F 0 a W 9 u P j x J d G V t V H l w Z T 5 G b 3 J t d W x h P C 9 J d G V t V H l w Z T 4 8 S X R l b V B h d G g + U 2 V j d G l v b j E v Z E t v b n R l b l B s Y W 4 v U 2 9 1 c m N l P C 9 J d G V t U G F 0 a D 4 8 L 0 l 0 Z W 1 M b 2 N h d G l v b j 4 8 U 3 R h Y m x l R W 5 0 c m l l c y A v P j w v S X R l b T 4 8 S X R l b T 4 8 S X R l b U x v Y 2 F 0 a W 9 u P j x J d G V t V H l w Z T 5 G b 3 J t d W x h P C 9 J d G V t V H l w Z T 4 8 S X R l b V B h d G g + U 2 V j d G l v b j E v Z l B y a W h v Z G l S Y X N o b 2 R p R m l u U G x h b i 9 S Z W 5 h b W V k J T I w Q 2 9 s d W 1 u c z w v S X R l b V B h d G g + P C 9 J d G V t T G 9 j Y X R p b 2 4 + P F N 0 Y W J s Z U V u d H J p Z X M g L z 4 8 L 0 l 0 Z W 0 + P E l 0 Z W 0 + P E l 0 Z W 1 M b 2 N h d G l v b j 4 8 S X R l b V R 5 c G U + R m 9 y b X V s Y T w v S X R l b V R 5 c G U + P E l 0 Z W 1 Q Y X R o P l N l Y 3 R p b 2 4 x L 2 Z W a 3 V w b m l Q c m l o b 2 R p R m l u U G x h b i 9 D a G F u Z 2 V k J T I w V H l w Z T w v S X R l b V B h d G g + P C 9 J d G V t T G 9 j Y X R p b 2 4 + P F N 0 Y W J s Z U V u d H J p Z X M g L z 4 8 L 0 l 0 Z W 0 + P E l 0 Z W 0 + P E l 0 Z W 1 M b 2 N h d G l v b j 4 8 S X R l b V R 5 c G U + R m 9 y b X V s Y T w v S X R l b V R 5 c G U + P E l 0 Z W 1 Q Y X R o P l N l Y 3 R p b 2 4 x L 2 Z B Y 3 R 1 Y W x B b m R C d W R n Z X Q v U 2 9 1 c m N l P C 9 J d G V t U G F 0 a D 4 8 L 0 l 0 Z W 1 M b 2 N h d G l v b j 4 8 U 3 R h Y m x l R W 5 0 c m l l c y A v P j w v S X R l b T 4 8 S X R l b T 4 8 S X R l b U x v Y 2 F 0 a W 9 u P j x J d G V t V H l w Z T 5 G b 3 J t d W x h P C 9 J d G V t V H l w Z T 4 8 S X R l b V B h d G g + U 2 V j d G l v b j E v Z k N v d m V j a 2 l S Z X N 1 c n N p L 1 N v d X J j Z T w v S X R l b V B h d G g + P C 9 J d G V t T G 9 j Y X R p b 2 4 + P F N 0 Y W J s Z U V u d H J p Z X M g L z 4 8 L 0 l 0 Z W 0 + P E l 0 Z W 0 + P E l 0 Z W 1 M b 2 N h d G l v b j 4 8 S X R l b V R 5 c G U + R m 9 y b X V s Y T w v S X R l b V R 5 c G U + P E l 0 Z W 1 Q Y X R o P l N l Y 3 R p b 2 4 x L 2 Z D b 3 Z l Y 2 t p U m V z d X J z a S 9 m S 2 F s a 3 V s Y W N p a m F O Y W R v b W V z d G 9 j a V 9 U Y W J s Z T w v S X R l b V B h d G g + P C 9 J d G V t T G 9 j Y X R p b 2 4 + P F N 0 Y W J s Z U V u d H J p Z X M g L z 4 8 L 0 l 0 Z W 0 + P E l 0 Z W 0 + P E l 0 Z W 1 M b 2 N h d G l v b j 4 8 S X R l b V R 5 c G U + R m 9 y b X V s Y T w v S X R l b V R 5 c G U + P E l 0 Z W 1 Q Y X R o P l N l Y 3 R p b 2 4 x L 2 Z D b 3 Z l Y 2 t p U m V z d X J z a S 9 D a G F u Z 2 V k J T I w V H l w Z T w v S X R l b V B h d G g + P C 9 J d G V t T G 9 j Y X R p b 2 4 + P F N 0 Y W J s Z U V u d H J p Z X M g L z 4 8 L 0 l 0 Z W 0 + P E l 0 Z W 0 + P E l 0 Z W 1 M b 2 N h d G l v b j 4 8 S X R l b V R 5 c G U + R m 9 y b X V s Y T w v S X R l b V R 5 c G U + P E l 0 Z W 1 Q Y X R o P l N l Y 3 R p b 2 4 x L 2 Z D b 3 Z l Y 2 t p U m V z d X J z a S 9 S Z W 1 v d m V k J T I w Q 2 9 s d W 1 u c z w v S X R l b V B h d G g + P C 9 J d G V t T G 9 j Y X R p b 2 4 + P F N 0 Y W J s Z U V u d H J p Z X M g L z 4 8 L 0 l 0 Z W 0 + P E l 0 Z W 0 + P E l 0 Z W 1 M b 2 N h d G l v b j 4 8 S X R l b V R 5 c G U + R m 9 y b X V s Y T w v S X R l b V R 5 c G U + P E l 0 Z W 1 Q Y X R o P l N l Y 3 R p b 2 4 x L 2 Z D b 3 Z l Y 2 t p U m V z d X J z a S 9 S Z W 5 h b W V k J T I w Q 2 9 s d W 1 u c z w v S X R l b V B h d G g + P C 9 J d G V t T G 9 j Y X R p b 2 4 + P F N 0 Y W J s Z U V u d H J p Z X M g L z 4 8 L 0 l 0 Z W 0 + P E l 0 Z W 0 + P E l 0 Z W 1 M b 2 N h d G l v b j 4 8 S X R l b V R 5 c G U + R m 9 y b X V s Y T w v S X R l b V R 5 c G U + P E l 0 Z W 1 Q Y X R o P l N l Y 3 R p b 2 4 x L 0 N B U E V Y L 1 N v d X J j Z T w v S X R l b V B h d G g + P C 9 J d G V t T G 9 j Y X R p b 2 4 + P F N 0 Y W J s Z U V u d H J p Z X M g L z 4 8 L 0 l 0 Z W 0 + P E l 0 Z W 0 + P E l 0 Z W 1 M b 2 N h d G l v b j 4 8 S X R l b V R 5 c G U + R m 9 y b X V s Y T w v S X R l b V R 5 c G U + P E l 0 Z W 1 Q Y X R o P l N l Y 3 R p b 2 4 x L 0 F t b 3 J 0 a X p h Y 2 l q Y S 9 T b 3 V y Y 2 U 8 L 0 l 0 Z W 1 Q Y X R o P j w v S X R l b U x v Y 2 F 0 a W 9 u P j x T d G F i b G V F b n R y a W V z I C 8 + P C 9 J d G V t P j x J d G V t P j x J d G V t T G 9 j Y X R p b 2 4 + P E l 0 Z W 1 U e X B l P k Z v c m 1 1 b G E 8 L 0 l 0 Z W 1 U e X B l P j x J d G V t U G F 0 a D 5 T Z W N 0 a W 9 u M S 9 B b W 9 y d G l 6 Y W N p a m E v Q W 1 v c n R p e m F j a W p h X 1 N o Z W V 0 P C 9 J d G V t U G F 0 a D 4 8 L 0 l 0 Z W 1 M b 2 N h d G l v b j 4 8 U 3 R h Y m x l R W 5 0 c m l l c y A v P j w v S X R l b T 4 8 S X R l b T 4 8 S X R l b U x v Y 2 F 0 a W 9 u P j x J d G V t V H l w Z T 5 G b 3 J t d W x h P C 9 J d G V t V H l w Z T 4 8 S X R l b V B h d G g + U 2 V j d G l v b j E v Z E t v b n R l b l B s Y W 4 v R m l s d G V y Z W Q l M j B S b 3 d z M T w v S X R l b V B h d G g + P C 9 J d G V t T G 9 j Y X R p b 2 4 + P F N 0 Y W J s Z U V u d H J p Z X M g L z 4 8 L 0 l 0 Z W 0 + P E l 0 Z W 0 + P E l 0 Z W 1 M b 2 N h d G l v b j 4 8 S X R l b V R 5 c G U + R m 9 y b X V s Y T w v S X R l b V R 5 c G U + P E l 0 Z W 1 Q Y X R o P l N l Y 3 R p b 2 4 x L 2 R L b 2 5 0 Z W 5 Q b G F u L 1 J l b W 9 2 Z W Q l M j B P d G h l c i U y M E N v b H V t b n M 8 L 0 l 0 Z W 1 Q Y X R o P j w v S X R l b U x v Y 2 F 0 a W 9 u P j x T d G F i b G V F b n R y a W V z I C 8 + P C 9 J d G V t P j x J d G V t P j x J d G V t T G 9 j Y X R p b 2 4 + P E l 0 Z W 1 U e X B l P k Z v c m 1 1 b G E 8 L 0 l 0 Z W 1 U e X B l P j x J d G V t U G F 0 a D 5 T Z W N 0 a W 9 u M S 9 k S 2 9 u d G V u U G x h b i 9 F e H B h b m R l Z C U y M E R h d G E 8 L 0 l 0 Z W 1 Q Y X R o P j w v S X R l b U x v Y 2 F 0 a W 9 u P j x T d G F i b G V F b n R y a W V z I C 8 + P C 9 J d G V t P j x J d G V t P j x J d G V t T G 9 j Y X R p b 2 4 + P E l 0 Z W 1 U e X B l P k Z v c m 1 1 b G E 8 L 0 l 0 Z W 1 U e X B l P j x J d G V t U G F 0 a D 5 T Z W N 0 a W 9 u M S 9 k S 2 9 u d G V u U G x h b i 9 Q c m 9 t b 3 R l Z C U y M E h l Y W R l c n M 8 L 0 l 0 Z W 1 Q Y X R o P j w v S X R l b U x v Y 2 F 0 a W 9 u P j x T d G F i b G V F b n R y a W V z I C 8 + P C 9 J d G V t P j x J d G V t P j x J d G V t T G 9 j Y X R p b 2 4 + P E l 0 Z W 1 U e X B l P k Z v c m 1 1 b G E 8 L 0 l 0 Z W 1 U e X B l P j x J d G V t U G F 0 a D 5 T Z W N 0 a W 9 u M S 9 k S 2 9 u d G V u U G x h b i 9 D a G F u Z 2 V k J T I w V H l w Z T w v S X R l b V B h d G g + P C 9 J d G V t T G 9 j Y X R p b 2 4 + P F N 0 Y W J s Z U V u d H J p Z X M g L z 4 8 L 0 l 0 Z W 0 + P E l 0 Z W 0 + P E l 0 Z W 1 M b 2 N h d G l v b j 4 8 S X R l b V R 5 c G U + R m 9 y b X V s Y T w v S X R l b V R 5 c G U + P E l 0 Z W 1 Q Y X R o P l N l Y 3 R p b 2 4 x L 2 R T d G F 2 a 2 k v U 2 9 1 c m N l P C 9 J d G V t U G F 0 a D 4 8 L 0 l 0 Z W 1 M b 2 N h d G l v b j 4 8 U 3 R h Y m x l R W 5 0 c m l l c y A v P j w v S X R l b T 4 8 S X R l b T 4 8 S X R l b U x v Y 2 F 0 a W 9 u P j x J d G V t V H l w Z T 5 G b 3 J t d W x h P C 9 J d G V t V H l w Z T 4 8 S X R l b V B h d G g + U 2 V j d G l v b j E v Z F N 0 Y X Z r a S 9 G a W x 0 Z X J l Z C U y M F J v d 3 M x P C 9 J d G V t U G F 0 a D 4 8 L 0 l 0 Z W 1 M b 2 N h d G l v b j 4 8 U 3 R h Y m x l R W 5 0 c m l l c y A v P j w v S X R l b T 4 8 S X R l b T 4 8 S X R l b U x v Y 2 F 0 a W 9 u P j x J d G V t V H l w Z T 5 G b 3 J t d W x h P C 9 J d G V t V H l w Z T 4 8 S X R l b V B h d G g + U 2 V j d G l v b j E v Z F N 0 Y X Z r a S 9 S Z W 1 v d m V k J T I w T 3 R o Z X I l M j B D b 2 x 1 b W 5 z P C 9 J d G V t U G F 0 a D 4 8 L 0 l 0 Z W 1 M b 2 N h d G l v b j 4 8 U 3 R h Y m x l R W 5 0 c m l l c y A v P j w v S X R l b T 4 8 S X R l b T 4 8 S X R l b U x v Y 2 F 0 a W 9 u P j x J d G V t V H l w Z T 5 G b 3 J t d W x h P C 9 J d G V t V H l w Z T 4 8 S X R l b V B h d G g + U 2 V j d G l v b j E v Z F N 0 Y X Z r a S 9 F e H B h b m R l Z C U y M E R h d G E 8 L 0 l 0 Z W 1 Q Y X R o P j w v S X R l b U x v Y 2 F 0 a W 9 u P j x T d G F i b G V F b n R y a W V z I C 8 + P C 9 J d G V t P j x J d G V t P j x J d G V t T G 9 j Y X R p b 2 4 + P E l 0 Z W 1 U e X B l P k Z v c m 1 1 b G E 8 L 0 l 0 Z W 1 U e X B l P j x J d G V t U G F 0 a D 5 T Z W N 0 a W 9 u M S 9 k U 3 R h d m t p L 1 B y b 2 1 v d G V k J T I w S G V h Z G V y c z w v S X R l b V B h d G g + P C 9 J d G V t T G 9 j Y X R p b 2 4 + P F N 0 Y W J s Z U V u d H J p Z X M g L z 4 8 L 0 l 0 Z W 0 + P E l 0 Z W 0 + P E l 0 Z W 1 M b 2 N h d G l v b j 4 8 S X R l b V R 5 c G U + R m 9 y b X V s Y T w v S X R l b V R 5 c G U + P E l 0 Z W 1 Q Y X R o P l N l Y 3 R p b 2 4 x L 2 R T d G F 2 a 2 k v Q 2 h h b m d l Z C U y M F R 5 c G U 8 L 0 l 0 Z W 1 Q Y X R o P j w v S X R l b U x v Y 2 F 0 a W 9 u P j x T d G F i b G V F b n R y a W V z I C 8 + P C 9 J d G V t P j x J d G V t P j x J d G V t T G 9 j Y X R p b 2 4 + P E l 0 Z W 1 U e X B l P k Z v c m 1 1 b G E 8 L 0 l 0 Z W 1 U e X B l P j x J d G V t U G F 0 a D 5 T Z W N 0 a W 9 u M S 9 k S 2 9 u d G V u U G x h b i 9 S Z W 1 v d m V k J T I w Q 2 9 s d W 1 u c z w v S X R l b V B h d G g + P C 9 J d G V t T G 9 j Y X R p b 2 4 + P F N 0 Y W J s Z U V u d H J p Z X M g L z 4 8 L 0 l 0 Z W 0 + P E l 0 Z W 0 + P E l 0 Z W 1 M b 2 N h d G l v b j 4 8 S X R l b V R 5 c G U + R m 9 y b X V s Y T w v S X R l b V R 5 c G U + P E l 0 Z W 1 Q Y X R o P l N l Y 3 R p b 2 4 x L 2 R L b 2 5 0 Z W 5 Q b G F u L 0 1 l c m d l Z C U y M F F 1 Z X J p Z X M 8 L 0 l 0 Z W 1 Q Y X R o P j w v S X R l b U x v Y 2 F 0 a W 9 u P j x T d G F i b G V F b n R y a W V z I C 8 + P C 9 J d G V t P j x J d G V t P j x J d G V t T G 9 j Y X R p b 2 4 + P E l 0 Z W 1 U e X B l P k Z v c m 1 1 b G E 8 L 0 l 0 Z W 1 U e X B l P j x J d G V t U G F 0 a D 5 T Z W N 0 a W 9 u M S 9 k S 2 9 u d G V u U G x h b i 9 F e H B h b m R l Z C U y M G R T d G F 2 a 2 k 8 L 0 l 0 Z W 1 Q Y X R o P j w v S X R l b U x v Y 2 F 0 a W 9 u P j x T d G F i b G V F b n R y a W V z I C 8 + P C 9 J d G V t P j x J d G V t P j x J d G V t T G 9 j Y X R p b 2 4 + P E l 0 Z W 1 U e X B l P k Z v c m 1 1 b G E 8 L 0 l 0 Z W 1 U e X B l P j x J d G V t U G F 0 a D 5 T Z W N 0 a W 9 u M S 9 m T 1 B F W C 9 T b 3 V y Y 2 U 8 L 0 l 0 Z W 1 Q Y X R o P j w v S X R l b U x v Y 2 F 0 a W 9 u P j x T d G F i b G V F b n R y a W V z I C 8 + P C 9 J d G V t P j x J d G V t P j x J d G V t T G 9 j Y X R p b 2 4 + P E l 0 Z W 1 U e X B l P k Z v c m 1 1 b G E 8 L 0 l 0 Z W 1 U e X B l P j x J d G V t U G F 0 a D 5 T Z W N 0 a W 9 u M S 9 m T 1 B F W C 9 G a W x 0 Z X J l Z C U y M F J v d 3 M 8 L 0 l 0 Z W 1 Q Y X R o P j w v S X R l b U x v Y 2 F 0 a W 9 u P j x T d G F i b G V F b n R y a W V z I C 8 + P C 9 J d G V t P j x J d G V t P j x J d G V t T G 9 j Y X R p b 2 4 + P E l 0 Z W 1 U e X B l P k Z v c m 1 1 b G E 8 L 0 l 0 Z W 1 U e X B l P j x J d G V t U G F 0 a D 5 T Z W N 0 a W 9 u M S 9 m T 1 B F W C 9 S Z W 1 v d m V k J T I w T 3 R o Z X I l M j B D b 2 x 1 b W 5 z P C 9 J d G V t U G F 0 a D 4 8 L 0 l 0 Z W 1 M b 2 N h d G l v b j 4 8 U 3 R h Y m x l R W 5 0 c m l l c y A v P j w v S X R l b T 4 8 S X R l b T 4 8 S X R l b U x v Y 2 F 0 a W 9 u P j x J d G V t V H l w Z T 5 G b 3 J t d W x h P C 9 J d G V t V H l w Z T 4 8 S X R l b V B h d G g + U 2 V j d G l v b j E v Z k 9 Q R V g v R X h w Y W 5 k Z W Q l M j B E Y X R h P C 9 J d G V t U G F 0 a D 4 8 L 0 l 0 Z W 1 M b 2 N h d G l v b j 4 8 U 3 R h Y m x l R W 5 0 c m l l c y A v P j w v S X R l b T 4 8 S X R l b T 4 8 S X R l b U x v Y 2 F 0 a W 9 u P j x J d G V t V H l w Z T 5 G b 3 J t d W x h P C 9 J d G V t V H l w Z T 4 8 S X R l b V B h d G g + U 2 V j d G l v b j E v Z k 9 Q R V g v U H J v b W 9 0 Z W Q l M j B I Z W F k Z X J z P C 9 J d G V t U G F 0 a D 4 8 L 0 l 0 Z W 1 M b 2 N h d G l v b j 4 8 U 3 R h Y m x l R W 5 0 c m l l c y A v P j w v S X R l b T 4 8 S X R l b T 4 8 S X R l b U x v Y 2 F 0 a W 9 u P j x J d G V t V H l w Z T 5 G b 3 J t d W x h P C 9 J d G V t V H l w Z T 4 8 S X R l b V B h d G g + U 2 V j d G l v b j E v Z k 9 Q R V g v U m V u Y W 1 l Z C U y M E N v b H V t b n M 8 L 0 l 0 Z W 1 Q Y X R o P j w v S X R l b U x v Y 2 F 0 a W 9 u P j x T d G F i b G V F b n R y a W V z I C 8 + P C 9 J d G V t P j x J d G V t P j x J d G V t T G 9 j Y X R p b 2 4 + P E l 0 Z W 1 U e X B l P k Z v c m 1 1 b G E 8 L 0 l 0 Z W 1 U e X B l P j x J d G V t U G F 0 a D 5 T Z W N 0 a W 9 u M S 9 k T W F w c G l u Z y 9 T b 3 V y Y 2 U 8 L 0 l 0 Z W 1 Q Y X R o P j w v S X R l b U x v Y 2 F 0 a W 9 u P j x T d G F i b G V F b n R y a W V z I C 8 + P C 9 J d G V t P j x J d G V t P j x J d G V t T G 9 j Y X R p b 2 4 + P E l 0 Z W 1 U e X B l P k Z v c m 1 1 b G E 8 L 0 l 0 Z W 1 U e X B l P j x J d G V t U G F 0 a D 5 T Z W N 0 a W 9 u M S 9 k T W F w c G l u Z y 9 G a W x 0 Z X J l Z C U y M F J v d 3 M x P C 9 J d G V t U G F 0 a D 4 8 L 0 l 0 Z W 1 M b 2 N h d G l v b j 4 8 U 3 R h Y m x l R W 5 0 c m l l c y A v P j w v S X R l b T 4 8 S X R l b T 4 8 S X R l b U x v Y 2 F 0 a W 9 u P j x J d G V t V H l w Z T 5 G b 3 J t d W x h P C 9 J d G V t V H l w Z T 4 8 S X R l b V B h d G g + U 2 V j d G l v b j E v Z E 1 h c H B p b m c v U m V t b 3 Z l Z C U y M E 9 0 a G V y J T I w Q 2 9 s d W 1 u c z w v S X R l b V B h d G g + P C 9 J d G V t T G 9 j Y X R p b 2 4 + P F N 0 Y W J s Z U V u d H J p Z X M g L z 4 8 L 0 l 0 Z W 0 + P E l 0 Z W 0 + P E l 0 Z W 1 M b 2 N h d G l v b j 4 8 S X R l b V R 5 c G U + R m 9 y b X V s Y T w v S X R l b V R 5 c G U + P E l 0 Z W 1 Q Y X R o P l N l Y 3 R p b 2 4 x L 2 R N Y X B w a W 5 n L 0 V 4 c G F u Z G V k J T I w R G F 0 Y T w v S X R l b V B h d G g + P C 9 J d G V t T G 9 j Y X R p b 2 4 + P F N 0 Y W J s Z U V u d H J p Z X M g L z 4 8 L 0 l 0 Z W 0 + P E l 0 Z W 0 + P E l 0 Z W 1 M b 2 N h d G l v b j 4 8 S X R l b V R 5 c G U + R m 9 y b X V s Y T w v S X R l b V R 5 c G U + P E l 0 Z W 1 Q Y X R o P l N l Y 3 R p b 2 4 x L 2 R N Y X B w a W 5 n L 1 B y b 2 1 v d G V k J T I w S G V h Z G V y c z w v S X R l b V B h d G g + P C 9 J d G V t T G 9 j Y X R p b 2 4 + P F N 0 Y W J s Z U V u d H J p Z X M g L z 4 8 L 0 l 0 Z W 0 + P E l 0 Z W 0 + P E l 0 Z W 1 M b 2 N h d G l v b j 4 8 S X R l b V R 5 c G U + R m 9 y b X V s Y T w v S X R l b V R 5 c G U + P E l 0 Z W 1 Q Y X R o P l N l Y 3 R p b 2 4 x L 2 R N Y X B w a W 5 n L 0 N o Y W 5 n Z W Q l M j B U e X B l P C 9 J d G V t U G F 0 a D 4 8 L 0 l 0 Z W 1 M b 2 N h d G l v b j 4 8 U 3 R h Y m x l R W 5 0 c m l l c y A v P j w v S X R l b T 4 8 S X R l b T 4 8 S X R l b U x v Y 2 F 0 a W 9 u P j x J d G V t V H l w Z T 5 G b 3 J t d W x h P C 9 J d G V t V H l w Z T 4 8 S X R l b V B h d G g + U 2 V j d G l v b j E v Z k F j d H V h b E F u Z E J 1 Z G d l d C 9 N Z X J n Z W Q l M j B R d W V y a W V z P C 9 J d G V t U G F 0 a D 4 8 L 0 l 0 Z W 1 M b 2 N h d G l v b j 4 8 U 3 R h Y m x l R W 5 0 c m l l c y A v P j w v S X R l b T 4 8 S X R l b T 4 8 S X R l b U x v Y 2 F 0 a W 9 u P j x J d G V t V H l w Z T 5 G b 3 J t d W x h P C 9 J d G V t V H l w Z T 4 8 S X R l b V B h d G g + U 2 V j d G l v b j E v Z E 1 h c H B p b m c v R m l s d G V y Z W Q l M j B S b 3 d z P C 9 J d G V t U G F 0 a D 4 8 L 0 l 0 Z W 1 M b 2 N h d G l v b j 4 8 U 3 R h Y m x l R W 5 0 c m l l c y A v P j w v S X R l b T 4 8 S X R l b T 4 8 S X R l b U x v Y 2 F 0 a W 9 u P j x J d G V t V H l w Z T 5 G b 3 J t d W x h P C 9 J d G V t V H l w Z T 4 8 S X R l b V B h d G g + U 2 V j d G l v b j E v Z k F j d H V h b E F u Z E J 1 Z G d l d C 9 N Z X J n Z W Q l M j B R d W V y a W V z M T w v S X R l b V B h d G g + P C 9 J d G V t T G 9 j Y X R p b 2 4 + P F N 0 Y W J s Z U V u d H J p Z X M g L z 4 8 L 0 l 0 Z W 0 + P E l 0 Z W 0 + P E l 0 Z W 1 M b 2 N h d G l v b j 4 8 S X R l b V R 5 c G U + R m 9 y b X V s Y T w v S X R l b V R 5 c G U + P E l 0 Z W 1 Q Y X R o P l N l Y 3 R p b 2 4 x L 2 Z B Y 3 R 1 Y W x B b m R C d W R n Z X Q v R X h w Y W 5 k Z W Q l M j B k U 3 R h d m t p P C 9 J d G V t U G F 0 a D 4 8 L 0 l 0 Z W 1 M b 2 N h d G l v b j 4 8 U 3 R h Y m x l R W 5 0 c m l l c y A v P j w v S X R l b T 4 8 S X R l b T 4 8 S X R l b U x v Y 2 F 0 a W 9 u P j x J d G V t V H l w Z T 5 G b 3 J t d W x h P C 9 J d G V t V H l w Z T 4 8 S X R l b V B h d G g + U 2 V j d G l v b j E v Z k F j d H V h b E F u Z E J 1 Z G d l d C 9 G a W x 0 Z X J l Z C U y M F J v d 3 M 8 L 0 l 0 Z W 1 Q Y X R o P j w v S X R l b U x v Y 2 F 0 a W 9 u P j x T d G F i b G V F b n R y a W V z I C 8 + P C 9 J d G V t P j x J d G V t P j x J d G V t T G 9 j Y X R p b 2 4 + P E l 0 Z W 1 U e X B l P k Z v c m 1 1 b G E 8 L 0 l 0 Z W 1 U e X B l P j x J d G V t U G F 0 a D 5 T Z W N 0 a W 9 u M S 9 k T 2 J y Y X N j a S 9 T b 3 V y Y 2 U 8 L 0 l 0 Z W 1 Q Y X R o P j w v S X R l b U x v Y 2 F 0 a W 9 u P j x T d G F i b G V F b n R y a W V z I C 8 + P C 9 J d G V t P j x J d G V t P j x J d G V t T G 9 j Y X R p b 2 4 + P E l 0 Z W 1 U e X B l P k Z v c m 1 1 b G E 8 L 0 l 0 Z W 1 U e X B l P j x J d G V t U G F 0 a D 5 T Z W N 0 a W 9 u M S 9 k T 2 J y Y X N j a S 9 G a W x 0 Z X J l Z C U y M F J v d 3 M x P C 9 J d G V t U G F 0 a D 4 8 L 0 l 0 Z W 1 M b 2 N h d G l v b j 4 8 U 3 R h Y m x l R W 5 0 c m l l c y A v P j w v S X R l b T 4 8 S X R l b T 4 8 S X R l b U x v Y 2 F 0 a W 9 u P j x J d G V t V H l w Z T 5 G b 3 J t d W x h P C 9 J d G V t V H l w Z T 4 8 S X R l b V B h d G g + U 2 V j d G l v b j E v Z E 9 i c m F z Y 2 k v U m V t b 3 Z l Z C U y M E 9 0 a G V y J T I w Q 2 9 s d W 1 u c z w v S X R l b V B h d G g + P C 9 J d G V t T G 9 j Y X R p b 2 4 + P F N 0 Y W J s Z U V u d H J p Z X M g L z 4 8 L 0 l 0 Z W 0 + P E l 0 Z W 0 + P E l 0 Z W 1 M b 2 N h d G l v b j 4 8 S X R l b V R 5 c G U + R m 9 y b X V s Y T w v S X R l b V R 5 c G U + P E l 0 Z W 1 Q Y X R o P l N l Y 3 R p b 2 4 x L 2 R P Y n J h c 2 N p L 0 V 4 c G F u Z G V k J T I w R G F 0 Y T w v S X R l b V B h d G g + P C 9 J d G V t T G 9 j Y X R p b 2 4 + P F N 0 Y W J s Z U V u d H J p Z X M g L z 4 8 L 0 l 0 Z W 0 + P E l 0 Z W 0 + P E l 0 Z W 1 M b 2 N h d G l v b j 4 8 S X R l b V R 5 c G U + R m 9 y b X V s Y T w v S X R l b V R 5 c G U + P E l 0 Z W 1 Q Y X R o P l N l Y 3 R p b 2 4 x L 2 R P Y n J h c 2 N p L 1 B y b 2 1 v d G V k J T I w S G V h Z G V y c z w v S X R l b V B h d G g + P C 9 J d G V t T G 9 j Y X R p b 2 4 + P F N 0 Y W J s Z U V u d H J p Z X M g L z 4 8 L 0 l 0 Z W 0 + P E l 0 Z W 0 + P E l 0 Z W 1 M b 2 N h d G l v b j 4 8 S X R l b V R 5 c G U + R m 9 y b X V s Y T w v S X R l b V R 5 c G U + P E l 0 Z W 1 Q Y X R o P l N l Y 3 R p b 2 4 x L 2 R P Y n J h c 2 N p L 0 N o Y W 5 n Z W Q l M j B U e X B l P C 9 J d G V t U G F 0 a D 4 8 L 0 l 0 Z W 1 M b 2 N h d G l v b j 4 8 U 3 R h Y m x l R W 5 0 c m l l c y A v P j w v S X R l b T 4 8 S X R l b T 4 8 S X R l b U x v Y 2 F 0 a W 9 u P j x J d G V t V H l w Z T 5 G b 3 J t d W x h P C 9 J d G V t V H l w Z T 4 8 S X R l b V B h d G g + U 2 V j d G l v b j E v Z E t v b n R l b l B s Y W 4 v T W V y Z 2 V k J T I w U X V l c m l l c z E 8 L 0 l 0 Z W 1 Q Y X R o P j w v S X R l b U x v Y 2 F 0 a W 9 u P j x T d G F i b G V F b n R y a W V z I C 8 + P C 9 J d G V t P j x J d G V t P j x J d G V t T G 9 j Y X R p b 2 4 + P E l 0 Z W 1 U e X B l P k Z v c m 1 1 b G E 8 L 0 l 0 Z W 1 U e X B l P j x J d G V t U G F 0 a D 5 T Z W N 0 a W 9 u M S 9 k S 2 9 u d G V u U G x h b i 9 F e H B h b m R l Z C U y M G R P Y n J h c 2 N p P C 9 J d G V t U G F 0 a D 4 8 L 0 l 0 Z W 1 M b 2 N h d G l v b j 4 8 U 3 R h Y m x l R W 5 0 c m l l c y A v P j w v S X R l b T 4 8 S X R l b T 4 8 S X R l b U x v Y 2 F 0 a W 9 u P j x J d G V t V H l w Z T 5 G b 3 J t d W x h P C 9 J d G V t V H l w Z T 4 8 S X R l b V B h d G g + U 2 V j d G l v b j E v Z E 9 i c m F z Y 2 k v U m V t b 3 Z l Z C U y M E N v b H V t b n M 8 L 0 l 0 Z W 1 Q Y X R o P j w v S X R l b U x v Y 2 F 0 a W 9 u P j x T d G F i b G V F b n R y a W V z I C 8 + P C 9 J d G V t P j x J d G V t P j x J d G V t T G 9 j Y X R p b 2 4 + P E l 0 Z W 1 U e X B l P k Z v c m 1 1 b G E 8 L 0 l 0 Z W 1 U e X B l P j x J d G V t U G F 0 a D 5 T Z W N 0 a W 9 u M S 9 m Q W N 0 d W F s Q W 5 k Q n V k Z 2 V 0 L 0 1 l c m d l Z C U y M F F 1 Z X J p Z X M y P C 9 J d G V t U G F 0 a D 4 8 L 0 l 0 Z W 1 M b 2 N h d G l v b j 4 8 U 3 R h Y m x l R W 5 0 c m l l c y A v P j w v S X R l b T 4 8 S X R l b T 4 8 S X R l b U x v Y 2 F 0 a W 9 u P j x J d G V t V H l w Z T 5 G b 3 J t d W x h P C 9 J d G V t V H l w Z T 4 8 S X R l b V B h d G g + U 2 V j d G l v b j E v Z k F j d H V h b E F u Z E J 1 Z G d l d C 9 F e H B h b m R l Z C U y M G R P Y n J h c 2 N p P C 9 J d G V t U G F 0 a D 4 8 L 0 l 0 Z W 1 M b 2 N h d G l v b j 4 8 U 3 R h Y m x l R W 5 0 c m l l c y A v P j w v S X R l b T 4 8 S X R l b T 4 8 S X R l b U x v Y 2 F 0 a W 9 u P j x J d G V t V H l w Z T 5 G b 3 J t d W x h P C 9 J d G V t V H l w Z T 4 8 S X R l b V B h d G g + U 2 V j d G l v b j E v Z k F j d H V h b C 9 T b 3 V y Y 2 U 8 L 0 l 0 Z W 1 Q Y X R o P j w v S X R l b U x v Y 2 F 0 a W 9 u P j x T d G F i b G V F b n R y a W V z I C 8 + P C 9 J d G V t P j x J d G V t P j x J d G V t T G 9 j Y X R p b 2 4 + P E l 0 Z W 1 U e X B l P k Z v c m 1 1 b G E 8 L 0 l 0 Z W 1 U e X B l P j x J d G V t U G F 0 a D 5 T Z W N 0 a W 9 u M S 9 m Q W N 0 d W F s L 1 J l b W 9 2 Z W Q l M j B P d G h l c i U y M E N v b H V t b n M 8 L 0 l 0 Z W 1 Q Y X R o P j w v S X R l b U x v Y 2 F 0 a W 9 u P j x T d G F i b G V F b n R y a W V z I C 8 + P C 9 J d G V t P j x J d G V t P j x J d G V t T G 9 j Y X R p b 2 4 + P E l 0 Z W 1 U e X B l P k Z v c m 1 1 b G E 8 L 0 l 0 Z W 1 U e X B l P j x J d G V t U G F 0 a D 5 T Z W N 0 a W 9 u M S 9 m Q W N 0 d W F s L 0 V 4 c G F u Z G V k J T I w R G F 0 Y T w v S X R l b V B h d G g + P C 9 J d G V t T G 9 j Y X R p b 2 4 + P F N 0 Y W J s Z U V u d H J p Z X M g L z 4 8 L 0 l 0 Z W 0 + P E l 0 Z W 0 + P E l 0 Z W 1 M b 2 N h d G l v b j 4 8 S X R l b V R 5 c G U + R m 9 y b X V s Y T w v S X R l b V R 5 c G U + P E l 0 Z W 1 Q Y X R o P l N l Y 3 R p b 2 4 x L 2 Z B Y 3 R 1 Y W w v U H J v b W 9 0 Z W Q l M j B I Z W F k Z X J z P C 9 J d G V t U G F 0 a D 4 8 L 0 l 0 Z W 1 M b 2 N h d G l v b j 4 8 U 3 R h Y m x l R W 5 0 c m l l c y A v P j w v S X R l b T 4 8 S X R l b T 4 8 S X R l b U x v Y 2 F 0 a W 9 u P j x J d G V t V H l w Z T 5 G b 3 J t d W x h P C 9 J d G V t V H l w Z T 4 8 S X R l b V B h d G g + U 2 V j d G l v b j E v Z k 9 Q R V g v U m V t b 3 Z l Z C U y M E N v b H V t b n M 8 L 0 l 0 Z W 1 Q Y X R o P j w v S X R l b U x v Y 2 F 0 a W 9 u P j x T d G F i b G V F b n R y a W V z I C 8 + P C 9 J d G V t P j x J d G V t P j x J d G V t T G 9 j Y X R p b 2 4 + P E l 0 Z W 1 U e X B l P k Z v c m 1 1 b G E 8 L 0 l 0 Z W 1 U e X B l P j x J d G V t U G F 0 a D 5 T Z W N 0 a W 9 u M S 9 m T 1 B F W C 9 D a G F u Z 2 V k J T I w V H l w Z T E 8 L 0 l 0 Z W 1 Q Y X R o P j w v S X R l b U x v Y 2 F 0 a W 9 u P j x T d G F i b G V F b n R y a W V z I C 8 + P C 9 J d G V t P j x J d G V t P j x J d G V t T G 9 j Y X R p b 2 4 + P E l 0 Z W 1 U e X B l P k Z v c m 1 1 b G E 8 L 0 l 0 Z W 1 U e X B l P j x J d G V t U G F 0 a D 5 T Z W N 0 a W 9 u M S 9 B b W 9 y d G l 6 Y W N p a m E v Q 2 h h b m d l Z C U y M F R 5 c G U 8 L 0 l 0 Z W 1 Q Y X R o P j w v S X R l b U x v Y 2 F 0 a W 9 u P j x T d G F i b G V F b n R y a W V z I C 8 + P C 9 J d G V t P j x J d G V t P j x J d G V t T G 9 j Y X R p b 2 4 + P E l 0 Z W 1 U e X B l P k Z v c m 1 1 b G E 8 L 0 l 0 Z W 1 U e X B l P j x J d G V t U G F 0 a D 5 T Z W N 0 a W 9 u M S 9 B b W 9 y d G l 6 Y W N p a m E v U m V u Y W 1 l Z C U y M E N v b H V t b n M 8 L 0 l 0 Z W 1 Q Y X R o P j w v S X R l b U x v Y 2 F 0 a W 9 u P j x T d G F i b G V F b n R y a W V z I C 8 + P C 9 J d G V t P j x J d G V t P j x J d G V t T G 9 j Y X R p b 2 4 + P E l 0 Z W 1 U e X B l P k Z v c m 1 1 b G E 8 L 0 l 0 Z W 1 U e X B l P j x J d G V t U G F 0 a D 5 T Z W N 0 a W 9 u M S 9 m V m t 1 c G 5 p U m F z a G 9 k a U Z p b l B s Y W 4 v U m V t b 3 Z l Z C U y M E N v b H V t b n M 8 L 0 l 0 Z W 1 Q Y X R o P j w v S X R l b U x v Y 2 F 0 a W 9 u P j x T d G F i b G V F b n R y a W V z I C 8 + P C 9 J d G V t P j x J d G V t P j x J d G V t T G 9 j Y X R p b 2 4 + P E l 0 Z W 1 U e X B l P k Z v c m 1 1 b G E 8 L 0 l 0 Z W 1 U e X B l P j x J d G V t U G F 0 a D 5 T Z W N 0 a W 9 u M S 9 B b W 9 y d G l 6 Y W N p a m E v U m V u Y W 1 l Z C U y M E N v b H V t b n M x P C 9 J d G V t U G F 0 a D 4 8 L 0 l 0 Z W 1 M b 2 N h d G l v b j 4 8 U 3 R h Y m x l R W 5 0 c m l l c y A v P j w v S X R l b T 4 8 S X R l b T 4 8 S X R l b U x v Y 2 F 0 a W 9 u P j x J d G V t V H l w Z T 5 G b 3 J t d W x h P C 9 J d G V t V H l w Z T 4 8 S X R l b V B h d G g + U 2 V j d G l v b j E v Z k F j d H V h b E F u Z E J 1 Z G d l d C 9 F e H B h b m R l Z C U y M G R N Y X B w a W 5 n P C 9 J d G V t U G F 0 a D 4 8 L 0 l 0 Z W 1 M b 2 N h d G l v b j 4 8 U 3 R h Y m x l R W 5 0 c m l l c y A v P j w v S X R l b T 4 8 S X R l b T 4 8 S X R l b U x v Y 2 F 0 a W 9 u P j x J d G V t V H l w Z T 5 G b 3 J t d W x h P C 9 J d G V t V H l w Z T 4 8 S X R l b V B h d G g + U 2 V j d G l v b j E v Q 0 F Q R V g v R m l s d G V y Z W Q l M j B S b 3 d z P C 9 J d G V t U G F 0 a D 4 8 L 0 l 0 Z W 1 M b 2 N h d G l v b j 4 8 U 3 R h Y m x l R W 5 0 c m l l c y A v P j w v S X R l b T 4 8 S X R l b T 4 8 S X R l b U x v Y 2 F 0 a W 9 u P j x J d G V t V H l w Z T 5 G b 3 J t d W x h P C 9 J d G V t V H l w Z T 4 8 S X R l b V B h d G g + U 2 V j d G l v b j E v Q 0 F Q R V g v U m V t b 3 Z l Z C U y M E 9 0 a G V y J T I w Q 2 9 s d W 1 u c z w v S X R l b V B h d G g + P C 9 J d G V t T G 9 j Y X R p b 2 4 + P F N 0 Y W J s Z U V u d H J p Z X M g L z 4 8 L 0 l 0 Z W 0 + P E l 0 Z W 0 + P E l 0 Z W 1 M b 2 N h d G l v b j 4 8 S X R l b V R 5 c G U + R m 9 y b X V s Y T w v S X R l b V R 5 c G U + P E l 0 Z W 1 Q Y X R o P l N l Y 3 R p b 2 4 x L 0 N B U E V Y L 0 V 4 c G F u Z G V k J T I w R G F 0 Y T w v S X R l b V B h d G g + P C 9 J d G V t T G 9 j Y X R p b 2 4 + P F N 0 Y W J s Z U V u d H J p Z X M g L z 4 8 L 0 l 0 Z W 0 + P E l 0 Z W 0 + P E l 0 Z W 1 M b 2 N h d G l v b j 4 8 S X R l b V R 5 c G U + R m 9 y b X V s Y T w v S X R l b V R 5 c G U + P E l 0 Z W 1 Q Y X R o P l N l Y 3 R p b 2 4 x L 0 N B U E V Y L 0 N o Y W 5 n Z W Q l M j B U e X B l P C 9 J d G V t U G F 0 a D 4 8 L 0 l 0 Z W 1 M b 2 N h d G l v b j 4 8 U 3 R h Y m x l R W 5 0 c m l l c y A v P j w v S X R l b T 4 8 S X R l b T 4 8 S X R l b U x v Y 2 F 0 a W 9 u P j x J d G V t V H l w Z T 5 G b 3 J t d W x h P C 9 J d G V t V H l w Z T 4 8 S X R l b V B h d G g + U 2 V j d G l v b j E v Z k F y d G l r b G l D Z W 5 p L 1 N v d X J j Z T w v S X R l b V B h d G g + P C 9 J d G V t T G 9 j Y X R p b 2 4 + P F N 0 Y W J s Z U V u d H J p Z X M g L z 4 8 L 0 l 0 Z W 0 + P E l 0 Z W 0 + P E l 0 Z W 1 M b 2 N h d G l v b j 4 8 S X R l b V R 5 c G U + R m 9 y b X V s Y T w v S X R l b V R 5 c G U + P E l 0 Z W 1 Q Y X R o P l N l Y 3 R p b 2 4 x L 2 Z B c n R p a 2 x p Q 2 V u a S 9 S Z W 1 v d m V k J T I w T 3 R o Z X I l M j B D b 2 x 1 b W 5 z P C 9 J d G V t U G F 0 a D 4 8 L 0 l 0 Z W 1 M b 2 N h d G l v b j 4 8 U 3 R h Y m x l R W 5 0 c m l l c y A v P j w v S X R l b T 4 8 S X R l b T 4 8 S X R l b U x v Y 2 F 0 a W 9 u P j x J d G V t V H l w Z T 5 G b 3 J t d W x h P C 9 J d G V t V H l w Z T 4 8 S X R l b V B h d G g + U 2 V j d G l v b j E v Z k F y d G l r b G l D Z W 5 p L 0 Z p b H R l c m V k J T I w U m 9 3 c z w v S X R l b V B h d G g + P C 9 J d G V t T G 9 j Y X R p b 2 4 + P F N 0 Y W J s Z U V u d H J p Z X M g L z 4 8 L 0 l 0 Z W 0 + P E l 0 Z W 0 + P E l 0 Z W 1 M b 2 N h d G l v b j 4 8 S X R l b V R 5 c G U + R m 9 y b X V s Y T w v S X R l b V R 5 c G U + P E l 0 Z W 1 Q Y X R o P l N l Y 3 R p b 2 4 x L 2 Z B c n R p a 2 x p Q 2 V u a S 9 F e H B h b m R l Z C U y M E R h d G E 8 L 0 l 0 Z W 1 Q Y X R o P j w v S X R l b U x v Y 2 F 0 a W 9 u P j x T d G F i b G V F b n R y a W V z I C 8 + P C 9 J d G V t P j x J d G V t P j x J d G V t T G 9 j Y X R p b 2 4 + P E l 0 Z W 1 U e X B l P k Z v c m 1 1 b G E 8 L 0 l 0 Z W 1 U e X B l P j x J d G V t U G F 0 a D 5 T Z W N 0 a W 9 u M S 9 m Q X J 0 a W t s a U N l b m k v Q 2 h h b m d l Z C U y M F R 5 c G U 8 L 0 l 0 Z W 1 Q Y X R o P j w v S X R l b U x v Y 2 F 0 a W 9 u P j x T d G F i b G V F b n R y a W V z I C 8 + P C 9 J d G V t P j x J d G V t P j x J d G V t T G 9 j Y X R p b 2 4 + P E l 0 Z W 1 U e X B l P k Z v c m 1 1 b G E 8 L 0 l 0 Z W 1 U e X B l P j x J d G V t U G F 0 a D 5 T Z W N 0 a W 9 u M S 9 m Q X J 0 a W t s a U N l b m k v T W V y Z 2 V k J T I w U X V l c m l l c z w v S X R l b V B h d G g + P C 9 J d G V t T G 9 j Y X R p b 2 4 + P F N 0 Y W J s Z U V u d H J p Z X M g L z 4 8 L 0 l 0 Z W 0 + P E l 0 Z W 0 + P E l 0 Z W 1 M b 2 N h d G l v b j 4 8 S X R l b V R 5 c G U + R m 9 y b X V s Y T w v S X R l b V R 5 c G U + P E l 0 Z W 1 Q Y X R o P l N l Y 3 R p b 2 4 x L 2 Z B c n R p a 2 x p Q 2 V u a S 9 F e H B h b m R l Z C U y M G R L b 2 5 0 Z W 5 Q b G F u P C 9 J d G V t U G F 0 a D 4 8 L 0 l 0 Z W 1 M b 2 N h d G l v b j 4 8 U 3 R h Y m x l R W 5 0 c m l l c y A v P j w v S X R l b T 4 8 S X R l b T 4 8 S X R l b U x v Y 2 F 0 a W 9 u P j x J d G V t V H l w Z T 5 G b 3 J t d W x h P C 9 J d G V t V H l w Z T 4 8 S X R l b V B h d G g + U 2 V j d G l v b j E v Z k F y d G l r b G l D Z W 5 p L 0 Z p b H R l c m V k J T I w U m 9 3 c z E 8 L 0 l 0 Z W 1 Q Y X R o P j w v S X R l b U x v Y 2 F 0 a W 9 u P j x T d G F i b G V F b n R y a W V z I C 8 + P C 9 J d G V t P j x J d G V t P j x J d G V t T G 9 j Y X R p b 2 4 + P E l 0 Z W 1 U e X B l P k Z v c m 1 1 b G E 8 L 0 l 0 Z W 1 U e X B l P j x J d G V t U G F 0 a D 5 T Z W N 0 a W 9 u M S 9 m Q 2 9 2 Z W N r a V J l c 3 V y c 2 k l M j A o M i k v U 2 9 1 c m N l P C 9 J d G V t U G F 0 a D 4 8 L 0 l 0 Z W 1 M b 2 N h d G l v b j 4 8 U 3 R h Y m x l R W 5 0 c m l l c y A v P j w v S X R l b T 4 8 S X R l b T 4 8 S X R l b U x v Y 2 F 0 a W 9 u P j x J d G V t V H l w Z T 5 G b 3 J t d W x h P C 9 J d G V t V H l w Z T 4 8 S X R l b V B h d G g + U 2 V j d G l v b j E v Z k N v d m V j a 2 l S Z X N 1 c n N p J T I w K D I p L 2 Z L Y W x r d W x h Y 2 l q Y U 5 h Z G 9 t Z X N 0 b 2 N p X 1 R h Y m x l P C 9 J d G V t U G F 0 a D 4 8 L 0 l 0 Z W 1 M b 2 N h d G l v b j 4 8 U 3 R h Y m x l R W 5 0 c m l l c y A v P j w v S X R l b T 4 8 S X R l b T 4 8 S X R l b U x v Y 2 F 0 a W 9 u P j x J d G V t V H l w Z T 5 G b 3 J t d W x h P C 9 J d G V t V H l w Z T 4 8 S X R l b V B h d G g + U 2 V j d G l v b j E v Z k N v d m V j a 2 l S Z X N 1 c n N p J T I w K D I p L 0 N o Y W 5 n Z W Q l M j B U e X B l P C 9 J d G V t U G F 0 a D 4 8 L 0 l 0 Z W 1 M b 2 N h d G l v b j 4 8 U 3 R h Y m x l R W 5 0 c m l l c y A v P j w v S X R l b T 4 8 S X R l b T 4 8 S X R l b U x v Y 2 F 0 a W 9 u P j x J d G V t V H l w Z T 5 G b 3 J t d W x h P C 9 J d G V t V H l w Z T 4 8 S X R l b V B h d G g + U 2 V j d G l v b j E v Z k N v d m V j a 2 l S Z X N 1 c n N p J T I w K D I p L 1 J l b W 9 2 Z W Q l M j B D b 2 x 1 b W 5 z P C 9 J d G V t U G F 0 a D 4 8 L 0 l 0 Z W 1 M b 2 N h d G l v b j 4 8 U 3 R h Y m x l R W 5 0 c m l l c y A v P j w v S X R l b T 4 8 S X R l b T 4 8 S X R l b U x v Y 2 F 0 a W 9 u P j x J d G V t V H l w Z T 5 G b 3 J t d W x h P C 9 J d G V t V H l w Z T 4 8 S X R l b V B h d G g + U 2 V j d G l v b j E v Z k N v d m V j a 2 l S Z X N 1 c n N p J T I w K D I p L 1 J l b m F t Z W Q l M j B D b 2 x 1 b W 5 z P C 9 J d G V t U G F 0 a D 4 8 L 0 l 0 Z W 1 M b 2 N h d G l v b j 4 8 U 3 R h Y m x l R W 5 0 c m l l c y A v P j w v S X R l b T 4 8 S X R l b T 4 8 S X R l b U x v Y 2 F 0 a W 9 u P j x J d G V t V H l w Z T 5 G b 3 J t d W x h P C 9 J d G V t V H l w Z T 4 8 S X R l b V B h d G g + U 2 V j d G l v b j E v Z k N v d m V j a 2 l S Z X N 1 c n N p J T I w K D I p L 0 1 l c m d l Z C U y M F F 1 Z X J p Z X M 8 L 0 l 0 Z W 1 Q Y X R o P j w v S X R l b U x v Y 2 F 0 a W 9 u P j x T d G F i b G V F b n R y a W V z I C 8 + P C 9 J d G V t P j x J d G V t P j x J d G V t T G 9 j Y X R p b 2 4 + P E l 0 Z W 1 U e X B l P k Z v c m 1 1 b G E 8 L 0 l 0 Z W 1 U e X B l P j x J d G V t U G F 0 a D 5 T Z W N 0 a W 9 u M S 9 m Q 2 9 2 Z W N r a V J l c 3 V y c 2 k l M j A o M i k v R X h w Y W 5 k Z W Q l M j B k S 2 9 u d G V u U G x h b j w v S X R l b V B h d G g + P C 9 J d G V t T G 9 j Y X R p b 2 4 + P F N 0 Y W J s Z U V u d H J p Z X M g L z 4 8 L 0 l 0 Z W 0 + P E l 0 Z W 0 + P E l 0 Z W 1 M b 2 N h d G l v b j 4 8 S X R l b V R 5 c G U + R m 9 y b X V s Y T w v S X R l b V R 5 c G U + P E l 0 Z W 1 Q Y X R o P l N l Y 3 R p b 2 4 x L 0 9 Q R V h B b m F s a X p h L 1 N v d X J j Z T w v S X R l b V B h d G g + P C 9 J d G V t T G 9 j Y X R p b 2 4 + P F N 0 Y W J s Z U V u d H J p Z X M g L z 4 8 L 0 l 0 Z W 0 + P E l 0 Z W 0 + P E l 0 Z W 1 M b 2 N h d G l v b j 4 8 S X R l b V R 5 c G U + R m 9 y b X V s Y T w v S X R l b V R 5 c G U + P E l 0 Z W 1 Q Y X R o P l N l Y 3 R p b 2 4 x L 2 Z D b 3 Z l Y 2 t p U m V z d X J z a S U y M C g y K S 9 G a W x 0 Z X J l Z C U y M F J v d 3 M 8 L 0 l 0 Z W 1 Q Y X R o P j w v S X R l b U x v Y 2 F 0 a W 9 u P j x T d G F i b G V F b n R y a W V z I C 8 + P C 9 J d G V t P j x J d G V t P j x J d G V t T G 9 j Y X R p b 2 4 + P E l 0 Z W 1 U e X B l P k Z v c m 1 1 b G E 8 L 0 l 0 Z W 1 U e X B l P j x J d G V t U G F 0 a D 5 T Z W N 0 a W 9 u M S 9 D Q V B F W C 1 K T i 9 T b 3 V y Y 2 U 8 L 0 l 0 Z W 1 Q Y X R o P j w v S X R l b U x v Y 2 F 0 a W 9 u P j x T d G F i b G V F b n R y a W V z I C 8 + P C 9 J d G V t P j x J d G V t P j x J d G V t T G 9 j Y X R p b 2 4 + P E l 0 Z W 1 U e X B l P k Z v c m 1 1 b G E 8 L 0 l 0 Z W 1 U e X B l P j x J d G V t U G F 0 a D 5 T Z W N 0 a W 9 u M S 9 D Q V B F W C 1 K T i 9 G a W x 0 Z X J l Z C U y M F J v d 3 M 8 L 0 l 0 Z W 1 Q Y X R o P j w v S X R l b U x v Y 2 F 0 a W 9 u P j x T d G F i b G V F b n R y a W V z I C 8 + P C 9 J d G V t P j x J d G V t P j x J d G V t T G 9 j Y X R p b 2 4 + P E l 0 Z W 1 U e X B l P k Z v c m 1 1 b G E 8 L 0 l 0 Z W 1 U e X B l P j x J d G V t U G F 0 a D 5 T Z W N 0 a W 9 u M S 9 D Q V B F W C 1 K T i 9 S Z W 1 v d m V k J T I w T 3 R o Z X I l M j B D b 2 x 1 b W 5 z P C 9 J d G V t U G F 0 a D 4 8 L 0 l 0 Z W 1 M b 2 N h d G l v b j 4 8 U 3 R h Y m x l R W 5 0 c m l l c y A v P j w v S X R l b T 4 8 S X R l b T 4 8 S X R l b U x v Y 2 F 0 a W 9 u P j x J d G V t V H l w Z T 5 G b 3 J t d W x h P C 9 J d G V t V H l w Z T 4 8 S X R l b V B h d G g + U 2 V j d G l v b j E v Q 0 F Q R V g t S k 4 v R X h w Y W 5 k Z W Q l M j B E Y X R h P C 9 J d G V t U G F 0 a D 4 8 L 0 l 0 Z W 1 M b 2 N h d G l v b j 4 8 U 3 R h Y m x l R W 5 0 c m l l c y A v P j w v S X R l b T 4 8 S X R l b T 4 8 S X R l b U x v Y 2 F 0 a W 9 u P j x J d G V t V H l w Z T 5 G b 3 J t d W x h P C 9 J d G V t V H l w Z T 4 8 S X R l b V B h d G g + U 2 V j d G l v b j E v Q 0 F Q R V g t S k 4 v Q 2 h h b m d l Z C U y M F R 5 c G U 8 L 0 l 0 Z W 1 Q Y X R o P j w v S X R l b U x v Y 2 F 0 a W 9 u P j x T d G F i b G V F b n R y a W V z I C 8 + P C 9 J d G V t P j x J d G V t P j x J d G V t T G 9 j Y X R p b 2 4 + P E l 0 Z W 1 U e X B l P k Z v c m 1 1 b G E 8 L 0 l 0 Z W 1 U e X B l P j x J d G V t U G F 0 a D 5 T Z W N 0 a W 9 u M S 9 D Q V B F W C 1 K T i 9 S Z W 1 v d m V k J T I w Q 2 9 s d W 1 u c z w v S X R l b V B h d G g + P C 9 J d G V t T G 9 j Y X R p b 2 4 + P F N 0 Y W J s Z U V u d H J p Z X M g L z 4 8 L 0 l 0 Z W 0 + P E l 0 Z W 0 + P E l 0 Z W 1 M b 2 N h d G l v b j 4 8 S X R l b V R 5 c G U + R m 9 y b X V s Y T w v S X R l b V R 5 c G U + P E l 0 Z W 1 Q Y X R o P l N l Y 3 R p b 2 4 x L 0 N B U E V Y L U p O L 1 J l b m F t Z W Q l M j B D b 2 x 1 b W 5 z P C 9 J d G V t U G F 0 a D 4 8 L 0 l 0 Z W 1 M b 2 N h d G l v b j 4 8 U 3 R h Y m x l R W 5 0 c m l l c y A v P j w v S X R l b T 4 8 S X R l b T 4 8 S X R l b U x v Y 2 F 0 a W 9 u P j x J d G V t V H l w Z T 5 G b 3 J t d W x h P C 9 J d G V t V H l w Z T 4 8 S X R l b V B h d G g + U 2 V j d G l v b j E v Q 0 F Q R V g t S k 4 v T W V y Z 2 V k J T I w Q 2 9 s d W 1 u c z w v S X R l b V B h d G g + P C 9 J d G V t T G 9 j Y X R p b 2 4 + P F N 0 Y W J s Z U V u d H J p Z X M g L z 4 8 L 0 l 0 Z W 0 + P E l 0 Z W 0 + P E l 0 Z W 1 M b 2 N h d G l v b j 4 8 S X R l b V R 5 c G U + R m 9 y b X V s Y T w v S X R l b V R 5 c G U + P E l 0 Z W 1 Q Y X R o P l N l Y 3 R p b 2 4 x L 0 N B U E V Y L U p O L 1 J l b m F t Z W Q l M j B D b 2 x 1 b W 5 z M T w v S X R l b V B h d G g + P C 9 J d G V t T G 9 j Y X R p b 2 4 + P F N 0 Y W J s Z U V u d H J p Z X M g L z 4 8 L 0 l 0 Z W 0 + P E l 0 Z W 0 + P E l 0 Z W 1 M b 2 N h d G l v b j 4 8 S X R l b V R 5 c G U + R m 9 y b X V s Y T w v S X R l b V R 5 c G U + P E l 0 Z W 1 Q Y X R o P l N l Y 3 R p b 2 4 x L 2 Z B Y 3 R 1 Y W w v R m l s d G V y Z W Q l M j B S b 3 d z P C 9 J d G V t U G F 0 a D 4 8 L 0 l 0 Z W 1 M b 2 N h d G l v b j 4 8 U 3 R h Y m x l R W 5 0 c m l l c y A v P j w v S X R l b T 4 8 S X R l b T 4 8 S X R l b U x v Y 2 F 0 a W 9 u P j x J d G V t V H l w Z T 5 G b 3 J t d W x h P C 9 J d G V t V H l w Z T 4 8 S X R l b V B h d G g + U 2 V j d G l v b j E v Q 0 F Q R V g t S k 4 v Q W R k Z W Q l M j B D d X N 0 b 2 0 8 L 0 l 0 Z W 1 Q Y X R o P j w v S X R l b U x v Y 2 F 0 a W 9 u P j x T d G F i b G V F b n R y a W V z I C 8 + P C 9 J d G V t P j x J d G V t P j x J d G V t T G 9 j Y X R p b 2 4 + P E l 0 Z W 1 U e X B l P k Z v c m 1 1 b G E 8 L 0 l 0 Z W 1 U e X B l P j x J d G V t U G F 0 a D 5 T Z W N 0 a W 9 u M S 9 D Q V B F W C 1 K T i 9 D a G F u Z 2 V k J T I w V H l w Z T E 8 L 0 l 0 Z W 1 Q Y X R o P j w v S X R l b U x v Y 2 F 0 a W 9 u P j x T d G F i b G V F b n R y a W V z I C 8 + P C 9 J d G V t P j x J d G V t P j x J d G V t T G 9 j Y X R p b 2 4 + P E l 0 Z W 1 U e X B l P k Z v c m 1 1 b G E 8 L 0 l 0 Z W 1 U e X B l P j x J d G V t U G F 0 a D 5 T Z W N 0 a W 9 u M S 9 D Q V B F W C 1 K T i 9 S Z W 5 h b W V k J T I w Q 2 9 s d W 1 u c z I 8 L 0 l 0 Z W 1 Q Y X R o P j w v S X R l b U x v Y 2 F 0 a W 9 u P j x T d G F i b G V F b n R y a W V z I C 8 + P C 9 J d G V t P j x J d G V t P j x J d G V t T G 9 j Y X R p b 2 4 + P E l 0 Z W 1 U e X B l P k Z v c m 1 1 b G E 8 L 0 l 0 Z W 1 U e X B l P j x J d G V t U G F 0 a D 5 T Z W N 0 a W 9 u M S 9 m Q W N 0 d W F s Q W 5 k Q n V k Z 2 V 0 L 0 1 l c m d l Z C U y M F F 1 Z X J p Z X M z P C 9 J d G V t U G F 0 a D 4 8 L 0 l 0 Z W 1 M b 2 N h d G l v b j 4 8 U 3 R h Y m x l R W 5 0 c m l l c y A v P j w v S X R l b T 4 8 S X R l b T 4 8 S X R l b U x v Y 2 F 0 a W 9 u P j x J d G V t V H l w Z T 5 G b 3 J t d W x h P C 9 J d G V t V H l w Z T 4 8 S X R l b V B h d G g + U 2 V j d G l v b j E v c k F y d G l r b G l B b m F s a X p h L 1 N v d X J j Z T w v S X R l b V B h d G g + P C 9 J d G V t T G 9 j Y X R p b 2 4 + P F N 0 Y W J s Z U V u d H J p Z X M g L z 4 8 L 0 l 0 Z W 0 + P E l 0 Z W 0 + P E l 0 Z W 1 M b 2 N h d G l v b j 4 8 S X R l b V R 5 c G U + R m 9 y b X V s Y T w v S X R l b V R 5 c G U + P E l 0 Z W 1 Q Y X R o P l N l Y 3 R p b 2 4 x L 3 J B c n R p a 2 x p Q W 5 h b G l 6 Y S 9 G a W x 0 Z X J l Z C U y M F J v d 3 M 8 L 0 l 0 Z W 1 Q Y X R o P j w v S X R l b U x v Y 2 F 0 a W 9 u P j x T d G F i b G V F b n R y a W V z I C 8 + P C 9 J d G V t P j x J d G V t P j x J d G V t T G 9 j Y X R p b 2 4 + P E l 0 Z W 1 U e X B l P k Z v c m 1 1 b G E 8 L 0 l 0 Z W 1 U e X B l P j x J d G V t U G F 0 a D 5 T Z W N 0 a W 9 u M S 9 y Q X J 0 a W t s a U F u Y W x p e m E v U m V t b 3 Z l Z C U y M E 9 0 a G V y J T I w Q 2 9 s d W 1 u c z w v S X R l b V B h d G g + P C 9 J d G V t T G 9 j Y X R p b 2 4 + P F N 0 Y W J s Z U V u d H J p Z X M g L z 4 8 L 0 l 0 Z W 0 + P E l 0 Z W 0 + P E l 0 Z W 1 M b 2 N h d G l v b j 4 8 S X R l b V R 5 c G U + R m 9 y b X V s Y T w v S X R l b V R 5 c G U + P E l 0 Z W 1 Q Y X R o P l N l Y 3 R p b 2 4 x L 3 J B c n R p a 2 x p Q W 5 h b G l 6 Y S 9 F e H B h b m R l Z C U y M E R h d G E 8 L 0 l 0 Z W 1 Q Y X R o P j w v S X R l b U x v Y 2 F 0 a W 9 u P j x T d G F i b G V F b n R y a W V z I C 8 + P C 9 J d G V t P j x J d G V t P j x J d G V t T G 9 j Y X R p b 2 4 + P E l 0 Z W 1 U e X B l P k Z v c m 1 1 b G E 8 L 0 l 0 Z W 1 U e X B l P j x J d G V t U G F 0 a D 5 T Z W N 0 a W 9 u M S 9 y Q X J 0 a W t s a U F u Y W x p e m E v Q 2 h h b m d l Z C U y M F R 5 c G U 8 L 0 l 0 Z W 1 Q Y X R o P j w v S X R l b U x v Y 2 F 0 a W 9 u P j x T d G F i b G V F b n R y a W V z I C 8 + P C 9 J d G V t P j x J d G V t P j x J d G V t T G 9 j Y X R p b 2 4 + P E l 0 Z W 1 U e X B l P k Z v c m 1 1 b G E 8 L 0 l 0 Z W 1 U e X B l P j x J d G V t U G F 0 a D 5 T Z W N 0 a W 9 u M S 9 m Q X J 0 a W t s a U N l b m k v U m V u Y W 1 l Z C U y M E N v b H V t b n M 8 L 0 l 0 Z W 1 Q Y X R o P j w v S X R l b U x v Y 2 F 0 a W 9 u P j x T d G F i b G V F b n R y a W V z I C 8 + P C 9 J d G V t P j x J d G V t P j x J d G V t T G 9 j Y X R p b 2 4 + P E l 0 Z W 1 U e X B l P k Z v c m 1 1 b G E 8 L 0 l 0 Z W 1 U e X B l P j x J d G V t U G F 0 a D 5 T Z W N 0 a W 9 u M S 9 m Q X J 0 a W t s a U N l b m k v U m V t b 3 Z l Z C U y M E N v b H V t b n M 8 L 0 l 0 Z W 1 Q Y X R o P j w v S X R l b U x v Y 2 F 0 a W 9 u P j x T d G F i b G V F b n R y a W V z I C 8 + P C 9 J d G V t P j x J d G V t P j x J d G V t T G 9 j Y X R p b 2 4 + P E l 0 Z W 1 U e X B l P k Z v c m 1 1 b G E 8 L 0 l 0 Z W 1 U e X B l P j x J d G V t U G F 0 a D 5 T Z W N 0 a W 9 u M S 9 y Q X J 0 a W t s a V 9 I U l 9 B b m F s a X p h L 1 N v d X J j Z T w v S X R l b V B h d G g + P C 9 J d G V t T G 9 j Y X R p b 2 4 + P F N 0 Y W J s Z U V u d H J p Z X M g L z 4 8 L 0 l 0 Z W 0 + P E l 0 Z W 0 + P E l 0 Z W 1 M b 2 N h d G l v b j 4 8 S X R l b V R 5 c G U + R m 9 y b X V s Y T w v S X R l b V R 5 c G U + P E l 0 Z W 1 Q Y X R o P l N l Y 3 R p b 2 4 x L 3 J B c n R p a 2 x p X 0 h S X 0 F u Y W x p e m E v T W V y Z 2 V k J T I w U X V l c m l l c z w v S X R l b V B h d G g + P C 9 J d G V t T G 9 j Y X R p b 2 4 + P F N 0 Y W J s Z U V u d H J p Z X M g L z 4 8 L 0 l 0 Z W 0 + P E l 0 Z W 0 + P E l 0 Z W 1 M b 2 N h d G l v b j 4 8 S X R l b V R 5 c G U + R m 9 y b X V s Y T w v S X R l b V R 5 c G U + P E l 0 Z W 1 Q Y X R o P l N l Y 3 R p b 2 4 x L 3 J B c n R p a 2 x p X 0 h S X 0 F u Y W x p e m E v R X h w Y W 5 k Z W Q l M j B k S 2 9 u d G V u U G x h b j w v S X R l b V B h d G g + P C 9 J d G V t T G 9 j Y X R p b 2 4 + P F N 0 Y W J s Z U V u d H J p Z X M g L z 4 8 L 0 l 0 Z W 0 + P E l 0 Z W 0 + P E l 0 Z W 1 M b 2 N h d G l v b j 4 8 S X R l b V R 5 c G U + R m 9 y b X V s Y T w v S X R l b V R 5 c G U + P E l 0 Z W 1 Q Y X R o P l N l Y 3 R p b 2 4 x L 2 Z B Y 3 R 1 Y W w v U m V t b 3 Z l Z C U y M E N v b H V t b n M 8 L 0 l 0 Z W 1 Q Y X R o P j w v S X R l b U x v Y 2 F 0 a W 9 u P j x T d G F i b G V F b n R y a W V z I C 8 + P C 9 J d G V t P j x J d G V t P j x J d G V t T G 9 j Y X R p b 2 4 + P E l 0 Z W 1 U e X B l P k Z v c m 1 1 b G E 8 L 0 l 0 Z W 1 U e X B l P j x J d G V t U G F 0 a D 5 T Z W N 0 a W 9 u M S 9 m Q W N 0 d W F s L 1 J l b m F t Z W Q l M j B D b 2 x 1 b W 5 z P C 9 J d G V t U G F 0 a D 4 8 L 0 l 0 Z W 1 M b 2 N h d G l v b j 4 8 U 3 R h Y m x l R W 5 0 c m l l c y A v P j w v S X R l b T 4 8 S X R l b T 4 8 S X R l b U x v Y 2 F 0 a W 9 u P j x J d G V t V H l w Z T 5 G b 3 J t d W x h P C 9 J d G V t V H l w Z T 4 8 S X R l b V B h d G g + U 2 V j d G l v b j E v Z k F j d H V h b C 9 D a G F u Z 2 V k J T I w V H l w Z T w v S X R l b V B h d G g + P C 9 J d G V t T G 9 j Y X R p b 2 4 + P F N 0 Y W J s Z U V u d H J p Z X M g L z 4 8 L 0 l 0 Z W 0 + P E l 0 Z W 0 + P E l 0 Z W 1 M b 2 N h d G l v b j 4 8 S X R l b V R 5 c G U + R m 9 y b X V s Y T w v S X R l b V R 5 c G U + P E l 0 Z W 1 Q Y X R o P l N l Y 3 R p b 2 4 x L 2 Z B Y 3 R 1 Y W x B b m R C d W R n Z X Q v R m l s d G V y Z W Q l M j B S b 3 d z M T w v S X R l b V B h d G g + P C 9 J d G V t T G 9 j Y X R p b 2 4 + P F N 0 Y W J s Z U V u d H J p Z X M g L z 4 8 L 0 l 0 Z W 0 + P E l 0 Z W 0 + P E l 0 Z W 1 M b 2 N h d G l v b j 4 8 S X R l b V R 5 c G U + R m 9 y b X V s Y T w v S X R l b V R 5 c G U + P E l 0 Z W 1 Q Y X R o P l N l Y 3 R p b 2 4 x L 2 Z B Y 3 R 1 Y W w v U m V u Y W 1 l Z C U y M E N v b H V t b n M x P C 9 J d G V t U G F 0 a D 4 8 L 0 l 0 Z W 1 M b 2 N h d G l v b j 4 8 U 3 R h Y m x l R W 5 0 c m l l c y A v P j w v S X R l b T 4 8 S X R l b T 4 8 S X R l b U x v Y 2 F 0 a W 9 u P j x J d G V t V H l w Z T 5 G b 3 J t d W x h P C 9 J d G V t V H l w Z T 4 8 S X R l b V B h d G g + U 2 V j d G l v b j E v Q W 1 v c n R p e m F j a W p h L 0 Z p b H R l c m V k J T I w U m 9 3 c z w v S X R l b V B h d G g + P C 9 J d G V t T G 9 j Y X R p b 2 4 + P F N 0 Y W J s Z U V u d H J p Z X M g L z 4 8 L 0 l 0 Z W 0 + P E l 0 Z W 0 + P E l 0 Z W 1 M b 2 N h d G l v b j 4 8 S X R l b V R 5 c G U + R m 9 y b X V s Y T w v S X R l b V R 5 c G U + P E l 0 Z W 1 Q Y X R o P l N l Y 3 R p b 2 4 x L 3 J B c n R p a 2 x p Q W 5 h b G l 6 Y S 9 N Z X J n Z W Q l M j B R d W V y a W V z P C 9 J d G V t U G F 0 a D 4 8 L 0 l 0 Z W 1 M b 2 N h d G l v b j 4 8 U 3 R h Y m x l R W 5 0 c m l l c y A v P j w v S X R l b T 4 8 S X R l b T 4 8 S X R l b U x v Y 2 F 0 a W 9 u P j x J d G V t V H l w Z T 5 G b 3 J t d W x h P C 9 J d G V t V H l w Z T 4 8 S X R l b V B h d G g + U 2 V j d G l v b j E v c k F y d G l r b G l B b m F s a X p h L 0 V 4 c G F u Z G V k J T I w Z E t v b n R l b l B s Y W 4 8 L 0 l 0 Z W 1 Q Y X R o P j w v S X R l b U x v Y 2 F 0 a W 9 u P j x T d G F i b G V F b n R y a W V z I C 8 + P C 9 J d G V t P j x J d G V t P j x J d G V t T G 9 j Y X R p b 2 4 + P E l 0 Z W 1 U e X B l P k Z v c m 1 1 b G E 8 L 0 l 0 Z W 1 U e X B l P j x J d G V t U G F 0 a D 5 T Z W N 0 a W 9 u M S 9 y Q X J 0 a W t s a U F u Y W x p e m E v U m V u Y W 1 l Z C U y M E N v b H V t b n M 8 L 0 l 0 Z W 1 Q Y X R o P j w v S X R l b U x v Y 2 F 0 a W 9 u P j x T d G F i b G V F b n R y a W V z I C 8 + P C 9 J d G V t P j x J d G V t P j x J d G V t T G 9 j Y X R p b 2 4 + P E l 0 Z W 1 U e X B l P k Z v c m 1 1 b G E 8 L 0 l 0 Z W 1 U e X B l P j x J d G V t U G F 0 a D 5 T Z W N 0 a W 9 u M S 9 D Q V B F W C 9 G a W x 0 Z X J l Z C U y M F J v d 3 M x P C 9 J d G V t U G F 0 a D 4 8 L 0 l 0 Z W 1 M b 2 N h d G l v b j 4 8 U 3 R h Y m x l R W 5 0 c m l l c y A v P j w v S X R l b T 4 8 S X R l b T 4 8 S X R l b U x v Y 2 F 0 a W 9 u P j x J d G V t V H l w Z T 5 B b G x G b 3 J t d W x h c z w v S X R l b V R 5 c G U + P E l 0 Z W 1 Q Y X R o I C 8 + P C 9 J d G V t T G 9 j Y X R p b 2 4 + P F N 0 Y W J s Z U V u d H J p Z X M + P E V u d H J 5 I F R 5 c G U 9 I l F 1 Z X J 5 R 3 J v d X B z I i B W Y W x 1 Z T 0 i c 0 F R Q U F B Q U F B Q U F B b z F 5 U G Z z b T B o U k l a d k 5 l Z V J N N U l V Q z F w a E l F b D Z k b V Z 6 Z E d G c E F B Q U F B Q U F B I i A v P j x F b n R y e S B U e X B l P S J S Z W x h d G l v b n N o a X B z I i B W Y W x 1 Z T 0 i c 0 F B Q U F B Q T 0 9 I i A v P j w v U 3 R h Y m x l R W 5 0 c m l l c z 4 8 L 0 l 0 Z W 0 + P C 9 J d G V t c z 4 8 L 0 x v Y 2 F s U G F j a 2 F n Z U 1 l d G F k Y X R h R m l s Z T 4 W A A A A U E s F B g A A A A A A A A A A A A A A A A A A A A A A A N o A A A A B A A A A 0 I y d 3 w E V 0 R G M e g D A T 8 K X 6 w E A A A B V r z y G j t 6 8 T q G / 3 N 0 k L 7 B e A A A A A A I A A A A A A A N m A A D A A A A A E A A A A M + N U A Q N f X x h T N U S N B H v 4 N 4 A A A A A B I A A A K A A A A A Q A A A A 6 A a l f 5 z 8 O 3 r K u n z I N N A l A 1 A A A A C Q t 3 8 G L L h o F C K V + U z t p o W L / u j E q m T I G 0 d 7 7 I X D 3 Q z 2 m K X g 9 T j L C h E S + 1 5 M w t T R 2 E W i y D M w B m 8 1 / 7 m H h t F v E 4 O U t h g K W X J H b V A v 3 + s y 7 5 Y b d x Q A A A B h c C J o f Z U Q N X Q K g X 7 q W X m E p c j x j Q = = < / D a t a M a s h u p > 
</file>

<file path=customXml/item20.xml>��< ? x m l   v e r s i o n = " 1 . 0 "   e n c o d i n g = " U T F - 1 6 " ? > < G e m i n i   x m l n s = " h t t p : / / g e m i n i / p i v o t c u s t o m i z a t i o n / T a b l e X M L _ f P r i h o d i R a s h o d i _ 1 2 e 2 e 5 b d - b e f 4 - 4 5 4 6 - 8 4 f a - 9 0 5 4 c b c 1 3 a d b " > < C u s t o m C o n t e n t > < ! [ C D A T A [ < T a b l e W i d g e t G r i d S e r i a l i z a t i o n   x m l n s : x s i = " h t t p : / / w w w . w 3 . o r g / 2 0 0 1 / X M L S c h e m a - i n s t a n c e "   x m l n s : x s d = " h t t p : / / w w w . w 3 . o r g / 2 0 0 1 / X M L S c h e m a " > < C o l u m n S u g g e s t e d T y p e   / > < C o l u m n F o r m a t   / > < C o l u m n A c c u r a c y   / > < C o l u m n C u r r e n c y S y m b o l   / > < C o l u m n P o s i t i v e P a t t e r n   / > < C o l u m n N e g a t i v e P a t t e r n   / > < C o l u m n W i d t h s > < i t e m > < k e y > < s t r i n g > !B02:0< / s t r i n g > < / k e y > < v a l u e > < i n t > 1 8 8 < / i n t > < / v a l u e > < / i t e m > < i t e m > < k e y > < s t r i n g > 5@8>4< / s t r i n g > < / k e y > < v a l u e > < i n t > 8 5 < / i n t > < / v a l u e > < / i t e m > < i t e m > < k e y > < s t r i n g > 7=>A< / s t r i n g > < / k e y > < v a l u e > < i n t > 9 7 < / i n t > < / v a l u e > < / i t e m > < i t e m > < k e y > < s t r i n g > >=B>< / s t r i n g > < / k e y > < v a l u e > < i n t > 7 4 < / i n t > < / v a l u e > < / i t e m > < i t e m > < k e y > < s t r i n g > 5@8>4  ( M o n t h   I n d e x ) < / s t r i n g > < / k e y > < v a l u e > < i n t > 1 7 7 < / i n t > < / v a l u e > < / i t e m > < i t e m > < k e y > < s t r i n g > 5@8>4  ( M o n t h ) < / s t r i n g > < / k e y > < v a l u e > < i n t > 1 3 9 < / i n t > < / v a l u e > < / i t e m > < / C o l u m n W i d t h s > < C o l u m n D i s p l a y I n d e x > < i t e m > < k e y > < s t r i n g > !B02:0< / s t r i n g > < / k e y > < v a l u e > < i n t > 0 < / i n t > < / v a l u e > < / i t e m > < i t e m > < k e y > < s t r i n g > 5@8>4< / s t r i n g > < / k e y > < v a l u e > < i n t > 1 < / i n t > < / v a l u e > < / i t e m > < i t e m > < k e y > < s t r i n g > 7=>A< / s t r i n g > < / k e y > < v a l u e > < i n t > 2 < / i n t > < / v a l u e > < / i t e m > < i t e m > < k e y > < s t r i n g > >=B>< / s t r i n g > < / k e y > < v a l u e > < i n t > 3 < / i n t > < / v a l u e > < / i t e m > < i t e m > < k e y > < s t r i n g > 5@8>4  ( M o n t h   I n d e x ) < / s t r i n g > < / k e y > < v a l u e > < i n t > 4 < / i n t > < / v a l u e > < / i t e m > < i t e m > < k e y > < s t r i n g > 5@8>4  ( M o n t h ) < / s t r i n g > < / k e y > < v a l u e > < i n t > 5 < / i n t > < / v a l u e > < / i t e m > < / C o l u m n D i s p l a y I n d e x > < C o l u m n F r o z e n   / > < C o l u m n C h e c k e d   / > < C o l u m n F i l t e r   / > < S e l e c t i o n F i l t e r   / > < F i l t e r P a r a m e t e r s   / > < I s S o r t D e s c e n d i n g > f a l s e < / I s S o r t D e s c e n d i n g > < / T a b l e W i d g e t G r i d S e r i a l i z a t i o n > ] ] > < / C u s t o m C o n t e n t > < / G e m i n i > 
</file>

<file path=customXml/item21.xml>��< ? x m l   v e r s i o n = " 1 . 0 "   e n c o d i n g = " U T F - 1 6 " ? > < G e m i n i   x m l n s = " h t t p : / / g e m i n i / p i v o t c u s t o m i z a t i o n / T a b l e X M L _ o O b r a z e c F i n a n s i s k i P l a n 2 0 1 9 _ 6 5 d 8 5 4 b 9 - 9 f c 1 - 4 2 a c - b 7 8 3 - b 7 3 e d b c 3 6 5 3 2 " > < C u s t o m C o n t e n t > < ! [ C D A T A [ < T a b l e W i d g e t G r i d S e r i a l i z a t i o n   x m l n s : x s i = " h t t p : / / w w w . w 3 . o r g / 2 0 0 1 / X M L S c h e m a - i n s t a n c e "   x m l n s : x s d = " h t t p : / / w w w . w 3 . o r g / 2 0 0 1 / X M L S c h e m a " > < C o l u m n S u g g e s t e d T y p e   / > < C o l u m n F o r m a t   / > < C o l u m n A c c u r a c y   / > < C o l u m n C u r r e n c y S y m b o l   / > < C o l u m n P o s i t i v e P a t t e r n   / > < C o l u m n N e g a t i v e P a t t e r n   / > < C o l u m n W i d t h s > < i t e m > < k e y > < s t r i n g > -   D8=0=A8A:8  ?;0=< / s t r i n g > < / k e y > < v a l u e > < i n t > 2 1 6 < / i n t > < / v a l u e > < / i t e m > < i t e m > < k e y > < s t r i n g > $- AB02:0< / s t r i n g > < / k e y > < v a l u e > < i n t > 1 2 5 < / i n t > < / v a l u e > < / i t e m > < i t e m > < k e y > < s t r i n g > $- @C?0< / s t r i n g > < / k e y > < v a l u e > < i n t > 1 1 9 < / i n t > < / v a l u e > < / i t e m > < i t e m > < k e y > < s t r i n g > $- 0B53>@8X0< / s t r i n g > < / k e y > < v a l u e > < i n t > 1 6 0 < / i n t > < / v a l u e > < / i t e m > < i t e m > < k e y > < s t r i n g > T o t a l i n g < / s t r i n g > < / k e y > < v a l u e > < i n t > 1 0 2 < / i n t > < / v a l u e > < / i t e m > < / C o l u m n W i d t h s > < C o l u m n D i s p l a y I n d e x > < i t e m > < k e y > < s t r i n g > -   D8=0=A8A:8  ?;0=< / s t r i n g > < / k e y > < v a l u e > < i n t > 0 < / i n t > < / v a l u e > < / i t e m > < i t e m > < k e y > < s t r i n g > $- AB02:0< / s t r i n g > < / k e y > < v a l u e > < i n t > 1 < / i n t > < / v a l u e > < / i t e m > < i t e m > < k e y > < s t r i n g > $- @C?0< / s t r i n g > < / k e y > < v a l u e > < i n t > 2 < / i n t > < / v a l u e > < / i t e m > < i t e m > < k e y > < s t r i n g > $- 0B53>@8X0< / s t r i n g > < / k e y > < v a l u e > < i n t > 3 < / i n t > < / v a l u e > < / i t e m > < i t e m > < k e y > < s t r i n g > T o t a l i n g < / s t r i n g > < / k e y > < v a l u e > < i n t > 4 < / i n t > < / v a l u e > < / i t e m > < / C o l u m n D i s p l a y I n d e x > < C o l u m n F r o z e n   / > < C o l u m n C h e c k e d   / > < C o l u m n F i l t e r   / > < S e l e c t i o n F i l t e r   / > < F i l t e r P a r a m e t e r s   / > < I s S o r t D e s c e n d i n g > f a l s e < / I s S o r t D e s c e n d i n g > < / T a b l e W i d g e t G r i d S e r i a l i z a t i o n > ] ] > < / C u s t o m C o n t e n t > < / G e m i n i > 
</file>

<file path=customXml/item22.xml>��< ? x m l   v e r s i o n = " 1 . 0 "   e n c o d i n g = " U T F - 1 6 " ? > < G e m i n i   x m l n s = " h t t p : / / g e m i n i / p i v o t c u s t o m i z a t i o n / T a b l e X M L _ d M a p p i n g _ 5 d d 0 5 e e f - e 6 6 2 - 4 3 1 d - a 7 4 1 - 7 0 5 9 5 e a 4 4 d 2 e " > < C u s t o m C o n t e n t > < ! [ C D A T A [ < T a b l e W i d g e t G r i d S e r i a l i z a t i o n   x m l n s : x s i = " h t t p : / / w w w . w 3 . o r g / 2 0 0 1 / X M L S c h e m a - i n s t a n c e "   x m l n s : x s d = " h t t p : / / w w w . w 3 . o r g / 2 0 0 1 / X M L S c h e m a " > < C o l u m n S u g g e s t e d T y p e   / > < C o l u m n F o r m a t   / > < C o l u m n A c c u r a c y   / > < C o l u m n C u r r e n c y S y m b o l   / > < C o l u m n P o s i t i v e P a t t e r n   / > < C o l u m n N e g a t i v e P a t t e r n   / > < C o l u m n W i d t h s > < i t e m > < k e y > < s t r i n g > K o n t o < / s t r i n g > < / k e y > < v a l u e > < i n t > 8 9 < / i n t > < / v a l u e > < / i t e m > < i t e m > < k e y > < s t r i n g > N a z i v   n a   k o n t o < / s t r i n g > < / k e y > < v a l u e > < i n t > 1 5 6 < / i n t > < / v a l u e > < / i t e m > < i t e m > < k e y > < s t r i n g > T i p I z v e s t a j I D < / s t r i n g > < / k e y > < v a l u e > < i n t > 1 4 4 < / i n t > < / v a l u e > < / i t e m > < i t e m > < k e y > < s t r i n g > O b r a z e c I D < / s t r i n g > < / k e y > < v a l u e > < i n t > 1 2 5 < / i n t > < / v a l u e > < / i t e m > < i t e m > < k e y > < s t r i n g > S t a v k a I D < / s t r i n g > < / k e y > < v a l u e > < i n t > 1 1 2 < / i n t > < / v a l u e > < / i t e m > < i t e m > < k e y > < s t r i n g > F P   s t a r < / s t r i n g > < / k e y > < v a l u e > < i n t > 9 6 < / i n t > < / v a l u e > < / i t e m > < i t e m > < k e y > < s t r i n g > S t a v k a I m e M K < / s t r i n g > < / k e y > < v a l u e > < i n t > 1 5 0 < / i n t > < / v a l u e > < / i t e m > < / C o l u m n W i d t h s > < C o l u m n D i s p l a y I n d e x > < i t e m > < k e y > < s t r i n g > K o n t o < / s t r i n g > < / k e y > < v a l u e > < i n t > 0 < / i n t > < / v a l u e > < / i t e m > < i t e m > < k e y > < s t r i n g > N a z i v   n a   k o n t o < / s t r i n g > < / k e y > < v a l u e > < i n t > 1 < / i n t > < / v a l u e > < / i t e m > < i t e m > < k e y > < s t r i n g > T i p I z v e s t a j I D < / s t r i n g > < / k e y > < v a l u e > < i n t > 2 < / i n t > < / v a l u e > < / i t e m > < i t e m > < k e y > < s t r i n g > O b r a z e c I D < / s t r i n g > < / k e y > < v a l u e > < i n t > 3 < / i n t > < / v a l u e > < / i t e m > < i t e m > < k e y > < s t r i n g > S t a v k a I D < / s t r i n g > < / k e y > < v a l u e > < i n t > 4 < / i n t > < / v a l u e > < / i t e m > < i t e m > < k e y > < s t r i n g > F P   s t a r < / s t r i n g > < / k e y > < v a l u e > < i n t > 5 < / i n t > < / v a l u e > < / i t e m > < i t e m > < k e y > < s t r i n g > S t a v k a I m e M K < / s t r i n g > < / k e y > < v a l u e > < i n t > 6 < / i n t > < / v a l u e > < / i t e m > < / C o l u m n D i s p l a y I n d e x > < C o l u m n F r o z e n   / > < C o l u m n C h e c k e d   / > < C o l u m n F i l t e r   / > < S e l e c t i o n F i l t e r   / > < F i l t e r P a r a m e t e r s   / > < I s S o r t D e s c e n d i n g > f a l s e < / I s S o r t D e s c e n d i n g > < / T a b l e W i d g e t G r i d S e r i a l i z a t i o n > ] ] > < / C u s t o m C o n t e n t > < / G e m i n i > 
</file>

<file path=customXml/item23.xml>��< ? x m l   v e r s i o n = " 1 . 0 "   e n c o d i n g = " U T F - 1 6 " ? > < G e m i n i   x m l n s = " h t t p : / / g e m i n i / p i v o t c u s t o m i z a t i o n / R e l a t i o n s h i p A u t o D e t e c t i o n E n a b l e d " > < C u s t o m C o n t e n t > < ! [ C D A T A [ T r u e ] ] > < / C u s t o m C o n t e n t > < / G e m i n i > 
</file>

<file path=customXml/item24.xml>��< ? x m l   v e r s i o n = " 1 . 0 "   e n c o d i n g = " U T F - 1 6 " ? > < G e m i n i   x m l n s = " h t t p : / / g e m i n i / p i v o t c u s t o m i z a t i o n / T a b l e X M L _ d S t a v k i _ 5 9 2 1 4 e f b - b 8 3 e - 4 d 6 6 - a b a e - 5 2 f 8 1 a 8 d d 2 5 b " > < C u s t o m C o n t e n t > < ! [ C D A T A [ < T a b l e W i d g e t G r i d S e r i a l i z a t i o n   x m l n s : x s i = " h t t p : / / w w w . w 3 . o r g / 2 0 0 1 / X M L S c h e m a - i n s t a n c e "   x m l n s : x s d = " h t t p : / / w w w . w 3 . o r g / 2 0 0 1 / X M L S c h e m a " > < C o l u m n S u g g e s t e d T y p e   / > < C o l u m n F o r m a t   / > < C o l u m n A c c u r a c y   / > < C o l u m n C u r r e n c y S y m b o l   / > < C o l u m n P o s i t i v e P a t t e r n   / > < C o l u m n N e g a t i v e P a t t e r n   / > < C o l u m n W i d t h s > < i t e m > < k e y > < s t r i n g > O b r a z e c I D < / s t r i n g > < / k e y > < v a l u e > < i n t > 1 2 5 < / i n t > < / v a l u e > < / i t e m > < i t e m > < k e y > < s t r i n g > S t a v k a A O P < / s t r i n g > < / k e y > < v a l u e > < i n t > 1 2 8 < / i n t > < / v a l u e > < / i t e m > < i t e m > < k e y > < s t r i n g > S t a v k a I D < / s t r i n g > < / k e y > < v a l u e > < i n t > 1 1 2 < / i n t > < / v a l u e > < / i t e m > < i t e m > < k e y > < s t r i n g > S t a v k a I m e M K < / s t r i n g > < / k e y > < v a l u e > < i n t > 1 5 0 < / i n t > < / v a l u e > < / i t e m > < i t e m > < k e y > < s t r i n g > S t a v k a I m e E N < / s t r i n g > < / k e y > < v a l u e > < i n t > 1 4 5 < / i n t > < / v a l u e > < / i t e m > < i t e m > < k e y > < s t r i n g > K l a s i f i k a c i j a P r a v i l n i k < / s t r i n g > < / k e y > < v a l u e > < i n t > 1 9 8 < / i n t > < / v a l u e > < / i t e m > < i t e m > < k e y > < s t r i n g > S t a v k a G r u p a I D < / s t r i n g > < / k e y > < v a l u e > < i n t > 1 6 0 < / i n t > < / v a l u e > < / i t e m > < i t e m > < k e y > < s t r i n g > S t a v k a G r u p a < / s t r i n g > < / k e y > < v a l u e > < i n t > 1 4 2 < / i n t > < / v a l u e > < / i t e m > < i t e m > < k e y > < s t r i n g > S t a v k a K a t e g o r i j a < / s t r i n g > < / k e y > < v a l u e > < i n t > 1 7 2 < / i n t > < / v a l u e > < / i t e m > < i t e m > < k e y > < s t r i n g > K l a s a < / s t r i n g > < / k e y > < v a l u e > < i n t > 8 3 < / i n t > < / v a l u e > < / i t e m > < i t e m > < k e y > < s t r i n g > Z n a k I z v e s t a j < / s t r i n g > < / k e y > < v a l u e > < i n t > 1 4 0 < / i n t > < / v a l u e > < / i t e m > < / C o l u m n W i d t h s > < C o l u m n D i s p l a y I n d e x > < i t e m > < k e y > < s t r i n g > O b r a z e c I D < / s t r i n g > < / k e y > < v a l u e > < i n t > 0 < / i n t > < / v a l u e > < / i t e m > < i t e m > < k e y > < s t r i n g > S t a v k a A O P < / s t r i n g > < / k e y > < v a l u e > < i n t > 1 < / i n t > < / v a l u e > < / i t e m > < i t e m > < k e y > < s t r i n g > S t a v k a I D < / s t r i n g > < / k e y > < v a l u e > < i n t > 2 < / i n t > < / v a l u e > < / i t e m > < i t e m > < k e y > < s t r i n g > S t a v k a I m e M K < / s t r i n g > < / k e y > < v a l u e > < i n t > 3 < / i n t > < / v a l u e > < / i t e m > < i t e m > < k e y > < s t r i n g > S t a v k a I m e E N < / s t r i n g > < / k e y > < v a l u e > < i n t > 4 < / i n t > < / v a l u e > < / i t e m > < i t e m > < k e y > < s t r i n g > K l a s i f i k a c i j a P r a v i l n i k < / s t r i n g > < / k e y > < v a l u e > < i n t > 5 < / i n t > < / v a l u e > < / i t e m > < i t e m > < k e y > < s t r i n g > S t a v k a G r u p a I D < / s t r i n g > < / k e y > < v a l u e > < i n t > 6 < / i n t > < / v a l u e > < / i t e m > < i t e m > < k e y > < s t r i n g > S t a v k a G r u p a < / s t r i n g > < / k e y > < v a l u e > < i n t > 7 < / i n t > < / v a l u e > < / i t e m > < i t e m > < k e y > < s t r i n g > S t a v k a K a t e g o r i j a < / s t r i n g > < / k e y > < v a l u e > < i n t > 8 < / i n t > < / v a l u e > < / i t e m > < i t e m > < k e y > < s t r i n g > K l a s a < / s t r i n g > < / k e y > < v a l u e > < i n t > 9 < / i n t > < / v a l u e > < / i t e m > < i t e m > < k e y > < s t r i n g > Z n a k I z v e s t a j < / s t r i n g > < / k e y > < v a l u e > < i n t > 1 0 < / i n t > < / v a l u e > < / i t e m > < / C o l u m n D i s p l a y I n d e x > < C o l u m n F r o z e n   / > < C o l u m n C h e c k e d   / > < C o l u m n F i l t e r   / > < S e l e c t i o n F i l t e r   / > < F i l t e r P a r a m e t e r s   / > < I s S o r t D e s c e n d i n g > f a l s e < / I s S o r t D e s c e n d i n g > < / T a b l e W i d g e t G r i d S e r i a l i z a t i o n > ] ] > < / C u s t o m C o n t e n t > < / G e m i n i > 
</file>

<file path=customXml/item25.xml>��< ? x m l   v e r s i o n = " 1 . 0 "   e n c o d i n g = " U T F - 1 6 " ? > < G e m i n i   x m l n s = " h t t p : / / g e m i n i / p i v o t c u s t o m i z a t i o n / T a b l e X M L _ r A r t i k l i A n a l i z a _ 5 7 a b 1 6 c 0 - 4 f a 3 - 4 a 2 c - b b c 5 - 6 9 e 6 b 3 1 5 9 4 4 b " > < C u s t o m C o n t e n t > < ! [ C D A T A [ < T a b l e W i d g e t G r i d S e r i a l i z a t i o n   x m l n s : x s d = " h t t p : / / w w w . w 3 . o r g / 2 0 0 1 / X M L S c h e m a "   x m l n s : x s i = " h t t p : / / w w w . w 3 . o r g / 2 0 0 1 / X M L S c h e m a - i n s t a n c e " > < C o l u m n S u g g e s t e d T y p e   / > < C o l u m n F o r m a t   / > < C o l u m n A c c u r a c y   / > < C o l u m n C u r r e n c y S y m b o l   / > < C o l u m n P o s i t i v e P a t t e r n   / > < C o l u m n N e g a t i v e P a t t e r n   / > < C o l u m n W i d t h s > < i t e m > < k e y > < s t r i n g > 48=5G=0  <5@:0< / s t r i n g > < / k e y > < v a l u e > < i n t > 1 4 0 < / i n t > < / v a l u e > < / i t e m > < i t e m > < k e y > < s t r i n g > "8?  =0  0@B8:;< / s t r i n g > < / k e y > < v a l u e > < i n t > 1 2 3 < / i n t > < / v a l u e > < / i t e m > < i t e m > < k e y > < s t r i n g > >=B>< / s t r i n g > < / k e y > < v a l u e > < i n t > 7 4 < / i n t > < / v a l u e > < / i t e m > < i t e m > < k e y > < s t r i n g > S t a v k a I m e M K < / s t r i n g > < / k e y > < v a l u e > < i n t > 1 2 0 < / i n t > < / v a l u e > < / i t e m > < i t e m > < k e y > < s t r i n g > 0B53>@8X0  @B8:;< / s t r i n g > < / k e y > < v a l u e > < i n t > 1 5 4 < / i n t > < / v a l u e > < / i t e m > < i t e m > < k e y > < s t r i n g > 0B53>@8X0  @B8:;  < / s t r i n g > < / k e y > < v a l u e > < i n t > 1 7 7 < / i n t > < / v a l u e > < / i t e m > < i t e m > < k e y > < s t r i n g > S t a v k a K a t e g o r i j a < / s t r i n g > < / k e y > < v a l u e > < i n t > 1 3 9 < / i n t > < / v a l u e > < / i t e m > < i t e m > < k e y > < s t r i n g > 5@8>4< / s t r i n g > < / k e y > < v a l u e > < i n t > 8 5 < / i n t > < / v a l u e > < / i t e m > < i t e m > < k e y > < s t r i n g > @B8:;  < / s t r i n g > < / k e y > < v a l u e > < i n t > 1 0 5 < / i n t > < / v a l u e > < / i t e m > < i t e m > < k e y > < s t r i n g > R e p o r t T y p e < / s t r i n g > < / k e y > < v a l u e > < i n t > 1 0 7 < / i n t > < / v a l u e > < / i t e m > < i t e m > < k e y > < s t r i n g > 5@8>4  ( M o n t h ) < / s t r i n g > < / k e y > < v a l u e > < i n t > 1 3 9 < / i n t > < / v a l u e > < / i t e m > < i t e m > < k e y > < s t r i n g > 5@8>4  ( M o n t h   I n d e x ) < / s t r i n g > < / k e y > < v a l u e > < i n t > 1 7 7 < / i n t > < / v a l u e > < / i t e m > < i t e m > < k e y > < s t r i n g > 5@8>4  ( Q u a r t e r ) < / s t r i n g > < / k e y > < v a l u e > < i n t > 1 4 6 < / i n t > < / v a l u e > < / i t e m > < i t e m > < k e y > < s t r i n g > 5@8>4  ( Y e a r ) < / s t r i n g > < / k e y > < v a l u e > < i n t > 1 2 4 < / i n t > < / v a l u e > < / i t e m > < i t e m > < k e y > < s t r i n g > >;8G8=0< / s t r i n g > < / k e y > < v a l u e > < i n t > 9 8 < / i n t > < / v a l u e > < / i t e m > < i t e m > < k e y > < s t r i n g > 48=5G=0  F5=0< / s t r i n g > < / k e y > < v a l u e > < i n t > 1 3 1 < / i n t > < / v a l u e > < / i t e m > < i t e m > < k e y > < s t r i n g > 7=>A< / s t r i n g > < / k e y > < v a l u e > < i n t > 7 4 < / i n t > < / v a l u e > < / i t e m > < i t e m > < k e y > < s t r i n g > < / s t r i n g > < / k e y > < v a l u e > < i n t > 6 4 < / i n t > < / v a l u e > < / i t e m > < i t e m > < k e y > < s t r i n g > :C?=>  B@>H>:  A>  < / s t r i n g > < / k e y > < v a l u e > < i n t > 1 8 1 < / i n t > < / v a l u e > < / i t e m > < i t e m > < k e y > < s t r i n g > !B02:0< / s t r i n g > < / k e y > < v a l u e > < i n t > 7 8 < / i n t > < / v a l u e > < / i t e m > < / C o l u m n W i d t h s > < C o l u m n D i s p l a y I n d e x > < i t e m > < k e y > < s t r i n g > 48=5G=0  <5@:0< / s t r i n g > < / k e y > < v a l u e > < i n t > 1 2 < / i n t > < / v a l u e > < / i t e m > < i t e m > < k e y > < s t r i n g > "8?  =0  0@B8:;< / s t r i n g > < / k e y > < v a l u e > < i n t > 1 1 < / i n t > < / v a l u e > < / i t e m > < i t e m > < k e y > < s t r i n g > >=B>< / s t r i n g > < / k e y > < v a l u e > < i n t > 0 < / i n t > < / v a l u e > < / i t e m > < i t e m > < k e y > < s t r i n g > S t a v k a I m e M K < / s t r i n g > < / k e y > < v a l u e > < i n t > 1 < / i n t > < / v a l u e > < / i t e m > < i t e m > < k e y > < s t r i n g > 0B53>@8X0  @B8:;< / s t r i n g > < / k e y > < v a l u e > < i n t > 1 0 < / i n t > < / v a l u e > < / i t e m > < i t e m > < k e y > < s t r i n g > 0B53>@8X0  @B8:;  < / s t r i n g > < / k e y > < v a l u e > < i n t > 9 < / i n t > < / v a l u e > < / i t e m > < i t e m > < k e y > < s t r i n g > S t a v k a K a t e g o r i j a < / s t r i n g > < / k e y > < v a l u e > < i n t > 2 < / i n t > < / v a l u e > < / i t e m > < i t e m > < k e y > < s t r i n g > 5@8>4< / s t r i n g > < / k e y > < v a l u e > < i n t > 1 8 < / i n t > < / v a l u e > < / i t e m > < i t e m > < k e y > < s t r i n g > @B8:;  < / s t r i n g > < / k e y > < v a l u e > < i n t > 8 < / i n t > < / v a l u e > < / i t e m > < i t e m > < k e y > < s t r i n g > R e p o r t T y p e < / s t r i n g > < / k e y > < v a l u e > < i n t > 3 < / i n t > < / v a l u e > < / i t e m > < i t e m > < k e y > < s t r i n g > 5@8>4  ( M o n t h ) < / s t r i n g > < / k e y > < v a l u e > < i n t > 7 < / i n t > < / v a l u e > < / i t e m > < i t e m > < k e y > < s t r i n g > 5@8>4  ( M o n t h   I n d e x ) < / s t r i n g > < / k e y > < v a l u e > < i n t > 6 < / i n t > < / v a l u e > < / i t e m > < i t e m > < k e y > < s t r i n g > 5@8>4  ( Q u a r t e r ) < / s t r i n g > < / k e y > < v a l u e > < i n t > 5 < / i n t > < / v a l u e > < / i t e m > < i t e m > < k e y > < s t r i n g > 5@8>4  ( Y e a r ) < / s t r i n g > < / k e y > < v a l u e > < i n t > 4 < / i n t > < / v a l u e > < / i t e m > < i t e m > < k e y > < s t r i n g > >;8G8=0< / s t r i n g > < / k e y > < v a l u e > < i n t > 1 3 < / i n t > < / v a l u e > < / i t e m > < i t e m > < k e y > < s t r i n g > 48=5G=0  F5=0< / s t r i n g > < / k e y > < v a l u e > < i n t > 1 4 < / i n t > < / v a l u e > < / i t e m > < i t e m > < k e y > < s t r i n g > 7=>A< / s t r i n g > < / k e y > < v a l u e > < i n t > 1 9 < / i n t > < / v a l u e > < / i t e m > < i t e m > < k e y > < s t r i n g > < / s t r i n g > < / k e y > < v a l u e > < i n t > 1 5 < / i n t > < / v a l u e > < / i t e m > < i t e m > < k e y > < s t r i n g > :C?=>  B@>H>:  A>  < / s t r i n g > < / k e y > < v a l u e > < i n t > 1 6 < / i n t > < / v a l u e > < / i t e m > < i t e m > < k e y > < s t r i n g > !B02:0< / s t r i n g > < / k e y > < v a l u e > < i n t > 1 7 < / i n t > < / v a l u e > < / i t e m > < / C o l u m n D i s p l a y I n d e x > < C o l u m n F r o z e n   / > < C o l u m n C h e c k e d   / > < C o l u m n F i l t e r   / > < S e l e c t i o n F i l t e r   / > < F i l t e r P a r a m e t e r s   / > < I s S o r t D e s c e n d i n g > f a l s e < / I s S o r t D e s c e n d i n g > < / T a b l e W i d g e t G r i d S e r i a l i z a t i o n > ] ] > < / C u s t o m C o n t e n t > < / G e m i n i > 
</file>

<file path=customXml/item26.xml>��< ? x m l   v e r s i o n = " 1 . 0 "   e n c o d i n g = " U T F - 1 6 " ? > < G e m i n i   x m l n s = " h t t p : / / g e m i n i / p i v o t c u s t o m i z a t i o n / M e a s u r e G r i d S t a t e " > < C u s t o m C o n t e n t > < ! [ C D A T A [ < A r r a y O f K e y V a l u e O f s t r i n g S a n d b o x E d i t o r . M e a s u r e G r i d S t a t e S c d E 3 5 R y   x m l n s = " h t t p : / / s c h e m a s . m i c r o s o f t . c o m / 2 0 0 3 / 1 0 / S e r i a l i z a t i o n / A r r a y s "   x m l n s : i = " h t t p : / / w w w . w 3 . o r g / 2 0 0 1 / X M L S c h e m a - i n s t a n c e " > < K e y V a l u e O f s t r i n g S a n d b o x E d i t o r . M e a s u r e G r i d S t a t e S c d E 3 5 R y > < K e y > C a l e n d a r < / K e y > < V a l u e   x m l n s : a = " h t t p : / / s c h e m a s . d a t a c o n t r a c t . o r g / 2 0 0 4 / 0 7 / M i c r o s o f t . A n a l y s i s S e r v i c e s . C o m m o n " > < a : H a s F o c u s > t r u e < / a : H a s F o c u s > < a : S i z e A t D p i 9 6 > 8 5 < / a : S i z e A t D p i 9 6 > < a : V i s i b l e > t r u e < / a : V i s i b l e > < / V a l u e > < / K e y V a l u e O f s t r i n g S a n d b o x E d i t o r . M e a s u r e G r i d S t a t e S c d E 3 5 R y > < K e y V a l u e O f s t r i n g S a n d b o x E d i t o r . M e a s u r e G r i d S t a t e S c d E 3 5 R y > < K e y > C A P E X _ 2 a 5 8 1 c 2 f - d c 8 a - 4 4 7 d - 9 b 3 7 - 6 1 a f f 2 c 8 b 5 1 8 < / K e y > < V a l u e   x m l n s : a = " h t t p : / / s c h e m a s . d a t a c o n t r a c t . o r g / 2 0 0 4 / 0 7 / M i c r o s o f t . A n a l y s i s S e r v i c e s . C o m m o n " > < a : H a s F o c u s > t r u e < / a : H a s F o c u s > < a : S i z e A t D p i 9 6 > 1 3 0 < / a : S i z e A t D p i 9 6 > < a : V i s i b l e > t r u e < / a : V i s i b l e > < / V a l u e > < / K e y V a l u e O f s t r i n g S a n d b o x E d i t o r . M e a s u r e G r i d S t a t e S c d E 3 5 R y > < K e y V a l u e O f s t r i n g S a n d b o x E d i t o r . M e a s u r e G r i d S t a t e S c d E 3 5 R y > < K e y > f C o v e c k i R e s u r s i _ 7 a 1 7 6 d 2 e - 5 d 9 7 - 4 8 b f - 9 7 9 d - c 4 9 9 5 6 7 6 4 5 0 e < / K e y > < V a l u e   x m l n s : a = " h t t p : / / s c h e m a s . d a t a c o n t r a c t . o r g / 2 0 0 4 / 0 7 / M i c r o s o f t . A n a l y s i s S e r v i c e s . C o m m o n " > < a : H a s F o c u s > t r u e < / a : H a s F o c u s > < a : S i z e A t D p i 9 6 > 1 3 0 < / a : S i z e A t D p i 9 6 > < a : V i s i b l e > t r u e < / a : V i s i b l e > < / V a l u e > < / K e y V a l u e O f s t r i n g S a n d b o x E d i t o r . M e a s u r e G r i d S t a t e S c d E 3 5 R y > < K e y V a l u e O f s t r i n g S a n d b o x E d i t o r . M e a s u r e G r i d S t a t e S c d E 3 5 R y > < K e y > A m o r t i z a c i j a _ 6 9 3 8 3 0 1 b - 4 8 3 8 - 4 3 7 0 - 8 a 7 c - 3 f b 1 3 8 0 e 5 4 d 7 < / K e y > < V a l u e   x m l n s : a = " h t t p : / / s c h e m a s . d a t a c o n t r a c t . o r g / 2 0 0 4 / 0 7 / M i c r o s o f t . A n a l y s i s S e r v i c e s . C o m m o n " > < a : H a s F o c u s > t r u e < / a : H a s F o c u s > < a : S i z e A t D p i 9 6 > 1 2 8 < / a : S i z e A t D p i 9 6 > < a : V i s i b l e > t r u e < / a : V i s i b l e > < / V a l u e > < / K e y V a l u e O f s t r i n g S a n d b o x E d i t o r . M e a s u r e G r i d S t a t e S c d E 3 5 R y > < K e y V a l u e O f s t r i n g S a n d b o x E d i t o r . M e a s u r e G r i d S t a t e S c d E 3 5 R y > < K e y > f A c t u a l A n d B u d g e t _ 5 c 6 4 6 e a 0 - 5 1 7 5 - 4 9 4 3 - 8 c 6 b - b 8 5 7 4 f 5 b 2 f b 7 < / K e y > < V a l u e   x m l n s : a = " h t t p : / / s c h e m a s . d a t a c o n t r a c t . o r g / 2 0 0 4 / 0 7 / M i c r o s o f t . A n a l y s i s S e r v i c e s . C o m m o n " > < a : H a s F o c u s > t r u e < / a : H a s F o c u s > < a : S i z e A t D p i 9 6 > 8 5 < / a : S i z e A t D p i 9 6 > < a : V i s i b l e > t r u e < / a : V i s i b l e > < / V a l u e > < / K e y V a l u e O f s t r i n g S a n d b o x E d i t o r . M e a s u r e G r i d S t a t e S c d E 3 5 R y > < K e y V a l u e O f s t r i n g S a n d b o x E d i t o r . M e a s u r e G r i d S t a t e S c d E 3 5 R y > < K e y > f O P E X _ 5 e 1 2 6 d a 7 - 5 8 e 0 - 4 a e a - 8 8 0 5 - 7 d 5 6 0 2 c 6 c c a b < / K e y > < V a l u e   x m l n s : a = " h t t p : / / s c h e m a s . d a t a c o n t r a c t . o r g / 2 0 0 4 / 0 7 / M i c r o s o f t . A n a l y s i s S e r v i c e s . C o m m o n " > < a : H a s F o c u s > t r u e < / a : H a s F o c u s > < a : S i z e A t D p i 9 6 > 1 3 0 < / a : S i z e A t D p i 9 6 > < a : V i s i b l e > t r u e < / a : V i s i b l e > < / V a l u e > < / K e y V a l u e O f s t r i n g S a n d b o x E d i t o r . M e a s u r e G r i d S t a t e S c d E 3 5 R y > < K e y V a l u e O f s t r i n g S a n d b o x E d i t o r . M e a s u r e G r i d S t a t e S c d E 3 5 R y > < K e y > O P E X A n a l i z a _ e 3 4 7 4 6 6 b - 1 0 e b - 4 8 2 7 - 8 2 2 9 - e 4 3 b d 1 3 d a a 8 d < / K e y > < V a l u e   x m l n s : a = " h t t p : / / s c h e m a s . d a t a c o n t r a c t . o r g / 2 0 0 4 / 0 7 / M i c r o s o f t . A n a l y s i s S e r v i c e s . C o m m o n " > < a : H a s F o c u s > t r u e < / a : H a s F o c u s > < a : S i z e A t D p i 9 6 > 1 2 7 < / a : S i z e A t D p i 9 6 > < a : V i s i b l e > t r u e < / a : V i s i b l e > < / V a l u e > < / K e y V a l u e O f s t r i n g S a n d b o x E d i t o r . M e a s u r e G r i d S t a t e S c d E 3 5 R y > < K e y V a l u e O f s t r i n g S a n d b o x E d i t o r . M e a s u r e G r i d S t a t e S c d E 3 5 R y > < K e y > r A r t i k l i A n a l i z a _ 5 7 a b 1 6 c 0 - 4 f a 3 - 4 a 2 c - b b c 5 - 6 9 e 6 b 3 1 5 9 4 4 b < / K e y > < V a l u e   x m l n s : a = " h t t p : / / s c h e m a s . d a t a c o n t r a c t . o r g / 2 0 0 4 / 0 7 / M i c r o s o f t . A n a l y s i s S e r v i c e s . C o m m o n " > < a : H a s F o c u s > t r u e < / a : H a s F o c u s > < a : S i z e A t D p i 9 6 > 1 1 3 < / a : S i z e A t D p i 9 6 > < a : V i s i b l e > t r u e < / a : V i s i b l e > < / V a l u e > < / K e y V a l u e O f s t r i n g S a n d b o x E d i t o r . M e a s u r e G r i d S t a t e S c d E 3 5 R y > < K e y V a l u e O f s t r i n g S a n d b o x E d i t o r . M e a s u r e G r i d S t a t e S c d E 3 5 R y > < K e y > f A r t i k l i C e n i _ c 1 d 3 0 a 3 1 - 5 f b 4 - 4 3 1 c - a 2 1 a - 0 0 d 8 0 b 4 8 c c 2 a < / K e y > < V a l u e   x m l n s : a = " h t t p : / / s c h e m a s . d a t a c o n t r a c t . o r g / 2 0 0 4 / 0 7 / M i c r o s o f t . A n a l y s i s S e r v i c e s . C o m m o n " > < a : H a s F o c u s > t r u e < / a : H a s F o c u s > < a : S i z e A t D p i 9 6 > 1 1 3 < / a : S i z e A t D p i 9 6 > < a : V i s i b l e > t r u e < / a : V i s i b l e > < / V a l u e > < / K e y V a l u e O f s t r i n g S a n d b o x E d i t o r . M e a s u r e G r i d S t a t e S c d E 3 5 R y > < K e y V a l u e O f s t r i n g S a n d b o x E d i t o r . M e a s u r e G r i d S t a t e S c d E 3 5 R y > < K e y > r A r t i k l i _ H R _ A n a l i z a _ 2 3 6 e 5 9 9 8 - 7 0 c c - 4 c a a - 8 4 6 9 - 2 6 f 3 a 0 e 6 6 b d c < / K e y > < V a l u e   x m l n s : a = " h t t p : / / s c h e m a s . d a t a c o n t r a c t . o r g / 2 0 0 4 / 0 7 / M i c r o s o f t . A n a l y s i s S e r v i c e s . C o m m o n " > < a : H a s F o c u s > t r u e < / a : H a s F o c u s > < a : S i z e A t D p i 9 6 > 1 1 3 < / a : S i z e A t D p i 9 6 > < a : V i s i b l e > t r u e < / a : V i s i b l e > < / V a l u e > < / K e y V a l u e O f s t r i n g S a n d b o x E d i t o r . M e a s u r e G r i d S t a t e S c d E 3 5 R y > < K e y V a l u e O f s t r i n g S a n d b o x E d i t o r . M e a s u r e G r i d S t a t e S c d E 3 5 R y > < K e y > f C o v e c k i R e s u r s i     2 _ 6 a f 3 7 a 8 8 - 3 0 d 9 - 4 2 1 6 - a 4 0 2 - 7 f c 6 6 e 7 1 f 5 4 6 < / K e y > < V a l u e   x m l n s : a = " h t t p : / / s c h e m a s . d a t a c o n t r a c t . o r g / 2 0 0 4 / 0 7 / M i c r o s o f t . A n a l y s i s S e r v i c e s . C o m m o n " > < a : H a s F o c u s > f a l s e < / a : H a s F o c u s > < a : S i z e A t D p i 9 6 > 1 1 3 < / a : S i z e A t D p i 9 6 > < a : V i s i b l e > t r u e < / a : V i s i b l e > < / V a l u e > < / K e y V a l u e O f s t r i n g S a n d b o x E d i t o r . M e a s u r e G r i d S t a t e S c d E 3 5 R y > < / A r r a y O f K e y V a l u e O f s t r i n g S a n d b o x E d i t o r . M e a s u r e G r i d S t a t e S c d E 3 5 R y > ] ] > < / C u s t o m C o n t e n t > < / G e m i n i > 
</file>

<file path=customXml/item27.xml>��< ? x m l   v e r s i o n = " 1 . 0 "   e n c o d i n g = " U T F - 1 6 " ? > < G e m i n i   x m l n s = " h t t p : / / g e m i n i / p i v o t c u s t o m i z a t i o n / T a b l e O r d e r " > < C u s t o m C o n t e n t > < ! [ C D A T A [ C a l e n d a r , C A P E X _ 2 a 5 8 1 c 2 f - d c 8 a - 4 4 7 d - 9 b 3 7 - 6 1 a f f 2 c 8 b 5 1 8 , A m o r t i z a c i j a _ 6 9 3 8 3 0 1 b - 4 8 3 8 - 4 3 7 0 - 8 a 7 c - 3 f b 1 3 8 0 e 5 4 d 7 , f C o v e c k i R e s u r s i _ 7 a 1 7 6 d 2 e - 5 d 9 7 - 4 8 b f - 9 7 9 d - c 4 9 9 5 6 7 6 4 5 0 e , f A c t u a l A n d B u d g e t _ 5 c 6 4 6 e a 0 - 5 1 7 5 - 4 9 4 3 - 8 c 6 b - b 8 5 7 4 f 5 b 2 f b 7 , f O P E X _ 5 e 1 2 6 d a 7 - 5 8 e 0 - 4 a e a - 8 8 0 5 - 7 d 5 6 0 2 c 6 c c a b , O P E X A n a l i z a _ e 3 4 7 4 6 6 b - 1 0 e b - 4 8 2 7 - 8 2 2 9 - e 4 3 b d 1 3 d a a 8 d , r A r t i k l i A n a l i z a _ 5 7 a b 1 6 c 0 - 4 f a 3 - 4 a 2 c - b b c 5 - 6 9 e 6 b 3 1 5 9 4 4 b , f A r t i k l i C e n i _ c 1 d 3 0 a 3 1 - 5 f b 4 - 4 3 1 c - a 2 1 a - 0 0 d 8 0 b 4 8 c c 2 a , r A r t i k l i _ H R _ A n a l i z a _ 2 3 6 e 5 9 9 8 - 7 0 c c - 4 c a a - 8 4 6 9 - 2 6 f 3 a 0 e 6 6 b d c , f C o v e c k i R e s u r s i     2 _ 6 a f 3 7 a 8 8 - 3 0 d 9 - 4 2 1 6 - a 4 0 2 - 7 f c 6 6 e 7 1 f 5 4 6 ] ] > < / C u s t o m C o n t e n t > < / G e m i n i > 
</file>

<file path=customXml/item28.xml>��< ? x m l   v e r s i o n = " 1 . 0 "   e n c o d i n g = " U T F - 1 6 " ? > < G e m i n i   x m l n s = " h t t p : / / g e m i n i / p i v o t c u s t o m i z a t i o n / T a b l e X M L _ C A P E X _ L i s t _ 5 3 e 8 b f 2 e - f c 6 1 - 4 f 5 8 - 9 b 9 4 - c 7 4 c 4 c 3 6 8 0 d 0 " > < C u s t o m C o n t e n t > < ! [ C D A T A [ < T a b l e W i d g e t G r i d S e r i a l i z a t i o n   x m l n s : x s i = " h t t p : / / w w w . w 3 . o r g / 2 0 0 1 / X M L S c h e m a - i n s t a n c e "   x m l n s : x s d = " h t t p : / / w w w . w 3 . o r g / 2 0 0 1 / X M L S c h e m a " > < C o l u m n S u g g e s t e d T y p e   / > < C o l u m n F o r m a t   / > < C o l u m n A c c u r a c y   / > < C o l u m n C u r r e n c y S y m b o l   / > < C o l u m n P o s i t i v e P a t t e r n   / > < C o l u m n N e g a t i v e P a t t e r n   / > < C o l u m n W i d t h s > < i t e m > < k e y > < s t r i n g > @>5:B  < / s t r i n g > < / k e y > < v a l u e > < i n t > 1 2 8 < / i n t > < / v a l u e > < / i t e m > < i t e m > < k e y > < s t r i n g > @>5:B< / s t r i n g > < / k e y > < v a l u e > < i n t > 1 0 0 < / i n t > < / v a l u e > < / i t e m > < i t e m > < k e y > < s t r i n g > 0B53>@8X0  ?@>5:B  < / s t r i n g > < / k e y > < v a l u e > < i n t > 2 1 6 < / i n t > < / v a l u e > < / i t e m > < i t e m > < k e y > < s t r i n g > 0B53>@8X0  @>5:B< / s t r i n g > < / k e y > < v a l u e > < i n t > 1 9 0 < / i n t > < / v a l u e > < / i t e m > < i t e m > < k e y > < s t r i n g > ><5=B0;=0  A>AB>X10  ( 2:;CGC20X\8  ?@>1;5<8) < / s t r i n g > < / k e y > < v a l u e > < i n t > 4 1 6 < / i n t > < / v a l u e > < / i t e m > < i t e m > < k e y > < s t r i n g > ;8X0=8X0  8  >G5:C20=8  @57C;B0B8< / s t r i n g > < / k e y > < v a l u e > < i n t > 3 0 5 < / i n t > < / v a l u e > < / i t e m > < i t e m > < k e y > < s t r i n g > @54;030G  =0  8=25AB8F8X0< / s t r i n g > < / k e y > < v a l u e > < i n t > 2 5 3 < / i n t > < / v a l u e > < / i t e m > < i t e m > < k e y > < s t r i n g >  >:  =0  70?>G=C20Z5< / s t r i n g > < / k e y > < v a l u e > < i n t > 2 0 6 < / i n t > < / v a l u e > < / i t e m > < i t e m > < k e y > < s t r i n g >  >:  70  702@HC20Z5< / s t r i n g > < / k e y > < v a l u e > < i n t > 1 9 8 < / i n t > < / v a l u e > < / i t e m > < i t e m > < k e y > < s t r i n g >  >:  =0  AB020Z5  =0  C?>B@510< / s t r i n g > < / k e y > < v a l u e > < i n t > 2 6 6 < / i n t > < / v a l u e > < / i t e m > < i t e m > < k e y > < s t r i n g > :C?5=  87=>A< / s t r i n g > < / k e y > < v a l u e > < i n t > 1 5 0 < / i n t > < / v a l u e > < / i t e m > < i t e m > < k e y > < s t r i n g > !B0?:0  =0  0<>@B870F8X0< / s t r i n g > < / k e y > < v a l u e > < i n t > 2 3 4 < / i n t > < / v a l u e > < / i t e m > < i t e m > < k e y > < s t r i n g > 5A5G5=  87=>A  =0  0<>@B870F8X0< / s t r i n g > < / k e y > < v a l u e > < i n t > 3 0 0 < / i n t > < / v a l u e > < / i t e m > < i t e m > < k e y > < s t r i n g > @>X  =0  <5A5F8  70  0<>@B870F8X0< / s t r i n g > < / k e y > < v a l u e > < i n t > 2 9 9 < / i n t > < / v a l u e > < / i t e m > < i t e m > < k e y > < s t r i n g > >=B>< / s t r i n g > < / k e y > < v a l u e > < i n t > 9 0 < / i n t > < / v a l u e > < / i t e m > < / C o l u m n W i d t h s > < C o l u m n D i s p l a y I n d e x > < i t e m > < k e y > < s t r i n g > @>5:B  < / s t r i n g > < / k e y > < v a l u e > < i n t > 0 < / i n t > < / v a l u e > < / i t e m > < i t e m > < k e y > < s t r i n g > @>5:B< / s t r i n g > < / k e y > < v a l u e > < i n t > 1 < / i n t > < / v a l u e > < / i t e m > < i t e m > < k e y > < s t r i n g > 0B53>@8X0  ?@>5:B  < / s t r i n g > < / k e y > < v a l u e > < i n t > 2 < / i n t > < / v a l u e > < / i t e m > < i t e m > < k e y > < s t r i n g > 0B53>@8X0  @>5:B< / s t r i n g > < / k e y > < v a l u e > < i n t > 3 < / i n t > < / v a l u e > < / i t e m > < i t e m > < k e y > < s t r i n g > ><5=B0;=0  A>AB>X10  ( 2:;CGC20X\8  ?@>1;5<8) < / s t r i n g > < / k e y > < v a l u e > < i n t > 4 < / i n t > < / v a l u e > < / i t e m > < i t e m > < k e y > < s t r i n g > ;8X0=8X0  8  >G5:C20=8  @57C;B0B8< / s t r i n g > < / k e y > < v a l u e > < i n t > 5 < / i n t > < / v a l u e > < / i t e m > < i t e m > < k e y > < s t r i n g > @54;030G  =0  8=25AB8F8X0< / s t r i n g > < / k e y > < v a l u e > < i n t > 6 < / i n t > < / v a l u e > < / i t e m > < i t e m > < k e y > < s t r i n g >  >:  =0  70?>G=C20Z5< / s t r i n g > < / k e y > < v a l u e > < i n t > 7 < / i n t > < / v a l u e > < / i t e m > < i t e m > < k e y > < s t r i n g >  >:  70  702@HC20Z5< / s t r i n g > < / k e y > < v a l u e > < i n t > 8 < / i n t > < / v a l u e > < / i t e m > < i t e m > < k e y > < s t r i n g >  >:  =0  AB020Z5  =0  C?>B@510< / s t r i n g > < / k e y > < v a l u e > < i n t > 9 < / i n t > < / v a l u e > < / i t e m > < i t e m > < k e y > < s t r i n g > :C?5=  87=>A< / s t r i n g > < / k e y > < v a l u e > < i n t > 1 0 < / i n t > < / v a l u e > < / i t e m > < i t e m > < k e y > < s t r i n g > !B0?:0  =0  0<>@B870F8X0< / s t r i n g > < / k e y > < v a l u e > < i n t > 1 1 < / i n t > < / v a l u e > < / i t e m > < i t e m > < k e y > < s t r i n g > 5A5G5=  87=>A  =0  0<>@B870F8X0< / s t r i n g > < / k e y > < v a l u e > < i n t > 1 2 < / i n t > < / v a l u e > < / i t e m > < i t e m > < k e y > < s t r i n g > @>X  =0  <5A5F8  70  0<>@B870F8X0< / s t r i n g > < / k e y > < v a l u e > < i n t > 1 3 < / i n t > < / v a l u e > < / i t e m > < i t e m > < k e y > < s t r i n g > >=B>< / s t r i n g > < / k e y > < v a l u e > < i n t > 1 4 < / i n t > < / v a l u e > < / i t e m > < / C o l u m n D i s p l a y I n d e x > < C o l u m n F r o z e n   / > < C o l u m n C h e c k e d   / > < C o l u m n F i l t e r   / > < S e l e c t i o n F i l t e r   / > < F i l t e r P a r a m e t e r s   / > < I s S o r t D e s c e n d i n g > f a l s e < / I s S o r t D e s c e n d i n g > < / T a b l e W i d g e t G r i d S e r i a l i z a t i o n > ] ] > < / C u s t o m C o n t e n t > < / G e m i n i > 
</file>

<file path=customXml/item29.xml>��< ? x m l   v e r s i o n = " 1 . 0 "   e n c o d i n g = " U T F - 1 6 " ? > < G e m i n i   x m l n s = " h t t p : / / g e m i n i / p i v o t c u s t o m i z a t i o n / T a b l e X M L _ f C o v e c k i R e s u r s i     2 _ 7 7 6 c 3 a 1 5 - 8 b 3 b - 4 5 7 f - 8 3 1 4 - a 3 b 6 4 d 1 e d e 4 f " > < C u s t o m C o n t e n t   x m l n s = " h t t p : / / g e m i n i / p i v o t c u s t o m i z a t i o n / T a b l e X M L _ f C o v e c k i R e s u r s i   2 _ 7 7 6 c 3 a 1 5 - 8 b 3 b - 4 5 7 f - 8 3 1 4 - a 3 b 6 4 d 1 e d e 4 f " > < ! [ C D A T A [ < T a b l e W i d g e t G r i d S e r i a l i z a t i o n   x m l n s : x s i = " h t t p : / / w w w . w 3 . o r g / 2 0 0 1 / X M L S c h e m a - i n s t a n c e "   x m l n s : x s d = " h t t p : / / w w w . w 3 . o r g / 2 0 0 1 / X M L S c h e m a " > < C o l u m n S u g g e s t e d T y p e   / > < C o l u m n F o r m a t   / > < C o l u m n A c c u r a c y   / > < C o l u m n C u r r e n c y S y m b o l   / > < C o l u m n P o s i t i v e P a t t e r n   / > < C o l u m n N e g a t i v e P a t t e r n   / > < C o l u m n W i d t h s > < i t e m > < k e y > < s t r i n g > !B02:0< / s t r i n g > < / k e y > < v a l u e > < i n t > 9 6 < / i n t > < / v a l u e > < / i t e m > < i t e m > < k e y > < s t r i n g > 7=>A< / s t r i n g > < / k e y > < v a l u e > < i n t > 9 1 < / i n t > < / v a l u e > < / i t e m > < i t e m > < k e y > < s t r i n g > >=B>< / s t r i n g > < / k e y > < v a l u e > < i n t > 9 0 < / i n t > < / v a l u e > < / i t e m > < i t e m > < k e y > < s t r i n g > S t a v k a I m e M K < / s t r i n g > < / k e y > < v a l u e > < i n t > 1 5 0 < / i n t > < / v a l u e > < / i t e m > < i t e m > < k e y > < s t r i n g > S t a v k a A O P < / s t r i n g > < / k e y > < v a l u e > < i n t > 1 2 8 < / i n t > < / v a l u e > < / i t e m > < i t e m > < k e y > < s t r i n g > S t a v k a G r u p a < / s t r i n g > < / k e y > < v a l u e > < i n t > 1 4 2 < / i n t > < / v a l u e > < / i t e m > < i t e m > < k e y > < s t r i n g > S t a v k a K a t e g o r i j a < / s t r i n g > < / k e y > < v a l u e > < i n t > 1 7 2 < / i n t > < / v a l u e > < / i t e m > < i t e m > < k e y > < s t r i n g > O b r a z e c I m e < / s t r i n g > < / k e y > < v a l u e > < i n t > 1 3 7 < / i n t > < / v a l u e > < / i t e m > < i t e m > < k e y > < s t r i n g > R e p o r t T y p e < / s t r i n g > < / k e y > < v a l u e > < i n t > 1 3 1 < / i n t > < / v a l u e > < / i t e m > < / C o l u m n W i d t h s > < C o l u m n D i s p l a y I n d e x > < i t e m > < k e y > < s t r i n g > !B02:0< / s t r i n g > < / k e y > < v a l u e > < i n t > 0 < / i n t > < / v a l u e > < / i t e m > < i t e m > < k e y > < s t r i n g > 7=>A< / s t r i n g > < / k e y > < v a l u e > < i n t > 1 < / i n t > < / v a l u e > < / i t e m > < i t e m > < k e y > < s t r i n g > >=B>< / s t r i n g > < / k e y > < v a l u e > < i n t > 2 < / i n t > < / v a l u e > < / i t e m > < i t e m > < k e y > < s t r i n g > S t a v k a I m e M K < / s t r i n g > < / k e y > < v a l u e > < i n t > 3 < / i n t > < / v a l u e > < / i t e m > < i t e m > < k e y > < s t r i n g > S t a v k a A O P < / s t r i n g > < / k e y > < v a l u e > < i n t > 4 < / i n t > < / v a l u e > < / i t e m > < i t e m > < k e y > < s t r i n g > S t a v k a G r u p a < / s t r i n g > < / k e y > < v a l u e > < i n t > 5 < / i n t > < / v a l u e > < / i t e m > < i t e m > < k e y > < s t r i n g > S t a v k a K a t e g o r i j a < / s t r i n g > < / k e y > < v a l u e > < i n t > 6 < / i n t > < / v a l u e > < / i t e m > < i t e m > < k e y > < s t r i n g > O b r a z e c I m e < / s t r i n g > < / k e y > < v a l u e > < i n t > 7 < / i n t > < / v a l u e > < / i t e m > < i t e m > < k e y > < s t r i n g > R e p o r t T y p e < / s t r i n g > < / k e y > < v a l u e > < i n t > 8 < / i n t > < / v a l u e > < / i t e m > < / C o l u m n D i s p l a y I n d e x > < C o l u m n F r o z e n   / > < C o l u m n C h e c k e d   / > < C o l u m n F i l t e r   / > < S e l e c t i o n F i l t e r   / > < F i l t e r P a r a m e t e r s   / > < I s S o r t D e s c e n d i n g > f a l s e < / I s S o r t D e s c e n d i n g > < / T a b l e W i d g e t G r i d S e r i a l i z a t i o n > ] ] > < / C u s t o m C o n t e n t > < / G e m i n i > 
</file>

<file path=customXml/item3.xml>��< ? x m l   v e r s i o n = " 1 . 0 "   e n c o d i n g = " U T F - 1 6 " ? > < G e m i n i   x m l n s = " h t t p : / / g e m i n i / p i v o t c u s t o m i z a t i o n / T a b l e X M L _ f C o v e c k i R e s u r s i     2 _ 6 a f 3 7 a 8 8 - 3 0 d 9 - 4 2 1 6 - a 4 0 2 - 7 f c 6 6 e 7 1 f 5 4 6 " > < C u s t o m C o n t e n t   x m l n s = " h t t p : / / g e m i n i / p i v o t c u s t o m i z a t i o n / T a b l e X M L _ f C o v e c k i R e s u r s i   2 _ 6 a f 3 7 a 8 8 - 3 0 d 9 - 4 2 1 6 - a 4 0 2 - 7 f c 6 6 e 7 1 f 5 4 6 " > < ! [ C D A T A [ < T a b l e W i d g e t G r i d S e r i a l i z a t i o n   x m l n s : x s d = " h t t p : / / w w w . w 3 . o r g / 2 0 0 1 / X M L S c h e m a "   x m l n s : x s i = " h t t p : / / w w w . w 3 . o r g / 2 0 0 1 / X M L S c h e m a - i n s t a n c e " > < C o l u m n S u g g e s t e d T y p e   / > < C o l u m n F o r m a t   / > < C o l u m n A c c u r a c y   / > < C o l u m n C u r r e n c y S y m b o l   / > < C o l u m n P o s i t i v e P a t t e r n   / > < C o l u m n N e g a t i v e P a t t e r n   / > < C o l u m n W i d t h s > < i t e m > < k e y > < s t r i n g > !B02:0< / s t r i n g > < / k e y > < v a l u e > < i n t > 7 8 < / i n t > < / v a l u e > < / i t e m > < i t e m > < k e y > < s t r i n g > 5@8>4< / s t r i n g > < / k e y > < v a l u e > < i n t > 8 5 < / i n t > < / v a l u e > < / i t e m > < i t e m > < k e y > < s t r i n g > 7=>A< / s t r i n g > < / k e y > < v a l u e > < i n t > 7 4 < / i n t > < / v a l u e > < / i t e m > < i t e m > < k e y > < s t r i n g > >=B>< / s t r i n g > < / k e y > < v a l u e > < i n t > 7 4 < / i n t > < / v a l u e > < / i t e m > < i t e m > < k e y > < s t r i n g > R e p o r t T y p e < / s t r i n g > < / k e y > < v a l u e > < i n t > 1 0 7 < / i n t > < / v a l u e > < / i t e m > < i t e m > < k e y > < s t r i n g > S t a v k a I m e A O P < / s t r i n g > < / k e y > < v a l u e > < i n t > 1 2 7 < / i n t > < / v a l u e > < / i t e m > < i t e m > < k e y > < s t r i n g > S t a v k a K a t e g o r i j a < / s t r i n g > < / k e y > < v a l u e > < i n t > 1 3 9 < / i n t > < / v a l u e > < / i t e m > < / C o l u m n W i d t h s > < C o l u m n D i s p l a y I n d e x > < i t e m > < k e y > < s t r i n g > !B02:0< / s t r i n g > < / k e y > < v a l u e > < i n t > 0 < / i n t > < / v a l u e > < / i t e m > < i t e m > < k e y > < s t r i n g > 5@8>4< / s t r i n g > < / k e y > < v a l u e > < i n t > 1 < / i n t > < / v a l u e > < / i t e m > < i t e m > < k e y > < s t r i n g > 7=>A< / s t r i n g > < / k e y > < v a l u e > < i n t > 2 < / i n t > < / v a l u e > < / i t e m > < i t e m > < k e y > < s t r i n g > >=B>< / s t r i n g > < / k e y > < v a l u e > < i n t > 3 < / i n t > < / v a l u e > < / i t e m > < i t e m > < k e y > < s t r i n g > R e p o r t T y p e < / s t r i n g > < / k e y > < v a l u e > < i n t > 4 < / i n t > < / v a l u e > < / i t e m > < i t e m > < k e y > < s t r i n g > S t a v k a I m e A O P < / s t r i n g > < / k e y > < v a l u e > < i n t > 5 < / i n t > < / v a l u e > < / i t e m > < i t e m > < k e y > < s t r i n g > S t a v k a K a t e g o r i j a < / s t r i n g > < / k e y > < v a l u e > < i n t > 6 < / i n t > < / v a l u e > < / i t e m > < / C o l u m n D i s p l a y I n d e x > < C o l u m n F r o z e n   / > < C o l u m n C h e c k e d   / > < C o l u m n F i l t e r   / > < S e l e c t i o n F i l t e r   / > < F i l t e r P a r a m e t e r s   / > < I s S o r t D e s c e n d i n g > f a l s e < / I s S o r t D e s c e n d i n g > < / T a b l e W i d g e t G r i d S e r i a l i z a t i o n > ] ] > < / C u s t o m C o n t e n t > < / G e m i n i > 
</file>

<file path=customXml/item30.xml>��< ? x m l   v e r s i o n = " 1 . 0 "   e n c o d i n g = " U T F - 1 6 " ? > < G e m i n i   x m l n s = " h t t p : / / g e m i n i / p i v o t c u s t o m i z a t i o n / T a b l e X M L _ f V k u p n i P r i h o d i _ d 1 7 9 e b 0 f - b 1 e a - 4 e 8 a - 8 8 1 3 - d 1 0 8 f 1 5 3 f 6 4 f " > < C u s t o m C o n t e n t > < ! [ C D A T A [ < T a b l e W i d g e t G r i d S e r i a l i z a t i o n   x m l n s : x s i = " h t t p : / / w w w . w 3 . o r g / 2 0 0 1 / X M L S c h e m a - i n s t a n c e "   x m l n s : x s d = " h t t p : / / w w w . w 3 . o r g / 2 0 0 1 / X M L S c h e m a " > < C o l u m n S u g g e s t e d T y p e   / > < C o l u m n F o r m a t   / > < C o l u m n A c c u r a c y   / > < C o l u m n C u r r e n c y S y m b o l   / > < C o l u m n P o s i t i v e P a t t e r n   / > < C o l u m n N e g a t i v e P a t t e r n   / > < C o l u m n W i d t h s > < i t e m > < k e y > < s t r i n g > 5@8>4< / s t r i n g > < / k e y > < v a l u e > < i n t > 1 7 9 < / i n t > < / v a l u e > < / i t e m > < i t e m > < k e y > < s t r i n g > >=B>< / s t r i n g > < / k e y > < v a l u e > < i n t > 9 0 < / i n t > < / v a l u e > < / i t e m > < i t e m > < k e y > < s t r i n g > 7=>A< / s t r i n g > < / k e y > < v a l u e > < i n t > 1 2 6 < / i n t > < / v a l u e > < / i t e m > < i t e m > < k e y > < s t r i n g > !B02:0< / s t r i n g > < / k e y > < v a l u e > < i n t > 1 7 9 < / i n t > < / v a l u e > < / i t e m > < / C o l u m n W i d t h s > < C o l u m n D i s p l a y I n d e x > < i t e m > < k e y > < s t r i n g > 5@8>4< / s t r i n g > < / k e y > < v a l u e > < i n t > 0 < / i n t > < / v a l u e > < / i t e m > < i t e m > < k e y > < s t r i n g > >=B>< / s t r i n g > < / k e y > < v a l u e > < i n t > 1 < / i n t > < / v a l u e > < / i t e m > < i t e m > < k e y > < s t r i n g > 7=>A< / s t r i n g > < / k e y > < v a l u e > < i n t > 3 < / i n t > < / v a l u e > < / i t e m > < i t e m > < k e y > < s t r i n g > !B02:0< / s t r i n g > < / k e y > < v a l u e > < i n t > 2 < / i n t > < / v a l u e > < / i t e m > < / C o l u m n D i s p l a y I n d e x > < C o l u m n F r o z e n   / > < C o l u m n C h e c k e d   / > < C o l u m n F i l t e r   / > < S e l e c t i o n F i l t e r   / > < F i l t e r P a r a m e t e r s   / > < I s S o r t D e s c e n d i n g > f a l s e < / I s S o r t D e s c e n d i n g > < / T a b l e W i d g e t G r i d S e r i a l i z a t i o n > ] ] > < / C u s t o m C o n t e n t > < / G e m i n i > 
</file>

<file path=customXml/item31.xml>��< ? x m l   v e r s i o n = " 1 . 0 "   e n c o d i n g = " U T F - 1 6 " ? > < G e m i n i   x m l n s = " h t t p : / / g e m i n i / p i v o t c u s t o m i z a t i o n / S h o w H i d d e n " > < C u s t o m C o n t e n t > < ! [ C D A T A [ T r u e ] ] > < / C u s t o m C o n t e n t > < / G e m i n i > 
</file>

<file path=customXml/item32.xml>��< ? x m l   v e r s i o n = " 1 . 0 "   e n c o d i n g = " U T F - 1 6 " ? > < G e m i n i   x m l n s = " h t t p : / / g e m i n i / p i v o t c u s t o m i z a t i o n / T a b l e X M L _ f T r a n s a k c i i _ 6 2 b 3 9 6 9 f - c 1 7 f - 4 d 1 8 - 8 1 0 b - 1 b c 9 b 9 c 0 c 8 c c " > < C u s t o m C o n t e n t > < ! [ C D A T A [ < T a b l e W i d g e t G r i d S e r i a l i z a t i o n   x m l n s : x s i = " h t t p : / / w w w . w 3 . o r g / 2 0 0 1 / X M L S c h e m a - i n s t a n c e "   x m l n s : x s d = " h t t p : / / w w w . w 3 . o r g / 2 0 0 1 / X M L S c h e m a " > < C o l u m n S u g g e s t e d T y p e   / > < C o l u m n F o r m a t   / > < C o l u m n A c c u r a c y   / > < C o l u m n C u r r e n c y S y m b o l   / > < C o l u m n P o s i t i v e P a t t e r n   / > < C o l u m n N e g a t i v e P a t t e r n   / > < C o l u m n W i d t h s > < i t e m > < k e y > < s t r i n g >  538>=< / s t r i n g > < / k e y > < v a l u e > < i n t > 9 9 < / i n t > < / v a l u e > < / i t e m > < i t e m > < k e y > < s t r i n g > @>406=>  <5AB>< / s t r i n g > < / k e y > < v a l u e > < i n t > 1 7 8 < / i n t > < / v a l u e > < / i t e m > < i t e m > < k e y > < s t r i n g > >HB5=A:8  :>4< / s t r i n g > < / k e y > < v a l u e > < i n t > 1 6 5 < / i n t > < / v a l u e > < / i t e m > < i t e m > < k e y > < s t r i n g >  538AB0@  8<5< / s t r i n g > < / k e y > < v a l u e > < i n t > 1 4 9 < / i n t > < / v a l u e > < / i t e m > < i t e m > < k e y > < s t r i n g > #A;C30  8<5< / s t r i n g > < / k e y > < v a l u e > < i n t > 1 3 1 < / i n t > < / v a l u e > < / i t e m > < i t e m > < k e y > < s t r i n g > 5@8>4< / s t r i n g > < / k e y > < v a l u e > < i n t > 1 0 4 < / i n t > < / v a l u e > < / i t e m > < i t e m > < k e y > < s t r i n g > "@0=A0:F88< / s t r i n g > < / k e y > < v a l u e > < i n t > 1 3 6 < / i n t > < / v a l u e > < / i t e m > < / C o l u m n W i d t h s > < C o l u m n D i s p l a y I n d e x > < i t e m > < k e y > < s t r i n g >  538>=< / s t r i n g > < / k e y > < v a l u e > < i n t > 0 < / i n t > < / v a l u e > < / i t e m > < i t e m > < k e y > < s t r i n g > @>406=>  <5AB>< / s t r i n g > < / k e y > < v a l u e > < i n t > 1 < / i n t > < / v a l u e > < / i t e m > < i t e m > < k e y > < s t r i n g > >HB5=A:8  :>4< / s t r i n g > < / k e y > < v a l u e > < i n t > 2 < / i n t > < / v a l u e > < / i t e m > < i t e m > < k e y > < s t r i n g >  538AB0@  8<5< / s t r i n g > < / k e y > < v a l u e > < i n t > 3 < / i n t > < / v a l u e > < / i t e m > < i t e m > < k e y > < s t r i n g > #A;C30  8<5< / s t r i n g > < / k e y > < v a l u e > < i n t > 4 < / i n t > < / v a l u e > < / i t e m > < i t e m > < k e y > < s t r i n g > 5@8>4< / s t r i n g > < / k e y > < v a l u e > < i n t > 5 < / i n t > < / v a l u e > < / i t e m > < i t e m > < k e y > < s t r i n g > "@0=A0:F88< / s t r i n g > < / k e y > < v a l u e > < i n t > 6 < / i n t > < / v a l u e > < / i t e m > < / C o l u m n D i s p l a y I n d e x > < C o l u m n F r o z e n   / > < C o l u m n C h e c k e d   / > < C o l u m n F i l t e r   / > < S e l e c t i o n F i l t e r   / > < F i l t e r P a r a m e t e r s   / > < I s S o r t D e s c e n d i n g > f a l s e < / I s S o r t D e s c e n d i n g > < / T a b l e W i d g e t G r i d S e r i a l i z a t i o n > ] ] > < / C u s t o m C o n t e n t > < / G e m i n i > 
</file>

<file path=customXml/item33.xml>��< ? x m l   v e r s i o n = " 1 . 0 "   e n c o d i n g = " U T F - 1 6 " ? > < G e m i n i   x m l n s = " h t t p : / / g e m i n i / p i v o t c u s t o m i z a t i o n / T a b l e X M L _ f P r i h o d i R a s h o d i F i n P l a n _ 4 8 3 4 7 7 2 8 - 3 6 4 7 - 4 9 8 8 - b 7 0 7 - b 6 7 d 0 b a c 8 2 e e " > < C u s t o m C o n t e n t > < ! [ C D A T A [ < T a b l e W i d g e t G r i d S e r i a l i z a t i o n   x m l n s : x s i = " h t t p : / / w w w . w 3 . o r g / 2 0 0 1 / X M L S c h e m a - i n s t a n c e "   x m l n s : x s d = " h t t p : / / w w w . w 3 . o r g / 2 0 0 1 / X M L S c h e m a " > < C o l u m n S u g g e s t e d T y p e   / > < C o l u m n F o r m a t   / > < C o l u m n A c c u r a c y   / > < C o l u m n C u r r e n c y S y m b o l   / > < C o l u m n P o s i t i v e P a t t e r n   / > < C o l u m n N e g a t i v e P a t t e r n   / > < C o l u m n W i d t h s > < i t e m > < k e y > < s t r i n g > !B02:0< / s t r i n g > < / k e y > < v a l u e > < i n t > 9 6 < / i n t > < / v a l u e > < / i t e m > < i t e m > < k e y > < s t r i n g > >=B>< / s t r i n g > < / k e y > < v a l u e > < i n t > 9 0 < / i n t > < / v a l u e > < / i t e m > < i t e m > < k e y > < s t r i n g > 5@8>4< / s t r i n g > < / k e y > < v a l u e > < i n t > 1 0 4 < / i n t > < / v a l u e > < / i t e m > < i t e m > < k e y > < s t r i n g > V r e d n o s t < / s t r i n g > < / k e y > < v a l u e > < i n t > 1 1 4 < / i n t > < / v a l u e > < / i t e m > < i t e m > < k e y > < s t r i n g >  538AB0@< / s t r i n g > < / k e y > < v a l u e > < i n t > 1 1 3 < / i n t > < / v a l u e > < / i t e m > < / C o l u m n W i d t h s > < C o l u m n D i s p l a y I n d e x > < i t e m > < k e y > < s t r i n g > !B02:0< / s t r i n g > < / k e y > < v a l u e > < i n t > 0 < / i n t > < / v a l u e > < / i t e m > < i t e m > < k e y > < s t r i n g > >=B>< / s t r i n g > < / k e y > < v a l u e > < i n t > 1 < / i n t > < / v a l u e > < / i t e m > < i t e m > < k e y > < s t r i n g > 5@8>4< / s t r i n g > < / k e y > < v a l u e > < i n t > 2 < / i n t > < / v a l u e > < / i t e m > < i t e m > < k e y > < s t r i n g > V r e d n o s t < / s t r i n g > < / k e y > < v a l u e > < i n t > 3 < / i n t > < / v a l u e > < / i t e m > < i t e m > < k e y > < s t r i n g >  538AB0@< / s t r i n g > < / k e y > < v a l u e > < i n t > 4 < / i n t > < / v a l u e > < / i t e m > < / C o l u m n D i s p l a y I n d e x > < C o l u m n F r o z e n   / > < C o l u m n C h e c k e d   / > < C o l u m n F i l t e r   / > < S e l e c t i o n F i l t e r   / > < F i l t e r P a r a m e t e r s   / > < I s S o r t D e s c e n d i n g > f a l s e < / I s S o r t D e s c e n d i n g > < / T a b l e W i d g e t G r i d S e r i a l i z a t i o n > ] ] > < / C u s t o m C o n t e n t > < / G e m i n i > 
</file>

<file path=customXml/item34.xml>��< ? x m l   v e r s i o n = " 1 . 0 "   e n c o d i n g = " U T F - 1 6 " ? > < G e m i n i   x m l n s = " h t t p : / / g e m i n i / p i v o t c u s t o m i z a t i o n / T a b l e X M L _ K a t e g o r i j a _ P r o e k t _ 2 5 5 d 2 b 9 4 - 7 e 8 f - 4 0 f f - b 4 7 6 - 7 e 5 a 8 e b b 5 e 9 b " > < C u s t o m C o n t e n t > < ! [ C D A T A [ < T a b l e W i d g e t G r i d S e r i a l i z a t i o n   x m l n s : x s i = " h t t p : / / w w w . w 3 . o r g / 2 0 0 1 / X M L S c h e m a - i n s t a n c e "   x m l n s : x s d = " h t t p : / / w w w . w 3 . o r g / 2 0 0 1 / X M L S c h e m a " > < C o l u m n S u g g e s t e d T y p e   / > < C o l u m n F o r m a t   / > < C o l u m n A c c u r a c y   / > < C o l u m n C u r r e n c y S y m b o l   / > < C o l u m n P o s i t i v e P a t t e r n   / > < C o l u m n N e g a t i v e P a t t e r n   / > < C o l u m n W i d t h s > < i t e m > < k e y > < s t r i n g > 0B53>@8X0  ?@>5:B  < / s t r i n g > < / k e y > < v a l u e > < i n t > 2 1 6 < / i n t > < / v a l u e > < / i t e m > < i t e m > < k e y > < s t r i n g > 0B53>@8X0  @>5:B< / s t r i n g > < / k e y > < v a l u e > < i n t > 1 9 0 < / i n t > < / v a l u e > < / i t e m > < / C o l u m n W i d t h s > < C o l u m n D i s p l a y I n d e x > < i t e m > < k e y > < s t r i n g > 0B53>@8X0  ?@>5:B  < / s t r i n g > < / k e y > < v a l u e > < i n t > 0 < / i n t > < / v a l u e > < / i t e m > < i t e m > < k e y > < s t r i n g > 0B53>@8X0  @>5:B< / s t r i n g > < / k e y > < v a l u e > < i n t > 1 < / i n t > < / v a l u e > < / i t e m > < / C o l u m n D i s p l a y I n d e x > < C o l u m n F r o z e n   / > < C o l u m n C h e c k e d   / > < C o l u m n F i l t e r   / > < S e l e c t i o n F i l t e r   / > < F i l t e r P a r a m e t e r s   / > < I s S o r t D e s c e n d i n g > f a l s e < / I s S o r t D e s c e n d i n g > < / T a b l e W i d g e t G r i d S e r i a l i z a t i o n > ] ] > < / C u s t o m C o n t e n t > < / G e m i n i > 
</file>

<file path=customXml/item35.xml>��< ? x m l   v e r s i o n = " 1 . 0 "   e n c o d i n g = " U T F - 1 6 " ? > < G e m i n i   x m l n s = " h t t p : / / g e m i n i / p i v o t c u s t o m i z a t i o n / T a b l e X M L _ A c t u a l A n d B u d g e t _ b c d d 1 0 3 d - c 6 0 4 - 4 9 b b - 8 7 f c - c 5 8 4 e c 0 1 5 2 b 8 " > < C u s t o m C o n t e n t > < ! [ C D A T A [ < T a b l e W i d g e t G r i d S e r i a l i z a t i o n   x m l n s : x s i = " h t t p : / / w w w . w 3 . o r g / 2 0 0 1 / X M L S c h e m a - i n s t a n c e "   x m l n s : x s d = " h t t p : / / w w w . w 3 . o r g / 2 0 0 1 / X M L S c h e m a " > < C o l u m n S u g g e s t e d T y p e   / > < C o l u m n F o r m a t   / > < C o l u m n A c c u r a c y   / > < C o l u m n C u r r e n c y S y m b o l   / > < C o l u m n P o s i t i v e P a t t e r n   / > < C o l u m n N e g a t i v e P a t t e r n   / > < C o l u m n W i d t h s > < i t e m > < k e y > < s t r i n g > >=B>< / s t r i n g > < / k e y > < v a l u e > < i n t > 9 0 < / i n t > < / v a l u e > < / i t e m > < i t e m > < k e y > < s t r i n g > 5@8>4< / s t r i n g > < / k e y > < v a l u e > < i n t > 1 0 4 < / i n t > < / v a l u e > < / i t e m > < i t e m > < k e y > < s t r i n g > V r e d n o s t < / s t r i n g > < / k e y > < v a l u e > < i n t > 1 1 4 < / i n t > < / v a l u e > < / i t e m > < i t e m > < k e y > < s t r i n g > 7=>A< / s t r i n g > < / k e y > < v a l u e > < i n t > 1 9 9 < / i n t > < / v a l u e > < / i t e m > < i t e m > < k e y > < s t r i n g > !B02:0< / s t r i n g > < / k e y > < v a l u e > < i n t > 9 6 < / i n t > < / v a l u e > < / i t e m > < / C o l u m n W i d t h s > < C o l u m n D i s p l a y I n d e x > < i t e m > < k e y > < s t r i n g > >=B>< / s t r i n g > < / k e y > < v a l u e > < i n t > 0 < / i n t > < / v a l u e > < / i t e m > < i t e m > < k e y > < s t r i n g > 5@8>4< / s t r i n g > < / k e y > < v a l u e > < i n t > 1 < / i n t > < / v a l u e > < / i t e m > < i t e m > < k e y > < s t r i n g > V r e d n o s t < / s t r i n g > < / k e y > < v a l u e > < i n t > 2 < / i n t > < / v a l u e > < / i t e m > < i t e m > < k e y > < s t r i n g > 7=>A< / s t r i n g > < / k e y > < v a l u e > < i n t > 4 < / i n t > < / v a l u e > < / i t e m > < i t e m > < k e y > < s t r i n g > !B02:0< / s t r i n g > < / k e y > < v a l u e > < i n t > 3 < / i n t > < / v a l u e > < / i t e m > < / C o l u m n D i s p l a y I n d e x > < C o l u m n F r o z e n   / > < C o l u m n C h e c k e d   / > < C o l u m n F i l t e r   / > < S e l e c t i o n F i l t e r   / > < F i l t e r P a r a m e t e r s   / > < I s S o r t D e s c e n d i n g > f a l s e < / I s S o r t D e s c e n d i n g > < / T a b l e W i d g e t G r i d S e r i a l i z a t i o n > ] ] > < / C u s t o m C o n t e n t > < / G e m i n i > 
</file>

<file path=customXml/item36.xml>��< ? x m l   v e r s i o n = " 1 . 0 "   e n c o d i n g = " U T F - 1 6 " ? > < G e m i n i   x m l n s = " h t t p : / / g e m i n i / p i v o t c u s t o m i z a t i o n / T a b l e X M L _ C a l e n d a r " > < C u s t o m C o n t e n t > < ! [ C D A T A [ < T a b l e W i d g e t G r i d S e r i a l i z a t i o n   x m l n s : x s d = " h t t p : / / w w w . w 3 . o r g / 2 0 0 1 / X M L S c h e m a "   x m l n s : x s i = " h t t p : / / w w w . w 3 . o r g / 2 0 0 1 / X M L S c h e m a - i n s t a n c e " > < C o l u m n S u g g e s t e d T y p e > < i t e m > < k e y > < s t r i n g > D a t e < / s t r i n g > < / k e y > < v a l u e > < s t r i n g > D a t e < / s t r i n g > < / v a l u e > < / i t e m > < / C o l u m n S u g g e s t e d T y p e > < C o l u m n F o r m a t   / > < C o l u m n A c c u r a c y   / > < C o l u m n C u r r e n c y S y m b o l   / > < C o l u m n P o s i t i v e P a t t e r n   / > < C o l u m n N e g a t i v e P a t t e r n   / > < C o l u m n W i d t h s > < i t e m > < k e y > < s t r i n g > D a t e < / s t r i n g > < / k e y > < v a l u e > < i n t > 1 7 1 < / i n t > < / v a l u e > < / i t e m > < i t e m > < k e y > < s t r i n g > 5A5F< / s t r i n g > < / k e y > < v a l u e > < i n t > 9 5 < / i n t > < / v a l u e > < / i t e m > < i t e m > < k e y > < s t r i n g > M o n t h   N u m b e r < / s t r i n g > < / k e y > < v a l u e > < i n t > 1 6 2 < / i n t > < / v a l u e > < / i t e m > < i t e m > < k e y > < s t r i n g > M M M - Y Y Y Y < / s t r i n g > < / k e y > < v a l u e > < i n t > 1 3 2 < / i n t > < / v a l u e > < / i t e m > < i t e m > < k e y > < s t r i n g > D a y   O f   W e e k   N u m b e r < / s t r i n g > < / k e y > < v a l u e > < i n t > 2 1 0 < / i n t > < / v a l u e > < / i t e m > < i t e m > < k e y > < s t r i n g > D a y   O f   W e e k < / s t r i n g > < / k e y > < v a l u e > < i n t > 1 4 3 < / i n t > < / v a l u e > < / i t e m > < i t e m > < k e y > < s t r i n g > >48=0< / s t r i n g > < / k e y > < v a l u e > < i n t > 7 6 < / i n t > < / v a l u e > < / i t e m > < i t e m > < k e y > < s t r i n g > 20@B0;< / s t r i n g > < / k e y > < v a l u e > < i n t > 1 0 7 < / i n t > < / v a l u e > < / i t e m > < / C o l u m n W i d t h s > < C o l u m n D i s p l a y I n d e x > < i t e m > < k e y > < s t r i n g > D a t e < / s t r i n g > < / k e y > < v a l u e > < i n t > 0 < / i n t > < / v a l u e > < / i t e m > < i t e m > < k e y > < s t r i n g > 5A5F< / s t r i n g > < / k e y > < v a l u e > < i n t > 3 < / i n t > < / v a l u e > < / i t e m > < i t e m > < k e y > < s t r i n g > M o n t h   N u m b e r < / s t r i n g > < / k e y > < v a l u e > < i n t > 2 < / i n t > < / v a l u e > < / i t e m > < i t e m > < k e y > < s t r i n g > M M M - Y Y Y Y < / s t r i n g > < / k e y > < v a l u e > < i n t > 4 < / i n t > < / v a l u e > < / i t e m > < i t e m > < k e y > < s t r i n g > D a y   O f   W e e k   N u m b e r < / s t r i n g > < / k e y > < v a l u e > < i n t > 5 < / i n t > < / v a l u e > < / i t e m > < i t e m > < k e y > < s t r i n g > D a y   O f   W e e k < / s t r i n g > < / k e y > < v a l u e > < i n t > 6 < / i n t > < / v a l u e > < / i t e m > < i t e m > < k e y > < s t r i n g > >48=0< / s t r i n g > < / k e y > < v a l u e > < i n t > 1 < / i n t > < / v a l u e > < / i t e m > < i t e m > < k e y > < s t r i n g > 20@B0;< / s t r i n g > < / k e y > < v a l u e > < i n t > 7 < / i n t > < / v a l u e > < / i t e m > < / C o l u m n D i s p l a y I n d e x > < C o l u m n F r o z e n   / > < C o l u m n C h e c k e d   / > < C o l u m n F i l t e r   / > < S e l e c t i o n F i l t e r   / > < F i l t e r P a r a m e t e r s   / > < S o r t B y C o l u m n > >48=0< / S o r t B y C o l u m n > < I s S o r t D e s c e n d i n g > f a l s e < / I s S o r t D e s c e n d i n g > < / T a b l e W i d g e t G r i d S e r i a l i z a t i o n > ] ] > < / C u s t o m C o n t e n t > < / G e m i n i > 
</file>

<file path=customXml/item37.xml>��< ? x m l   v e r s i o n = " 1 . 0 "   e n c o d i n g = " U T F - 1 6 " ? > < G e m i n i   x m l n s = " h t t p : / / g e m i n i / p i v o t c u s t o m i z a t i o n / T a b l e X M L _ f A r t i k l i C e n i _ c 1 d 3 0 a 3 1 - 5 f b 4 - 4 3 1 c - a 2 1 a - 0 0 d 8 0 b 4 8 c c 2 a " > < C u s t o m C o n t e n t > < ! [ C D A T A [ < T a b l e W i d g e t G r i d S e r i a l i z a t i o n   x m l n s : x s d = " h t t p : / / w w w . w 3 . o r g / 2 0 0 1 / X M L S c h e m a "   x m l n s : x s i = " h t t p : / / w w w . w 3 . o r g / 2 0 0 1 / X M L S c h e m a - i n s t a n c e " > < C o l u m n S u g g e s t e d T y p e   / > < C o l u m n F o r m a t   / > < C o l u m n A c c u r a c y   / > < C o l u m n C u r r e n c y S y m b o l   / > < C o l u m n P o s i t i v e P a t t e r n   / > < C o l u m n N e g a t i v e P a t t e r n   / > < C o l u m n W i d t h s > < i t e m > < k e y > < s t r i n g > 0B53>@8X0  @B8:;< / s t r i n g > < / k e y > < v a l u e > < i n t > 1 5 4 < / i n t > < / v a l u e > < / i t e m > < i t e m > < k e y > < s t r i n g > "8?  =0  0@B8:;< / s t r i n g > < / k e y > < v a l u e > < i n t > 1 2 3 < / i n t > < / v a l u e > < / i t e m > < i t e m > < k e y > < s t r i n g > 48=5G=0  <5@:0< / s t r i n g > < / k e y > < v a l u e > < i n t > 1 4 0 < / i n t > < / v a l u e > < / i t e m > < i t e m > < k e y > < s t r i n g > >;8G8=0< / s t r i n g > < / k e y > < v a l u e > < i n t > 9 8 < / i n t > < / v a l u e > < / i t e m > < i t e m > < k e y > < s t r i n g > 48=5G=0  F5=0< / s t r i n g > < / k e y > < v a l u e > < i n t > 1 3 1 < / i n t > < / v a l u e > < / i t e m > < i t e m > < k e y > < s t r i n g > :C?=>  B@>H>:< / s t r i n g > < / k e y > < v a l u e > < i n t > 1 3 3 < / i n t > < / v a l u e > < / i t e m > < i t e m > < k e y > < s t r i n g > < / s t r i n g > < / k e y > < v a l u e > < i n t > 6 4 < / i n t > < / v a l u e > < / i t e m > < i t e m > < k e y > < s t r i n g > 7=>A< / s t r i n g > < / k e y > < v a l u e > < i n t > 7 4 < / i n t > < / v a l u e > < / i t e m > < i t e m > < k e y > < s t r i n g > >=B>< / s t r i n g > < / k e y > < v a l u e > < i n t > 7 4 < / i n t > < / v a l u e > < / i t e m > < i t e m > < k e y > < s t r i n g > R e p o r t T y p e < / s t r i n g > < / k e y > < v a l u e > < i n t > 1 0 7 < / i n t > < / v a l u e > < / i t e m > < i t e m > < k e y > < s t r i n g > 5@8>4< / s t r i n g > < / k e y > < v a l u e > < i n t > 8 5 < / i n t > < / v a l u e > < / i t e m > < i t e m > < k e y > < s t r i n g > S t a v k a I m e M K < / s t r i n g > < / k e y > < v a l u e > < i n t > 1 2 0 < / i n t > < / v a l u e > < / i t e m > < i t e m > < k e y > < s t r i n g > S t a v k a A O P < / s t r i n g > < / k e y > < v a l u e > < i n t > 1 0 3 < / i n t > < / v a l u e > < / i t e m > < i t e m > < k e y > < s t r i n g > S t a v k a G r u p a < / s t r i n g > < / k e y > < v a l u e > < i n t > 1 1 3 < / i n t > < / v a l u e > < / i t e m > < i t e m > < k e y > < s t r i n g > S t a v k a K a t e g o r i j a < / s t r i n g > < / k e y > < v a l u e > < i n t > 1 3 9 < / i n t > < / v a l u e > < / i t e m > < i t e m > < k e y > < s t r i n g > O b r a z e c I m e < / s t r i n g > < / k e y > < v a l u e > < i n t > 1 1 0 < / i n t > < / v a l u e > < / i t e m > < i t e m > < k e y > < s t r i n g > !B02:0< / s t r i n g > < / k e y > < v a l u e > < i n t > 7 8 < / i n t > < / v a l u e > < / i t e m > < / C o l u m n W i d t h s > < C o l u m n D i s p l a y I n d e x > < i t e m > < k e y > < s t r i n g > 0B53>@8X0  @B8:;< / s t r i n g > < / k e y > < v a l u e > < i n t > 0 < / i n t > < / v a l u e > < / i t e m > < i t e m > < k e y > < s t r i n g > "8?  =0  0@B8:;< / s t r i n g > < / k e y > < v a l u e > < i n t > 1 < / i n t > < / v a l u e > < / i t e m > < i t e m > < k e y > < s t r i n g > 48=5G=0  <5@:0< / s t r i n g > < / k e y > < v a l u e > < i n t > 2 < / i n t > < / v a l u e > < / i t e m > < i t e m > < k e y > < s t r i n g > >;8G8=0< / s t r i n g > < / k e y > < v a l u e > < i n t > 3 < / i n t > < / v a l u e > < / i t e m > < i t e m > < k e y > < s t r i n g > 48=5G=0  F5=0< / s t r i n g > < / k e y > < v a l u e > < i n t > 4 < / i n t > < / v a l u e > < / i t e m > < i t e m > < k e y > < s t r i n g > :C?=>  B@>H>:< / s t r i n g > < / k e y > < v a l u e > < i n t > 5 < / i n t > < / v a l u e > < / i t e m > < i t e m > < k e y > < s t r i n g > < / s t r i n g > < / k e y > < v a l u e > < i n t > 6 < / i n t > < / v a l u e > < / i t e m > < i t e m > < k e y > < s t r i n g > 7=>A< / s t r i n g > < / k e y > < v a l u e > < i n t > 1 6 < / i n t > < / v a l u e > < / i t e m > < i t e m > < k e y > < s t r i n g > >=B>< / s t r i n g > < / k e y > < v a l u e > < i n t > 7 < / i n t > < / v a l u e > < / i t e m > < i t e m > < k e y > < s t r i n g > R e p o r t T y p e < / s t r i n g > < / k e y > < v a l u e > < i n t > 8 < / i n t > < / v a l u e > < / i t e m > < i t e m > < k e y > < s t r i n g > 5@8>4< / s t r i n g > < / k e y > < v a l u e > < i n t > 9 < / i n t > < / v a l u e > < / i t e m > < i t e m > < k e y > < s t r i n g > S t a v k a I m e M K < / s t r i n g > < / k e y > < v a l u e > < i n t > 1 0 < / i n t > < / v a l u e > < / i t e m > < i t e m > < k e y > < s t r i n g > S t a v k a A O P < / s t r i n g > < / k e y > < v a l u e > < i n t > 1 1 < / i n t > < / v a l u e > < / i t e m > < i t e m > < k e y > < s t r i n g > S t a v k a G r u p a < / s t r i n g > < / k e y > < v a l u e > < i n t > 1 2 < / i n t > < / v a l u e > < / i t e m > < i t e m > < k e y > < s t r i n g > S t a v k a K a t e g o r i j a < / s t r i n g > < / k e y > < v a l u e > < i n t > 1 3 < / i n t > < / v a l u e > < / i t e m > < i t e m > < k e y > < s t r i n g > O b r a z e c I m e < / s t r i n g > < / k e y > < v a l u e > < i n t > 1 4 < / i n t > < / v a l u e > < / i t e m > < i t e m > < k e y > < s t r i n g > !B02:0< / s t r i n g > < / k e y > < v a l u e > < i n t > 1 5 < / i n t > < / v a l u e > < / i t e m > < / C o l u m n D i s p l a y I n d e x > < C o l u m n F r o z e n   / > < C o l u m n C h e c k e d   / > < C o l u m n F i l t e r > < i t e m > < k e y > < s t r i n g > 0B53>@8X0  @B8:;< / s t r i n g > < / k e y > < v a l u e > < F i l t e r E x p r e s s i o n   x s i : n i l = " t r u e "   / > < / v a l u e > < / i t e m > < / C o l u m n F i l t e r > < S e l e c t i o n F i l t e r > < i t e m > < k e y > < s t r i n g > 0B53>@8X0  @B8:;< / s t r i n g > < / k e y > < v a l u e > < S e l e c t i o n F i l t e r   x s i : n i l = " t r u e "   / > < / v a l u e > < / i t e m > < / S e l e c t i o n F i l t e r > < F i l t e r P a r a m e t e r s > < i t e m > < k e y > < s t r i n g > 0B53>@8X0  @B8:;< / s t r i n g > < / k e y > < v a l u e > < C o m m a n d P a r a m e t e r s   / > < / v a l u e > < / i t e m > < / F i l t e r P a r a m e t e r s > < I s S o r t D e s c e n d i n g > f a l s e < / I s S o r t D e s c e n d i n g > < / T a b l e W i d g e t G r i d S e r i a l i z a t i o n > ] ] > < / C u s t o m C o n t e n t > < / G e m i n i > 
</file>

<file path=customXml/item38.xml>��< ? x m l   v e r s i o n = " 1 . 0 "   e n c o d i n g = " U T F - 1 6 " ? > < G e m i n i   x m l n s = " h t t p : / / g e m i n i / p i v o t c u s t o m i z a t i o n / T a b l e X M L _ f A c t u a l A n d B u d g e t _ c b 0 4 4 c 2 e - 8 3 e e - 4 6 3 4 - a 0 f 0 - a 2 d 5 4 d d 9 3 7 b f " > < C u s t o m C o n t e n t > < ! [ C D A T A [ < T a b l e W i d g e t G r i d S e r i a l i z a t i o n   x m l n s : x s i = " h t t p : / / w w w . w 3 . o r g / 2 0 0 1 / X M L S c h e m a - i n s t a n c e "   x m l n s : x s d = " h t t p : / / w w w . w 3 . o r g / 2 0 0 1 / X M L S c h e m a " > < C o l u m n S u g g e s t e d T y p e   / > < C o l u m n F o r m a t   / > < C o l u m n A c c u r a c y   / > < C o l u m n C u r r e n c y S y m b o l   / > < C o l u m n P o s i t i v e P a t t e r n   / > < C o l u m n N e g a t i v e P a t t e r n   / > < C o l u m n W i d t h s > < i t e m > < k e y > < s t r i n g > >=B>< / s t r i n g > < / k e y > < v a l u e > < i n t > 9 0 < / i n t > < / v a l u e > < / i t e m > < i t e m > < k e y > < s t r i n g > !B02:0< / s t r i n g > < / k e y > < v a l u e > < i n t > 3 0 5 < / i n t > < / v a l u e > < / i t e m > < i t e m > < k e y > < s t r i n g > 5@8>4< / s t r i n g > < / k e y > < v a l u e > < i n t > 1 0 4 < / i n t > < / v a l u e > < / i t e m > < i t e m > < k e y > < s t r i n g > 7=>A1 < / s t r i n g > < / k e y > < v a l u e > < i n t > 1 0 1 < / i n t > < / v a l u e > < / i t e m > < i t e m > < k e y > < s t r i n g > -   D8=0=A8A:8  ?;0=< / s t r i n g > < / k e y > < v a l u e > < i n t > 2 1 6 < / i n t > < / v a l u e > < / i t e m > < i t e m > < k e y > < s t r i n g > - D8=0=A8A:8  8725HB0X< / s t r i n g > < / k e y > < v a l u e > < i n t > 2 4 4 < / i n t > < / v a l u e > < / i t e m > < i t e m > < k e y > < s t r i n g > - $  =>2< / s t r i n g > < / k e y > < v a l u e > < i n t > 1 3 1 < / i n t > < / v a l u e > < / i t e m > < i t e m > < k e y > < s t r i n g > - >48H=8  A<5B:8< / s t r i n g > < / k e y > < v a l u e > < i n t > 2 0 3 < / i n t > < / v a l u e > < / i t e m > < i t e m > < k e y > < s t r i n g > - < / s t r i n g > < / k e y > < v a l u e > < i n t > 9 4 < / i n t > < / v a l u e > < / i t e m > < i t e m > < k e y > < s t r i n g > 7=>A< / s t r i n g > < / k e y > < v a l u e > < i n t > 1 0 3 < / i n t > < / v a l u e > < / i t e m > < i t e m > < k e y > < s t r i n g > R e p o r t T y p e < / s t r i n g > < / k e y > < v a l u e > < i n t > 1 3 1 < / i n t > < / v a l u e > < / i t e m > < i t e m > < k e y > < s t r i n g > 0B53>@8X0  @B8:;< / s t r i n g > < / k e y > < v a l u e > < i n t > 1 9 0 < / i n t > < / v a l u e > < / i t e m > < i t e m > < k e y > < s t r i n g > "8?  =0  0@B8:;< / s t r i n g > < / k e y > < v a l u e > < i n t > 1 5 3 < / i n t > < / v a l u e > < / i t e m > < i t e m > < k e y > < s t r i n g > "8?  =0  =0102:0< / s t r i n g > < / k e y > < v a l u e > < i n t > 1 6 3 < / i n t > < / v a l u e > < / i t e m > < i t e m > < k e y > < s t r i n g > 0B53>@8X0  @>5:B< / s t r i n g > < / k e y > < v a l u e > < i n t > 1 9 0 < / i n t > < / v a l u e > < / i t e m > < i t e m > < k e y > < s t r i n g > @>5:B< / s t r i n g > < / k e y > < v a l u e > < i n t > 1 0 0 < / i n t > < / v a l u e > < / i t e m > < i t e m > < k e y > < s t r i n g > ;0=8@0=  ?@8;82/ ( >4;82) < / s t r i n g > < / k e y > < v a l u e > < i n t > 2 5 4 < / i n t > < / v a l u e > < / i t e m > < i t e m > < k e y > < s t r i n g > 1571545=  A>  4>=0F8X0< / s t r i n g > < / k e y > < v a l u e > < i n t > 2 3 2 < / i n t > < / v a l u e > < / i t e m > < i t e m > < k e y > < s t r i n g > >=0B>@< / s t r i n g > < / k e y > < v a l u e > < i n t > 1 1 1 < / i n t > < / v a l u e > < / i t e m > < i t e m > < k e y > < s t r i n g > >=0F8X0  87=>A< / s t r i n g > < / k e y > < v a l u e > < i n t > 1 6 8 < / i n t > < / v a l u e > < / i t e m > < i t e m > < k e y > < s t r i n g > C o l u m n 1 7 < / s t r i n g > < / k e y > < v a l u e > < i n t > 1 2 2 < / i n t > < / v a l u e > < / i t e m > < i t e m > < k e y > < s t r i n g > C o l u m n 1 8 < / s t r i n g > < / k e y > < v a l u e > < i n t > 1 2 2 < / i n t > < / v a l u e > < / i t e m > < i t e m > < k e y > < s t r i n g > C o l u m n 1 9 < / s t r i n g > < / k e y > < v a l u e > < i n t > 1 2 2 < / i n t > < / v a l u e > < / i t e m > < i t e m > < k e y > < s t r i n g > - $  2 0 1 9 < / s t r i n g > < / k e y > < v a l u e > < i n t > 1 4 2 < / i n t > < / v a l u e > < / i t e m > < i t e m > < k e y > < s t r i n g > 5@8>4  ( M o n t h   I n d e x ) < / s t r i n g > < / k e y > < v a l u e > < i n t > 2 1 9 < / i n t > < / v a l u e > < / i t e m > < i t e m > < k e y > < s t r i n g > 5@8>4  ( M o n t h ) < / s t r i n g > < / k e y > < v a l u e > < i n t > 1 7 2 < / i n t > < / v a l u e > < / i t e m > < / C o l u m n W i d t h s > < C o l u m n D i s p l a y I n d e x > < i t e m > < k e y > < s t r i n g > >=B>< / s t r i n g > < / k e y > < v a l u e > < i n t > 0 < / i n t > < / v a l u e > < / i t e m > < i t e m > < k e y > < s t r i n g > !B02:0< / s t r i n g > < / k e y > < v a l u e > < i n t > 1 < / i n t > < / v a l u e > < / i t e m > < i t e m > < k e y > < s t r i n g > 5@8>4< / s t r i n g > < / k e y > < v a l u e > < i n t > 2 < / i n t > < / v a l u e > < / i t e m > < i t e m > < k e y > < s t r i n g > 7=>A1 < / s t r i n g > < / k e y > < v a l u e > < i n t > 3 < / i n t > < / v a l u e > < / i t e m > < i t e m > < k e y > < s t r i n g > -   D8=0=A8A:8  ?;0=< / s t r i n g > < / k e y > < v a l u e > < i n t > 4 < / i n t > < / v a l u e > < / i t e m > < i t e m > < k e y > < s t r i n g > - D8=0=A8A:8  8725HB0X< / s t r i n g > < / k e y > < v a l u e > < i n t > 5 < / i n t > < / v a l u e > < / i t e m > < i t e m > < k e y > < s t r i n g > - $  =>2< / s t r i n g > < / k e y > < v a l u e > < i n t > 6 < / i n t > < / v a l u e > < / i t e m > < i t e m > < k e y > < s t r i n g > - >48H=8  A<5B:8< / s t r i n g > < / k e y > < v a l u e > < i n t > 7 < / i n t > < / v a l u e > < / i t e m > < i t e m > < k e y > < s t r i n g > - < / s t r i n g > < / k e y > < v a l u e > < i n t > 8 < / i n t > < / v a l u e > < / i t e m > < i t e m > < k e y > < s t r i n g > 7=>A< / s t r i n g > < / k e y > < v a l u e > < i n t > 9 < / i n t > < / v a l u e > < / i t e m > < i t e m > < k e y > < s t r i n g > R e p o r t T y p e < / s t r i n g > < / k e y > < v a l u e > < i n t > 1 0 < / i n t > < / v a l u e > < / i t e m > < i t e m > < k e y > < s t r i n g > 0B53>@8X0  @B8:;< / s t r i n g > < / k e y > < v a l u e > < i n t > 1 1 < / i n t > < / v a l u e > < / i t e m > < i t e m > < k e y > < s t r i n g > "8?  =0  0@B8:;< / s t r i n g > < / k e y > < v a l u e > < i n t > 1 2 < / i n t > < / v a l u e > < / i t e m > < i t e m > < k e y > < s t r i n g > "8?  =0  =0102:0< / s t r i n g > < / k e y > < v a l u e > < i n t > 1 3 < / i n t > < / v a l u e > < / i t e m > < i t e m > < k e y > < s t r i n g > 0B53>@8X0  @>5:B< / s t r i n g > < / k e y > < v a l u e > < i n t > 1 4 < / i n t > < / v a l u e > < / i t e m > < i t e m > < k e y > < s t r i n g > @>5:B< / s t r i n g > < / k e y > < v a l u e > < i n t > 1 5 < / i n t > < / v a l u e > < / i t e m > < i t e m > < k e y > < s t r i n g > ;0=8@0=  ?@8;82/ ( >4;82) < / s t r i n g > < / k e y > < v a l u e > < i n t > 1 6 < / i n t > < / v a l u e > < / i t e m > < i t e m > < k e y > < s t r i n g > 1571545=  A>  4>=0F8X0< / s t r i n g > < / k e y > < v a l u e > < i n t > 1 7 < / i n t > < / v a l u e > < / i t e m > < i t e m > < k e y > < s t r i n g > >=0B>@< / s t r i n g > < / k e y > < v a l u e > < i n t > 1 8 < / i n t > < / v a l u e > < / i t e m > < i t e m > < k e y > < s t r i n g > >=0F8X0  87=>A< / s t r i n g > < / k e y > < v a l u e > < i n t > 1 9 < / i n t > < / v a l u e > < / i t e m > < i t e m > < k e y > < s t r i n g > C o l u m n 1 7 < / s t r i n g > < / k e y > < v a l u e > < i n t > 2 0 < / i n t > < / v a l u e > < / i t e m > < i t e m > < k e y > < s t r i n g > C o l u m n 1 8 < / s t r i n g > < / k e y > < v a l u e > < i n t > 2 1 < / i n t > < / v a l u e > < / i t e m > < i t e m > < k e y > < s t r i n g > C o l u m n 1 9 < / s t r i n g > < / k e y > < v a l u e > < i n t > 2 2 < / i n t > < / v a l u e > < / i t e m > < i t e m > < k e y > < s t r i n g > - $  2 0 1 9 < / s t r i n g > < / k e y > < v a l u e > < i n t > 2 3 < / i n t > < / v a l u e > < / i t e m > < i t e m > < k e y > < s t r i n g > 5@8>4  ( M o n t h   I n d e x ) < / s t r i n g > < / k e y > < v a l u e > < i n t > 2 4 < / i n t > < / v a l u e > < / i t e m > < i t e m > < k e y > < s t r i n g > 5@8>4  ( M o n t h ) < / s t r i n g > < / k e y > < v a l u e > < i n t > 2 5 < / i n t > < / v a l u e > < / i t e m > < / C o l u m n D i s p l a y I n d e x > < C o l u m n F r o z e n   / > < C o l u m n C h e c k e d   / > < C o l u m n F i l t e r > < i t e m > < k e y > < s t r i n g > 5@8>4< / s t r i n g > < / k e y > < v a l u e > < F i l t e r E x p r e s s i o n   x s i : n i l = " t r u e "   / > < / v a l u e > < / i t e m > < i t e m > < k e y > < s t r i n g > -   D8=0=A8A:8  ?;0=< / s t r i n g > < / k e y > < v a l u e > < F i l t e r E x p r e s s i o n   x s i : n i l = " t r u e "   / > < / v a l u e > < / i t e m > < i t e m > < k e y > < s t r i n g > R e p o r t T y p e < / s t r i n g > < / k e y > < v a l u e > < F i l t e r E x p r e s s i o n   x s i : n i l = " t r u e "   / > < / v a l u e > < / i t e m > < i t e m > < k e y > < s t r i n g > >=B>< / s t r i n g > < / k e y > < v a l u e > < F i l t e r E x p r e s s i o n   x s i : n i l = " t r u e "   / > < / v a l u e > < / i t e m > < i t e m > < k e y > < s t r i n g > - $  2 0 1 9 < / s t r i n g > < / k e y > < v a l u e > < F i l t e r E x p r e s s i o n   x s i : n i l = " t r u e "   / > < / v a l u e > < / i t e m > < / C o l u m n F i l t e r > < S e l e c t i o n F i l t e r > < i t e m > < k e y > < s t r i n g > 5@8>4< / s t r i n g > < / k e y > < v a l u e > < S e l e c t i o n F i l t e r   x s i : n i l = " t r u e "   / > < / v a l u e > < / i t e m > < i t e m > < k e y > < s t r i n g > -   D8=0=A8A:8  ?;0=< / s t r i n g > < / k e y > < v a l u e > < S e l e c t i o n F i l t e r   x s i : n i l = " t r u e "   / > < / v a l u e > < / i t e m > < i t e m > < k e y > < s t r i n g > R e p o r t T y p e < / s t r i n g > < / k e y > < v a l u e > < S e l e c t i o n F i l t e r > < S e l e c t i o n T y p e > S e l e c t < / S e l e c t i o n T y p e > < I t e m s > < a n y T y p e   x s i : t y p e = " x s d : s t r i n g " > ;0=< / a n y T y p e > < / I t e m s > < / S e l e c t i o n F i l t e r > < / v a l u e > < / i t e m > < i t e m > < k e y > < s t r i n g > >=B>< / s t r i n g > < / k e y > < v a l u e > < S e l e c t i o n F i l t e r   x s i : n i l = " t r u e "   / > < / v a l u e > < / i t e m > < i t e m > < k e y > < s t r i n g > - $  2 0 1 9 < / s t r i n g > < / k e y > < v a l u e > < S e l e c t i o n F i l t e r   x s i : n i l = " t r u e "   / > < / v a l u e > < / i t e m > < / S e l e c t i o n F i l t e r > < F i l t e r P a r a m e t e r s > < i t e m > < k e y > < s t r i n g > 5@8>4< / s t r i n g > < / k e y > < v a l u e > < C o m m a n d P a r a m e t e r s   / > < / v a l u e > < / i t e m > < i t e m > < k e y > < s t r i n g > -   D8=0=A8A:8  ?;0=< / s t r i n g > < / k e y > < v a l u e > < C o m m a n d P a r a m e t e r s   / > < / v a l u e > < / i t e m > < i t e m > < k e y > < s t r i n g > R e p o r t T y p e < / s t r i n g > < / k e y > < v a l u e > < C o m m a n d P a r a m e t e r s   / > < / v a l u e > < / i t e m > < i t e m > < k e y > < s t r i n g > >=B>< / s t r i n g > < / k e y > < v a l u e > < C o m m a n d P a r a m e t e r s   / > < / v a l u e > < / i t e m > < i t e m > < k e y > < s t r i n g > - $  2 0 1 9 < / s t r i n g > < / k e y > < v a l u e > < C o m m a n d P a r a m e t e r s   / > < / v a l u e > < / i t e m > < / F i l t e r P a r a m e t e r s > < I s S o r t D e s c e n d i n g > f a l s e < / I s S o r t D e s c e n d i n g > < / T a b l e W i d g e t G r i d S e r i a l i z a t i o n > ] ] > < / C u s t o m C o n t e n t > < / G e m i n i > 
</file>

<file path=customXml/item39.xml>��< ? x m l   v e r s i o n = " 1 . 0 "   e n c o d i n g = " U T F - 1 6 " ? > < G e m i n i   x m l n s = " h t t p : / / g e m i n i / p i v o t c u s t o m i z a t i o n / T a b l e X M L _ r O b r a z e c F i n a n s i s k i P l a n _ c 1 a 7 5 0 2 3 - b 8 8 4 - 4 5 1 a - b a 1 c - 9 0 b 7 f 1 6 6 e a 0 c " > < C u s t o m C o n t e n t > < ! [ C D A T A [ < T a b l e W i d g e t G r i d S e r i a l i z a t i o n   x m l n s : x s i = " h t t p : / / w w w . w 3 . o r g / 2 0 0 1 / X M L S c h e m a - i n s t a n c e "   x m l n s : x s d = " h t t p : / / w w w . w 3 . o r g / 2 0 0 1 / X M L S c h e m a " > < C o l u m n S u g g e s t e d T y p e   / > < C o l u m n F o r m a t   / > < C o l u m n A c c u r a c y   / > < C o l u m n C u r r e n c y S y m b o l   / > < C o l u m n P o s i t i v e P a t t e r n   / > < C o l u m n N e g a t i v e P a t t e r n   / > < C o l u m n W i d t h s > < i t e m > < k e y > < s t r i n g > -   D8=0=A8A:8  ?;0=< / s t r i n g > < / k e y > < v a l u e > < i n t > 2 1 6 < / i n t > < / v a l u e > < / i t e m > < i t e m > < k e y > < s t r i n g > $- AB02:0< / s t r i n g > < / k e y > < v a l u e > < i n t > 1 2 5 < / i n t > < / v a l u e > < / i t e m > < i t e m > < k e y > < s t r i n g > $- @C?0< / s t r i n g > < / k e y > < v a l u e > < i n t > 1 1 9 < / i n t > < / v a l u e > < / i t e m > < i t e m > < k e y > < s t r i n g > $- 0B53>@8X0< / s t r i n g > < / k e y > < v a l u e > < i n t > 1 6 0 < / i n t > < / v a l u e > < / i t e m > < i t e m > < k e y > < s t r i n g > T o t a l i n g < / s t r i n g > < / k e y > < v a l u e > < i n t > 1 0 2 < / i n t > < / v a l u e > < / i t e m > < / C o l u m n W i d t h s > < C o l u m n D i s p l a y I n d e x > < i t e m > < k e y > < s t r i n g > -   D8=0=A8A:8  ?;0=< / s t r i n g > < / k e y > < v a l u e > < i n t > 0 < / i n t > < / v a l u e > < / i t e m > < i t e m > < k e y > < s t r i n g > $- AB02:0< / s t r i n g > < / k e y > < v a l u e > < i n t > 1 < / i n t > < / v a l u e > < / i t e m > < i t e m > < k e y > < s t r i n g > $- @C?0< / s t r i n g > < / k e y > < v a l u e > < i n t > 2 < / i n t > < / v a l u e > < / i t e m > < i t e m > < k e y > < s t r i n g > $- 0B53>@8X0< / s t r i n g > < / k e y > < v a l u e > < i n t > 3 < / i n t > < / v a l u e > < / i t e m > < i t e m > < k e y > < s t r i n g > T o t a l i n g < / s t r i n g > < / k e y > < v a l u e > < i n t > 4 < / i n t > < / v a l u e > < / i t e m > < / C o l u m n D i s p l a y I n d e x > < C o l u m n F r o z e n   / > < C o l u m n C h e c k e d   / > < C o l u m n F i l t e r   / > < S e l e c t i o n F i l t e r   / > < F i l t e r P a r a m e t e r s   / > < I s S o r t D e s c e n d i n g > f a l s e < / I s S o r t D e s c e n d i n g > < / T a b l e W i d g e t G r i d S e r i a l i z a t i o n > ] ] > < / C u s t o m C o n t e n t > < / G e m i n i > 
</file>

<file path=customXml/item4.xml>��< ? x m l   v e r s i o n = " 1 . 0 "   e n c o d i n g = " U T F - 1 6 " ? > < G e m i n i   x m l n s = " h t t p : / / g e m i n i / p i v o t c u s t o m i z a t i o n / T a b l e X M L _ f A c c o u n t i n g D a t a _ 2 4 6 b d 1 f c - 1 d 2 a - 4 a 6 9 - 9 9 0 3 - 5 2 1 b c 0 1 c 1 a 5 1 " > < C u s t o m C o n t e n t > < ! [ C D A T A [ < T a b l e W i d g e t G r i d S e r i a l i z a t i o n   x m l n s : x s i = " h t t p : / / w w w . w 3 . o r g / 2 0 0 1 / X M L S c h e m a - i n s t a n c e "   x m l n s : x s d = " h t t p : / / w w w . w 3 . o r g / 2 0 0 1 / X M L S c h e m a " > < C o l u m n S u g g e s t e d T y p e   / > < C o l u m n F o r m a t   / > < C o l u m n A c c u r a c y   / > < C o l u m n C u r r e n c y S y m b o l   / > < C o l u m n P o s i t i v e P a t t e r n   / > < C o l u m n N e g a t i v e P a t t e r n   / > < C o l u m n W i d t h s > < i t e m > < k e y > < s t r i n g > 7=>A< / s t r i n g > < / k e y > < v a l u e > < i n t > 9 1 < / i n t > < / v a l u e > < / i t e m > < i t e m > < k e y > < s t r i n g > 5@8>4< / s t r i n g > < / k e y > < v a l u e > < i n t > 1 0 4 < / i n t > < / v a l u e > < / i t e m > < i t e m > < k e y > < s t r i n g > >=B>< / s t r i n g > < / k e y > < v a l u e > < i n t > 9 0 < / i n t > < / v a l u e > < / i t e m > < / C o l u m n W i d t h s > < C o l u m n D i s p l a y I n d e x > < i t e m > < k e y > < s t r i n g > 7=>A< / s t r i n g > < / k e y > < v a l u e > < i n t > 2 < / i n t > < / v a l u e > < / i t e m > < i t e m > < k e y > < s t r i n g > 5@8>4< / s t r i n g > < / k e y > < v a l u e > < i n t > 1 < / i n t > < / v a l u e > < / i t e m > < i t e m > < k e y > < s t r i n g > >=B>< / s t r i n g > < / k e y > < v a l u e > < i n t > 0 < / i n t > < / v a l u e > < / i t e m > < / C o l u m n D i s p l a y I n d e x > < C o l u m n F r o z e n   / > < C o l u m n C h e c k e d   / > < C o l u m n F i l t e r   / > < S e l e c t i o n F i l t e r   / > < F i l t e r P a r a m e t e r s   / > < I s S o r t D e s c e n d i n g > f a l s e < / I s S o r t D e s c e n d i n g > < / T a b l e W i d g e t G r i d S e r i a l i z a t i o n > ] ] > < / C u s t o m C o n t e n t > < / G e m i n i > 
</file>

<file path=customXml/item40.xml>��< ? x m l   v e r s i o n = " 1 . 0 "   e n c o d i n g = " U T F - 1 6 " ? > < G e m i n i   x m l n s = " h t t p : / / g e m i n i / p i v o t c u s t o m i z a t i o n / C l i e n t W i n d o w X M L " > < C u s t o m C o n t e n t > < ! [ C D A T A [ f A r t i k l i C e n i _ c 1 d 3 0 a 3 1 - 5 f b 4 - 4 3 1 c - a 2 1 a - 0 0 d 8 0 b 4 8 c c 2 a ] ] > < / C u s t o m C o n t e n t > < / G e m i n i > 
</file>

<file path=customXml/item41.xml>��< ? x m l   v e r s i o n = " 1 . 0 "   e n c o d i n g = " U T F - 1 6 " ? > < G e m i n i   x m l n s = " h t t p : / / g e m i n i / p i v o t c u s t o m i z a t i o n / T a b l e X M L _ f C o v e c k i R e s u r s i     2 _ 7 7 6 c 3 a 1 5 - 8 b 3 b - 4 5 7 f - 8 3 1 4 - a 3 b 6 4 d 1 e d e 4 f " > < C u s t o m C o n t e n t   x m l n s = " h t t p : / / g e m i n i / p i v o t c u s t o m i z a t i o n / T a b l e X M L _ f C o v e c k i R e s u r s i   2 _ 7 7 6 c 3 a 1 5 - 8 b 3 b - 4 5 7 f - 8 3 1 4 - a 3 b 6 4 d 1 e d e 4 f " > < ! [ C D A T A [ < T a b l e W i d g e t G r i d S e r i a l i z a t i o n   x m l n s : x s i = " h t t p : / / w w w . w 3 . o r g / 2 0 0 1 / X M L S c h e m a - i n s t a n c e "   x m l n s : x s d = " h t t p : / / w w w . w 3 . o r g / 2 0 0 1 / X M L S c h e m a " > < C o l u m n S u g g e s t e d T y p e   / > < C o l u m n F o r m a t   / > < C o l u m n A c c u r a c y   / > < C o l u m n C u r r e n c y S y m b o l   / > < C o l u m n P o s i t i v e P a t t e r n   / > < C o l u m n N e g a t i v e P a t t e r n   / > < C o l u m n W i d t h s > < i t e m > < k e y > < s t r i n g > !B02:0< / s t r i n g > < / k e y > < v a l u e > < i n t > 9 6 < / i n t > < / v a l u e > < / i t e m > < i t e m > < k e y > < s t r i n g > 7=>A< / s t r i n g > < / k e y > < v a l u e > < i n t > 9 1 < / i n t > < / v a l u e > < / i t e m > < i t e m > < k e y > < s t r i n g > >=B>< / s t r i n g > < / k e y > < v a l u e > < i n t > 9 0 < / i n t > < / v a l u e > < / i t e m > < i t e m > < k e y > < s t r i n g > S t a v k a I m e M K < / s t r i n g > < / k e y > < v a l u e > < i n t > 1 5 0 < / i n t > < / v a l u e > < / i t e m > < i t e m > < k e y > < s t r i n g > S t a v k a A O P < / s t r i n g > < / k e y > < v a l u e > < i n t > 1 2 8 < / i n t > < / v a l u e > < / i t e m > < i t e m > < k e y > < s t r i n g > S t a v k a G r u p a < / s t r i n g > < / k e y > < v a l u e > < i n t > 1 4 2 < / i n t > < / v a l u e > < / i t e m > < i t e m > < k e y > < s t r i n g > S t a v k a K a t e g o r i j a < / s t r i n g > < / k e y > < v a l u e > < i n t > 1 7 2 < / i n t > < / v a l u e > < / i t e m > < i t e m > < k e y > < s t r i n g > O b r a z e c I m e < / s t r i n g > < / k e y > < v a l u e > < i n t > 1 3 7 < / i n t > < / v a l u e > < / i t e m > < / C o l u m n W i d t h s > < C o l u m n D i s p l a y I n d e x > < i t e m > < k e y > < s t r i n g > !B02:0< / s t r i n g > < / k e y > < v a l u e > < i n t > 0 < / i n t > < / v a l u e > < / i t e m > < i t e m > < k e y > < s t r i n g > 7=>A< / s t r i n g > < / k e y > < v a l u e > < i n t > 1 < / i n t > < / v a l u e > < / i t e m > < i t e m > < k e y > < s t r i n g > >=B>< / s t r i n g > < / k e y > < v a l u e > < i n t > 2 < / i n t > < / v a l u e > < / i t e m > < i t e m > < k e y > < s t r i n g > S t a v k a I m e M K < / s t r i n g > < / k e y > < v a l u e > < i n t > 3 < / i n t > < / v a l u e > < / i t e m > < i t e m > < k e y > < s t r i n g > S t a v k a A O P < / s t r i n g > < / k e y > < v a l u e > < i n t > 4 < / i n t > < / v a l u e > < / i t e m > < i t e m > < k e y > < s t r i n g > S t a v k a G r u p a < / s t r i n g > < / k e y > < v a l u e > < i n t > 5 < / i n t > < / v a l u e > < / i t e m > < i t e m > < k e y > < s t r i n g > S t a v k a K a t e g o r i j a < / s t r i n g > < / k e y > < v a l u e > < i n t > 6 < / i n t > < / v a l u e > < / i t e m > < i t e m > < k e y > < s t r i n g > O b r a z e c I m e < / s t r i n g > < / k e y > < v a l u e > < i n t > 7 < / i n t > < / v a l u e > < / i t e m > < / C o l u m n D i s p l a y I n d e x > < C o l u m n F r o z e n   / > < C o l u m n C h e c k e d   / > < C o l u m n F i l t e r   / > < S e l e c t i o n F i l t e r   / > < F i l t e r P a r a m e t e r s   / > < I s S o r t D e s c e n d i n g > f a l s e < / I s S o r t D e s c e n d i n g > < / T a b l e W i d g e t G r i d S e r i a l i z a t i o n > ] ] > < / C u s t o m C o n t e n t > < / G e m i n i > 
</file>

<file path=customXml/item42.xml>��< ? x m l   v e r s i o n = " 1 . 0 "   e n c o d i n g = " U T F - 1 6 " ? > < G e m i n i   x m l n s = " h t t p : / / g e m i n i / p i v o t c u s t o m i z a t i o n / T a b l e X M L _ r O b r a z e c F i n a n s i s k i P l a n 2 0 1 9 _ 2 e 1 c f 2 1 4 - 6 1 0 8 - 4 f 7 0 - a 5 a 3 - 2 2 9 c 6 2 4 d c b d 1 " > < C u s t o m C o n t e n t > < ! [ C D A T A [ < T a b l e W i d g e t G r i d S e r i a l i z a t i o n   x m l n s : x s i = " h t t p : / / w w w . w 3 . o r g / 2 0 0 1 / X M L S c h e m a - i n s t a n c e "   x m l n s : x s d = " h t t p : / / w w w . w 3 . o r g / 2 0 0 1 / X M L S c h e m a " > < C o l u m n S u g g e s t e d T y p e   / > < C o l u m n F o r m a t   / > < C o l u m n A c c u r a c y   / > < C o l u m n C u r r e n c y S y m b o l   / > < C o l u m n P o s i t i v e P a t t e r n   / > < C o l u m n N e g a t i v e P a t t e r n   / > < C o l u m n W i d t h s > < i t e m > < k e y > < s t r i n g > -   D8=0=A8A:8  ?;0=< / s t r i n g > < / k e y > < v a l u e > < i n t > 2 1 6 < / i n t > < / v a l u e > < / i t e m > < i t e m > < k e y > < s t r i n g > $- AB02:0< / s t r i n g > < / k e y > < v a l u e > < i n t > 1 2 5 < / i n t > < / v a l u e > < / i t e m > < i t e m > < k e y > < s t r i n g > $- @C?0< / s t r i n g > < / k e y > < v a l u e > < i n t > 1 1 9 < / i n t > < / v a l u e > < / i t e m > < i t e m > < k e y > < s t r i n g > $- 0B53>@8X0< / s t r i n g > < / k e y > < v a l u e > < i n t > 1 6 0 < / i n t > < / v a l u e > < / i t e m > < i t e m > < k e y > < s t r i n g > T o t a l i n g < / s t r i n g > < / k e y > < v a l u e > < i n t > 1 0 2 < / i n t > < / v a l u e > < / i t e m > < / C o l u m n W i d t h s > < C o l u m n D i s p l a y I n d e x > < i t e m > < k e y > < s t r i n g > -   D8=0=A8A:8  ?;0=< / s t r i n g > < / k e y > < v a l u e > < i n t > 0 < / i n t > < / v a l u e > < / i t e m > < i t e m > < k e y > < s t r i n g > $- AB02:0< / s t r i n g > < / k e y > < v a l u e > < i n t > 1 < / i n t > < / v a l u e > < / i t e m > < i t e m > < k e y > < s t r i n g > $- @C?0< / s t r i n g > < / k e y > < v a l u e > < i n t > 2 < / i n t > < / v a l u e > < / i t e m > < i t e m > < k e y > < s t r i n g > $- 0B53>@8X0< / s t r i n g > < / k e y > < v a l u e > < i n t > 3 < / i n t > < / v a l u e > < / i t e m > < i t e m > < k e y > < s t r i n g > T o t a l i n g < / s t r i n g > < / k e y > < v a l u e > < i n t > 4 < / i n t > < / v a l u e > < / i t e m > < / C o l u m n D i s p l a y I n d e x > < C o l u m n F r o z e n   / > < C o l u m n C h e c k e d   / > < C o l u m n F i l t e r   / > < S e l e c t i o n F i l t e r   / > < F i l t e r P a r a m e t e r s   / > < I s S o r t D e s c e n d i n g > f a l s e < / I s S o r t D e s c e n d i n g > < / T a b l e W i d g e t G r i d S e r i a l i z a t i o n > ] ] > < / C u s t o m C o n t e n t > < / G e m i n i > 
</file>

<file path=customXml/item43.xml>��< ? x m l   v e r s i o n = " 1 . 0 "   e n c o d i n g = " U T F - 1 6 " ? > < G e m i n i   x m l n s = " h t t p : / / g e m i n i / p i v o t c u s t o m i z a t i o n / T a b l e X M L _ C A P E X _ L i s t _ a 1 9 1 4 1 8 a - e a 5 7 - 4 8 f 4 - 8 e 5 5 - 1 0 2 3 9 f 7 c 0 e 0 d " > < C u s t o m C o n t e n t > < ! [ C D A T A [ < T a b l e W i d g e t G r i d S e r i a l i z a t i o n   x m l n s : x s i = " h t t p : / / w w w . w 3 . o r g / 2 0 0 1 / X M L S c h e m a - i n s t a n c e "   x m l n s : x s d = " h t t p : / / w w w . w 3 . o r g / 2 0 0 1 / X M L S c h e m a " > < C o l u m n S u g g e s t e d T y p e   / > < C o l u m n F o r m a t   / > < C o l u m n A c c u r a c y   / > < C o l u m n C u r r e n c y S y m b o l   / > < C o l u m n P o s i t i v e P a t t e r n   / > < C o l u m n N e g a t i v e P a t t e r n   / > < C o l u m n W i d t h s > < i t e m > < k e y > < s t r i n g > @>5:B  < / s t r i n g > < / k e y > < v a l u e > < i n t > 1 2 8 < / i n t > < / v a l u e > < / i t e m > < i t e m > < k e y > < s t r i n g > @>5:B< / s t r i n g > < / k e y > < v a l u e > < i n t > 1 0 0 < / i n t > < / v a l u e > < / i t e m > < i t e m > < k e y > < s t r i n g > 0B53>@8X0  ?@>5:B  < / s t r i n g > < / k e y > < v a l u e > < i n t > 2 1 6 < / i n t > < / v a l u e > < / i t e m > < i t e m > < k e y > < s t r i n g > 0B53>@8X0  @>5:B< / s t r i n g > < / k e y > < v a l u e > < i n t > 1 9 0 < / i n t > < / v a l u e > < / i t e m > < i t e m > < k e y > < s t r i n g > ><5=B0;=0  A>AB>X10  ( 2:;CGC20X\8  ?@>1;5<8) < / s t r i n g > < / k e y > < v a l u e > < i n t > 4 1 6 < / i n t > < / v a l u e > < / i t e m > < i t e m > < k e y > < s t r i n g > ;8X0=8X0  8  >G5:C20=8  @57C;B0B8< / s t r i n g > < / k e y > < v a l u e > < i n t > 3 0 5 < / i n t > < / v a l u e > < / i t e m > < i t e m > < k e y > < s t r i n g > @54;030G  =0  8=25AB8F8X0< / s t r i n g > < / k e y > < v a l u e > < i n t > 2 5 3 < / i n t > < / v a l u e > < / i t e m > < i t e m > < k e y > < s t r i n g >  >:  =0  70?>G=C20Z5< / s t r i n g > < / k e y > < v a l u e > < i n t > 2 0 6 < / i n t > < / v a l u e > < / i t e m > < i t e m > < k e y > < s t r i n g >  >:  70  702@HC20Z5< / s t r i n g > < / k e y > < v a l u e > < i n t > 1 9 8 < / i n t > < / v a l u e > < / i t e m > < i t e m > < k e y > < s t r i n g >  >:  =0  AB020Z5  =0  C?>B@510< / s t r i n g > < / k e y > < v a l u e > < i n t > 2 6 6 < / i n t > < / v a l u e > < / i t e m > < i t e m > < k e y > < s t r i n g > :C?5=  87=>A< / s t r i n g > < / k e y > < v a l u e > < i n t > 1 5 0 < / i n t > < / v a l u e > < / i t e m > < i t e m > < k e y > < s t r i n g > !B0?:0  =0  0<>@B870F8X0< / s t r i n g > < / k e y > < v a l u e > < i n t > 2 3 4 < / i n t > < / v a l u e > < / i t e m > < i t e m > < k e y > < s t r i n g > 5A5G5=  87=>A  =0  0<>@B870F8X0< / s t r i n g > < / k e y > < v a l u e > < i n t > 3 0 0 < / i n t > < / v a l u e > < / i t e m > < i t e m > < k e y > < s t r i n g > @>X  =0  <5A5F8  70  0<>@B870F8X0< / s t r i n g > < / k e y > < v a l u e > < i n t > 2 9 9 < / i n t > < / v a l u e > < / i t e m > < i t e m > < k e y > < s t r i n g > >=B>< / s t r i n g > < / k e y > < v a l u e > < i n t > 9 0 < / i n t > < / v a l u e > < / i t e m > < i t e m > < k e y > < s t r i n g > ;0=8@0=  2>< / s t r i n g > < / k e y > < v a l u e > < i n t > 1 4 6 < / i n t > < / v a l u e > < / i t e m > < i t e m > < k e y > < s t r i n g > ;0=8@0=  87=>A< / s t r i n g > < / k e y > < v a l u e > < i n t > 1 7 3 < / i n t > < / v a l u e > < / i t e m > < i t e m > < k e y > < s t r i n g > !B0BCA< / s t r i n g > < / k e y > < v a l u e > < i n t > 9 3 < / i n t > < / v a l u e > < / i t e m > < i t e m > < k e y > < s t r i n g > >B@>H5=  87=>A  70:;CG=>  4>  1 1 . 2 0 1 8 < / s t r i n g > < / k e y > < v a l u e > < i n t > 3 4 7 < / i n t > < / v a l u e > < / i t e m > < i t e m > < k e y > < s t r i n g > ;0=8@0=  87=>A  70  1 2 . 2 0 1 8 < / s t r i n g > < / k e y > < v a l u e > < i n t > 2 6 3 < / i n t > < / v a l u e > < / i t e m > < i t e m > < k e y > < s t r i n g > :C?=>  ?>B@>H5=>  2 0 1 8 < / s t r i n g > < / k e y > < v a l u e > < i n t > 2 3 9 < / i n t > < / v a l u e > < / i t e m > < i t e m > < k e y > < s t r i n g > 5?>B@>H5=  87=>A  2 0 1 8 < / s t r i n g > < / k e y > < v a l u e > < i n t > 2 3 8 < / i n t > < / v a l u e > < / i t e m > < i t e m > < k e y > < s t r i n g > 1571545=  A>  4>=0F8X0< / s t r i n g > < / k e y > < v a l u e > < i n t > 2 3 2 < / i n t > < / v a l u e > < / i t e m > < / C o l u m n W i d t h s > < C o l u m n D i s p l a y I n d e x > < i t e m > < k e y > < s t r i n g > @>5:B  < / s t r i n g > < / k e y > < v a l u e > < i n t > 0 < / i n t > < / v a l u e > < / i t e m > < i t e m > < k e y > < s t r i n g > @>5:B< / s t r i n g > < / k e y > < v a l u e > < i n t > 1 < / i n t > < / v a l u e > < / i t e m > < i t e m > < k e y > < s t r i n g > 0B53>@8X0  ?@>5:B  < / s t r i n g > < / k e y > < v a l u e > < i n t > 2 < / i n t > < / v a l u e > < / i t e m > < i t e m > < k e y > < s t r i n g > 0B53>@8X0  @>5:B< / s t r i n g > < / k e y > < v a l u e > < i n t > 3 < / i n t > < / v a l u e > < / i t e m > < i t e m > < k e y > < s t r i n g > ><5=B0;=0  A>AB>X10  ( 2:;CGC20X\8  ?@>1;5<8) < / s t r i n g > < / k e y > < v a l u e > < i n t > 4 < / i n t > < / v a l u e > < / i t e m > < i t e m > < k e y > < s t r i n g > ;8X0=8X0  8  >G5:C20=8  @57C;B0B8< / s t r i n g > < / k e y > < v a l u e > < i n t > 5 < / i n t > < / v a l u e > < / i t e m > < i t e m > < k e y > < s t r i n g > @54;030G  =0  8=25AB8F8X0< / s t r i n g > < / k e y > < v a l u e > < i n t > 6 < / i n t > < / v a l u e > < / i t e m > < i t e m > < k e y > < s t r i n g >  >:  =0  70?>G=C20Z5< / s t r i n g > < / k e y > < v a l u e > < i n t > 7 < / i n t > < / v a l u e > < / i t e m > < i t e m > < k e y > < s t r i n g >  >:  70  702@HC20Z5< / s t r i n g > < / k e y > < v a l u e > < i n t > 8 < / i n t > < / v a l u e > < / i t e m > < i t e m > < k e y > < s t r i n g >  >:  =0  AB020Z5  =0  C?>B@510< / s t r i n g > < / k e y > < v a l u e > < i n t > 9 < / i n t > < / v a l u e > < / i t e m > < i t e m > < k e y > < s t r i n g > :C?5=  87=>A< / s t r i n g > < / k e y > < v a l u e > < i n t > 1 0 < / i n t > < / v a l u e > < / i t e m > < i t e m > < k e y > < s t r i n g > !B0?:0  =0  0<>@B870F8X0< / s t r i n g > < / k e y > < v a l u e > < i n t > 1 1 < / i n t > < / v a l u e > < / i t e m > < i t e m > < k e y > < s t r i n g > 5A5G5=  87=>A  =0  0<>@B870F8X0< / s t r i n g > < / k e y > < v a l u e > < i n t > 1 2 < / i n t > < / v a l u e > < / i t e m > < i t e m > < k e y > < s t r i n g > @>X  =0  <5A5F8  70  0<>@B870F8X0< / s t r i n g > < / k e y > < v a l u e > < i n t > 1 3 < / i n t > < / v a l u e > < / i t e m > < i t e m > < k e y > < s t r i n g > >=B>< / s t r i n g > < / k e y > < v a l u e > < i n t > 1 4 < / i n t > < / v a l u e > < / i t e m > < i t e m > < k e y > < s t r i n g > ;0=8@0=  2>< / s t r i n g > < / k e y > < v a l u e > < i n t > 1 5 < / i n t > < / v a l u e > < / i t e m > < i t e m > < k e y > < s t r i n g > ;0=8@0=  87=>A< / s t r i n g > < / k e y > < v a l u e > < i n t > 1 6 < / i n t > < / v a l u e > < / i t e m > < i t e m > < k e y > < s t r i n g > !B0BCA< / s t r i n g > < / k e y > < v a l u e > < i n t > 1 7 < / i n t > < / v a l u e > < / i t e m > < i t e m > < k e y > < s t r i n g > >B@>H5=  87=>A  70:;CG=>  4>  1 1 . 2 0 1 8 < / s t r i n g > < / k e y > < v a l u e > < i n t > 1 8 < / i n t > < / v a l u e > < / i t e m > < i t e m > < k e y > < s t r i n g > ;0=8@0=  87=>A  70  1 2 . 2 0 1 8 < / s t r i n g > < / k e y > < v a l u e > < i n t > 1 9 < / i n t > < / v a l u e > < / i t e m > < i t e m > < k e y > < s t r i n g > :C?=>  ?>B@>H5=>  2 0 1 8 < / s t r i n g > < / k e y > < v a l u e > < i n t > 2 0 < / i n t > < / v a l u e > < / i t e m > < i t e m > < k e y > < s t r i n g > 5?>B@>H5=  87=>A  2 0 1 8 < / s t r i n g > < / k e y > < v a l u e > < i n t > 2 1 < / i n t > < / v a l u e > < / i t e m > < i t e m > < k e y > < s t r i n g > 1571545=  A>  4>=0F8X0< / s t r i n g > < / k e y > < v a l u e > < i n t > 2 2 < / i n t > < / v a l u e > < / i t e m > < / C o l u m n D i s p l a y I n d e x > < C o l u m n F r o z e n   / > < C o l u m n C h e c k e d   / > < C o l u m n F i l t e r   / > < S e l e c t i o n F i l t e r   / > < F i l t e r P a r a m e t e r s   / > < I s S o r t D e s c e n d i n g > f a l s e < / I s S o r t D e s c e n d i n g > < / T a b l e W i d g e t G r i d S e r i a l i z a t i o n > ] ] > < / C u s t o m C o n t e n t > < / G e m i n i > 
</file>

<file path=customXml/item44.xml><?xml version="1.0" encoding="utf-8"?>
<?mso-contentType ?>
<FormTemplates xmlns="http://schemas.microsoft.com/sharepoint/v3/contenttype/forms">
  <Display>DocumentLibraryForm</Display>
  <Edit>DocumentLibraryForm</Edit>
  <New>DocumentLibraryForm</New>
</FormTemplates>
</file>

<file path=customXml/item45.xml>��< ? x m l   v e r s i o n = " 1 . 0 "   e n c o d i n g = " U T F - 1 6 " ? > < G e m i n i   x m l n s = " h t t p : / / g e m i n i / p i v o t c u s t o m i z a t i o n / I s S a n d b o x E m b e d d e d " > < C u s t o m C o n t e n t > < ! [ C D A T A [ y e s ] ] > < / C u s t o m C o n t e n t > < / G e m i n i > 
</file>

<file path=customXml/item46.xml>��< ? x m l   v e r s i o n = " 1 . 0 "   e n c o d i n g = " U T F - 1 6 " ? > < G e m i n i   x m l n s = " h t t p : / / g e m i n i / p i v o t c u s t o m i z a t i o n / T a b l e X M L _ K a t e g o r i j a _ P r o e k t     2 _ 6 6 a 4 8 b 7 d - 3 d 3 8 - 4 f 3 0 - 8 9 f 7 - b 9 e 6 a f 1 6 2 5 c b " > < C u s t o m C o n t e n t   x m l n s = " h t t p : / / g e m i n i / p i v o t c u s t o m i z a t i o n / T a b l e X M L _ K a t e g o r i j a _ P r o e k t   2 _ 6 6 a 4 8 b 7 d - 3 d 3 8 - 4 f 3 0 - 8 9 f 7 - b 9 e 6 a f 1 6 2 5 c b " > < ! [ C D A T A [ < T a b l e W i d g e t G r i d S e r i a l i z a t i o n   x m l n s : x s i = " h t t p : / / w w w . w 3 . o r g / 2 0 0 1 / X M L S c h e m a - i n s t a n c e "   x m l n s : x s d = " h t t p : / / w w w . w 3 . o r g / 2 0 0 1 / X M L S c h e m a " > < C o l u m n S u g g e s t e d T y p e   / > < C o l u m n F o r m a t   / > < C o l u m n A c c u r a c y   / > < C o l u m n C u r r e n c y S y m b o l   / > < C o l u m n P o s i t i v e P a t t e r n   / > < C o l u m n N e g a t i v e P a t t e r n   / > < C o l u m n W i d t h s > < i t e m > < k e y > < s t r i n g > 0B53>@8X0  ?@>5:B  < / s t r i n g > < / k e y > < v a l u e > < i n t > 2 1 6 < / i n t > < / v a l u e > < / i t e m > < i t e m > < k e y > < s t r i n g > 0B53>@8X0  @>5:B< / s t r i n g > < / k e y > < v a l u e > < i n t > 1 9 0 < / i n t > < / v a l u e > < / i t e m > < / C o l u m n W i d t h s > < C o l u m n D i s p l a y I n d e x > < i t e m > < k e y > < s t r i n g > 0B53>@8X0  ?@>5:B  < / s t r i n g > < / k e y > < v a l u e > < i n t > 0 < / i n t > < / v a l u e > < / i t e m > < i t e m > < k e y > < s t r i n g > 0B53>@8X0  @>5:B< / s t r i n g > < / k e y > < v a l u e > < i n t > 1 < / i n t > < / v a l u e > < / i t e m > < / C o l u m n D i s p l a y I n d e x > < C o l u m n F r o z e n   / > < C o l u m n C h e c k e d   / > < C o l u m n F i l t e r   / > < S e l e c t i o n F i l t e r   / > < F i l t e r P a r a m e t e r s   / > < I s S o r t D e s c e n d i n g > f a l s e < / I s S o r t D e s c e n d i n g > < / T a b l e W i d g e t G r i d S e r i a l i z a t i o n > ] ] > < / C u s t o m C o n t e n t > < / G e m i n i > 
</file>

<file path=customXml/item47.xml>��< ? x m l   v e r s i o n = " 1 . 0 "   e n c o d i n g = " U T F - 1 6 " ? > < G e m i n i   x m l n s = " h t t p : / / g e m i n i / p i v o t c u s t o m i z a t i o n / T a b l e X M L _ f O P E X _ 5 e 1 2 6 d a 7 - 5 8 e 0 - 4 a e a - 8 8 0 5 - 7 d 5 6 0 2 c 6 c c a b " > < C u s t o m C o n t e n t > < ! [ C D A T A [ < T a b l e W i d g e t G r i d S e r i a l i z a t i o n   x m l n s : x s d = " h t t p : / / w w w . w 3 . o r g / 2 0 0 1 / X M L S c h e m a "   x m l n s : x s i = " h t t p : / / w w w . w 3 . o r g / 2 0 0 1 / X M L S c h e m a - i n s t a n c e " > < C o l u m n S u g g e s t e d T y p e   / > < C o l u m n F o r m a t   / > < C o l u m n A c c u r a c y   / > < C o l u m n C u r r e n c y S y m b o l   / > < C o l u m n P o s i t i v e P a t t e r n   / > < C o l u m n N e g a t i v e P a t t e r n   / > < C o l u m n W i d t h s > < i t e m > < k e y > < s t r i n g > >=B>< / s t r i n g > < / k e y > < v a l u e > < i n t > 9 0 < / i n t > < / v a l u e > < / i t e m > < i t e m > < k e y > < s t r i n g > 5@8>4< / s t r i n g > < / k e y > < v a l u e > < i n t > 1 0 4 < / i n t > < / v a l u e > < / i t e m > < i t e m > < k e y > < s t r i n g > 7=>A< / s t r i n g > < / k e y > < v a l u e > < i n t > 9 1 < / i n t > < / v a l u e > < / i t e m > < i t e m > < k e y > < s t r i n g > R e p o r t T y p e < / s t r i n g > < / k e y > < v a l u e > < i n t > 1 3 1 < / i n t > < / v a l u e > < / i t e m > < i t e m > < k e y > < s t r i n g > !B02:0< / s t r i n g > < / k e y > < v a l u e > < i n t > 9 6 < / i n t > < / v a l u e > < / i t e m > < / C o l u m n W i d t h s > < C o l u m n D i s p l a y I n d e x > < i t e m > < k e y > < s t r i n g > >=B>< / s t r i n g > < / k e y > < v a l u e > < i n t > 0 < / i n t > < / v a l u e > < / i t e m > < i t e m > < k e y > < s t r i n g > 5@8>4< / s t r i n g > < / k e y > < v a l u e > < i n t > 1 < / i n t > < / v a l u e > < / i t e m > < i t e m > < k e y > < s t r i n g > 7=>A< / s t r i n g > < / k e y > < v a l u e > < i n t > 2 < / i n t > < / v a l u e > < / i t e m > < i t e m > < k e y > < s t r i n g > R e p o r t T y p e < / s t r i n g > < / k e y > < v a l u e > < i n t > 3 < / i n t > < / v a l u e > < / i t e m > < i t e m > < k e y > < s t r i n g > !B02:0< / s t r i n g > < / k e y > < v a l u e > < i n t > 4 < / i n t > < / v a l u e > < / i t e m > < / C o l u m n D i s p l a y I n d e x > < C o l u m n F r o z e n   / > < C o l u m n C h e c k e d   / > < C o l u m n F i l t e r > < i t e m > < k e y > < s t r i n g > 7=>A< / s t r i n g > < / k e y > < v a l u e > < F i l t e r E x p r e s s i o n   x s i : n i l = " t r u e "   / > < / v a l u e > < / i t e m > < i t e m > < k e y > < s t r i n g > >=B>< / s t r i n g > < / k e y > < v a l u e > < F i l t e r E x p r e s s i o n   x s i : t y p e = " C o n d i t i o n a l E x p r e s s i o n " > < O p e r a t o r > E q u a l T o < / O p e r a t o r > < V a l u e   x s i : t y p e = " x s d : s t r i n g " > 4 4 5 0 1 < / V a l u e > < / F i l t e r E x p r e s s i o n > < / v a l u e > < / i t e m > < / C o l u m n F i l t e r > < S e l e c t i o n F i l t e r > < i t e m > < k e y > < s t r i n g > 7=>A< / s t r i n g > < / k e y > < v a l u e > < S e l e c t i o n F i l t e r   x s i : n i l = " t r u e "   / > < / v a l u e > < / i t e m > < i t e m > < k e y > < s t r i n g > >=B>< / s t r i n g > < / k e y > < v a l u e > < S e l e c t i o n F i l t e r   x s i : n i l = " t r u e "   / > < / v a l u e > < / i t e m > < / S e l e c t i o n F i l t e r > < F i l t e r P a r a m e t e r s > < i t e m > < k e y > < s t r i n g > 7=>A< / s t r i n g > < / k e y > < v a l u e > < C o m m a n d P a r a m e t e r s   / > < / v a l u e > < / i t e m > < i t e m > < k e y > < s t r i n g > >=B>< / s t r i n g > < / k e y > < v a l u e > < C o m m a n d P a r a m e t e r s   / > < / v a l u e > < / i t e m > < / F i l t e r P a r a m e t e r s > < I s S o r t D e s c e n d i n g > f a l s e < / I s S o r t D e s c e n d i n g > < / T a b l e W i d g e t G r i d S e r i a l i z a t i o n > ] ] > < / C u s t o m C o n t e n t > < / G e m i n i > 
</file>

<file path=customXml/item48.xml>��< ? x m l   v e r s i o n = " 1 . 0 "   e n c o d i n g = " U T F - 1 6 " ? > < G e m i n i   x m l n s = " h t t p : / / g e m i n i / p i v o t c u s t o m i z a t i o n / T a b l e X M L _ A c t u a l A n d B u d g e t _ 8 a 5 b e 1 1 6 - 9 7 3 c - 4 8 8 4 - a 6 c 1 - 6 3 3 4 0 1 2 d e 9 2 1 " > < C u s t o m C o n t e n t > < ! [ C D A T A [ < T a b l e W i d g e t G r i d S e r i a l i z a t i o n   x m l n s : x s i = " h t t p : / / w w w . w 3 . o r g / 2 0 0 1 / X M L S c h e m a - i n s t a n c e "   x m l n s : x s d = " h t t p : / / w w w . w 3 . o r g / 2 0 0 1 / X M L S c h e m a " > < C o l u m n S u g g e s t e d T y p e   / > < C o l u m n F o r m a t   / > < C o l u m n A c c u r a c y   / > < C o l u m n C u r r e n c y S y m b o l   / > < C o l u m n P o s i t i v e P a t t e r n   / > < C o l u m n N e g a t i v e P a t t e r n   / > < C o l u m n W i d t h s > < i t e m > < k e y > < s t r i n g > >=B>< / s t r i n g > < / k e y > < v a l u e > < i n t > 9 0 < / i n t > < / v a l u e > < / i t e m > < i t e m > < k e y > < s t r i n g > 5@8>4< / s t r i n g > < / k e y > < v a l u e > < i n t > 1 0 4 < / i n t > < / v a l u e > < / i t e m > < i t e m > < k e y > < s t r i n g > V r e d n o s t < / s t r i n g > < / k e y > < v a l u e > < i n t > 1 1 4 < / i n t > < / v a l u e > < / i t e m > < i t e m > < k e y > < s t r i n g > 7=>A< / s t r i n g > < / k e y > < v a l u e > < i n t > 1 9 9 < / i n t > < / v a l u e > < / i t e m > < / C o l u m n W i d t h s > < C o l u m n D i s p l a y I n d e x > < i t e m > < k e y > < s t r i n g > >=B>< / s t r i n g > < / k e y > < v a l u e > < i n t > 0 < / i n t > < / v a l u e > < / i t e m > < i t e m > < k e y > < s t r i n g > 5@8>4< / s t r i n g > < / k e y > < v a l u e > < i n t > 1 < / i n t > < / v a l u e > < / i t e m > < i t e m > < k e y > < s t r i n g > V r e d n o s t < / s t r i n g > < / k e y > < v a l u e > < i n t > 2 < / i n t > < / v a l u e > < / i t e m > < i t e m > < k e y > < s t r i n g > 7=>A< / s t r i n g > < / k e y > < v a l u e > < i n t > 3 < / i n t > < / v a l u e > < / i t e m > < / C o l u m n D i s p l a y I n d e x > < C o l u m n F r o z e n   / > < C o l u m n C h e c k e d   / > < C o l u m n F i l t e r   / > < S e l e c t i o n F i l t e r   / > < F i l t e r P a r a m e t e r s   / > < I s S o r t D e s c e n d i n g > f a l s e < / I s S o r t D e s c e n d i n g > < / T a b l e W i d g e t G r i d S e r i a l i z a t i o n > ] ] > < / C u s t o m C o n t e n t > < / G e m i n i > 
</file>

<file path=customXml/item49.xml>��< ? x m l   v e r s i o n = " 1 . 0 "   e n c o d i n g = " U T F - 1 6 " ? > < G e m i n i   x m l n s = " h t t p : / / g e m i n i / p i v o t c u s t o m i z a t i o n / T a b l e X M L _ d M a p p i n g _ 1 7 7 7 c 2 5 b - f b 9 1 - 4 a f 0 - a 5 a 6 - f e a 1 c b 5 1 9 b d 0 " > < C u s t o m C o n t e n t > < ! [ C D A T A [ < T a b l e W i d g e t G r i d S e r i a l i z a t i o n   x m l n s : x s i = " h t t p : / / w w w . w 3 . o r g / 2 0 0 1 / X M L S c h e m a - i n s t a n c e "   x m l n s : x s d = " h t t p : / / w w w . w 3 . o r g / 2 0 0 1 / X M L S c h e m a " > < C o l u m n S u g g e s t e d T y p e   / > < C o l u m n F o r m a t   / > < C o l u m n A c c u r a c y   / > < C o l u m n C u r r e n c y S y m b o l   / > < C o l u m n P o s i t i v e P a t t e r n   / > < C o l u m n N e g a t i v e P a t t e r n   / > < C o l u m n W i d t h s > < i t e m > < k e y > < s t r i n g > >=B>< / s t r i n g > < / k e y > < v a l u e > < i n t > 9 0 < / i n t > < / v a l u e > < / i t e m > < i t e m > < k e y > < s t r i n g > ?8A< / s t r i n g > < / k e y > < v a l u e > < i n t > 8 4 < / i n t > < / v a l u e > < / i t e m > < i t e m > < k e y > < s t r i n g > -   D8=0=A8A:8  ?;0=< / s t r i n g > < / k e y > < v a l u e > < i n t > 2 1 6 < / i n t > < / v a l u e > < / i t e m > < i t e m > < k e y > < s t r i n g > - D8=0=A8A:8  8725HB0X< / s t r i n g > < / k e y > < v a l u e > < i n t > 2 4 4 < / i n t > < / v a l u e > < / i t e m > < i t e m > < k e y > < s t r i n g > - $  =>2< / s t r i n g > < / k e y > < v a l u e > < i n t > 1 3 1 < / i n t > < / v a l u e > < / i t e m > < i t e m > < k e y > < s t r i n g > - >48H=8  A<5B:8< / s t r i n g > < / k e y > < v a l u e > < i n t > 2 0 3 < / i n t > < / v a l u e > < / i t e m > < i t e m > < k e y > < s t r i n g > - < / s t r i n g > < / k e y > < v a l u e > < i n t > 9 4 < / i n t > < / v a l u e > < / i t e m > < / C o l u m n W i d t h s > < C o l u m n D i s p l a y I n d e x > < i t e m > < k e y > < s t r i n g > >=B>< / s t r i n g > < / k e y > < v a l u e > < i n t > 0 < / i n t > < / v a l u e > < / i t e m > < i t e m > < k e y > < s t r i n g > ?8A< / s t r i n g > < / k e y > < v a l u e > < i n t > 1 < / i n t > < / v a l u e > < / i t e m > < i t e m > < k e y > < s t r i n g > -   D8=0=A8A:8  ?;0=< / s t r i n g > < / k e y > < v a l u e > < i n t > 2 < / i n t > < / v a l u e > < / i t e m > < i t e m > < k e y > < s t r i n g > - D8=0=A8A:8  8725HB0X< / s t r i n g > < / k e y > < v a l u e > < i n t > 3 < / i n t > < / v a l u e > < / i t e m > < i t e m > < k e y > < s t r i n g > - $  =>2< / s t r i n g > < / k e y > < v a l u e > < i n t > 4 < / i n t > < / v a l u e > < / i t e m > < i t e m > < k e y > < s t r i n g > - >48H=8  A<5B:8< / s t r i n g > < / k e y > < v a l u e > < i n t > 5 < / i n t > < / v a l u e > < / i t e m > < i t e m > < k e y > < s t r i n g > - < / s t r i n g > < / k e y > < v a l u e > < i n t > 6 < / i n t > < / v a l u e > < / i t e m > < / C o l u m n D i s p l a y I n d e x > < C o l u m n F r o z e n   / > < C o l u m n C h e c k e d   / > < C o l u m n F i l t e r   / > < S e l e c t i o n F i l t e r   / > < F i l t e r P a r a m e t e r s   / > < I s S o r t D e s c e n d i n g > f a l s e < / I s S o r t D e s c e n d i n g > < / T a b l e W i d g e t G r i d S e r i a l i z a t i o n > ] ] > < / C u s t o m C o n t e n t > < / G e m i n i > 
</file>

<file path=customXml/item5.xml>��< ? x m l   v e r s i o n = " 1 . 0 "   e n c o d i n g = " U T F - 1 6 " ? > < G e m i n i   x m l n s = " h t t p : / / g e m i n i / p i v o t c u s t o m i z a t i o n / T a b l e X M L _ f P r i h o d i O s t a n a t i _ 3 d 8 0 2 1 f e - 5 6 a 3 - 4 6 9 c - a 0 d 4 - 2 3 9 b 1 9 3 b c a b 5 " > < C u s t o m C o n t e n t > < ! [ C D A T A [ < T a b l e W i d g e t G r i d S e r i a l i z a t i o n   x m l n s : x s i = " h t t p : / / w w w . w 3 . o r g / 2 0 0 1 / X M L S c h e m a - i n s t a n c e "   x m l n s : x s d = " h t t p : / / w w w . w 3 . o r g / 2 0 0 1 / X M L S c h e m a " > < C o l u m n S u g g e s t e d T y p e   / > < C o l u m n F o r m a t   / > < C o l u m n A c c u r a c y   / > < C o l u m n C u r r e n c y S y m b o l   / > < C o l u m n P o s i t i v e P a t t e r n   / > < C o l u m n N e g a t i v e P a t t e r n   / > < C o l u m n W i d t h s > < i t e m > < k e y > < s t r i n g > #A;C30  =0782< / s t r i n g > < / k e y > < v a l u e > < i n t > 1 4 5 < / i n t > < / v a l u e > < / i t e m > < i t e m > < k e y > < s t r i n g > 5@8>4< / s t r i n g > < / k e y > < v a l u e > < i n t > 1 0 4 < / i n t > < / v a l u e > < / i t e m > < i t e m > < k e y > < s t r i n g > @8E>48< / s t r i n g > < / k e y > < v a l u e > < i n t > 1 1 3 < / i n t > < / v a l u e > < / i t e m > < i t e m > < k e y > < s t r i n g > >=B>< / s t r i n g > < / k e y > < v a l u e > < i n t > 9 0 < / i n t > < / v a l u e > < / i t e m > < / C o l u m n W i d t h s > < C o l u m n D i s p l a y I n d e x > < i t e m > < k e y > < s t r i n g > #A;C30  =0782< / s t r i n g > < / k e y > < v a l u e > < i n t > 0 < / i n t > < / v a l u e > < / i t e m > < i t e m > < k e y > < s t r i n g > 5@8>4< / s t r i n g > < / k e y > < v a l u e > < i n t > 1 < / i n t > < / v a l u e > < / i t e m > < i t e m > < k e y > < s t r i n g > @8E>48< / s t r i n g > < / k e y > < v a l u e > < i n t > 2 < / i n t > < / v a l u e > < / i t e m > < i t e m > < k e y > < s t r i n g > >=B>< / s t r i n g > < / k e y > < v a l u e > < i n t > 3 < / i n t > < / v a l u e > < / i t e m > < / C o l u m n D i s p l a y I n d e x > < C o l u m n F r o z e n   / > < C o l u m n C h e c k e d   / > < C o l u m n F i l t e r   / > < S e l e c t i o n F i l t e r   / > < F i l t e r P a r a m e t e r s   / > < I s S o r t D e s c e n d i n g > f a l s e < / I s S o r t D e s c e n d i n g > < / T a b l e W i d g e t G r i d S e r i a l i z a t i o n > ] ] > < / C u s t o m C o n t e n t > < / G e m i n i > 
</file>

<file path=customXml/item50.xml>��< ? x m l   v e r s i o n = " 1 . 0 "   e n c o d i n g = " U T F - 1 6 " ? > < G e m i n i   x m l n s = " h t t p : / / g e m i n i / p i v o t c u s t o m i z a t i o n / T a b l e X M L _ M a p p i n g _ c 3 6 4 6 c 0 1 - 9 1 3 6 - 4 9 8 0 - 9 f 9 1 - 4 3 f e f 7 e 5 6 6 d 3 " > < C u s t o m C o n t e n t > < ! [ C D A T A [ < T a b l e W i d g e t G r i d S e r i a l i z a t i o n   x m l n s : x s i = " h t t p : / / w w w . w 3 . o r g / 2 0 0 1 / X M L S c h e m a - i n s t a n c e "   x m l n s : x s d = " h t t p : / / w w w . w 3 . o r g / 2 0 0 1 / X M L S c h e m a " > < C o l u m n S u g g e s t e d T y p e   / > < C o l u m n F o r m a t   / > < C o l u m n A c c u r a c y   / > < C o l u m n C u r r e n c y S y m b o l   / > < C o l u m n P o s i t i v e P a t t e r n   / > < C o l u m n N e g a t i v e P a t t e r n   / > < C o l u m n W i d t h s > < i t e m > < k e y > < s t r i n g > >=B>< / s t r i n g > < / k e y > < v a l u e > < i n t > 9 0 < / i n t > < / v a l u e > < / i t e m > < i t e m > < k e y > < s t r i n g > ?8A< / s t r i n g > < / k e y > < v a l u e > < i n t > 8 4 < / i n t > < / v a l u e > < / i t e m > < i t e m > < k e y > < s t r i n g > -   D8=0=A8A:8  ?;0=< / s t r i n g > < / k e y > < v a l u e > < i n t > 2 1 6 < / i n t > < / v a l u e > < / i t e m > < i t e m > < k e y > < s t r i n g > - D8=0=A8A:8  8725HB0X< / s t r i n g > < / k e y > < v a l u e > < i n t > 2 4 4 < / i n t > < / v a l u e > < / i t e m > < i t e m > < k e y > < s t r i n g > - $  =>2< / s t r i n g > < / k e y > < v a l u e > < i n t > 1 3 1 < / i n t > < / v a l u e > < / i t e m > < i t e m > < k e y > < s t r i n g > - >48H=8  A<5B:8< / s t r i n g > < / k e y > < v a l u e > < i n t > 2 0 3 < / i n t > < / v a l u e > < / i t e m > < i t e m > < k e y > < s t r i n g > - < / s t r i n g > < / k e y > < v a l u e > < i n t > 9 4 < / i n t > < / v a l u e > < / i t e m > < / C o l u m n W i d t h s > < C o l u m n D i s p l a y I n d e x > < i t e m > < k e y > < s t r i n g > >=B>< / s t r i n g > < / k e y > < v a l u e > < i n t > 0 < / i n t > < / v a l u e > < / i t e m > < i t e m > < k e y > < s t r i n g > ?8A< / s t r i n g > < / k e y > < v a l u e > < i n t > 1 < / i n t > < / v a l u e > < / i t e m > < i t e m > < k e y > < s t r i n g > -   D8=0=A8A:8  ?;0=< / s t r i n g > < / k e y > < v a l u e > < i n t > 2 < / i n t > < / v a l u e > < / i t e m > < i t e m > < k e y > < s t r i n g > - D8=0=A8A:8  8725HB0X< / s t r i n g > < / k e y > < v a l u e > < i n t > 3 < / i n t > < / v a l u e > < / i t e m > < i t e m > < k e y > < s t r i n g > - $  =>2< / s t r i n g > < / k e y > < v a l u e > < i n t > 4 < / i n t > < / v a l u e > < / i t e m > < i t e m > < k e y > < s t r i n g > - >48H=8  A<5B:8< / s t r i n g > < / k e y > < v a l u e > < i n t > 5 < / i n t > < / v a l u e > < / i t e m > < i t e m > < k e y > < s t r i n g > - < / s t r i n g > < / k e y > < v a l u e > < i n t > 6 < / i n t > < / v a l u e > < / i t e m > < / C o l u m n D i s p l a y I n d e x > < C o l u m n F r o z e n   / > < C o l u m n C h e c k e d   / > < C o l u m n F i l t e r   / > < S e l e c t i o n F i l t e r   / > < F i l t e r P a r a m e t e r s   / > < I s S o r t D e s c e n d i n g > f a l s e < / I s S o r t D e s c e n d i n g > < / T a b l e W i d g e t G r i d S e r i a l i z a t i o n > ] ] > < / C u s t o m C o n t e n t > < / G e m i n i > 
</file>

<file path=customXml/item51.xml>��< ? x m l   v e r s i o n = " 1 . 0 "   e n c o d i n g = " U T F - 1 6 " ? > < G e m i n i   x m l n s = " h t t p : / / g e m i n i / p i v o t c u s t o m i z a t i o n / P o w e r P i v o t V e r s i o n " > < C u s t o m C o n t e n t > < ! [ C D A T A [ 2 0 1 5 . 1 3 0 . 1 6 0 5 . 1 0 5 3 ] ] > < / C u s t o m C o n t e n t > < / G e m i n i > 
</file>

<file path=customXml/item52.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a : K e y V a l u e O f s t r i n g S a n d b o x E r r o r V S n 7 U v A O > < a : K e y > C a l c u l a t e d C o l u m n O P E X A n a l i z a [ S t a v k a I m e A O P ] < / a : K e y > < a : V a l u e > < D e s c r i p t i o n > C o l u m n   ' S t a v k a A O P '   i n   t a b l e   ' O P E X A n a l i z a '   c a n n o t   b e   f o u n d   o r   m a y   n o t   b e   u s e d   i n   t h i s   e x p r e s s i o n . < / D e s c r i p t i o n > < L o c a t i o n > < S t a r t C h a r a c t e r > 1 < / S t a r t C h a r a c t e r > < T e x t L e n g t h > 2 2 < / T e x t L e n g t h > < / L o c a t i o n > < R o w N u m b e r > - 1 < / R o w N u m b e r > < S o u r c e > < N a m e > S t a v k a I m e A O P < / N a m e > < T a b l e > O P E X A n a l i z a < / T a b l e > < T y p e > C a l c u l a t e d C o l u m n < / T y p e > < / S o u r c e > < / a : V a l u e > < / a : K e y V a l u e O f s t r i n g S a n d b o x E r r o r V S n 7 U v A O > < / E r r o r C a c h e D i c t i o n a r y > < L a s t P r o c e s s e d T i m e > 2 0 2 2 - 1 2 - 0 4 T 2 3 : 1 6 : 3 4 . 7 1 3 4 7 7 5 + 0 1 : 0 0 < / L a s t P r o c e s s e d T i m e > < / D a t a M o d e l i n g S a n d b o x . S e r i a l i z e d S a n d b o x E r r o r C a c h e > ] ] > < / C u s t o m C o n t e n t > < / G e m i n i > 
</file>

<file path=customXml/item53.xml>��< ? x m l   v e r s i o n = " 1 . 0 "   e n c o d i n g = " U T F - 1 6 " ? > < G e m i n i   x m l n s = " h t t p : / / g e m i n i / p i v o t c u s t o m i z a t i o n / T a b l e X M L _ f V k u p n i R a s h o d i _ 3 0 8 9 a f 1 a - 2 6 d 6 - 4 a 6 b - b 5 c 5 - 4 d 4 2 6 1 3 e 5 6 5 9 " > < C u s t o m C o n t e n t > < ! [ C D A T A [ < T a b l e W i d g e t G r i d S e r i a l i z a t i o n   x m l n s : x s i = " h t t p : / / w w w . w 3 . o r g / 2 0 0 1 / X M L S c h e m a - i n s t a n c e "   x m l n s : x s d = " h t t p : / / w w w . w 3 . o r g / 2 0 0 1 / X M L S c h e m a " > < C o l u m n S u g g e s t e d T y p e   / > < C o l u m n F o r m a t   / > < C o l u m n A c c u r a c y   / > < C o l u m n C u r r e n c y S y m b o l   / > < C o l u m n P o s i t i v e P a t t e r n   / > < C o l u m n N e g a t i v e P a t t e r n   / > < C o l u m n W i d t h s > < i t e m > < k e y > < s t r i n g > !B02:0< / s t r i n g > < / k e y > < v a l u e > < i n t > 7 8 < / i n t > < / v a l u e > < / i t e m > < i t e m > < k e y > < s t r i n g > 5@8>4< / s t r i n g > < / k e y > < v a l u e > < i n t > 8 5 < / i n t > < / v a l u e > < / i t e m > < i t e m > < k e y > < s t r i n g > 7=>A< / s t r i n g > < / k e y > < v a l u e > < i n t > 7 4 < / i n t > < / v a l u e > < / i t e m > < i t e m > < k e y > < s t r i n g > >=B>< / s t r i n g > < / k e y > < v a l u e > < i n t > 7 4 < / i n t > < / v a l u e > < / i t e m > < / C o l u m n W i d t h s > < C o l u m n D i s p l a y I n d e x > < i t e m > < k e y > < s t r i n g > !B02:0< / s t r i n g > < / k e y > < v a l u e > < i n t > 0 < / i n t > < / v a l u e > < / i t e m > < i t e m > < k e y > < s t r i n g > 5@8>4< / s t r i n g > < / k e y > < v a l u e > < i n t > 1 < / i n t > < / v a l u e > < / i t e m > < i t e m > < k e y > < s t r i n g > 7=>A< / s t r i n g > < / k e y > < v a l u e > < i n t > 2 < / i n t > < / v a l u e > < / i t e m > < i t e m > < k e y > < s t r i n g > >=B>< / s t r i n g > < / k e y > < v a l u e > < i n t > 3 < / i n t > < / v a l u e > < / i t e m > < / C o l u m n D i s p l a y I n d e x > < C o l u m n F r o z e n   / > < C o l u m n C h e c k e d   / > < C o l u m n F i l t e r   / > < S e l e c t i o n F i l t e r   / > < F i l t e r P a r a m e t e r s   / > < I s S o r t D e s c e n d i n g > f a l s e < / I s S o r t D e s c e n d i n g > < / T a b l e W i d g e t G r i d S e r i a l i z a t i o n > ] ] > < / C u s t o m C o n t e n t > < / G e m i n i > 
</file>

<file path=customXml/item54.xml>��< ? x m l   v e r s i o n = " 1 . 0 "   e n c o d i n g = " U T F - 1 6 " ? > < G e m i n i   x m l n s = " h t t p : / / g e m i n i / p i v o t c u s t o m i z a t i o n / T a b l e X M L _ f C o v e c k i R e s u r s i     2 _ 7 7 6 c 3 a 1 5 - 8 b 3 b - 4 5 7 f - 8 3 1 4 - a 3 b 6 4 d 1 e d e 4 f " > < C u s t o m C o n t e n t   x m l n s = " h t t p : / / g e m i n i / p i v o t c u s t o m i z a t i o n / T a b l e X M L _ f C o v e c k i R e s u r s i   2 _ 7 7 6 c 3 a 1 5 - 8 b 3 b - 4 5 7 f - 8 3 1 4 - a 3 b 6 4 d 1 e d e 4 f " > < ! [ C D A T A [ < T a b l e W i d g e t G r i d S e r i a l i z a t i o n   x m l n s : x s i = " h t t p : / / w w w . w 3 . o r g / 2 0 0 1 / X M L S c h e m a - i n s t a n c e "   x m l n s : x s d = " h t t p : / / w w w . w 3 . o r g / 2 0 0 1 / X M L S c h e m a " > < C o l u m n S u g g e s t e d T y p e   / > < C o l u m n F o r m a t   / > < C o l u m n A c c u r a c y   / > < C o l u m n C u r r e n c y S y m b o l   / > < C o l u m n P o s i t i v e P a t t e r n   / > < C o l u m n N e g a t i v e P a t t e r n   / > < C o l u m n W i d t h s > < i t e m > < k e y > < s t r i n g > !B02:0< / s t r i n g > < / k e y > < v a l u e > < i n t > 9 6 < / i n t > < / v a l u e > < / i t e m > < i t e m > < k e y > < s t r i n g > 7=>A< / s t r i n g > < / k e y > < v a l u e > < i n t > 9 1 < / i n t > < / v a l u e > < / i t e m > < i t e m > < k e y > < s t r i n g > >=B>< / s t r i n g > < / k e y > < v a l u e > < i n t > 9 0 < / i n t > < / v a l u e > < / i t e m > < i t e m > < k e y > < s t r i n g > S t a v k a I m e M K < / s t r i n g > < / k e y > < v a l u e > < i n t > 1 5 0 < / i n t > < / v a l u e > < / i t e m > < i t e m > < k e y > < s t r i n g > S t a v k a A O P < / s t r i n g > < / k e y > < v a l u e > < i n t > 1 2 8 < / i n t > < / v a l u e > < / i t e m > < i t e m > < k e y > < s t r i n g > S t a v k a G r u p a < / s t r i n g > < / k e y > < v a l u e > < i n t > 1 4 2 < / i n t > < / v a l u e > < / i t e m > < i t e m > < k e y > < s t r i n g > S t a v k a K a t e g o r i j a < / s t r i n g > < / k e y > < v a l u e > < i n t > 1 7 2 < / i n t > < / v a l u e > < / i t e m > < i t e m > < k e y > < s t r i n g > O b r a z e c I m e < / s t r i n g > < / k e y > < v a l u e > < i n t > 1 3 7 < / i n t > < / v a l u e > < / i t e m > < i t e m > < k e y > < s t r i n g > R e p o r t T y p e < / s t r i n g > < / k e y > < v a l u e > < i n t > 1 3 1 < / i n t > < / v a l u e > < / i t e m > < / C o l u m n W i d t h s > < C o l u m n D i s p l a y I n d e x > < i t e m > < k e y > < s t r i n g > !B02:0< / s t r i n g > < / k e y > < v a l u e > < i n t > 0 < / i n t > < / v a l u e > < / i t e m > < i t e m > < k e y > < s t r i n g > 7=>A< / s t r i n g > < / k e y > < v a l u e > < i n t > 1 < / i n t > < / v a l u e > < / i t e m > < i t e m > < k e y > < s t r i n g > >=B>< / s t r i n g > < / k e y > < v a l u e > < i n t > 2 < / i n t > < / v a l u e > < / i t e m > < i t e m > < k e y > < s t r i n g > S t a v k a I m e M K < / s t r i n g > < / k e y > < v a l u e > < i n t > 3 < / i n t > < / v a l u e > < / i t e m > < i t e m > < k e y > < s t r i n g > S t a v k a A O P < / s t r i n g > < / k e y > < v a l u e > < i n t > 4 < / i n t > < / v a l u e > < / i t e m > < i t e m > < k e y > < s t r i n g > S t a v k a G r u p a < / s t r i n g > < / k e y > < v a l u e > < i n t > 5 < / i n t > < / v a l u e > < / i t e m > < i t e m > < k e y > < s t r i n g > S t a v k a K a t e g o r i j a < / s t r i n g > < / k e y > < v a l u e > < i n t > 6 < / i n t > < / v a l u e > < / i t e m > < i t e m > < k e y > < s t r i n g > O b r a z e c I m e < / s t r i n g > < / k e y > < v a l u e > < i n t > 7 < / i n t > < / v a l u e > < / i t e m > < i t e m > < k e y > < s t r i n g > R e p o r t T y p e < / s t r i n g > < / k e y > < v a l u e > < i n t > 8 < / i n t > < / v a l u e > < / i t e m > < / C o l u m n D i s p l a y I n d e x > < C o l u m n F r o z e n   / > < C o l u m n C h e c k e d   / > < C o l u m n F i l t e r   / > < S e l e c t i o n F i l t e r   / > < F i l t e r P a r a m e t e r s   / > < I s S o r t D e s c e n d i n g > f a l s e < / I s S o r t D e s c e n d i n g > < / T a b l e W i d g e t G r i d S e r i a l i z a t i o n > ] ] > < / C u s t o m C o n t e n t > < / G e m i n i > 
</file>

<file path=customXml/item55.xml>��< ? x m l   v e r s i o n = " 1 . 0 "   e n c o d i n g = " U T F - 1 6 " ? > < G e m i n i   x m l n s = " h t t p : / / g e m i n i / p i v o t c u s t o m i z a t i o n / T a b l e X M L _ f N a b a v k i _ b 6 c a 8 2 2 c - 1 0 7 8 - 4 5 e 6 - a 6 6 a - 2 5 9 a 6 6 6 4 6 c 1 1 " > < C u s t o m C o n t e n t > < ! [ C D A T A [ < T a b l e W i d g e t G r i d S e r i a l i z a t i o n   x m l n s : x s i = " h t t p : / / w w w . w 3 . o r g / 2 0 0 1 / X M L S c h e m a - i n s t a n c e "   x m l n s : x s d = " h t t p : / / w w w . w 3 . o r g / 2 0 0 1 / X M L S c h e m a " > < C o l u m n S u g g e s t e d T y p e   / > < C o l u m n F o r m a t   / > < C o l u m n A c c u r a c y   / > < C o l u m n C u r r e n c y S y m b o l   / > < C o l u m n P o s i t i v e P a t t e r n   / > < C o l u m n N e g a t i v e P a t t e r n   / > < C o l u m n W i d t h s > < i t e m > < k e y > < s t r i n g > 0B53>@8X0  @B8:;  < / s t r i n g > < / k e y > < v a l u e > < i n t > 2 1 8 < / i n t > < / v a l u e > < / i t e m > < i t e m > < k e y > < s t r i n g > >:0F8X0< / s t r i n g > < / k e y > < v a l u e > < i n t > 1 1 7 < / i n t > < / v a l u e > < / i t e m > < i t e m > < k e y > < s t r i n g > @B8:;  < / s t r i n g > < / k e y > < v a l u e > < i n t > 1 2 8 < / i n t > < / v a l u e > < / i t e m > < i t e m > < k e y > < s t r i n g > >=B>< / s t r i n g > < / k e y > < v a l u e > < i n t > 9 0 < / i n t > < / v a l u e > < / i t e m > < i t e m > < k e y > < s t r i n g > 7=>A< / s t r i n g > < / k e y > < v a l u e > < i n t > 9 1 < / i n t > < / v a l u e > < / i t e m > < i t e m > < k e y > < s t r i n g > R e p o r t T y p e < / s t r i n g > < / k e y > < v a l u e > < i n t > 1 3 1 < / i n t > < / v a l u e > < / i t e m > < i t e m > < k e y > < s t r i n g > 0B53>@8X0  @B8:;< / s t r i n g > < / k e y > < v a l u e > < i n t > 1 9 0 < / i n t > < / v a l u e > < / i t e m > < i t e m > < k e y > < s t r i n g > "8?  =0  0@B8:;< / s t r i n g > < / k e y > < v a l u e > < i n t > 1 5 3 < / i n t > < / v a l u e > < / i t e m > < i t e m > < k e y > < s t r i n g > "8?  =0  =0102:0< / s t r i n g > < / k e y > < v a l u e > < i n t > 1 6 3 < / i n t > < / v a l u e > < / i t e m > < i t e m > < k e y > < s t r i n g > >:0F8X0. 1 < / s t r i n g > < / k e y > < v a l u e > < i n t > 1 3 2 < / i n t > < / v a l u e > < / i t e m > < i t e m > < k e y > < s t r i n g > @30=870F8>=0  548=8F0  >43>2>@=0  70  =0102:0B0< / s t r i n g > < / k e y > < v a l u e > < i n t > 4 3 6 < / i n t > < / v a l u e > < / i t e m > < i t e m > < k e y > < s t r i n g > !B02:0< / s t r i n g > < / k e y > < v a l u e > < i n t > 9 6 < / i n t > < / v a l u e > < / i t e m > < i t e m > < k e y > < s t r i n g > 5@8>4< / s t r i n g > < / k e y > < v a l u e > < i n t > 1 0 4 < / i n t > < / v a l u e > < / i t e m > < / C o l u m n W i d t h s > < C o l u m n D i s p l a y I n d e x > < i t e m > < k e y > < s t r i n g > 0B53>@8X0  @B8:;  < / s t r i n g > < / k e y > < v a l u e > < i n t > 8 < / i n t > < / v a l u e > < / i t e m > < i t e m > < k e y > < s t r i n g > >:0F8X0< / s t r i n g > < / k e y > < v a l u e > < i n t > 7 < / i n t > < / v a l u e > < / i t e m > < i t e m > < k e y > < s t r i n g > @B8:;  < / s t r i n g > < / k e y > < v a l u e > < i n t > 6 < / i n t > < / v a l u e > < / i t e m > < i t e m > < k e y > < s t r i n g > >=B>< / s t r i n g > < / k e y > < v a l u e > < i n t > 0 < / i n t > < / v a l u e > < / i t e m > < i t e m > < k e y > < s t r i n g > 7=>A< / s t r i n g > < / k e y > < v a l u e > < i n t > 1 < / i n t > < / v a l u e > < / i t e m > < i t e m > < k e y > < s t r i n g > R e p o r t T y p e < / s t r i n g > < / k e y > < v a l u e > < i n t > 2 < / i n t > < / v a l u e > < / i t e m > < i t e m > < k e y > < s t r i n g > 0B53>@8X0  @B8:;< / s t r i n g > < / k e y > < v a l u e > < i n t > 3 < / i n t > < / v a l u e > < / i t e m > < i t e m > < k e y > < s t r i n g > "8?  =0  0@B8:;< / s t r i n g > < / k e y > < v a l u e > < i n t > 4 < / i n t > < / v a l u e > < / i t e m > < i t e m > < k e y > < s t r i n g > "8?  =0  =0102:0< / s t r i n g > < / k e y > < v a l u e > < i n t > 5 < / i n t > < / v a l u e > < / i t e m > < i t e m > < k e y > < s t r i n g > >:0F8X0. 1 < / s t r i n g > < / k e y > < v a l u e > < i n t > 9 < / i n t > < / v a l u e > < / i t e m > < i t e m > < k e y > < s t r i n g > @30=870F8>=0  548=8F0  >43>2>@=0  70  =0102:0B0< / s t r i n g > < / k e y > < v a l u e > < i n t > 1 0 < / i n t > < / v a l u e > < / i t e m > < i t e m > < k e y > < s t r i n g > !B02:0< / s t r i n g > < / k e y > < v a l u e > < i n t > 1 1 < / i n t > < / v a l u e > < / i t e m > < i t e m > < k e y > < s t r i n g > 5@8>4< / s t r i n g > < / k e y > < v a l u e > < i n t > 1 2 < / i n t > < / v a l u e > < / i t e m > < / C o l u m n D i s p l a y I n d e x > < C o l u m n F r o z e n   / > < C o l u m n C h e c k e d   / > < C o l u m n F i l t e r   / > < S e l e c t i o n F i l t e r   / > < F i l t e r P a r a m e t e r s   / > < I s S o r t D e s c e n d i n g > f a l s e < / I s S o r t D e s c e n d i n g > < / T a b l e W i d g e t G r i d S e r i a l i z a t i o n > ] ] > < / C u s t o m C o n t e n t > < / G e m i n i > 
</file>

<file path=customXml/item56.xml><?xml version="1.0" encoding="utf-8"?>
<p:properties xmlns:p="http://schemas.microsoft.com/office/2006/metadata/properties" xmlns:xsi="http://www.w3.org/2001/XMLSchema-instance" xmlns:pc="http://schemas.microsoft.com/office/infopath/2007/PartnerControls">
  <documentManagement>
    <SharedWithUsers xmlns="8678cf70-7d2a-425d-8915-fdf73a3b7ea8">
      <UserInfo>
        <DisplayName>angela.s.doneva@crm.org.mk</DisplayName>
        <AccountId>30</AccountId>
        <AccountType/>
      </UserInfo>
    </SharedWithUsers>
  </documentManagement>
</p:properties>
</file>

<file path=customXml/item57.xml>��< ? x m l   v e r s i o n = " 1 . 0 "   e n c o d i n g = " U T F - 1 6 " ? > < G e m i n i   x m l n s = " h t t p : / / g e m i n i / p i v o t c u s t o m i z a t i o n / M a n u a l C a l c M o d e " > < C u s t o m C o n t e n t > < ! [ C D A T A [ F a l s e ] ] > < / C u s t o m C o n t e n t > < / G e m i n i > 
</file>

<file path=customXml/item58.xml>��< ? x m l   v e r s i o n = " 1 . 0 "   e n c o d i n g = " U T F - 1 6 " ? > < G e m i n i   x m l n s = " h t t p : / / g e m i n i / p i v o t c u s t o m i z a t i o n / T a b l e X M L _ f C o v e c k i R e s u r s i     2 _ 6 a f 3 7 a 8 8 - 3 0 d 9 - 4 2 1 6 - a 4 0 2 - 7 f c 6 6 e 7 1 f 5 4 6 " > < C u s t o m C o n t e n t   x m l n s = " h t t p : / / g e m i n i / p i v o t c u s t o m i z a t i o n / T a b l e X M L _ f C o v e c k i R e s u r s i   2 _ 6 a f 3 7 a 8 8 - 3 0 d 9 - 4 2 1 6 - a 4 0 2 - 7 f c 6 6 e 7 1 f 5 4 6 " > < ! [ C D A T A [ < T a b l e W i d g e t G r i d S e r i a l i z a t i o n   x m l n s : x s d = " h t t p : / / w w w . w 3 . o r g / 2 0 0 1 / X M L S c h e m a "   x m l n s : x s i = " h t t p : / / w w w . w 3 . o r g / 2 0 0 1 / X M L S c h e m a - i n s t a n c e " > < C o l u m n S u g g e s t e d T y p e   / > < C o l u m n F o r m a t   / > < C o l u m n A c c u r a c y   / > < C o l u m n C u r r e n c y S y m b o l   / > < C o l u m n P o s i t i v e P a t t e r n   / > < C o l u m n N e g a t i v e P a t t e r n   / > < C o l u m n W i d t h s > < i t e m > < k e y > < s t r i n g > !B02:0< / s t r i n g > < / k e y > < v a l u e > < i n t > 7 8 < / i n t > < / v a l u e > < / i t e m > < i t e m > < k e y > < s t r i n g > 5@8>4< / s t r i n g > < / k e y > < v a l u e > < i n t > 8 5 < / i n t > < / v a l u e > < / i t e m > < i t e m > < k e y > < s t r i n g > 7=>A< / s t r i n g > < / k e y > < v a l u e > < i n t > 7 4 < / i n t > < / v a l u e > < / i t e m > < i t e m > < k e y > < s t r i n g > >=B>< / s t r i n g > < / k e y > < v a l u e > < i n t > 7 4 < / i n t > < / v a l u e > < / i t e m > < i t e m > < k e y > < s t r i n g > R e p o r t T y p e < / s t r i n g > < / k e y > < v a l u e > < i n t > 1 0 7 < / i n t > < / v a l u e > < / i t e m > < i t e m > < k e y > < s t r i n g > S t a v k a K a t e g o r i j a < / s t r i n g > < / k e y > < v a l u e > < i n t > 1 3 9 < / i n t > < / v a l u e > < / i t e m > < / C o l u m n W i d t h s > < C o l u m n D i s p l a y I n d e x > < i t e m > < k e y > < s t r i n g > !B02:0< / s t r i n g > < / k e y > < v a l u e > < i n t > 0 < / i n t > < / v a l u e > < / i t e m > < i t e m > < k e y > < s t r i n g > 5@8>4< / s t r i n g > < / k e y > < v a l u e > < i n t > 1 < / i n t > < / v a l u e > < / i t e m > < i t e m > < k e y > < s t r i n g > 7=>A< / s t r i n g > < / k e y > < v a l u e > < i n t > 2 < / i n t > < / v a l u e > < / i t e m > < i t e m > < k e y > < s t r i n g > >=B>< / s t r i n g > < / k e y > < v a l u e > < i n t > 3 < / i n t > < / v a l u e > < / i t e m > < i t e m > < k e y > < s t r i n g > R e p o r t T y p e < / s t r i n g > < / k e y > < v a l u e > < i n t > 4 < / i n t > < / v a l u e > < / i t e m > < i t e m > < k e y > < s t r i n g > S t a v k a K a t e g o r i j a < / s t r i n g > < / k e y > < v a l u e > < i n t > 6 < / i n t > < / v a l u e > < / i t e m > < / C o l u m n D i s p l a y I n d e x > < C o l u m n F r o z e n   / > < C o l u m n C h e c k e d   / > < C o l u m n F i l t e r   / > < S e l e c t i o n F i l t e r   / > < F i l t e r P a r a m e t e r s   / > < I s S o r t D e s c e n d i n g > f a l s e < / I s S o r t D e s c e n d i n g > < / T a b l e W i d g e t G r i d S e r i a l i z a t i o n > ] ] > < / C u s t o m C o n t e n t > < / G e m i n i > 
</file>

<file path=customXml/item59.xml>��< ? x m l   v e r s i o n = " 1 . 0 "   e n c o d i n g = " U T F - 1 6 " ? > < G e m i n i   x m l n s = " h t t p : / / g e m i n i / p i v o t c u s t o m i z a t i o n / T a b l e X M L _ E r r o r s   i n   C A P E X _ L i s t _ 5 e 7 2 a b 3 7 - c c 6 a - 4 7 b f - b 5 2 2 - 9 6 1 b 7 0 d 4 4 7 7 9 " > < C u s t o m C o n t e n t > < ! [ C D A T A [ < T a b l e W i d g e t G r i d S e r i a l i z a t i o n   x m l n s : x s i = " h t t p : / / w w w . w 3 . o r g / 2 0 0 1 / X M L S c h e m a - i n s t a n c e "   x m l n s : x s d = " h t t p : / / w w w . w 3 . o r g / 2 0 0 1 / X M L S c h e m a " > < C o l u m n S u g g e s t e d T y p e   / > < C o l u m n F o r m a t   / > < C o l u m n A c c u r a c y   / > < C o l u m n C u r r e n c y S y m b o l   / > < C o l u m n P o s i t i v e P a t t e r n   / > < C o l u m n N e g a t i v e P a t t e r n   / > < C o l u m n W i d t h s > < i t e m > < k e y > < s t r i n g > R o w   N u m b e r < / s t r i n g > < / k e y > < v a l u e > < i n t > 1 4 4 < / i n t > < / v a l u e > < / i t e m > < i t e m > < k e y > < s t r i n g > @>5:B  < / s t r i n g > < / k e y > < v a l u e > < i n t > 1 2 8 < / i n t > < / v a l u e > < / i t e m > < i t e m > < k e y > < s t r i n g > @>5:B< / s t r i n g > < / k e y > < v a l u e > < i n t > 1 0 0 < / i n t > < / v a l u e > < / i t e m > < i t e m > < k e y > < s t r i n g > 0B53>@8X0  ?@>5:B  < / s t r i n g > < / k e y > < v a l u e > < i n t > 2 1 6 < / i n t > < / v a l u e > < / i t e m > < i t e m > < k e y > < s t r i n g > 0B53>@8X0  @>5:B< / s t r i n g > < / k e y > < v a l u e > < i n t > 1 9 0 < / i n t > < / v a l u e > < / i t e m > < i t e m > < k e y > < s t r i n g > ><5=B0;=0  A>AB>X10  ( 2:;CGC20X\8  ?@>1;5<8) < / s t r i n g > < / k e y > < v a l u e > < i n t > 4 1 6 < / i n t > < / v a l u e > < / i t e m > < i t e m > < k e y > < s t r i n g > ;8X0=8X0  8  >G5:C20=8  @57C;B0B8< / s t r i n g > < / k e y > < v a l u e > < i n t > 3 0 5 < / i n t > < / v a l u e > < / i t e m > < i t e m > < k e y > < s t r i n g > @54;030G  =0  8=25AB8F8X0< / s t r i n g > < / k e y > < v a l u e > < i n t > 2 5 3 < / i n t > < / v a l u e > < / i t e m > < i t e m > < k e y > < s t r i n g >  >:  =0  70?>G=C20Z5< / s t r i n g > < / k e y > < v a l u e > < i n t > 2 0 6 < / i n t > < / v a l u e > < / i t e m > < i t e m > < k e y > < s t r i n g >  >:  70  702@HC20Z5< / s t r i n g > < / k e y > < v a l u e > < i n t > 1 9 8 < / i n t > < / v a l u e > < / i t e m > < i t e m > < k e y > < s t r i n g >  >:  =0  AB020Z5  =0  C?>B@510< / s t r i n g > < / k e y > < v a l u e > < i n t > 2 6 6 < / i n t > < / v a l u e > < / i t e m > < i t e m > < k e y > < s t r i n g > :C?5=  87=>A< / s t r i n g > < / k e y > < v a l u e > < i n t > 1 5 0 < / i n t > < / v a l u e > < / i t e m > < i t e m > < k e y > < s t r i n g > !B0?:0  =0  0<>@B870F8X0< / s t r i n g > < / k e y > < v a l u e > < i n t > 2 3 4 < / i n t > < / v a l u e > < / i t e m > < i t e m > < k e y > < s t r i n g > 5A5G5=  87=>A  =0  0<>@B870F8X0< / s t r i n g > < / k e y > < v a l u e > < i n t > 3 0 0 < / i n t > < / v a l u e > < / i t e m > < i t e m > < k e y > < s t r i n g > @>X  =0  <5A5F8  70  0<>@B870F8X0< / s t r i n g > < / k e y > < v a l u e > < i n t > 2 9 9 < / i n t > < / v a l u e > < / i t e m > < i t e m > < k e y > < s t r i n g > >=B>< / s t r i n g > < / k e y > < v a l u e > < i n t > 9 0 < / i n t > < / v a l u e > < / i t e m > < i t e m > < k e y > < s t r i n g > ;0=8@0=  2>< / s t r i n g > < / k e y > < v a l u e > < i n t > 1 4 6 < / i n t > < / v a l u e > < / i t e m > < i t e m > < k e y > < s t r i n g > ;0=8@0=  87=>A< / s t r i n g > < / k e y > < v a l u e > < i n t > 1 7 3 < / i n t > < / v a l u e > < / i t e m > < i t e m > < k e y > < s t r i n g > !B0BCA< / s t r i n g > < / k e y > < v a l u e > < i n t > 9 3 < / i n t > < / v a l u e > < / i t e m > < i t e m > < k e y > < s t r i n g > >B@>H5=  87=>A  70:;CG=>  4>  1 1 . 2 0 1 8 < / s t r i n g > < / k e y > < v a l u e > < i n t > 3 4 7 < / i n t > < / v a l u e > < / i t e m > < i t e m > < k e y > < s t r i n g > ;0=8@0=  87=>A  70  1 2 . 2 0 1 8 < / s t r i n g > < / k e y > < v a l u e > < i n t > 2 6 3 < / i n t > < / v a l u e > < / i t e m > < i t e m > < k e y > < s t r i n g > :C?=>  ?>B@>H5=>  2 0 1 8 < / s t r i n g > < / k e y > < v a l u e > < i n t > 2 3 9 < / i n t > < / v a l u e > < / i t e m > < i t e m > < k e y > < s t r i n g > 5?>B@>H5=  87=>A  2 0 1 8 < / s t r i n g > < / k e y > < v a l u e > < i n t > 2 3 8 < / i n t > < / v a l u e > < / i t e m > < i t e m > < k e y > < s t r i n g > 1571545=  A>  4>=0F8X0< / s t r i n g > < / k e y > < v a l u e > < i n t > 2 3 2 < / i n t > < / v a l u e > < / i t e m > < / C o l u m n W i d t h s > < C o l u m n D i s p l a y I n d e x > < i t e m > < k e y > < s t r i n g > R o w   N u m b e r < / s t r i n g > < / k e y > < v a l u e > < i n t > 0 < / i n t > < / v a l u e > < / i t e m > < i t e m > < k e y > < s t r i n g > @>5:B  < / s t r i n g > < / k e y > < v a l u e > < i n t > 1 < / i n t > < / v a l u e > < / i t e m > < i t e m > < k e y > < s t r i n g > @>5:B< / s t r i n g > < / k e y > < v a l u e > < i n t > 2 < / i n t > < / v a l u e > < / i t e m > < i t e m > < k e y > < s t r i n g > 0B53>@8X0  ?@>5:B  < / s t r i n g > < / k e y > < v a l u e > < i n t > 3 < / i n t > < / v a l u e > < / i t e m > < i t e m > < k e y > < s t r i n g > 0B53>@8X0  @>5:B< / s t r i n g > < / k e y > < v a l u e > < i n t > 4 < / i n t > < / v a l u e > < / i t e m > < i t e m > < k e y > < s t r i n g > ><5=B0;=0  A>AB>X10  ( 2:;CGC20X\8  ?@>1;5<8) < / s t r i n g > < / k e y > < v a l u e > < i n t > 5 < / i n t > < / v a l u e > < / i t e m > < i t e m > < k e y > < s t r i n g > ;8X0=8X0  8  >G5:C20=8  @57C;B0B8< / s t r i n g > < / k e y > < v a l u e > < i n t > 6 < / i n t > < / v a l u e > < / i t e m > < i t e m > < k e y > < s t r i n g > @54;030G  =0  8=25AB8F8X0< / s t r i n g > < / k e y > < v a l u e > < i n t > 7 < / i n t > < / v a l u e > < / i t e m > < i t e m > < k e y > < s t r i n g >  >:  =0  70?>G=C20Z5< / s t r i n g > < / k e y > < v a l u e > < i n t > 8 < / i n t > < / v a l u e > < / i t e m > < i t e m > < k e y > < s t r i n g >  >:  70  702@HC20Z5< / s t r i n g > < / k e y > < v a l u e > < i n t > 9 < / i n t > < / v a l u e > < / i t e m > < i t e m > < k e y > < s t r i n g >  >:  =0  AB020Z5  =0  C?>B@510< / s t r i n g > < / k e y > < v a l u e > < i n t > 1 0 < / i n t > < / v a l u e > < / i t e m > < i t e m > < k e y > < s t r i n g > :C?5=  87=>A< / s t r i n g > < / k e y > < v a l u e > < i n t > 1 1 < / i n t > < / v a l u e > < / i t e m > < i t e m > < k e y > < s t r i n g > !B0?:0  =0  0<>@B870F8X0< / s t r i n g > < / k e y > < v a l u e > < i n t > 1 2 < / i n t > < / v a l u e > < / i t e m > < i t e m > < k e y > < s t r i n g > 5A5G5=  87=>A  =0  0<>@B870F8X0< / s t r i n g > < / k e y > < v a l u e > < i n t > 1 3 < / i n t > < / v a l u e > < / i t e m > < i t e m > < k e y > < s t r i n g > @>X  =0  <5A5F8  70  0<>@B870F8X0< / s t r i n g > < / k e y > < v a l u e > < i n t > 1 4 < / i n t > < / v a l u e > < / i t e m > < i t e m > < k e y > < s t r i n g > >=B>< / s t r i n g > < / k e y > < v a l u e > < i n t > 1 5 < / i n t > < / v a l u e > < / i t e m > < i t e m > < k e y > < s t r i n g > ;0=8@0=  2>< / s t r i n g > < / k e y > < v a l u e > < i n t > 1 6 < / i n t > < / v a l u e > < / i t e m > < i t e m > < k e y > < s t r i n g > ;0=8@0=  87=>A< / s t r i n g > < / k e y > < v a l u e > < i n t > 1 7 < / i n t > < / v a l u e > < / i t e m > < i t e m > < k e y > < s t r i n g > !B0BCA< / s t r i n g > < / k e y > < v a l u e > < i n t > 1 8 < / i n t > < / v a l u e > < / i t e m > < i t e m > < k e y > < s t r i n g > >B@>H5=  87=>A  70:;CG=>  4>  1 1 . 2 0 1 8 < / s t r i n g > < / k e y > < v a l u e > < i n t > 1 9 < / i n t > < / v a l u e > < / i t e m > < i t e m > < k e y > < s t r i n g > ;0=8@0=  87=>A  70  1 2 . 2 0 1 8 < / s t r i n g > < / k e y > < v a l u e > < i n t > 2 0 < / i n t > < / v a l u e > < / i t e m > < i t e m > < k e y > < s t r i n g > :C?=>  ?>B@>H5=>  2 0 1 8 < / s t r i n g > < / k e y > < v a l u e > < i n t > 2 1 < / i n t > < / v a l u e > < / i t e m > < i t e m > < k e y > < s t r i n g > 5?>B@>H5=  87=>A  2 0 1 8 < / s t r i n g > < / k e y > < v a l u e > < i n t > 2 2 < / i n t > < / v a l u e > < / i t e m > < i t e m > < k e y > < s t r i n g > 1571545=  A>  4>=0F8X0< / s t r i n g > < / k e y > < v a l u e > < i n t > 2 3 < / i n t > < / v a l u e > < / i t e m > < / C o l u m n D i s p l a y I n d e x > < C o l u m n F r o z e n   / > < C o l u m n C h e c k e d   / > < C o l u m n F i l t e r   / > < S e l e c t i o n F i l t e r   / > < F i l t e r P a r a m e t e r s   / > < I s S o r t D e s c e n d i n g > f a l s e < / I s S o r t D e s c e n d i n g > < / T a b l e W i d g e t G r i d S e r i a l i z a t i o n > ] ] > < / C u s t o m C o n t e n t > < / G e m i n i > 
</file>

<file path=customXml/item6.xml>��< ? x m l   v e r s i o n = " 1 . 0 "   e n c o d i n g = " U T F - 1 6 " ? > < G e m i n i   x m l n s = " h t t p : / / g e m i n i / p i v o t c u s t o m i z a t i o n / T a b l e X M L _ C A P E X _ 2 a 5 8 1 c 2 f - d c 8 a - 4 4 7 d - 9 b 3 7 - 6 1 a f f 2 c 8 b 5 1 8 " > < C u s t o m C o n t e n t > < ! [ C D A T A [ < T a b l e W i d g e t G r i d S e r i a l i z a t i o n   x m l n s : x s d = " h t t p : / / w w w . w 3 . o r g / 2 0 0 1 / X M L S c h e m a "   x m l n s : x s i = " h t t p : / / w w w . w 3 . o r g / 2 0 0 1 / X M L S c h e m a - i n s t a n c e " > < C o l u m n S u g g e s t e d T y p e   / > < C o l u m n F o r m a t   / > < C o l u m n A c c u r a c y   / > < C o l u m n C u r r e n c y S y m b o l   / > < C o l u m n P o s i t i v e P a t t e r n   / > < C o l u m n N e g a t i v e P a t t e r n   / > < C o l u m n W i d t h s > < i t e m > < k e y > < s t r i n g > >=B>  <>@B870F8X0< / s t r i n g > < / k e y > < v a l u e > < i n t > 2 0 6 < / i n t > < / v a l u e > < / i t e m > < i t e m > < k e y > < s t r i n g > >=B>  !@54AB20< / s t r i n g > < / k e y > < v a l u e > < i n t > 1 6 7 < / i n t > < / v a l u e > < / i t e m > < i t e m > < k e y > < s t r i n g > @>F5=5B0  2@54=>AB  =0  =0102:0  A>    ( 45=0@8) < / s t r i n g > < / k e y > < v a l u e > < i n t > 3 4 8 < / i n t > < / v a l u e > < / i t e m > < i t e m > < k e y > < s t r i n g > G5:C20=  40BC<  70  AB020Z5  2>  C?>B@510  ( <5A5F) < / s t r i n g > < / k e y > < v a l u e > < i n t > 4 3 0 < / i n t > < / v a l u e > < / i t e m > < i t e m > < k e y > < s t r i n g > @54<5B  =0  4>3>2>@>B  70  X02=0  =0102:0< / s t r i n g > < / k e y > < v a l u e > < i n t > 3 6 1 < / i n t > < / v a l u e > < / i t e m > < i t e m > < k e y > < s t r i n g > @>X  =0  X02=0  =0102:0  ( ?;0=) < / s t r i n g > < / k e y > < v a l u e > < i n t > 2 7 1 < / i n t > < / v a l u e > < / i t e m > < i t e m > < k e y > < s t r i n g > >48=0  70  @50;870F8X0  =0  ?@>5:B< / s t r i n g > < / k e y > < v a l u e > < i n t > 3 0 4 < / i n t > < / v a l u e > < / i t e m > < i t e m > < k e y > < s t r i n g > 7=>A  4>=0F8X0< / s t r i n g > < / k e y > < v a l u e > < i n t > 1 6 9 < / i n t > < / v a l u e > < / i t e m > < i t e m > < k e y > < s t r i n g > !B0?:0  =0  0<>@B870F8X0< / s t r i n g > < / k e y > < v a l u e > < i n t > 2 3 4 < / i n t > < / v a l u e > < / i t e m > < i t e m > < k e y > < s t r i n g > G5:C20=  40BC<  =0  ?;0\0Z5< / s t r i n g > < / k e y > < v a l u e > < i n t > 2 7 1 < / i n t > < / v a l u e > < / i t e m > < i t e m > < k e y > < s t r i n g > G5:C20=  40BC<  =0  ?;0\0Z5  ( Y e a r ) < / s t r i n g > < / k e y > < v a l u e > < i n t > 2 5 5 < / i n t > < / v a l u e > < / i t e m > < i t e m > < k e y > < s t r i n g > G5:C20=  40BC<  =0  ?;0\0Z5  ( Q u a r t e r ) < / s t r i n g > < / k e y > < v a l u e > < i n t > 2 7 7 < / i n t > < / v a l u e > < / i t e m > < i t e m > < k e y > < s t r i n g > G5:C20=  40BC<  =0  ?;0\0Z5  ( M o n t h   I n d e x ) < / s t r i n g > < / k e y > < v a l u e > < i n t > 3 0 8 < / i n t > < / v a l u e > < / i t e m > < i t e m > < k e y > < s t r i n g > G5:C20=  40BC<  =0  ?;0\0Z5  ( M o n t h ) < / s t r i n g > < / k e y > < v a l u e > < i n t > 2 7 0 < / i n t > < / v a l u e > < / i t e m > < i t e m > < k e y > < s t r i n g > G5:C20=  40BC<  70  AB020Z5  2>  C?>B@510  ( <5A5F)   ( Y e a r ) < / s t r i n g > < / k e y > < v a l u e > < i n t > 3 8 3 < / i n t > < / v a l u e > < / i t e m > < i t e m > < k e y > < s t r i n g > G5:C20=  40BC<  70  AB020Z5  2>  C?>B@510  ( <5A5F)   ( Q u a r t e r ) < / s t r i n g > < / k e y > < v a l u e > < i n t > 4 0 5 < / i n t > < / v a l u e > < / i t e m > < i t e m > < k e y > < s t r i n g > G5:C20=  40BC<  70  AB020Z5  2>  C?>B@510  ( <5A5F)   ( M o n t h   I n d e x ) < / s t r i n g > < / k e y > < v a l u e > < i n t > 4 3 6 < / i n t > < / v a l u e > < / i t e m > < i t e m > < k e y > < s t r i n g > G5:C20=  40BC<  70  AB020Z5  2>  C?>B@510  ( <5A5F)   ( M o n t h ) < / s t r i n g > < / k e y > < v a l u e > < i n t > 3 9 8 < / i n t > < / v a l u e > < / i t e m > < / C o l u m n W i d t h s > < C o l u m n D i s p l a y I n d e x > < i t e m > < k e y > < s t r i n g > >=B>  <>@B870F8X0< / s t r i n g > < / k e y > < v a l u e > < i n t > 5 < / i n t > < / v a l u e > < / i t e m > < i t e m > < k e y > < s t r i n g > >=B>  !@54AB20< / s t r i n g > < / k e y > < v a l u e > < i n t > 4 < / i n t > < / v a l u e > < / i t e m > < i t e m > < k e y > < s t r i n g > @>F5=5B0  2@54=>AB  =0  =0102:0  A>    ( 45=0@8) < / s t r i n g > < / k e y > < v a l u e > < i n t > 1 7 < / i n t > < / v a l u e > < / i t e m > < i t e m > < k e y > < s t r i n g > G5:C20=  40BC<  70  AB020Z5  2>  C?>B@510  ( <5A5F) < / s t r i n g > < / k e y > < v a l u e > < i n t > 3 < / i n t > < / v a l u e > < / i t e m > < i t e m > < k e y > < s t r i n g > @54<5B  =0  4>3>2>@>B  70  X02=0  =0102:0< / s t r i n g > < / k e y > < v a l u e > < i n t > 2 < / i n t > < / v a l u e > < / i t e m > < i t e m > < k e y > < s t r i n g > @>X  =0  X02=0  =0102:0  ( ?;0=) < / s t r i n g > < / k e y > < v a l u e > < i n t > 1 < / i n t > < / v a l u e > < / i t e m > < i t e m > < k e y > < s t r i n g > >48=0  70  @50;870F8X0  =0  ?@>5:B< / s t r i n g > < / k e y > < v a l u e > < i n t > 0 < / i n t > < / v a l u e > < / i t e m > < i t e m > < k e y > < s t r i n g > 7=>A  4>=0F8X0< / s t r i n g > < / k e y > < v a l u e > < i n t > 6 < / i n t > < / v a l u e > < / i t e m > < i t e m > < k e y > < s t r i n g > !B0?:0  =0  0<>@B870F8X0< / s t r i n g > < / k e y > < v a l u e > < i n t > 8 < / i n t > < / v a l u e > < / i t e m > < i t e m > < k e y > < s t r i n g > G5:C20=  40BC<  =0  ?;0\0Z5< / s t r i n g > < / k e y > < v a l u e > < i n t > 7 < / i n t > < / v a l u e > < / i t e m > < i t e m > < k e y > < s t r i n g > G5:C20=  40BC<  =0  ?;0\0Z5  ( Y e a r ) < / s t r i n g > < / k e y > < v a l u e > < i n t > 9 < / i n t > < / v a l u e > < / i t e m > < i t e m > < k e y > < s t r i n g > G5:C20=  40BC<  =0  ?;0\0Z5  ( Q u a r t e r ) < / s t r i n g > < / k e y > < v a l u e > < i n t > 1 0 < / i n t > < / v a l u e > < / i t e m > < i t e m > < k e y > < s t r i n g > G5:C20=  40BC<  =0  ?;0\0Z5  ( M o n t h   I n d e x ) < / s t r i n g > < / k e y > < v a l u e > < i n t > 1 1 < / i n t > < / v a l u e > < / i t e m > < i t e m > < k e y > < s t r i n g > G5:C20=  40BC<  =0  ?;0\0Z5  ( M o n t h ) < / s t r i n g > < / k e y > < v a l u e > < i n t > 1 2 < / i n t > < / v a l u e > < / i t e m > < i t e m > < k e y > < s t r i n g > G5:C20=  40BC<  70  AB020Z5  2>  C?>B@510  ( <5A5F)   ( Y e a r ) < / s t r i n g > < / k e y > < v a l u e > < i n t > 1 3 < / i n t > < / v a l u e > < / i t e m > < i t e m > < k e y > < s t r i n g > G5:C20=  40BC<  70  AB020Z5  2>  C?>B@510  ( <5A5F)   ( Q u a r t e r ) < / s t r i n g > < / k e y > < v a l u e > < i n t > 1 4 < / i n t > < / v a l u e > < / i t e m > < i t e m > < k e y > < s t r i n g > G5:C20=  40BC<  70  AB020Z5  2>  C?>B@510  ( <5A5F)   ( M o n t h   I n d e x ) < / s t r i n g > < / k e y > < v a l u e > < i n t > 1 5 < / i n t > < / v a l u e > < / i t e m > < i t e m > < k e y > < s t r i n g > G5:C20=  40BC<  70  AB020Z5  2>  C?>B@510  ( <5A5F)   ( M o n t h ) < / s t r i n g > < / k e y > < v a l u e > < i n t > 1 6 < / i n t > < / v a l u e > < / i t e m > < / C o l u m n D i s p l a y I n d e x > < C o l u m n F r o z e n   / > < C o l u m n C h e c k e d   / > < C o l u m n F i l t e r > < i t e m > < k e y > < s t r i n g > @>X  =0  X02=0  =0102:0  ( ?;0=) < / s t r i n g > < / k e y > < v a l u e > < F i l t e r E x p r e s s i o n   x s i : n i l = " t r u e "   / > < / v a l u e > < / i t e m > < / C o l u m n F i l t e r > < S e l e c t i o n F i l t e r > < i t e m > < k e y > < s t r i n g > @>X  =0  X02=0  =0102:0  ( ?;0=) < / s t r i n g > < / k e y > < v a l u e > < S e l e c t i o n F i l t e r   x s i : n i l = " t r u e "   / > < / v a l u e > < / i t e m > < / S e l e c t i o n F i l t e r > < F i l t e r P a r a m e t e r s > < i t e m > < k e y > < s t r i n g > @>X  =0  X02=0  =0102:0  ( ?;0=) < / s t r i n g > < / k e y > < v a l u e > < C o m m a n d P a r a m e t e r s   / > < / v a l u e > < / i t e m > < / F i l t e r P a r a m e t e r s > < I s S o r t D e s c e n d i n g > f a l s e < / I s S o r t D e s c e n d i n g > < / T a b l e W i d g e t G r i d S e r i a l i z a t i o n > ] ] > < / C u s t o m C o n t e n t > < / G e m i n i > 
</file>

<file path=customXml/item60.xml>��< ? x m l   v e r s i o n = " 1 . 0 "   e n c o d i n g = " U T F - 1 6 " ? > < G e m i n i   x m l n s = " h t t p : / / g e m i n i / p i v o t c u s t o m i z a t i o n / T a b l e X M L _ f A c t u a l A n d B u d g e t _ 2 c e 2 0 b b 8 - 3 5 6 9 - 4 f 6 3 - 8 e d d - a f d f d 7 e 9 e 6 b 0 " > < C u s t o m C o n t e n t > < ! [ C D A T A [ < T a b l e W i d g e t G r i d S e r i a l i z a t i o n   x m l n s : x s i = " h t t p : / / w w w . w 3 . o r g / 2 0 0 1 / X M L S c h e m a - i n s t a n c e "   x m l n s : x s d = " h t t p : / / w w w . w 3 . o r g / 2 0 0 1 / X M L S c h e m a " > < C o l u m n S u g g e s t e d T y p e   / > < C o l u m n F o r m a t   / > < C o l u m n A c c u r a c y   / > < C o l u m n C u r r e n c y S y m b o l   / > < C o l u m n P o s i t i v e P a t t e r n   / > < C o l u m n N e g a t i v e P a t t e r n   / > < C o l u m n W i d t h s > < i t e m > < k e y > < s t r i n g > >=B>< / s t r i n g > < / k e y > < v a l u e > < i n t > 7 4 < / i n t > < / v a l u e > < / i t e m > < i t e m > < k e y > < s t r i n g > 5@8>4< / s t r i n g > < / k e y > < v a l u e > < i n t > 8 5 < / i n t > < / v a l u e > < / i t e m > < i t e m > < k e y > < s t r i n g > &5=0< / s t r i n g > < / k e y > < v a l u e > < i n t > 8 3 < / i n t > < / v a l u e > < / i t e m > < i t e m > < k e y > < s t r i n g > !B02:0< / s t r i n g > < / k e y > < v a l u e > < i n t > 1 6 2 < / i n t > < / v a l u e > < / i t e m > < i t e m > < k e y > < s t r i n g > >;8G8=0< / s t r i n g > < / k e y > < v a l u e > < i n t > 1 2 1 < / i n t > < / v a l u e > < / i t e m > < i t e m > < k e y > < s t r i n g > -   D8=0=A8A:8  ?;0=< / s t r i n g > < / k e y > < v a l u e > < i n t > 1 7 3 < / i n t > < / v a l u e > < / i t e m > < i t e m > < k e y > < s t r i n g > - D8=0=A8A:8  8725HB0X< / s t r i n g > < / k e y > < v a l u e > < i n t > 1 9 6 < / i n t > < / v a l u e > < / i t e m > < i t e m > < k e y > < s t r i n g > - $  =>2< / s t r i n g > < / k e y > < v a l u e > < i n t > 1 0 6 < / i n t > < / v a l u e > < / i t e m > < i t e m > < k e y > < s t r i n g > - >48H=8  A<5B:8< / s t r i n g > < / k e y > < v a l u e > < i n t > 1 6 4 < / i n t > < / v a l u e > < / i t e m > < i t e m > < k e y > < s t r i n g > - < / s t r i n g > < / k e y > < v a l u e > < i n t > 7 8 < / i n t > < / v a l u e > < / i t e m > < i t e m > < k e y > < s t r i n g > 7=>A  1 < / s t r i n g > < / k e y > < v a l u e > < i n t > 1 0 5 < / i n t > < / v a l u e > < / i t e m > < i t e m > < k e y > < s t r i n g > 0B53>@8X0  ?@>5:B  < / s t r i n g > < / k e y > < v a l u e > < i n t > 2 1 6 < / i n t > < / v a l u e > < / i t e m > < i t e m > < k e y > < s t r i n g > 7=>A1 < / s t r i n g > < / k e y > < v a l u e > < i n t > 1 0 1 < / i n t > < / v a l u e > < / i t e m > < / C o l u m n W i d t h s > < C o l u m n D i s p l a y I n d e x > < i t e m > < k e y > < s t r i n g > >=B>< / s t r i n g > < / k e y > < v a l u e > < i n t > 0 < / i n t > < / v a l u e > < / i t e m > < i t e m > < k e y > < s t r i n g > 5@8>4< / s t r i n g > < / k e y > < v a l u e > < i n t > 1 < / i n t > < / v a l u e > < / i t e m > < i t e m > < k e y > < s t r i n g > &5=0< / s t r i n g > < / k e y > < v a l u e > < i n t > 1 0 < / i n t > < / v a l u e > < / i t e m > < i t e m > < k e y > < s t r i n g > !B02:0< / s t r i n g > < / k e y > < v a l u e > < i n t > 2 < / i n t > < / v a l u e > < / i t e m > < i t e m > < k e y > < s t r i n g > >;8G8=0< / s t r i n g > < / k e y > < v a l u e > < i n t > 9 < / i n t > < / v a l u e > < / i t e m > < i t e m > < k e y > < s t r i n g > -   D8=0=A8A:8  ?;0=< / s t r i n g > < / k e y > < v a l u e > < i n t > 3 < / i n t > < / v a l u e > < / i t e m > < i t e m > < k e y > < s t r i n g > - D8=0=A8A:8  8725HB0X< / s t r i n g > < / k e y > < v a l u e > < i n t > 4 < / i n t > < / v a l u e > < / i t e m > < i t e m > < k e y > < s t r i n g > - $  =>2< / s t r i n g > < / k e y > < v a l u e > < i n t > 5 < / i n t > < / v a l u e > < / i t e m > < i t e m > < k e y > < s t r i n g > - >48H=8  A<5B:8< / s t r i n g > < / k e y > < v a l u e > < i n t > 6 < / i n t > < / v a l u e > < / i t e m > < i t e m > < k e y > < s t r i n g > - < / s t r i n g > < / k e y > < v a l u e > < i n t > 7 < / i n t > < / v a l u e > < / i t e m > < i t e m > < k e y > < s t r i n g > 7=>A  1 < / s t r i n g > < / k e y > < v a l u e > < i n t > 8 < / i n t > < / v a l u e > < / i t e m > < i t e m > < k e y > < s t r i n g > 0B53>@8X0  ?@>5:B  < / s t r i n g > < / k e y > < v a l u e > < i n t > 1 1 < / i n t > < / v a l u e > < / i t e m > < i t e m > < k e y > < s t r i n g > 7=>A1 < / s t r i n g > < / k e y > < v a l u e > < i n t > 1 2 < / i n t > < / v a l u e > < / i t e m > < / C o l u m n D i s p l a y I n d e x > < C o l u m n F r o z e n   / > < C o l u m n C h e c k e d   / > < C o l u m n F i l t e r > < i t e m > < k e y > < s t r i n g > -   D8=0=A8A:8  ?;0=< / s t r i n g > < / k e y > < v a l u e > < F i l t e r E x p r e s s i o n   x s i : n i l = " t r u e "   / > < / v a l u e > < / i t e m > < i t e m > < k e y > < s t r i n g > >=B>< / s t r i n g > < / k e y > < v a l u e > < F i l t e r E x p r e s s i o n   x s i : n i l = " t r u e "   / > < / v a l u e > < / i t e m > < / C o l u m n F i l t e r > < S e l e c t i o n F i l t e r > < i t e m > < k e y > < s t r i n g > -   D8=0=A8A:8  ?;0=< / s t r i n g > < / k e y > < v a l u e > < S e l e c t i o n F i l t e r > < S e l e c t i o n T y p e > S e l e c t < / S e l e c t i o n T y p e > < I t e m s > < a n y T y p e   x s i : t y p e = " x s d : s t r i n g " > 1 . 1 1 < / a n y T y p e > < / I t e m s > < / S e l e c t i o n F i l t e r > < / v a l u e > < / i t e m > < i t e m > < k e y > < s t r i n g > >=B>< / s t r i n g > < / k e y > < v a l u e > < S e l e c t i o n F i l t e r   x s i : n i l = " t r u e "   / > < / v a l u e > < / i t e m > < / S e l e c t i o n F i l t e r > < F i l t e r P a r a m e t e r s > < i t e m > < k e y > < s t r i n g > -   D8=0=A8A:8  ?;0=< / s t r i n g > < / k e y > < v a l u e > < C o m m a n d P a r a m e t e r s   / > < / v a l u e > < / i t e m > < i t e m > < k e y > < s t r i n g > >=B>< / s t r i n g > < / k e y > < v a l u e > < C o m m a n d P a r a m e t e r s   / > < / v a l u e > < / i t e m > < / F i l t e r P a r a m e t e r s > < I s S o r t D e s c e n d i n g > f a l s e < / I s S o r t D e s c e n d i n g > < / T a b l e W i d g e t G r i d S e r i a l i z a t i o n > ] ] > < / C u s t o m C o n t e n t > < / G e m i n i > 
</file>

<file path=customXml/item61.xml>��< ? x m l   v e r s i o n = " 1 . 0 "   e n c o d i n g = " U T F - 1 6 " ? > < G e m i n i   x m l n s = " h t t p : / / g e m i n i / p i v o t c u s t o m i z a t i o n / F o r m u l a B a r S t a t e " > < C u s t o m C o n t e n t > < ! [ C D A T A [ < S a n d b o x E d i t o r . F o r m u l a B a r S t a t e   x m l n s = " h t t p : / / s c h e m a s . d a t a c o n t r a c t . o r g / 2 0 0 4 / 0 7 / M i c r o s o f t . A n a l y s i s S e r v i c e s . C o m m o n "   x m l n s : i = " h t t p : / / w w w . w 3 . o r g / 2 0 0 1 / X M L S c h e m a - i n s t a n c e " > < H e i g h t > 8 1 < / H e i g h t > < / S a n d b o x E d i t o r . F o r m u l a B a r S t a t e > ] ] > < / C u s t o m C o n t e n t > < / G e m i n i > 
</file>

<file path=customXml/item62.xml>��< ? x m l   v e r s i o n = " 1 . 0 "   e n c o d i n g = " U T F - 1 6 " ? > < G e m i n i   x m l n s = " h t t p : / / g e m i n i / p i v o t c u s t o m i z a t i o n / T a b l e X M L _ d O b r a s c i _ d e 3 6 a 7 8 f - d b 6 4 - 4 c 5 e - 8 5 9 4 - 8 3 0 5 9 2 d 6 f b f 1 " > < C u s t o m C o n t e n t > < ! [ C D A T A [ < T a b l e W i d g e t G r i d S e r i a l i z a t i o n   x m l n s : x s i = " h t t p : / / w w w . w 3 . o r g / 2 0 0 1 / X M L S c h e m a - i n s t a n c e "   x m l n s : x s d = " h t t p : / / w w w . w 3 . o r g / 2 0 0 1 / X M L S c h e m a " > < C o l u m n S u g g e s t e d T y p e   / > < C o l u m n F o r m a t   / > < C o l u m n A c c u r a c y   / > < C o l u m n C u r r e n c y S y m b o l   / > < C o l u m n P o s i t i v e P a t t e r n   / > < C o l u m n N e g a t i v e P a t t e r n   / > < C o l u m n W i d t h s > < i t e m > < k e y > < s t r i n g > O b r a z e c I D < / s t r i n g > < / k e y > < v a l u e > < i n t > 1 2 5 < / i n t > < / v a l u e > < / i t e m > < i t e m > < k e y > < s t r i n g > S t a v k a A O P < / s t r i n g > < / k e y > < v a l u e > < i n t > 1 2 8 < / i n t > < / v a l u e > < / i t e m > < i t e m > < k e y > < s t r i n g > S t a v k a I D < / s t r i n g > < / k e y > < v a l u e > < i n t > 1 1 2 < / i n t > < / v a l u e > < / i t e m > < i t e m > < k e y > < s t r i n g > S t a v k a I m e M K < / s t r i n g > < / k e y > < v a l u e > < i n t > 1 5 0 < / i n t > < / v a l u e > < / i t e m > < / C o l u m n W i d t h s > < C o l u m n D i s p l a y I n d e x > < i t e m > < k e y > < s t r i n g > O b r a z e c I D < / s t r i n g > < / k e y > < v a l u e > < i n t > 0 < / i n t > < / v a l u e > < / i t e m > < i t e m > < k e y > < s t r i n g > S t a v k a A O P < / s t r i n g > < / k e y > < v a l u e > < i n t > 1 < / i n t > < / v a l u e > < / i t e m > < i t e m > < k e y > < s t r i n g > S t a v k a I D < / s t r i n g > < / k e y > < v a l u e > < i n t > 2 < / i n t > < / v a l u e > < / i t e m > < i t e m > < k e y > < s t r i n g > S t a v k a I m e M K < / s t r i n g > < / k e y > < v a l u e > < i n t > 3 < / i n t > < / v a l u e > < / i t e m > < / C o l u m n D i s p l a y I n d e x > < C o l u m n F r o z e n   / > < C o l u m n C h e c k e d   / > < C o l u m n F i l t e r   / > < S e l e c t i o n F i l t e r   / > < F i l t e r P a r a m e t e r s   / > < I s S o r t D e s c e n d i n g > f a l s e < / I s S o r t D e s c e n d i n g > < / T a b l e W i d g e t G r i d S e r i a l i z a t i o n > ] ] > < / C u s t o m C o n t e n t > < / G e m i n i > 
</file>

<file path=customXml/item63.xml>��< ? x m l   v e r s i o n = " 1 . 0 "   e n c o d i n g = " U T F - 1 6 " ? > < G e m i n i   x m l n s = " h t t p : / / g e m i n i / p i v o t c u s t o m i z a t i o n / T a b l e X M L _ f A r t i k l i C e n i _ 1 e e b 4 7 b c - 6 3 6 6 - 4 c 0 0 - 9 2 b 5 - 9 f 6 a c 3 4 5 8 1 2 f " > < C u s t o m C o n t e n t > < ! [ C D A T A [ < T a b l e W i d g e t G r i d S e r i a l i z a t i o n   x m l n s : x s i = " h t t p : / / w w w . w 3 . o r g / 2 0 0 1 / X M L S c h e m a - i n s t a n c e "   x m l n s : x s d = " h t t p : / / w w w . w 3 . o r g / 2 0 0 1 / X M L S c h e m a " > < C o l u m n S u g g e s t e d T y p e   / > < C o l u m n F o r m a t   / > < C o l u m n A c c u r a c y   / > < C o l u m n C u r r e n c y S y m b o l   / > < C o l u m n P o s i t i v e P a t t e r n   / > < C o l u m n N e g a t i v e P a t t e r n   / > < C o l u m n W i d t h s > < i t e m > < k e y > < s t r i n g > @B8:;  < / s t r i n g > < / k e y > < v a l u e > < i n t > 1 2 8 < / i n t > < / v a l u e > < / i t e m > < i t e m > < k e y > < s t r i n g > @B8:;  =0782< / s t r i n g > < / k e y > < v a l u e > < i n t > 1 5 0 < / i n t > < / v a l u e > < / i t e m > < i t e m > < k e y > < s t r i n g > 0B53>@8X0  @B8:;  < / s t r i n g > < / k e y > < v a l u e > < i n t > 2 1 8 < / i n t > < / v a l u e > < / i t e m > < i t e m > < k e y > < s t r i n g > 0B53>@8X0  @B8:;< / s t r i n g > < / k e y > < v a l u e > < i n t > 1 9 0 < / i n t > < / v a l u e > < / i t e m > < i t e m > < k e y > < s t r i n g > "8?  =0  0@B8:;< / s t r i n g > < / k e y > < v a l u e > < i n t > 1 5 3 < / i n t > < / v a l u e > < / i t e m > < i t e m > < k e y > < s t r i n g > 48=5G=0  <5@:0< / s t r i n g > < / k e y > < v a l u e > < i n t > 1 7 4 < / i n t > < / v a l u e > < / i t e m > < i t e m > < k e y > < s t r i n g > >;8G8=0< / s t r i n g > < / k e y > < v a l u e > < i n t > 1 2 1 < / i n t > < / v a l u e > < / i t e m > < i t e m > < k e y > < s t r i n g > 48=5G=0  F5=0< / s t r i n g > < / k e y > < v a l u e > < i n t > 1 6 2 < / i n t > < / v a l u e > < / i t e m > < i t e m > < k e y > < s t r i n g > :C?=>  B@>H>:< / s t r i n g > < / k e y > < v a l u e > < i n t > 1 6 5 < / i n t > < / v a l u e > < / i t e m > < i t e m > < k e y > < s t r i n g > < / s t r i n g > < / k e y > < v a l u e > < i n t > 7 7 < / i n t > < / v a l u e > < / i t e m > < i t e m > < k e y > < s t r i n g > :C?=>  B@>H>:  A>  < / s t r i n g > < / k e y > < v a l u e > < i n t > 2 2 5 < / i n t > < / v a l u e > < / i t e m > < i t e m > < k e y > < s t r i n g > >=B>< / s t r i n g > < / k e y > < v a l u e > < i n t > 9 0 < / i n t > < / v a l u e > < / i t e m > < i t e m > < k e y > < s t r i n g > S t a v k a I m e M K < / s t r i n g > < / k e y > < v a l u e > < i n t > 1 5 0 < / i n t > < / v a l u e > < / i t e m > < i t e m > < k e y > < s t r i n g > S t a v k a A O P < / s t r i n g > < / k e y > < v a l u e > < i n t > 1 2 8 < / i n t > < / v a l u e > < / i t e m > < i t e m > < k e y > < s t r i n g > S t a v k a G r u p a < / s t r i n g > < / k e y > < v a l u e > < i n t > 1 4 2 < / i n t > < / v a l u e > < / i t e m > < i t e m > < k e y > < s t r i n g > S t a v k a K a t e g o r i j a < / s t r i n g > < / k e y > < v a l u e > < i n t > 1 7 2 < / i n t > < / v a l u e > < / i t e m > < i t e m > < k e y > < s t r i n g > 5@8>4< / s t r i n g > < / k e y > < v a l u e > < i n t > 1 0 4 < / i n t > < / v a l u e > < / i t e m > < i t e m > < k e y > < s t r i n g > R e p o r t T y p e < / s t r i n g > < / k e y > < v a l u e > < i n t > 1 3 1 < / i n t > < / v a l u e > < / i t e m > < i t e m > < k e y > < s t r i n g > O b r a z e c I m e < / s t r i n g > < / k e y > < v a l u e > < i n t > 1 3 7 < / i n t > < / v a l u e > < / i t e m > < i t e m > < k e y > < s t r i n g > A O P - S t a v k a I m e < / s t r i n g > < / k e y > < v a l u e > < i n t > 4 1 0 < / i n t > < / v a l u e > < / i t e m > < / C o l u m n W i d t h s > < C o l u m n D i s p l a y I n d e x > < i t e m > < k e y > < s t r i n g > @B8:;  < / s t r i n g > < / k e y > < v a l u e > < i n t > 0 < / i n t > < / v a l u e > < / i t e m > < i t e m > < k e y > < s t r i n g > @B8:;  =0782< / s t r i n g > < / k e y > < v a l u e > < i n t > 1 < / i n t > < / v a l u e > < / i t e m > < i t e m > < k e y > < s t r i n g > 0B53>@8X0  @B8:;  < / s t r i n g > < / k e y > < v a l u e > < i n t > 2 < / i n t > < / v a l u e > < / i t e m > < i t e m > < k e y > < s t r i n g > 0B53>@8X0  @B8:;< / s t r i n g > < / k e y > < v a l u e > < i n t > 3 < / i n t > < / v a l u e > < / i t e m > < i t e m > < k e y > < s t r i n g > "8?  =0  0@B8:;< / s t r i n g > < / k e y > < v a l u e > < i n t > 4 < / i n t > < / v a l u e > < / i t e m > < i t e m > < k e y > < s t r i n g > 48=5G=0  <5@:0< / s t r i n g > < / k e y > < v a l u e > < i n t > 5 < / i n t > < / v a l u e > < / i t e m > < i t e m > < k e y > < s t r i n g > >;8G8=0< / s t r i n g > < / k e y > < v a l u e > < i n t > 6 < / i n t > < / v a l u e > < / i t e m > < i t e m > < k e y > < s t r i n g > 48=5G=0  F5=0< / s t r i n g > < / k e y > < v a l u e > < i n t > 7 < / i n t > < / v a l u e > < / i t e m > < i t e m > < k e y > < s t r i n g > :C?=>  B@>H>:< / s t r i n g > < / k e y > < v a l u e > < i n t > 8 < / i n t > < / v a l u e > < / i t e m > < i t e m > < k e y > < s t r i n g > < / s t r i n g > < / k e y > < v a l u e > < i n t > 9 < / i n t > < / v a l u e > < / i t e m > < i t e m > < k e y > < s t r i n g > :C?=>  B@>H>:  A>  < / s t r i n g > < / k e y > < v a l u e > < i n t > 1 0 < / i n t > < / v a l u e > < / i t e m > < i t e m > < k e y > < s t r i n g > >=B>< / s t r i n g > < / k e y > < v a l u e > < i n t > 1 1 < / i n t > < / v a l u e > < / i t e m > < i t e m > < k e y > < s t r i n g > S t a v k a I m e M K < / s t r i n g > < / k e y > < v a l u e > < i n t > 1 2 < / i n t > < / v a l u e > < / i t e m > < i t e m > < k e y > < s t r i n g > S t a v k a A O P < / s t r i n g > < / k e y > < v a l u e > < i n t > 1 3 < / i n t > < / v a l u e > < / i t e m > < i t e m > < k e y > < s t r i n g > S t a v k a G r u p a < / s t r i n g > < / k e y > < v a l u e > < i n t > 1 4 < / i n t > < / v a l u e > < / i t e m > < i t e m > < k e y > < s t r i n g > S t a v k a K a t e g o r i j a < / s t r i n g > < / k e y > < v a l u e > < i n t > 1 5 < / i n t > < / v a l u e > < / i t e m > < i t e m > < k e y > < s t r i n g > 5@8>4< / s t r i n g > < / k e y > < v a l u e > < i n t > 1 7 < / i n t > < / v a l u e > < / i t e m > < i t e m > < k e y > < s t r i n g > R e p o r t T y p e < / s t r i n g > < / k e y > < v a l u e > < i n t > 1 8 < / i n t > < / v a l u e > < / i t e m > < i t e m > < k e y > < s t r i n g > O b r a z e c I m e < / s t r i n g > < / k e y > < v a l u e > < i n t > 1 6 < / i n t > < / v a l u e > < / i t e m > < i t e m > < k e y > < s t r i n g > A O P - S t a v k a I m e < / s t r i n g > < / k e y > < v a l u e > < i n t > 1 9 < / i n t > < / v a l u e > < / i t e m > < / C o l u m n D i s p l a y I n d e x > < C o l u m n F r o z e n   / > < C o l u m n C h e c k e d   / > < C o l u m n F i l t e r   / > < S e l e c t i o n F i l t e r   / > < F i l t e r P a r a m e t e r s   / > < I s S o r t D e s c e n d i n g > f a l s e < / I s S o r t D e s c e n d i n g > < / T a b l e W i d g e t G r i d S e r i a l i z a t i o n > ] ] > < / C u s t o m C o n t e n t > < / G e m i n i > 
</file>

<file path=customXml/item64.xml>��< ? x m l   v e r s i o n = " 1 . 0 "   e n c o d i n g = " U T F - 1 6 " ? > < G e m i n i   x m l n s = " h t t p : / / g e m i n i / p i v o t c u s t o m i z a t i o n / T a b l e X M L _ r A r t i k l i _ H R _ A n a l i z a _ 2 3 6 e 5 9 9 8 - 7 0 c c - 4 c a a - 8 4 6 9 - 2 6 f 3 a 0 e 6 6 b d c " > < C u s t o m C o n t e n t > < ! [ C D A T A [ < T a b l e W i d g e t G r i d S e r i a l i z a t i o n   x m l n s : x s d = " h t t p : / / w w w . w 3 . o r g / 2 0 0 1 / X M L S c h e m a "   x m l n s : x s i = " h t t p : / / w w w . w 3 . o r g / 2 0 0 1 / X M L S c h e m a - i n s t a n c e " > < C o l u m n S u g g e s t e d T y p e   / > < C o l u m n F o r m a t   / > < C o l u m n A c c u r a c y   / > < C o l u m n C u r r e n c y S y m b o l   / > < C o l u m n P o s i t i v e P a t t e r n   / > < C o l u m n N e g a t i v e P a t t e r n   / > < C o l u m n W i d t h s > < i t e m > < k e y > < s t r i n g > !B02:0< / s t r i n g > < / k e y > < v a l u e > < i n t > 7 8 < / i n t > < / v a l u e > < / i t e m > < i t e m > < k e y > < s t r i n g > 0B53>@8X0  @B8:;< / s t r i n g > < / k e y > < v a l u e > < i n t > 1 5 4 < / i n t > < / v a l u e > < / i t e m > < i t e m > < k e y > < s t r i n g > "8?  =0  0@B8:;< / s t r i n g > < / k e y > < v a l u e > < i n t > 1 2 3 < / i n t > < / v a l u e > < / i t e m > < i t e m > < k e y > < s t r i n g > 48=5G=0  <5@:0< / s t r i n g > < / k e y > < v a l u e > < i n t > 1 4 0 < / i n t > < / v a l u e > < / i t e m > < i t e m > < k e y > < s t r i n g > >;8G8=0< / s t r i n g > < / k e y > < v a l u e > < i n t > 9 8 < / i n t > < / v a l u e > < / i t e m > < i t e m > < k e y > < s t r i n g > 48=5G=0  F5=0< / s t r i n g > < / k e y > < v a l u e > < i n t > 1 3 1 < / i n t > < / v a l u e > < / i t e m > < i t e m > < k e y > < s t r i n g > :C?=>  B@>H>:< / s t r i n g > < / k e y > < v a l u e > < i n t > 1 3 3 < / i n t > < / v a l u e > < / i t e m > < i t e m > < k e y > < s t r i n g > < / s t r i n g > < / k e y > < v a l u e > < i n t > 6 4 < / i n t > < / v a l u e > < / i t e m > < i t e m > < k e y > < s t r i n g > 7=>A< / s t r i n g > < / k e y > < v a l u e > < i n t > 7 4 < / i n t > < / v a l u e > < / i t e m > < i t e m > < k e y > < s t r i n g > >=B>< / s t r i n g > < / k e y > < v a l u e > < i n t > 7 4 < / i n t > < / v a l u e > < / i t e m > < i t e m > < k e y > < s t r i n g > R e p o r t T y p e < / s t r i n g > < / k e y > < v a l u e > < i n t > 1 0 7 < / i n t > < / v a l u e > < / i t e m > < i t e m > < k e y > < s t r i n g > 5@8>4< / s t r i n g > < / k e y > < v a l u e > < i n t > 8 5 < / i n t > < / v a l u e > < / i t e m > < i t e m > < k e y > < s t r i n g > S t a v k a I m e M K < / s t r i n g > < / k e y > < v a l u e > < i n t > 1 2 0 < / i n t > < / v a l u e > < / i t e m > < i t e m > < k e y > < s t r i n g > S t a v k a A O P < / s t r i n g > < / k e y > < v a l u e > < i n t > 1 0 3 < / i n t > < / v a l u e > < / i t e m > < i t e m > < k e y > < s t r i n g > S t a v k a G r u p a < / s t r i n g > < / k e y > < v a l u e > < i n t > 1 1 3 < / i n t > < / v a l u e > < / i t e m > < i t e m > < k e y > < s t r i n g > S t a v k a K a t e g o r i j a < / s t r i n g > < / k e y > < v a l u e > < i n t > 1 3 9 < / i n t > < / v a l u e > < / i t e m > < i t e m > < k e y > < s t r i n g > O b r a z e c I m e < / s t r i n g > < / k e y > < v a l u e > < i n t > 1 1 0 < / i n t > < / v a l u e > < / i t e m > < i t e m > < k e y > < s t r i n g > "8?  =0  2@01>BC20Z5< / s t r i n g > < / k e y > < v a l u e > < i n t > 1 6 4 < / i n t > < / v a l u e > < / i t e m > < i t e m > < k e y > < s t r i n g > ;0=8@0=  ?@8;82/ ( >4;82) < / s t r i n g > < / k e y > < v a l u e > < i n t > 2 0 4 < / i n t > < / v a l u e > < / i t e m > < i t e m > < k e y > < s t r i n g > @0X=0  A>AB>X10  2@01>B5=8< / s t r i n g > < / k e y > < v a l u e > < i n t > 2 0 5 < / i n t > < / v a l u e > < / i t e m > < i t e m > < k e y > < s t r i n g > S t a v k a K a t e g o r i j a . 1 < / s t r i n g > < / k e y > < v a l u e > < i n t > 1 5 0 < / i n t > < / v a l u e > < / i t e m > < / C o l u m n W i d t h s > < C o l u m n D i s p l a y I n d e x > < i t e m > < k e y > < s t r i n g > !B02:0< / s t r i n g > < / k e y > < v a l u e > < i n t > 0 < / i n t > < / v a l u e > < / i t e m > < i t e m > < k e y > < s t r i n g > 0B53>@8X0  @B8:;< / s t r i n g > < / k e y > < v a l u e > < i n t > 1 < / i n t > < / v a l u e > < / i t e m > < i t e m > < k e y > < s t r i n g > "8?  =0  0@B8:;< / s t r i n g > < / k e y > < v a l u e > < i n t > 2 < / i n t > < / v a l u e > < / i t e m > < i t e m > < k e y > < s t r i n g > 48=5G=0  <5@:0< / s t r i n g > < / k e y > < v a l u e > < i n t > 3 < / i n t > < / v a l u e > < / i t e m > < i t e m > < k e y > < s t r i n g > >;8G8=0< / s t r i n g > < / k e y > < v a l u e > < i n t > 4 < / i n t > < / v a l u e > < / i t e m > < i t e m > < k e y > < s t r i n g > 48=5G=0  F5=0< / s t r i n g > < / k e y > < v a l u e > < i n t > 5 < / i n t > < / v a l u e > < / i t e m > < i t e m > < k e y > < s t r i n g > :C?=>  B@>H>:< / s t r i n g > < / k e y > < v a l u e > < i n t > 6 < / i n t > < / v a l u e > < / i t e m > < i t e m > < k e y > < s t r i n g > < / s t r i n g > < / k e y > < v a l u e > < i n t > 7 < / i n t > < / v a l u e > < / i t e m > < i t e m > < k e y > < s t r i n g > 7=>A< / s t r i n g > < / k e y > < v a l u e > < i n t > 8 < / i n t > < / v a l u e > < / i t e m > < i t e m > < k e y > < s t r i n g > >=B>< / s t r i n g > < / k e y > < v a l u e > < i n t > 9 < / i n t > < / v a l u e > < / i t e m > < i t e m > < k e y > < s t r i n g > R e p o r t T y p e < / s t r i n g > < / k e y > < v a l u e > < i n t > 1 0 < / i n t > < / v a l u e > < / i t e m > < i t e m > < k e y > < s t r i n g > 5@8>4< / s t r i n g > < / k e y > < v a l u e > < i n t > 1 1 < / i n t > < / v a l u e > < / i t e m > < i t e m > < k e y > < s t r i n g > S t a v k a I m e M K < / s t r i n g > < / k e y > < v a l u e > < i n t > 1 2 < / i n t > < / v a l u e > < / i t e m > < i t e m > < k e y > < s t r i n g > S t a v k a A O P < / s t r i n g > < / k e y > < v a l u e > < i n t > 1 3 < / i n t > < / v a l u e > < / i t e m > < i t e m > < k e y > < s t r i n g > S t a v k a G r u p a < / s t r i n g > < / k e y > < v a l u e > < i n t > 1 4 < / i n t > < / v a l u e > < / i t e m > < i t e m > < k e y > < s t r i n g > S t a v k a K a t e g o r i j a < / s t r i n g > < / k e y > < v a l u e > < i n t > 1 5 < / i n t > < / v a l u e > < / i t e m > < i t e m > < k e y > < s t r i n g > O b r a z e c I m e < / s t r i n g > < / k e y > < v a l u e > < i n t > 1 6 < / i n t > < / v a l u e > < / i t e m > < i t e m > < k e y > < s t r i n g > "8?  =0  2@01>BC20Z5< / s t r i n g > < / k e y > < v a l u e > < i n t > 1 7 < / i n t > < / v a l u e > < / i t e m > < i t e m > < k e y > < s t r i n g > ;0=8@0=  ?@8;82/ ( >4;82) < / s t r i n g > < / k e y > < v a l u e > < i n t > 1 8 < / i n t > < / v a l u e > < / i t e m > < i t e m > < k e y > < s t r i n g > @0X=0  A>AB>X10  2@01>B5=8< / s t r i n g > < / k e y > < v a l u e > < i n t > 1 9 < / i n t > < / v a l u e > < / i t e m > < i t e m > < k e y > < s t r i n g > S t a v k a K a t e g o r i j a . 1 < / s t r i n g > < / k e y > < v a l u e > < i n t > 2 0 < / i n t > < / v a l u e > < / i t e m > < / C o l u m n D i s p l a y I n d e x > < C o l u m n F r o z e n   / > < C o l u m n C h e c k e d   / > < C o l u m n F i l t e r   / > < S e l e c t i o n F i l t e r   / > < F i l t e r P a r a m e t e r s   / > < I s S o r t D e s c e n d i n g > f a l s e < / I s S o r t D e s c e n d i n g > < / T a b l e W i d g e t G r i d S e r i a l i z a t i o n > ] ] > < / C u s t o m C o n t e n t > < / G e m i n i > 
</file>

<file path=customXml/item65.xml>��< ? x m l   v e r s i o n = " 1 . 0 "   e n c o d i n g = " U T F - 1 6 " ? > < G e m i n i   x m l n s = " h t t p : / / g e m i n i / p i v o t c u s t o m i z a t i o n / T a b l e X M L _ f O P E X   -   _ f 8 1 7 0 a e c - d 5 4 8 - 4 6 c 6 - b b d a - d d 9 c f f 2 5 4 e 0 1 " > < C u s t o m C o n t e n t > < ! [ C D A T A [ < T a b l e W i d g e t G r i d S e r i a l i z a t i o n   x m l n s : x s d = " h t t p : / / w w w . w 3 . o r g / 2 0 0 1 / X M L S c h e m a "   x m l n s : x s i = " h t t p : / / w w w . w 3 . o r g / 2 0 0 1 / X M L S c h e m a - i n s t a n c e " > < C o l u m n S u g g e s t e d T y p e   / > < C o l u m n F o r m a t   / > < C o l u m n A c c u r a c y   / > < C o l u m n C u r r e n c y S y m b o l   / > < C o l u m n P o s i t i v e P a t t e r n   / > < C o l u m n N e g a t i v e P a t t e r n   / > < C o l u m n W i d t h s > < i t e m > < k e y > < s t r i n g > >=B>< / s t r i n g > < / k e y > < v a l u e > < i n t > 7 4 < / i n t > < / v a l u e > < / i t e m > < i t e m > < k e y > < s t r i n g > @54<5B  =0  X02=0  =0102:0< / s t r i n g > < / k e y > < v a l u e > < i n t > 2 0 1 < / i n t > < / v a l u e > < / i t e m > < i t e m > < k e y > < s t r i n g > @542845=  40BC<  =0  =0102:0< / s t r i n g > < / k e y > < v a l u e > < i n t > 2 2 1 < / i n t > < / v a l u e > < / i t e m > < i t e m > < k e y > < s t r i n g > @>F5=5B0  2@54=>AB  =0  =0102:0  A>    ( 45=0@8) < / s t r i n g > < / k e y > < v a l u e > < i n t > 3 4 8 < / i n t > < / v a l u e > < / i t e m > < i t e m > < k e y > < s t r i n g > R e p o r t T y p e < / s t r i n g > < / k e y > < v a l u e > < i n t > 1 0 7 < / i n t > < / v a l u e > < / i t e m > < / C o l u m n W i d t h s > < C o l u m n D i s p l a y I n d e x > < i t e m > < k e y > < s t r i n g > >=B>< / s t r i n g > < / k e y > < v a l u e > < i n t > 0 < / i n t > < / v a l u e > < / i t e m > < i t e m > < k e y > < s t r i n g > @54<5B  =0  X02=0  =0102:0< / s t r i n g > < / k e y > < v a l u e > < i n t > 1 < / i n t > < / v a l u e > < / i t e m > < i t e m > < k e y > < s t r i n g > @542845=  40BC<  =0  =0102:0< / s t r i n g > < / k e y > < v a l u e > < i n t > 2 < / i n t > < / v a l u e > < / i t e m > < i t e m > < k e y > < s t r i n g > @>F5=5B0  2@54=>AB  =0  =0102:0  A>    ( 45=0@8) < / s t r i n g > < / k e y > < v a l u e > < i n t > 3 < / i n t > < / v a l u e > < / i t e m > < i t e m > < k e y > < s t r i n g > R e p o r t T y p e < / s t r i n g > < / k e y > < v a l u e > < i n t > 4 < / i n t > < / v a l u e > < / i t e m > < / C o l u m n D i s p l a y I n d e x > < C o l u m n F r o z e n   / > < C o l u m n C h e c k e d   / > < C o l u m n F i l t e r   / > < S e l e c t i o n F i l t e r   / > < F i l t e r P a r a m e t e r s   / > < I s S o r t D e s c e n d i n g > f a l s e < / I s S o r t D e s c e n d i n g > < / T a b l e W i d g e t G r i d S e r i a l i z a t i o n > ] ] > < / C u s t o m C o n t e n t > < / G e m i n i > 
</file>

<file path=customXml/item66.xml>��< ? x m l   v e r s i o n = " 1 . 0 "   e n c o d i n g = " U T F - 1 6 " ? > < G e m i n i   x m l n s = " h t t p : / / g e m i n i / p i v o t c u s t o m i z a t i o n / T a b l e X M L _ d K o n t e n P l a n _ 9 8 e 5 6 e 1 7 - 6 6 9 f - 4 6 a 0 - a 3 8 0 - 1 4 3 3 8 3 d 4 d a 3 f " > < C u s t o m C o n t e n t > < ! [ C D A T A [ < T a b l e W i d g e t G r i d S e r i a l i z a t i o n   x m l n s : x s i = " h t t p : / / w w w . w 3 . o r g / 2 0 0 1 / X M L S c h e m a - i n s t a n c e "   x m l n s : x s d = " h t t p : / / w w w . w 3 . o r g / 2 0 0 1 / X M L S c h e m a " > < C o l u m n S u g g e s t e d T y p e   / > < C o l u m n F o r m a t   / > < C o l u m n A c c u r a c y   / > < C o l u m n C u r r e n c y S y m b o l   / > < C o l u m n P o s i t i v e P a t t e r n   / > < C o l u m n N e g a t i v e P a t t e r n   / > < C o l u m n W i d t h s > < i t e m > < k e y > < s t r i n g > S t a v k a I m e M K < / s t r i n g > < / k e y > < v a l u e > < i n t > 1 5 0 < / i n t > < / v a l u e > < / i t e m > < i t e m > < k e y > < s t r i n g > S t a v k a A O P < / s t r i n g > < / k e y > < v a l u e > < i n t > 1 2 8 < / i n t > < / v a l u e > < / i t e m > < i t e m > < k e y > < s t r i n g > S t a v k a I D < / s t r i n g > < / k e y > < v a l u e > < i n t > 1 1 2 < / i n t > < / v a l u e > < / i t e m > < i t e m > < k e y > < s t r i n g > O b r a z e c I D < / s t r i n g > < / k e y > < v a l u e > < i n t > 1 2 5 < / i n t > < / v a l u e > < / i t e m > < i t e m > < k e y > < s t r i n g > T i p I z v e s t a j I D < / s t r i n g > < / k e y > < v a l u e > < i n t > 1 4 4 < / i n t > < / v a l u e > < / i t e m > < i t e m > < k e y > < s t r i n g > N a z i v   n a   k o n t o < / s t r i n g > < / k e y > < v a l u e > < i n t > 1 5 6 < / i n t > < / v a l u e > < / i t e m > < i t e m > < k e y > < s t r i n g > K o n t o < / s t r i n g > < / k e y > < v a l u e > < i n t > 8 9 < / i n t > < / v a l u e > < / i t e m > < i t e m > < k e y > < s t r i n g > S t a v k a I m e E N < / s t r i n g > < / k e y > < v a l u e > < i n t > 1 4 5 < / i n t > < / v a l u e > < / i t e m > < i t e m > < k e y > < s t r i n g > K l a s i f i k a c i j a P r a v i l n i k < / s t r i n g > < / k e y > < v a l u e > < i n t > 1 9 8 < / i n t > < / v a l u e > < / i t e m > < i t e m > < k e y > < s t r i n g > S t a v k a G r u p a I D < / s t r i n g > < / k e y > < v a l u e > < i n t > 1 6 0 < / i n t > < / v a l u e > < / i t e m > < i t e m > < k e y > < s t r i n g > S t a v k a G r u p a < / s t r i n g > < / k e y > < v a l u e > < i n t > 1 4 2 < / i n t > < / v a l u e > < / i t e m > < i t e m > < k e y > < s t r i n g > S t a v k a K a t e g o r i j a < / s t r i n g > < / k e y > < v a l u e > < i n t > 1 7 2 < / i n t > < / v a l u e > < / i t e m > < i t e m > < k e y > < s t r i n g > K l a s a < / s t r i n g > < / k e y > < v a l u e > < i n t > 8 3 < / i n t > < / v a l u e > < / i t e m > < i t e m > < k e y > < s t r i n g > Z n a k I z v e s t a j < / s t r i n g > < / k e y > < v a l u e > < i n t > 1 4 0 < / i n t > < / v a l u e > < / i t e m > < i t e m > < k e y > < s t r i n g > O b r a z e c I m e < / s t r i n g > < / k e y > < v a l u e > < i n t > 1 3 7 < / i n t > < / v a l u e > < / i t e m > < / C o l u m n W i d t h s > < C o l u m n D i s p l a y I n d e x > < i t e m > < k e y > < s t r i n g > S t a v k a I m e M K < / s t r i n g > < / k e y > < v a l u e > < i n t > 5 < / i n t > < / v a l u e > < / i t e m > < i t e m > < k e y > < s t r i n g > S t a v k a A O P < / s t r i n g > < / k e y > < v a l u e > < i n t > 6 < / i n t > < / v a l u e > < / i t e m > < i t e m > < k e y > < s t r i n g > S t a v k a I D < / s t r i n g > < / k e y > < v a l u e > < i n t > 4 < / i n t > < / v a l u e > < / i t e m > < i t e m > < k e y > < s t r i n g > O b r a z e c I D < / s t r i n g > < / k e y > < v a l u e > < i n t > 3 < / i n t > < / v a l u e > < / i t e m > < i t e m > < k e y > < s t r i n g > T i p I z v e s t a j I D < / s t r i n g > < / k e y > < v a l u e > < i n t > 2 < / i n t > < / v a l u e > < / i t e m > < i t e m > < k e y > < s t r i n g > N a z i v   n a   k o n t o < / s t r i n g > < / k e y > < v a l u e > < i n t > 1 < / i n t > < / v a l u e > < / i t e m > < i t e m > < k e y > < s t r i n g > K o n t o < / s t r i n g > < / k e y > < v a l u e > < i n t > 0 < / i n t > < / v a l u e > < / i t e m > < i t e m > < k e y > < s t r i n g > S t a v k a I m e E N < / s t r i n g > < / k e y > < v a l u e > < i n t > 7 < / i n t > < / v a l u e > < / i t e m > < i t e m > < k e y > < s t r i n g > K l a s i f i k a c i j a P r a v i l n i k < / s t r i n g > < / k e y > < v a l u e > < i n t > 8 < / i n t > < / v a l u e > < / i t e m > < i t e m > < k e y > < s t r i n g > S t a v k a G r u p a I D < / s t r i n g > < / k e y > < v a l u e > < i n t > 9 < / i n t > < / v a l u e > < / i t e m > < i t e m > < k e y > < s t r i n g > S t a v k a G r u p a < / s t r i n g > < / k e y > < v a l u e > < i n t > 1 0 < / i n t > < / v a l u e > < / i t e m > < i t e m > < k e y > < s t r i n g > S t a v k a K a t e g o r i j a < / s t r i n g > < / k e y > < v a l u e > < i n t > 1 1 < / i n t > < / v a l u e > < / i t e m > < i t e m > < k e y > < s t r i n g > K l a s a < / s t r i n g > < / k e y > < v a l u e > < i n t > 1 2 < / i n t > < / v a l u e > < / i t e m > < i t e m > < k e y > < s t r i n g > Z n a k I z v e s t a j < / s t r i n g > < / k e y > < v a l u e > < i n t > 1 3 < / i n t > < / v a l u e > < / i t e m > < i t e m > < k e y > < s t r i n g > O b r a z e c I m e < / s t r i n g > < / k e y > < v a l u e > < i n t > 1 4 < / i n t > < / v a l u e > < / i t e m > < / C o l u m n D i s p l a y I n d e x > < C o l u m n F r o z e n   / > < C o l u m n C h e c k e d   / > < C o l u m n F i l t e r   / > < S e l e c t i o n F i l t e r   / > < F i l t e r P a r a m e t e r s   / > < I s S o r t D e s c e n d i n g > f a l s e < / I s S o r t D e s c e n d i n g > < / T a b l e W i d g e t G r i d S e r i a l i z a t i o n > ] ] > < / C u s t o m C o n t e n t > < / G e m i n i > 
</file>

<file path=customXml/item67.xml>��< ? x m l   v e r s i o n = " 1 . 0 "   e n c o d i n g = " U T F - 1 6 " ? > < G e m i n i   x m l n s = " h t t p : / / g e m i n i / p i v o t c u s t o m i z a t i o n / T a b l e X M L _ d O b r a s c i _ a 3 d e f 5 d 4 - 0 8 b a - 4 2 d e - b f 4 b - 8 c a f d 2 2 6 b 7 c a " > < C u s t o m C o n t e n t > < ! [ C D A T A [ < T a b l e W i d g e t G r i d S e r i a l i z a t i o n   x m l n s : x s i = " h t t p : / / w w w . w 3 . o r g / 2 0 0 1 / X M L S c h e m a - i n s t a n c e "   x m l n s : x s d = " h t t p : / / w w w . w 3 . o r g / 2 0 0 1 / X M L S c h e m a " > < C o l u m n S u g g e s t e d T y p e   / > < C o l u m n F o r m a t   / > < C o l u m n A c c u r a c y   / > < C o l u m n C u r r e n c y S y m b o l   / > < C o l u m n P o s i t i v e P a t t e r n   / > < C o l u m n N e g a t i v e P a t t e r n   / > < C o l u m n W i d t h s > < i t e m > < k e y > < s t r i n g > T i p I z v e s t a j I D < / s t r i n g > < / k e y > < v a l u e > < i n t > 1 4 4 < / i n t > < / v a l u e > < / i t e m > < i t e m > < k e y > < s t r i n g > O b r a z e c I D < / s t r i n g > < / k e y > < v a l u e > < i n t > 1 2 5 < / i n t > < / v a l u e > < / i t e m > < i t e m > < k e y > < s t r i n g > O b r a z e c I m e < / s t r i n g > < / k e y > < v a l u e > < i n t > 1 3 7 < / i n t > < / v a l u e > < / i t e m > < / C o l u m n W i d t h s > < C o l u m n D i s p l a y I n d e x > < i t e m > < k e y > < s t r i n g > T i p I z v e s t a j I D < / s t r i n g > < / k e y > < v a l u e > < i n t > 0 < / i n t > < / v a l u e > < / i t e m > < i t e m > < k e y > < s t r i n g > O b r a z e c I D < / s t r i n g > < / k e y > < v a l u e > < i n t > 1 < / i n t > < / v a l u e > < / i t e m > < i t e m > < k e y > < s t r i n g > O b r a z e c I m e < / s t r i n g > < / k e y > < v a l u e > < i n t > 2 < / i n t > < / v a l u e > < / i t e m > < / C o l u m n D i s p l a y I n d e x > < C o l u m n F r o z e n   / > < C o l u m n C h e c k e d   / > < C o l u m n F i l t e r   / > < S e l e c t i o n F i l t e r   / > < F i l t e r P a r a m e t e r s   / > < I s S o r t D e s c e n d i n g > f a l s e < / I s S o r t D e s c e n d i n g > < / T a b l e W i d g e t G r i d S e r i a l i z a t i o n > ] ] > < / C u s t o m C o n t e n t > < / G e m i n i > 
</file>

<file path=customXml/item68.xml>��< ? x m l   v e r s i o n = " 1 . 0 "   e n c o d i n g = " U T F - 1 6 " ? > < G e m i n i   x m l n s = " h t t p : / / g e m i n i / p i v o t c u s t o m i z a t i o n / T a b l e W i d g e t " > < C u s t o m C o n t e n t > < ! [ C D A T A [ < A r r a y O f D i a g r a m M a n a g e r . S e r i a l i z a b l e D i a g r a m   x m l n s = " h t t p : / / s c h e m a s . d a t a c o n t r a c t . o r g / 2 0 0 4 / 0 7 / M i c r o s o f t . A n a l y s i s S e r v i c e s . C o m m o n "   x m l n s : i = " h t t p : / / w w w . w 3 . o r g / 2 0 0 1 / X M L S c h e m a - i n s t a n c e " > < D i a g r a m M a n a g e r . S e r i a l i z a b l e D i a g r a m > < A d a p t e r   i : t y p e = " T a b l e W i d g e t V i e w M o d e l S a n d b o x A d a p t e r " > < T a b l e N a m e > C A P E X < / 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 C A P E X < / 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48=0  70  @50;870F8X0  =0  ?@>5:B< / K e y > < / a : K e y > < a : V a l u e   i : t y p e = " T a b l e W i d g e t B a s e V i e w S t a t e " / > < / a : K e y V a l u e O f D i a g r a m O b j e c t K e y a n y T y p e z b w N T n L X > < a : K e y V a l u e O f D i a g r a m O b j e c t K e y a n y T y p e z b w N T n L X > < a : K e y > < K e y > C o l u m n s \ @>X  =0  X02=0  =0102:0  ( ?;0=) < / K e y > < / a : K e y > < a : V a l u e   i : t y p e = " T a b l e W i d g e t B a s e V i e w S t a t e " / > < / a : K e y V a l u e O f D i a g r a m O b j e c t K e y a n y T y p e z b w N T n L X > < a : K e y V a l u e O f D i a g r a m O b j e c t K e y a n y T y p e z b w N T n L X > < a : K e y > < K e y > C o l u m n s \ @54<5B  =0  4>3>2>@>B  70  X02=0  =0102:0< / K e y > < / a : K e y > < a : V a l u e   i : t y p e = " T a b l e W i d g e t B a s e V i e w S t a t e " / > < / a : K e y V a l u e O f D i a g r a m O b j e c t K e y a n y T y p e z b w N T n L X > < a : K e y V a l u e O f D i a g r a m O b j e c t K e y a n y T y p e z b w N T n L X > < a : K e y > < K e y > C o l u m n s \ G5:C20=  40BC<  =0  ?;0\0Z5< / K e y > < / a : K e y > < a : V a l u e   i : t y p e = " T a b l e W i d g e t B a s e V i e w S t a t e " / > < / a : K e y V a l u e O f D i a g r a m O b j e c t K e y a n y T y p e z b w N T n L X > < a : K e y V a l u e O f D i a g r a m O b j e c t K e y a n y T y p e z b w N T n L X > < a : K e y > < K e y > C o l u m n s \ G5:C20=  40BC<  70  AB020Z5  2>  C?>B@510  ( <5A5F) < / K e y > < / a : K e y > < a : V a l u e   i : t y p e = " T a b l e W i d g e t B a s e V i e w S t a t e " / > < / a : K e y V a l u e O f D i a g r a m O b j e c t K e y a n y T y p e z b w N T n L X > < a : K e y V a l u e O f D i a g r a m O b j e c t K e y a n y T y p e z b w N T n L X > < a : K e y > < K e y > C o l u m n s \ @>F5=5B0  2@54=>AB  =0  =0102:0  A>    ( 45=0@8) < / K e y > < / a : K e y > < a : V a l u e   i : t y p e = " T a b l e W i d g e t B a s e V i e w S t a t e " / > < / a : K e y V a l u e O f D i a g r a m O b j e c t K e y a n y T y p e z b w N T n L X > < a : K e y V a l u e O f D i a g r a m O b j e c t K e y a n y T y p e z b w N T n L X > < a : K e y > < K e y > C o l u m n s \ !B0?:0  =0  0<>@B870F8X0< / K e y > < / a : K e y > < a : V a l u e   i : t y p e = " T a b l e W i d g e t B a s e V i e w S t a t e " / > < / a : K e y V a l u e O f D i a g r a m O b j e c t K e y a n y T y p e z b w N T n L X > < a : K e y V a l u e O f D i a g r a m O b j e c t K e y a n y T y p e z b w N T n L X > < a : K e y > < K e y > C o l u m n s \ >=B>  !@54AB20< / K e y > < / a : K e y > < a : V a l u e   i : t y p e = " T a b l e W i d g e t B a s e V i e w S t a t e " / > < / a : K e y V a l u e O f D i a g r a m O b j e c t K e y a n y T y p e z b w N T n L X > < a : K e y V a l u e O f D i a g r a m O b j e c t K e y a n y T y p e z b w N T n L X > < a : K e y > < K e y > C o l u m n s \ >=B>  <>@B870F8X0< / K e y > < / a : K e y > < a : V a l u e   i : t y p e = " T a b l e W i d g e t B a s e V i e w S t a t e " / > < / a : K e y V a l u e O f D i a g r a m O b j e c t K e y a n y T y p e z b w N T n L X > < a : K e y V a l u e O f D i a g r a m O b j e c t K e y a n y T y p e z b w N T n L X > < a : K e y > < K e y > C o l u m n s \ 7=>A  4>=0F8X0< / K e y > < / a : K e y > < a : V a l u e   i : t y p e = " T a b l e W i d g e t B a s e V i e w S t a t e " / > < / a : K e y V a l u e O f D i a g r a m O b j e c t K e y a n y T y p e z b w N T n L X > < a : K e y V a l u e O f D i a g r a m O b j e c t K e y a n y T y p e z b w N T n L X > < a : K e y > < K e y > C o l u m n s \ G5:C20=  40BC<  =0  ?;0\0Z5  ( Y e a r ) < / K e y > < / a : K e y > < a : V a l u e   i : t y p e = " T a b l e W i d g e t B a s e V i e w S t a t e " / > < / a : K e y V a l u e O f D i a g r a m O b j e c t K e y a n y T y p e z b w N T n L X > < a : K e y V a l u e O f D i a g r a m O b j e c t K e y a n y T y p e z b w N T n L X > < a : K e y > < K e y > C o l u m n s \ G5:C20=  40BC<  =0  ?;0\0Z5  ( Q u a r t e r ) < / K e y > < / a : K e y > < a : V a l u e   i : t y p e = " T a b l e W i d g e t B a s e V i e w S t a t e " / > < / a : K e y V a l u e O f D i a g r a m O b j e c t K e y a n y T y p e z b w N T n L X > < a : K e y V a l u e O f D i a g r a m O b j e c t K e y a n y T y p e z b w N T n L X > < a : K e y > < K e y > C o l u m n s \ G5:C20=  40BC<  =0  ?;0\0Z5  ( M o n t h   I n d e x ) < / K e y > < / a : K e y > < a : V a l u e   i : t y p e = " T a b l e W i d g e t B a s e V i e w S t a t e " / > < / a : K e y V a l u e O f D i a g r a m O b j e c t K e y a n y T y p e z b w N T n L X > < a : K e y V a l u e O f D i a g r a m O b j e c t K e y a n y T y p e z b w N T n L X > < a : K e y > < K e y > C o l u m n s \ G5:C20=  40BC<  =0  ?;0\0Z5  ( M o n t h ) < / K e y > < / a : K e y > < a : V a l u e   i : t y p e = " T a b l e W i d g e t B a s e V i e w S t a t e " / > < / a : K e y V a l u e O f D i a g r a m O b j e c t K e y a n y T y p e z b w N T n L X > < a : K e y V a l u e O f D i a g r a m O b j e c t K e y a n y T y p e z b w N T n L X > < a : K e y > < K e y > C o l u m n s \ G5:C20=  40BC<  70  AB020Z5  2>  C?>B@510  ( <5A5F)   ( Y e a r ) < / K e y > < / a : K e y > < a : V a l u e   i : t y p e = " T a b l e W i d g e t B a s e V i e w S t a t e " / > < / a : K e y V a l u e O f D i a g r a m O b j e c t K e y a n y T y p e z b w N T n L X > < a : K e y V a l u e O f D i a g r a m O b j e c t K e y a n y T y p e z b w N T n L X > < a : K e y > < K e y > C o l u m n s \ G5:C20=  40BC<  70  AB020Z5  2>  C?>B@510  ( <5A5F)   ( Q u a r t e r ) < / K e y > < / a : K e y > < a : V a l u e   i : t y p e = " T a b l e W i d g e t B a s e V i e w S t a t e " / > < / a : K e y V a l u e O f D i a g r a m O b j e c t K e y a n y T y p e z b w N T n L X > < a : K e y V a l u e O f D i a g r a m O b j e c t K e y a n y T y p e z b w N T n L X > < a : K e y > < K e y > C o l u m n s \ G5:C20=  40BC<  70  AB020Z5  2>  C?>B@510  ( <5A5F)   ( M o n t h   I n d e x ) < / K e y > < / a : K e y > < a : V a l u e   i : t y p e = " T a b l e W i d g e t B a s e V i e w S t a t e " / > < / a : K e y V a l u e O f D i a g r a m O b j e c t K e y a n y T y p e z b w N T n L X > < a : K e y V a l u e O f D i a g r a m O b j e c t K e y a n y T y p e z b w N T n L X > < a : K e y > < K e y > C o l u m n s \ G5:C20=  40BC<  70  AB020Z5  2>  C?>B@510  ( <5A5F)   ( M o n t h ) < / 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 C a l e n d a r < / 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 C a l e n d a r < / 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 C o l u m n s \ D a t e < / K e y > < / a : K e y > < a : V a l u e   i : t y p e = " T a b l e W i d g e t B a s e V i e w S t a t e " / > < / a : K e y V a l u e O f D i a g r a m O b j e c t K e y a n y T y p e z b w N T n L X > < a : K e y V a l u e O f D i a g r a m O b j e c t K e y a n y T y p e z b w N T n L X > < a : K e y > < K e y > C o l u m n s \ >48=0< / K e y > < / a : K e y > < a : V a l u e   i : t y p e = " T a b l e W i d g e t B a s e V i e w S t a t e " / > < / a : K e y V a l u e O f D i a g r a m O b j e c t K e y a n y T y p e z b w N T n L X > < a : K e y V a l u e O f D i a g r a m O b j e c t K e y a n y T y p e z b w N T n L X > < a : K e y > < K e y > C o l u m n s \ M o n t h   N u m b e r < / K e y > < / a : K e y > < a : V a l u e   i : t y p e = " T a b l e W i d g e t B a s e V i e w S t a t e " / > < / a : K e y V a l u e O f D i a g r a m O b j e c t K e y a n y T y p e z b w N T n L X > < a : K e y V a l u e O f D i a g r a m O b j e c t K e y a n y T y p e z b w N T n L X > < a : K e y > < K e y > C o l u m n s \ 5A5F< / K e y > < / a : K e y > < a : V a l u e   i : t y p e = " T a b l e W i d g e t B a s e V i e w S t a t e " / > < / a : K e y V a l u e O f D i a g r a m O b j e c t K e y a n y T y p e z b w N T n L X > < a : K e y V a l u e O f D i a g r a m O b j e c t K e y a n y T y p e z b w N T n L X > < a : K e y > < K e y > C o l u m n s \ M M M - Y Y Y Y < / K e y > < / a : K e y > < a : V a l u e   i : t y p e = " T a b l e W i d g e t B a s e V i e w S t a t e " / > < / a : K e y V a l u e O f D i a g r a m O b j e c t K e y a n y T y p e z b w N T n L X > < a : K e y V a l u e O f D i a g r a m O b j e c t K e y a n y T y p e z b w N T n L X > < a : K e y > < K e y > C o l u m n s \ D a y   O f   W e e k   N u m b e r < / K e y > < / a : K e y > < a : V a l u e   i : t y p e = " T a b l e W i d g e t B a s e V i e w S t a t e " / > < / a : K e y V a l u e O f D i a g r a m O b j e c t K e y a n y T y p e z b w N T n L X > < a : K e y V a l u e O f D i a g r a m O b j e c t K e y a n y T y p e z b w N T n L X > < a : K e y > < K e y > C o l u m n s \ D a y   O f   W e e k < / K e y > < / a : K e y > < a : V a l u e   i : t y p e = " T a b l e W i d g e t B a s e V i e w S t a t e " / > < / a : K e y V a l u e O f D i a g r a m O b j e c t K e y a n y T y p e z b w N T n L X > < a : K e y V a l u e O f D i a g r a m O b j e c t K e y a n y T y p e z b w N T n L X > < a : K e y > < K e y > C o l u m n s \ 20@B0;< / 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 f O P E X < / 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 f O P E X < / 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=B>< / K e y > < / a : K e y > < a : V a l u e   i : t y p e = " T a b l e W i d g e t B a s e V i e w S t a t e " / > < / a : K e y V a l u e O f D i a g r a m O b j e c t K e y a n y T y p e z b w N T n L X > < a : K e y V a l u e O f D i a g r a m O b j e c t K e y a n y T y p e z b w N T n L X > < a : K e y > < K e y > C o l u m n s \ !B02:0< / K e y > < / a : K e y > < a : V a l u e   i : t y p e = " T a b l e W i d g e t B a s e V i e w S t a t e " / > < / a : K e y V a l u e O f D i a g r a m O b j e c t K e y a n y T y p e z b w N T n L X > < a : K e y V a l u e O f D i a g r a m O b j e c t K e y a n y T y p e z b w N T n L X > < a : K e y > < K e y > C o l u m n s \ 5@8>4< / K e y > < / a : K e y > < a : V a l u e   i : t y p e = " T a b l e W i d g e t B a s e V i e w S t a t e " / > < / a : K e y V a l u e O f D i a g r a m O b j e c t K e y a n y T y p e z b w N T n L X > < a : K e y V a l u e O f D i a g r a m O b j e c t K e y a n y T y p e z b w N T n L X > < a : K e y > < K e y > C o l u m n s \ 7=>A< / K e y > < / a : K e y > < a : V a l u e   i : t y p e = " T a b l e W i d g e t B a s e V i e w S t a t e " / > < / a : K e y V a l u e O f D i a g r a m O b j e c t K e y a n y T y p e z b w N T n L X > < a : K e y V a l u e O f D i a g r a m O b j e c t K e y a n y T y p e z b w N T n L X > < a : K e y > < K e y > C o l u m n s \ R e p o r t T y p e < / 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 O P E X A n a l i z a < / 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 O P E X A n a l i z a < / 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 C o l u m n s \ @B8:;  < / K e y > < / a : K e y > < a : V a l u e   i : t y p e = " T a b l e W i d g e t B a s e V i e w S t a t e " / > < / a : K e y V a l u e O f D i a g r a m O b j e c t K e y a n y T y p e z b w N T n L X > < a : K e y V a l u e O f D i a g r a m O b j e c t K e y a n y T y p e z b w N T n L X > < a : K e y > < K e y > C o l u m n s \ !B02:0< / K e y > < / a : K e y > < a : V a l u e   i : t y p e = " T a b l e W i d g e t B a s e V i e w S t a t e " / > < / a : K e y V a l u e O f D i a g r a m O b j e c t K e y a n y T y p e z b w N T n L X > < a : K e y V a l u e O f D i a g r a m O b j e c t K e y a n y T y p e z b w N T n L X > < a : K e y > < K e y > C o l u m n s \ 0B53>@8X0  @B8:;  < / K e y > < / a : K e y > < a : V a l u e   i : t y p e = " T a b l e W i d g e t B a s e V i e w S t a t e " / > < / a : K e y V a l u e O f D i a g r a m O b j e c t K e y a n y T y p e z b w N T n L X > < a : K e y V a l u e O f D i a g r a m O b j e c t K e y a n y T y p e z b w N T n L X > < a : K e y > < K e y > C o l u m n s \ 0B53>@8X0  @B8:;< / K e y > < / a : K e y > < a : V a l u e   i : t y p e = " T a b l e W i d g e t B a s e V i e w S t a t e " / > < / a : K e y V a l u e O f D i a g r a m O b j e c t K e y a n y T y p e z b w N T n L X > < a : K e y V a l u e O f D i a g r a m O b j e c t K e y a n y T y p e z b w N T n L X > < a : K e y > < K e y > C o l u m n s \ "8?  =0  0@B8:;< / K e y > < / a : K e y > < a : V a l u e   i : t y p e = " T a b l e W i d g e t B a s e V i e w S t a t e " / > < / a : K e y V a l u e O f D i a g r a m O b j e c t K e y a n y T y p e z b w N T n L X > < a : K e y V a l u e O f D i a g r a m O b j e c t K e y a n y T y p e z b w N T n L X > < a : K e y > < K e y > C o l u m n s \ 48=5G=0  <5@:0< / K e y > < / a : K e y > < a : V a l u e   i : t y p e = " T a b l e W i d g e t B a s e V i e w S t a t e " / > < / a : K e y V a l u e O f D i a g r a m O b j e c t K e y a n y T y p e z b w N T n L X > < a : K e y V a l u e O f D i a g r a m O b j e c t K e y a n y T y p e z b w N T n L X > < a : K e y > < K e y > C o l u m n s \ >;8G8=0< / K e y > < / a : K e y > < a : V a l u e   i : t y p e = " T a b l e W i d g e t B a s e V i e w S t a t e " / > < / a : K e y V a l u e O f D i a g r a m O b j e c t K e y a n y T y p e z b w N T n L X > < a : K e y V a l u e O f D i a g r a m O b j e c t K e y a n y T y p e z b w N T n L X > < a : K e y > < K e y > C o l u m n s \ 48=5G=0  F5=0< / K e y > < / a : K e y > < a : V a l u e   i : t y p e = " T a b l e W i d g e t B a s e V i e w S t a t e " / > < / a : K e y V a l u e O f D i a g r a m O b j e c t K e y a n y T y p e z b w N T n L X > < a : K e y V a l u e O f D i a g r a m O b j e c t K e y a n y T y p e z b w N T n L X > < a : K e y > < K e y > C o l u m n s \ 7=>A< / K e y > < / a : K e y > < a : V a l u e   i : t y p e = " T a b l e W i d g e t B a s e V i e w S t a t e " / > < / a : K e y V a l u e O f D i a g r a m O b j e c t K e y a n y T y p e z b w N T n L X > < a : K e y V a l u e O f D i a g r a m O b j e c t K e y a n y T y p e z b w N T n L X > < a : K e y > < K e y > C o l u m n s \ < / K e y > < / a : K e y > < a : V a l u e   i : t y p e = " T a b l e W i d g e t B a s e V i e w S t a t e " / > < / a : K e y V a l u e O f D i a g r a m O b j e c t K e y a n y T y p e z b w N T n L X > < a : K e y V a l u e O f D i a g r a m O b j e c t K e y a n y T y p e z b w N T n L X > < a : K e y > < K e y > C o l u m n s \ :C?=>  B@>H>:  A>  < / K e y > < / a : K e y > < a : V a l u e   i : t y p e = " T a b l e W i d g e t B a s e V i e w S t a t e " / > < / a : K e y V a l u e O f D i a g r a m O b j e c t K e y a n y T y p e z b w N T n L X > < a : K e y V a l u e O f D i a g r a m O b j e c t K e y a n y T y p e z b w N T n L X > < a : K e y > < K e y > C o l u m n s \ >=B>< / K e y > < / a : K e y > < a : V a l u e   i : t y p e = " T a b l e W i d g e t B a s e V i e w S t a t e " / > < / a : K e y V a l u e O f D i a g r a m O b j e c t K e y a n y T y p e z b w N T n L X > < a : K e y V a l u e O f D i a g r a m O b j e c t K e y a n y T y p e z b w N T n L X > < a : K e y > < K e y > C o l u m n s \ 5@8>4< / K e y > < / a : K e y > < a : V a l u e   i : t y p e = " T a b l e W i d g e t B a s e V i e w S t a t e " / > < / a : K e y V a l u e O f D i a g r a m O b j e c t K e y a n y T y p e z b w N T n L X > < a : K e y V a l u e O f D i a g r a m O b j e c t K e y a n y T y p e z b w N T n L X > < a : K e y > < K e y > C o l u m n s \ R e p o r t T y p e < / K e y > < / a : K e y > < a : V a l u e   i : t y p e = " T a b l e W i d g e t B a s e V i e w S t a t e " / > < / a : K e y V a l u e O f D i a g r a m O b j e c t K e y a n y T y p e z b w N T n L X > < a : K e y V a l u e O f D i a g r a m O b j e c t K e y a n y T y p e z b w N T n L X > < a : K e y > < K e y > C o l u m n s \ S t a v k a I m e M K < / K e y > < / a : K e y > < a : V a l u e   i : t y p e = " T a b l e W i d g e t B a s e V i e w S t a t e " / > < / a : K e y V a l u e O f D i a g r a m O b j e c t K e y a n y T y p e z b w N T n L X > < a : K e y V a l u e O f D i a g r a m O b j e c t K e y a n y T y p e z b w N T n L X > < a : K e y > < K e y > C o l u m n s \ S t a v k a K a t e g o r i j a < / K e y > < / a : K e y > < a : V a l u e   i : t y p e = " T a b l e W i d g e t B a s e V i e w S t a t e " / > < / a : K e y V a l u e O f D i a g r a m O b j e c t K e y a n y T y p e z b w N T n L X > < a : K e y V a l u e O f D i a g r a m O b j e c t K e y a n y T y p e z b w N T n L X > < a : K e y > < K e y > C o l u m n s \ O b r a z e c I m e < / K e y > < / a : K e y > < a : V a l u e   i : t y p e = " T a b l e W i d g e t B a s e V i e w S t a t e " / > < / a : K e y V a l u e O f D i a g r a m O b j e c t K e y a n y T y p e z b w N T n L X > < a : K e y V a l u e O f D i a g r a m O b j e c t K e y a n y T y p e z b w N T n L X > < a : K e y > < K e y > C o l u m n s \ S t a v k a I m e A O P < / K e y > < / a : K e y > < a : V a l u e   i : t y p e = " T a b l e W i d g e t B a s e V i e w S t a t e " / > < / a : K e y V a l u e O f D i a g r a m O b j e c t K e y a n y T y p e z b w N T n L X > < a : K e y V a l u e O f D i a g r a m O b j e c t K e y a n y T y p e z b w N T n L X > < a : K e y > < K e y > C o l u m n s \ 5@8>4  ( Y e a r ) < / K e y > < / a : K e y > < a : V a l u e   i : t y p e = " T a b l e W i d g e t B a s e V i e w S t a t e " / > < / a : K e y V a l u e O f D i a g r a m O b j e c t K e y a n y T y p e z b w N T n L X > < a : K e y V a l u e O f D i a g r a m O b j e c t K e y a n y T y p e z b w N T n L X > < a : K e y > < K e y > C o l u m n s \ 5@8>4  ( Q u a r t e r ) < / K e y > < / a : K e y > < a : V a l u e   i : t y p e = " T a b l e W i d g e t B a s e V i e w S t a t e " / > < / a : K e y V a l u e O f D i a g r a m O b j e c t K e y a n y T y p e z b w N T n L X > < a : K e y V a l u e O f D i a g r a m O b j e c t K e y a n y T y p e z b w N T n L X > < a : K e y > < K e y > C o l u m n s \ 5@8>4  ( M o n t h   I n d e x ) < / K e y > < / a : K e y > < a : V a l u e   i : t y p e = " T a b l e W i d g e t B a s e V i e w S t a t e " / > < / a : K e y V a l u e O f D i a g r a m O b j e c t K e y a n y T y p e z b w N T n L X > < a : K e y V a l u e O f D i a g r a m O b j e c t K e y a n y T y p e z b w N T n L X > < a : K e y > < K e y > C o l u m n s \ 5@8>4  ( M o n t h ) < / 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 f C o v e c k i R e s u r s i < / 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 f C o v e c k i R e s u r s i < / 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 C o l u m n s \ !B02:0< / K e y > < / a : K e y > < a : V a l u e   i : t y p e = " T a b l e W i d g e t B a s e V i e w S t a t e " / > < / a : K e y V a l u e O f D i a g r a m O b j e c t K e y a n y T y p e z b w N T n L X > < a : K e y V a l u e O f D i a g r a m O b j e c t K e y a n y T y p e z b w N T n L X > < a : K e y > < K e y > C o l u m n s \ "8?  =0  2@01>BC20Z5< / K e y > < / a : K e y > < a : V a l u e   i : t y p e = " T a b l e W i d g e t B a s e V i e w S t a t e " / > < / a : K e y V a l u e O f D i a g r a m O b j e c t K e y a n y T y p e z b w N T n L X > < a : K e y V a l u e O f D i a g r a m O b j e c t K e y a n y T y p e z b w N T n L X > < a : K e y > < K e y > C o l u m n s \ ;0=8@0=  ?@8;82/ ( >4;82) < / K e y > < / a : K e y > < a : V a l u e   i : t y p e = " T a b l e W i d g e t B a s e V i e w S t a t e " / > < / a : K e y V a l u e O f D i a g r a m O b j e c t K e y a n y T y p e z b w N T n L X > < a : K e y V a l u e O f D i a g r a m O b j e c t K e y a n y T y p e z b w N T n L X > < a : K e y > < K e y > C o l u m n s \ 5@8>4< / K e y > < / a : K e y > < a : V a l u e   i : t y p e = " T a b l e W i d g e t B a s e V i e w S t a t e " / > < / a : K e y V a l u e O f D i a g r a m O b j e c t K e y a n y T y p e z b w N T n L X > < a : K e y V a l u e O f D i a g r a m O b j e c t K e y a n y T y p e z b w N T n L X > < a : K e y > < K e y > C o l u m n s \ @0X=0  A>AB>X10  2@01>B5=8< / K e y > < / a : K e y > < a : V a l u e   i : t y p e = " T a b l e W i d g e t B a s e V i e w S t a t e " / > < / a : K e y V a l u e O f D i a g r a m O b j e c t K e y a n y T y p e z b w N T n L X > < a : K e y V a l u e O f D i a g r a m O b j e c t K e y a n y T y p e z b w N T n L X > < a : K e y > < K e y > C o l u m n s \ 7=>A< / K e y > < / a : K e y > < a : V a l u e   i : t y p e = " T a b l e W i d g e t B a s e V i e w S t a t e " / > < / a : K e y V a l u e O f D i a g r a m O b j e c t K e y a n y T y p e z b w N T n L X > < a : K e y V a l u e O f D i a g r a m O b j e c t K e y a n y T y p e z b w N T n L X > < a : K e y > < K e y > C o l u m n s \ >=B>< / K e y > < / a : K e y > < a : V a l u e   i : t y p e = " T a b l e W i d g e t B a s e V i e w S t a t e " / > < / a : K e y V a l u e O f D i a g r a m O b j e c t K e y a n y T y p e z b w N T n L X > < a : K e y V a l u e O f D i a g r a m O b j e c t K e y a n y T y p e z b w N T n L X > < a : K e y > < K e y > C o l u m n s \ R e p o r t T y p e < / K e y > < / a : K e y > < a : V a l u e   i : t y p e = " T a b l e W i d g e t B a s e V i e w S t a t e " / > < / a : K e y V a l u e O f D i a g r a m O b j e c t K e y a n y T y p e z b w N T n L X > < a : K e y V a l u e O f D i a g r a m O b j e c t K e y a n y T y p e z b w N T n L X > < a : K e y > < K e y > C o l u m n s \ 5@8>4  ( Y e a r ) < / K e y > < / a : K e y > < a : V a l u e   i : t y p e = " T a b l e W i d g e t B a s e V i e w S t a t e " / > < / a : K e y V a l u e O f D i a g r a m O b j e c t K e y a n y T y p e z b w N T n L X > < a : K e y V a l u e O f D i a g r a m O b j e c t K e y a n y T y p e z b w N T n L X > < a : K e y > < K e y > C o l u m n s \ 5@8>4  ( Q u a r t e r ) < / K e y > < / a : K e y > < a : V a l u e   i : t y p e = " T a b l e W i d g e t B a s e V i e w S t a t e " / > < / a : K e y V a l u e O f D i a g r a m O b j e c t K e y a n y T y p e z b w N T n L X > < a : K e y V a l u e O f D i a g r a m O b j e c t K e y a n y T y p e z b w N T n L X > < a : K e y > < K e y > C o l u m n s \ 5@8>4  ( M o n t h   I n d e x ) < / K e y > < / a : K e y > < a : V a l u e   i : t y p e = " T a b l e W i d g e t B a s e V i e w S t a t e " / > < / a : K e y V a l u e O f D i a g r a m O b j e c t K e y a n y T y p e z b w N T n L X > < a : K e y V a l u e O f D i a g r a m O b j e c t K e y a n y T y p e z b w N T n L X > < a : K e y > < K e y > C o l u m n s \ 5@8>4  ( M o n t h ) < / K e y > < / a : K e y > < a : V a l u e   i : t y p e = " T a b l e W i d g e t B a s e V i e w S t a t e " / > < / a : K e y V a l u e O f D i a g r a m O b j e c t K e y a n y T y p e z b w N T n L X > < a : K e y V a l u e O f D i a g r a m O b j e c t K e y a n y T y p e z b w N T n L X > < a : K e y > < K e y > C o l u m n s \ 5@8>4  ( Y e a r )   1 < / K e y > < / a : K e y > < a : V a l u e   i : t y p e = " T a b l e W i d g e t B a s e V i e w S t a t e " / > < / a : K e y V a l u e O f D i a g r a m O b j e c t K e y a n y T y p e z b w N T n L X > < a : K e y V a l u e O f D i a g r a m O b j e c t K e y a n y T y p e z b w N T n L X > < a : K e y > < K e y > C o l u m n s \ 5@8>4  ( Q u a r t e r )   1 < / K e y > < / a : K e y > < a : V a l u e   i : t y p e = " T a b l e W i d g e t B a s e V i e w S t a t e " / > < / a : K e y V a l u e O f D i a g r a m O b j e c t K e y a n y T y p e z b w N T n L X > < a : K e y V a l u e O f D i a g r a m O b j e c t K e y a n y T y p e z b w N T n L X > < a : K e y > < K e y > C o l u m n s \ 5@8>4  ( M o n t h   I n d e x )   1 < / K e y > < / a : K e y > < a : V a l u e   i : t y p e = " T a b l e W i d g e t B a s e V i e w S t a t e " / > < / a : K e y V a l u e O f D i a g r a m O b j e c t K e y a n y T y p e z b w N T n L X > < a : K e y V a l u e O f D i a g r a m O b j e c t K e y a n y T y p e z b w N T n L X > < a : K e y > < K e y > C o l u m n s \ 5@8>4  ( M o n t h )   1 < / 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 f A c t u a l A n d B u d g e t < / 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 f A c t u a l A n d B u d g e t < / 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=B>< / K e y > < / a : K e y > < a : V a l u e   i : t y p e = " T a b l e W i d g e t B a s e V i e w S t a t e " / > < / a : K e y V a l u e O f D i a g r a m O b j e c t K e y a n y T y p e z b w N T n L X > < a : K e y V a l u e O f D i a g r a m O b j e c t K e y a n y T y p e z b w N T n L X > < a : K e y > < K e y > C o l u m n s \ 0782  =0  :>=B>< / K e y > < / a : K e y > < a : V a l u e   i : t y p e = " T a b l e W i d g e t B a s e V i e w S t a t e " / > < / a : K e y V a l u e O f D i a g r a m O b j e c t K e y a n y T y p e z b w N T n L X > < a : K e y V a l u e O f D i a g r a m O b j e c t K e y a n y T y p e z b w N T n L X > < a : K e y > < K e y > C o l u m n s \ 5@8>4< / K e y > < / a : K e y > < a : V a l u e   i : t y p e = " T a b l e W i d g e t B a s e V i e w S t a t e " / > < / a : K e y V a l u e O f D i a g r a m O b j e c t K e y a n y T y p e z b w N T n L X > < a : K e y V a l u e O f D i a g r a m O b j e c t K e y a n y T y p e z b w N T n L X > < a : K e y > < K e y > C o l u m n s \ 7=>A1 < / K e y > < / a : K e y > < a : V a l u e   i : t y p e = " T a b l e W i d g e t B a s e V i e w S t a t e " / > < / a : K e y V a l u e O f D i a g r a m O b j e c t K e y a n y T y p e z b w N T n L X > < a : K e y V a l u e O f D i a g r a m O b j e c t K e y a n y T y p e z b w N T n L X > < a : K e y > < K e y > C o l u m n s \ R e p o r t T y p e < / K e y > < / a : K e y > < a : V a l u e   i : t y p e = " T a b l e W i d g e t B a s e V i e w S t a t e " / > < / a : K e y V a l u e O f D i a g r a m O b j e c t K e y a n y T y p e z b w N T n L X > < a : K e y V a l u e O f D i a g r a m O b j e c t K e y a n y T y p e z b w N T n L X > < a : K e y > < K e y > C o l u m n s \ !B02:0< / K e y > < / a : K e y > < a : V a l u e   i : t y p e = " T a b l e W i d g e t B a s e V i e w S t a t e " / > < / a : K e y V a l u e O f D i a g r a m O b j e c t K e y a n y T y p e z b w N T n L X > < a : K e y V a l u e O f D i a g r a m O b j e c t K e y a n y T y p e z b w N T n L X > < a : K e y > < K e y > C o l u m n s \ @>X  =0  X02=0  =0102:0  ( ?;0=) < / K e y > < / a : K e y > < a : V a l u e   i : t y p e = " T a b l e W i d g e t B a s e V i e w S t a t e " / > < / a : K e y V a l u e O f D i a g r a m O b j e c t K e y a n y T y p e z b w N T n L X > < a : K e y V a l u e O f D i a g r a m O b j e c t K e y a n y T y p e z b w N T n L X > < a : K e y > < K e y > C o l u m n s \ S t a v k a I D < / K e y > < / a : K e y > < a : V a l u e   i : t y p e = " T a b l e W i d g e t B a s e V i e w S t a t e " / > < / a : K e y V a l u e O f D i a g r a m O b j e c t K e y a n y T y p e z b w N T n L X > < a : K e y V a l u e O f D i a g r a m O b j e c t K e y a n y T y p e z b w N T n L X > < a : K e y > < K e y > C o l u m n s \ S t a v k a I m e M K < / K e y > < / a : K e y > < a : V a l u e   i : t y p e = " T a b l e W i d g e t B a s e V i e w S t a t e " / > < / a : K e y V a l u e O f D i a g r a m O b j e c t K e y a n y T y p e z b w N T n L X > < a : K e y V a l u e O f D i a g r a m O b j e c t K e y a n y T y p e z b w N T n L X > < a : K e y > < K e y > C o l u m n s \ S t a v k a G r u p a < / K e y > < / a : K e y > < a : V a l u e   i : t y p e = " T a b l e W i d g e t B a s e V i e w S t a t e " / > < / a : K e y V a l u e O f D i a g r a m O b j e c t K e y a n y T y p e z b w N T n L X > < a : K e y V a l u e O f D i a g r a m O b j e c t K e y a n y T y p e z b w N T n L X > < a : K e y > < K e y > C o l u m n s \ S t a v k a K a t e g o r i j a < / K e y > < / a : K e y > < a : V a l u e   i : t y p e = " T a b l e W i d g e t B a s e V i e w S t a t e " / > < / a : K e y V a l u e O f D i a g r a m O b j e c t K e y a n y T y p e z b w N T n L X > < a : K e y V a l u e O f D i a g r a m O b j e c t K e y a n y T y p e z b w N T n L X > < a : K e y > < K e y > C o l u m n s \ Z n a k I z v e s t a j < / K e y > < / a : K e y > < a : V a l u e   i : t y p e = " T a b l e W i d g e t B a s e V i e w S t a t e " / > < / a : K e y V a l u e O f D i a g r a m O b j e c t K e y a n y T y p e z b w N T n L X > < a : K e y V a l u e O f D i a g r a m O b j e c t K e y a n y T y p e z b w N T n L X > < a : K e y > < K e y > C o l u m n s \ O b r a z e c I D < / K e y > < / a : K e y > < a : V a l u e   i : t y p e = " T a b l e W i d g e t B a s e V i e w S t a t e " / > < / a : K e y V a l u e O f D i a g r a m O b j e c t K e y a n y T y p e z b w N T n L X > < a : K e y V a l u e O f D i a g r a m O b j e c t K e y a n y T y p e z b w N T n L X > < a : K e y > < K e y > C o l u m n s \ S t a v k a A O P < / K e y > < / a : K e y > < a : V a l u e   i : t y p e = " T a b l e W i d g e t B a s e V i e w S t a t e " / > < / a : K e y V a l u e O f D i a g r a m O b j e c t K e y a n y T y p e z b w N T n L X > < a : K e y V a l u e O f D i a g r a m O b j e c t K e y a n y T y p e z b w N T n L X > < a : K e y > < K e y > C o l u m n s \ O b r a z e c I m e < / K e y > < / a : K e y > < a : V a l u e   i : t y p e = " T a b l e W i d g e t B a s e V i e w S t a t e " / > < / a : K e y V a l u e O f D i a g r a m O b j e c t K e y a n y T y p e z b w N T n L X > < a : K e y V a l u e O f D i a g r a m O b j e c t K e y a n y T y p e z b w N T n L X > < a : K e y > < K e y > C o l u m n s \ 7=>A< / K e y > < / a : K e y > < a : V a l u e   i : t y p e = " T a b l e W i d g e t B a s e V i e w S t a t e " / > < / a : K e y V a l u e O f D i a g r a m O b j e c t K e y a n y T y p e z b w N T n L X > < a : K e y V a l u e O f D i a g r a m O b j e c t K e y a n y T y p e z b w N T n L X > < a : K e y > < K e y > C o l u m n s \ 7=>A  ( 8;X048) < / K e y > < / a : K e y > < a : V a l u e   i : t y p e = " T a b l e W i d g e t B a s e V i e w S t a t e " / > < / a : K e y V a l u e O f D i a g r a m O b j e c t K e y a n y T y p e z b w N T n L X > < a : K e y V a l u e O f D i a g r a m O b j e c t K e y a n y T y p e z b w N T n L X > < a : K e y > < K e y > C o l u m n s \ S t a v k a I m e A O P < / K e y > < / a : K e y > < a : V a l u e   i : t y p e = " T a b l e W i d g e t B a s e V i e w S t a t e " / > < / a : K e y V a l u e O f D i a g r a m O b j e c t K e y a n y T y p e z b w N T n L X > < a : K e y V a l u e O f D i a g r a m O b j e c t K e y a n y T y p e z b w N T n L X > < a : K e y > < K e y > C o l u m n s \ >=B>  !B02:0< / 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 r A r t i k l i _ H R _ A n a l i z a < / 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 r A r t i k l i _ H R _ A n a l i z a < / 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 C o l u m n s \ !B02:0< / K e y > < / a : K e y > < a : V a l u e   i : t y p e = " T a b l e W i d g e t B a s e V i e w S t a t e " / > < / a : K e y V a l u e O f D i a g r a m O b j e c t K e y a n y T y p e z b w N T n L X > < a : K e y V a l u e O f D i a g r a m O b j e c t K e y a n y T y p e z b w N T n L X > < a : K e y > < K e y > C o l u m n s \ 0B53>@8X0  @B8:;< / K e y > < / a : K e y > < a : V a l u e   i : t y p e = " T a b l e W i d g e t B a s e V i e w S t a t e " / > < / a : K e y V a l u e O f D i a g r a m O b j e c t K e y a n y T y p e z b w N T n L X > < a : K e y V a l u e O f D i a g r a m O b j e c t K e y a n y T y p e z b w N T n L X > < a : K e y > < K e y > C o l u m n s \ "8?  =0  0@B8:;< / K e y > < / a : K e y > < a : V a l u e   i : t y p e = " T a b l e W i d g e t B a s e V i e w S t a t e " / > < / a : K e y V a l u e O f D i a g r a m O b j e c t K e y a n y T y p e z b w N T n L X > < a : K e y V a l u e O f D i a g r a m O b j e c t K e y a n y T y p e z b w N T n L X > < a : K e y > < K e y > C o l u m n s \ 48=5G=0  <5@:0< / K e y > < / a : K e y > < a : V a l u e   i : t y p e = " T a b l e W i d g e t B a s e V i e w S t a t e " / > < / a : K e y V a l u e O f D i a g r a m O b j e c t K e y a n y T y p e z b w N T n L X > < a : K e y V a l u e O f D i a g r a m O b j e c t K e y a n y T y p e z b w N T n L X > < a : K e y > < K e y > C o l u m n s \ >;8G8=0< / K e y > < / a : K e y > < a : V a l u e   i : t y p e = " T a b l e W i d g e t B a s e V i e w S t a t e " / > < / a : K e y V a l u e O f D i a g r a m O b j e c t K e y a n y T y p e z b w N T n L X > < a : K e y V a l u e O f D i a g r a m O b j e c t K e y a n y T y p e z b w N T n L X > < a : K e y > < K e y > C o l u m n s \ 48=5G=0  F5=0< / K e y > < / a : K e y > < a : V a l u e   i : t y p e = " T a b l e W i d g e t B a s e V i e w S t a t e " / > < / a : K e y V a l u e O f D i a g r a m O b j e c t K e y a n y T y p e z b w N T n L X > < a : K e y V a l u e O f D i a g r a m O b j e c t K e y a n y T y p e z b w N T n L X > < a : K e y > < K e y > C o l u m n s \ :C?=>  B@>H>:< / K e y > < / a : K e y > < a : V a l u e   i : t y p e = " T a b l e W i d g e t B a s e V i e w S t a t e " / > < / a : K e y V a l u e O f D i a g r a m O b j e c t K e y a n y T y p e z b w N T n L X > < a : K e y V a l u e O f D i a g r a m O b j e c t K e y a n y T y p e z b w N T n L X > < a : K e y > < K e y > C o l u m n s \ < / K e y > < / a : K e y > < a : V a l u e   i : t y p e = " T a b l e W i d g e t B a s e V i e w S t a t e " / > < / a : K e y V a l u e O f D i a g r a m O b j e c t K e y a n y T y p e z b w N T n L X > < a : K e y V a l u e O f D i a g r a m O b j e c t K e y a n y T y p e z b w N T n L X > < a : K e y > < K e y > C o l u m n s \ 7=>A< / K e y > < / a : K e y > < a : V a l u e   i : t y p e = " T a b l e W i d g e t B a s e V i e w S t a t e " / > < / a : K e y V a l u e O f D i a g r a m O b j e c t K e y a n y T y p e z b w N T n L X > < a : K e y V a l u e O f D i a g r a m O b j e c t K e y a n y T y p e z b w N T n L X > < a : K e y > < K e y > C o l u m n s \ >=B>< / K e y > < / a : K e y > < a : V a l u e   i : t y p e = " T a b l e W i d g e t B a s e V i e w S t a t e " / > < / a : K e y V a l u e O f D i a g r a m O b j e c t K e y a n y T y p e z b w N T n L X > < a : K e y V a l u e O f D i a g r a m O b j e c t K e y a n y T y p e z b w N T n L X > < a : K e y > < K e y > C o l u m n s \ R e p o r t T y p e < / K e y > < / a : K e y > < a : V a l u e   i : t y p e = " T a b l e W i d g e t B a s e V i e w S t a t e " / > < / a : K e y V a l u e O f D i a g r a m O b j e c t K e y a n y T y p e z b w N T n L X > < a : K e y V a l u e O f D i a g r a m O b j e c t K e y a n y T y p e z b w N T n L X > < a : K e y > < K e y > C o l u m n s \ 5@8>4< / K e y > < / a : K e y > < a : V a l u e   i : t y p e = " T a b l e W i d g e t B a s e V i e w S t a t e " / > < / a : K e y V a l u e O f D i a g r a m O b j e c t K e y a n y T y p e z b w N T n L X > < a : K e y V a l u e O f D i a g r a m O b j e c t K e y a n y T y p e z b w N T n L X > < a : K e y > < K e y > C o l u m n s \ S t a v k a I m e M K < / K e y > < / a : K e y > < a : V a l u e   i : t y p e = " T a b l e W i d g e t B a s e V i e w S t a t e " / > < / a : K e y V a l u e O f D i a g r a m O b j e c t K e y a n y T y p e z b w N T n L X > < a : K e y V a l u e O f D i a g r a m O b j e c t K e y a n y T y p e z b w N T n L X > < a : K e y > < K e y > C o l u m n s \ S t a v k a A O P < / K e y > < / a : K e y > < a : V a l u e   i : t y p e = " T a b l e W i d g e t B a s e V i e w S t a t e " / > < / a : K e y V a l u e O f D i a g r a m O b j e c t K e y a n y T y p e z b w N T n L X > < a : K e y V a l u e O f D i a g r a m O b j e c t K e y a n y T y p e z b w N T n L X > < a : K e y > < K e y > C o l u m n s \ S t a v k a G r u p a < / K e y > < / a : K e y > < a : V a l u e   i : t y p e = " T a b l e W i d g e t B a s e V i e w S t a t e " / > < / a : K e y V a l u e O f D i a g r a m O b j e c t K e y a n y T y p e z b w N T n L X > < a : K e y V a l u e O f D i a g r a m O b j e c t K e y a n y T y p e z b w N T n L X > < a : K e y > < K e y > C o l u m n s \ S t a v k a K a t e g o r i j a < / K e y > < / a : K e y > < a : V a l u e   i : t y p e = " T a b l e W i d g e t B a s e V i e w S t a t e " / > < / a : K e y V a l u e O f D i a g r a m O b j e c t K e y a n y T y p e z b w N T n L X > < a : K e y V a l u e O f D i a g r a m O b j e c t K e y a n y T y p e z b w N T n L X > < a : K e y > < K e y > C o l u m n s \ O b r a z e c I m e < / K e y > < / a : K e y > < a : V a l u e   i : t y p e = " T a b l e W i d g e t B a s e V i e w S t a t e " / > < / a : K e y V a l u e O f D i a g r a m O b j e c t K e y a n y T y p e z b w N T n L X > < a : K e y V a l u e O f D i a g r a m O b j e c t K e y a n y T y p e z b w N T n L X > < a : K e y > < K e y > C o l u m n s \ "8?  =0  2@01>BC20Z5< / K e y > < / a : K e y > < a : V a l u e   i : t y p e = " T a b l e W i d g e t B a s e V i e w S t a t e " / > < / a : K e y V a l u e O f D i a g r a m O b j e c t K e y a n y T y p e z b w N T n L X > < a : K e y V a l u e O f D i a g r a m O b j e c t K e y a n y T y p e z b w N T n L X > < a : K e y > < K e y > C o l u m n s \ ;0=8@0=  ?@8;82/ ( >4;82) < / K e y > < / a : K e y > < a : V a l u e   i : t y p e = " T a b l e W i d g e t B a s e V i e w S t a t e " / > < / a : K e y V a l u e O f D i a g r a m O b j e c t K e y a n y T y p e z b w N T n L X > < a : K e y V a l u e O f D i a g r a m O b j e c t K e y a n y T y p e z b w N T n L X > < a : K e y > < K e y > C o l u m n s \ @0X=0  A>AB>X10  2@01>B5=8< / K e y > < / a : K e y > < a : V a l u e   i : t y p e = " T a b l e W i d g e t B a s e V i e w S t a t e " / > < / a : K e y V a l u e O f D i a g r a m O b j e c t K e y a n y T y p e z b w N T n L X > < a : K e y V a l u e O f D i a g r a m O b j e c t K e y a n y T y p e z b w N T n L X > < a : K e y > < K e y > C o l u m n s \ S t a v k a K a t e g o r i j a . 1 < / 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 A m o r t i z a c i j a < / 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 A m o r t i z a c i j a < / 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X  =0  X02=0  =0102:0  ( ?;0=) < / K e y > < / a : K e y > < a : V a l u e   i : t y p e = " T a b l e W i d g e t B a s e V i e w S t a t e " / > < / a : K e y V a l u e O f D i a g r a m O b j e c t K e y a n y T y p e z b w N T n L X > < a : K e y V a l u e O f D i a g r a m O b j e c t K e y a n y T y p e z b w N T n L X > < a : K e y > < K e y > C o l u m n s \ !B02:0< / K e y > < / a : K e y > < a : V a l u e   i : t y p e = " T a b l e W i d g e t B a s e V i e w S t a t e " / > < / a : K e y V a l u e O f D i a g r a m O b j e c t K e y a n y T y p e z b w N T n L X > < a : K e y V a l u e O f D i a g r a m O b j e c t K e y a n y T y p e z b w N T n L X > < a : K e y > < K e y > C o l u m n s \ 5@8>4< / K e y > < / a : K e y > < a : V a l u e   i : t y p e = " T a b l e W i d g e t B a s e V i e w S t a t e " / > < / a : K e y V a l u e O f D i a g r a m O b j e c t K e y a n y T y p e z b w N T n L X > < a : K e y V a l u e O f D i a g r a m O b j e c t K e y a n y T y p e z b w N T n L X > < a : K e y > < K e y > C o l u m n s \ 7=>A< / K e y > < / a : K e y > < a : V a l u e   i : t y p e = " T a b l e W i d g e t B a s e V i e w S t a t e " / > < / a : K e y V a l u e O f D i a g r a m O b j e c t K e y a n y T y p e z b w N T n L X > < a : K e y V a l u e O f D i a g r a m O b j e c t K e y a n y T y p e z b w N T n L X > < a : K e y > < K e y > C o l u m n s \ >=B>< / K e y > < / a : K e y > < a : V a l u e   i : t y p e = " T a b l e W i d g e t B a s e V i e w S t a t e " / > < / a : K e y V a l u e O f D i a g r a m O b j e c t K e y a n y T y p e z b w N T n L X > < a : K e y V a l u e O f D i a g r a m O b j e c t K e y a n y T y p e z b w N T n L X > < a : K e y > < K e y > C o l u m n s \ R e p o r t T y p e < / 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 r A r t i k l i A n a l i z a < / 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 r A r t i k l i A n a l i z a < / 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 C o l u m n s \ @B8:;  < / K e y > < / a : K e y > < a : V a l u e   i : t y p e = " T a b l e W i d g e t B a s e V i e w S t a t e " / > < / a : K e y V a l u e O f D i a g r a m O b j e c t K e y a n y T y p e z b w N T n L X > < a : K e y V a l u e O f D i a g r a m O b j e c t K e y a n y T y p e z b w N T n L X > < a : K e y > < K e y > C o l u m n s \ !B02:0< / K e y > < / a : K e y > < a : V a l u e   i : t y p e = " T a b l e W i d g e t B a s e V i e w S t a t e " / > < / a : K e y V a l u e O f D i a g r a m O b j e c t K e y a n y T y p e z b w N T n L X > < a : K e y V a l u e O f D i a g r a m O b j e c t K e y a n y T y p e z b w N T n L X > < a : K e y > < K e y > C o l u m n s \ 0B53>@8X0  @B8:;  < / K e y > < / a : K e y > < a : V a l u e   i : t y p e = " T a b l e W i d g e t B a s e V i e w S t a t e " / > < / a : K e y V a l u e O f D i a g r a m O b j e c t K e y a n y T y p e z b w N T n L X > < a : K e y V a l u e O f D i a g r a m O b j e c t K e y a n y T y p e z b w N T n L X > < a : K e y > < K e y > C o l u m n s \ 0B53>@8X0  @B8:;< / K e y > < / a : K e y > < a : V a l u e   i : t y p e = " T a b l e W i d g e t B a s e V i e w S t a t e " / > < / a : K e y V a l u e O f D i a g r a m O b j e c t K e y a n y T y p e z b w N T n L X > < a : K e y V a l u e O f D i a g r a m O b j e c t K e y a n y T y p e z b w N T n L X > < a : K e y > < K e y > C o l u m n s \ "8?  =0  0@B8:;< / K e y > < / a : K e y > < a : V a l u e   i : t y p e = " T a b l e W i d g e t B a s e V i e w S t a t e " / > < / a : K e y V a l u e O f D i a g r a m O b j e c t K e y a n y T y p e z b w N T n L X > < a : K e y V a l u e O f D i a g r a m O b j e c t K e y a n y T y p e z b w N T n L X > < a : K e y > < K e y > C o l u m n s \ 48=5G=0  <5@:0< / K e y > < / a : K e y > < a : V a l u e   i : t y p e = " T a b l e W i d g e t B a s e V i e w S t a t e " / > < / a : K e y V a l u e O f D i a g r a m O b j e c t K e y a n y T y p e z b w N T n L X > < a : K e y V a l u e O f D i a g r a m O b j e c t K e y a n y T y p e z b w N T n L X > < a : K e y > < K e y > C o l u m n s \ >;8G8=0< / K e y > < / a : K e y > < a : V a l u e   i : t y p e = " T a b l e W i d g e t B a s e V i e w S t a t e " / > < / a : K e y V a l u e O f D i a g r a m O b j e c t K e y a n y T y p e z b w N T n L X > < a : K e y V a l u e O f D i a g r a m O b j e c t K e y a n y T y p e z b w N T n L X > < a : K e y > < K e y > C o l u m n s \ 48=5G=0  F5=0< / K e y > < / a : K e y > < a : V a l u e   i : t y p e = " T a b l e W i d g e t B a s e V i e w S t a t e " / > < / a : K e y V a l u e O f D i a g r a m O b j e c t K e y a n y T y p e z b w N T n L X > < a : K e y V a l u e O f D i a g r a m O b j e c t K e y a n y T y p e z b w N T n L X > < a : K e y > < K e y > C o l u m n s \ 7=>A< / K e y > < / a : K e y > < a : V a l u e   i : t y p e = " T a b l e W i d g e t B a s e V i e w S t a t e " / > < / a : K e y V a l u e O f D i a g r a m O b j e c t K e y a n y T y p e z b w N T n L X > < a : K e y V a l u e O f D i a g r a m O b j e c t K e y a n y T y p e z b w N T n L X > < a : K e y > < K e y > C o l u m n s \ < / K e y > < / a : K e y > < a : V a l u e   i : t y p e = " T a b l e W i d g e t B a s e V i e w S t a t e " / > < / a : K e y V a l u e O f D i a g r a m O b j e c t K e y a n y T y p e z b w N T n L X > < a : K e y V a l u e O f D i a g r a m O b j e c t K e y a n y T y p e z b w N T n L X > < a : K e y > < K e y > C o l u m n s \ :C?=>  B@>H>:  A>  < / K e y > < / a : K e y > < a : V a l u e   i : t y p e = " T a b l e W i d g e t B a s e V i e w S t a t e " / > < / a : K e y V a l u e O f D i a g r a m O b j e c t K e y a n y T y p e z b w N T n L X > < a : K e y V a l u e O f D i a g r a m O b j e c t K e y a n y T y p e z b w N T n L X > < a : K e y > < K e y > C o l u m n s \ >=B>< / K e y > < / a : K e y > < a : V a l u e   i : t y p e = " T a b l e W i d g e t B a s e V i e w S t a t e " / > < / a : K e y V a l u e O f D i a g r a m O b j e c t K e y a n y T y p e z b w N T n L X > < a : K e y V a l u e O f D i a g r a m O b j e c t K e y a n y T y p e z b w N T n L X > < a : K e y > < K e y > C o l u m n s \ 5@8>4< / K e y > < / a : K e y > < a : V a l u e   i : t y p e = " T a b l e W i d g e t B a s e V i e w S t a t e " / > < / a : K e y V a l u e O f D i a g r a m O b j e c t K e y a n y T y p e z b w N T n L X > < a : K e y V a l u e O f D i a g r a m O b j e c t K e y a n y T y p e z b w N T n L X > < a : K e y > < K e y > C o l u m n s \ R e p o r t T y p e < / K e y > < / a : K e y > < a : V a l u e   i : t y p e = " T a b l e W i d g e t B a s e V i e w S t a t e " / > < / a : K e y V a l u e O f D i a g r a m O b j e c t K e y a n y T y p e z b w N T n L X > < a : K e y V a l u e O f D i a g r a m O b j e c t K e y a n y T y p e z b w N T n L X > < a : K e y > < K e y > C o l u m n s \ S t a v k a I m e M K < / K e y > < / a : K e y > < a : V a l u e   i : t y p e = " T a b l e W i d g e t B a s e V i e w S t a t e " / > < / a : K e y V a l u e O f D i a g r a m O b j e c t K e y a n y T y p e z b w N T n L X > < a : K e y V a l u e O f D i a g r a m O b j e c t K e y a n y T y p e z b w N T n L X > < a : K e y > < K e y > C o l u m n s \ S t a v k a K a t e g o r i j a < / K e y > < / a : K e y > < a : V a l u e   i : t y p e = " T a b l e W i d g e t B a s e V i e w S t a t e " / > < / a : K e y V a l u e O f D i a g r a m O b j e c t K e y a n y T y p e z b w N T n L X > < a : K e y V a l u e O f D i a g r a m O b j e c t K e y a n y T y p e z b w N T n L X > < a : K e y > < K e y > C o l u m n s \ 5@8>4  ( Y e a r ) < / K e y > < / a : K e y > < a : V a l u e   i : t y p e = " T a b l e W i d g e t B a s e V i e w S t a t e " / > < / a : K e y V a l u e O f D i a g r a m O b j e c t K e y a n y T y p e z b w N T n L X > < a : K e y V a l u e O f D i a g r a m O b j e c t K e y a n y T y p e z b w N T n L X > < a : K e y > < K e y > C o l u m n s \ 5@8>4  ( Q u a r t e r ) < / K e y > < / a : K e y > < a : V a l u e   i : t y p e = " T a b l e W i d g e t B a s e V i e w S t a t e " / > < / a : K e y V a l u e O f D i a g r a m O b j e c t K e y a n y T y p e z b w N T n L X > < a : K e y V a l u e O f D i a g r a m O b j e c t K e y a n y T y p e z b w N T n L X > < a : K e y > < K e y > C o l u m n s \ 5@8>4  ( M o n t h   I n d e x ) < / K e y > < / a : K e y > < a : V a l u e   i : t y p e = " T a b l e W i d g e t B a s e V i e w S t a t e " / > < / a : K e y V a l u e O f D i a g r a m O b j e c t K e y a n y T y p e z b w N T n L X > < a : K e y V a l u e O f D i a g r a m O b j e c t K e y a n y T y p e z b w N T n L X > < a : K e y > < K e y > C o l u m n s \ 5@8>4  ( M o n t h ) < / 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 f C o v e c k i R e s u r s i     2 < / 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 f C o v e c k i R e s u r s i     2 < / 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 C o l u m n s \ !B02:0< / K e y > < / a : K e y > < a : V a l u e   i : t y p e = " T a b l e W i d g e t B a s e V i e w S t a t e " / > < / a : K e y V a l u e O f D i a g r a m O b j e c t K e y a n y T y p e z b w N T n L X > < a : K e y V a l u e O f D i a g r a m O b j e c t K e y a n y T y p e z b w N T n L X > < a : K e y > < K e y > C o l u m n s \ 5@8>4< / K e y > < / a : K e y > < a : V a l u e   i : t y p e = " T a b l e W i d g e t B a s e V i e w S t a t e " / > < / a : K e y V a l u e O f D i a g r a m O b j e c t K e y a n y T y p e z b w N T n L X > < a : K e y V a l u e O f D i a g r a m O b j e c t K e y a n y T y p e z b w N T n L X > < a : K e y > < K e y > C o l u m n s \ 7=>A< / K e y > < / a : K e y > < a : V a l u e   i : t y p e = " T a b l e W i d g e t B a s e V i e w S t a t e " / > < / a : K e y V a l u e O f D i a g r a m O b j e c t K e y a n y T y p e z b w N T n L X > < a : K e y V a l u e O f D i a g r a m O b j e c t K e y a n y T y p e z b w N T n L X > < a : K e y > < K e y > C o l u m n s \ >=B>< / K e y > < / a : K e y > < a : V a l u e   i : t y p e = " T a b l e W i d g e t B a s e V i e w S t a t e " / > < / a : K e y V a l u e O f D i a g r a m O b j e c t K e y a n y T y p e z b w N T n L X > < a : K e y V a l u e O f D i a g r a m O b j e c t K e y a n y T y p e z b w N T n L X > < a : K e y > < K e y > C o l u m n s \ R e p o r t T y p e < / K e y > < / a : K e y > < a : V a l u e   i : t y p e = " T a b l e W i d g e t B a s e V i e w S t a t e " / > < / a : K e y V a l u e O f D i a g r a m O b j e c t K e y a n y T y p e z b w N T n L X > < a : K e y V a l u e O f D i a g r a m O b j e c t K e y a n y T y p e z b w N T n L X > < a : K e y > < K e y > C o l u m n s \ S t a v k a I m e A O P < / K e y > < / a : K e y > < a : V a l u e   i : t y p e = " T a b l e W i d g e t B a s e V i e w S t a t e " / > < / a : K e y V a l u e O f D i a g r a m O b j e c t K e y a n y T y p e z b w N T n L X > < a : K e y V a l u e O f D i a g r a m O b j e c t K e y a n y T y p e z b w N T n L X > < a : K e y > < K e y > C o l u m n s \ S t a v k a K a t e g o r i j a < / 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 d K o n t e n P l a n < / 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 d K o n t e n P l a n < / 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 C o l u m n s \ K o n t o < / K e y > < / a : K e y > < a : V a l u e   i : t y p e = " T a b l e W i d g e t B a s e V i e w S t a t e " / > < / a : K e y V a l u e O f D i a g r a m O b j e c t K e y a n y T y p e z b w N T n L X > < a : K e y V a l u e O f D i a g r a m O b j e c t K e y a n y T y p e z b w N T n L X > < a : K e y > < K e y > C o l u m n s \ N a z i v   n a   k o n t o < / K e y > < / a : K e y > < a : V a l u e   i : t y p e = " T a b l e W i d g e t B a s e V i e w S t a t e " / > < / a : K e y V a l u e O f D i a g r a m O b j e c t K e y a n y T y p e z b w N T n L X > < a : K e y V a l u e O f D i a g r a m O b j e c t K e y a n y T y p e z b w N T n L X > < a : K e y > < K e y > C o l u m n s \ T i p I z v e s t a j I D < / K e y > < / a : K e y > < a : V a l u e   i : t y p e = " T a b l e W i d g e t B a s e V i e w S t a t e " / > < / a : K e y V a l u e O f D i a g r a m O b j e c t K e y a n y T y p e z b w N T n L X > < a : K e y V a l u e O f D i a g r a m O b j e c t K e y a n y T y p e z b w N T n L X > < a : K e y > < K e y > C o l u m n s \ O b r a z e c I D < / K e y > < / a : K e y > < a : V a l u e   i : t y p e = " T a b l e W i d g e t B a s e V i e w S t a t e " / > < / a : K e y V a l u e O f D i a g r a m O b j e c t K e y a n y T y p e z b w N T n L X > < a : K e y V a l u e O f D i a g r a m O b j e c t K e y a n y T y p e z b w N T n L X > < a : K e y > < K e y > C o l u m n s \ S t a v k a I D < / K e y > < / a : K e y > < a : V a l u e   i : t y p e = " T a b l e W i d g e t B a s e V i e w S t a t e " / > < / a : K e y V a l u e O f D i a g r a m O b j e c t K e y a n y T y p e z b w N T n L X > < a : K e y V a l u e O f D i a g r a m O b j e c t K e y a n y T y p e z b w N T n L X > < a : K e y > < K e y > C o l u m n s \ S t a v k a I m e M K < / K e y > < / a : K e y > < a : V a l u e   i : t y p e = " T a b l e W i d g e t B a s e V i e w S t a t e " / > < / a : K e y V a l u e O f D i a g r a m O b j e c t K e y a n y T y p e z b w N T n L X > < a : K e y V a l u e O f D i a g r a m O b j e c t K e y a n y T y p e z b w N T n L X > < a : K e y > < K e y > C o l u m n s \ S t a v k a A O P < / K e y > < / a : K e y > < a : V a l u e   i : t y p e = " T a b l e W i d g e t B a s e V i e w S t a t e " / > < / a : K e y V a l u e O f D i a g r a m O b j e c t K e y a n y T y p e z b w N T n L X > < a : K e y V a l u e O f D i a g r a m O b j e c t K e y a n y T y p e z b w N T n L X > < a : K e y > < K e y > C o l u m n s \ S t a v k a I m e E N < / K e y > < / a : K e y > < a : V a l u e   i : t y p e = " T a b l e W i d g e t B a s e V i e w S t a t e " / > < / a : K e y V a l u e O f D i a g r a m O b j e c t K e y a n y T y p e z b w N T n L X > < a : K e y V a l u e O f D i a g r a m O b j e c t K e y a n y T y p e z b w N T n L X > < a : K e y > < K e y > C o l u m n s \ K l a s i f i k a c i j a P r a v i l n i k < / K e y > < / a : K e y > < a : V a l u e   i : t y p e = " T a b l e W i d g e t B a s e V i e w S t a t e " / > < / a : K e y V a l u e O f D i a g r a m O b j e c t K e y a n y T y p e z b w N T n L X > < a : K e y V a l u e O f D i a g r a m O b j e c t K e y a n y T y p e z b w N T n L X > < a : K e y > < K e y > C o l u m n s \ S t a v k a G r u p a I D < / K e y > < / a : K e y > < a : V a l u e   i : t y p e = " T a b l e W i d g e t B a s e V i e w S t a t e " / > < / a : K e y V a l u e O f D i a g r a m O b j e c t K e y a n y T y p e z b w N T n L X > < a : K e y V a l u e O f D i a g r a m O b j e c t K e y a n y T y p e z b w N T n L X > < a : K e y > < K e y > C o l u m n s \ S t a v k a G r u p a < / K e y > < / a : K e y > < a : V a l u e   i : t y p e = " T a b l e W i d g e t B a s e V i e w S t a t e " / > < / a : K e y V a l u e O f D i a g r a m O b j e c t K e y a n y T y p e z b w N T n L X > < a : K e y V a l u e O f D i a g r a m O b j e c t K e y a n y T y p e z b w N T n L X > < a : K e y > < K e y > C o l u m n s \ S t a v k a K a t e g o r i j a < / K e y > < / a : K e y > < a : V a l u e   i : t y p e = " T a b l e W i d g e t B a s e V i e w S t a t e " / > < / a : K e y V a l u e O f D i a g r a m O b j e c t K e y a n y T y p e z b w N T n L X > < a : K e y V a l u e O f D i a g r a m O b j e c t K e y a n y T y p e z b w N T n L X > < a : K e y > < K e y > C o l u m n s \ K l a s a < / K e y > < / a : K e y > < a : V a l u e   i : t y p e = " T a b l e W i d g e t B a s e V i e w S t a t e " / > < / a : K e y V a l u e O f D i a g r a m O b j e c t K e y a n y T y p e z b w N T n L X > < a : K e y V a l u e O f D i a g r a m O b j e c t K e y a n y T y p e z b w N T n L X > < a : K e y > < K e y > C o l u m n s \ Z n a k I z v e s t a j < / K e y > < / a : K e y > < a : V a l u e   i : t y p e = " T a b l e W i d g e t B a s e V i e w S t a t e " / > < / a : K e y V a l u e O f D i a g r a m O b j e c t K e y a n y T y p e z b w N T n L X > < a : K e y V a l u e O f D i a g r a m O b j e c t K e y a n y T y p e z b w N T n L X > < a : K e y > < K e y > C o l u m n s \ O b r a z e c I m e < / 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 d O b r a s c i < / 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 d O b r a s c i < / 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 C o l u m n s \ T i p I z v e s t a j I D < / K e y > < / a : K e y > < a : V a l u e   i : t y p e = " T a b l e W i d g e t B a s e V i e w S t a t e " / > < / a : K e y V a l u e O f D i a g r a m O b j e c t K e y a n y T y p e z b w N T n L X > < a : K e y V a l u e O f D i a g r a m O b j e c t K e y a n y T y p e z b w N T n L X > < a : K e y > < K e y > C o l u m n s \ O b r a z e c I D < / K e y > < / a : K e y > < a : V a l u e   i : t y p e = " T a b l e W i d g e t B a s e V i e w S t a t e " / > < / a : K e y V a l u e O f D i a g r a m O b j e c t K e y a n y T y p e z b w N T n L X > < a : K e y V a l u e O f D i a g r a m O b j e c t K e y a n y T y p e z b w N T n L X > < a : K e y > < K e y > C o l u m n s \ O b r a z e c I m e < / K e y > < / a : K e y > < a : V a l u e   i : t y p e = " T a b l e W i d g e t B a s e V i e w S t a t e " / > < / a : K e y V a l u e O f D i a g r a m O b j e c t K e y a n y T y p e z b w N T n L X > < a : K e y V a l u e O f D i a g r a m O b j e c t K e y a n y T y p e z b w N T n L X > < a : K e y > < K e y > C o l u m n s \ C o l u m n 4 < / 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 f N a b a v k i < / 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 f N a b a v k i < / 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 C o l u m n s \ @B8:;  < / K e y > < / a : K e y > < a : V a l u e   i : t y p e = " T a b l e W i d g e t B a s e V i e w S t a t e " / > < / a : K e y V a l u e O f D i a g r a m O b j e c t K e y a n y T y p e z b w N T n L X > < a : K e y V a l u e O f D i a g r a m O b j e c t K e y a n y T y p e z b w N T n L X > < a : K e y > < K e y > C o l u m n s \ !B02:0< / K e y > < / a : K e y > < a : V a l u e   i : t y p e = " T a b l e W i d g e t B a s e V i e w S t a t e " / > < / a : K e y V a l u e O f D i a g r a m O b j e c t K e y a n y T y p e z b w N T n L X > < a : K e y V a l u e O f D i a g r a m O b j e c t K e y a n y T y p e z b w N T n L X > < a : K e y > < K e y > C o l u m n s \ 5@8>4< / K e y > < / a : K e y > < a : V a l u e   i : t y p e = " T a b l e W i d g e t B a s e V i e w S t a t e " / > < / a : K e y V a l u e O f D i a g r a m O b j e c t K e y a n y T y p e z b w N T n L X > < a : K e y V a l u e O f D i a g r a m O b j e c t K e y a n y T y p e z b w N T n L X > < a : K e y > < K e y > C o l u m n s \ >:0F8X0< / K e y > < / a : K e y > < a : V a l u e   i : t y p e = " T a b l e W i d g e t B a s e V i e w S t a t e " / > < / a : K e y V a l u e O f D i a g r a m O b j e c t K e y a n y T y p e z b w N T n L X > < a : K e y V a l u e O f D i a g r a m O b j e c t K e y a n y T y p e z b w N T n L X > < a : K e y > < K e y > C o l u m n s \ 7=>A< / K e y > < / a : K e y > < a : V a l u e   i : t y p e = " T a b l e W i d g e t B a s e V i e w S t a t e " / > < / a : K e y V a l u e O f D i a g r a m O b j e c t K e y a n y T y p e z b w N T n L X > < a : K e y V a l u e O f D i a g r a m O b j e c t K e y a n y T y p e z b w N T n L X > < a : K e y > < K e y > C o l u m n s \ R e p o r t T y p e < / K e y > < / a : K e y > < a : V a l u e   i : t y p e = " T a b l e W i d g e t B a s e V i e w S t a t e " / > < / a : K e y V a l u e O f D i a g r a m O b j e c t K e y a n y T y p e z b w N T n L X > < a : K e y V a l u e O f D i a g r a m O b j e c t K e y a n y T y p e z b w N T n L X > < a : K e y > < K e y > C o l u m n s \ 0B53>@8X0  @B8:;  < / K e y > < / a : K e y > < a : V a l u e   i : t y p e = " T a b l e W i d g e t B a s e V i e w S t a t e " / > < / a : K e y V a l u e O f D i a g r a m O b j e c t K e y a n y T y p e z b w N T n L X > < a : K e y V a l u e O f D i a g r a m O b j e c t K e y a n y T y p e z b w N T n L X > < a : K e y > < K e y > C o l u m n s \ 0B53>@8X0  @B8:;< / K e y > < / a : K e y > < a : V a l u e   i : t y p e = " T a b l e W i d g e t B a s e V i e w S t a t e " / > < / a : K e y V a l u e O f D i a g r a m O b j e c t K e y a n y T y p e z b w N T n L X > < a : K e y V a l u e O f D i a g r a m O b j e c t K e y a n y T y p e z b w N T n L X > < a : K e y > < K e y > C o l u m n s \ >:0F8X0. 1 < / K e y > < / a : K e y > < a : V a l u e   i : t y p e = " T a b l e W i d g e t B a s e V i e w S t a t e " / > < / a : K e y V a l u e O f D i a g r a m O b j e c t K e y a n y T y p e z b w N T n L X > < a : K e y V a l u e O f D i a g r a m O b j e c t K e y a n y T y p e z b w N T n L X > < a : K e y > < K e y > C o l u m n s \ "8?  =0  0@B8:;< / K e y > < / a : K e y > < a : V a l u e   i : t y p e = " T a b l e W i d g e t B a s e V i e w S t a t e " / > < / a : K e y V a l u e O f D i a g r a m O b j e c t K e y a n y T y p e z b w N T n L X > < a : K e y V a l u e O f D i a g r a m O b j e c t K e y a n y T y p e z b w N T n L X > < a : K e y > < K e y > C o l u m n s \ "8?  =0  =0102:0< / K e y > < / a : K e y > < a : V a l u e   i : t y p e = " T a b l e W i d g e t B a s e V i e w S t a t e " / > < / a : K e y V a l u e O f D i a g r a m O b j e c t K e y a n y T y p e z b w N T n L X > < a : K e y V a l u e O f D i a g r a m O b j e c t K e y a n y T y p e z b w N T n L X > < a : K e y > < K e y > C o l u m n s \ @30=870F8>=0  548=8F0  >43>2>@=0  70  =0102:0B0< / K e y > < / a : K e y > < a : V a l u e   i : t y p e = " T a b l e W i d g e t B a s e V i e w S t a t e " / > < / a : K e y V a l u e O f D i a g r a m O b j e c t K e y a n y T y p e z b w N T n L X > < a : K e y V a l u e O f D i a g r a m O b j e c t K e y a n y T y p e z b w N T n L X > < a : K e y > < K e y > C o l u m n s \ >=B>< / 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 d O b r a z e c F i n a n s i s k i P l a n < / 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 d O b r a z e c F i n a n s i s k i P l a n < / 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  D8=0=A8A:8  ?;0=< / K e y > < / a : K e y > < a : V a l u e   i : t y p e = " T a b l e W i d g e t B a s e V i e w S t a t e " / > < / a : K e y V a l u e O f D i a g r a m O b j e c t K e y a n y T y p e z b w N T n L X > < a : K e y V a l u e O f D i a g r a m O b j e c t K e y a n y T y p e z b w N T n L X > < a : K e y > < K e y > C o l u m n s \ $- AB02:0< / K e y > < / a : K e y > < a : V a l u e   i : t y p e = " T a b l e W i d g e t B a s e V i e w S t a t e " / > < / a : K e y V a l u e O f D i a g r a m O b j e c t K e y a n y T y p e z b w N T n L X > < a : K e y V a l u e O f D i a g r a m O b j e c t K e y a n y T y p e z b w N T n L X > < a : K e y > < K e y > C o l u m n s \ $- @C?0< / K e y > < / a : K e y > < a : V a l u e   i : t y p e = " T a b l e W i d g e t B a s e V i e w S t a t e " / > < / a : K e y V a l u e O f D i a g r a m O b j e c t K e y a n y T y p e z b w N T n L X > < a : K e y V a l u e O f D i a g r a m O b j e c t K e y a n y T y p e z b w N T n L X > < a : K e y > < K e y > C o l u m n s \ $- 0B53>@8X0< / K e y > < / a : K e y > < a : V a l u e   i : t y p e = " T a b l e W i d g e t B a s e V i e w S t a t e " / > < / a : K e y V a l u e O f D i a g r a m O b j e c t K e y a n y T y p e z b w N T n L X > < a : K e y V a l u e O f D i a g r a m O b j e c t K e y a n y T y p e z b w N T n L X > < a : K e y > < K e y > C o l u m n s \ T o t a l i n g < / K e y > < / a : K e y > < a : V a l u e   i : t y p e = " T a b l e W i d g e t B a s e V i e w S t a t e " / > < / a : K e y V a l u e O f D i a g r a m O b j e c t K e y a n y T y p e z b w N T n L X > < a : K e y V a l u e O f D i a g r a m O b j e c t K e y a n y T y p e z b w N T n L X > < a : K e y > < K e y > C o l u m n s \ $  !B02:0  =0782< / 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 A c t u a l A n d B u d g e t < / 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 A c t u a l A n d B u d g e t < / 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=B>< / K e y > < / a : K e y > < a : V a l u e   i : t y p e = " T a b l e W i d g e t B a s e V i e w S t a t e " / > < / a : K e y V a l u e O f D i a g r a m O b j e c t K e y a n y T y p e z b w N T n L X > < a : K e y V a l u e O f D i a g r a m O b j e c t K e y a n y T y p e z b w N T n L X > < a : K e y > < K e y > C o l u m n s \ 5@8>4< / K e y > < / a : K e y > < a : V a l u e   i : t y p e = " T a b l e W i d g e t B a s e V i e w S t a t e " / > < / a : K e y V a l u e O f D i a g r a m O b j e c t K e y a n y T y p e z b w N T n L X > < a : K e y V a l u e O f D i a g r a m O b j e c t K e y a n y T y p e z b w N T n L X > < a : K e y > < K e y > C o l u m n s \ V r e d n o s t < / K e y > < / a : K e y > < a : V a l u e   i : t y p e = " T a b l e W i d g e t B a s e V i e w S t a t e " / > < / a : K e y V a l u e O f D i a g r a m O b j e c t K e y a n y T y p e z b w N T n L X > < a : K e y V a l u e O f D i a g r a m O b j e c t K e y a n y T y p e z b w N T n L X > < a : K e y > < K e y > C o l u m n s \ !B02:0< / K e y > < / a : K e y > < a : V a l u e   i : t y p e = " T a b l e W i d g e t B a s e V i e w S t a t e " / > < / a : K e y V a l u e O f D i a g r a m O b j e c t K e y a n y T y p e z b w N T n L X > < a : K e y V a l u e O f D i a g r a m O b j e c t K e y a n y T y p e z b w N T n L X > < a : K e y > < K e y > C o l u m n s \ 7=>A< / 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 T r a n s a k c i i < / 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 T r a n s a k c i i < / 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 538>=< / K e y > < / a : K e y > < a : V a l u e   i : t y p e = " T a b l e W i d g e t B a s e V i e w S t a t e " / > < / a : K e y V a l u e O f D i a g r a m O b j e c t K e y a n y T y p e z b w N T n L X > < a : K e y V a l u e O f D i a g r a m O b j e c t K e y a n y T y p e z b w N T n L X > < a : K e y > < K e y > C o l u m n s \ @>406=>  <5AB>< / K e y > < / a : K e y > < a : V a l u e   i : t y p e = " T a b l e W i d g e t B a s e V i e w S t a t e " / > < / a : K e y V a l u e O f D i a g r a m O b j e c t K e y a n y T y p e z b w N T n L X > < a : K e y V a l u e O f D i a g r a m O b j e c t K e y a n y T y p e z b w N T n L X > < a : K e y > < K e y > C o l u m n s \ >HB5=A:8  :>4< / K e y > < / a : K e y > < a : V a l u e   i : t y p e = " T a b l e W i d g e t B a s e V i e w S t a t e " / > < / a : K e y V a l u e O f D i a g r a m O b j e c t K e y a n y T y p e z b w N T n L X > < a : K e y V a l u e O f D i a g r a m O b j e c t K e y a n y T y p e z b w N T n L X > < a : K e y > < K e y > C o l u m n s \  538AB0@  8<5< / K e y > < / a : K e y > < a : V a l u e   i : t y p e = " T a b l e W i d g e t B a s e V i e w S t a t e " / > < / a : K e y V a l u e O f D i a g r a m O b j e c t K e y a n y T y p e z b w N T n L X > < a : K e y V a l u e O f D i a g r a m O b j e c t K e y a n y T y p e z b w N T n L X > < a : K e y > < K e y > C o l u m n s \ #A;C30  8<5< / K e y > < / a : K e y > < a : V a l u e   i : t y p e = " T a b l e W i d g e t B a s e V i e w S t a t e " / > < / a : K e y V a l u e O f D i a g r a m O b j e c t K e y a n y T y p e z b w N T n L X > < a : K e y V a l u e O f D i a g r a m O b j e c t K e y a n y T y p e z b w N T n L X > < a : K e y > < K e y > C o l u m n s \ 5@8>4< / K e y > < / a : K e y > < a : V a l u e   i : t y p e = " T a b l e W i d g e t B a s e V i e w S t a t e " / > < / a : K e y V a l u e O f D i a g r a m O b j e c t K e y a n y T y p e z b w N T n L X > < a : K e y V a l u e O f D i a g r a m O b j e c t K e y a n y T y p e z b w N T n L X > < a : K e y > < K e y > C o l u m n s \ "@0=A0:F88< / 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 f P r i h o d i R a s h o d i < / 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 f P r i h o d i R a s h o d i < / 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 C o l u m n s \ !B02:0< / K e y > < / a : K e y > < a : V a l u e   i : t y p e = " T a b l e W i d g e t B a s e V i e w S t a t e " / > < / a : K e y V a l u e O f D i a g r a m O b j e c t K e y a n y T y p e z b w N T n L X > < a : K e y V a l u e O f D i a g r a m O b j e c t K e y a n y T y p e z b w N T n L X > < a : K e y > < K e y > C o l u m n s \ 5@8>4< / K e y > < / a : K e y > < a : V a l u e   i : t y p e = " T a b l e W i d g e t B a s e V i e w S t a t e " / > < / a : K e y V a l u e O f D i a g r a m O b j e c t K e y a n y T y p e z b w N T n L X > < a : K e y V a l u e O f D i a g r a m O b j e c t K e y a n y T y p e z b w N T n L X > < a : K e y > < K e y > C o l u m n s \ 7=>A< / K e y > < / a : K e y > < a : V a l u e   i : t y p e = " T a b l e W i d g e t B a s e V i e w S t a t e " / > < / a : K e y V a l u e O f D i a g r a m O b j e c t K e y a n y T y p e z b w N T n L X > < a : K e y V a l u e O f D i a g r a m O b j e c t K e y a n y T y p e z b w N T n L X > < a : K e y > < K e y > C o l u m n s \ >=B>< / K e y > < / a : K e y > < a : V a l u e   i : t y p e = " T a b l e W i d g e t B a s e V i e w S t a t e " / > < / a : K e y V a l u e O f D i a g r a m O b j e c t K e y a n y T y p e z b w N T n L X > < a : K e y V a l u e O f D i a g r a m O b j e c t K e y a n y T y p e z b w N T n L X > < a : K e y > < K e y > C o l u m n s \ 5@8>4  ( M o n t h   I n d e x ) < / K e y > < / a : K e y > < a : V a l u e   i : t y p e = " T a b l e W i d g e t B a s e V i e w S t a t e " / > < / a : K e y V a l u e O f D i a g r a m O b j e c t K e y a n y T y p e z b w N T n L X > < a : K e y V a l u e O f D i a g r a m O b j e c t K e y a n y T y p e z b w N T n L X > < a : K e y > < K e y > C o l u m n s \ 5@8>4  ( M o n t h ) < / 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 f V k u p n i R a s h o d i < / 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 f V k u p n i R a s h o d i < / 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 C o l u m n s \ !B02:0< / K e y > < / a : K e y > < a : V a l u e   i : t y p e = " T a b l e W i d g e t B a s e V i e w S t a t e " / > < / a : K e y V a l u e O f D i a g r a m O b j e c t K e y a n y T y p e z b w N T n L X > < a : K e y V a l u e O f D i a g r a m O b j e c t K e y a n y T y p e z b w N T n L X > < a : K e y > < K e y > C o l u m n s \ 5@8>4< / K e y > < / a : K e y > < a : V a l u e   i : t y p e = " T a b l e W i d g e t B a s e V i e w S t a t e " / > < / a : K e y V a l u e O f D i a g r a m O b j e c t K e y a n y T y p e z b w N T n L X > < a : K e y V a l u e O f D i a g r a m O b j e c t K e y a n y T y p e z b w N T n L X > < a : K e y > < K e y > C o l u m n s \ 7=>A< / K e y > < / a : K e y > < a : V a l u e   i : t y p e = " T a b l e W i d g e t B a s e V i e w S t a t e " / > < / a : K e y V a l u e O f D i a g r a m O b j e c t K e y a n y T y p e z b w N T n L X > < a : K e y V a l u e O f D i a g r a m O b j e c t K e y a n y T y p e z b w N T n L X > < a : K e y > < K e y > C o l u m n s \ >=B>< / 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 N a b a v k i < / 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 N a b a v k i < / 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 C o l u m n s \ @B8:;  =0782< / K e y > < / a : K e y > < a : V a l u e   i : t y p e = " T a b l e W i d g e t B a s e V i e w S t a t e " / > < / a : K e y V a l u e O f D i a g r a m O b j e c t K e y a n y T y p e z b w N T n L X > < a : K e y V a l u e O f D i a g r a m O b j e c t K e y a n y T y p e z b w N T n L X > < a : K e y > < K e y > C o l u m n s \ 5@8>4  =0  =0102:0< / K e y > < / a : K e y > < a : V a l u e   i : t y p e = " T a b l e W i d g e t B a s e V i e w S t a t e " / > < / a : K e y V a l u e O f D i a g r a m O b j e c t K e y a n y T y p e z b w N T n L X > < a : K e y V a l u e O f D i a g r a m O b j e c t K e y a n y T y p e z b w N T n L X > < a : K e y > < K e y > C o l u m n s \ >;8G8=0< / K e y > < / a : K e y > < a : V a l u e   i : t y p e = " T a b l e W i d g e t B a s e V i e w S t a t e " / > < / a : K e y V a l u e O f D i a g r a m O b j e c t K e y a n y T y p e z b w N T n L X > < a : K e y V a l u e O f D i a g r a m O b j e c t K e y a n y T y p e z b w N T n L X > < a : K e y > < K e y > C o l u m n s \ &5=0< / K e y > < / a : K e y > < a : V a l u e   i : t y p e = " T a b l e W i d g e t B a s e V i e w S t a t e " / > < / a : K e y V a l u e O f D i a g r a m O b j e c t K e y a n y T y p e z b w N T n L X > < a : K e y V a l u e O f D i a g r a m O b j e c t K e y a n y T y p e z b w N T n L X > < a : K e y > < K e y > C o l u m n s \ >=B>< / K e y > < / a : K e y > < a : V a l u e   i : t y p e = " T a b l e W i d g e t B a s e V i e w S t a t e " / > < / a : K e y V a l u e O f D i a g r a m O b j e c t K e y a n y T y p e z b w N T n L X > < a : K e y V a l u e O f D i a g r a m O b j e c t K e y a n y T y p e z b w N T n L X > < a : K e y > < K e y > C o l u m n s \ ><>H5=  87=>A< / K e y > < / a : K e y > < a : V a l u e   i : t y p e = " T a b l e W i d g e t B a s e V i e w S t a t e " / > < / a : K e y V a l u e O f D i a g r a m O b j e c t K e y a n y T y p e z b w N T n L X > < a : K e y V a l u e O f D i a g r a m O b j e c t K e y a n y T y p e z b w N T n L X > < a : K e y > < K e y > C o l u m n s \ 7=>A< / 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 M a p p i n g < / 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 M a p p i n g < / 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=B>< / K e y > < / a : K e y > < a : V a l u e   i : t y p e = " T a b l e W i d g e t B a s e V i e w S t a t e " / > < / a : K e y V a l u e O f D i a g r a m O b j e c t K e y a n y T y p e z b w N T n L X > < a : K e y V a l u e O f D i a g r a m O b j e c t K e y a n y T y p e z b w N T n L X > < a : K e y > < K e y > C o l u m n s \ ?8A< / K e y > < / a : K e y > < a : V a l u e   i : t y p e = " T a b l e W i d g e t B a s e V i e w S t a t e " / > < / a : K e y V a l u e O f D i a g r a m O b j e c t K e y a n y T y p e z b w N T n L X > < a : K e y V a l u e O f D i a g r a m O b j e c t K e y a n y T y p e z b w N T n L X > < a : K e y > < K e y > C o l u m n s \ -   D8=0=A8A:8  ?;0=< / K e y > < / a : K e y > < a : V a l u e   i : t y p e = " T a b l e W i d g e t B a s e V i e w S t a t e " / > < / a : K e y V a l u e O f D i a g r a m O b j e c t K e y a n y T y p e z b w N T n L X > < a : K e y V a l u e O f D i a g r a m O b j e c t K e y a n y T y p e z b w N T n L X > < a : K e y > < K e y > C o l u m n s \ - D8=0=A8A:8  8725HB0X< / K e y > < / a : K e y > < a : V a l u e   i : t y p e = " T a b l e W i d g e t B a s e V i e w S t a t e " / > < / a : K e y V a l u e O f D i a g r a m O b j e c t K e y a n y T y p e z b w N T n L X > < a : K e y V a l u e O f D i a g r a m O b j e c t K e y a n y T y p e z b w N T n L X > < a : K e y > < K e y > C o l u m n s \ - $  =>2< / K e y > < / a : K e y > < a : V a l u e   i : t y p e = " T a b l e W i d g e t B a s e V i e w S t a t e " / > < / a : K e y V a l u e O f D i a g r a m O b j e c t K e y a n y T y p e z b w N T n L X > < a : K e y V a l u e O f D i a g r a m O b j e c t K e y a n y T y p e z b w N T n L X > < a : K e y > < K e y > C o l u m n s \ - >48H=8  A<5B:8< / K e y > < / a : K e y > < a : V a l u e   i : t y p e = " T a b l e W i d g e t B a s e V i e w S t a t e " / > < / a : K e y V a l u e O f D i a g r a m O b j e c t K e y a n y T y p e z b w N T n L X > < a : K e y V a l u e O f D i a g r a m O b j e c t K e y a n y T y p e z b w N T n L X > < a : K e y > < K e y > C o l u m n s \ - < / 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 f V k u p n i P r i h o d i < / 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 f V k u p n i P r i h o d i < / 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 C o l u m n s \ !B02:0< / K e y > < / a : K e y > < a : V a l u e   i : t y p e = " T a b l e W i d g e t B a s e V i e w S t a t e " / > < / a : K e y V a l u e O f D i a g r a m O b j e c t K e y a n y T y p e z b w N T n L X > < a : K e y V a l u e O f D i a g r a m O b j e c t K e y a n y T y p e z b w N T n L X > < a : K e y > < K e y > C o l u m n s \ 5@8>4< / K e y > < / a : K e y > < a : V a l u e   i : t y p e = " T a b l e W i d g e t B a s e V i e w S t a t e " / > < / a : K e y V a l u e O f D i a g r a m O b j e c t K e y a n y T y p e z b w N T n L X > < a : K e y V a l u e O f D i a g r a m O b j e c t K e y a n y T y p e z b w N T n L X > < a : K e y > < K e y > C o l u m n s \ 7=>A< / K e y > < / a : K e y > < a : V a l u e   i : t y p e = " T a b l e W i d g e t B a s e V i e w S t a t e " / > < / a : K e y V a l u e O f D i a g r a m O b j e c t K e y a n y T y p e z b w N T n L X > < a : K e y V a l u e O f D i a g r a m O b j e c t K e y a n y T y p e z b w N T n L X > < a : K e y > < K e y > C o l u m n s \ >=B>< / K e y > < / a : K e y > < a : V a l u e   i : t y p e = " T a b l e W i d g e t B a s e V i e w S t a t e " / > < / a : K e y V a l u e O f D i a g r a m O b j e c t K e y a n y T y p e z b w N T n L X > < a : K e y V a l u e O f D i a g r a m O b j e c t K e y a n y T y p e z b w N T n L X > < a : K e y > < K e y > C o l u m n s \ 5@8>4  ( M o n t h   I n d e x ) < / K e y > < / a : K e y > < a : V a l u e   i : t y p e = " T a b l e W i d g e t B a s e V i e w S t a t e " / > < / a : K e y V a l u e O f D i a g r a m O b j e c t K e y a n y T y p e z b w N T n L X > < a : K e y V a l u e O f D i a g r a m O b j e c t K e y a n y T y p e z b w N T n L X > < a : K e y > < K e y > C o l u m n s \ 5@8>4  ( M o n t h ) < / 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 f P r i h o d i O s t a n a t i < / 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 f P r i h o d i O s t a n a t i < / 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 C o l u m n s \ #A;C30  =0782< / K e y > < / a : K e y > < a : V a l u e   i : t y p e = " T a b l e W i d g e t B a s e V i e w S t a t e " / > < / a : K e y V a l u e O f D i a g r a m O b j e c t K e y a n y T y p e z b w N T n L X > < a : K e y V a l u e O f D i a g r a m O b j e c t K e y a n y T y p e z b w N T n L X > < a : K e y > < K e y > C o l u m n s \ 5@8>4< / K e y > < / a : K e y > < a : V a l u e   i : t y p e = " T a b l e W i d g e t B a s e V i e w S t a t e " / > < / a : K e y V a l u e O f D i a g r a m O b j e c t K e y a n y T y p e z b w N T n L X > < a : K e y V a l u e O f D i a g r a m O b j e c t K e y a n y T y p e z b w N T n L X > < a : K e y > < K e y > C o l u m n s \ @8E>48< / K e y > < / a : K e y > < a : V a l u e   i : t y p e = " T a b l e W i d g e t B a s e V i e w S t a t e " / > < / a : K e y V a l u e O f D i a g r a m O b j e c t K e y a n y T y p e z b w N T n L X > < a : K e y V a l u e O f D i a g r a m O b j e c t K e y a n y T y p e z b w N T n L X > < a : K e y > < K e y > C o l u m n s \ >=B>< / 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 r O b r a z e c F i n a n s i s k i P l a n < / 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 r O b r a z e c F i n a n s i s k i P l a n < / 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  D8=0=A8A:8  ?;0=< / K e y > < / a : K e y > < a : V a l u e   i : t y p e = " T a b l e W i d g e t B a s e V i e w S t a t e " / > < / a : K e y V a l u e O f D i a g r a m O b j e c t K e y a n y T y p e z b w N T n L X > < a : K e y V a l u e O f D i a g r a m O b j e c t K e y a n y T y p e z b w N T n L X > < a : K e y > < K e y > C o l u m n s \ $- AB02:0< / K e y > < / a : K e y > < a : V a l u e   i : t y p e = " T a b l e W i d g e t B a s e V i e w S t a t e " / > < / a : K e y V a l u e O f D i a g r a m O b j e c t K e y a n y T y p e z b w N T n L X > < a : K e y V a l u e O f D i a g r a m O b j e c t K e y a n y T y p e z b w N T n L X > < a : K e y > < K e y > C o l u m n s \ $- @C?0< / K e y > < / a : K e y > < a : V a l u e   i : t y p e = " T a b l e W i d g e t B a s e V i e w S t a t e " / > < / a : K e y V a l u e O f D i a g r a m O b j e c t K e y a n y T y p e z b w N T n L X > < a : K e y V a l u e O f D i a g r a m O b j e c t K e y a n y T y p e z b w N T n L X > < a : K e y > < K e y > C o l u m n s \ $- 0B53>@8X0< / K e y > < / a : K e y > < a : V a l u e   i : t y p e = " T a b l e W i d g e t B a s e V i e w S t a t e " / > < / a : K e y V a l u e O f D i a g r a m O b j e c t K e y a n y T y p e z b w N T n L X > < a : K e y V a l u e O f D i a g r a m O b j e c t K e y a n y T y p e z b w N T n L X > < a : K e y > < K e y > C o l u m n s \ T o t a l i n g < / 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 C a l e n d a r   1 < / 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 C a l e n d a r   1 < / 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 C o l u m n s \ D a t e < / K e y > < / a : K e y > < a : V a l u e   i : t y p e = " T a b l e W i d g e t B a s e V i e w S t a t e " / > < / a : K e y V a l u e O f D i a g r a m O b j e c t K e y a n y T y p e z b w N T n L X > < a : K e y V a l u e O f D i a g r a m O b j e c t K e y a n y T y p e z b w N T n L X > < a : K e y > < K e y > C o l u m n s \     < / K e y > < / a : K e y > < a : V a l u e   i : t y p e = " T a b l e W i d g e t B a s e V i e w S t a t e " / > < / a : K e y V a l u e O f D i a g r a m O b j e c t K e y a n y T y p e z b w N T n L X > < a : K e y V a l u e O f D i a g r a m O b j e c t K e y a n y T y p e z b w N T n L X > < a : K e y > < K e y > C o l u m n s \ Y e a r < / K e y > < / a : K e y > < a : V a l u e   i : t y p e = " T a b l e W i d g e t B a s e V i e w S t a t e " / > < / a : K e y V a l u e O f D i a g r a m O b j e c t K e y a n y T y p e z b w N T n L X > < a : K e y V a l u e O f D i a g r a m O b j e c t K e y a n y T y p e z b w N T n L X > < a : K e y > < K e y > C o l u m n s \ M o n t h   N u m b e r < / K e y > < / a : K e y > < a : V a l u e   i : t y p e = " T a b l e W i d g e t B a s e V i e w S t a t e " / > < / a : K e y V a l u e O f D i a g r a m O b j e c t K e y a n y T y p e z b w N T n L X > < a : K e y V a l u e O f D i a g r a m O b j e c t K e y a n y T y p e z b w N T n L X > < a : K e y > < K e y > C o l u m n s \ M o n t h < / K e y > < / a : K e y > < a : V a l u e   i : t y p e = " T a b l e W i d g e t B a s e V i e w S t a t e " / > < / a : K e y V a l u e O f D i a g r a m O b j e c t K e y a n y T y p e z b w N T n L X > < a : K e y V a l u e O f D i a g r a m O b j e c t K e y a n y T y p e z b w N T n L X > < a : K e y > < K e y > C o l u m n s \ M M M - Y Y Y Y < / K e y > < / a : K e y > < a : V a l u e   i : t y p e = " T a b l e W i d g e t B a s e V i e w S t a t e " / > < / a : K e y V a l u e O f D i a g r a m O b j e c t K e y a n y T y p e z b w N T n L X > < a : K e y V a l u e O f D i a g r a m O b j e c t K e y a n y T y p e z b w N T n L X > < a : K e y > < K e y > C o l u m n s \ D a y   O f   W e e k   N u m b e r < / K e y > < / a : K e y > < a : V a l u e   i : t y p e = " T a b l e W i d g e t B a s e V i e w S t a t e " / > < / a : K e y V a l u e O f D i a g r a m O b j e c t K e y a n y T y p e z b w N T n L X > < a : K e y V a l u e O f D i a g r a m O b j e c t K e y a n y T y p e z b w N T n L X > < a : K e y > < K e y > C o l u m n s \ D a y   O f   W e e k < / K e y > < / a : K e y > < a : V a l u e   i : t y p e = " T a b l e W i d g e t B a s e V i e w S t a t e " / > < / a : K e y V a l u e O f D i a g r a m O b j e c t K e y a n y T y p e z b w N T n L X > < / V i e w S t a t e s > < / D i a g r a m M a n a g e r . S e r i a l i z a b l e D i a g r a m > < D i a g r a m M a n a g e r . S e r i a l i z a b l e D i a g r a m > < A d a p t e r   i : t y p e = " T a b l e W i d g e t V i e w M o d e l S a n d b o x A d a p t e r " > < T a b l e N a m e > f A r t i k l i C e n i < / 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 f A r t i k l i C e n i < / 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 C o l u m n s \ !B02:0< / K e y > < / a : K e y > < a : V a l u e   i : t y p e = " T a b l e W i d g e t B a s e V i e w S t a t e " / > < / a : K e y V a l u e O f D i a g r a m O b j e c t K e y a n y T y p e z b w N T n L X > < a : K e y V a l u e O f D i a g r a m O b j e c t K e y a n y T y p e z b w N T n L X > < a : K e y > < K e y > C o l u m n s \ 0B53>@8X0  @B8:;< / K e y > < / a : K e y > < a : V a l u e   i : t y p e = " T a b l e W i d g e t B a s e V i e w S t a t e " / > < / a : K e y V a l u e O f D i a g r a m O b j e c t K e y a n y T y p e z b w N T n L X > < a : K e y V a l u e O f D i a g r a m O b j e c t K e y a n y T y p e z b w N T n L X > < a : K e y > < K e y > C o l u m n s \ "8?  =0  0@B8:;< / K e y > < / a : K e y > < a : V a l u e   i : t y p e = " T a b l e W i d g e t B a s e V i e w S t a t e " / > < / a : K e y V a l u e O f D i a g r a m O b j e c t K e y a n y T y p e z b w N T n L X > < a : K e y V a l u e O f D i a g r a m O b j e c t K e y a n y T y p e z b w N T n L X > < a : K e y > < K e y > C o l u m n s \ 48=5G=0  <5@:0< / K e y > < / a : K e y > < a : V a l u e   i : t y p e = " T a b l e W i d g e t B a s e V i e w S t a t e " / > < / a : K e y V a l u e O f D i a g r a m O b j e c t K e y a n y T y p e z b w N T n L X > < a : K e y V a l u e O f D i a g r a m O b j e c t K e y a n y T y p e z b w N T n L X > < a : K e y > < K e y > C o l u m n s \ >;8G8=0< / K e y > < / a : K e y > < a : V a l u e   i : t y p e = " T a b l e W i d g e t B a s e V i e w S t a t e " / > < / a : K e y V a l u e O f D i a g r a m O b j e c t K e y a n y T y p e z b w N T n L X > < a : K e y V a l u e O f D i a g r a m O b j e c t K e y a n y T y p e z b w N T n L X > < a : K e y > < K e y > C o l u m n s \ 48=5G=0  F5=0< / K e y > < / a : K e y > < a : V a l u e   i : t y p e = " T a b l e W i d g e t B a s e V i e w S t a t e " / > < / a : K e y V a l u e O f D i a g r a m O b j e c t K e y a n y T y p e z b w N T n L X > < a : K e y V a l u e O f D i a g r a m O b j e c t K e y a n y T y p e z b w N T n L X > < a : K e y > < K e y > C o l u m n s \ :C?=>  B@>H>:< / K e y > < / a : K e y > < a : V a l u e   i : t y p e = " T a b l e W i d g e t B a s e V i e w S t a t e " / > < / a : K e y V a l u e O f D i a g r a m O b j e c t K e y a n y T y p e z b w N T n L X > < a : K e y V a l u e O f D i a g r a m O b j e c t K e y a n y T y p e z b w N T n L X > < a : K e y > < K e y > C o l u m n s \ < / K e y > < / a : K e y > < a : V a l u e   i : t y p e = " T a b l e W i d g e t B a s e V i e w S t a t e " / > < / a : K e y V a l u e O f D i a g r a m O b j e c t K e y a n y T y p e z b w N T n L X > < a : K e y V a l u e O f D i a g r a m O b j e c t K e y a n y T y p e z b w N T n L X > < a : K e y > < K e y > C o l u m n s \ 7=>A< / K e y > < / a : K e y > < a : V a l u e   i : t y p e = " T a b l e W i d g e t B a s e V i e w S t a t e " / > < / a : K e y V a l u e O f D i a g r a m O b j e c t K e y a n y T y p e z b w N T n L X > < a : K e y V a l u e O f D i a g r a m O b j e c t K e y a n y T y p e z b w N T n L X > < a : K e y > < K e y > C o l u m n s \ >=B>< / K e y > < / a : K e y > < a : V a l u e   i : t y p e = " T a b l e W i d g e t B a s e V i e w S t a t e " / > < / a : K e y V a l u e O f D i a g r a m O b j e c t K e y a n y T y p e z b w N T n L X > < a : K e y V a l u e O f D i a g r a m O b j e c t K e y a n y T y p e z b w N T n L X > < a : K e y > < K e y > C o l u m n s \ R e p o r t T y p e < / K e y > < / a : K e y > < a : V a l u e   i : t y p e = " T a b l e W i d g e t B a s e V i e w S t a t e " / > < / a : K e y V a l u e O f D i a g r a m O b j e c t K e y a n y T y p e z b w N T n L X > < a : K e y V a l u e O f D i a g r a m O b j e c t K e y a n y T y p e z b w N T n L X > < a : K e y > < K e y > C o l u m n s \ 5@8>4< / K e y > < / a : K e y > < a : V a l u e   i : t y p e = " T a b l e W i d g e t B a s e V i e w S t a t e " / > < / a : K e y V a l u e O f D i a g r a m O b j e c t K e y a n y T y p e z b w N T n L X > < a : K e y V a l u e O f D i a g r a m O b j e c t K e y a n y T y p e z b w N T n L X > < a : K e y > < K e y > C o l u m n s \ S t a v k a I m e M K < / K e y > < / a : K e y > < a : V a l u e   i : t y p e = " T a b l e W i d g e t B a s e V i e w S t a t e " / > < / a : K e y V a l u e O f D i a g r a m O b j e c t K e y a n y T y p e z b w N T n L X > < a : K e y V a l u e O f D i a g r a m O b j e c t K e y a n y T y p e z b w N T n L X > < a : K e y > < K e y > C o l u m n s \ S t a v k a A O P < / K e y > < / a : K e y > < a : V a l u e   i : t y p e = " T a b l e W i d g e t B a s e V i e w S t a t e " / > < / a : K e y V a l u e O f D i a g r a m O b j e c t K e y a n y T y p e z b w N T n L X > < a : K e y V a l u e O f D i a g r a m O b j e c t K e y a n y T y p e z b w N T n L X > < a : K e y > < K e y > C o l u m n s \ S t a v k a G r u p a < / K e y > < / a : K e y > < a : V a l u e   i : t y p e = " T a b l e W i d g e t B a s e V i e w S t a t e " / > < / a : K e y V a l u e O f D i a g r a m O b j e c t K e y a n y T y p e z b w N T n L X > < a : K e y V a l u e O f D i a g r a m O b j e c t K e y a n y T y p e z b w N T n L X > < a : K e y > < K e y > C o l u m n s \ S t a v k a K a t e g o r i j a < / K e y > < / a : K e y > < a : V a l u e   i : t y p e = " T a b l e W i d g e t B a s e V i e w S t a t e " / > < / a : K e y V a l u e O f D i a g r a m O b j e c t K e y a n y T y p e z b w N T n L X > < a : K e y V a l u e O f D i a g r a m O b j e c t K e y a n y T y p e z b w N T n L X > < a : K e y > < K e y > C o l u m n s \ O b r a z e c I m e < / K e y > < / a : K e y > < a : V a l u e   i : t y p e = " T a b l e W i d g e t B a s e V i e w S t a t e " / > < / a : K e y V a l u e O f D i a g r a m O b j e c t K e y a n y T y p e z b w N T n L X > < a : K e y V a l u e O f D i a g r a m O b j e c t K e y a n y T y p e z b w N T n L X > < a : K e y > < K e y > C o l u m n s \     < / K e y > < / a : K e y > < a : V a l u e   i : t y p e = " T a b l e W i d g e t B a s e V i e w S t a t e " / > < / a : K e y V a l u e O f D i a g r a m O b j e c t K e y a n y T y p e z b w N T n L X > < / V i e w S t a t e s > < / D i a g r a m M a n a g e r . S e r i a l i z a b l e D i a g r a m > < / A r r a y O f D i a g r a m M a n a g e r . S e r i a l i z a b l e D i a g r a m > ] ] > < / C u s t o m C o n t e n t > < / G e m i n i > 
</file>

<file path=customXml/item7.xml>��< ? x m l   v e r s i o n = " 1 . 0 "   e n c o d i n g = " U T F - 1 6 " ? > < G e m i n i   x m l n s = " h t t p : / / g e m i n i / p i v o t c u s t o m i z a t i o n / S a n d b o x N o n E m p t y " > < C u s t o m C o n t e n t > < ! [ C D A T A [ 1 ] ] > < / C u s t o m C o n t e n t > < / G e m i n i > 
</file>

<file path=customXml/item8.xml>��< ? x m l   v e r s i o n = " 1 . 0 "   e n c o d i n g = " U T F - 1 6 " ? > < G e m i n i   x m l n s = " h t t p : / / g e m i n i / p i v o t c u s t o m i z a t i o n / T a b l e X M L _ N a b a v k i _ 8 e a 6 5 c 4 2 - c 0 f f - 4 d 2 6 - b b 6 a - c e 8 c c 3 6 f 0 8 2 2 " > < C u s t o m C o n t e n t > < ! [ C D A T A [ < T a b l e W i d g e t G r i d S e r i a l i z a t i o n   x m l n s : x s i = " h t t p : / / w w w . w 3 . o r g / 2 0 0 1 / X M L S c h e m a - i n s t a n c e "   x m l n s : x s d = " h t t p : / / w w w . w 3 . o r g / 2 0 0 1 / X M L S c h e m a " > < C o l u m n S u g g e s t e d T y p e   / > < C o l u m n F o r m a t   / > < C o l u m n A c c u r a c y   / > < C o l u m n C u r r e n c y S y m b o l   / > < C o l u m n P o s i t i v e P a t t e r n   / > < C o l u m n N e g a t i v e P a t t e r n   / > < C o l u m n W i d t h s > < i t e m > < k e y > < s t r i n g > @B8:;  =0782< / s t r i n g > < / k e y > < v a l u e > < i n t > 1 5 0 < / i n t > < / v a l u e > < / i t e m > < i t e m > < k e y > < s t r i n g > 5@8>4  =0  =0102:0< / s t r i n g > < / k e y > < v a l u e > < i n t > 1 9 6 < / i n t > < / v a l u e > < / i t e m > < i t e m > < k e y > < s t r i n g > >;8G8=0< / s t r i n g > < / k e y > < v a l u e > < i n t > 1 2 1 < / i n t > < / v a l u e > < / i t e m > < i t e m > < k e y > < s t r i n g > &5=0< / s t r i n g > < / k e y > < v a l u e > < i n t > 8 3 < / i n t > < / v a l u e > < / i t e m > < i t e m > < k e y > < s t r i n g > >=B>< / s t r i n g > < / k e y > < v a l u e > < i n t > 9 0 < / i n t > < / v a l u e > < / i t e m > < i t e m > < k e y > < s t r i n g > ><>H5=  87=>A< / s t r i n g > < / k e y > < v a l u e > < i n t > 1 7 1 < / i n t > < / v a l u e > < / i t e m > < i t e m > < k e y > < s t r i n g > 7=>A< / s t r i n g > < / k e y > < v a l u e > < i n t > 9 1 < / i n t > < / v a l u e > < / i t e m > < / C o l u m n W i d t h s > < C o l u m n D i s p l a y I n d e x > < i t e m > < k e y > < s t r i n g > @B8:;  =0782< / s t r i n g > < / k e y > < v a l u e > < i n t > 0 < / i n t > < / v a l u e > < / i t e m > < i t e m > < k e y > < s t r i n g > 5@8>4  =0  =0102:0< / s t r i n g > < / k e y > < v a l u e > < i n t > 1 < / i n t > < / v a l u e > < / i t e m > < i t e m > < k e y > < s t r i n g > >;8G8=0< / s t r i n g > < / k e y > < v a l u e > < i n t > 2 < / i n t > < / v a l u e > < / i t e m > < i t e m > < k e y > < s t r i n g > &5=0< / s t r i n g > < / k e y > < v a l u e > < i n t > 3 < / i n t > < / v a l u e > < / i t e m > < i t e m > < k e y > < s t r i n g > >=B>< / s t r i n g > < / k e y > < v a l u e > < i n t > 4 < / i n t > < / v a l u e > < / i t e m > < i t e m > < k e y > < s t r i n g > ><>H5=  87=>A< / s t r i n g > < / k e y > < v a l u e > < i n t > 5 < / i n t > < / v a l u e > < / i t e m > < i t e m > < k e y > < s t r i n g > 7=>A< / s t r i n g > < / k e y > < v a l u e > < i n t > 6 < / i n t > < / v a l u e > < / i t e m > < / C o l u m n D i s p l a y I n d e x > < C o l u m n F r o z e n   / > < C o l u m n C h e c k e d   / > < C o l u m n F i l t e r   / > < S e l e c t i o n F i l t e r   / > < F i l t e r P a r a m e t e r s   / > < I s S o r t D e s c e n d i n g > f a l s e < / I s S o r t D e s c e n d i n g > < / T a b l e W i d g e t G r i d S e r i a l i z a t i o n > ] ] > < / C u s t o m C o n t e n t > < / G e m i n i > 
</file>

<file path=customXml/item9.xml>��< ? x m l   v e r s i o n = " 1 . 0 "   e n c o d i n g = " U T F - 1 6 " ? > < G e m i n i   x m l n s = " h t t p : / / g e m i n i / p i v o t c u s t o m i z a t i o n / T a b l e X M L _ f C o v e c k i R e s u r s i _ 7 a 1 7 6 d 2 e - 5 d 9 7 - 4 8 b f - 9 7 9 d - c 4 9 9 5 6 7 6 4 5 0 e " > < C u s t o m C o n t e n t > < ! [ C D A T A [ < T a b l e W i d g e t G r i d S e r i a l i z a t i o n   x m l n s : x s d = " h t t p : / / w w w . w 3 . o r g / 2 0 0 1 / X M L S c h e m a "   x m l n s : x s i = " h t t p : / / w w w . w 3 . o r g / 2 0 0 1 / X M L S c h e m a - i n s t a n c e " > < C o l u m n S u g g e s t e d T y p e   / > < C o l u m n F o r m a t   / > < C o l u m n A c c u r a c y   / > < C o l u m n C u r r e n c y S y m b o l   / > < C o l u m n P o s i t i v e P a t t e r n   / > < C o l u m n N e g a t i v e P a t t e r n   / > < C o l u m n W i d t h s > < i t e m > < k e y > < s t r i n g > !B02:0< / s t r i n g > < / k e y > < v a l u e > < i n t > 9 6 < / i n t > < / v a l u e > < / i t e m > < i t e m > < k e y > < s t r i n g > "8?  =0  2@01>BC20Z5< / s t r i n g > < / k e y > < v a l u e > < i n t > 2 0 4 < / i n t > < / v a l u e > < / i t e m > < i t e m > < k e y > < s t r i n g > 5@8>4< / s t r i n g > < / k e y > < v a l u e > < i n t > 1 5 8 < / i n t > < / v a l u e > < / i t e m > < i t e m > < k e y > < s t r i n g > 7=>A< / s t r i n g > < / k e y > < v a l u e > < i n t > 9 1 < / i n t > < / v a l u e > < / i t e m > < i t e m > < k e y > < s t r i n g > >=B>< / s t r i n g > < / k e y > < v a l u e > < i n t > 9 0 < / i n t > < / v a l u e > < / i t e m > < i t e m > < k e y > < s t r i n g > R e p o r t T y p e < / s t r i n g > < / k e y > < v a l u e > < i n t > 1 3 1 < / i n t > < / v a l u e > < / i t e m > < i t e m > < k e y > < s t r i n g > @0X=0  A>AB>X10  2@01>B5=8< / s t r i n g > < / k e y > < v a l u e > < i n t > 2 5 5 < / i n t > < / v a l u e > < / i t e m > < i t e m > < k e y > < s t r i n g > ;0=8@0=  ?@8;82/ ( >4;82) < / s t r i n g > < / k e y > < v a l u e > < i n t > 2 5 4 < / i n t > < / v a l u e > < / i t e m > < i t e m > < k e y > < s t r i n g > 5@8>4  ( Y e a r ) < / s t r i n g > < / k e y > < v a l u e > < i n t > 1 5 3 < / i n t > < / v a l u e > < / i t e m > < i t e m > < k e y > < s t r i n g > 5@8>4  ( Q u a r t e r ) < / s t r i n g > < / k e y > < v a l u e > < i n t > 1 8 1 < / i n t > < / v a l u e > < / i t e m > < i t e m > < k e y > < s t r i n g > 5@8>4  ( M o n t h   I n d e x ) < / s t r i n g > < / k e y > < v a l u e > < i n t > 2 1 9 < / i n t > < / v a l u e > < / i t e m > < i t e m > < k e y > < s t r i n g > 5@8>4  ( M o n t h ) < / s t r i n g > < / k e y > < v a l u e > < i n t > 1 7 2 < / i n t > < / v a l u e > < / i t e m > < i t e m > < k e y > < s t r i n g > 5@8>4  ( Y e a r )   1 < / s t r i n g > < / k e y > < v a l u e > < i n t > 1 3 4 < / i n t > < / v a l u e > < / i t e m > < i t e m > < k e y > < s t r i n g > 5@8>4  ( Q u a r t e r )   1 < / s t r i n g > < / k e y > < v a l u e > < i n t > 1 5 6 < / i n t > < / v a l u e > < / i t e m > < i t e m > < k e y > < s t r i n g > 5@8>4  ( M o n t h   I n d e x )   1 < / s t r i n g > < / k e y > < v a l u e > < i n t > 1 8 7 < / i n t > < / v a l u e > < / i t e m > < i t e m > < k e y > < s t r i n g > 5@8>4  ( M o n t h )   1 < / s t r i n g > < / k e y > < v a l u e > < i n t > 1 4 9 < / i n t > < / v a l u e > < / i t e m > < / C o l u m n W i d t h s > < C o l u m n D i s p l a y I n d e x > < i t e m > < k e y > < s t r i n g > !B02:0< / s t r i n g > < / k e y > < v a l u e > < i n t > 0 < / i n t > < / v a l u e > < / i t e m > < i t e m > < k e y > < s t r i n g > "8?  =0  2@01>BC20Z5< / s t r i n g > < / k e y > < v a l u e > < i n t > 1 < / i n t > < / v a l u e > < / i t e m > < i t e m > < k e y > < s t r i n g > 5@8>4< / s t r i n g > < / k e y > < v a l u e > < i n t > 2 < / i n t > < / v a l u e > < / i t e m > < i t e m > < k e y > < s t r i n g > 7=>A< / s t r i n g > < / k e y > < v a l u e > < i n t > 3 < / i n t > < / v a l u e > < / i t e m > < i t e m > < k e y > < s t r i n g > >=B>< / s t r i n g > < / k e y > < v a l u e > < i n t > 4 < / i n t > < / v a l u e > < / i t e m > < i t e m > < k e y > < s t r i n g > R e p o r t T y p e < / s t r i n g > < / k e y > < v a l u e > < i n t > 5 < / i n t > < / v a l u e > < / i t e m > < i t e m > < k e y > < s t r i n g > @0X=0  A>AB>X10  2@01>B5=8< / s t r i n g > < / k e y > < v a l u e > < i n t > 6 < / i n t > < / v a l u e > < / i t e m > < i t e m > < k e y > < s t r i n g > ;0=8@0=  ?@8;82/ ( >4;82) < / s t r i n g > < / k e y > < v a l u e > < i n t > 7 < / i n t > < / v a l u e > < / i t e m > < i t e m > < k e y > < s t r i n g > 5@8>4  ( Y e a r ) < / s t r i n g > < / k e y > < v a l u e > < i n t > 8 < / i n t > < / v a l u e > < / i t e m > < i t e m > < k e y > < s t r i n g > 5@8>4  ( Q u a r t e r ) < / s t r i n g > < / k e y > < v a l u e > < i n t > 9 < / i n t > < / v a l u e > < / i t e m > < i t e m > < k e y > < s t r i n g > 5@8>4  ( M o n t h   I n d e x ) < / s t r i n g > < / k e y > < v a l u e > < i n t > 1 0 < / i n t > < / v a l u e > < / i t e m > < i t e m > < k e y > < s t r i n g > 5@8>4  ( M o n t h ) < / s t r i n g > < / k e y > < v a l u e > < i n t > 1 1 < / i n t > < / v a l u e > < / i t e m > < i t e m > < k e y > < s t r i n g > 5@8>4  ( Y e a r )   1 < / s t r i n g > < / k e y > < v a l u e > < i n t > 1 2 < / i n t > < / v a l u e > < / i t e m > < i t e m > < k e y > < s t r i n g > 5@8>4  ( Q u a r t e r )   1 < / s t r i n g > < / k e y > < v a l u e > < i n t > 1 3 < / i n t > < / v a l u e > < / i t e m > < i t e m > < k e y > < s t r i n g > 5@8>4  ( M o n t h   I n d e x )   1 < / s t r i n g > < / k e y > < v a l u e > < i n t > 1 4 < / i n t > < / v a l u e > < / i t e m > < i t e m > < k e y > < s t r i n g > 5@8>4  ( M o n t h )   1 < / s t r i n g > < / k e y > < v a l u e > < i n t > 1 5 < / i n t > < / v a l u e > < / i t e m > < / C o l u m n D i s p l a y I n d e x > < C o l u m n F r o z e n   / > < C o l u m n C h e c k e d   / > < C o l u m n F i l t e r   / > < S e l e c t i o n F i l t e r   / > < F i l t e r P a r a m e t e r s   / > < I s S o r t D e s c e n d i n g > f a l s e < / I s S o r t D e s c e n d i n g > < / T a b l e W i d g e t G r i d S e r i a l i z a t i o n > ] ] > < / C u s t o m C o n t e n t > < / G e m i n i > 
</file>

<file path=customXml/itemProps1.xml><?xml version="1.0" encoding="utf-8"?>
<ds:datastoreItem xmlns:ds="http://schemas.openxmlformats.org/officeDocument/2006/customXml" ds:itemID="{77342CDD-36A7-4F7B-B8A2-0EC0240B2E3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1e39413-4b66-418d-aec3-d56351fadbc6"/>
    <ds:schemaRef ds:uri="8678cf70-7d2a-425d-8915-fdf73a3b7ea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10.xml><?xml version="1.0" encoding="utf-8"?>
<ds:datastoreItem xmlns:ds="http://schemas.openxmlformats.org/officeDocument/2006/customXml" ds:itemID="{9B42E6FB-918B-41F0-8628-DFAB7ECCA41B}">
  <ds:schemaRefs/>
</ds:datastoreItem>
</file>

<file path=customXml/itemProps11.xml><?xml version="1.0" encoding="utf-8"?>
<ds:datastoreItem xmlns:ds="http://schemas.openxmlformats.org/officeDocument/2006/customXml" ds:itemID="{273419DC-BE59-4645-B710-746F0D231F9F}">
  <ds:schemaRefs/>
</ds:datastoreItem>
</file>

<file path=customXml/itemProps12.xml><?xml version="1.0" encoding="utf-8"?>
<ds:datastoreItem xmlns:ds="http://schemas.openxmlformats.org/officeDocument/2006/customXml" ds:itemID="{08C13867-75D8-4663-BC21-F87A4C05B732}">
  <ds:schemaRefs/>
</ds:datastoreItem>
</file>

<file path=customXml/itemProps13.xml><?xml version="1.0" encoding="utf-8"?>
<ds:datastoreItem xmlns:ds="http://schemas.openxmlformats.org/officeDocument/2006/customXml" ds:itemID="{742508C7-1CF9-4543-BB01-2BC3F332BDCF}">
  <ds:schemaRefs>
    <ds:schemaRef ds:uri="http://gemini/pivotcustomization/TableXML_dObrazecFinansiskiPlan_37159981-a091-455d-9513-4665927b0364"/>
  </ds:schemaRefs>
</ds:datastoreItem>
</file>

<file path=customXml/itemProps14.xml><?xml version="1.0" encoding="utf-8"?>
<ds:datastoreItem xmlns:ds="http://schemas.openxmlformats.org/officeDocument/2006/customXml" ds:itemID="{2D9BF799-10E2-4277-9A25-27AB1E74B9E1}">
  <ds:schemaRefs>
    <ds:schemaRef ds:uri="http://gemini/pivotcustomization/ShowImplicitMeasures"/>
  </ds:schemaRefs>
</ds:datastoreItem>
</file>

<file path=customXml/itemProps15.xml><?xml version="1.0" encoding="utf-8"?>
<ds:datastoreItem xmlns:ds="http://schemas.openxmlformats.org/officeDocument/2006/customXml" ds:itemID="{A4A55DFD-4A8B-4222-8609-519502B0D622}">
  <ds:schemaRefs/>
</ds:datastoreItem>
</file>

<file path=customXml/itemProps16.xml><?xml version="1.0" encoding="utf-8"?>
<ds:datastoreItem xmlns:ds="http://schemas.openxmlformats.org/officeDocument/2006/customXml" ds:itemID="{B0E331CD-22BB-4904-942E-49A202FF8F6F}">
  <ds:schemaRefs/>
</ds:datastoreItem>
</file>

<file path=customXml/itemProps17.xml><?xml version="1.0" encoding="utf-8"?>
<ds:datastoreItem xmlns:ds="http://schemas.openxmlformats.org/officeDocument/2006/customXml" ds:itemID="{4179FD2E-52FD-4970-AA06-6C4D4DEBADFC}">
  <ds:schemaRefs/>
</ds:datastoreItem>
</file>

<file path=customXml/itemProps18.xml><?xml version="1.0" encoding="utf-8"?>
<ds:datastoreItem xmlns:ds="http://schemas.openxmlformats.org/officeDocument/2006/customXml" ds:itemID="{50F37AF9-202D-4430-AA05-64D2DA6D8CB8}">
  <ds:schemaRefs>
    <ds:schemaRef ds:uri="http://gemini/pivotcustomization/LinkedTableUpdateMode"/>
  </ds:schemaRefs>
</ds:datastoreItem>
</file>

<file path=customXml/itemProps19.xml><?xml version="1.0" encoding="utf-8"?>
<ds:datastoreItem xmlns:ds="http://schemas.openxmlformats.org/officeDocument/2006/customXml" ds:itemID="{CBD35D8F-1466-41F2-9F55-35E0F83165DD}">
  <ds:schemaRefs/>
</ds:datastoreItem>
</file>

<file path=customXml/itemProps2.xml><?xml version="1.0" encoding="utf-8"?>
<ds:datastoreItem xmlns:ds="http://schemas.openxmlformats.org/officeDocument/2006/customXml" ds:itemID="{4D7E2D25-EE8B-4FE2-B36B-7AB19A2EC273}">
  <ds:schemaRefs>
    <ds:schemaRef ds:uri="http://schemas.microsoft.com/DataMashup"/>
  </ds:schemaRefs>
</ds:datastoreItem>
</file>

<file path=customXml/itemProps20.xml><?xml version="1.0" encoding="utf-8"?>
<ds:datastoreItem xmlns:ds="http://schemas.openxmlformats.org/officeDocument/2006/customXml" ds:itemID="{C9E599B7-C517-40F2-8E66-84FE40CAC66E}">
  <ds:schemaRefs>
    <ds:schemaRef ds:uri="http://gemini/pivotcustomization/TableXML_fPrihodiRashodi_12e2e5bd-bef4-4546-84fa-9054cbc13adb"/>
  </ds:schemaRefs>
</ds:datastoreItem>
</file>

<file path=customXml/itemProps21.xml><?xml version="1.0" encoding="utf-8"?>
<ds:datastoreItem xmlns:ds="http://schemas.openxmlformats.org/officeDocument/2006/customXml" ds:itemID="{C9FAAFA8-F7D6-43AC-A91B-0F2229233D05}">
  <ds:schemaRefs/>
</ds:datastoreItem>
</file>

<file path=customXml/itemProps22.xml><?xml version="1.0" encoding="utf-8"?>
<ds:datastoreItem xmlns:ds="http://schemas.openxmlformats.org/officeDocument/2006/customXml" ds:itemID="{1E5C9D60-D602-4472-BB59-7B33EE1FF386}">
  <ds:schemaRefs/>
</ds:datastoreItem>
</file>

<file path=customXml/itemProps23.xml><?xml version="1.0" encoding="utf-8"?>
<ds:datastoreItem xmlns:ds="http://schemas.openxmlformats.org/officeDocument/2006/customXml" ds:itemID="{704CFF7B-E027-413C-B809-35ECD75C9102}">
  <ds:schemaRefs/>
</ds:datastoreItem>
</file>

<file path=customXml/itemProps24.xml><?xml version="1.0" encoding="utf-8"?>
<ds:datastoreItem xmlns:ds="http://schemas.openxmlformats.org/officeDocument/2006/customXml" ds:itemID="{4F846810-FBF7-486A-A6BB-8AD9FD7E6B13}">
  <ds:schemaRefs/>
</ds:datastoreItem>
</file>

<file path=customXml/itemProps25.xml><?xml version="1.0" encoding="utf-8"?>
<ds:datastoreItem xmlns:ds="http://schemas.openxmlformats.org/officeDocument/2006/customXml" ds:itemID="{ABC4EB87-16AE-4D97-BB95-C1C6DBC407FB}">
  <ds:schemaRefs/>
</ds:datastoreItem>
</file>

<file path=customXml/itemProps26.xml><?xml version="1.0" encoding="utf-8"?>
<ds:datastoreItem xmlns:ds="http://schemas.openxmlformats.org/officeDocument/2006/customXml" ds:itemID="{A4B67769-2FEB-46C4-8D2F-D6B95520AF86}">
  <ds:schemaRefs/>
</ds:datastoreItem>
</file>

<file path=customXml/itemProps27.xml><?xml version="1.0" encoding="utf-8"?>
<ds:datastoreItem xmlns:ds="http://schemas.openxmlformats.org/officeDocument/2006/customXml" ds:itemID="{CE0FE815-3FAB-4DA3-B4A5-C4B2FE716E96}">
  <ds:schemaRefs/>
</ds:datastoreItem>
</file>

<file path=customXml/itemProps28.xml><?xml version="1.0" encoding="utf-8"?>
<ds:datastoreItem xmlns:ds="http://schemas.openxmlformats.org/officeDocument/2006/customXml" ds:itemID="{0EEB3237-2729-46EE-96C5-7310D06DFA1A}">
  <ds:schemaRefs>
    <ds:schemaRef ds:uri="http://gemini/pivotcustomization/TableXML_CAPEX_List_53e8bf2e-fc61-4f58-9b94-c74c4c3680d0"/>
  </ds:schemaRefs>
</ds:datastoreItem>
</file>

<file path=customXml/itemProps29.xml><?xml version="1.0" encoding="utf-8"?>
<ds:datastoreItem xmlns:ds="http://schemas.openxmlformats.org/officeDocument/2006/customXml" ds:itemID="{C0EF227B-24E1-4240-B7DB-74A68A1FE2CE}">
  <ds:schemaRefs/>
</ds:datastoreItem>
</file>

<file path=customXml/itemProps3.xml><?xml version="1.0" encoding="utf-8"?>
<ds:datastoreItem xmlns:ds="http://schemas.openxmlformats.org/officeDocument/2006/customXml" ds:itemID="{70996048-3C23-47C2-9C5E-D0D33C087B30}">
  <ds:schemaRefs/>
</ds:datastoreItem>
</file>

<file path=customXml/itemProps30.xml><?xml version="1.0" encoding="utf-8"?>
<ds:datastoreItem xmlns:ds="http://schemas.openxmlformats.org/officeDocument/2006/customXml" ds:itemID="{ED9CF954-AAA1-4448-A505-8178F2E89545}">
  <ds:schemaRefs>
    <ds:schemaRef ds:uri="http://gemini/pivotcustomization/TableXML_fVkupniPrihodi_d179eb0f-b1ea-4e8a-8813-d108f153f64f"/>
  </ds:schemaRefs>
</ds:datastoreItem>
</file>

<file path=customXml/itemProps31.xml><?xml version="1.0" encoding="utf-8"?>
<ds:datastoreItem xmlns:ds="http://schemas.openxmlformats.org/officeDocument/2006/customXml" ds:itemID="{04B14486-BF6C-4A3D-8240-6EA575F02025}">
  <ds:schemaRefs>
    <ds:schemaRef ds:uri="http://gemini/pivotcustomization/ShowHidden"/>
  </ds:schemaRefs>
</ds:datastoreItem>
</file>

<file path=customXml/itemProps32.xml><?xml version="1.0" encoding="utf-8"?>
<ds:datastoreItem xmlns:ds="http://schemas.openxmlformats.org/officeDocument/2006/customXml" ds:itemID="{6CDC0E95-29F3-497B-B97B-2ADE929D243D}">
  <ds:schemaRefs>
    <ds:schemaRef ds:uri="http://gemini/pivotcustomization/TableXML_fTransakcii_62b3969f-c17f-4d18-810b-1bc9b9c0c8cc"/>
  </ds:schemaRefs>
</ds:datastoreItem>
</file>

<file path=customXml/itemProps33.xml><?xml version="1.0" encoding="utf-8"?>
<ds:datastoreItem xmlns:ds="http://schemas.openxmlformats.org/officeDocument/2006/customXml" ds:itemID="{E12BF662-38AD-48F8-86D3-29C941167925}">
  <ds:schemaRefs>
    <ds:schemaRef ds:uri="http://gemini/pivotcustomization/TableXML_fPrihodiRashodiFinPlan_48347728-3647-4988-b707-b67d0bac82ee"/>
  </ds:schemaRefs>
</ds:datastoreItem>
</file>

<file path=customXml/itemProps34.xml><?xml version="1.0" encoding="utf-8"?>
<ds:datastoreItem xmlns:ds="http://schemas.openxmlformats.org/officeDocument/2006/customXml" ds:itemID="{04D6B6CC-7901-41E6-A821-740997334EB0}">
  <ds:schemaRefs>
    <ds:schemaRef ds:uri="http://gemini/pivotcustomization/TableXML_Kategorija_Proekt_255d2b94-7e8f-40ff-b476-7e5a8ebb5e9b"/>
  </ds:schemaRefs>
</ds:datastoreItem>
</file>

<file path=customXml/itemProps35.xml><?xml version="1.0" encoding="utf-8"?>
<ds:datastoreItem xmlns:ds="http://schemas.openxmlformats.org/officeDocument/2006/customXml" ds:itemID="{D540FB79-35DB-45F0-9D8B-A9CBBB2DA095}">
  <ds:schemaRefs>
    <ds:schemaRef ds:uri="http://gemini/pivotcustomization/TableXML_ActualAndBudget_bcdd103d-c604-49bb-87fc-c584ec0152b8"/>
  </ds:schemaRefs>
</ds:datastoreItem>
</file>

<file path=customXml/itemProps36.xml><?xml version="1.0" encoding="utf-8"?>
<ds:datastoreItem xmlns:ds="http://schemas.openxmlformats.org/officeDocument/2006/customXml" ds:itemID="{75748CA3-BEFA-4B98-B8E7-6304BDA07981}">
  <ds:schemaRefs/>
</ds:datastoreItem>
</file>

<file path=customXml/itemProps37.xml><?xml version="1.0" encoding="utf-8"?>
<ds:datastoreItem xmlns:ds="http://schemas.openxmlformats.org/officeDocument/2006/customXml" ds:itemID="{1020C4F1-8906-4D35-A5E9-543D26A13FD8}">
  <ds:schemaRefs/>
</ds:datastoreItem>
</file>

<file path=customXml/itemProps38.xml><?xml version="1.0" encoding="utf-8"?>
<ds:datastoreItem xmlns:ds="http://schemas.openxmlformats.org/officeDocument/2006/customXml" ds:itemID="{8EDB027B-81AA-4EB9-9890-5A556BF44C44}">
  <ds:schemaRefs/>
</ds:datastoreItem>
</file>

<file path=customXml/itemProps39.xml><?xml version="1.0" encoding="utf-8"?>
<ds:datastoreItem xmlns:ds="http://schemas.openxmlformats.org/officeDocument/2006/customXml" ds:itemID="{77AB118D-17EE-4C21-8B34-5CAB29A1E631}">
  <ds:schemaRefs>
    <ds:schemaRef ds:uri="http://gemini/pivotcustomization/TableXML_rObrazecFinansiskiPlan_c1a75023-b884-451a-ba1c-90b7f166ea0c"/>
  </ds:schemaRefs>
</ds:datastoreItem>
</file>

<file path=customXml/itemProps4.xml><?xml version="1.0" encoding="utf-8"?>
<ds:datastoreItem xmlns:ds="http://schemas.openxmlformats.org/officeDocument/2006/customXml" ds:itemID="{858C69C5-A449-4415-BAA8-B7CEBB27ED67}">
  <ds:schemaRefs>
    <ds:schemaRef ds:uri="http://gemini/pivotcustomization/TableXML_fAccountingData_246bd1fc-1d2a-4a69-9903-521bc01c1a51"/>
  </ds:schemaRefs>
</ds:datastoreItem>
</file>

<file path=customXml/itemProps40.xml><?xml version="1.0" encoding="utf-8"?>
<ds:datastoreItem xmlns:ds="http://schemas.openxmlformats.org/officeDocument/2006/customXml" ds:itemID="{EFFBBC97-BA40-4682-829D-C3BFD342986A}">
  <ds:schemaRefs/>
</ds:datastoreItem>
</file>

<file path=customXml/itemProps41.xml><?xml version="1.0" encoding="utf-8"?>
<ds:datastoreItem xmlns:ds="http://schemas.openxmlformats.org/officeDocument/2006/customXml" ds:itemID="{B1019FAA-6CC9-48BF-961F-074618572280}">
  <ds:schemaRefs/>
</ds:datastoreItem>
</file>

<file path=customXml/itemProps42.xml><?xml version="1.0" encoding="utf-8"?>
<ds:datastoreItem xmlns:ds="http://schemas.openxmlformats.org/officeDocument/2006/customXml" ds:itemID="{23495906-B1CB-4131-A38D-20E4ED6F8BFB}">
  <ds:schemaRefs/>
</ds:datastoreItem>
</file>

<file path=customXml/itemProps43.xml><?xml version="1.0" encoding="utf-8"?>
<ds:datastoreItem xmlns:ds="http://schemas.openxmlformats.org/officeDocument/2006/customXml" ds:itemID="{52EC4D3B-1A59-4FB2-B60C-71E79E403B7B}">
  <ds:schemaRefs/>
</ds:datastoreItem>
</file>

<file path=customXml/itemProps44.xml><?xml version="1.0" encoding="utf-8"?>
<ds:datastoreItem xmlns:ds="http://schemas.openxmlformats.org/officeDocument/2006/customXml" ds:itemID="{A62E61EA-E2E3-425C-9F7A-9681F2CC6498}">
  <ds:schemaRefs>
    <ds:schemaRef ds:uri="http://schemas.microsoft.com/sharepoint/v3/contenttype/forms"/>
  </ds:schemaRefs>
</ds:datastoreItem>
</file>

<file path=customXml/itemProps45.xml><?xml version="1.0" encoding="utf-8"?>
<ds:datastoreItem xmlns:ds="http://schemas.openxmlformats.org/officeDocument/2006/customXml" ds:itemID="{4E6BF564-F769-41AB-AFF4-D43AB569AD29}">
  <ds:schemaRefs/>
</ds:datastoreItem>
</file>

<file path=customXml/itemProps46.xml><?xml version="1.0" encoding="utf-8"?>
<ds:datastoreItem xmlns:ds="http://schemas.openxmlformats.org/officeDocument/2006/customXml" ds:itemID="{64D34EBF-3291-44CE-904C-BC9AB2CDFD3C}">
  <ds:schemaRefs/>
</ds:datastoreItem>
</file>

<file path=customXml/itemProps47.xml><?xml version="1.0" encoding="utf-8"?>
<ds:datastoreItem xmlns:ds="http://schemas.openxmlformats.org/officeDocument/2006/customXml" ds:itemID="{CD94A1B0-27F0-40FF-8175-B8B76B3863A8}">
  <ds:schemaRefs/>
</ds:datastoreItem>
</file>

<file path=customXml/itemProps48.xml><?xml version="1.0" encoding="utf-8"?>
<ds:datastoreItem xmlns:ds="http://schemas.openxmlformats.org/officeDocument/2006/customXml" ds:itemID="{A1988D5D-BF84-4961-89D0-9CBEEC188C0B}">
  <ds:schemaRefs>
    <ds:schemaRef ds:uri="http://gemini/pivotcustomization/TableXML_ActualAndBudget_8a5be116-973c-4884-a6c1-6334012de921"/>
  </ds:schemaRefs>
</ds:datastoreItem>
</file>

<file path=customXml/itemProps49.xml><?xml version="1.0" encoding="utf-8"?>
<ds:datastoreItem xmlns:ds="http://schemas.openxmlformats.org/officeDocument/2006/customXml" ds:itemID="{ABFA14A4-D4A2-48E0-B4F2-0404A7176094}">
  <ds:schemaRefs>
    <ds:schemaRef ds:uri="http://gemini/pivotcustomization/TableXML_dMapping_1777c25b-fb91-4af0-a5a6-fea1cb519bd0"/>
  </ds:schemaRefs>
</ds:datastoreItem>
</file>

<file path=customXml/itemProps5.xml><?xml version="1.0" encoding="utf-8"?>
<ds:datastoreItem xmlns:ds="http://schemas.openxmlformats.org/officeDocument/2006/customXml" ds:itemID="{F1B7029E-4B37-47F8-BF19-69E4B0E8EA43}">
  <ds:schemaRefs>
    <ds:schemaRef ds:uri="http://gemini/pivotcustomization/TableXML_fPrihodiOstanati_3d8021fe-56a3-469c-a0d4-239b193bcab5"/>
  </ds:schemaRefs>
</ds:datastoreItem>
</file>

<file path=customXml/itemProps50.xml><?xml version="1.0" encoding="utf-8"?>
<ds:datastoreItem xmlns:ds="http://schemas.openxmlformats.org/officeDocument/2006/customXml" ds:itemID="{FDE93DBD-F192-49A0-BF62-E9381FABA9C4}">
  <ds:schemaRefs>
    <ds:schemaRef ds:uri="http://gemini/pivotcustomization/TableXML_Mapping_c3646c01-9136-4980-9f91-43fef7e566d3"/>
  </ds:schemaRefs>
</ds:datastoreItem>
</file>

<file path=customXml/itemProps51.xml><?xml version="1.0" encoding="utf-8"?>
<ds:datastoreItem xmlns:ds="http://schemas.openxmlformats.org/officeDocument/2006/customXml" ds:itemID="{80AB7FE8-4A81-41C3-AB88-5E62DEC726AF}">
  <ds:schemaRefs/>
</ds:datastoreItem>
</file>

<file path=customXml/itemProps52.xml><?xml version="1.0" encoding="utf-8"?>
<ds:datastoreItem xmlns:ds="http://schemas.openxmlformats.org/officeDocument/2006/customXml" ds:itemID="{C3897B66-B583-4D15-AC4E-8E9A5E791323}">
  <ds:schemaRefs/>
</ds:datastoreItem>
</file>

<file path=customXml/itemProps53.xml><?xml version="1.0" encoding="utf-8"?>
<ds:datastoreItem xmlns:ds="http://schemas.openxmlformats.org/officeDocument/2006/customXml" ds:itemID="{CA00E207-989F-412D-BD41-4556E465F1A3}">
  <ds:schemaRefs>
    <ds:schemaRef ds:uri="http://gemini/pivotcustomization/TableXML_fVkupniRashodi_3089af1a-26d6-4a6b-b5c5-4d42613e5659"/>
  </ds:schemaRefs>
</ds:datastoreItem>
</file>

<file path=customXml/itemProps54.xml><?xml version="1.0" encoding="utf-8"?>
<ds:datastoreItem xmlns:ds="http://schemas.openxmlformats.org/officeDocument/2006/customXml" ds:itemID="{91747A8A-6EB8-41BD-88F2-CFDB3EC70585}">
  <ds:schemaRefs/>
</ds:datastoreItem>
</file>

<file path=customXml/itemProps55.xml><?xml version="1.0" encoding="utf-8"?>
<ds:datastoreItem xmlns:ds="http://schemas.openxmlformats.org/officeDocument/2006/customXml" ds:itemID="{3FC128B3-1D9F-4EE6-A8D6-790D8697A0C9}">
  <ds:schemaRefs/>
</ds:datastoreItem>
</file>

<file path=customXml/itemProps56.xml><?xml version="1.0" encoding="utf-8"?>
<ds:datastoreItem xmlns:ds="http://schemas.openxmlformats.org/officeDocument/2006/customXml" ds:itemID="{17074B0A-B551-4324-91C4-2BFFF6D3FB26}">
  <ds:schemaRefs>
    <ds:schemaRef ds:uri="http://schemas.microsoft.com/office/2006/documentManagement/types"/>
    <ds:schemaRef ds:uri="http://purl.org/dc/elements/1.1/"/>
    <ds:schemaRef ds:uri="8678cf70-7d2a-425d-8915-fdf73a3b7ea8"/>
    <ds:schemaRef ds:uri="http://purl.org/dc/dcmitype/"/>
    <ds:schemaRef ds:uri="d1e39413-4b66-418d-aec3-d56351fadbc6"/>
    <ds:schemaRef ds:uri="http://schemas.microsoft.com/office/2006/metadata/properties"/>
    <ds:schemaRef ds:uri="http://purl.org/dc/terms/"/>
    <ds:schemaRef ds:uri="http://schemas.microsoft.com/office/infopath/2007/PartnerControls"/>
    <ds:schemaRef ds:uri="http://schemas.openxmlformats.org/package/2006/metadata/core-properties"/>
    <ds:schemaRef ds:uri="http://www.w3.org/XML/1998/namespace"/>
  </ds:schemaRefs>
</ds:datastoreItem>
</file>

<file path=customXml/itemProps57.xml><?xml version="1.0" encoding="utf-8"?>
<ds:datastoreItem xmlns:ds="http://schemas.openxmlformats.org/officeDocument/2006/customXml" ds:itemID="{49DD046F-5F80-4285-BBA7-1F9BDAF6B53B}">
  <ds:schemaRefs>
    <ds:schemaRef ds:uri="http://gemini/pivotcustomization/ManualCalcMode"/>
  </ds:schemaRefs>
</ds:datastoreItem>
</file>

<file path=customXml/itemProps58.xml><?xml version="1.0" encoding="utf-8"?>
<ds:datastoreItem xmlns:ds="http://schemas.openxmlformats.org/officeDocument/2006/customXml" ds:itemID="{3E267A76-A00A-4844-A984-FE422F16A4E8}">
  <ds:schemaRefs/>
</ds:datastoreItem>
</file>

<file path=customXml/itemProps59.xml><?xml version="1.0" encoding="utf-8"?>
<ds:datastoreItem xmlns:ds="http://schemas.openxmlformats.org/officeDocument/2006/customXml" ds:itemID="{4C5D18D9-3CB3-41E0-8570-2F652ED3E89D}">
  <ds:schemaRefs/>
</ds:datastoreItem>
</file>

<file path=customXml/itemProps6.xml><?xml version="1.0" encoding="utf-8"?>
<ds:datastoreItem xmlns:ds="http://schemas.openxmlformats.org/officeDocument/2006/customXml" ds:itemID="{82D49F5B-CBE8-47D9-9CCF-F6645A73A265}">
  <ds:schemaRefs/>
</ds:datastoreItem>
</file>

<file path=customXml/itemProps60.xml><?xml version="1.0" encoding="utf-8"?>
<ds:datastoreItem xmlns:ds="http://schemas.openxmlformats.org/officeDocument/2006/customXml" ds:itemID="{CEF620FC-8C0C-4F52-A279-274E7537491B}">
  <ds:schemaRefs>
    <ds:schemaRef ds:uri="http://gemini/pivotcustomization/TableXML_fActualAndBudget_2ce20bb8-3569-4f63-8edd-afdfd7e9e6b0"/>
  </ds:schemaRefs>
</ds:datastoreItem>
</file>

<file path=customXml/itemProps61.xml><?xml version="1.0" encoding="utf-8"?>
<ds:datastoreItem xmlns:ds="http://schemas.openxmlformats.org/officeDocument/2006/customXml" ds:itemID="{E977D2AF-09F5-44D4-8AF0-BA105C9B572B}">
  <ds:schemaRefs/>
</ds:datastoreItem>
</file>

<file path=customXml/itemProps62.xml><?xml version="1.0" encoding="utf-8"?>
<ds:datastoreItem xmlns:ds="http://schemas.openxmlformats.org/officeDocument/2006/customXml" ds:itemID="{3D3CCBE6-67D2-4E3F-864B-E983CB3FFCD0}">
  <ds:schemaRefs/>
</ds:datastoreItem>
</file>

<file path=customXml/itemProps63.xml><?xml version="1.0" encoding="utf-8"?>
<ds:datastoreItem xmlns:ds="http://schemas.openxmlformats.org/officeDocument/2006/customXml" ds:itemID="{F8A1CCE1-4871-46B6-88B0-2590697B542B}">
  <ds:schemaRefs/>
</ds:datastoreItem>
</file>

<file path=customXml/itemProps64.xml><?xml version="1.0" encoding="utf-8"?>
<ds:datastoreItem xmlns:ds="http://schemas.openxmlformats.org/officeDocument/2006/customXml" ds:itemID="{3B5F0023-6E74-4712-96B7-F653FA519AD4}">
  <ds:schemaRefs/>
</ds:datastoreItem>
</file>

<file path=customXml/itemProps65.xml><?xml version="1.0" encoding="utf-8"?>
<ds:datastoreItem xmlns:ds="http://schemas.openxmlformats.org/officeDocument/2006/customXml" ds:itemID="{8C737029-B75E-4DD3-8DC6-C539A87D3105}">
  <ds:schemaRefs/>
</ds:datastoreItem>
</file>

<file path=customXml/itemProps66.xml><?xml version="1.0" encoding="utf-8"?>
<ds:datastoreItem xmlns:ds="http://schemas.openxmlformats.org/officeDocument/2006/customXml" ds:itemID="{BF16686F-9AA5-40F9-8A3F-822DBD7EDDF2}">
  <ds:schemaRefs/>
</ds:datastoreItem>
</file>

<file path=customXml/itemProps67.xml><?xml version="1.0" encoding="utf-8"?>
<ds:datastoreItem xmlns:ds="http://schemas.openxmlformats.org/officeDocument/2006/customXml" ds:itemID="{8E954030-B4BE-45FA-825C-19ED5B008C1B}">
  <ds:schemaRefs/>
</ds:datastoreItem>
</file>

<file path=customXml/itemProps68.xml><?xml version="1.0" encoding="utf-8"?>
<ds:datastoreItem xmlns:ds="http://schemas.openxmlformats.org/officeDocument/2006/customXml" ds:itemID="{7F99987C-5212-432B-8E45-FEB0AA4C8E69}">
  <ds:schemaRefs/>
</ds:datastoreItem>
</file>

<file path=customXml/itemProps7.xml><?xml version="1.0" encoding="utf-8"?>
<ds:datastoreItem xmlns:ds="http://schemas.openxmlformats.org/officeDocument/2006/customXml" ds:itemID="{79DC23E0-79BA-4A35-B5FF-CE6394AF3BC0}">
  <ds:schemaRefs/>
</ds:datastoreItem>
</file>

<file path=customXml/itemProps8.xml><?xml version="1.0" encoding="utf-8"?>
<ds:datastoreItem xmlns:ds="http://schemas.openxmlformats.org/officeDocument/2006/customXml" ds:itemID="{7F205BA3-92FA-40C8-AADE-1F18E6C10E88}">
  <ds:schemaRefs>
    <ds:schemaRef ds:uri="http://gemini/pivotcustomization/TableXML_Nabavki_8ea65c42-c0ff-4d26-bb6a-ce8cc36f0822"/>
  </ds:schemaRefs>
</ds:datastoreItem>
</file>

<file path=customXml/itemProps9.xml><?xml version="1.0" encoding="utf-8"?>
<ds:datastoreItem xmlns:ds="http://schemas.openxmlformats.org/officeDocument/2006/customXml" ds:itemID="{CBA9F298-181B-46FC-9681-9A8F88BE55D8}">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41</vt:i4>
      </vt:variant>
      <vt:variant>
        <vt:lpstr>Named Ranges</vt:lpstr>
      </vt:variant>
      <vt:variant>
        <vt:i4>1</vt:i4>
      </vt:variant>
    </vt:vector>
  </HeadingPairs>
  <TitlesOfParts>
    <vt:vector size="42" baseType="lpstr">
      <vt:lpstr>Трансакции</vt:lpstr>
      <vt:lpstr>BU_pomosen_mesecen (2)</vt:lpstr>
      <vt:lpstr>Analiza po meseci (3)</vt:lpstr>
      <vt:lpstr>BU_pomosen_kvartalen</vt:lpstr>
      <vt:lpstr>Specificirani prihodi_pomosen</vt:lpstr>
      <vt:lpstr>BU_pomosen_meseceн CUBE</vt:lpstr>
      <vt:lpstr>BU_pomosen_mesecen</vt:lpstr>
      <vt:lpstr>Amortizacija_CUBE</vt:lpstr>
      <vt:lpstr>BS_pomosen_mesecen</vt:lpstr>
      <vt:lpstr>Amortizacija</vt:lpstr>
      <vt:lpstr>BS_pomosen_kvartalen</vt:lpstr>
      <vt:lpstr>CAPEX</vt:lpstr>
      <vt:lpstr>CAPEX po meseci CUBE</vt:lpstr>
      <vt:lpstr>CAPEX ЈН</vt:lpstr>
      <vt:lpstr>BS_predviduvanje</vt:lpstr>
      <vt:lpstr>БС</vt:lpstr>
      <vt:lpstr>Za Analiza</vt:lpstr>
      <vt:lpstr>Za Analiza KIRILICA</vt:lpstr>
      <vt:lpstr>Grafici</vt:lpstr>
      <vt:lpstr>OPEX</vt:lpstr>
      <vt:lpstr>Analiza po meseci (2)</vt:lpstr>
      <vt:lpstr>Analiza po meseci</vt:lpstr>
      <vt:lpstr>Analiza_po stavki_periodi</vt:lpstr>
      <vt:lpstr>HR po stavki</vt:lpstr>
      <vt:lpstr>Analiza OPEX 2021</vt:lpstr>
      <vt:lpstr>Analiza OPEX 2021 (2)</vt:lpstr>
      <vt:lpstr>BU_pomosen_sporedben</vt:lpstr>
      <vt:lpstr>OPEX po stavki</vt:lpstr>
      <vt:lpstr>1. BilansNaSostojba</vt:lpstr>
      <vt:lpstr>2. Bilans Na Uspeh</vt:lpstr>
      <vt:lpstr>3.Specificirani prihodi</vt:lpstr>
      <vt:lpstr>4.Specificirani rashodi</vt:lpstr>
      <vt:lpstr>5. Spec. na fiksni s-va i amort</vt:lpstr>
      <vt:lpstr>Vraboteni po nacionalnost 2022</vt:lpstr>
      <vt:lpstr>7.Izv za promeni vo kapital</vt:lpstr>
      <vt:lpstr>8. Izv. za paricni tekovi</vt:lpstr>
      <vt:lpstr>9. Pregled na kvartalni podatoc</vt:lpstr>
      <vt:lpstr>10. Preled na bruto plati </vt:lpstr>
      <vt:lpstr>Sheet1</vt:lpstr>
      <vt:lpstr>Sheet2</vt:lpstr>
      <vt:lpstr>Sheet3</vt:lpstr>
      <vt:lpstr>OPEX!Print_Area</vt:lpstr>
    </vt:vector>
  </TitlesOfParts>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Gordana Godjo</dc:creator>
  <cp:lastModifiedBy>Angela Sazdova - Doneva</cp:lastModifiedBy>
  <cp:revision/>
  <cp:lastPrinted>2022-12-16T16:26:17Z</cp:lastPrinted>
  <dcterms:created xsi:type="dcterms:W3CDTF">2018-07-26T20:29:18Z</dcterms:created>
  <dcterms:modified xsi:type="dcterms:W3CDTF">2023-02-10T09:27:43Z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0x010100BCD9D157FD4B7D419EF8808753D8DBDC</vt:lpwstr>
  </property>
</Properties>
</file>